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0581～" sheetId="1" r:id="rId5"/>
    <sheet state="visible" name="最新単価表" sheetId="2" r:id="rId6"/>
    <sheet state="hidden" name="最新単価表　確認用" sheetId="3" r:id="rId7"/>
    <sheet state="visible" name="単価履歴" sheetId="4" r:id="rId8"/>
    <sheet state="visible" name="単価一括登録" sheetId="5" r:id="rId9"/>
    <sheet state="hidden" name="メニュー" sheetId="6" r:id="rId10"/>
    <sheet state="hidden" name="単価リンク" sheetId="7" r:id="rId11"/>
    <sheet state="visible" name="メーカ品目リスト" sheetId="8" r:id="rId12"/>
    <sheet state="visible" name="アプリの使い方" sheetId="9" r:id="rId13"/>
    <sheet state="visible" name="単価検索" sheetId="10" r:id="rId14"/>
    <sheet state="visible" name="検索結果" sheetId="11" r:id="rId15"/>
    <sheet state="visible" name="単価表_1" sheetId="12" r:id="rId16"/>
    <sheet state="hidden" name="品目" sheetId="13" r:id="rId17"/>
    <sheet state="visible" name="更新フラグ" sheetId="14" r:id="rId18"/>
    <sheet state="visible" name="メーカー単価表_最新盤" sheetId="15" r:id="rId19"/>
    <sheet state="hidden" name="単価表_2" sheetId="16" r:id="rId20"/>
  </sheets>
  <definedNames>
    <definedName hidden="1" localSheetId="3" name="_xlnm._FilterDatabase">'単価履歴'!$A$1:$AF$5769</definedName>
    <definedName hidden="1" localSheetId="4" name="_xlnm._FilterDatabase">'単価一括登録'!$A$1:$Z$933</definedName>
    <definedName hidden="1" localSheetId="7" name="_xlnm._FilterDatabase">'メーカ品目リスト'!$A$1:$G$329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ナベ手配庸車運賃
栗東▲2.0　愛知川▲2.2</t>
      </text>
    </comment>
    <comment authorId="0" ref="G7">
      <text>
        <t xml:space="preserve">合同大阪スライド</t>
      </text>
    </comment>
    <comment authorId="0" ref="I7">
      <text>
        <t xml:space="preserve">ＣＰのみ東鉄スライド</t>
      </text>
    </comment>
    <comment authorId="0" ref="U7">
      <text>
        <t xml:space="preserve">大同特殊スライド
名古屋枠</t>
      </text>
    </comment>
    <comment authorId="0" ref="Y7">
      <text>
        <t xml:space="preserve">東鉄田原スライド</t>
      </text>
    </comment>
    <comment authorId="0" ref="AB7">
      <text>
        <t xml:space="preserve">ナベ置場▲2.0</t>
      </text>
    </comment>
    <comment authorId="0" ref="AC7">
      <text>
        <t xml:space="preserve">ナベ置場▲2.4</t>
      </text>
    </comment>
    <comment authorId="0" ref="AH7">
      <text>
        <t xml:space="preserve">5/9付　池川氏報告
地場単価ﾍﾞｰｽ
HS＠54、H2@50.5、H3@50.0、H4@49.5</t>
      </text>
    </comment>
    <comment authorId="0" ref="AI7">
      <text>
        <t xml:space="preserve">大和リテックのコード：00019
流通コード：18082</t>
      </text>
    </comment>
    <comment authorId="0" ref="AL7">
      <text>
        <t xml:space="preserve">Ｓ：１％</t>
      </text>
    </comment>
    <comment authorId="0" ref="AO7">
      <text>
        <t xml:space="preserve">24.4月～6月　同条件延長
24.1月～3月　同条件延長
10月～12月　同条件延長
7月～9月　200ｔ/月　計600ｔ
東鉄田原陸上　電特A+2000円/ｔ
東鉄スライド
</t>
      </text>
    </comment>
    <comment authorId="0" ref="AS7">
      <text>
        <t xml:space="preserve">大谷製鐵スライド
遠方は翌日反映</t>
      </text>
    </comment>
    <comment authorId="0" ref="AT7">
      <text>
        <t xml:space="preserve">静岡方面　トレーラーベース
大同スライド</t>
      </text>
    </comment>
    <comment authorId="0" ref="AU7">
      <text>
        <t xml:space="preserve">鋼ダライ：大鉄スライド
銑ダライ：ヤマトスライド</t>
      </text>
    </comment>
    <comment authorId="0" ref="AV7">
      <text>
        <t xml:space="preserve">東鉄岡山スライド</t>
      </text>
    </comment>
    <comment authorId="0" ref="BL7">
      <text>
        <t xml:space="preserve">大阪は京都単価▲０．５</t>
      </text>
    </comment>
    <comment authorId="0" ref="BN7">
      <text>
        <t xml:space="preserve">東鉄岡山陸上スライド</t>
      </text>
    </comment>
    <comment authorId="0" ref="BO7">
      <text>
        <t xml:space="preserve">東鉄岡山陸上スライド</t>
      </text>
    </comment>
    <comment authorId="0" ref="BP7">
      <text>
        <t xml:space="preserve">東鉄岡山陸上スライド</t>
      </text>
    </comment>
    <comment authorId="0" ref="AB12">
      <text>
        <t xml:space="preserve">鉄筋検収は「特A」</t>
      </text>
    </comment>
    <comment authorId="0" ref="AQ19">
      <text>
        <t xml:space="preserve">ｓ：１０％　＠49.8
12/20～　金川ｃｈａｔで</t>
      </text>
    </comment>
    <comment authorId="0" ref="Y21">
      <text>
        <t xml:space="preserve">出荷先不明　岐阜置場単価</t>
      </text>
    </comment>
    <comment authorId="0" ref="AF21">
      <text>
        <t xml:space="preserve">9/30付現在の単価
1台/月　阪和枠ないらしい
事前連絡必要
担当：栗山さん　070-4482-1684</t>
      </text>
    </comment>
    <comment authorId="0" ref="AM21">
      <text>
        <t xml:space="preserve">大同スライド
2/23付　＠50.5</t>
      </text>
    </comment>
    <comment authorId="0" ref="AU21">
      <text>
        <t xml:space="preserve">6/6付　ナベショー柳本氏からＴＥＬ
＠44.0
栗東運賃▲2.0
（10ｔでも帰り便なら）</t>
      </text>
    </comment>
    <comment authorId="0" ref="AM24">
      <text>
        <t xml:space="preserve">大同スライド
2/23付　＠45
鋳物▲5.5</t>
      </text>
    </comment>
    <comment authorId="0" ref="AT25">
      <text>
        <t xml:space="preserve">4/22付@46.0(ﾔﾏﾄｽﾗｲﾄﾞらしい)
3/8付＠47.5（前回までとは違う所）</t>
      </text>
    </comment>
    <comment authorId="0" ref="A53">
      <text>
        <t xml:space="preserve">MIXメタルのステンが多いもの</t>
      </text>
    </comment>
    <comment authorId="0" ref="A54">
      <text>
        <t xml:space="preserve">MIXメタルの銅が多いもの</t>
      </text>
    </comment>
    <comment authorId="0" ref="A151">
      <text>
        <t xml:space="preserve">11/1(水)、2(木)、4(土)、11(土)
11/18(土)、25(土)　計6日間
24(金)追加で　計7日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B4">
      <text>
        <t xml:space="preserve">25.4.24付
下記単価正確ではないです</t>
      </text>
    </comment>
    <comment authorId="0" ref="G5">
      <text>
        <t xml:space="preserve">ナベ手配庸車運賃
栗東▲2.0　愛知川▲2.2</t>
      </text>
    </comment>
    <comment authorId="0" ref="R5">
      <text>
        <t xml:space="preserve">５０ｔ/月</t>
      </text>
    </comment>
    <comment authorId="0" ref="X5">
      <text>
        <t xml:space="preserve">大阪は京都単価▲０．５</t>
      </text>
    </comment>
    <comment authorId="0" ref="AG5">
      <text>
        <t xml:space="preserve">26.3.27～
スポット単価
置場亡くなり次第終了</t>
      </text>
    </comment>
    <comment authorId="0" ref="AJ5">
      <text>
        <t xml:space="preserve">鋼ダライ：大鉄スライド
銑ダライ：ヤマトスライド</t>
      </text>
    </comment>
    <comment authorId="0" ref="AR5">
      <text>
        <t xml:space="preserve">大同特殊スライド
名古屋枠</t>
      </text>
    </comment>
    <comment authorId="0" ref="AS5">
      <text>
        <t xml:space="preserve">東鉄岡山電特Ａスライド
専用納品書あり</t>
      </text>
    </comment>
    <comment authorId="0" ref="AX5">
      <text>
        <t xml:space="preserve">岐阜運賃▲1.8
滋賀運賃▲2.8</t>
      </text>
    </comment>
    <comment authorId="0" ref="BB5">
      <text>
        <t xml:space="preserve">ＨＳ流通コード：00322
置場なら▲2.3
5/9付　池川氏報告
地場単価ﾍﾞｰｽ
HS＠54、H2@50.5、H3@50.0、H4@49.5</t>
      </text>
    </comment>
    <comment authorId="0" ref="BC5">
      <text>
        <t xml:space="preserve">大和リテックの流通コード
　H2～H4一括：00019
　HS：00019(2025.4.30～)
　ダライ：00078
流通コード：18082
(2025.4.30終了)</t>
      </text>
    </comment>
    <comment authorId="0" ref="BF5">
      <text>
        <t xml:space="preserve">東鉄田原陸上　電特A+2000円/ｔ
東鉄スライド
５０ｔ/月
</t>
      </text>
    </comment>
    <comment authorId="0" ref="BH5">
      <text>
        <t xml:space="preserve">Ｓ：１％　東鉄田原ダライ▲2
東鉄田原スライド
⇒9/14東鉄田原ｽﾎﾟｯﾄ外れた</t>
      </text>
    </comment>
    <comment authorId="0" ref="BI5">
      <text>
        <t xml:space="preserve">Ｓ：１％
基本、東鉄田原スライド（▲2.0）
都度確認すること（▲2.0でない時もあり）</t>
      </text>
    </comment>
    <comment authorId="0" ref="BL5">
      <text>
        <t xml:space="preserve">大谷製鐵スライド
遠方は翌日反映</t>
      </text>
    </comment>
    <comment authorId="0" ref="BM5">
      <text>
        <t xml:space="preserve">静岡方面　トレーラーベース
大同スライド</t>
      </text>
    </comment>
    <comment authorId="0" ref="BP5">
      <text>
        <t xml:space="preserve">東鉄岡山陸上スライド</t>
      </text>
    </comment>
    <comment authorId="0" ref="BQ5">
      <text>
        <t xml:space="preserve">東鉄岡山陸上スライド</t>
      </text>
    </comment>
    <comment authorId="0" ref="BR5">
      <text>
        <t xml:space="preserve">東鉄岡山陸上スライド</t>
      </text>
    </comment>
    <comment authorId="0" ref="G6">
      <text>
        <t xml:space="preserve">2/6(金)～13(金)　100ｔUP/日</t>
      </text>
    </comment>
    <comment authorId="0" ref="M6">
      <text>
        <t xml:space="preserve">12月内
産振手配車両運賃＠１．２/ｋｇ</t>
      </text>
    </comment>
    <comment authorId="0" ref="P6">
      <text>
        <t xml:space="preserve">４/１１～　
数量８００ｔ</t>
      </text>
    </comment>
    <comment authorId="0" ref="AX6">
      <text>
        <t xml:space="preserve">HS1</t>
      </text>
    </comment>
    <comment authorId="0" ref="BC6">
      <text>
        <t xml:space="preserve">大和リテック東海工場持込</t>
      </text>
    </comment>
    <comment authorId="0" ref="D7">
      <text>
        <t xml:space="preserve">泉北助松埠頭　中谷運輸で計量</t>
      </text>
    </comment>
    <comment authorId="0" ref="G7">
      <text>
        <t xml:space="preserve">Ｈ１</t>
      </text>
    </comment>
    <comment authorId="0" ref="M7">
      <text>
        <t xml:space="preserve">Ｈ１</t>
      </text>
    </comment>
    <comment authorId="0" ref="P7">
      <text>
        <t xml:space="preserve">Ｈ１</t>
      </text>
    </comment>
    <comment authorId="0" ref="Z7">
      <text>
        <t xml:space="preserve">Ｊ１</t>
      </text>
    </comment>
    <comment authorId="0" ref="AX7">
      <text>
        <t xml:space="preserve">HS2</t>
      </text>
    </comment>
    <comment authorId="0" ref="G8">
      <text>
        <t xml:space="preserve">Ｈ２</t>
      </text>
    </comment>
    <comment authorId="0" ref="M8">
      <text>
        <t xml:space="preserve">Ｈ２</t>
      </text>
    </comment>
    <comment authorId="0" ref="P8">
      <text>
        <t xml:space="preserve">Ｈ２</t>
      </text>
    </comment>
    <comment authorId="0" ref="AX8">
      <text>
        <t xml:space="preserve">H1</t>
      </text>
    </comment>
    <comment authorId="0" ref="G9">
      <text>
        <t xml:space="preserve">Ｈ３</t>
      </text>
    </comment>
    <comment authorId="0" ref="M9">
      <text>
        <t xml:space="preserve">Ｈ３</t>
      </text>
    </comment>
    <comment authorId="0" ref="P9">
      <text>
        <t xml:space="preserve">Ｈ３</t>
      </text>
    </comment>
    <comment authorId="0" ref="AX9">
      <text>
        <t xml:space="preserve">H2</t>
      </text>
    </comment>
    <comment authorId="0" ref="G10">
      <text>
        <t xml:space="preserve">Ｌ１</t>
      </text>
    </comment>
    <comment authorId="0" ref="M10">
      <text>
        <t xml:space="preserve">Ｌ１</t>
      </text>
    </comment>
    <comment authorId="0" ref="AX10">
      <text>
        <t xml:space="preserve">H3</t>
      </text>
    </comment>
    <comment authorId="0" ref="BB11">
      <text>
        <t xml:space="preserve">荷受はしてないが・・・
荷受絞ってる</t>
      </text>
    </comment>
    <comment authorId="0" ref="AV14">
      <text>
        <t xml:space="preserve">鉄筋検収は「特A」</t>
      </text>
    </comment>
    <comment authorId="0" ref="G15">
      <text>
        <t xml:space="preserve">鋳造バリ</t>
      </text>
    </comment>
    <comment authorId="0" ref="AZ15">
      <text>
        <t xml:space="preserve">鉄筋検収は「Ｈ２Ｔ」</t>
      </text>
    </comment>
    <comment authorId="0" ref="BD16">
      <text>
        <t xml:space="preserve">H2~H4　一括単価</t>
      </text>
    </comment>
    <comment authorId="0" ref="BE16">
      <text>
        <t xml:space="preserve">H2~H4　一括単価</t>
      </text>
    </comment>
    <comment authorId="0" ref="AJ23">
      <text>
        <t xml:space="preserve">6/6付　ナベショー柳本氏からＴＥＬ
＠44.0
栗東運賃▲2.0
（10ｔでも帰り便なら）</t>
      </text>
    </comment>
    <comment authorId="0" ref="AT23">
      <text>
        <t xml:space="preserve">置場単価</t>
      </text>
    </comment>
    <comment authorId="0" ref="AY23">
      <text>
        <t xml:space="preserve">出荷先不明　岐阜置場単価</t>
      </text>
    </comment>
    <comment authorId="0" ref="BA23">
      <text>
        <t xml:space="preserve">9/30付現在の単価
1台/月　阪和枠ないらしい
事前連絡必要
担当：栗山さん　070-4482-1684</t>
      </text>
    </comment>
    <comment authorId="0" ref="BB23">
      <text>
        <t xml:space="preserve">置場単価</t>
      </text>
    </comment>
    <comment authorId="0" ref="BH23">
      <text>
        <t xml:space="preserve">25.9以降　東鉄田原▲2ｽﾎﾟｯﾄ外れた
</t>
      </text>
    </comment>
    <comment authorId="0" ref="BI23">
      <text>
        <t xml:space="preserve">25.9/12＠36.5　上西社長に確認
26.1/8＠37.5</t>
      </text>
    </comment>
    <comment authorId="0" ref="BM25">
      <text>
        <t xml:space="preserve">25.8.8付＠35（RTA＠36ｓ1％）
　柳本と交渉今回は＠36に合わす
9/20付＠36.5
8/5付＠44.0
4/22付@46.0(ﾔﾏﾄｽﾗｲﾄﾞらしい)
3/8付＠47.5（前回までとは違う所）</t>
      </text>
    </comment>
    <comment authorId="0" ref="AT29">
      <text>
        <t xml:space="preserve">置場単価
東鉄岡山スライド　25.9.9確認</t>
      </text>
    </comment>
    <comment authorId="0" ref="AZ31">
      <text>
        <t xml:space="preserve">故銑</t>
      </text>
    </comment>
    <comment authorId="0" ref="A54">
      <text>
        <t xml:space="preserve">MIXメタルのステンが多いもの</t>
      </text>
    </comment>
    <comment authorId="0" ref="A55">
      <text>
        <t xml:space="preserve">MIXメタルの銅が多いもの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ナベ手配庸車運賃
栗東▲2.0　愛知川▲2.2</t>
      </text>
    </comment>
    <comment authorId="0" ref="U5">
      <text>
        <t xml:space="preserve">大阪は京都単価▲０．５</t>
      </text>
    </comment>
    <comment authorId="0" ref="AD5">
      <text>
        <t xml:space="preserve">鋼ダライ：大鉄スライド
銑ダライ：ヤマトスライド</t>
      </text>
    </comment>
    <comment authorId="0" ref="AJ5">
      <text>
        <t xml:space="preserve">大同特殊スライド
名古屋枠</t>
      </text>
    </comment>
    <comment authorId="0" ref="AS5">
      <text>
        <t xml:space="preserve">ＨＳ流通コード：00322
置場なら▲2.3
5/9付　池川氏報告
地場単価ﾍﾞｰｽ
HS＠54、H2@50.5、H3@50.0、H4@49.5</t>
      </text>
    </comment>
    <comment authorId="0" ref="AT5">
      <text>
        <t xml:space="preserve">大和リテックの流通コード
　H2～H4一括：00019
　ダライ：00078
流通コード：18082</t>
      </text>
    </comment>
    <comment authorId="0" ref="AW5">
      <text>
        <t xml:space="preserve">東鉄田原陸上　電特A+2000円/ｔ
東鉄スライド
５０ｔ/月
</t>
      </text>
    </comment>
    <comment authorId="0" ref="AY5">
      <text>
        <t xml:space="preserve">Ｓ：１％　東鉄田原ダライ▲2
東鉄田原スライド
⇒9/14東鉄田原ｽﾎﾟｯﾄ外れた</t>
      </text>
    </comment>
    <comment authorId="0" ref="AZ5">
      <text>
        <t xml:space="preserve">Ｓ：１％
東鉄田原スライド
⇒9/14東鉄田原ｽﾎﾟｯﾄ外れた</t>
      </text>
    </comment>
    <comment authorId="0" ref="BC5">
      <text>
        <t xml:space="preserve">大谷製鐵スライド
遠方は翌日反映</t>
      </text>
    </comment>
    <comment authorId="0" ref="BD5">
      <text>
        <t xml:space="preserve">静岡方面　トレーラーベース
大同スライド</t>
      </text>
    </comment>
    <comment authorId="0" ref="BG5">
      <text>
        <t xml:space="preserve">東鉄岡山陸上スライド</t>
      </text>
    </comment>
    <comment authorId="0" ref="BH5">
      <text>
        <t xml:space="preserve">東鉄岡山陸上スライド</t>
      </text>
    </comment>
    <comment authorId="0" ref="BI5">
      <text>
        <t xml:space="preserve">東鉄岡山陸上スライド</t>
      </text>
    </comment>
    <comment authorId="0" ref="G6">
      <text>
        <t xml:space="preserve">１/２９(水)～８００ｔ</t>
      </text>
    </comment>
    <comment authorId="0" ref="M6">
      <text>
        <t xml:space="preserve">１/２３～３１　２～３台／日
２月末まで延長　５台／日ＭＡＸ</t>
      </text>
    </comment>
    <comment authorId="0" ref="O6">
      <text>
        <t xml:space="preserve">１/２５～３１　５００ｔ</t>
      </text>
    </comment>
    <comment authorId="0" ref="G7">
      <text>
        <t xml:space="preserve">Ｈ１</t>
      </text>
    </comment>
    <comment authorId="0" ref="M7">
      <text>
        <t xml:space="preserve">Ｈ１</t>
      </text>
    </comment>
    <comment authorId="0" ref="O7">
      <text>
        <t xml:space="preserve">Ｈ１</t>
      </text>
    </comment>
    <comment authorId="0" ref="M8">
      <text>
        <t xml:space="preserve">Ｈ２</t>
      </text>
    </comment>
    <comment authorId="0" ref="O8">
      <text>
        <t xml:space="preserve">Ｈ２</t>
      </text>
    </comment>
    <comment authorId="0" ref="M9">
      <text>
        <t xml:space="preserve">Ｈ３</t>
      </text>
    </comment>
    <comment authorId="0" ref="O9">
      <text>
        <t xml:space="preserve">Ｈ３</t>
      </text>
    </comment>
    <comment authorId="0" ref="M10">
      <text>
        <t xml:space="preserve">Ｌ１</t>
      </text>
    </comment>
    <comment authorId="0" ref="AS11">
      <text>
        <t xml:space="preserve">荷受はしてないが・・・
荷受絞ってる</t>
      </text>
    </comment>
    <comment authorId="0" ref="AM14">
      <text>
        <t xml:space="preserve">鉄筋検収は「特A」</t>
      </text>
    </comment>
    <comment authorId="0" ref="G15">
      <text>
        <t xml:space="preserve">鋳造バリ</t>
      </text>
    </comment>
    <comment authorId="0" ref="AQ15">
      <text>
        <t xml:space="preserve">鉄筋検収は「Ｈ２Ｔ」</t>
      </text>
    </comment>
    <comment authorId="0" ref="AT16">
      <text>
        <t xml:space="preserve">H2~H4　一括単価</t>
      </text>
    </comment>
    <comment authorId="0" ref="AU16">
      <text>
        <t xml:space="preserve">H2~H4　一括単価</t>
      </text>
    </comment>
    <comment authorId="0" ref="AV16">
      <text>
        <t xml:space="preserve">H2~H4　一括単価</t>
      </text>
    </comment>
    <comment authorId="0" ref="AD23">
      <text>
        <t xml:space="preserve">6/6付　ナベショー柳本氏からＴＥＬ
＠44.0
栗東運賃▲2.0
（10ｔでも帰り便なら）</t>
      </text>
    </comment>
    <comment authorId="0" ref="AP23">
      <text>
        <t xml:space="preserve">出荷先不明　岐阜置場単価</t>
      </text>
    </comment>
    <comment authorId="0" ref="AR23">
      <text>
        <t xml:space="preserve">9/30付現在の単価
1台/月　阪和枠ないらしい
事前連絡必要
担当：栗山さん　070-4482-1684</t>
      </text>
    </comment>
    <comment authorId="0" ref="AS23">
      <text>
        <t xml:space="preserve">置場単価</t>
      </text>
    </comment>
    <comment authorId="0" ref="AY23">
      <text>
        <t xml:space="preserve">9/14＠37（東鉄田原▲2ｽﾎﾟｯﾄ外れた）
9/2＠42.5</t>
      </text>
    </comment>
    <comment authorId="0" ref="AZ23">
      <text>
        <t xml:space="preserve">9/14＠37.0　9/10＠40.5　9/2＠42.5　8/8＠44
7/20　上西社長に確認</t>
      </text>
    </comment>
    <comment authorId="0" ref="BD25">
      <text>
        <t xml:space="preserve">9/20付＠36.5
8/5付＠44.0
4/22付@46.0(ﾔﾏﾄｽﾗｲﾄﾞらしい)
3/8付＠47.5（前回までとは違う所）</t>
      </text>
    </comment>
    <comment authorId="0" ref="S29">
      <text>
        <t xml:space="preserve">栗東単価</t>
      </text>
    </comment>
    <comment authorId="0" ref="AK29">
      <text>
        <t xml:space="preserve">置場単価</t>
      </text>
    </comment>
    <comment authorId="0" ref="AQ31">
      <text>
        <t xml:space="preserve">故銑</t>
      </text>
    </comment>
    <comment authorId="0" ref="A54">
      <text>
        <t xml:space="preserve">MIXメタルのステンが多いもの</t>
      </text>
    </comment>
    <comment authorId="0" ref="A55">
      <text>
        <t xml:space="preserve">MIXメタルの銅が多いもの</t>
      </text>
    </comment>
  </commentList>
</comments>
</file>

<file path=xl/sharedStrings.xml><?xml version="1.0" encoding="utf-8"?>
<sst xmlns="http://schemas.openxmlformats.org/spreadsheetml/2006/main" count="33191" uniqueCount="8844">
  <si>
    <t>東京製鐵</t>
  </si>
  <si>
    <t xml:space="preserve"> </t>
  </si>
  <si>
    <t>２０２４（Ｒ６）年６月１１日〜</t>
  </si>
  <si>
    <t>中部</t>
  </si>
  <si>
    <t xml:space="preserve">　</t>
  </si>
  <si>
    <t>中山製鋼</t>
  </si>
  <si>
    <t>中山鋼業</t>
  </si>
  <si>
    <t>合同大阪</t>
  </si>
  <si>
    <t>産振ﾔｰﾄﾞ</t>
  </si>
  <si>
    <t>大鉄　堺</t>
  </si>
  <si>
    <t>岸和田</t>
  </si>
  <si>
    <t>ﾔﾏﾄ</t>
  </si>
  <si>
    <t>山陽特殊</t>
  </si>
  <si>
    <t>ｸﾎﾞﾀ</t>
  </si>
  <si>
    <t>愛知</t>
  </si>
  <si>
    <t>山口鋼業</t>
  </si>
  <si>
    <t>大同特殊</t>
  </si>
  <si>
    <t>RTA</t>
  </si>
  <si>
    <t>大一産業</t>
  </si>
  <si>
    <t>トピー工業</t>
  </si>
  <si>
    <t>衣浦</t>
  </si>
  <si>
    <t>日鉄
ｽﾁｰﾙ</t>
  </si>
  <si>
    <t>栗本鐵工</t>
  </si>
  <si>
    <t>韓国輸出</t>
  </si>
  <si>
    <t>大谷製鉄</t>
  </si>
  <si>
    <t>銑ダライ</t>
  </si>
  <si>
    <t>大阪鋼業</t>
  </si>
  <si>
    <t>東鉄岡山</t>
  </si>
  <si>
    <t>ＪＦＥ条鋼</t>
  </si>
  <si>
    <t>南港</t>
  </si>
  <si>
    <t>北港</t>
  </si>
  <si>
    <t>泉北中谷</t>
  </si>
  <si>
    <t>泉北大都</t>
  </si>
  <si>
    <t>大阪港埠頭</t>
  </si>
  <si>
    <t>ﾆｭｰｽｺﾝ尼崎</t>
  </si>
  <si>
    <t>ﾆｭｰｽｺﾝ稲永</t>
  </si>
  <si>
    <t>共英枚方</t>
  </si>
  <si>
    <t>共英名古屋</t>
  </si>
  <si>
    <t>新日鉄住金和歌山</t>
  </si>
  <si>
    <t>オオハラ尼崎</t>
  </si>
  <si>
    <t>信和商事</t>
  </si>
  <si>
    <t>ｴｺﾌﾟﾗﾝﾆﾝｸﾞ</t>
  </si>
  <si>
    <t>名古屋港</t>
  </si>
  <si>
    <t>トヨキン</t>
  </si>
  <si>
    <t>寺田</t>
  </si>
  <si>
    <t>品目</t>
  </si>
  <si>
    <t>阪和</t>
  </si>
  <si>
    <t>豊通</t>
  </si>
  <si>
    <t>ナベ</t>
  </si>
  <si>
    <t>伊藤忠</t>
  </si>
  <si>
    <t>産振</t>
  </si>
  <si>
    <t>大鉄堺</t>
  </si>
  <si>
    <t>リバイブ</t>
  </si>
  <si>
    <t>MM</t>
  </si>
  <si>
    <t>関西</t>
  </si>
  <si>
    <t>岡山</t>
  </si>
  <si>
    <t>名古屋</t>
  </si>
  <si>
    <t>田原</t>
  </si>
  <si>
    <t>MM建材</t>
  </si>
  <si>
    <t>大同興業</t>
  </si>
  <si>
    <t>JSE</t>
  </si>
  <si>
    <t>ＭＭ</t>
  </si>
  <si>
    <t>豊通大都</t>
  </si>
  <si>
    <t>ﾅﾝｾｲ</t>
  </si>
  <si>
    <t>ナベ双葉</t>
  </si>
  <si>
    <t>豊商双葉</t>
  </si>
  <si>
    <t>日鉄物産</t>
  </si>
  <si>
    <t>水野産業</t>
  </si>
  <si>
    <t>阪和西三区</t>
  </si>
  <si>
    <t>ナベ　　　大同特殊　H2ｽﾗｲﾄﾞ</t>
  </si>
  <si>
    <t>スポット期間</t>
  </si>
  <si>
    <t>中川
＆
出張</t>
  </si>
  <si>
    <t>ｽﾎﾟｯﾄ</t>
  </si>
  <si>
    <t>6/8&amp;10</t>
  </si>
  <si>
    <t>5月度
300ｔ</t>
  </si>
  <si>
    <r>
      <rPr>
        <rFont val="Arial"/>
        <color theme="1"/>
        <sz val="8.0"/>
      </rPr>
      <t xml:space="preserve">5/11~31
</t>
    </r>
    <r>
      <rPr>
        <rFont val="Microsoft JhengHei"/>
        <color theme="1"/>
        <sz val="8.0"/>
      </rPr>
      <t xml:space="preserve">ｽﾎﾟｯﾄ
</t>
    </r>
    <r>
      <rPr>
        <rFont val="Arial"/>
        <color theme="1"/>
        <sz val="8.0"/>
      </rPr>
      <t>150t</t>
    </r>
  </si>
  <si>
    <t>置場</t>
  </si>
  <si>
    <t>直納</t>
  </si>
  <si>
    <t>運賃込単価/置場-2</t>
  </si>
  <si>
    <t>持込</t>
  </si>
  <si>
    <t>大和ﾘﾃｯｸ</t>
  </si>
  <si>
    <t>第二
＠2.3
岐阜
＠1.5</t>
  </si>
  <si>
    <t>置場単価</t>
  </si>
  <si>
    <t>4月～
6月</t>
  </si>
  <si>
    <t>置場
単価</t>
  </si>
  <si>
    <t>完納</t>
  </si>
  <si>
    <t>運賃2.5</t>
  </si>
  <si>
    <t>5/7～
京都置場</t>
  </si>
  <si>
    <t>リバイブ京都置場</t>
  </si>
  <si>
    <t>200ｔ</t>
  </si>
  <si>
    <t>西三区</t>
  </si>
  <si>
    <t>9/7～100ｔ</t>
  </si>
  <si>
    <t>7/1～</t>
  </si>
  <si>
    <t>ＨＳ１(電特A)</t>
  </si>
  <si>
    <t>運賃</t>
  </si>
  <si>
    <t>普HS</t>
  </si>
  <si>
    <t>HS</t>
  </si>
  <si>
    <t>第2</t>
  </si>
  <si>
    <t>電特A</t>
  </si>
  <si>
    <t>ﾒｯｷ</t>
  </si>
  <si>
    <t>銑ダ</t>
  </si>
  <si>
    <t>ＨＳ２</t>
  </si>
  <si>
    <t>故銑</t>
  </si>
  <si>
    <t>ﾛｰﾙ</t>
  </si>
  <si>
    <t>中谷</t>
  </si>
  <si>
    <t>ＨＳ３</t>
  </si>
  <si>
    <t>岐阜</t>
  </si>
  <si>
    <t>引取</t>
  </si>
  <si>
    <t>Ｈ１/ｻﾑﾃｯｸ</t>
  </si>
  <si>
    <t>?</t>
  </si>
  <si>
    <t>単価</t>
  </si>
  <si>
    <t>Ｈ１(特A)</t>
  </si>
  <si>
    <t>ＪＨ１</t>
  </si>
  <si>
    <t>鉄筋</t>
  </si>
  <si>
    <t>▲2.3</t>
  </si>
  <si>
    <t>H2~H4</t>
  </si>
  <si>
    <t>Ｈ２(特級)</t>
  </si>
  <si>
    <t>京都</t>
  </si>
  <si>
    <t>一括</t>
  </si>
  <si>
    <t>Ｈ３(1級)</t>
  </si>
  <si>
    <t>中川</t>
  </si>
  <si>
    <t>50?</t>
  </si>
  <si>
    <t>Ｌ１(2級)</t>
  </si>
  <si>
    <t>嘉弘</t>
  </si>
  <si>
    <t>大阪</t>
  </si>
  <si>
    <t>錫ﾒｯｷ</t>
  </si>
  <si>
    <t>Ｌ２(H4･級外)</t>
  </si>
  <si>
    <t>▲3</t>
  </si>
  <si>
    <t>L1ﾊﾞﾗ</t>
  </si>
  <si>
    <t>？</t>
  </si>
  <si>
    <t>新断Ａ</t>
  </si>
  <si>
    <t>新断Ｂ</t>
  </si>
  <si>
    <t>出張</t>
  </si>
  <si>
    <t>鋳鉄管</t>
  </si>
  <si>
    <t>新断Ｐ</t>
  </si>
  <si>
    <t>▲1</t>
  </si>
  <si>
    <t>新断C</t>
  </si>
  <si>
    <t>？？</t>
  </si>
  <si>
    <t>栗東</t>
  </si>
  <si>
    <t>鋳物</t>
  </si>
  <si>
    <t>第二</t>
  </si>
  <si>
    <t>ダライＡ</t>
  </si>
  <si>
    <t>33？</t>
  </si>
  <si>
    <t>ダライＢ</t>
  </si>
  <si>
    <t>ﾀﾞｸﾀｲﾙ</t>
  </si>
  <si>
    <t>シュレＡ</t>
  </si>
  <si>
    <t>銑ﾀﾞﾗｲ</t>
  </si>
  <si>
    <t>荷止</t>
  </si>
  <si>
    <t>大阪CP</t>
  </si>
  <si>
    <t>シュレＢ</t>
  </si>
  <si>
    <t>火力</t>
  </si>
  <si>
    <t>シュレＣ</t>
  </si>
  <si>
    <t>ﾓﾘﾌﾞﾃﾞﾝ</t>
  </si>
  <si>
    <t>栗東CP</t>
  </si>
  <si>
    <t>ＣＰ Ａ</t>
  </si>
  <si>
    <t>1~2%</t>
  </si>
  <si>
    <t>ＣＰ Ｂ一斗缶</t>
  </si>
  <si>
    <t>ＣＨＡ足廻</t>
  </si>
  <si>
    <t>ＣＨＢ足廻</t>
  </si>
  <si>
    <t>雑品</t>
  </si>
  <si>
    <t>■東洋トレーディング＠８０（４/４：置場）　■津和商事＠６８（１１／１７：置場）　■ＧＲＭ＠７０（１２／３：置場）　■岡田金属／京都＠７１（１１／２４：置場）　■東昌商事＠（持込み）</t>
  </si>
  <si>
    <t>■振洋産業＠４７（８／５）</t>
  </si>
  <si>
    <t>配電盤</t>
  </si>
  <si>
    <t>■ＧＲＭ（旧中西産業）＠１１０（９／１６：置場）　■東洋トレーディング＠９５（４/１０：置場）　■津和商事＠８０（１２／７：置場）　■岡田金属／京都＠７６（３／３１：置場）　■東昌商事＠１１０（９/１２：置場）大阪＠１１５（置場）</t>
  </si>
  <si>
    <t>工業系ｴｱｺﾝ</t>
  </si>
  <si>
    <t>■津和商事＠１４５【室内機＆室外機共】（７／１）、＠１３０【ビルトイン】、＠１２０【ガスヒーポン】　■岡田金属／京都＠１５５【外機】＠？【内機】（１１／２９：置場）　■日中商事【外機】＠１７５（２／２８）【ｶﾞｽﾋｰﾎﾟﾝ】＠１２５（２／２８）</t>
  </si>
  <si>
    <t>■ＧＲＭ（旧中西産業）＠１６０【外機】＠１４０【内機】＠？【スポットクーラー】（９/１６）＠１１０【チラー】（７/５）＠１５０【ＧＨＰ：油60kgUP】（１２/６）　■東洋トレーディング外機＠１７０、ＧＨＰ＠１３０、内機＠１００（８/２９）</t>
  </si>
  <si>
    <t>トランス</t>
  </si>
  <si>
    <t>津和商事　■銅＠６５　■銅コア＠８５　■アルミ＠３０　■アルミコア＠４５　（Ｈ２８／１０／１４付）</t>
  </si>
  <si>
    <t>中西産業　■銅＠　■銅コア＠　■アルミ＠１８　■アルミコア＠　■MIX＠　（Ｒ０２／１０／１３付）</t>
  </si>
  <si>
    <t>ナベショー　■銅＠６９　■銅コア＠１０９　■アルミ＠２９　■アルミコア＠３４　■MIX＠４９　（Ｈ２８／１０／１４付）</t>
  </si>
  <si>
    <t>ステンレス</t>
  </si>
  <si>
    <t>阪神金属　■ステン３０４＠２００（５/２７）持込+＠3　■ステンダライ＠１８０（ｲﾝｻｲｽﾞ▲２０）持込+＠3　■解体ステン＠１８５～＠１７０（ｲﾝｻｲｽﾞ▲１５～▲３０）　■ステン３０１＠１８５（ｲﾝｻｲｽﾞ▲１５）　■ステン６３０【Ni&amp;Cuが高いのでメーカー不人気】＠６８（１０／３０）</t>
  </si>
  <si>
    <t>阪神金属　■ステン３１６＠２７０（１０／７）　■ステン３１０＠３２０～＠３３０（７／９）　■Ｈｉクローム＠５７（２０２２／７／１９）　■ステン４３０＠３２（2021/1/13川本社長問合せ：SUS403MIX）</t>
  </si>
  <si>
    <t>ナベショー＠１８５（９／６）　ステンダライ＠１７５（インサイズ▲１０／10ｔﾍﾞｰｽならﾀﾞﾗｲ▲３）　ＯＳ（ｓ１％：インサイズ▲２０～５０）　新プラントステンレス＠９２（７／１３）　クローム（４３０）＠２３（７／９問合せ）</t>
  </si>
  <si>
    <t>ＧＲＭ（旧中西産業）／親和スチール＠１７８（南港持込：9/7付：前回7/26+3：運賃▲３．０）ステンダライ＠１６３～１５３（ｲﾝｻｲｽﾞ▲15＆▲20＆▲25混じりによって変更）　解体ステン＠１７３（ｲﾝｻｲｽﾞ▲20？：３/７付）</t>
  </si>
  <si>
    <t>ＧＲＭ（旧中西産業）／藤本金属＠２０８（５/３０付）ステンダライ＠１９３（インサイズ▲１５が基本：３／７）解体ステン＠２２３（１１／２９付）</t>
  </si>
  <si>
    <t xml:space="preserve">豊通／藤本金属【新プラント土混じり】＠１９５／１％（４/１５付：前回３/２１＋２）　</t>
  </si>
  <si>
    <t>阪和メタルズ＠１７０（置場：１２／４付）、解体ステン＠１４０（ｲﾝｻｲｽﾞ▲３０）　■Ecomit／親和スチール＠２２２（７／７～１６固定）</t>
  </si>
  <si>
    <t>大同興業 ステン解体＠２１０（置場：１１／３０付）長5ｍ×幅1ｍ×厚み10ｍｍ＋α（4ｔ箱車半分ぐらいのサイズ）</t>
  </si>
  <si>
    <t>ｱﾙﾐｻｯｼ/新ﾌﾟﾗ</t>
  </si>
  <si>
    <t>■ＧＲＭ／小林アルミニウム ＠２７３（１/１１▲Ｓ：３％１/１１より▲２）堺市（運賃▲2.0～3.0/kg or ３．８万／１０ｔ平車）持込ＯＫ（ただしダンプのみ）</t>
  </si>
  <si>
    <t>アルミＭＩＸ</t>
  </si>
  <si>
    <t>■ナベ／アスク【持込／引取▲３】 ＠２５５【５/９～+１０ソーティング部Ｃ】、＠１７０【12/？付栗東市入札分Ｂ】　■豊通名古屋／ＴＫ ＠２３５【４月前半／置場：３月前半より＋１０】</t>
  </si>
  <si>
    <t xml:space="preserve">　　銅混じり</t>
  </si>
  <si>
    <t>■ナベ／アスク【持込／引取▲３】 ＠１８０【１１／１付重ダスト】</t>
  </si>
  <si>
    <t>アルミ缶</t>
  </si>
  <si>
    <t>■ナベ／アスク【持込／引取▲３】 ＠１７５【３/２８～＋１０ソーティング部】　＠６５【４/１６～栗東入札分】</t>
  </si>
  <si>
    <t>アルミガラ</t>
  </si>
  <si>
    <t>■ＭＭ／担当：清水氏（080-1327-4392）⇒中西産業／二唐部長へバトンタッチ【ニュースコン愛知方面引取】 ＠７２（８／１１付）⇒2021.10～ナベ／アスク＠２５５（５/９～+１０）■豊通／ＴＫ＠２３５【４月前半／置場：３月前半より＋１０】</t>
  </si>
  <si>
    <t>【大：30ｃｍオーバー】■ＧＲＭ ＠１５３（6/15付：平安）</t>
  </si>
  <si>
    <t>ステンリッチ</t>
  </si>
  <si>
    <t>■ナベ／アスク＠１００（３/２８～選別方法変更）【アルミ缶混じり＠１と交互の場合は＠７５】　■トーヨーメタル＠５０（７／２５）　■豊通名古屋／ＴＫ＠７５【置場：11/12トライアル希望】</t>
  </si>
  <si>
    <t>銅リッチ</t>
  </si>
  <si>
    <t>■トーヨーメタル＠５６３（１０／３１）　■ＧＲＭ／ニュースコン＠５４５（１０／２７）</t>
  </si>
  <si>
    <t>マンガン</t>
  </si>
  <si>
    <t>■ナベ／ＥＮＴソリューション ＠４５（１０／８付け持込み※鉄付▲３．０）　■ナベ／平田工業 ＠８（２ｍ以下：１０／９付）→名古屋持込　■ナベ／エコネコル（大都）＠１６※1ｍ以内※（Ｈ３０／１１／３０付）持込み</t>
  </si>
  <si>
    <t>■ＧＲＭ／錦麒産業＠４３．５（１／５：持込）※引取運賃▲４．５</t>
  </si>
  <si>
    <t>モーター</t>
  </si>
  <si>
    <t>■東洋トレーディング＠１００（１０／２８）　■津和商事＠１１３（５／１６）※架台付は下がる</t>
  </si>
  <si>
    <t>■岡田金属＠９５（１０／７：置場）　■ＧＲＭ（旧中西産業）＠１００【２ｔ以下：ｷﾞｱﾓｰﾀｰ等鉄混入は別単価】（１２／６）</t>
  </si>
  <si>
    <t>黒モーター</t>
  </si>
  <si>
    <t>■グローバルメタルシンコウ＠？　■東北商店/ナベ ＠？　■津和商事＠８５（７／１）</t>
  </si>
  <si>
    <t>給湯器</t>
  </si>
  <si>
    <t>■中西産業＠２２０（７／５付）　■津和商事＠２３０（６／３０）</t>
  </si>
  <si>
    <t>パレット</t>
  </si>
  <si>
    <t>横田貿易＠５（３／１７）</t>
  </si>
  <si>
    <t xml:space="preserve">06/11　</t>
  </si>
  <si>
    <t>■ニュースコン稲永 新断５００円</t>
  </si>
  <si>
    <t xml:space="preserve">06/08　</t>
  </si>
  <si>
    <t>■中山鋼業 Ｈ１～Ｌ１バラのみ５００円　■共英製鋼／枚方 一律５００円</t>
  </si>
  <si>
    <t xml:space="preserve">06/05　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</si>
  <si>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/海上陸上一律500円、</t>
    </r>
    <r>
      <rPr>
        <rFont val="Arial"/>
        <color rgb="FFFF0000"/>
        <sz val="10.0"/>
      </rPr>
      <t>関西ｻﾃﾗｲﾄ</t>
    </r>
    <r>
      <rPr>
        <rFont val="Arial"/>
        <color rgb="FF000000"/>
        <sz val="10.0"/>
      </rPr>
      <t xml:space="preserve"> 一律据置、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据置、</t>
    </r>
    <r>
      <rPr>
        <rFont val="Arial"/>
        <color rgb="FFFF0000"/>
        <sz val="10.0"/>
      </rPr>
      <t>名古屋ｻﾃﾗｲﾄ</t>
    </r>
    <r>
      <rPr>
        <rFont val="Arial"/>
        <color rgb="FF000000"/>
        <sz val="10.0"/>
      </rPr>
      <t xml:space="preserve">/陸上 据置　</t>
    </r>
  </si>
  <si>
    <t xml:space="preserve">■合同大阪 ヘビーのみ５００円　■双葉貿易 一律５００円　</t>
  </si>
  <si>
    <t xml:space="preserve">06/04　</t>
  </si>
  <si>
    <t xml:space="preserve">■双葉貿易 ＨＳのみ３０００円、新断のみ２０００円　</t>
  </si>
  <si>
    <t xml:space="preserve">06/1.3.8.10　</t>
  </si>
  <si>
    <t>■岸和田／豊通 Ｈ１＠５５．０、Ｈ２＠５４．５（Ｈ１既存単価＋２０００、Ｈ２既存単価＋３０００）min１５０ｔ／日（※岸和田製鋼スライド）</t>
  </si>
  <si>
    <t>05/29〜05/31</t>
  </si>
  <si>
    <t>■東京製鐵 関西ｻﾃﾗｲﾄ電特Ａ＠５３．５、特Ａ＠５３．０、特級＠５１．５、１級＠５１．５、２級＠４９．５、級外＠４６．５（プレオープン）</t>
  </si>
  <si>
    <t xml:space="preserve">05/15　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</si>
  <si>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/海上陸上据置、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一律２０００円、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 xml:space="preserve">/陸上 一律２０００円　■トピー 新断＆シュレ以外２０００円　■ニュースコン稲永 新断５００円　</t>
    </r>
  </si>
  <si>
    <t xml:space="preserve">05/28　</t>
  </si>
  <si>
    <t xml:space="preserve">■合同大阪 ヘビーのみ５００円　</t>
  </si>
  <si>
    <t>05/27〜05/31</t>
  </si>
  <si>
    <t>■大鉄堺／産振 Ｈ１＠５５．５（２００ｔ～３００ｔ）</t>
  </si>
  <si>
    <t xml:space="preserve">05/25　</t>
  </si>
  <si>
    <t xml:space="preserve">■合同大阪 ＨＳ＆新断のみ５００円　</t>
  </si>
  <si>
    <t xml:space="preserve">05/21　</t>
  </si>
  <si>
    <t>■中山鋼業 Ｈ３＆Ｌ１＆Ｌ１バラ５００円</t>
  </si>
  <si>
    <t>05/18〜05/31</t>
  </si>
  <si>
    <t>■大鉄堺／産振 Ｈ１＠５４．５、Ｈ２＠５３．０、Ｈ３＠５２．５、Ｌ１＠５２．０（１０００ｔ±５％）</t>
  </si>
  <si>
    <t>■ニュースコン尼崎 一律５００円</t>
  </si>
  <si>
    <t xml:space="preserve">05/11　</t>
  </si>
  <si>
    <t xml:space="preserve">■ニュースコン稲永 新断１０００円　</t>
  </si>
  <si>
    <t>■岸和田／豊通 Ｈ１＠５５．０、Ｈ２＠５４．５（Ｈ１既存単価＋２０００、Ｈ２既存単価＋３０００）min２５０ｔ／日（※岸和田製鋼スライド）</t>
  </si>
  <si>
    <t xml:space="preserve">05/08　</t>
  </si>
  <si>
    <t>■ヤマト 一律５００円</t>
  </si>
  <si>
    <t xml:space="preserve">05/01　</t>
  </si>
  <si>
    <t>■双葉貿易 新断以外１０００円</t>
  </si>
  <si>
    <t xml:space="preserve">04/27　</t>
  </si>
  <si>
    <t xml:space="preserve">04/25　</t>
  </si>
  <si>
    <t>■ＪＦＥ条鋼 新断＆ダライ＆ＣＰ以外１０００円</t>
  </si>
  <si>
    <t xml:space="preserve">04/24　</t>
  </si>
  <si>
    <t>■双葉貿易 新断のみ１０００円</t>
  </si>
  <si>
    <t>■共英製鋼／名古屋 一律１０００円</t>
  </si>
  <si>
    <t xml:space="preserve">04/16　</t>
  </si>
  <si>
    <t xml:space="preserve">■合同大阪 新断５００円　</t>
  </si>
  <si>
    <t xml:space="preserve">■山口鋼業 新断＆ダライ１０００円　</t>
  </si>
  <si>
    <t xml:space="preserve">04/13　</t>
  </si>
  <si>
    <t>■双葉貿易 ＨＳのみ１０００円</t>
  </si>
  <si>
    <t xml:space="preserve">04/12　</t>
  </si>
  <si>
    <t xml:space="preserve">■愛知製鋼 新断＆ダライ１０００円　</t>
  </si>
  <si>
    <t xml:space="preserve">■山陽特殊 新断＆ダライ１０００円　■大同特殊鋼 新断＆ダライ１０００円　</t>
  </si>
  <si>
    <t xml:space="preserve">04/06　</t>
  </si>
  <si>
    <t xml:space="preserve">04/04　</t>
  </si>
  <si>
    <t>■合同大阪 ＨＳ＆ヘビー５００円　■ＪＦＥ条鋼 故銑１０００円　■双葉貿易 ＨＳ＆Ｈ２のみ１０００円　■ニュースコン尼崎 ＨＳのみ５００円</t>
  </si>
  <si>
    <t xml:space="preserve">04/03　</t>
  </si>
  <si>
    <t>■山陽特殊 一律１０００円　■愛知製鋼 一律１０００円　■大同特殊鋼 一律１０００円　■ニュースコン稲永 一律５００円　■共英製鋼／名古屋 一律１０００円</t>
  </si>
  <si>
    <t xml:space="preserve">03/26　</t>
  </si>
  <si>
    <t>03/23,30
04/6,13,20,27</t>
  </si>
  <si>
    <t>■岸和田／豊通 Ｈ１＠５５．５、Ｈ２＠５４．５（）min２５０ｔＵＰ（３００ｔＵＰでもＯＫ）／日（※岸和田製鋼スライド）</t>
  </si>
  <si>
    <t xml:space="preserve">03/20　</t>
  </si>
  <si>
    <t>■共英製鋼／名古屋 一律１０００円　■双葉貿易 ＨＳのみ５００円、Ｈ２＆新断３００円</t>
  </si>
  <si>
    <t xml:space="preserve">03/19　</t>
  </si>
  <si>
    <t xml:space="preserve">■合同大阪 ヘビー５００円　■山陽特殊 一律１０００円　■愛知製鋼 一律１０００円　■大同特殊鋼 一律１０００円　■ニュースコン稲永 一律５００円　</t>
  </si>
  <si>
    <t xml:space="preserve">03/16　</t>
  </si>
  <si>
    <t>■クボタ 特級屑１０００円</t>
  </si>
  <si>
    <t xml:space="preserve">03/15　</t>
  </si>
  <si>
    <t>■双葉貿易 ＨＳ＆新断のみ５００円、Ｈ２のみ１０００円</t>
  </si>
  <si>
    <t xml:space="preserve">03/14　</t>
  </si>
  <si>
    <t>■日本物産 一律１０００円</t>
  </si>
  <si>
    <t xml:space="preserve">03/13　</t>
  </si>
  <si>
    <t>■ＪＦＥ条鋼 新断５００円、ＣＰ以外１０００円　■共英製鋼／枚方 一律１０００円　■ニュースコン尼崎 一律５００円</t>
  </si>
  <si>
    <t>■岸和田 ダライ＆ＣＰ以外１０００円　■山陽特殊 一律１０００円　■愛知製鋼 一律１０００円　■山口鋼業 一律１０００円　■大同特殊鋼 一律１０００円　■トピー工業 一律１０００円　■共英製鋼／名古屋 一律１０００円　■ニュースコン稲永 一律１０００円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</si>
  <si>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一律１０００円、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一律１０００円、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/陸上 一律１０００円　■中山製鋼 ＨＳ＆単体Ｈ１のみ１０００円、新断５００円　■中山製鋼 一律１０００円　■合同大阪 一律１０００円　■大鉄 一律１０００円　■ヤマト 一律１０００円</t>
    </r>
  </si>
  <si>
    <t xml:space="preserve">03/09　</t>
  </si>
  <si>
    <t xml:space="preserve">■山陽特殊 一律５００円　■愛知製鋼 一律５００円　■山口鋼業 一律５００円　■大同特殊鋼 一律５００円　■共英製鋼／名古屋 一律５００円　</t>
  </si>
  <si>
    <t xml:space="preserve">03/08　</t>
  </si>
  <si>
    <t>■ニュースコン尼崎 一律５００円　■ニュースコン稲永 一律１０００円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</si>
  <si>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/陸上 一律５００円　■中山製鋼 一律５００円　■大鉄 一律５００円　■ヤマト 一律５００円　■トピー工業 一律５００円　■ＪＦＥ条鋼 一律５００円</t>
    </r>
  </si>
  <si>
    <t xml:space="preserve">03/06　</t>
  </si>
  <si>
    <t xml:space="preserve">■ＪＦＥ条鋼 新断１０００円、ＣＰＣのみ３０００円　</t>
  </si>
  <si>
    <t xml:space="preserve">02/27　</t>
  </si>
  <si>
    <t>■合同大阪 ヘビーのみ５００円</t>
  </si>
  <si>
    <t>■中山鋼業 Ｈ３＆シュレのみ５００円、Ｌ１＆Ｌ１バラのみ１０００円　■合同大阪 新断のみ１０００円</t>
  </si>
  <si>
    <t xml:space="preserve">02/17　</t>
  </si>
  <si>
    <t>■ニュースコン稲永 新断１０００円</t>
  </si>
  <si>
    <t>02/16～02/22</t>
  </si>
  <si>
    <t>■岸和田／豊通 Ｈ１＠５７．０、Ｈ２＠５５．０（共に既存単価＋２５００）４～５台／日程度（※岸和田製鋼スライド）</t>
  </si>
  <si>
    <t xml:space="preserve">02/10　</t>
  </si>
  <si>
    <t>02/01～02/06
＆02/10</t>
  </si>
  <si>
    <t>■岸和田／豊通 Ｈ１＠５７．０、Ｈ２＠５５．０（共に既存単価＋２５００）2/1～2/2：３００ｔ、2/5～2/6：３００ｔ、2/3：４００ｔ、2/10：４００ｔ＝合計１４００ｔ程度（※岸和田製鋼スライド）</t>
  </si>
  <si>
    <t>02/08～02/10</t>
  </si>
  <si>
    <t>■大鉄堺／産振 Ｈ１＠５５．５、Ｈ２＠５４．０、Ｈ３＠５３．５、Ｌ１＠５３．０</t>
  </si>
  <si>
    <t xml:space="preserve">02/01　</t>
  </si>
  <si>
    <t>■ＪＦＥ条鋼 ＨＳ＆Ｈ１～Ｌ２のみ５００円</t>
  </si>
  <si>
    <t>02/01～02/07</t>
  </si>
  <si>
    <t>■中山鋼業 Ｈ１～Ｌ１のみ+５００円</t>
  </si>
  <si>
    <t xml:space="preserve">01/30　</t>
  </si>
  <si>
    <t>■双葉貿易 ＨＳのみ８００円、Ｈ２のみ１５００円、新断５００円</t>
  </si>
  <si>
    <t>01/29〜01/31</t>
  </si>
  <si>
    <t>■大鉄堺／産振 Ｈ１＠５５．７、Ｈ２＠５４．２、Ｈ３＠５３．７、Ｌ１＠５３．２（５００ｔ±５％）</t>
  </si>
  <si>
    <t xml:space="preserve">01/25　</t>
  </si>
  <si>
    <t>■大鉄 一律１０００円　■共英製鋼／枚方 ダライ以外５００円</t>
  </si>
  <si>
    <t xml:space="preserve">01/24　</t>
  </si>
  <si>
    <t>■中山鋼業 Ｈ１＆Ｈ２＆Ｈ１ポンチ＆ダライのみ１０００円、足回り以外５００円　■ＪＦＥ条鋼 ＨＳ＆新断＆ダライ１０００円</t>
  </si>
  <si>
    <t xml:space="preserve">01/23　</t>
  </si>
  <si>
    <t>■岸和田 足回り＆ＣＰ以外５００円　■共英製鋼／枚方 ダライ以外５００円</t>
  </si>
  <si>
    <t xml:space="preserve">01/20　</t>
  </si>
  <si>
    <t>■クボタ 特級屑２０００円</t>
  </si>
  <si>
    <t xml:space="preserve">01/19　</t>
  </si>
  <si>
    <t>■共英製鋼／枚方 一律５００円</t>
  </si>
  <si>
    <t xml:space="preserve">01/18　</t>
  </si>
  <si>
    <t>■中山製鋼 一律２０００円　■中山鋼業 一律１０００円　■大谷製鉄 電特Ａ１０００円</t>
  </si>
  <si>
    <t xml:space="preserve">01/17　</t>
  </si>
  <si>
    <t>■ＪＦＥ条鋼 ＨＳ＆新断１０００円、Ｈ１～Ｌ２＆ＣＰ２０００円　■ニュースコン尼崎 一律２０００円</t>
  </si>
  <si>
    <t>■山陽特殊 一律２０００円　■愛知製鋼 一律２０００円　■山口鋼業 一律２０００円　■大同特殊鋼 一律２０００円　■トピー工業 一律２０００円　■ニュースコン稲永 一律１５００円　■共英製鋼／名古屋 一律２０００円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</si>
  <si>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一律２０００円、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一律２０００円、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/海上陸上 一律２０００円　■合同大阪 一律２０００円　■大鉄 一律１０００円　■岸和田 足回り＆ＣＰ以外５００円　■ヤマト 一律２０００円　■栗本鉄工所 一律２０００円</t>
    </r>
  </si>
  <si>
    <t xml:space="preserve">01/13　</t>
  </si>
  <si>
    <t>■ニュースコン稲永 一律５００円</t>
  </si>
  <si>
    <t>1月～3月</t>
  </si>
  <si>
    <t>■衣浦港／産振（名古屋） ＨＳ＠東京製鐵/田原陸上電特Ａ＋２．０（スケール０．５％）（２００ｔ／月）</t>
  </si>
  <si>
    <t>01/09のみ</t>
  </si>
  <si>
    <t>■岸和田／豊通 Ｈ１＠５５．２、Ｈ２＠５３．２（共に既存単価＋１７００）２００ｔＵＰ（※岸和田製鋼スライド）</t>
  </si>
  <si>
    <t>12/25〜12/29</t>
  </si>
  <si>
    <t>■岸和田／豊通 Ｈ１＠５５．２、Ｈ２＠５３．２（共に既存単価＋１７００）３００ｔＵＰ（※岸和田製鋼スライド）</t>
  </si>
  <si>
    <t>12/20〜12/26</t>
  </si>
  <si>
    <t>■大鉄堺／産振 Ｈ１＠５３．７、Ｈ２＠５２．２、Ｈ３＠５１．７、Ｌ１＠５１．２（５００ｔ±５％）</t>
  </si>
  <si>
    <t xml:space="preserve">12/23　</t>
  </si>
  <si>
    <t xml:space="preserve">■ＪＦＥ条鋼 ＨＳ、Ｈ１〜Ｌ２、新断のみ１０００円　</t>
  </si>
  <si>
    <t xml:space="preserve">12/22　</t>
  </si>
  <si>
    <t xml:space="preserve">■中山鋼業 Ｈ１～Ｌ１バラ５００円　■ＪＦＥ条鋼 ＨＳ、Ｈ１～Ｌ２のみ５００円　</t>
  </si>
  <si>
    <t xml:space="preserve">12/19　</t>
  </si>
  <si>
    <t xml:space="preserve">■ＪＦＥ条鋼 ＨＳのみ５００円　</t>
  </si>
  <si>
    <t xml:space="preserve">12/16　</t>
  </si>
  <si>
    <t>■クボタ 特級屑５００円　■栗本鐵工所 一律５００円</t>
  </si>
  <si>
    <t xml:space="preserve">12/15　</t>
  </si>
  <si>
    <t xml:space="preserve">■中山製鋼 一律５００円　</t>
  </si>
  <si>
    <t xml:space="preserve">12/13　</t>
  </si>
  <si>
    <t>■中山鋼業 一律５００円</t>
  </si>
  <si>
    <t xml:space="preserve">12/12　</t>
  </si>
  <si>
    <t>■合同大阪 一律５００円　■山陽特殊 一律５００円　■愛知製鋼 一律５００円　■山口鋼業 一律５００円　■大同特殊鋼 一律５００円　■トピー工業 一律５００円　■共英製鋼／名古屋 一律５００円</t>
  </si>
  <si>
    <t>12/11～</t>
  </si>
  <si>
    <t>■南港中谷／産振 ＨＳ＠５４．５（１０００ｔ±５％）</t>
  </si>
  <si>
    <t xml:space="preserve">12/09　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</si>
  <si>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/海上陸上 一律５００円　■大鉄 ダライ以外５００円　■ヤマト 一律５００円　■ＪＦＥ条鋼 一律５００円　■ニュースコン尼崎 一律５００円　■ニュースコン稲永 一律５００円</t>
    </r>
  </si>
  <si>
    <t xml:space="preserve">12/06　</t>
  </si>
  <si>
    <t>■双葉貿易 ＨＳのみ５００円</t>
  </si>
  <si>
    <t xml:space="preserve">12/05　</t>
  </si>
  <si>
    <t xml:space="preserve">■中山製鋼 ＨＳ２＆単体Ｈ１のみ５００円　</t>
  </si>
  <si>
    <t xml:space="preserve">12/04　　</t>
  </si>
  <si>
    <t>■ＪＦＥ条鋼 Ｈ２基準として（持込＠５２．５）：Ｈ１＋１．０、Ｈ３▲１．０、Ｌ１▲４．２、Ｌ２▲１０．１【再設定】</t>
  </si>
  <si>
    <t xml:space="preserve">12/01　</t>
  </si>
  <si>
    <t xml:space="preserve">■中山製鋼 新断のみ５００円　</t>
  </si>
  <si>
    <t xml:space="preserve">11/29　</t>
  </si>
  <si>
    <t xml:space="preserve">■ＪＦＥ条鋼 ＨＳ＆新断＆Ｈ１～Ｌ２のみ５００円　</t>
  </si>
  <si>
    <t xml:space="preserve">11/22　</t>
  </si>
  <si>
    <t>■中山製鋼 新断以外５００円　■ニュースコン尼崎 一律５００円　■ニュースコン稲永 一律５００円</t>
  </si>
  <si>
    <t xml:space="preserve">11/18　</t>
  </si>
  <si>
    <r>
      <rPr>
        <rFont val="Arial"/>
        <color theme="1"/>
        <sz val="10.0"/>
      </rPr>
      <t>11/17～</t>
    </r>
    <r>
      <rPr>
        <rFont val="Arial"/>
        <strike/>
        <color theme="1"/>
        <sz val="10.0"/>
      </rPr>
      <t>20</t>
    </r>
    <r>
      <rPr>
        <rFont val="Arial"/>
        <color theme="1"/>
        <sz val="10.0"/>
      </rPr>
      <t>延長</t>
    </r>
  </si>
  <si>
    <r>
      <rPr>
        <rFont val="Arial"/>
        <color rgb="FF000000"/>
        <sz val="10.0"/>
      </rPr>
      <t>■岸和田 Ｈ１＆ダライ１２００円上げ、その他７００円上げ</t>
    </r>
    <r>
      <rPr>
        <rFont val="Arial"/>
        <strike/>
        <color rgb="FF000000"/>
        <sz val="10.0"/>
      </rPr>
      <t>（３日間期間限定）</t>
    </r>
    <r>
      <rPr>
        <rFont val="Arial"/>
        <color rgb="FF000000"/>
        <sz val="10.0"/>
      </rPr>
      <t>11/20付延長</t>
    </r>
  </si>
  <si>
    <t>11/1.2.4.11.18.25</t>
  </si>
  <si>
    <t>■岸和田／豊通 Ｈ１＠５４．５、Ｈ２＠５３．０（共に既存単価＋２２００）１７００ｔＵＰ／７日間（※岸和田製鋼スライド）</t>
  </si>
  <si>
    <t xml:space="preserve">11/15　</t>
  </si>
  <si>
    <t xml:space="preserve">■中山鋼業 ダライ５００円　■ＪＦＥ条鋼 ＨＳ＆新断＆Ｈ１～Ｌ２のみ５００円　</t>
  </si>
  <si>
    <t>■中山鋼業 Ｌ１＆Ｌ１バラのみ５００円</t>
  </si>
  <si>
    <t xml:space="preserve">11/14　</t>
  </si>
  <si>
    <t xml:space="preserve">■合同大阪 Ｈ１～Ｌ２のみ５００円　</t>
  </si>
  <si>
    <t xml:space="preserve">11/08　　</t>
  </si>
  <si>
    <t>■大鉄/直納 Ｈ１＠５３．５、Ｈ２＠５０．０、Ｈ３＠４９．５、Ｌ１＠４９．０、ＪＨ１＠５２．０【再設定】</t>
  </si>
  <si>
    <t xml:space="preserve">11/08　</t>
  </si>
  <si>
    <t>■大鉄 ダライのみ１５００円</t>
  </si>
  <si>
    <t xml:space="preserve">11/07　</t>
  </si>
  <si>
    <t xml:space="preserve">11/02　</t>
  </si>
  <si>
    <t>■双葉貿易 一律５００円</t>
  </si>
  <si>
    <t xml:space="preserve">11/01　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</si>
  <si>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一律５００円、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/陸上 一律５００円　■大鉄 ダライ以外５００円　■ＪＦＥ条鋼 一律５００円　■トピー工業 一律５００円　■ニュースコン尼崎 一律５００円　■ニュースコン稲永 一律５００円</t>
    </r>
  </si>
  <si>
    <t xml:space="preserve">10/31　</t>
  </si>
  <si>
    <t>10/28＆30のみ</t>
  </si>
  <si>
    <r>
      <rPr>
        <rFont val="Arial"/>
        <color rgb="FF000000"/>
        <sz val="10.0"/>
      </rPr>
      <t>■岸和田／豊通 Ｈ１＠５４．５、Ｈ２＠５３．０（共に既存単価＋２２００）２００ｔＵＰ／各日（※岸和田製鋼スライド）</t>
    </r>
    <r>
      <rPr>
        <rFont val="Arial"/>
        <color rgb="FF980000"/>
        <sz val="10.0"/>
      </rPr>
      <t>完納</t>
    </r>
  </si>
  <si>
    <t xml:space="preserve">10/28　</t>
  </si>
  <si>
    <t>■双葉貿易 Ｈ２のみ１２００円</t>
  </si>
  <si>
    <t>■ＪＦＥ条鋼 シュレ２０００円、ＣＰＣのみ１０００円　■双葉貿易 ＨＳのみ５００円、新断のみ１０００円</t>
  </si>
  <si>
    <t xml:space="preserve">10/26　</t>
  </si>
  <si>
    <t>■双葉貿易 ＨＳのみ７００円</t>
  </si>
  <si>
    <t xml:space="preserve">10/23　</t>
  </si>
  <si>
    <t>■大同特殊鋼 HS＆普電ＨＳのみ５００円</t>
  </si>
  <si>
    <t>10/19～？</t>
  </si>
  <si>
    <t>■中山鋼業 ヘビーのみ+５００円、ダライ+１０００円：裏値対応</t>
  </si>
  <si>
    <t>10/17～10/18</t>
  </si>
  <si>
    <t>■中山鋼業 一律+１０００円：裏値対応</t>
  </si>
  <si>
    <t xml:space="preserve">10/14　</t>
  </si>
  <si>
    <t>■山陽特殊 一律１０００円　■愛知製鋼 一律１０００円　■山口鋼業 一律１０００円　■大同特殊鋼 一律１０００円　■共英製鋼／名古屋 一律１０００円　■ニュースコン稲永 一律１０００円</t>
  </si>
  <si>
    <t xml:space="preserve">10/13　</t>
  </si>
  <si>
    <t xml:space="preserve">10/11　</t>
  </si>
  <si>
    <t>■ＪＦＥ条鋼 ＨＳ＆新断のみ５００円　■ニュースコン尼崎 一律５００円</t>
  </si>
  <si>
    <t>10/07のみ</t>
  </si>
  <si>
    <t>■岸和田／豊通 Ｈ１＠５４．５、Ｈ２＠５３．０（共に既存単価＋２２００）２００ｔＵＰ（※岸和田製鋼スライド）</t>
  </si>
  <si>
    <t xml:space="preserve">10/06　</t>
  </si>
  <si>
    <t xml:space="preserve">■ＪＦＥ条鋼 Ｈ１〜Ｌ１のみ５００円　</t>
  </si>
  <si>
    <t>10/05～10/09</t>
  </si>
  <si>
    <t>■大鉄堺／産振 Ｈ１＠５４．２（+１０００）</t>
  </si>
  <si>
    <t>09/30～10/07</t>
  </si>
  <si>
    <t>■大鉄堺／産振 Ｈ１～Ｌ１＠５１．２（一括単価）１００ｔ（トレーラー４台）／日程度</t>
  </si>
  <si>
    <t>09/25のみ</t>
  </si>
  <si>
    <t>■岸和田／豊通 Ｈ１＠５４．０、Ｈ２＠５２．５（共に既存単価＋２２００）２００ｔＵＰ（※岸和田製鋼スライド）</t>
  </si>
  <si>
    <t xml:space="preserve">09/16　</t>
  </si>
  <si>
    <t xml:space="preserve">■クボタ 特級屑５００円　                                                                                                          </t>
  </si>
  <si>
    <t xml:space="preserve">09/15　</t>
  </si>
  <si>
    <t>■栗本鉄工所 一律１０００円　■ニュースコン尼崎 一律５００円</t>
  </si>
  <si>
    <t xml:space="preserve">09/14　</t>
  </si>
  <si>
    <t xml:space="preserve">■中山製鋼 一律５００円　■中山鋼業 一律１０００円　■大鉄 一律１０００円　■トピー工業 一律１０００円　■ＪＦＥ条鋼 ＨＳのみ５００円 ■大谷製鉄 電特Ａ１５００円　■双葉貿易 ＨＳのみ５００円、Ｈ２＆新断８００円　                                                                                                                                                         </t>
  </si>
  <si>
    <t xml:space="preserve">09/13　</t>
  </si>
  <si>
    <t>■山陽特殊 一律１０００円　■愛知製鋼 一律１０００円　■山口鋼業 一律１０００円　■大同特殊鋼 一律１０００円　■ニュースコン稲永 一律１０００円　■共英製鋼／名古屋 一律１０００円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</si>
  <si>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据置、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一律１０００円、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>/海上陸上 一律１０００円　■合同大阪 ヘビー１０００円、その他５００円　■岸和田 ダライ１０００円、その他５００円　■共英製鋼／枚方 一律５００円　■ニュースコン尼崎 一律５００円</t>
    </r>
  </si>
  <si>
    <t>09/16＆19のみ</t>
  </si>
  <si>
    <t>■岸和田／豊通 Ｈ１＠５４．０、Ｈ２＠５２．５（共に既存単価＋２２００）３００ｔＵＰ（※岸和田製鋼スライド）</t>
  </si>
  <si>
    <t xml:space="preserve">09/06　</t>
  </si>
  <si>
    <t>■ニュースコン稲永 一律１０００円</t>
  </si>
  <si>
    <t xml:space="preserve">09/01　</t>
  </si>
  <si>
    <t xml:space="preserve">■大鉄／産振 Ｈ１のみ５００円　                                                                                                                                  </t>
  </si>
  <si>
    <t>09/02のみ</t>
  </si>
  <si>
    <t xml:space="preserve">08/31　</t>
  </si>
  <si>
    <t xml:space="preserve">■双葉貿易 ＨＳのみ３００円、Ｈ２のみ１２００円、新断のみ１７００円　</t>
  </si>
  <si>
    <t xml:space="preserve">08/26　</t>
  </si>
  <si>
    <t xml:space="preserve">■中山鋼業 一律５００円　■クボタ 特級屑５００円　■トピー工業 一律１０００円　                                                                                                                                                         </t>
  </si>
  <si>
    <t xml:space="preserve">08/25　</t>
  </si>
  <si>
    <t xml:space="preserve">■合同大阪 一律５００円　■ナンセイ Ｈ２のみ５００円　                                                                                                                                                         </t>
  </si>
  <si>
    <t xml:space="preserve">08/24　</t>
  </si>
  <si>
    <t>■中山製鋼所 ダライ１５００円、その他５００円　■栗本鐵工所 一律１０００円　■大谷製鉄 電特Ａ５００円</t>
  </si>
  <si>
    <t xml:space="preserve">08/23　</t>
  </si>
  <si>
    <t>■山陽特殊 一律１０００円　■愛知製鋼 一律１０００円　■山口鋼業 一律１０００円　■大同特殊鋼 一律１０００円　■ニュースコン稲永 一律５００円　■共英製鋼／名古屋 一律１０００円</t>
  </si>
  <si>
    <r>
      <rPr>
        <rFont val="Arial"/>
        <color rgb="FF000000"/>
        <sz val="10.0"/>
      </rPr>
      <t xml:space="preserve">■東京製鉄 </t>
    </r>
    <r>
      <rPr>
        <rFont val="Arial"/>
        <color rgb="FFFF0000"/>
        <sz val="10.0"/>
      </rPr>
      <t>岡山</t>
    </r>
    <r>
      <rPr>
        <rFont val="Arial"/>
        <color rgb="FF000000"/>
        <sz val="10.0"/>
      </rPr>
      <t>/海上陸上 一律１５００円、</t>
    </r>
    <r>
      <rPr>
        <rFont val="Arial"/>
        <color rgb="FFFF0000"/>
        <sz val="10.0"/>
      </rPr>
      <t>田原</t>
    </r>
    <r>
      <rPr>
        <rFont val="Arial"/>
        <color rgb="FF000000"/>
        <sz val="10.0"/>
      </rPr>
      <t>/海上陸上 一律１０００円、</t>
    </r>
    <r>
      <rPr>
        <rFont val="Arial"/>
        <color rgb="FFFF0000"/>
        <sz val="10.0"/>
      </rPr>
      <t>ｻﾃﾗｲﾄ</t>
    </r>
    <r>
      <rPr>
        <rFont val="Arial"/>
        <color rgb="FF000000"/>
        <sz val="10.0"/>
      </rPr>
      <t xml:space="preserve">/海上陸上 一律１０００円　■大鉄 一律５００円　■岸和田 ダライ１５００円、その他５００円　■ヤマト 一律１５００円　■ＪＦＥ条鋼 一律１５００円　■ニュースコン尼崎 一律５００円　</t>
    </r>
  </si>
  <si>
    <t xml:space="preserve">08/17　</t>
  </si>
  <si>
    <t xml:space="preserve">■ＪＦＥ条鋼 ＣＰのみ２５００円　</t>
  </si>
  <si>
    <t xml:space="preserve">08/14　</t>
  </si>
  <si>
    <t>■共英製鋼／枚方 Ｈ１＆Ｈ２のみ１０００円　■双葉貿易 ＨＳ：１５００円</t>
  </si>
  <si>
    <t>08/16のみ</t>
  </si>
  <si>
    <t>■岸和田／豊通 Ｈ１＠５２．８、Ｈ２＠５１．３（共に既存単価＋１５００）１００ｔ～２００ｔまで（※東鉄岡山スライド）</t>
  </si>
  <si>
    <t>08/07～08/31</t>
  </si>
  <si>
    <t>■愛知製鋼／ナベ ＨＳ１＠５１．１、ＨＳ２＠４９．６、Ｈ１＠４９．１、Ｈ２＠４７．５、Ｈ３＠４６．５、Ｈ４＠４３５．（＋６００）２００ｔＵＰ</t>
  </si>
  <si>
    <t xml:space="preserve">08/04　</t>
  </si>
  <si>
    <t xml:space="preserve">■ニュースコン稲永 新断のみ５００円　</t>
  </si>
  <si>
    <t xml:space="preserve">08/03　</t>
  </si>
  <si>
    <t xml:space="preserve">■双葉貿易 Ｈ２＆新断のみ１０００円　</t>
  </si>
  <si>
    <t xml:space="preserve">08/02　</t>
  </si>
  <si>
    <t>■ニュースコン尼崎 ＨＳのみ５００円</t>
  </si>
  <si>
    <t xml:space="preserve">■双葉貿易 一律５００円　</t>
  </si>
  <si>
    <t>東鐵関西:直納</t>
  </si>
  <si>
    <t>中山製鋼:阪和</t>
  </si>
  <si>
    <t>中山製鋼:豊通</t>
  </si>
  <si>
    <t>中山製鋼:豊通/出張商店</t>
  </si>
  <si>
    <t>中山製鋼:豊通/中川嘉弘商店</t>
  </si>
  <si>
    <t>中山鋼業:ナベ</t>
  </si>
  <si>
    <t>合同大阪:伊藤忠</t>
  </si>
  <si>
    <t>合同大阪:阪和</t>
  </si>
  <si>
    <t>産振ﾔｰﾄﾞ:産振</t>
  </si>
  <si>
    <t>大鉄　堺:大鉄堺</t>
  </si>
  <si>
    <t>大鉄　堺:豊通</t>
  </si>
  <si>
    <t>大鉄　堺:産振</t>
  </si>
  <si>
    <t>大鉄　堺:伊藤忠</t>
  </si>
  <si>
    <t>大鉄　堺:ナベ</t>
  </si>
  <si>
    <t>岸和田:豊通</t>
  </si>
  <si>
    <t>岸和田:阪和</t>
  </si>
  <si>
    <t>岸和田:岡谷鋼機</t>
  </si>
  <si>
    <t>岸和田:リバイブ</t>
  </si>
  <si>
    <t>ｸﾎﾞﾀ:伊藤忠</t>
  </si>
  <si>
    <t>栗本鐵工:豊通</t>
  </si>
  <si>
    <t>共英枚方:ナベ/置場単価</t>
  </si>
  <si>
    <t>共英枚方:ナベ/5/7～京都置場</t>
  </si>
  <si>
    <t>共英枚方:リバイブ京都置場</t>
  </si>
  <si>
    <t>南港:ﾅﾝｾｲ</t>
  </si>
  <si>
    <t>南港:産振</t>
  </si>
  <si>
    <t>北港:リバイブ</t>
  </si>
  <si>
    <t>北港:ナベ</t>
  </si>
  <si>
    <t>泉北中谷:産振</t>
  </si>
  <si>
    <t>泉北中谷:豊通</t>
  </si>
  <si>
    <t>泉北中谷:ナベ双葉</t>
  </si>
  <si>
    <t>泉北大都:産振</t>
  </si>
  <si>
    <t>泉北大都:リバイブ</t>
  </si>
  <si>
    <t>泉北大都:GRM</t>
  </si>
  <si>
    <t>ﾆｭｰｽｺﾝ尼崎:ナベ</t>
  </si>
  <si>
    <t>大阪鋼業:ナベ</t>
  </si>
  <si>
    <t>大阪鋼業:リバイブ</t>
  </si>
  <si>
    <t>大阪港埠頭:日鉄物産</t>
  </si>
  <si>
    <t>東鐵岡山:直納</t>
  </si>
  <si>
    <t>ﾏｷｳﾗ鋼業:直納</t>
  </si>
  <si>
    <t>ﾔﾏﾄ:阪和</t>
  </si>
  <si>
    <t>合同姫路:阪和</t>
  </si>
  <si>
    <t>山陽特殊:産振</t>
  </si>
  <si>
    <t>山陽特殊:MM</t>
  </si>
  <si>
    <t>山陽特殊:大同</t>
  </si>
  <si>
    <t>ＪＦＥ条鋼:リバイブ</t>
  </si>
  <si>
    <t>ＪＦＥ条鋼:阪和</t>
  </si>
  <si>
    <t>東鐵名古屋:直納</t>
  </si>
  <si>
    <t>東鐵田原:直納</t>
  </si>
  <si>
    <t>愛知:阪和</t>
  </si>
  <si>
    <t>愛知:ナベ</t>
  </si>
  <si>
    <t>山口鋼業:MM建材</t>
  </si>
  <si>
    <t>山口鋼業:阪和</t>
  </si>
  <si>
    <t>大同特殊鋼:大同興業</t>
  </si>
  <si>
    <t>大同特殊鋼:JSE/大和ﾘﾃｯｸ</t>
  </si>
  <si>
    <t>大同特殊鋼:JSE/第二＠2.3</t>
  </si>
  <si>
    <t>大同特殊鋼:JSE/岐阜＠1.5</t>
  </si>
  <si>
    <t>衣浦:産振</t>
  </si>
  <si>
    <t>トピー工業:ＭＭ</t>
  </si>
  <si>
    <t>RTA:栗東置場単価</t>
  </si>
  <si>
    <t>RTA:第二置場単価</t>
  </si>
  <si>
    <t>ﾆｭｰｽｺﾝ稲永:ナベ</t>
  </si>
  <si>
    <t>共英名古屋:ナベ</t>
  </si>
  <si>
    <t>大谷製鉄:ナベ</t>
  </si>
  <si>
    <t>銑ダライ:ナベ</t>
  </si>
  <si>
    <t>大一産業:ナベ</t>
  </si>
  <si>
    <t>日鉄ｽﾁｰﾙ:産振</t>
  </si>
  <si>
    <t>新日鉄住金和歌山:伊藤忠</t>
  </si>
  <si>
    <t>新日鉄住金和歌山:ＭＭ</t>
  </si>
  <si>
    <t>新日鉄住金和歌山:産振</t>
  </si>
  <si>
    <t>韓国輸出:豊通大都</t>
  </si>
  <si>
    <t>オオハラ尼崎:ナベ</t>
  </si>
  <si>
    <t>名古屋港:水野産業</t>
  </si>
  <si>
    <t>名古屋港:阪和西三区</t>
  </si>
  <si>
    <t>名古屋港:ＭＭ</t>
  </si>
  <si>
    <t xml:space="preserve">トヨキン:ナベ・大同特殊・H2ｽﾗｲﾄﾞ	</t>
  </si>
  <si>
    <t xml:space="preserve">寺田:ナベ・大同特殊・H2ｽﾗｲﾄﾞ	</t>
  </si>
  <si>
    <t>2026(R8)年4月16日～</t>
  </si>
  <si>
    <t>関　西　方　面</t>
  </si>
  <si>
    <t>姫路方面</t>
  </si>
  <si>
    <t>愛　知　方　面</t>
  </si>
  <si>
    <t>そ　　の　　他</t>
  </si>
  <si>
    <t>製鋼メーカー</t>
  </si>
  <si>
    <t>東鐵関西</t>
  </si>
  <si>
    <t>東鐵岡山</t>
  </si>
  <si>
    <t>ﾏｷｳﾗ鋼業</t>
  </si>
  <si>
    <t>合同姫路</t>
  </si>
  <si>
    <t>東鐵名古屋</t>
  </si>
  <si>
    <t>東鐵田原</t>
  </si>
  <si>
    <t>大同特殊鋼</t>
  </si>
  <si>
    <t>商　　社</t>
  </si>
  <si>
    <t>岡谷鋼機</t>
  </si>
  <si>
    <t>GRM</t>
  </si>
  <si>
    <t>大同</t>
  </si>
  <si>
    <t>備　　考</t>
  </si>
  <si>
    <t>出張商店
▲1</t>
  </si>
  <si>
    <t>中川嘉弘商店
▲3</t>
  </si>
  <si>
    <t>ＣＰのみ東鐵ｽﾗｲﾄﾞ</t>
  </si>
  <si>
    <t>ｴｺﾒﾀﾙ
ﾘﾀｰﾝ分</t>
  </si>
  <si>
    <t>運賃
1.8</t>
  </si>
  <si>
    <t>大都Ｊ1</t>
  </si>
  <si>
    <t>大阪▲0.8
第2
▲2.2</t>
  </si>
  <si>
    <t>泉北助松埠頭</t>
  </si>
  <si>
    <t>東鐵岡山ｽﾗｲﾄﾞ</t>
  </si>
  <si>
    <t>2月度
200t</t>
  </si>
  <si>
    <t>4月度
200t</t>
  </si>
  <si>
    <t>運賃
置場
▲2.5</t>
  </si>
  <si>
    <t>ナベ置場▲2.0</t>
  </si>
  <si>
    <t>ナベ置場▲2.4</t>
  </si>
  <si>
    <t>4月度
ｽﾎﾟｯﾄ
300t～</t>
  </si>
  <si>
    <t>置場
東鐵ｽﾗｲﾄﾞ</t>
  </si>
  <si>
    <t>下記単価不明</t>
  </si>
  <si>
    <t>第二
＠2.3</t>
  </si>
  <si>
    <t>岐阜
＠1.5</t>
  </si>
  <si>
    <t>栗東置場単価</t>
  </si>
  <si>
    <t>第二置場単価</t>
  </si>
  <si>
    <t>スポットなど</t>
  </si>
  <si>
    <t>新断</t>
  </si>
  <si>
    <t>期間</t>
  </si>
  <si>
    <t>東海</t>
  </si>
  <si>
    <t>ＨＳ</t>
  </si>
  <si>
    <t>泉北</t>
  </si>
  <si>
    <t>大都</t>
  </si>
  <si>
    <r>
      <rPr>
        <rFont val="Arial"/>
        <color theme="1"/>
      </rPr>
      <t>ＨＳ１</t>
    </r>
    <r>
      <rPr>
        <rFont val="Arial"/>
        <color theme="1"/>
        <sz val="8.0"/>
      </rPr>
      <t>(単体H1/電特A/HS))</t>
    </r>
  </si>
  <si>
    <r>
      <rPr>
        <rFont val="Arial"/>
        <color theme="1"/>
      </rPr>
      <t>ＪＨ１</t>
    </r>
    <r>
      <rPr>
        <rFont val="Arial"/>
        <color theme="1"/>
        <sz val="9.0"/>
      </rPr>
      <t>(H2T山口)鍛造ﾊﾞﾘ</t>
    </r>
  </si>
  <si>
    <t>Ｌ２(H4･級外･L1ﾊﾞﾗ)</t>
  </si>
  <si>
    <t>新断Ｃ</t>
  </si>
  <si>
    <t>鋼ダライＡ</t>
  </si>
  <si>
    <t>鋼ダライＢ</t>
  </si>
  <si>
    <t>鋳物・ﾀﾞｸﾀｲﾙ</t>
  </si>
  <si>
    <t>■東洋トレーディング＠６９（４/１０：置場）　■津和商事＠６８（１１／１７：置場）　■ＧＲＭ＠６６（４/７～前回▲３：置場）　■岡田金属／京都＠（：置場）　■東昌商事＠（：置場）</t>
  </si>
  <si>
    <t>■ＧＲＭ（旧中西産業）＠（／１６：置場）　■東洋トレーディング＠１００（３/２６：置場）　■津和商事＠（１２／７：置場）　■岡田金属／京都＠７３（３／１：置場）　■東昌商事＠７０（１/：置場）大阪＠（置場）</t>
  </si>
  <si>
    <t>■津和商事＠１４５【室内機＆室外機共】（７／１）、＠１３０【ビルトイン】、＠１２０【ガスヒーポン】　■日中商事【外機】＠１８０（３/２５）【内機&amp;ﾋﾞﾙﾄｲﾝ&amp;ﾁﾗｰﾕﾆｯﾄ】＠１５０（３/２５）【ｽﾎﾟｯﾄｸｰﾗｰ】＠１５０（３/２５）</t>
  </si>
  <si>
    <t>阪神金属　■ステン３０４＠１８０（９/２）持込+＠3　■ステンダライ＠１６０（ｲﾝｻｲｽﾞ▲２０）持込+＠3　■解体ステン＠１６５～＠１５０（ｲﾝｻｲｽﾞ▲１５～▲３０）　■ステン３０１＠１６５（ｲﾝｻｲｽﾞ▲１５）　■ステン６３０【Ni&amp;Cuが高いのでメーカー不人気】＠６８（１０／３０）</t>
  </si>
  <si>
    <r>
      <rPr>
        <rFont val="Arial"/>
        <color theme="1"/>
      </rPr>
      <t>ＧＲＭ／親和スチール</t>
    </r>
    <r>
      <rPr>
        <rFont val="Arial"/>
        <strike/>
        <color theme="1"/>
      </rPr>
      <t>＠１７８</t>
    </r>
    <r>
      <rPr>
        <rFont val="Arial"/>
        <color theme="1"/>
      </rPr>
      <t>（南港持込：9/7付：前回7/26+3：運賃▲３．０）ステンダライ＠１６３～１５３（ｲﾝｻｲｽﾞ▲15＆▲20＆▲25混じりによって変更）　解体ステン＠１７３（ｲﾝｻｲｽﾞ▲20？：３/７付）</t>
    </r>
  </si>
  <si>
    <t>ＧＲＭ／藤本金属＠１６８（５/３付：前回５/２▲５）ステンダライ＠１５３（インサイズ▲１５が基本）解体ステン＠？（付）</t>
  </si>
  <si>
    <t xml:space="preserve">豊通／藤本金属【新プラント土混じり】＠１８３／１％（１/２１付：前回１２/１０▲５）　</t>
  </si>
  <si>
    <r>
      <rPr>
        <rFont val="Arial"/>
        <color theme="1"/>
      </rPr>
      <t>■ナベ／アスク【持込／引取▲３】＠２７５【９/１０～仕切り直し】、＠</t>
    </r>
    <r>
      <rPr>
        <rFont val="Arial"/>
        <strike/>
        <color theme="1"/>
      </rPr>
      <t>１７０</t>
    </r>
    <r>
      <rPr>
        <rFont val="Arial"/>
        <color theme="1"/>
      </rPr>
      <t>【12/？付栗東市入札分Ｂ】　■豊通名古屋／ＴＫ ＠</t>
    </r>
    <r>
      <rPr>
        <rFont val="Arial"/>
        <strike/>
        <color theme="1"/>
      </rPr>
      <t>２３５</t>
    </r>
    <r>
      <rPr>
        <rFont val="Arial"/>
        <color theme="1"/>
      </rPr>
      <t>【４月前半／置場：３月前半より＋１０】</t>
    </r>
  </si>
  <si>
    <r>
      <rPr>
        <rFont val="Arial"/>
        <color theme="1"/>
      </rPr>
      <t>■ナベ／アスク【持込／引取▲３】 ＠１８０【９/４付▲？ソーティング部】　＠</t>
    </r>
    <r>
      <rPr>
        <rFont val="Arial"/>
        <strike/>
        <color theme="1"/>
      </rPr>
      <t>６５</t>
    </r>
    <r>
      <rPr>
        <rFont val="Arial"/>
        <color theme="1"/>
      </rPr>
      <t>【４/１６～栗東入札分】</t>
    </r>
  </si>
  <si>
    <r>
      <rPr>
        <rFont val="Arial"/>
        <color theme="1"/>
      </rPr>
      <t>■ナベ／アスク＠２７５（９/１０～トライアル1回）■豊通／ＴＫ＠</t>
    </r>
    <r>
      <rPr>
        <rFont val="Arial"/>
        <strike/>
        <color theme="1"/>
      </rPr>
      <t>２３５</t>
    </r>
    <r>
      <rPr>
        <rFont val="Arial"/>
        <color theme="1"/>
      </rPr>
      <t>【４月前半／置場：３月前半より＋１０】</t>
    </r>
  </si>
  <si>
    <t>■ナベ／アスク＠９５【９/１０～仕切り直し】（３/２８～選別方法変更）【アルミ缶混じり＠１と交互の場合は▲２５＠７０】　■トーヨーメタル＠５０（７／２５）　■豊通名古屋／ＴＫ＠７５【置場：11/12トライアル希望】</t>
  </si>
  <si>
    <t>■トーヨーメタル＠７００（７／１）　■ＧＲＭ／ニュースコン＠５９８（７／３）</t>
  </si>
  <si>
    <t>■ナベ／ＥＮＴソリューション ＠４３（１２/２５付け持込み※鉄付▲３．０）　■ナベ／平田工業 ＠３３．５（２ｍ以下：25.10/29付）→名古屋持込　■ナベ／エコネコル（大都）＠１６※1ｍ以内※（Ｈ３０／１１／３０付）持込み</t>
  </si>
  <si>
    <t>■ＧＲＭ／錦麒産業＠４３．５（１／５：持込）※引取運賃▲４．５　？＠２８.０（１０／２２）</t>
  </si>
  <si>
    <t>■日中商事＠２８０（３/２２）　■津和商事＠２３０（６／３０）</t>
  </si>
  <si>
    <t xml:space="preserve">■愛知製鋼 一律５００円　■山口鋼業 一律５００円　■大同特殊 一律５００円　■トピー工業 一律５００円　■共英製鋼／名古屋 一律５００円　</t>
  </si>
  <si>
    <t>■岸和田 一律５００円■栗本鐵工所 一律５００円　■ヤマト 一律５００円　■泉北中谷助松ふ頭／豊通 新断５００円　■泉北大都／リバイブ Ｈ２５００円？　■ニュースコン/ナベ 新断５００円　■双葉貿易 新断５００円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</si>
  <si>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一律５００円　■中山製鋼 一律５００円　■中山鋼業 一律５００円　■合同大阪 一律５００円　■大阪製鐵 一律５００円　</t>
    </r>
  </si>
  <si>
    <t xml:space="preserve">04/14　</t>
  </si>
  <si>
    <t>■中山鋼業 一律５００円（Ｈ２～Ｌ１は＋５００円裏値対応）</t>
  </si>
  <si>
    <t xml:space="preserve">04/11　</t>
  </si>
  <si>
    <t xml:space="preserve">■クボタ 特級屑２５００円　</t>
  </si>
  <si>
    <t xml:space="preserve">04/11～　</t>
  </si>
  <si>
    <t>■岸和田／豊通 Ｈ１＠５８．５、Ｈ２＠５７．５、Ｈ３＠５５．５（Ｈ１既存単価＋０．５、Ｈ２既存単価＋１．５、Ｈ３既存単価＋１．５）数量８００ｔ（※岸和田製鋼スライド）</t>
  </si>
  <si>
    <t xml:space="preserve">04/10　</t>
  </si>
  <si>
    <t xml:space="preserve">■愛知製鋼 一律１５００円　■山口鋼業 一律１５００円　■大同特殊 一律１５００円　■トピー工業 一律１５００円　■共英製鋼／名古屋 一律１５００円　</t>
  </si>
  <si>
    <t>■山陽特殊 一律１０００円　■ヤマト 一律１０００円　■ＪＦＥ条鋼 一律１０００円　■合同姫路 新断２０００円、その他１５００円</t>
  </si>
  <si>
    <t>■大鉄 一律１５００円　■岸和田 一律１５００円　■栗本鐵工所 一律１５００円　■共英製鋼／枚方 一律１５００円　■ヤマト 一律１５００円　■泉北大都／リバイブ Ｈ２１５００円　■ニュースコン/ナベ 新断１５００円　■双葉貿易 Ｈ２１０００円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</si>
  <si>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一律１５００円、</t>
    </r>
    <r>
      <rPr>
        <rFont val="Arial"/>
        <color rgb="FFFF0000"/>
      </rPr>
      <t>田原</t>
    </r>
    <r>
      <rPr>
        <rFont val="Arial"/>
        <color rgb="FF000000"/>
      </rPr>
      <t>/海上陸上 一律１５００円、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一律１５００円　■中山製鋼 一律１５００円　■中山鋼業 一律１０００円　■合同大阪 ヘビー０００円、その他２５００円</t>
    </r>
  </si>
  <si>
    <t xml:space="preserve">04/08　</t>
  </si>
  <si>
    <t>■中山鋼業 Ｈ１＆バリ据置、Ｈ２のみ５００円、Ｈ３＆Ｌ１のみ１５００円、ダライ１０００円、その他５００円　■ヤマト ＨＳ１＆ＨＳ２＆Ｈ１＆Ｈ３のみ１０００円、Ｌ１のみ２０００円、その他５００円</t>
  </si>
  <si>
    <t xml:space="preserve">04/07　</t>
  </si>
  <si>
    <t xml:space="preserve">■愛知製鋼 一律１０００円　■山口鋼業 一律１０００円　■大同特殊 一律１０００円　■トピー工業 一律１０００円　■共英製鋼／名古屋 一律１０００円　</t>
  </si>
  <si>
    <t>■栗本鐵工所 一律１０００円　■共英製鋼／枚方 一律１０００円 ■山陽特殊 一律１０００円　■ヤマト 一律１０００円　■ＪＦＥ条鋼 一律１０００円　■合同姫路 一律１０００円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</si>
  <si>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■中山製鋼 一律１０００円　■大鉄 一律１０００円　■岸和田 一律１０００円</t>
    </r>
  </si>
  <si>
    <t xml:space="preserve">■クボタ 特級屑１０００円　</t>
  </si>
  <si>
    <t xml:space="preserve">04/01　</t>
  </si>
  <si>
    <t>■愛知製鋼 甲山１５００円、新断２０００円、ダライ１０００円　■山口鋼業 新断１０００円、ＭＢ＆故銑５００円　■大同特殊 新断２０００円、ダライ１０００円、その他１５００円</t>
  </si>
  <si>
    <t>■山陽特殊／ＭＭ 新断２０００円、ダライ１０００円、その他１５００円　■ＪＦＥ条鋼 一律１０００円　■合同姫路 一律１０００円　■泉北助松／豊通 新断１０００円</t>
  </si>
  <si>
    <t xml:space="preserve">03/31　</t>
  </si>
  <si>
    <t xml:space="preserve">■山口鋼業 ＨＳ２０００円、Ｈ１～Ｈ４１５００円、その他１０００円　■トピー工業 ＨＳ＆Ｈ３＆２０００円、Ｈ１２３００円、新断３５００円、その他１０００円　■共英製鋼／名古屋 一律１５００円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</si>
  <si>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 xml:space="preserve">/海上陸上 電特Ａ２０００円、特Ａ２３００円、１級１５００円、２級２５００円、新断３５００、その他１０００円　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特Ａ１３００円、１級１５００円、２級２５００円、その他１０００円　</t>
    </r>
  </si>
  <si>
    <t>■大鉄 一律１０００円　■岸和田 一律１０００円　■栗本鐵工所 一律１０００円　■共英製鋼／枚方 一律１０００円　■ヤマト 一律１０００円　■泉北大都／リバイブ Ｈ２１０００円　■ニュースコン/ナベ 新断１０００円　■双葉貿易 Ｈ２１０００円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</si>
  <si>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特Ａ１８００円、１級１０００円、２級２５００円、その他１０００円、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２級２５００円、その他１０００円　■中山製鋼 一律１０００円　■中山鋼業 一律１０００円　■合同大阪 一律１０００円</t>
    </r>
  </si>
  <si>
    <t xml:space="preserve">03/28～04/10　</t>
  </si>
  <si>
    <t>■岸和田／岡谷鋼機 Ｈ１＆Ｈ２のみ５００円</t>
  </si>
  <si>
    <t xml:space="preserve">03/28～04/03　　</t>
  </si>
  <si>
    <t>■岸和田／豊通 Ｈ１＠５４．５、Ｈ２＠５２．５、Ｈ３＠５０．５（Ｈ１既存単価＋５．０、Ｈ２既存単価＋５．５、Ｈ３既存単価＋４．０）数量１００ｔ（※岸和田製鋼スライド）</t>
  </si>
  <si>
    <t xml:space="preserve">03/27～　　</t>
  </si>
  <si>
    <t>■泉北大都／リバイブ Ｈ２＠５０．０（置き場無くなり次第終了）</t>
  </si>
  <si>
    <t xml:space="preserve">03/25　</t>
  </si>
  <si>
    <t>■中山鋼業 Ｈ１～Ｌ１のみ１５００円、Ｌ１バラのみ１０００円</t>
  </si>
  <si>
    <t xml:space="preserve">03/24　</t>
  </si>
  <si>
    <t>■合同姫路 一律１０００円</t>
  </si>
  <si>
    <t xml:space="preserve">03/23　</t>
  </si>
  <si>
    <t>■共英製鋼／枚方 一律１０００円</t>
  </si>
  <si>
    <t xml:space="preserve">03/21　</t>
  </si>
  <si>
    <t>■中山製鋼 一律１０００円　■岸和田 一律１０００円</t>
  </si>
  <si>
    <t>■栗本鐵工所 一律１０００円　■共英製鋼／枚方 一律１０００円　■山陽特殊 一律１０００円　■ヤマト 一律１０００円　■ＪＦＥ条鋼 一律１０００円　■クボタ 特級屑１０００円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</si>
  <si>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■中山鋼業 一律１０００円　■合同大阪 一律１０００円　■大鉄 一律１０００円　■岸和田 一律１０００円　</t>
    </r>
  </si>
  <si>
    <t xml:space="preserve">03/18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</si>
  <si>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特Ａのみ１０００円　　　</t>
    </r>
  </si>
  <si>
    <t>■クボタ 特級屑２５００円　■山陽特殊／ＭＭ 新断１０００円　■愛知製鋼 新断１０００円　■山口鋼業 新断１０００円　■大同特殊 新断１０００円</t>
  </si>
  <si>
    <t>■合同姫路 ヘビー＆ＨＳ＆新断＆ダライのみ２０００円、その他１０００円</t>
  </si>
  <si>
    <t xml:space="preserve">03/12　</t>
  </si>
  <si>
    <t>■トピー工業 一律２０００円　■共英製鋼／名古屋 一律１０００円</t>
  </si>
  <si>
    <t>■山陽特殊／大同＆産振 一律２０００円　■山陽特殊／ＭＭ 新断１０００円、その他２０００円　■愛知製鋼 新断１０００円、その他２０００円　■山口鋼業 新断１０００円、その他２０００円　■大同特殊 新断１０００円、その他２０００円</t>
  </si>
  <si>
    <t xml:space="preserve">■大鉄 一律２０００円　■岸和田 一律２０００円　■栗本鐵工所 一律２０００円　■共英製鋼／枚方 一律２０００円　■ヤマト 一律２０００円　■ＪＦＥ条鋼 一律２０００円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</si>
  <si>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一律２０００円、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一律２５００円、</t>
    </r>
    <r>
      <rPr>
        <rFont val="Arial"/>
        <color rgb="FFFF0000"/>
      </rPr>
      <t>田原</t>
    </r>
    <r>
      <rPr>
        <rFont val="Arial"/>
        <color rgb="FF000000"/>
      </rPr>
      <t>/海上陸上 一律２０００円、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一律２０００円　■中山製鋼 一律２０００円　■中山鋼業 一律２０００円　■合同大阪 一律２０００円　　</t>
    </r>
  </si>
  <si>
    <t xml:space="preserve">03/10　</t>
  </si>
  <si>
    <t>■合同姫路 新断のみ５００円</t>
  </si>
  <si>
    <t xml:space="preserve">03/07　</t>
  </si>
  <si>
    <t xml:space="preserve">■クボタ 特級屑５００円　</t>
  </si>
  <si>
    <t>■ニュースコン尼崎／ナベ 新断＠５１．５</t>
  </si>
  <si>
    <t xml:space="preserve">03/05　</t>
  </si>
  <si>
    <t>■合同大阪 新断のみ１０００円</t>
  </si>
  <si>
    <t xml:space="preserve">03/04　</t>
  </si>
  <si>
    <t>■山陽特殊／大同＆産振 一律１０００円　■合同姫路 新断のみ１０００円　■山口鋼業 一律１０００円　■トピー工業 一律１０００円</t>
  </si>
  <si>
    <t xml:space="preserve">03/03　</t>
  </si>
  <si>
    <t>■山陽特殊／ＭＭ 新断以外１０００円　■愛知製鋼 新断以外１０００円　■大同特殊 新断以外１０００円　■共英製鋼／名古屋 一律１０００円</t>
  </si>
  <si>
    <t xml:space="preserve">■大鉄 一律１０００円　■岸和田 一律１０００円　■栗本鐵工所 一律１０００円　■共英製鋼／枚方 一律１０００円　■ヤマト 一律１０００円　■ＪＦＥ条鋼 一律１０００円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</si>
  <si>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■中山製鋼 一律１０００円　■中山鋼業 一律１０００円　■合同大阪 一律１０００円　　</t>
    </r>
  </si>
  <si>
    <t xml:space="preserve">02/28　</t>
  </si>
  <si>
    <t xml:space="preserve">■中山製鋼 一律１０００円　■クボタ 特級屑５００円　■山陽特殊／ＭＭ 新断１０００円　■愛知製鋼 新断＆シュレ１０００円　■大同特殊 新断１０００円　</t>
  </si>
  <si>
    <t>■合同大阪 新断１０００円、その他５００円</t>
  </si>
  <si>
    <t xml:space="preserve">02/25　</t>
  </si>
  <si>
    <t xml:space="preserve">■大鉄 一律１５００円　■合同姫路 一律１０００円　</t>
  </si>
  <si>
    <t xml:space="preserve">02/21　</t>
  </si>
  <si>
    <t>■山陽特殊／ＭＭ 新断以外１０００円　■愛知製鋼 新断以外１０００円　■大同特殊 新断以外１０００円　■山口鋼業 一律１０００円　■トピー工業 一律１０００円　■共英製鋼／名古屋 一律１０００円</t>
  </si>
  <si>
    <t>■クボタ 特級屑１０００円　■栗本鐵工所 一律１０００円　■共英製鋼／枚方 一律１０００円　■北港／リバイブ ＨＳのみ１０００円　■ヤマト 一律１０００円　■ＪＦＥ条鋼 一律１０００円　■山陽特殊／産振＆大同 一律１０００円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</si>
  <si>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■中山製鋼 一律１０００円　■中山鋼業 一律１０００円　■合同大阪 一律５００円　■岸和田 一律１０００円　</t>
    </r>
  </si>
  <si>
    <t xml:space="preserve">02/20　</t>
  </si>
  <si>
    <t xml:space="preserve">■山陽特殊／ＭＭ 新断１０００円　■愛知製鋼 新断＆シュレ１０００円　■大同特殊 新断１０００円　</t>
  </si>
  <si>
    <t xml:space="preserve">02/19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</si>
  <si>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ダライ以外５００円、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据置　■合同大阪 一律５００円　■山陽特殊 一律５００円　</t>
    </r>
  </si>
  <si>
    <t xml:space="preserve">02/18　</t>
  </si>
  <si>
    <t>■南港Ｊ１／産振 新断のみ４８００円</t>
  </si>
  <si>
    <t xml:space="preserve">02/16　</t>
  </si>
  <si>
    <t>■泉北中谷／豊通 新断のみ５００円</t>
  </si>
  <si>
    <t xml:space="preserve">02/14～02/20　</t>
  </si>
  <si>
    <t>■岸和田／豊通 Ｈ１＠４８．５、Ｈ２＠４６．５、Ｈ３＠４５．０（Ｈ１既存単価＋４．０、Ｈ２既存単価＋４．５、Ｈ３既存単価＋３．５）数量１００ｔ（※岸和田製鋼スライド）</t>
  </si>
  <si>
    <t xml:space="preserve">02/07～02/13　</t>
  </si>
  <si>
    <t>■岸和田／豊通 Ｈ１＠４８．５、Ｈ２＠４６．５、Ｈ３＠４５．０（Ｈ１既存単価＋４．０、Ｈ２既存単価＋４．５、Ｈ３既存単価＋３．５）数量３００ｔ（※岸和田製鋼スライド）</t>
  </si>
  <si>
    <t xml:space="preserve">02/07　</t>
  </si>
  <si>
    <t xml:space="preserve">■中山製鋼／阪和 一律５００円　■中山製鋼／豊通 単体Ｈ１以外５００円　 </t>
  </si>
  <si>
    <t xml:space="preserve">02/06～02/13　</t>
  </si>
  <si>
    <t>■中山鋼業／ナベ Ｈ２＠４５．０、Ｈ３＠４３．５、Ｌ１＠４３．０（ＡＬＬ既存単価＋１．５）数量１００ｔＵＰ／日（※中山鋼業スライド）</t>
  </si>
  <si>
    <t xml:space="preserve">02/04　</t>
  </si>
  <si>
    <t>■岸和田／岡谷鋼機(エコメタルリターン分) Ｈ１＠４８．２、 Ｈ２＠４６．２、Ｈ３＠４４．７（岸和田スライド）</t>
  </si>
  <si>
    <t xml:space="preserve">02/03　</t>
  </si>
  <si>
    <t xml:space="preserve">■合同大阪 新断５００円　■泉北中谷／豊通 新断のみ５００円　</t>
  </si>
  <si>
    <t xml:space="preserve">02/01～02/28　</t>
  </si>
  <si>
    <t>■山陽特殊／大同 ＨＳ１＠４９．７、ＨＳ２＠４９．５、ＨＳ３＠４７．５　数量５００ｔ（※東鉄岡山電特Ａスライド）</t>
  </si>
  <si>
    <t xml:space="preserve">01/31～02/06　</t>
  </si>
  <si>
    <t xml:space="preserve">01/29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</si>
  <si>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>/陸上 据置　■大鉄 一律５００円　■山陽特殊／大同 一律５００円</t>
    </r>
  </si>
  <si>
    <t xml:space="preserve">01/27　</t>
  </si>
  <si>
    <t xml:space="preserve">■合同大阪 新断のみ１０００円　</t>
  </si>
  <si>
    <t xml:space="preserve">01/24～01/30　</t>
  </si>
  <si>
    <t xml:space="preserve">■中山製鋼 ＨＳ２＆新断のみ５００円　</t>
  </si>
  <si>
    <t xml:space="preserve">01/16～01/23　</t>
  </si>
  <si>
    <t>■岸和田／豊通 Ｈ１＠４８．０、Ｈ２＠４６．０、Ｈ３＠４４．５（Ｈ１既存単価＋３．５、Ｈ２既存単価＋４．０、Ｈ３既存単価＋３．０）数量２００ｔ（※岸和田製鋼スライド）</t>
  </si>
  <si>
    <t xml:space="preserve">01/10　</t>
  </si>
  <si>
    <t xml:space="preserve">■中山製鋼/阪和 Ｈ１のみ１３００円、新断５００円　■中山製鋼/豊通 ＨＳ２＆新断５００円　■泉北中谷／豊通 新断のみ５００円　</t>
  </si>
  <si>
    <t xml:space="preserve">01/10～01/16　</t>
  </si>
  <si>
    <t>■岸和田／豊通 Ｈ１＠４８．０、Ｈ２＠４６．０、Ｈ３＠４４．５（Ｈ１既存単価＋３．５、Ｈ２既存単価＋４．０、Ｈ３既存単価＋３．０）数量３００ｔ（※岸和田製鋼スライド）</t>
  </si>
  <si>
    <t xml:space="preserve">01/08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</si>
  <si>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据置、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据置　</t>
    </r>
  </si>
  <si>
    <t xml:space="preserve">01/06　</t>
  </si>
  <si>
    <t xml:space="preserve">■愛知製鋼 新断＆ダライ以外５００円　</t>
  </si>
  <si>
    <t xml:space="preserve">01/05　</t>
  </si>
  <si>
    <t>■ＪＦＥ条鋼/リバイブ ＣＰのみ５００円</t>
  </si>
  <si>
    <t xml:space="preserve">01/05～01/31　</t>
  </si>
  <si>
    <t>■山陽特殊／大同 ＨＳ１＠５０．５、ＨＳ２＠５０．３、ＨＳ３＠４８．３　数量５００ｔ（※東鉄岡山電特Ａスライド）</t>
  </si>
  <si>
    <t xml:space="preserve">12/27～01/09　</t>
  </si>
  <si>
    <t>■岸和田／豊通 Ｈ１＠４８．０、Ｈ２＠４６．０、Ｈ３＠４４．５（Ｈ１既存単価＋３．５、Ｈ２既存単価＋４．０、Ｈ３既存単価＋３．０）数量４００ｔ（※岸和田製鋼スライド）</t>
  </si>
  <si>
    <t xml:space="preserve">12/26　</t>
  </si>
  <si>
    <t xml:space="preserve">■山陽特殊／ＭＭ 新断＆ダライ以外５００円　■山口鋼業 新断＆ダライ以外５００円　■大同特殊鋼 新断＆ダライ以外５００円　</t>
  </si>
  <si>
    <t xml:space="preserve">12/25　</t>
  </si>
  <si>
    <t>■泉北中谷／豊通 新断のみ５００円　■ＪＦＥ条鋼/リバイブ Ｈ１～Ｌ１のみ２０００円</t>
  </si>
  <si>
    <t>■山陽特殊 ＨＳ以外５００円　■ＪＦＥ条鋼/リバイブ ＣＰのみ５００円、ダライのみ１５００円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</si>
  <si>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シュレのみ５００円、</t>
    </r>
    <r>
      <rPr>
        <rFont val="Arial"/>
        <color rgb="FFFF0000"/>
      </rPr>
      <t>田原</t>
    </r>
    <r>
      <rPr>
        <rFont val="Arial"/>
        <color rgb="FF000000"/>
      </rPr>
      <t>/海上陸上 新断以外５００円、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据置　■ヤマト 一律５００円　■トピー工業 新断以外５００円　■共英製鋼/名古屋 一律５００円　</t>
    </r>
  </si>
  <si>
    <t xml:space="preserve">12/20～12/26　</t>
  </si>
  <si>
    <t xml:space="preserve">12/17　</t>
  </si>
  <si>
    <t xml:space="preserve">■合同大阪 Ｈ１～Ｌ１のみ５００円　</t>
  </si>
  <si>
    <t xml:space="preserve">■中山製鋼 ＨＳ２～Ｌ１のみ３０００円、新断のみ２５００円　</t>
  </si>
  <si>
    <r>
      <rPr>
        <rFont val="Arial"/>
        <color rgb="FF000000"/>
      </rPr>
      <t xml:space="preserve">■大鉄堺／産振(日鉄萬) Ｈ１～Ｌ１のみ１０００円　</t>
    </r>
    <r>
      <rPr>
        <rFont val="Arial"/>
        <b/>
        <color rgb="FF980000"/>
      </rPr>
      <t xml:space="preserve">（スポット単価のみ）　</t>
    </r>
    <r>
      <rPr>
        <rFont val="Arial"/>
        <color rgb="FF000000"/>
      </rPr>
      <t>■大鉄堺／産振(産振) Ｈ１＆Ｈ２のみ１０００円</t>
    </r>
  </si>
  <si>
    <t xml:space="preserve">12/13～12/19　</t>
  </si>
  <si>
    <t xml:space="preserve">12/10　</t>
  </si>
  <si>
    <t>■大鉄堺／ナベ Ｈ２＠４４．７、Ｈ３＠４４．２、Ｌ１＠４３．７　置場単価（大鉄堺スライド）</t>
  </si>
  <si>
    <t xml:space="preserve">12/06～12/12　</t>
  </si>
  <si>
    <t xml:space="preserve">12/02　</t>
  </si>
  <si>
    <t>■南港／ナンセイ ＨＳのみ５００円　■双葉貿易 ＨＳのみ３００円、新断１５００円　■ＪＦＥ条鋼 ＣＰＡのみ２０００円</t>
  </si>
  <si>
    <t xml:space="preserve">■泉北中谷／豊通 新断のみ５００円　</t>
  </si>
  <si>
    <t xml:space="preserve">11/29～12/05　</t>
  </si>
  <si>
    <t xml:space="preserve">11/28　</t>
  </si>
  <si>
    <t xml:space="preserve">■合同大阪 Ｈ１のみ５００円　</t>
  </si>
  <si>
    <t xml:space="preserve">11/25　</t>
  </si>
  <si>
    <t xml:space="preserve">■合同姫路 新断５００円　</t>
  </si>
  <si>
    <t>■南港／ナンセイ ＨＳのみ１０００円</t>
  </si>
  <si>
    <t xml:space="preserve">11/21　</t>
  </si>
  <si>
    <t>■山陽特殊／ＭＭ 一律５００円　■愛知製鋼 一律５００円　■山口鋼業 一律５００円　■大同特殊 一律５００円　■トピー工業 一律５００円　■共英製鋼／名古屋 一律５００円　■中山製鋼 単体Ｈ１のみ４５００円</t>
  </si>
  <si>
    <t xml:space="preserve">11/20　</t>
  </si>
  <si>
    <t xml:space="preserve">■中山製鋼／豊通 単体Ｈ１のみ４５００円　■山陽特殊／産振 一律５００円　■ＪＦＥ条鋼 一律５００円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</si>
  <si>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一律５００円　■ヤマト 一律５００円　■合同姫路 一律５００円　■ＪＦＥ条鋼 一律５００円　■山陽特殊／産振 一律５００円</t>
    </r>
  </si>
  <si>
    <t xml:space="preserve">11/15～11/21　</t>
  </si>
  <si>
    <t>■山陽特殊／ＭＭ 新断５００円　■愛知製鋼 新断５００円　■大同特殊 新断５００円　■山口鋼業 新断５００円</t>
  </si>
  <si>
    <t xml:space="preserve">11/13　</t>
  </si>
  <si>
    <t>■山陽特殊／ＭＭ 甲山５００円　■愛知製鋼 甲山５００円　■大同特殊 甲山５００円　■山口鋼業 ＨＳ～Ｈ４のみ５００円</t>
  </si>
  <si>
    <t xml:space="preserve">11/12　</t>
  </si>
  <si>
    <t xml:space="preserve">■トピー工業 一律１０００円　■共英製鋼／名古屋 一律５００円　</t>
  </si>
  <si>
    <t>■岸和田 ダライ１０００円、その他５００円　■栗本鐵工所 一律５００円　■双葉／ナベ 一律５００円　■ヤマト 一律５００円　■合同姫路 新断以外５００円　■ＪＦＥ条鋼 一律５００円　■山陽特殊／産振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</si>
  <si>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一律５００円　■中山鋼業 一律５００円　■合同大阪 一律５００円　■大阪製鐵 ダライ１０００円、その他５００円　■共英製鋼／枚方 一律５００円</t>
    </r>
  </si>
  <si>
    <t xml:space="preserve">11/08～11/14　</t>
  </si>
  <si>
    <t>■岸和田／豊通 Ｈ１＠４７．５、Ｈ２＠４５．５、Ｈ３＠４４．０（Ｈ１既存単価＋３．５、Ｈ２既存単価＋４．０、Ｈ３既存単価＋３．０）数量４００ｔ（※岸和田製鋼スライド）</t>
  </si>
  <si>
    <t>■双葉貿易 ＨＳのみ９００円、Ｈ２のみ７００円、新断５００円</t>
  </si>
  <si>
    <t xml:space="preserve">11/06　</t>
  </si>
  <si>
    <t>■合同大阪 ＨＳ＆ヘビーのみ５００円　■合同姫路 ＨＳ＆ＧＨのみ５００円</t>
  </si>
  <si>
    <t xml:space="preserve">11/05　</t>
  </si>
  <si>
    <t>■合同姫路 一律５００円　■山陽特殊／ＭＭ 一律５００円　■愛知製鋼 一律５００円　■大同特殊一律５００円</t>
  </si>
  <si>
    <t xml:space="preserve">■山口鋼業 一律５００円　■トピー工業 一律１０００円　■共英製鋼／名古屋 一律５００円　</t>
  </si>
  <si>
    <t>■岸和田 ダライ１０００円、その他５００円　■クボタ 特級屑５００円　■栗本鐵工所 一律５００円　■共英製鋼／枚方 ダライ１０００円、その他５００円　■ヤマト 一律５００円　■ＪＦＥ条鋼一律５００円　■山陽特殊／産振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</si>
  <si>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５００円　■中山鋼業 一律５００円　■合同大阪 ＨＳ＆ヘビーのみ５００円　■大阪製鐵 ダライ１０００円、その他５００円　</t>
    </r>
  </si>
  <si>
    <t xml:space="preserve">11/01～11/07　</t>
  </si>
  <si>
    <t>■岸和田／豊通 Ｈ１＠４７．０、Ｈ２＠４５．５、Ｈ３＠４４．０（Ｈ１既存単価＋３．５、Ｈ２既存単価＋４．０、Ｈ３既存単価＋３．０）数量４００ｔ（※岸和田製鋼スライド）</t>
  </si>
  <si>
    <r>
      <rPr>
        <rFont val="Arial"/>
        <color rgb="FF000000"/>
      </rPr>
      <t>■東京製鉄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　■南港／ナンセイ Ｈ２＠４１．０、ＨＳ＠４７．０</t>
    </r>
  </si>
  <si>
    <t xml:space="preserve">10/29　</t>
  </si>
  <si>
    <t xml:space="preserve">■合同大阪 ヘビーのみ５００円　■岸和田 Ｈ１のみ１０００円、その他５００円　</t>
  </si>
  <si>
    <t xml:space="preserve">■ＪＦＥ条鋼／ナベ ＣＰ２０００円　</t>
  </si>
  <si>
    <t xml:space="preserve">10/25～10/31　</t>
  </si>
  <si>
    <t>■岸和田／豊通 Ｈ１＠４６．０、Ｈ２＠４４．５、Ｈ３＠４３．０（Ｈ１既存単価＋３．５、Ｈ２既存単価＋４．０、Ｈ３既存単価＋３．０）数量４００ｔ（※岸和田製鋼スライド）</t>
  </si>
  <si>
    <t xml:space="preserve">10/25　</t>
  </si>
  <si>
    <t xml:space="preserve">10/24　</t>
  </si>
  <si>
    <t xml:space="preserve">10/22　</t>
  </si>
  <si>
    <t>■合同姫路 一律５００円　■山陽特殊／ＭＭ 新断５００円、その他１０００円　■愛知製鋼  新断５００円、その他１０００円　■大同特殊  新断５００円、その他１０００円　■山口鋼業  新断５００円、その他１０００円</t>
  </si>
  <si>
    <t xml:space="preserve">10/21　</t>
  </si>
  <si>
    <t>■共英製鋼/枚方 ダライ以外５００円　■双葉貿易 Ｈ２のみ５００円　■ＪＦＥ条鋼／ナベ 一律５００円　■トピー工業 一律１０００円　■共英製鋼／名古屋 一律１０００円　■南港／ナンセイ ＨＳ＆Ｈ２のみ５００円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</si>
  <si>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■合同大阪 ヘビーのみ５００円　■大阪製鐵 ダライ以外５００円　■岸和田 ダライ以外５００円　</t>
    </r>
  </si>
  <si>
    <t xml:space="preserve">10/18～10/24　</t>
  </si>
  <si>
    <t>■岸和田／豊通 Ｈ１＠４５．０、Ｈ２＠４３．５、Ｈ３＠４２．０（Ｈ１既存単価＋３．０、Ｈ２既存単価＋３．５、Ｈ３既存単価＋２．５）数量フリー（※岸和田製鋼スライド）</t>
  </si>
  <si>
    <t xml:space="preserve">10/18　</t>
  </si>
  <si>
    <t xml:space="preserve">■中山鋼業 ダライ以外５００円　■クボタ 特級屑５００円　■合同姫路 一律５００円　</t>
  </si>
  <si>
    <t xml:space="preserve">10/17　</t>
  </si>
  <si>
    <t xml:space="preserve">■共英製鋼/枚方 ダライ以外５００円　■双葉貿易 Ｈ２のみ５００円　■ヤマト 一律５００円　■ＪＦＥ条鋼／ナベ 一律５００円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</si>
  <si>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一律据置、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据置　■合同大阪 一律５００円　■大阪製鐵 ダライ以外５００円　■岸和田 ダライ以外５００円　■栗本鐵工所 一律５００円　■山陽特殊／産振 一律５００円</t>
    </r>
  </si>
  <si>
    <t xml:space="preserve">10/15　</t>
  </si>
  <si>
    <t>■大阪製鐵 ダライ５００円、その他１５００円</t>
  </si>
  <si>
    <t xml:space="preserve">■南港／ナンセイ Ｈ２のみ２０００円　</t>
  </si>
  <si>
    <t>■山陽特殊／ＭＭ 一律１０００円　■愛知製鋼 一律１０００円　■大同特殊 一律１０００円　■山口鋼業 一律１０００円</t>
  </si>
  <si>
    <t xml:space="preserve">10/11～10/17　</t>
  </si>
  <si>
    <t>■岸和田／豊通 Ｈ１＠４４．５、Ｈ２＠４３．０、Ｈ３＠４１．５（Ｈ１既存単価＋３．０、Ｈ２既存単価＋３．５、Ｈ３既存単価＋２．５）数量フリー（※岸和田製鋼スライド）</t>
  </si>
  <si>
    <t xml:space="preserve">10/10　</t>
  </si>
  <si>
    <t>■泉北中谷/豊通 新断１０００円　■トピー工業 一律１０００円　■共英製鋼／名古屋 一律１０００円</t>
  </si>
  <si>
    <t xml:space="preserve">■栗本鐵工所 一律１０００円　■共英製鋼/枚方 ダライ以外５００円　■双葉貿易 一律５００円　■ヤマト 一律１０００円　■合同姫路 新断１５００円、その他１０００円　■山陽特殊/産振 一律１０００円　■ＪＦＥ条鋼／ナベ 一律１０００円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</si>
  <si>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一律１０００円　■中山製鋼 ダライ以外５００円　■中山鋼業 ダライ以外５００円　■合同大阪 一律１０００円　■岸和田 ダライ以外５００円</t>
    </r>
  </si>
  <si>
    <t xml:space="preserve">10/08　</t>
  </si>
  <si>
    <t>■合同姫路 一律５００円　■山陽特殊／産振 一律５００円　■山陽特殊／ＭＭ ダライ以外５００円　■愛知製鋼 ダライ以外５００円　■大同特殊 ダライ以外５００円　■山口鋼業 ダライ以外５００円　■ニュースコン稲永 新断５００円</t>
  </si>
  <si>
    <t xml:space="preserve">10/07　</t>
  </si>
  <si>
    <t>■トピー工業 一律５００円　■共英製鋼／名古屋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</si>
  <si>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一律５００円　■双葉貿易 Ｈ２のみ５００円　■ＪＦＥ条鋼／ナベ 一律５００円　</t>
    </r>
  </si>
  <si>
    <t xml:space="preserve">10/04　</t>
  </si>
  <si>
    <t xml:space="preserve">■岸和田 ダライのみ５００円　</t>
  </si>
  <si>
    <t xml:space="preserve">10/04～10/10　</t>
  </si>
  <si>
    <t>■岸和田／豊通 Ｈ１＠４４．０、Ｈ２＠４２．５、Ｈ３＠４１．０（Ｈ１既存単価＋３．０、Ｈ２既存単価＋３．５、Ｈ３既存単価＋２．５）数量フリー（※岸和田製鋼スライド）</t>
  </si>
  <si>
    <t xml:space="preserve">10/02　</t>
  </si>
  <si>
    <t>■合同姫路／阪和 新断Ａ＠４５．８（合同姫路スライド）</t>
  </si>
  <si>
    <t xml:space="preserve">09/30　</t>
  </si>
  <si>
    <t>■山陽特殊／産振 一律５００円</t>
  </si>
  <si>
    <t xml:space="preserve">09/27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</si>
  <si>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　■ヤマト 一律５００円　■ＪＦＥ条鋼／ナベ 一律１０００円</t>
    </r>
  </si>
  <si>
    <t xml:space="preserve">09/27～10/03　</t>
  </si>
  <si>
    <t xml:space="preserve">09/24　</t>
  </si>
  <si>
    <t>■ヤマト 一律５００円　■ＪＦＥ条鋼／ナベ ＨＳ＆ヘビー＆新断以外５００円</t>
  </si>
  <si>
    <t xml:space="preserve">09/23　</t>
  </si>
  <si>
    <t xml:space="preserve">09/22　</t>
  </si>
  <si>
    <t>■ＪＦＥ条鋼／ナベ  ＨＳ＆ヘビー＆新断のみ１０００円</t>
  </si>
  <si>
    <t xml:space="preserve">09/20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</si>
  <si>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　■ＪＦＥ条鋼／リバイブ  ＨＳ＆ヘビー＆新断＆CPのみ５００円</t>
    </r>
  </si>
  <si>
    <t xml:space="preserve">09/20～09/26　</t>
  </si>
  <si>
    <t>■ＪＦＥ条鋼／ナベ ＨＳ＆ヘビー＆新断のみ５００円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</si>
  <si>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　■ＪＦＥ条鋼／ナベ 一律５００円</t>
    </r>
  </si>
  <si>
    <t xml:space="preserve">09/13～09/19　</t>
  </si>
  <si>
    <t xml:space="preserve">09/10　</t>
  </si>
  <si>
    <t>■ＪＦＥ条鋼 一律５００円</t>
  </si>
  <si>
    <t xml:space="preserve">09/08～09/19　</t>
  </si>
  <si>
    <t>■泉北大都／豊通 ＨＳ＠４５．０（ＦＩＸ）約５００ｔ</t>
  </si>
  <si>
    <t xml:space="preserve">09/08　</t>
  </si>
  <si>
    <t>■トピー工業 ヘビーのみ５００円</t>
  </si>
  <si>
    <t xml:space="preserve">09/06～09/12　</t>
  </si>
  <si>
    <t xml:space="preserve">09/03　</t>
  </si>
  <si>
    <t xml:space="preserve">■岸和田 一律５００円　</t>
  </si>
  <si>
    <t xml:space="preserve">08/30　</t>
  </si>
  <si>
    <t xml:space="preserve">08/30～09/05　</t>
  </si>
  <si>
    <t>■岸和田／豊通 Ｈ１＠４４．５、Ｈ２＠４３．０、Ｈ３＠４１．５（Ｈ１既存単価＋３．０、Ｈ２既存単価＋３．５、Ｈ３既存単価＋２．５）約４００ｔ（※岸和田製鋼スライド）</t>
  </si>
  <si>
    <t xml:space="preserve">08/27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</si>
  <si>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　■中山製鋼 一律５００円　■中山鋼業 一律５００円　■大阪製鐵 一律１０００円　■岸和田 一律５００円　■栗本鐵工所 一律５００円　■共英製鋼／枚方 一律５００円</t>
    </r>
  </si>
  <si>
    <t>■ＪＦＥ条鋼 一律２０００円</t>
  </si>
  <si>
    <t xml:space="preserve">08/22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</si>
  <si>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　■山陽特殊／産振 一律５００円　■ＪＦＥ条鋼／ナベ 一律５００円</t>
    </r>
  </si>
  <si>
    <t xml:space="preserve">08/20　</t>
  </si>
  <si>
    <r>
      <rPr>
        <rFont val="Arial"/>
        <color rgb="FF000000"/>
      </rPr>
      <t xml:space="preserve">■東京製鉄 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</t>
    </r>
  </si>
  <si>
    <t xml:space="preserve">08/09～08/17　</t>
  </si>
  <si>
    <t>■合同大阪 一律１５００円上げ</t>
  </si>
  <si>
    <t xml:space="preserve">08/09～08/22　</t>
  </si>
  <si>
    <t>■岸和田／豊通 Ｈ１＠４５．０、Ｈ２＠４３．０、Ｈ３＠４２．０（Ｈ１既存単価＋３．０、Ｈ２既存単価＋３．５、Ｈ３既存単価＋２．５）約１００ｔ（※岸和田製鋼スライド）</t>
  </si>
  <si>
    <t xml:space="preserve">08/02～08/08　</t>
  </si>
  <si>
    <t>■岸和田／豊通 Ｈ１＠４５．０、Ｈ２＠４３．０、Ｈ３＠４２．０（Ｈ１既存単価＋３．０、Ｈ２既存単価＋３．５、Ｈ３既存単価＋２．５）５００ｔＵＰ（※岸和田製鋼スライド）</t>
  </si>
  <si>
    <t xml:space="preserve">07/26　</t>
  </si>
  <si>
    <r>
      <rPr>
        <rFont val="Arial"/>
        <color rgb="FF000000"/>
      </rPr>
      <t xml:space="preserve">■ヤマト </t>
    </r>
    <r>
      <rPr>
        <rFont val="Arial"/>
        <color rgb="FFFF0000"/>
      </rPr>
      <t xml:space="preserve"> </t>
    </r>
    <r>
      <rPr>
        <rFont val="Arial"/>
        <color rgb="FF000000"/>
      </rPr>
      <t>一律５００円</t>
    </r>
  </si>
  <si>
    <t xml:space="preserve">07/26～08/01　</t>
  </si>
  <si>
    <t xml:space="preserve">07/23　</t>
  </si>
  <si>
    <t>■山陽特殊／産振 一律５００円　■ニュースコン稲永 新断１０００円　■共英製鋼／名古屋 一律５００円</t>
  </si>
  <si>
    <t xml:space="preserve">07/19～07/25　</t>
  </si>
  <si>
    <t>■岸和田／豊通 Ｈ１＠４４．５、Ｈ２＠４２．５、Ｈ３＠４１．５（Ｈ１既存単価＋２．５、Ｈ２既存単価＋３．０、Ｈ３既存単価＋２．０）３００ｔＵＰ（※岸和田製鋼スライド）</t>
  </si>
  <si>
    <t xml:space="preserve">07/12～07/18　</t>
  </si>
  <si>
    <t xml:space="preserve">07/08　</t>
  </si>
  <si>
    <t>■ＪＦＥ条鋼  ＨＳ１＆ＨＳ２：Ｈ２＋５００円、Ｈ１：Ｈ２±０、Ｌ１：Ｈ２▲４０００円、Ｌ２：Ｈ２▲９０００円</t>
  </si>
  <si>
    <t>■ＪＦＥ条鋼 一ＣＰＡ＆Ｂ１０００円</t>
  </si>
  <si>
    <t xml:space="preserve">07/05～07/11　</t>
  </si>
  <si>
    <t>■岸和田／豊通 Ｈ１＠４４．０、Ｈ２＠４２．５、Ｈ３＠４１．５（Ｈ１既存単価＋２．０、Ｈ２既存単価＋２．５、Ｈ３既存単価＋２．０）数量フリー（※岸和田製鋼スライド）</t>
  </si>
  <si>
    <t xml:space="preserve">07/04　</t>
  </si>
  <si>
    <t xml:space="preserve">■山陽特殊／ＭＭ 一律５００円　■ＪＦＥ条鋼 ダライ５００円　■愛知製鋼 一律５００円　■山口鋼業 一律５００円　■大同特殊鋼 一律５００円　</t>
  </si>
  <si>
    <t xml:space="preserve">07/03　</t>
  </si>
  <si>
    <t>■岸和田 ダライ５００円　■共英製鋼／枚方 一律５００円　■泉北中谷／豊通 新断５００円　■山陽特殊／産振 一律５００円　■ヤマト 一律５００円　■トピー工業 一律５００円　■共英製鋼／名古屋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</si>
  <si>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一律５００円　■中山製鋼 一律５００円　■中山鋼業 一律５００円　■合同大阪 Ｈ１～Ｌ１のみ５００円　■大阪製鐵 一律５００円　</t>
    </r>
  </si>
  <si>
    <t xml:space="preserve">07/02　</t>
  </si>
  <si>
    <t>■双葉貿易 ＨＳのみ１５００円、その他１００円</t>
  </si>
  <si>
    <t xml:space="preserve">07/01　</t>
  </si>
  <si>
    <t>■ＪＦＥ条鋼 Ｈ１＆新断５００円、ＣＰ１０００円　■山陽特殊／ＭＭ 新断＆ダライ以外５００円　■愛知製鋼 新断＆ダライ以外５００円　■山口鋼業 新断以外５００円　■大同特殊鋼 新断＆ダライ以外５００円　■トピー工業 ヘビー＆ダライ５００円</t>
  </si>
  <si>
    <t xml:space="preserve">06/28～07/04　</t>
  </si>
  <si>
    <t xml:space="preserve">06/28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</si>
  <si>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 xml:space="preserve">/海上陸上 一律５００円　■クボタ 特級屑５００円　■愛知製鋼／ナベ　一律５００円　■トピー工業 一律５００円　■共英製鋼／名古屋 一律５００円　</t>
    </r>
  </si>
  <si>
    <t xml:space="preserve">06/25　</t>
  </si>
  <si>
    <t xml:space="preserve">06/24　</t>
  </si>
  <si>
    <t>■双葉貿易 新断８００円</t>
  </si>
  <si>
    <t>■双葉貿易 Ｈ２のみ５００円</t>
  </si>
  <si>
    <t xml:space="preserve">06/21～06/27　</t>
  </si>
  <si>
    <t>■岸和田／豊通 Ｈ１＠４４．０、Ｈ２＠４２．５、Ｈ３＠４１．５（Ｈ１既存単価＋２．５、Ｈ２既存単価＋３．０、Ｈ３既存単価＋２．５）数量フリー（※岸和田製鋼スライド）</t>
  </si>
  <si>
    <t xml:space="preserve">06/21　</t>
  </si>
  <si>
    <t>■中山製鋼 一律５００円　■岸和田 ダライ＆シュレ以外５００円　■栗本鐵工所 一律５００円</t>
  </si>
  <si>
    <t xml:space="preserve">06/20　</t>
  </si>
  <si>
    <t>■中山鋼業 一律５００円　■大阪製鐵 一律５００円　■共英製鋼／枚方 一律５００円</t>
  </si>
  <si>
    <t xml:space="preserve">06/19　</t>
  </si>
  <si>
    <t>■合同大阪 Ｈ１～Ｌ１のみ５００円</t>
  </si>
  <si>
    <t xml:space="preserve">06/14　</t>
  </si>
  <si>
    <r>
      <rPr>
        <rFont val="Arial"/>
        <color rgb="FF000000"/>
      </rPr>
      <t xml:space="preserve">■ヤマト </t>
    </r>
    <r>
      <rPr>
        <rFont val="Arial"/>
        <color rgb="FFFF0000"/>
      </rPr>
      <t xml:space="preserve"> </t>
    </r>
    <r>
      <rPr>
        <rFont val="Arial"/>
        <color rgb="FF000000"/>
      </rPr>
      <t>一律５００円</t>
    </r>
  </si>
  <si>
    <t xml:space="preserve">06/14～06/20　</t>
  </si>
  <si>
    <t>■岸和田／豊通 Ｈ１＠４４．５、Ｈ２＠４３．０、Ｈ３＠４２．０（Ｈ１既存単価＋２．５、Ｈ２既存単価＋３．０、Ｈ３既存単価＋２．５）数量フリー（※岸和田製鋼スライド）</t>
  </si>
  <si>
    <t xml:space="preserve">06/12　</t>
  </si>
  <si>
    <t>■ＪＦＥ条鋼 ＣＰのみ１０００円</t>
  </si>
  <si>
    <t xml:space="preserve">06/07～06/13　</t>
  </si>
  <si>
    <t>■岸和田／豊通 Ｈ１＠４５．５、Ｈ２＠４４．０、Ｈ３＠４３．０（Ｈ１既存単価＋２．５、Ｈ２既存単価＋３．０、Ｈ３既存単価＋２．５）数量フリー（※岸和田製鋼スライド）</t>
  </si>
  <si>
    <t xml:space="preserve">06/07　</t>
  </si>
  <si>
    <r>
      <rPr>
        <rFont val="Arial"/>
        <color rgb="FF000000"/>
      </rPr>
      <t xml:space="preserve">■東京製鉄 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</t>
    </r>
  </si>
  <si>
    <t xml:space="preserve">06/03　</t>
  </si>
  <si>
    <t>■双葉貿易 Ｈ２のみ２５００円、新断１８００円</t>
  </si>
  <si>
    <t>■栗本鐵工所 一律５００円　■共英製鋼／枚方 一律５００円　■山陽特殊／産振 一律５００円　■ＪＦＥ条鋼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</si>
  <si>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　■中山製鋼 一律５００円　■中山鋼業 一律５００円　■合同大阪 一律５００円　■大阪製鐵 一律５００円　■岸和田 一律５００円</t>
    </r>
  </si>
  <si>
    <t xml:space="preserve">05/31～06/06　</t>
  </si>
  <si>
    <t xml:space="preserve">05/30　</t>
  </si>
  <si>
    <t xml:space="preserve">05/24　</t>
  </si>
  <si>
    <t xml:space="preserve">■ヤマト 一律５００円　</t>
  </si>
  <si>
    <t xml:space="preserve">05/24～05/30　</t>
  </si>
  <si>
    <t>■岸和田／豊通 Ｈ１＠４６．０、Ｈ２＠４４．５、Ｈ３＠４３．５（Ｈ１既存単価＋３．０、Ｈ２既存単価＋３．５、Ｈ３既存単価＋３．０）数量４００ｔ（※岸和田製鋼スライド）</t>
  </si>
  <si>
    <t xml:space="preserve">05/23　</t>
  </si>
  <si>
    <t xml:space="preserve">■合同大阪 ヘビー＆新断５００円　</t>
  </si>
  <si>
    <t xml:space="preserve">05/22　</t>
  </si>
  <si>
    <t xml:space="preserve">05/20　</t>
  </si>
  <si>
    <t xml:space="preserve">■中山鋼業 Ｈ１のみ５００円　</t>
  </si>
  <si>
    <t xml:space="preserve">05/10　</t>
  </si>
  <si>
    <t>■合同大阪 一律５００円　■双葉貿易 ＨＳのみ１０００円、Ｈ２のみ１５００円、新断５００円</t>
  </si>
  <si>
    <t xml:space="preserve">05/10～05/16　</t>
  </si>
  <si>
    <t xml:space="preserve">05/07～05/09　</t>
  </si>
  <si>
    <t>■岸和田／豊通 Ｈ１＠４６．０、Ｈ２＠４４．５、Ｈ３＠４３．５（Ｈ１既存単価＋３．０、Ｈ２既存単価＋３．５、Ｈ３既存単価＋３．０）数量フリー（※岸和田製鋼スライド）</t>
  </si>
  <si>
    <t xml:space="preserve">■合同大阪 一律５００円　■ＪＦＥ条鋼 一律５００円　</t>
  </si>
  <si>
    <t xml:space="preserve">04/26　</t>
  </si>
  <si>
    <t>■愛知製鋼 新断１０００円、その他５００円　■山口鋼業 新断１０００円、その他５００円　■大同特殊鋼 新断１０００円、その他５００円　■トピー工業 一律５００円　■ニュースコン稲永 新断５００円　■共英製鋼／名古屋 一律５００円</t>
  </si>
  <si>
    <t>■クボタ 特級屑５００円　■栗本鐵工所 一律５００円　■共英製鋼／枚方 一律５００円　■ヤマト 一律５００円　■山陽特殊／産振 一律５００円　■山陽特殊／ＭＭ 新断１０００円、その他５００円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</si>
  <si>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■大阪製鐵 一律５００円　■岸和田 一律５００円</t>
    </r>
  </si>
  <si>
    <t xml:space="preserve">04/26～05/02　</t>
  </si>
  <si>
    <t>■岸和田／豊通 Ｈ１＠４６．５、Ｈ２＠４５．０、Ｈ３＠４４．０（Ｈ１既存単価＋３．０、Ｈ２既存単価＋３．５、Ｈ３既存単価＋３．０）３００ｔ（※岸和田製鋼スライド）</t>
  </si>
  <si>
    <t>■山陽特殊／ＭＭ 一律５００円　■愛知製鋼 一律５００円　■山口鋼業 一律５００円　■大同特殊鋼 一律５００円　■トピー工業 一律１０００円</t>
  </si>
  <si>
    <t xml:space="preserve">04/23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</si>
  <si>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■山陽特殊／ＭＭ 新断以外５００円　■愛知製鋼 新断以外５００円　■山口鋼業 新断以外５００円　■大同特殊鋼 新断以外５００円　■共英製鋼／名古屋 一律５００円</t>
    </r>
  </si>
  <si>
    <t xml:space="preserve">04/22　</t>
  </si>
  <si>
    <t>■共英製鋼／名古屋 一律５００円　■ニュースコン稲永 新断５００円　■双葉貿易 一律５００円</t>
  </si>
  <si>
    <t xml:space="preserve">■共英製鋼／枚方 一律５００円　■南港中谷／産振 シュレ５００円　■ヤマト 一律５００円　■ＪＦＥ条鋼 一律５００円　■栗本鐵工所 一律５００円　■山陽特殊／産振 一律５００円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</si>
  <si>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 xml:space="preserve">関西ｻﾃﾗｲﾄ </t>
    </r>
    <r>
      <rPr>
        <rFont val="Arial"/>
        <color rgb="FF000000"/>
      </rPr>
      <t>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■大阪製鐵 一律５００円　■岸和田 一律５００円</t>
    </r>
  </si>
  <si>
    <t xml:space="preserve">04/19～04/25　</t>
  </si>
  <si>
    <t>■岸和田／豊通 Ｈ１＠４７．０、Ｈ２＠４５．５、Ｈ３＠４４．５（Ｈ１既存単価＋３．０、Ｈ２既存単価＋３．５、Ｈ３既存単価＋３．０）３００ｔ（※岸和田製鋼スライド）</t>
  </si>
  <si>
    <t xml:space="preserve">04/18　</t>
  </si>
  <si>
    <r>
      <rPr>
        <rFont val="Arial"/>
        <color theme="1"/>
      </rPr>
      <t xml:space="preserve">■東京製鉄 </t>
    </r>
    <r>
      <rPr>
        <rFont val="Arial"/>
        <color rgb="FFFF0000"/>
      </rPr>
      <t>岡山</t>
    </r>
    <r>
      <rPr>
        <rFont val="Arial"/>
        <color theme="1"/>
      </rPr>
      <t>/海上陸上 一律５００円　■中山製鋼 一律５００円　■大阪製鐵 Ｌ２以外５００円　■南港中谷 シュレ５００円　■ヤマト 一律５００円　■山陽特殊／産振 一律５００円　■ＪＦＥ条鋼 一律５００円　■双葉貿易 ＨＳのみ５００円</t>
    </r>
  </si>
  <si>
    <t xml:space="preserve">04/12～04/18　</t>
  </si>
  <si>
    <t>■岸和田／豊通 Ｈ１＠４７．５、Ｈ２＠４６．０、Ｈ３＠４５．０（Ｈ１既存単価＋３．５、Ｈ２既存単価＋４．０、Ｈ３既存単価＋３．５）４００ｔ（※岸和田製鋼スライド）</t>
  </si>
  <si>
    <t>■共英製鋼／枚方 Ｈ１のみ５００円、Ｈ２のみ１０００円、Ｈ３のみ１５００円、Ｌ１のみ２０００円</t>
  </si>
  <si>
    <t>■双葉貿易 ＨＳのみ１５００円　■ニュースコン稲永 新断５００円</t>
  </si>
  <si>
    <t xml:space="preserve">04/09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</si>
  <si>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一律１５００円　■トピー工業  一律１０００円　■共英製鋼／名古屋 一律１０００円</t>
    </r>
  </si>
  <si>
    <t xml:space="preserve">04/05～04/11　</t>
  </si>
  <si>
    <t>■岸和田 Ｈ１のみ１０００円、その他５００円　■栗本鐵工所 一律１０００円　■山陽特殊／ＭＭ 新断以外１５００円　■愛知製鋼 新断以外１５００円　■大同特殊 新断以外１５００円　■山口鋼業 新断以外１５００円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</si>
  <si>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>/海上陸上 新断２５００円、その他１５００円、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一律１５００円　■トピー工業  新断２５００円、その他１５００円　■共英製鋼／名古屋 一律１５００円</t>
    </r>
  </si>
  <si>
    <t xml:space="preserve">■ＪＦＥ条鋼 Ｈ１～Ｌ２＆新断１０００円　</t>
  </si>
  <si>
    <t>4月～6月</t>
  </si>
  <si>
    <t>■衣浦港／産振（名古屋） ＨＳ＠東京製鐵/田原陸上電特Ａ＋２．０（スケール０．５％）（５０ｔ／月）</t>
  </si>
  <si>
    <t xml:space="preserve">03/29～04/04　</t>
  </si>
  <si>
    <t>■岸和田／豊通 Ｈ１＠４７．０、Ｈ２＠４５．５、Ｈ３＠４４．５（Ｈ１既存単価＋４．０、Ｈ２既存単価＋４．０、Ｈ３既存単価＋３．５）フリー（※岸和田製鋼スライド）</t>
  </si>
  <si>
    <t xml:space="preserve">03/28　</t>
  </si>
  <si>
    <t xml:space="preserve">03/27　</t>
  </si>
  <si>
    <t>■山陽特殊／ＭＭ 新断１０００円　■愛知製鋼 新断１０００円　■大同特殊 新断１０００円</t>
  </si>
  <si>
    <t xml:space="preserve">03/24～03/31　</t>
  </si>
  <si>
    <t>■山陽特殊／ＭＭ 新断Ａ４７．５　新断Ｂ４６．５（１００ｔ）</t>
  </si>
  <si>
    <t xml:space="preserve">03/22～03/28　</t>
  </si>
  <si>
    <t>■岸和田／豊通 Ｈ１＠４７．０、Ｈ２＠４５．５、Ｈ３＠４４．５（Ｈ１既存単価＋４．０、Ｈ２既存単価＋４．０、Ｈ３既存単価＋３．５）４００ｔ（※岸和田製鋼スライド）</t>
  </si>
  <si>
    <t xml:space="preserve">03/22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</si>
  <si>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　■ヤマト 一律５００円　■山陽特殊／産振 一律５００円　■ＪＦＥ条鋼 一律５００円　■双葉貿易 ＨＳ５００円、Ｈ２：２０００円</t>
    </r>
  </si>
  <si>
    <t xml:space="preserve">03/15　　</t>
  </si>
  <si>
    <t>■クボタ 特級屑５００円　■ニュースコン稲永 新断１０００円</t>
  </si>
  <si>
    <t xml:space="preserve">03/15～03/21　</t>
  </si>
  <si>
    <t>■山口鋼業 新断１０００円</t>
  </si>
  <si>
    <t xml:space="preserve">03/08～03/14　</t>
  </si>
  <si>
    <t xml:space="preserve">02/26　</t>
  </si>
  <si>
    <t>■中山鋼業 Ｈ１のみ１５００円、Ｈ２～Ｌ１バラのみ１０００円、その他５００円</t>
  </si>
  <si>
    <t xml:space="preserve">03/01　</t>
  </si>
  <si>
    <t>■合同大阪 新断１０００円、ＨＳのみ５００円</t>
  </si>
  <si>
    <t xml:space="preserve">03/01～03/07　</t>
  </si>
  <si>
    <t>■中山製鋼 一律５００円</t>
  </si>
  <si>
    <t xml:space="preserve">02/22～02/28　</t>
  </si>
  <si>
    <t>■岸和田／豊通 Ｈ１＠４７．０、Ｈ２＠４５．５、Ｈ３＠４５．０（Ｈ１既存単価＋４．０、Ｈ２既存単価＋４．０、Ｈ３既存単価＋４．０）４００ｔ（※岸和田製鋼スライド）</t>
  </si>
  <si>
    <t xml:space="preserve">02/22　</t>
  </si>
  <si>
    <t xml:space="preserve">■ＪＦＥ条鋼 ＣＰのみ１０００円　</t>
  </si>
  <si>
    <t>■合同大阪 Ｈ１～Ｌ１のみ１０００円、新断のみ５００円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</si>
  <si>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</t>
    </r>
  </si>
  <si>
    <t>■大阪製鐵 Ｈ１＆ＪＨ１＆ダライ＋１０００円、Ｈ２～Ｌ１＆新断＆ＣＰＢ＋１５００円、シュレ＋２０００円、ＣＰＡ＋５５００円　■大阪製鐵／産振 Ｈ２～Ｌ１のみ５００円（スポット分）</t>
  </si>
  <si>
    <t xml:space="preserve">■大阪製鐵／産振 一律１０００円　■山陽特殊／産振 一律１０００円　</t>
  </si>
  <si>
    <r>
      <rPr>
        <rFont val="Arial"/>
        <color theme="1"/>
      </rPr>
      <t>02/18～02/</t>
    </r>
    <r>
      <rPr>
        <rFont val="Arial"/>
        <strike/>
        <color theme="1"/>
      </rPr>
      <t>24</t>
    </r>
    <r>
      <rPr>
        <rFont val="Arial"/>
        <color theme="1"/>
      </rPr>
      <t xml:space="preserve">22　</t>
    </r>
  </si>
  <si>
    <r>
      <rPr>
        <rFont val="Arial"/>
        <color theme="1"/>
      </rPr>
      <t>■大鉄堺／産振 Ｈ１＠４５．２、Ｈ２＠４３．２、Ｈ３＠４２．７、Ｌ１＠４２．２（※単独１０００円上げ）</t>
    </r>
    <r>
      <rPr>
        <rFont val="Arial"/>
        <b/>
        <color rgb="FF980000"/>
      </rPr>
      <t>⇒Ｈ１のみ据置</t>
    </r>
  </si>
  <si>
    <t xml:space="preserve">02/18～02/28　　</t>
  </si>
  <si>
    <t>■中山鋼業 Ｈ３＠４５．０（Ｈ１既存単価＋１．５）、Ｌ１＠４５．０（既存単価＋１．５）※８００ｔ</t>
  </si>
  <si>
    <t xml:space="preserve">02/15～02/21　</t>
  </si>
  <si>
    <t>■岸和田／豊通 Ｈ１＠４７．０、Ｈ２＠４５．５、Ｈ３＠４５．０（Ｈ１既存単価＋４．０、Ｈ２既存単価＋４．０、Ｈ３既存単価＋４．０）１００ｔ（※岸和田製鋼スライド）</t>
  </si>
  <si>
    <t xml:space="preserve">02/14　</t>
  </si>
  <si>
    <t>■岸和田 一律１０００円　■共英製鋼／枚方 一律１０００円　■ＪＦＥ条鋼 一律１０００円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</si>
  <si>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　■中山製鋼 一律１０００円　■中山鋼業 一律１０００円　■合同大阪 一律１０００円　■大阪製鐵 一律１０００円　</t>
    </r>
  </si>
  <si>
    <t xml:space="preserve">02/13～02/28　　</t>
  </si>
  <si>
    <t>■南港大都Ｊ１／産振 ＨＳ＠４６．０（２０００ｔ）</t>
  </si>
  <si>
    <t xml:space="preserve">02/12　</t>
  </si>
  <si>
    <t>■ナンセイ Ｈ２のみ２０００円</t>
  </si>
  <si>
    <t xml:space="preserve">02/08　</t>
  </si>
  <si>
    <t>■中山鋼業 Ｈ３～Ｌ１バラのみ１０００円</t>
  </si>
  <si>
    <t xml:space="preserve">02/07～02/14　</t>
  </si>
  <si>
    <t>■岸和田／豊通 Ｈ１＠４６．０、Ｈ２＠４４．５、Ｈ３＠４４．０（Ｈ１既存単価＋４．０、Ｈ２既存単価＋４．０、Ｈ３既存単価＋４．０）４００ｔ（※岸和田製鋼スライド）</t>
  </si>
  <si>
    <t xml:space="preserve">02/05　</t>
  </si>
  <si>
    <t>■中山製鋼 新断５００円</t>
  </si>
  <si>
    <t xml:space="preserve">01/29～　　</t>
  </si>
  <si>
    <r>
      <rPr>
        <rFont val="Arial"/>
        <color rgb="FF000000"/>
      </rPr>
      <t xml:space="preserve">■中山鋼業 Ｈ１＠４５．０（Ｈ１既存単価＋１．５）　Ｈ２検収落ちは現在の単価　※８００ｔ　</t>
    </r>
    <r>
      <rPr>
        <rFont val="Arial"/>
        <color rgb="FF980000"/>
      </rPr>
      <t>2/15完納</t>
    </r>
  </si>
  <si>
    <t xml:space="preserve">■愛知製鋼 新断以外５００円　■山口鋼業 新断以外５００円　■大同特殊鋼 新断以外５００円　■トピー工業 一律５００円　■共英製鋼／名古屋 一律５００円　</t>
  </si>
  <si>
    <t xml:space="preserve">■ヤマト 一律５００円　■山陽特殊／産振 一律５００円　■山陽特殊／ＭＭ 一律１０００円　■ＪＦＥ条鋼 一律５００円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</si>
  <si>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一律５００円　■大阪製鐵 ダライ以外５００円　■岸和田 ダライ以外５００円　■共英製鋼／枚方 一律５００円　</t>
    </r>
  </si>
  <si>
    <t xml:space="preserve">01/28　</t>
  </si>
  <si>
    <t>■合同大阪 新断１０００円</t>
  </si>
  <si>
    <t xml:space="preserve">01/25～01/31　</t>
  </si>
  <si>
    <t>■岸和田／豊通 Ｈ１＠４５．０、Ｈ２＠４４．５、Ｈ３＠４２．５（Ｈ１既存単価＋２．５、Ｈ２既存単価＋３．５、Ｈ３既存単価＋２．０）５００ｔ（※岸和田製鋼スライド）</t>
  </si>
  <si>
    <r>
      <rPr>
        <rFont val="Arial"/>
        <color rgb="FF000000"/>
      </rPr>
      <t xml:space="preserve">■東京製鉄 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■トピー工業 新断以外１０００円</t>
    </r>
  </si>
  <si>
    <t xml:space="preserve">01/23～01/31　</t>
  </si>
  <si>
    <t>■大鉄堺／産振 Ｈ１＠４３．７、Ｈ２＠４１．７、Ｈ３＠４１．２、Ｌ１＠４０．７　２～３台／日（※大阪製鐵陸上スライド）</t>
  </si>
  <si>
    <t xml:space="preserve">01/22　</t>
  </si>
  <si>
    <t xml:space="preserve">01/21　</t>
  </si>
  <si>
    <t xml:space="preserve">01/18～01/24　</t>
  </si>
  <si>
    <t>■岸和田／豊通 Ｈ１＠４５．０、Ｈ２＠４４．５、Ｈ３＠４２．５（Ｈ１更新、Ｈ２既存単価＋０．５、Ｈ３既存単価＋２．０）５００ｔ（※岸和田製鋼スライド）</t>
  </si>
  <si>
    <t xml:space="preserve">01/11～01/17　</t>
  </si>
  <si>
    <t xml:space="preserve">■ＪＦＥ条鋼 Ｈ１～Ｌ１のみ５００円　</t>
  </si>
  <si>
    <t xml:space="preserve">01/06～01/10　</t>
  </si>
  <si>
    <t xml:space="preserve">12/21　</t>
  </si>
  <si>
    <t>■愛知製鋼 一律５００円　■山口鋼業 一律５００円　■大同特殊鋼 一律５００円　■山陽特殊／ＭＭ 一律５００円</t>
  </si>
  <si>
    <t xml:space="preserve">12/20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</si>
  <si>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 xml:space="preserve">/海上陸上 一律５００円　■大阪製鐵 Ｈ２～Ｌ１のみ１０００円　■トピー工業 一律５００円　■共英製鋼／枚方 Ｌ１のみ５００円　■共英製鋼／名古屋 一律５００円　</t>
    </r>
  </si>
  <si>
    <t>■中山鋼業 Ｈ３～Ｌ１バラ５００円</t>
  </si>
  <si>
    <t xml:space="preserve">12/18　</t>
  </si>
  <si>
    <t>■中山鋼業 Ｌ１バラ＋６０００円</t>
  </si>
  <si>
    <t xml:space="preserve">12/14～12/20　</t>
  </si>
  <si>
    <t>■中山鋼業 ダライ５００円</t>
  </si>
  <si>
    <t xml:space="preserve">12/11　</t>
  </si>
  <si>
    <t>■大阪製鐵／直納 Ｈ１～Ｌ２、ＪＨ１＋５００円</t>
  </si>
  <si>
    <t xml:space="preserve">12/07～12/13　</t>
  </si>
  <si>
    <t>■岸和田／豊通 Ｈ１＠４５．０、Ｈ２＠４４．５、Ｈ３＠４２．５、（Ｈ１更新、Ｈ２既存単価＋０．５、Ｈ３既存単価＋２．０）５００ｔ（※岸和田製鋼スライド）</t>
  </si>
  <si>
    <t xml:space="preserve">12/07　</t>
  </si>
  <si>
    <t xml:space="preserve">■ＪＦＥ条鋼 新断５００円　</t>
  </si>
  <si>
    <t xml:space="preserve">11/30～12/06　</t>
  </si>
  <si>
    <t xml:space="preserve">12/02～12/07　</t>
  </si>
  <si>
    <t>■大鉄堺／産振 Ｈ１＠４４．０、Ｈ２＠４２．０、Ｈ３＠４１．５、Ｌ１＠４１．０　　５００ｔ±５％（※大阪製鐵陸上スライド）</t>
  </si>
  <si>
    <t xml:space="preserve">11/23～11/29　</t>
  </si>
  <si>
    <t xml:space="preserve">■大阪製鐵 一律１５００円　</t>
  </si>
  <si>
    <t xml:space="preserve">11/16～11/22　</t>
  </si>
  <si>
    <t xml:space="preserve">11/08～11/15　</t>
  </si>
  <si>
    <t>■岸和田／豊通 Ｈ１＠４５．０、Ｈ２＠４４．０（Ｈ１既存単価＋２．５、Ｈ２既存単価＋３．０）５００ｔ（※岸和田製鋼スライド）</t>
  </si>
  <si>
    <t xml:space="preserve">■中山製鋼 一律１０００円　</t>
  </si>
  <si>
    <t xml:space="preserve">■岸和田製鋼 一律１０００円　■栗本鐵工所 一律１０００円　■クボタ 特級屑１０００円　</t>
  </si>
  <si>
    <t>■中山製鋼 新断Ｃ＠４１．８（新断Ａ▲２．０）開設</t>
  </si>
  <si>
    <t xml:space="preserve">■合同大阪 ヘビー屑５００円、ＨＳのみ１０００円　■共英製鋼／枚方 ヘビー＆シュレのみ５００円　</t>
  </si>
  <si>
    <t>■ＪＦＥ条鋼 Ｈ１～Ｌ２＆新断のみ１０００円</t>
  </si>
  <si>
    <t>■山陽特殊／産振 一律１０００円　■愛知製鋼／ナベ 一律２０００円</t>
  </si>
  <si>
    <t>■双葉貿易 ＨＳのみ１５００円、新断のみ８００円</t>
  </si>
  <si>
    <t xml:space="preserve">10/16　</t>
  </si>
  <si>
    <t xml:space="preserve">■中山鋼業 ダライ据置、Ｈ３～Ｌ１バラ２０００円、その他１０００円　</t>
  </si>
  <si>
    <t xml:space="preserve">10/12　</t>
  </si>
  <si>
    <t>■クボタ 特級屑１０００円　■双葉貿易 ＨＳ＆新断のみ１５００円</t>
  </si>
  <si>
    <t>■中山製鋼 一律１０００円　■合同大阪 一律５００円　■山陽特殊 一律１５００円　■愛知製鋼 一律１５００円　■山口鋼業 一律１５００円　■大同特殊鋼 一律１５００円　■大谷製鉄 電特Ａ１０００円</t>
  </si>
  <si>
    <t xml:space="preserve">■山陽特殊／産振 一律１０００円　■双葉貿易 ＨＳ＆新断のみ１０００円、Ｈ２のみ１５００円　</t>
  </si>
  <si>
    <t>■栗本鐵工所 一律１０００円　■共英製鋼／枚方 一律１０００円　■ヤマト 一律１０００円　■ＪＦＥ条鋼 一律１０００円　■トピー工業 一律１５００円　■共英製鋼／名古屋 一律１５００円　■ニュースコン稲永 一律１０００円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</si>
  <si>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一律１５００円　■中山鋼業 Ｈ３～Ｌ１バラ２０００円、その他１０００円　■大阪製鐵 一律５００円　■岸和田 一律１０００円</t>
    </r>
  </si>
  <si>
    <t xml:space="preserve">10/09　</t>
  </si>
  <si>
    <t xml:space="preserve">■双葉貿易 ＨＳ＆新断のみ２０００円、Ｈ２のみ２５００円　</t>
  </si>
  <si>
    <t xml:space="preserve">10/05　</t>
  </si>
  <si>
    <t>■ナンセイ 一律１０００円</t>
  </si>
  <si>
    <t xml:space="preserve">10/01　</t>
  </si>
  <si>
    <t xml:space="preserve">■愛知製鋼 甲山５００円（スポット外れる）　</t>
  </si>
  <si>
    <t>10月～12月</t>
  </si>
  <si>
    <t>■衣浦港／産振（名古屋） ＨＳ＠東京製鐵/田原陸上電特Ａ＋２．０（スケール０．５％）（１００ｔ／月）</t>
  </si>
  <si>
    <t xml:space="preserve">09/28　</t>
  </si>
  <si>
    <t>■岸和田 一律５００円　■栗本鐵工所 ＣＰ５００円、その他１０００円　■クボタ 特級屑１０００円</t>
  </si>
  <si>
    <t>■愛知製鋼 一律１０００円　■山口鋼業 一律１０００円　■大同特殊鋼 一律１０００円　■トピー工業 一律１０００円　■ニュースコン稲永 新断５００円　■共英製鋼／名古屋 一律１０００円　■大谷製鉄 電特Ａ１０００円</t>
  </si>
  <si>
    <t xml:space="preserve">■ヤマト 一律５００円　■山陽特殊／産振 一律５００円　■山陽特殊／ＭＭ 一律１０００円　■ＪＦＥ条鋼 ＨＳ＆Ｈ１～Ｌ２のみ１０００円、その他５００円　■共英製鋼／枚方 一律１０００円　■双葉貿易 ＨＳ＆新断１０００円、Ｈ２のみ５００円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</si>
  <si>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一律１５００円　■中山鋼業 一律１０００円　■大阪製鐵 一律１０００円　</t>
    </r>
  </si>
  <si>
    <t xml:space="preserve">09/26　</t>
  </si>
  <si>
    <t xml:space="preserve">09/25　</t>
  </si>
  <si>
    <t xml:space="preserve">■合同大阪 一律２０００円　■大谷製鉄 電特Ａ５００円　</t>
  </si>
  <si>
    <t xml:space="preserve">09/21　</t>
  </si>
  <si>
    <t xml:space="preserve">■岸和田 ダライ１０００円、その他１５００円　■ヤマト 一律１０００円　■山陽特殊 一律１０００円　■栗本鐵工所 一律２０００円　■ＪＦＥ条鋼 一律１０００円　■共英製鋼／枚方 一律１５００円　■双葉貿易 一律１０００円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</si>
  <si>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一律１５００円、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一律１０００円　■中山鋼業 一律１５００円　■大阪製鐵 一律１５００円　■クボタ 特級屑２５００円　</t>
    </r>
  </si>
  <si>
    <t xml:space="preserve">■双葉貿易 ＨＳのみ１０００円　</t>
  </si>
  <si>
    <t xml:space="preserve">09/19　</t>
  </si>
  <si>
    <t>■中山製鋼 一律１０００円　■大阪製鐵 Ｌ２据置、その他５００円</t>
  </si>
  <si>
    <t xml:space="preserve">09/18　</t>
  </si>
  <si>
    <t>■中山鋼業 一律１０００円　■合同大阪 一律１５００円　■大阪製鐵 Ｌ２＆ダライ据置、その他５００円　■岸和田 ダライ据置、その他１０００円　■共英製鋼／枚方 一律１０００円</t>
  </si>
  <si>
    <t xml:space="preserve">■大谷製鉄 電特Ａ１５００円　</t>
  </si>
  <si>
    <t>■愛知製鋼 甲山１０００円、新断１５００円、ダライ２０００円　■山口鋼業 一律１０００円　■大同特殊鋼 一律１０００円　■トピー工業 一律１０００円　■ニュースコン稲永 新断５００円　■共英製鋼／名古屋 一律１０００円　■クボタ 特級屑３０００円</t>
  </si>
  <si>
    <t xml:space="preserve">■岸和田 ダライ５００円、その他１０００円　■ヤマト 一律１０００円　■山陽特殊 一律１０００円　■栗本鐵工所 一律１０００円　■ＪＦＥ条鋼 一律１０００円　■共英製鋼／枚方 一律１０００円　■双葉貿易 ＨＳのみ１５００円、その他２０００円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</si>
  <si>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一律１０００円　■中山製鋼 一律１０００円　■中山鋼業 一律１０００円　■大阪製鐵 ＣＰ据置、ダライ５００円、その他１０００円</t>
    </r>
  </si>
  <si>
    <t>■中山製鋼 ダライ１０００円、その他５００円　■合同大阪 一律２０００円　■大谷製鉄 電特Ａ１５００円　■クボタ 特級屑３０００円</t>
  </si>
  <si>
    <t>■ＪＦＥ条鋼 ＣＰ＆故銑５００円</t>
  </si>
  <si>
    <t xml:space="preserve">09/12　</t>
  </si>
  <si>
    <t>■愛知製鋼 一律１０００円　■山口鋼業 一律１０００円　■大同特殊鋼 一律１０００円　■トピー工業 一律１０００円　■ニュースコン稲永 新断２０００円　■共英製鋼／名古屋 一律１０００円</t>
  </si>
  <si>
    <t>■岸和田 ダライ１０００円、その他１５００円　■ヤマト 一律１０００円　■山陽特殊 一律１０００円　■栗本鐵工所 一律１０００円　■ＪＦＥ条鋼 ダライ２０００円、その他１５００円　■共英製鋼／枚方 一律１５００円　■双葉貿易 一律１５００円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</si>
  <si>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一律１０００円　■中山製鋼 一律１０００円　■中山鋼業 一律１５００円　■大阪製鐵 一律１０００円</t>
    </r>
  </si>
  <si>
    <t xml:space="preserve">■岸和田 Ｈ１のみ５００円（９/３付反映忘れ）　</t>
  </si>
  <si>
    <t xml:space="preserve">09/11　</t>
  </si>
  <si>
    <t xml:space="preserve">■山陽特殊／ＭＭ 一律５００円　■愛知製鋼 一律５００円　■山口鋼業 一律５００円　■大同特殊鋼 一律５００円　</t>
  </si>
  <si>
    <t>■ＪＦＥ商事大都／ＧＲＭ ＨＳ１＠４６．９</t>
  </si>
  <si>
    <t>■トピー工業 一律５００円　■ニュースコン稲永 新断５００円　■共英製鋼／名古屋 一律５００円</t>
  </si>
  <si>
    <t>■岸和田 ダライ１０００円、その他５００円　■ヤマト 一律５００円　■山陽特殊／産振 一律５００円　■栗本鐵工所 一律１０００円　■ＪＦＥ条鋼 一律５００円　■共英製鋼／枚方 一律５００円　■双葉貿易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</si>
  <si>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Ｈ３～Ｌ１バラ１０００円、その他５００円　■大阪製鐵 一律５００円</t>
    </r>
  </si>
  <si>
    <t xml:space="preserve">09/09　</t>
  </si>
  <si>
    <t xml:space="preserve">■合同大阪 新断１０００円、その他５００円　■大谷製鉄 電特Ａ５００円　</t>
  </si>
  <si>
    <t xml:space="preserve">09/07　</t>
  </si>
  <si>
    <t>■山陽特殊／ＭＭ一律１０００円　■愛知製鋼 一律１０００円　■山口鋼業 一律１０００円　■大同特殊鋼 一律１０００円　■トピー工業 一律５００円　■ニュースコン稲永 新断５００円　■共英製鋼／名古屋 一律５００円　■大谷製鉄 電特Ａ５００円</t>
  </si>
  <si>
    <t xml:space="preserve">■岸和田 ダライ１０００円、その他５００円　■ヤマト 一律５００円　■山陽特殊／産振 一律５００円　■ＪＦＥ条鋼 一律５００円　■共英製鋼／枚方 一律５００円　■双葉貿易 ＨＳのみ５００円、その他１０００円　■クボタ 特級屑２０００円　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</si>
  <si>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一律５００円　■中山製鋼 一律５００円　■中山鋼業 一律５００円　■大阪製鐵 一律５００円（Ｈ１のみ１０００円／産振＆伊藤忠）　</t>
    </r>
  </si>
  <si>
    <t>■山陽特殊／産振 一律５００円　■栗本鐵工所 一律５００円　■ＪＦＥ条鋼 一律５００円　■共英製鋼／枚方 一律５００円　■双葉貿易 一律５００円　■トピー工業 一律５００円　■ニュースコン稲永 新断５００円　■共英製鋼／名古屋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</si>
  <si>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■大阪製鐵 一律５００円　■岸和田 一律５００円　■ヤマト 一律５００円</t>
    </r>
  </si>
  <si>
    <t xml:space="preserve">09/05　</t>
  </si>
  <si>
    <t xml:space="preserve">■山陽特殊／ＭＭ 一律５００円　■愛知製鋼 一律５００円　■山口鋼業 一律５００円　■大同特殊鋼 一律５００円　■共英製鋼／名古屋 一律５００円　■大谷製鉄 電特Ａ５００円　</t>
  </si>
  <si>
    <t xml:space="preserve">09/04　</t>
  </si>
  <si>
    <t>■岸和田 一律５００円　■ヤマト 一律５００円　■山陽特殊／産振 一律５００円　■栗本鐵工所 一律５００円　■ＪＦＥ条鋼 一律５００円　■共英製鋼／枚方 一律５００円　■双葉貿易 一律５００円　■大谷製鉄 電特Ａ５００円　■トピー工業 一律５００円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</si>
  <si>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電特Ａ＆特Ａ以外５００円、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■合同大阪 一律５００円　■大阪製鐵 一律５００円</t>
    </r>
  </si>
  <si>
    <t xml:space="preserve">■岸和田 ダライ１０００円、その他５００円　■栗本鐵工所 一律５００円　■共英製鋼／枚方 一律５００円　■双葉貿易 一律１０００円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</si>
  <si>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据置、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ダライ１０００円、その他５００円　■中山鋼業 Ｈ１のみ１０００円、その他５００円　■合同大阪 一律５００円　■大阪製鐵 一律５００円</t>
    </r>
  </si>
  <si>
    <t xml:space="preserve">09/02　</t>
  </si>
  <si>
    <t>■愛知製鋼／ナベショー ＨＳ１＆ＨＳ２＆Ｈ１のみ＋５００円</t>
  </si>
  <si>
    <t xml:space="preserve">■中山鋼業 Ｈ１のみ５００円　■岸和田 ダライ１０００円　■双葉貿易 ＨＳ＆新断のみ１０００円　</t>
  </si>
  <si>
    <t xml:space="preserve">08/29　</t>
  </si>
  <si>
    <t xml:space="preserve">■双葉貿易 Ｈ２のみ１０００円　</t>
  </si>
  <si>
    <t xml:space="preserve">08/28　</t>
  </si>
  <si>
    <t xml:space="preserve">■山陽特殊／ＭＭ 一律５００円　■愛知製鋼 一律５００円　■山口鋼業 一律５００円　■大同特殊鋼 一律５００円　■大谷製鉄 電特Ａ１０００円　</t>
  </si>
  <si>
    <t>■トピー工業 一律１０００円　■ニュースコン稲永 新断５００円　■共英製鋼／名古屋 一律５００円</t>
  </si>
  <si>
    <t xml:space="preserve">■岸和田 一律５００円　■ヤマト 一律５００円　■山陽特殊／産振 一律５００円　■栗本鐵工所 一律５００円　■ＪＦＥ条鋼 一律５００円　■共英製鋼／枚方 一律５００円　■双葉貿易 一律５００円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</si>
  <si>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■合同大阪 一律５００円　■大阪製鐵 一律５００円</t>
    </r>
  </si>
  <si>
    <t>08/24.26</t>
  </si>
  <si>
    <t>■岸和田／豊通 Ｈ１＠５１．５、Ｈ２＠５０．５（Ｈ１既存単価＋１５００、Ｈ２既存単価＋２５００）数量フリー／日（※岸和田製鋼スライド）</t>
  </si>
  <si>
    <t>■クボタ 特級屑１０００円　■トピー工業 一律１０００円</t>
  </si>
  <si>
    <t xml:space="preserve">■山陽特殊／ＭＭ 新断＆ダライ２０００円、その他１０００円　■愛知製鋼 一律１０００円　■山口鋼業 ダライ２０００円、新断１５００円、その他１０００円　■大同特殊鋼 新断＆ダライ２０００円、その他１０００円　</t>
  </si>
  <si>
    <t>■大谷製鉄 電特Ａ１０００円　■ニュースコン稲永 新断５００円</t>
  </si>
  <si>
    <t>■ニュースコン稲永 新断１０００円　■共英製鋼／名古屋 一律１０００円</t>
  </si>
  <si>
    <t xml:space="preserve">■大阪製鐵 一律１０００円　■岸和田 一律１０００円　■ヤマト 一律１０００円　■山陽特殊／産振 一律１０００円　■栗本鐵工所 一律１５００円　■ＪＦＥ条鋼 一律１０００円　■共英製鋼／枚方 一律１０００円　■双葉貿易 一律１０００円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</si>
  <si>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一律１０００円　■中山鋼業 Ｈ１以外１０００円　■合同大阪 新断１０００円、その他５００円　</t>
    </r>
  </si>
  <si>
    <t xml:space="preserve">■大谷製鉄 電特Ａ５００円　</t>
  </si>
  <si>
    <t xml:space="preserve">08/10　</t>
  </si>
  <si>
    <t>■合同大阪 ダライ以外５００円　■クボタ 特級屑１０００円</t>
  </si>
  <si>
    <t>08/10.16.17.19</t>
  </si>
  <si>
    <t>■岸和田／豊通 Ｈ１＠５２．５、Ｈ２＠５１．５（Ｈ１既存単価＋１５００、Ｈ２既存単価＋２５００）min１５０ｔ／日（※岸和田製鋼スライド）</t>
  </si>
  <si>
    <t xml:space="preserve">08/08　</t>
  </si>
  <si>
    <t>■合同大阪 一律２５００円</t>
  </si>
  <si>
    <t>08/07～08/17</t>
  </si>
  <si>
    <t>■大阪製鉄／産振 Ｈ１＠５２．０、Ｈ２＠４９．７</t>
  </si>
  <si>
    <t xml:space="preserve">08/07　</t>
  </si>
  <si>
    <t xml:space="preserve">■山陽特殊／ＭＭ 一律２０００円　■愛知製鋼 一律２０００円　■山口鋼業 一律２０００円　■大同特殊鋼 一律２０００円　</t>
  </si>
  <si>
    <t xml:space="preserve">08/06　</t>
  </si>
  <si>
    <t>■ニュースコン稲永 新断２５００円　■双葉貿易 ＨＳ＆新断１５００円、Ｈ２のみ１０００円</t>
  </si>
  <si>
    <t xml:space="preserve">■岸和田 一律１０００円　■ヤマト 一律１０００円　■山陽特殊／産振 一律１０００円　■トピー工業 一律２０００円　■栗本鐵工所 一律１０００円　■ＪＦＥ条鋼 一律１０００円　■共英製鋼／枚方 一律２０００円　■大谷製鉄 電特Ａ１０００円　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</si>
  <si>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一律１５００円、</t>
    </r>
    <r>
      <rPr>
        <rFont val="Arial"/>
        <color rgb="FFFF0000"/>
      </rPr>
      <t>田原</t>
    </r>
    <r>
      <rPr>
        <rFont val="Arial"/>
        <color rgb="FF000000"/>
      </rPr>
      <t>/海上陸上 一律２０００円、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一律２０００円　■中山製鋼 一律１０００円　■中山鋼業 Ｈ１のみ５００円、その他１０００円　■大阪製鐵 一律１０００円　　</t>
    </r>
  </si>
  <si>
    <t>■山陽特殊／ＭＭ 一律１０００円　■愛知製鋼 一律１０００円　■山口鋼業 一律１０００円　■大同特殊鋼 一律１０００円　■共英製鋼／名古屋 一律１０００円　■クボタ 特級屑５００円</t>
  </si>
  <si>
    <t>■ヤマト 一律５００円　■山陽特殊／産振 一律５００円　■トピー工業 一律１０００円　■栗本鐵工所 一律５００円　■ＪＦＥ条鋼 一律５００円　■共英製鋼／枚方 一律５００円　■双葉貿易 一律５００円　■ニュースコン稲永 新断１５００円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</si>
  <si>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一律５００円　■中山鋼業 一律５００円　■大阪製鐵 一律５００円　■岸和田 一律５００円　</t>
    </r>
  </si>
  <si>
    <t>7月～9月</t>
  </si>
  <si>
    <t>2025(R7)年2月15日～</t>
  </si>
  <si>
    <t>11/22~荷受再開</t>
  </si>
  <si>
    <t>1月度
300t</t>
  </si>
  <si>
    <t>1月～
3月</t>
  </si>
  <si>
    <r>
      <rPr>
        <rFont val="Arial"/>
        <color theme="1"/>
      </rPr>
      <t>ＨＳ１</t>
    </r>
    <r>
      <rPr>
        <rFont val="Arial"/>
        <color theme="1"/>
        <sz val="8.0"/>
      </rPr>
      <t>(単体H1/電特A/HS))</t>
    </r>
  </si>
  <si>
    <r>
      <rPr>
        <rFont val="Arial"/>
        <color theme="1"/>
      </rPr>
      <t>ＪＨ１</t>
    </r>
    <r>
      <rPr>
        <rFont val="Arial"/>
        <color theme="1"/>
        <sz val="9.0"/>
      </rPr>
      <t>(H2T山口)鍛造ﾊﾞﾘ</t>
    </r>
  </si>
  <si>
    <t>■東洋トレーディング＠８０（４/４：置場）　■津和商事＠６８（１１／１７：置場）　■ＧＲＭ＠６５（９/４～前回▲７：置場）　■岡田金属／京都＠７１（１１／２４：置場）　■東昌商事＠８０（８/６：置場）</t>
  </si>
  <si>
    <t>■ＧＲＭ（旧中西産業）＠１１０（９／１６：置場）　■東洋トレーディング＠９５（４/１０：置場）　■津和商事＠８０（１２／７：置場）　■岡田金属／京都＠７６（３／３１：置場）　■東昌商事＠１１０（８/６：置場）大阪＠１１５（置場）</t>
  </si>
  <si>
    <t>■津和商事＠１４５【室内機＆室外機共】（７／１）、＠１３０【ビルトイン】、＠１２０【ガスヒーポン】　■日中商事【外機】＠１８０（１０/３０）【内機&amp;ﾋﾞﾙﾄｲﾝ&amp;ﾁﾗｰﾕﾆｯﾄ】＠１４０（１０/３０）【ｽﾎﾟｯﾄｸｰﾗｰ】＠１６０（１０/３０）</t>
  </si>
  <si>
    <r>
      <rPr>
        <rFont val="Arial"/>
        <color theme="1"/>
      </rPr>
      <t>ＧＲＭ／親和スチール</t>
    </r>
    <r>
      <rPr>
        <rFont val="Arial"/>
        <strike/>
        <color theme="1"/>
      </rPr>
      <t>＠１７８</t>
    </r>
    <r>
      <rPr>
        <rFont val="Arial"/>
        <color theme="1"/>
      </rPr>
      <t>（南港持込：9/7付：前回7/26+3：運賃▲３．０）ステンダライ＠１６３～１５３（ｲﾝｻｲｽﾞ▲15＆▲20＆▲25混じりによって変更）　解体ステン＠１７３（ｲﾝｻｲｽﾞ▲20？：３/７付）</t>
    </r>
  </si>
  <si>
    <t>ＧＲＭ／藤本金属＠１８９（１０/１０付：前回９/１９＋１５）ステンダライ＠１７４（インサイズ▲１５が基本）解体ステン＠？（付）</t>
  </si>
  <si>
    <t xml:space="preserve">豊通／藤本金属【新プラント土混じり】＠１８０／１％（１/２１付：前回１２/１０▲５）　</t>
  </si>
  <si>
    <r>
      <rPr>
        <rFont val="Arial"/>
        <color theme="1"/>
      </rPr>
      <t>■ナベ／アスク【持込／引取▲３】２４５【１１/１～+１５ソーティング部Ｃ】、＠</t>
    </r>
    <r>
      <rPr>
        <rFont val="Arial"/>
        <strike/>
        <color theme="1"/>
      </rPr>
      <t>１７０</t>
    </r>
    <r>
      <rPr>
        <rFont val="Arial"/>
        <color theme="1"/>
      </rPr>
      <t>【12/？付栗東市入札分Ｂ】　■豊通名古屋／ＴＫ ＠</t>
    </r>
    <r>
      <rPr>
        <rFont val="Arial"/>
        <strike/>
        <color theme="1"/>
      </rPr>
      <t>２３５</t>
    </r>
    <r>
      <rPr>
        <rFont val="Arial"/>
        <color theme="1"/>
      </rPr>
      <t>【４月前半／置場：３月前半より＋１０】</t>
    </r>
  </si>
  <si>
    <r>
      <rPr>
        <rFont val="Arial"/>
        <color theme="1"/>
      </rPr>
      <t>■ナベ／アスク【持込／引取▲３】 ＠１３０【８/１９～▲２０ソーティング部】　＠</t>
    </r>
    <r>
      <rPr>
        <rFont val="Arial"/>
        <strike/>
        <color theme="1"/>
      </rPr>
      <t>６５</t>
    </r>
    <r>
      <rPr>
        <rFont val="Arial"/>
        <color theme="1"/>
      </rPr>
      <t>【４/１６～栗東入札分】</t>
    </r>
  </si>
  <si>
    <r>
      <rPr>
        <rFont val="Arial"/>
        <color theme="1"/>
      </rPr>
      <t>■ＭＭ／担当：清水氏（080-1327-4392）⇒中西産業／二唐部長へバトンタッチ【ニュースコン愛知方面引取】 ＠７２（８／１１付）⇒2021.10～ナベ／アスク＠２４５（１１/１～+１５）■豊通／ＴＫ＠</t>
    </r>
    <r>
      <rPr>
        <rFont val="Arial"/>
        <strike/>
        <color theme="1"/>
      </rPr>
      <t>２３５</t>
    </r>
    <r>
      <rPr>
        <rFont val="Arial"/>
        <color theme="1"/>
      </rPr>
      <t>【４月前半／置場：３月前半より＋１０】</t>
    </r>
  </si>
  <si>
    <t>■ナベ／アスク＠９０【１０/２１～+５】（３/２８～選別方法変更）【アルミ缶混じり＠１と交互の場合は▲２５＠６５】　■トーヨーメタル＠５０（７／２５）　■豊通名古屋／ＴＫ＠７５【置場：11/12トライアル希望】</t>
  </si>
  <si>
    <t>■ナベ／ＥＮＴソリューション ＠４５（５/８付け持込み※鉄付▲３．０）　■ナベ／平田工業 ＠３２（２ｍ以下：９/４付）→名古屋持込　■ナベ／エコネコル（大都）＠１６※1ｍ以内※（Ｈ３０／１１／３０付）持込み</t>
  </si>
  <si>
    <t xml:space="preserve">02/15　</t>
  </si>
  <si>
    <t>■クボタ 特級屑１０００円　■栗本鐵工所 一律１０００円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</si>
  <si>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据置　■中山製鋼 一律１０００円　■中山鋼業 一律１０００円　■合同大阪 一律１０００円　■大阪製鐵 一律１０００円　</t>
    </r>
  </si>
  <si>
    <t>■岸和田／豊通 Ｈ１＠４６．０、Ｈ２＠４４．５、Ｈ３＠４４．０、（Ｈ１既存単価＋４．０、Ｈ２既存単価＋４．０、Ｈ３既存単価＋４．０）４００ｔ（※岸和田製鋼スライド）</t>
  </si>
  <si>
    <t>■中山鋼業 Ｈ１＠４５．０（Ｈ１既存単価＋１．５）　Ｈ２検収落ちは現在の単価　※８００ｔ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</si>
  <si>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一律５００円　■大阪製鐵 ダライ以外５００円　■岸和田 ダライ以外５００円　■共英製鋼／枚方 一律５００円　</t>
    </r>
  </si>
  <si>
    <t>■岸和田／豊通 Ｈ１＠４５．０、Ｈ２＠４４．５、Ｈ３＠４２．５、（Ｈ１既存単価＋２．５、Ｈ２既存単価＋３．５、Ｈ３既存単価＋２．０）５００ｔ（※岸和田製鋼スライド）</t>
  </si>
  <si>
    <r>
      <rPr>
        <rFont val="Arial"/>
        <color rgb="FF000000"/>
      </rPr>
      <t xml:space="preserve">■東京製鉄 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■トピー工業 新断以外１０００円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</si>
  <si>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田原</t>
    </r>
    <r>
      <rPr>
        <rFont val="Arial"/>
        <color rgb="FF000000"/>
      </rPr>
      <t xml:space="preserve">/海上陸上 一律５００円　■大阪製鐵 Ｈ２～Ｌ１のみ１０００円　■トピー工業 一律５００円　■共英製鋼／枚方 Ｌ１のみ５００円　■共英製鋼／名古屋 一律５００円　</t>
    </r>
  </si>
  <si>
    <t>■山陽特殊／産振 一律１０００円　■愛知製鋼／ナベ 一律２００円</t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</si>
  <si>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 一律１５００円　■中山鋼業 Ｈ３～Ｌ１バラ２０００円、その他１０００円　■大阪製鐵 一律５００円　■岸和田 一律１０００円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</si>
  <si>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一律１５００円　■中山鋼業 一律１０００円　■大阪製鐵 一律１０００円　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</si>
  <si>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一律１５００円、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一律１０００円　■中山鋼業 一律１５００円　■大阪製鐵 一律１５００円　■クボタ 特級屑２５００円　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</si>
  <si>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一律１０００円　■中山製鋼 一律１０００円　■中山鋼業 一律１０００円　■大阪製鐵 ＣＰ据置、ダライ５００円、その他１０００円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</si>
  <si>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一律１０００円　■中山製鋼 一律１０００円　■中山鋼業 一律１５００円　■大阪製鐵 一律１０００円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</si>
  <si>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Ｈ３～Ｌ１バラ１０００円、その他５００円　■大阪製鐵 一律５００円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</si>
  <si>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一律５００円　■中山製鋼 一律５００円　■中山鋼業 一律５００円　■大阪製鐵 一律５００円（Ｈ１のみ１０００円／産振＆伊藤忠）　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</si>
  <si>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■大阪製鐵 一律５００円　■岸和田 一律５００円　■ヤマト 一律５００円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</si>
  <si>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電特Ａ＆特Ａ以外５００円、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■合同大阪 一律５００円　■大阪製鐵 一律５００円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</si>
  <si>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据置、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据置、</t>
    </r>
    <r>
      <rPr>
        <rFont val="Arial"/>
        <color rgb="FFFF0000"/>
      </rPr>
      <t>田原</t>
    </r>
    <r>
      <rPr>
        <rFont val="Arial"/>
        <color rgb="FF000000"/>
      </rPr>
      <t>/海上陸上 据置、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ダライ１０００円、その他５００円　■中山鋼業 Ｈ１のみ１０００円、その他５００円　■合同大阪 一律５００円　■大阪製鐵 一律５００円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</si>
  <si>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一律５００円、</t>
    </r>
    <r>
      <rPr>
        <rFont val="Arial"/>
        <color rgb="FFFF0000"/>
      </rPr>
      <t>名古屋ｻﾃﾗｲﾄ</t>
    </r>
    <r>
      <rPr>
        <rFont val="Arial"/>
        <color rgb="FF000000"/>
      </rPr>
      <t>/陸上 一律５００円　■中山製鋼 一律５００円　■中山鋼業 一律５００円　■合同大阪 一律５００円　■大阪製鐵 一律５００円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</si>
  <si>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一律１０００円、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一律１０００円　■中山鋼業 Ｈ１以外１０００円　■合同大阪 新断１０００円、その他５００円　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</si>
  <si>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一律１０００円、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一律１５００円、</t>
    </r>
    <r>
      <rPr>
        <rFont val="Arial"/>
        <color rgb="FFFF0000"/>
      </rPr>
      <t>田原</t>
    </r>
    <r>
      <rPr>
        <rFont val="Arial"/>
        <color rgb="FF000000"/>
      </rPr>
      <t>/海上陸上 一律２０００円、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一律２０００円　■中山製鋼 一律１０００円　■中山鋼業 Ｈ１のみ５００円、その他１０００円　■大阪製鐵 一律１０００円　　</t>
    </r>
  </si>
  <si>
    <r>
      <rPr>
        <rFont val="Arial"/>
        <color rgb="FF000000"/>
      </rPr>
      <t xml:space="preserve">■東京製鉄 </t>
    </r>
    <r>
      <rPr>
        <rFont val="Arial"/>
        <color rgb="FFFF0000"/>
      </rPr>
      <t>岡山</t>
    </r>
    <r>
      <rPr>
        <rFont val="Arial"/>
        <color rgb="FF000000"/>
      </rPr>
      <t>/海上陸上 一律５００円、</t>
    </r>
    <r>
      <rPr>
        <rFont val="Arial"/>
        <color rgb="FFFF0000"/>
      </rPr>
      <t>関西ｻﾃﾗｲﾄ</t>
    </r>
    <r>
      <rPr>
        <rFont val="Arial"/>
        <color rgb="FF000000"/>
      </rPr>
      <t xml:space="preserve"> 一律５００円、</t>
    </r>
    <r>
      <rPr>
        <rFont val="Arial"/>
        <color rgb="FFFF0000"/>
      </rPr>
      <t>田原</t>
    </r>
    <r>
      <rPr>
        <rFont val="Arial"/>
        <color rgb="FF000000"/>
      </rPr>
      <t>/海上陸上 一律１０００円、</t>
    </r>
    <r>
      <rPr>
        <rFont val="Arial"/>
        <color rgb="FFFF0000"/>
      </rPr>
      <t>名古屋ｻﾃﾗｲﾄ</t>
    </r>
    <r>
      <rPr>
        <rFont val="Arial"/>
        <color rgb="FF000000"/>
      </rPr>
      <t xml:space="preserve">/陸上 一律１０００円　■中山製鋼 一律５００円　■中山鋼業 一律５００円　■大阪製鐵 一律５００円　■岸和田 一律５００円　</t>
    </r>
  </si>
  <si>
    <t>id</t>
  </si>
  <si>
    <t>日付</t>
  </si>
  <si>
    <t>メーカー</t>
  </si>
  <si>
    <t>商社</t>
  </si>
  <si>
    <t>処理列1</t>
  </si>
  <si>
    <t>品名</t>
  </si>
  <si>
    <t>処理列2</t>
  </si>
  <si>
    <t>単価上げ下げ</t>
  </si>
  <si>
    <t>前回単価</t>
  </si>
  <si>
    <t>スポット</t>
  </si>
  <si>
    <t>備考</t>
  </si>
  <si>
    <t>最新フラグ</t>
  </si>
  <si>
    <t>タイムスタンプ</t>
  </si>
  <si>
    <t>検索列</t>
  </si>
  <si>
    <t>3bedf1a7-b8dc-4dba-a3dc-58cf830e6c31</t>
  </si>
  <si>
    <t>rireki1</t>
  </si>
  <si>
    <t>ce8503a7</t>
  </si>
  <si>
    <t>ＨＳ１(単体H1/電特A/HS))</t>
  </si>
  <si>
    <t>48747de1</t>
  </si>
  <si>
    <t>497a028a-3b1f-4426-9ecd-296f22567742</t>
  </si>
  <si>
    <t>f10f09a4-4188-4ea3-b3f0-edf0a45861f2</t>
  </si>
  <si>
    <t>e9691088-d6cb-44a8-b3ef-555f9c5cb5ec</t>
  </si>
  <si>
    <t>6eaf68c8-4467-4824-b33e-7650c95f1c6f</t>
  </si>
  <si>
    <t>c1c0e03b</t>
  </si>
  <si>
    <t>9bfb716d</t>
  </si>
  <si>
    <t>19849843-17c1-4bb2-9839-bd705568da5e</t>
  </si>
  <si>
    <t>751acffc-a50b-4f73-bcb0-d7f173c8317a</t>
  </si>
  <si>
    <t>a04b1bf6-022e-4650-a840-10730d194bf1</t>
  </si>
  <si>
    <t>7dfe278e-f663-4a72-94e2-389c93eaca17</t>
  </si>
  <si>
    <t>3088011d-7c6a-4296-b401-9b5500b8a581</t>
  </si>
  <si>
    <t>014d3892-8948-4f51-91c5-aecc16f56ab6</t>
  </si>
  <si>
    <t>db7a0ea1-9a34-4b87-aaf6-7a20add54248</t>
  </si>
  <si>
    <t>2399ce65-6b1d-4442-934e-de6ceff75990</t>
  </si>
  <si>
    <t>ffc3d29f-a332-475e-abcd-bf46750514d8</t>
  </si>
  <si>
    <t>739b690c-7c1d-4a00-a758-a1ffe0dd67b6</t>
  </si>
  <si>
    <t>8c986f25-1765-46f2-a734-e062f4bddebe</t>
  </si>
  <si>
    <t>6feba612-b976-48c3-b628-88c859057e04</t>
  </si>
  <si>
    <t>35ef135c-c853-4fd8-a2bf-0e91e13a27b0</t>
  </si>
  <si>
    <t>01a77980-cf0d-4e63-8cad-ffa083effcb8</t>
  </si>
  <si>
    <t>ed87843f-40e5-4bb9-94ed-4831aad7c186</t>
  </si>
  <si>
    <t>7e73e743-83f2-42e9-a226-965ad0f29f7a</t>
  </si>
  <si>
    <t>d82de8fc-c8d9-4f49-83ce-034ac67451e1</t>
  </si>
  <si>
    <t>e3168d56-ae37-432b-908d-68fa33e17bf6</t>
  </si>
  <si>
    <t>5c6a1a93-72ba-4c1f-b535-6bb4c7360399</t>
  </si>
  <si>
    <t>19273810-9a13-4f32-bcc8-cf421140ffc9</t>
  </si>
  <si>
    <t>a3894075-c142-40e0-8941-4e91bed4b1aa</t>
  </si>
  <si>
    <t>e02bfbb7-a2de-48a2-bed0-1f7a9dabcb16</t>
  </si>
  <si>
    <t>97bd2bff-9e6d-4b0c-9791-b359363522c3</t>
  </si>
  <si>
    <t>5aec5516-f0fc-49fb-91e4-02c1a8507980</t>
  </si>
  <si>
    <t>977fc0fa</t>
  </si>
  <si>
    <t>豊通/出張商店</t>
  </si>
  <si>
    <t>51111930</t>
  </si>
  <si>
    <t>豊通/中川嘉弘商店</t>
  </si>
  <si>
    <t>6c9cfd55</t>
  </si>
  <si>
    <t>80636c50</t>
  </si>
  <si>
    <t>ＪＨ１(H2T山口)鍛造ﾊﾞﾘ</t>
  </si>
  <si>
    <t>51ddbd20</t>
  </si>
  <si>
    <t>78496ccf</t>
  </si>
  <si>
    <t>c03939d4</t>
  </si>
  <si>
    <t>8ed05e9d</t>
  </si>
  <si>
    <t>2db6fbe4</t>
  </si>
  <si>
    <t>af33093c-a73e-4a5d-b189-73497f035cc2</t>
  </si>
  <si>
    <t>7630fed4-752d-46fb-b981-a08129d9eae9</t>
  </si>
  <si>
    <t>e5f1a101-f866-41c2-ba2f-a83fafcfc10f</t>
  </si>
  <si>
    <t>35dc7a71-3229-4178-a9ca-955daed49fc2</t>
  </si>
  <si>
    <t>e4fdf477-b82d-4379-807f-8e70c7f2731f</t>
  </si>
  <si>
    <t>1686e8ea-d510-4eab-89dd-d13805414ee1</t>
  </si>
  <si>
    <t>58e75923-1b46-4e6e-98a3-dd20161711c6</t>
  </si>
  <si>
    <t>636921f9</t>
  </si>
  <si>
    <t>94e2a169</t>
  </si>
  <si>
    <t>81f13931</t>
  </si>
  <si>
    <t>d8212b85</t>
  </si>
  <si>
    <t>d8212b86</t>
  </si>
  <si>
    <t>d8212b87</t>
  </si>
  <si>
    <t>d8212b88</t>
  </si>
  <si>
    <t>d8212b89</t>
  </si>
  <si>
    <t>d8212b90</t>
  </si>
  <si>
    <t>d8212b92</t>
  </si>
  <si>
    <t>d8212b93</t>
  </si>
  <si>
    <t>d8212b94</t>
  </si>
  <si>
    <t>d8212b95</t>
  </si>
  <si>
    <t>d8212b96</t>
  </si>
  <si>
    <t>d8212b97</t>
  </si>
  <si>
    <t>d8212b98</t>
  </si>
  <si>
    <t>d8212b99</t>
  </si>
  <si>
    <t>d8212b100</t>
  </si>
  <si>
    <t>d8212b101</t>
  </si>
  <si>
    <t>d8212b102</t>
  </si>
  <si>
    <t>d8212b103</t>
  </si>
  <si>
    <t>d8212b104</t>
  </si>
  <si>
    <t>d8212b105</t>
  </si>
  <si>
    <t>d8212b106</t>
  </si>
  <si>
    <t>d8212b107</t>
  </si>
  <si>
    <t>d8212b108</t>
  </si>
  <si>
    <t>d8212b109</t>
  </si>
  <si>
    <t>d8212b110</t>
  </si>
  <si>
    <t>d8212b111</t>
  </si>
  <si>
    <t>d8212b112</t>
  </si>
  <si>
    <t>d8212b113</t>
  </si>
  <si>
    <t>d8212b114</t>
  </si>
  <si>
    <t>d8212b115</t>
  </si>
  <si>
    <t>d8212b116</t>
  </si>
  <si>
    <t>d8212b117</t>
  </si>
  <si>
    <t>d8212b118</t>
  </si>
  <si>
    <t>d8212b119</t>
  </si>
  <si>
    <t>d8212b120</t>
  </si>
  <si>
    <t>d8212b121</t>
  </si>
  <si>
    <t>d8212b122</t>
  </si>
  <si>
    <t>d8212b123</t>
  </si>
  <si>
    <t>d8212b124</t>
  </si>
  <si>
    <t>d8212b125</t>
  </si>
  <si>
    <t>d8212b126</t>
  </si>
  <si>
    <t>d8212b127</t>
  </si>
  <si>
    <t>d8212b128</t>
  </si>
  <si>
    <t>d8212b129</t>
  </si>
  <si>
    <t>d8212b130</t>
  </si>
  <si>
    <t>d8212b131</t>
  </si>
  <si>
    <t>d8212b132</t>
  </si>
  <si>
    <t>d8212b133</t>
  </si>
  <si>
    <t>d8212b134</t>
  </si>
  <si>
    <t>d8212b135</t>
  </si>
  <si>
    <t>ナベ/置場単価</t>
  </si>
  <si>
    <t>d8212b136</t>
  </si>
  <si>
    <t>d8212b137</t>
  </si>
  <si>
    <t>d8212b138</t>
  </si>
  <si>
    <t>d8212b139</t>
  </si>
  <si>
    <t>d8212b144</t>
  </si>
  <si>
    <t>d8212b145</t>
  </si>
  <si>
    <t>d8212b146-1</t>
  </si>
  <si>
    <t>d8212b146</t>
  </si>
  <si>
    <t>d8212b147</t>
  </si>
  <si>
    <t>d8212b148</t>
  </si>
  <si>
    <t>d8212b149</t>
  </si>
  <si>
    <t>d8212b150</t>
  </si>
  <si>
    <t>d8212b151</t>
  </si>
  <si>
    <t>d8212b152</t>
  </si>
  <si>
    <t>d8212b153</t>
  </si>
  <si>
    <t>d8212b154</t>
  </si>
  <si>
    <t>d8212b155</t>
  </si>
  <si>
    <t>d8212b156</t>
  </si>
  <si>
    <t>d8212b157</t>
  </si>
  <si>
    <t>d8212b158</t>
  </si>
  <si>
    <t>d8212b159</t>
  </si>
  <si>
    <t>d8212b160</t>
  </si>
  <si>
    <t>d8212b161</t>
  </si>
  <si>
    <t>d8212b162</t>
  </si>
  <si>
    <t>d8212b163</t>
  </si>
  <si>
    <t>d8212b164</t>
  </si>
  <si>
    <t>d8212b165</t>
  </si>
  <si>
    <t>d8212b166</t>
  </si>
  <si>
    <t>d8212b167</t>
  </si>
  <si>
    <t>d8212b168</t>
  </si>
  <si>
    <t>d8212b169</t>
  </si>
  <si>
    <t>d8212b170</t>
  </si>
  <si>
    <t>d8212b171</t>
  </si>
  <si>
    <t>d8212b172</t>
  </si>
  <si>
    <t>d8212b173</t>
  </si>
  <si>
    <t>d8212b174</t>
  </si>
  <si>
    <t>d8212b175</t>
  </si>
  <si>
    <t>d8212b176</t>
  </si>
  <si>
    <t>d8212b177</t>
  </si>
  <si>
    <t>d8212b178</t>
  </si>
  <si>
    <t>d8212b179</t>
  </si>
  <si>
    <t>d8212b180</t>
  </si>
  <si>
    <t>d8212b181</t>
  </si>
  <si>
    <t>d8212b182</t>
  </si>
  <si>
    <t>d8212b183</t>
  </si>
  <si>
    <t>d8212b184</t>
  </si>
  <si>
    <t>d8212b185</t>
  </si>
  <si>
    <t>d8212b186</t>
  </si>
  <si>
    <t>d8212b187</t>
  </si>
  <si>
    <t>d8212b188</t>
  </si>
  <si>
    <t>d8212b190</t>
  </si>
  <si>
    <t>d8212b191</t>
  </si>
  <si>
    <t>d8212b192</t>
  </si>
  <si>
    <t>d8212b193</t>
  </si>
  <si>
    <t>d8212b194</t>
  </si>
  <si>
    <t>d8212b195</t>
  </si>
  <si>
    <t>d8212b196</t>
  </si>
  <si>
    <t>d8212b197</t>
  </si>
  <si>
    <t>d8212b198</t>
  </si>
  <si>
    <t>d8212b199</t>
  </si>
  <si>
    <t>d8212b200</t>
  </si>
  <si>
    <t>d8212b201</t>
  </si>
  <si>
    <t>d8212b202</t>
  </si>
  <si>
    <t>d8212b203</t>
  </si>
  <si>
    <t>d8212b204</t>
  </si>
  <si>
    <t>d8212b205</t>
  </si>
  <si>
    <t>d8212b206</t>
  </si>
  <si>
    <t>d8212b207</t>
  </si>
  <si>
    <t>d8212b208</t>
  </si>
  <si>
    <t>d8212b209</t>
  </si>
  <si>
    <t>d8212b210</t>
  </si>
  <si>
    <t>d8212b211</t>
  </si>
  <si>
    <t>d8212b212</t>
  </si>
  <si>
    <t>d8212b213</t>
  </si>
  <si>
    <t>d8212b214</t>
  </si>
  <si>
    <t>d8212b215</t>
  </si>
  <si>
    <t>d8212b216</t>
  </si>
  <si>
    <t>d8212b217</t>
  </si>
  <si>
    <t>d8212b218</t>
  </si>
  <si>
    <t>d8212b219</t>
  </si>
  <si>
    <t>d8212b220</t>
  </si>
  <si>
    <t>d8212b221</t>
  </si>
  <si>
    <t>d8212b222</t>
  </si>
  <si>
    <t>d8212b223</t>
  </si>
  <si>
    <t>d8212b224</t>
  </si>
  <si>
    <t>d8212b225</t>
  </si>
  <si>
    <t>d8212b226</t>
  </si>
  <si>
    <t>d8212b227</t>
  </si>
  <si>
    <t>d8212b228</t>
  </si>
  <si>
    <t>d8212b229</t>
  </si>
  <si>
    <t>d8212b230</t>
  </si>
  <si>
    <t>d8212b231</t>
  </si>
  <si>
    <t>d8212b232</t>
  </si>
  <si>
    <t>d8212b233</t>
  </si>
  <si>
    <t>d8212b234</t>
  </si>
  <si>
    <t>d8212b235</t>
  </si>
  <si>
    <t>d8212b236</t>
  </si>
  <si>
    <t>d8212b237</t>
  </si>
  <si>
    <t>d8212b238</t>
  </si>
  <si>
    <t>d8212b239</t>
  </si>
  <si>
    <t>JSE/大和ﾘﾃｯｸ</t>
  </si>
  <si>
    <t>d8212b240</t>
  </si>
  <si>
    <t>d8212b241</t>
  </si>
  <si>
    <t>JSE/第二＠2.3</t>
  </si>
  <si>
    <t>d8212b242</t>
  </si>
  <si>
    <t>d8212b243</t>
  </si>
  <si>
    <t>JSE/岐阜＠1.5</t>
  </si>
  <si>
    <t>d8212b244</t>
  </si>
  <si>
    <t>d8212b246</t>
  </si>
  <si>
    <t>d8212b247</t>
  </si>
  <si>
    <t>d8212b248</t>
  </si>
  <si>
    <t>d8212b249</t>
  </si>
  <si>
    <t>d8212b250</t>
  </si>
  <si>
    <t>d8212b251</t>
  </si>
  <si>
    <t>d8212b252</t>
  </si>
  <si>
    <t>d8212b253</t>
  </si>
  <si>
    <t>d8212b254</t>
  </si>
  <si>
    <t>d8212b255</t>
  </si>
  <si>
    <t>d8212b256</t>
  </si>
  <si>
    <t>d8212b257</t>
  </si>
  <si>
    <t>d8212b258</t>
  </si>
  <si>
    <t>d8212b259</t>
  </si>
  <si>
    <t>d8212b260</t>
  </si>
  <si>
    <t>f8fa248c-db38-494a-ba1e-79f0c8e63953</t>
  </si>
  <si>
    <t>fc14883e-4b43-491a-84a3-f5d8368c0c70</t>
  </si>
  <si>
    <t>23f87582-7037-48bb-afa8-1ac03e87f640</t>
  </si>
  <si>
    <t>17a1cea1-7e88-4213-a499-7a83949a6e3c</t>
  </si>
  <si>
    <t>29c60bd7-147f-46af-aa74-085498b84f71</t>
  </si>
  <si>
    <t>18240b1b-eb56-42ba-bc85-320f58c80c61</t>
  </si>
  <si>
    <t>7d87350f-b1e5-4adc-a9b6-92af199a440b</t>
  </si>
  <si>
    <t>fe3ac9e0-5113-4841-8038-7bd30c00c7af</t>
  </si>
  <si>
    <t>8e5acffb-10c0-4440-afdb-6ee93c7058dc</t>
  </si>
  <si>
    <t>958c3731-b80b-4de1-a681-a64c0eca4478</t>
  </si>
  <si>
    <t>fcd216e7-161e-4f69-9bb9-b3fa476b4439</t>
  </si>
  <si>
    <t>dd3d8ca9-6be0-457d-a43d-ed78110b3e44</t>
  </si>
  <si>
    <t>e9b2b7e2-a5e8-46b1-8cac-86e5fbf29846</t>
  </si>
  <si>
    <t>384dea62-653f-482f-89e6-e301b9747ce3</t>
  </si>
  <si>
    <t>bf5446da-f995-44b5-a6d4-4b0b264e94d6</t>
  </si>
  <si>
    <t>c65b74a5-1b58-4ad3-8bc2-70c43cd95a64</t>
  </si>
  <si>
    <t>15eadb30-9eac-463b-91f7-bc7eb0528338</t>
  </si>
  <si>
    <t>0ce3e748-cff4-411b-842b-ee85f9e6c7f4</t>
  </si>
  <si>
    <t>a3c97a27-7df0-4acc-bfb1-24741234702c</t>
  </si>
  <si>
    <t>1312458d-96b6-45bb-ab58-84940f8ffe6e</t>
  </si>
  <si>
    <t>59fba2b7-4079-413d-8a82-79d3fae80e0e</t>
  </si>
  <si>
    <t>e741de6a-c15e-41b2-aab4-116f7b7fe7a0</t>
  </si>
  <si>
    <t>0e3cb125-36fc-4689-ab2f-ce9a4ee6898e</t>
  </si>
  <si>
    <t>236d4ff0-ad8d-4fd7-bd03-0b4949a6f847</t>
  </si>
  <si>
    <t>c68e2702-009d-4ef7-b839-9dc505bf0a7f</t>
  </si>
  <si>
    <t>afd21895-ec69-4e13-bcf5-95a652309f0a</t>
  </si>
  <si>
    <t>fb120b6d-6052-473d-8824-6e591d809469</t>
  </si>
  <si>
    <t>4d3e27b8-3877-4c43-8f0d-057d1c0f67b7</t>
  </si>
  <si>
    <t>7aa3d7fa-2c5e-4b7b-bd8e-77100e43317f</t>
  </si>
  <si>
    <t>20d554d6-e167-49f9-b7a6-968687ed9192</t>
  </si>
  <si>
    <t>fb54fd8e-63d8-4793-8885-e2512b813a90</t>
  </si>
  <si>
    <t>ebe1a5d3-2c9d-4675-998f-cb386f903603</t>
  </si>
  <si>
    <t>31a70277-50d1-417f-a2bd-2eaa4e50770a</t>
  </si>
  <si>
    <t>972eaeb3-f933-4be4-8079-8ee61c9670c0</t>
  </si>
  <si>
    <t>932c6901-aa50-44ef-af65-d68200279f38</t>
  </si>
  <si>
    <t>f9303247-9be7-4435-a8c1-96657b4d6370</t>
  </si>
  <si>
    <t>c36c6077-82be-4550-8617-c720129930a3</t>
  </si>
  <si>
    <t>96b0edc8-1702-4c7b-804f-f01c8435d02e</t>
  </si>
  <si>
    <t>c7a67115-f0ae-4307-b85e-b80d610a593c</t>
  </si>
  <si>
    <t>f372393d-2970-4d8a-b17d-7085a5053202</t>
  </si>
  <si>
    <t>5bf97766-11e8-4012-849e-9c2455e67444</t>
  </si>
  <si>
    <t>771e4510-7068-4a12-a034-1d96215a8e82</t>
  </si>
  <si>
    <t>947bec2d-5cec-4fd8-bdf0-3eae9d94692a</t>
  </si>
  <si>
    <t>13b8c4e4-4a6e-4d10-9991-6127e42aeec0</t>
  </si>
  <si>
    <t>d5a9a4b2-d83b-44dd-b7a7-453cc17539ab</t>
  </si>
  <si>
    <t>83aea8ea-92f2-4b05-928d-a37f71885f58</t>
  </si>
  <si>
    <t>754722b8-a7b6-496c-b9c2-3c751b65cfb3</t>
  </si>
  <si>
    <t>ae65da20-9025-4d2d-9c94-6a944c487db6</t>
  </si>
  <si>
    <t>8c360a02-083f-4000-9c59-8f67d08fc742</t>
  </si>
  <si>
    <t>7527d7e3-3cf2-4bef-9df1-638784869c7b</t>
  </si>
  <si>
    <t>2558cf97-b529-4909-8431-9425f1a5093f</t>
  </si>
  <si>
    <t>2920582f-569d-4e1d-bc40-72ab3ff35fb7</t>
  </si>
  <si>
    <t>9372db7b-9950-4738-aeab-f19dd3518352</t>
  </si>
  <si>
    <t>8f7ab029-4afe-4fb8-86e9-dc5a4d16e201</t>
  </si>
  <si>
    <t>e0a25c80-0f41-4c19-b893-bb14b94a1a7d</t>
  </si>
  <si>
    <t>e7b1f0f5-1714-4106-bfac-6deaf1acdfd3</t>
  </si>
  <si>
    <t>d41a1bb6-41bf-4111-be31-63f00f97093e</t>
  </si>
  <si>
    <t>def0ddbb-f61c-4c47-8c2a-38a37199473f</t>
  </si>
  <si>
    <t>8fd65e7b-ab08-4fe4-85b8-f6c24614ef55</t>
  </si>
  <si>
    <t>8132d405-2fa8-4d0b-9028-258789e0c90d</t>
  </si>
  <si>
    <t>7d857848-d599-423e-9c11-a9b8257172f5</t>
  </si>
  <si>
    <t>7d857848-d599-423e-9c11-a9b8257172f6</t>
  </si>
  <si>
    <t>7d857848-d599-423e-9c11-a9b8257172f7</t>
  </si>
  <si>
    <t>7b6f9c93-9fad-49a0-bdad-76cb986e1aaf</t>
  </si>
  <si>
    <t>04533660-d433-4c00-b689-d680b6a31d33</t>
  </si>
  <si>
    <t>ee82c7d3-9393-4f9f-b5e4-71a48b47e944</t>
  </si>
  <si>
    <t>a290d096-1feb-4b2f-ae1d-8d3baf61e2da</t>
  </si>
  <si>
    <t>de18d9d2-5003-454a-8242-32b1cdacd33c</t>
  </si>
  <si>
    <t>01982992-9567-44dc-96bb-d03e54c654ef</t>
  </si>
  <si>
    <t>25829c84-b5fd-45df-bf93-aa795545d12e</t>
  </si>
  <si>
    <t>bf95e73d-69a3-432e-a6c0-539d8692eec9</t>
  </si>
  <si>
    <t>e8588d27-3305-497f-bce3-a3172cac5806</t>
  </si>
  <si>
    <t>b27b9d8c-cbfc-4ee1-9255-caa0c9576b6f</t>
  </si>
  <si>
    <t>caef43e1-bd57-460a-bdbc-11d0e778fef2</t>
  </si>
  <si>
    <t>133f4bd4-1fe2-47b6-b247-ef7861419d2a</t>
  </si>
  <si>
    <t>4207ee3e-c348-4ed8-ae1a-0e9e916083ac</t>
  </si>
  <si>
    <t>0d65cd2a-1629-4b88-befa-1ba474d88f88</t>
  </si>
  <si>
    <t>fe270564-a66e-4f3e-9bcf-a8df8f99fac4</t>
  </si>
  <si>
    <t>f4590876-0069-4a87-83f1-6b5502360992</t>
  </si>
  <si>
    <t>86a18a6e-e259-42c0-acae-81df7c9e0364</t>
  </si>
  <si>
    <t>2edae8dc-c8e2-47ff-b2ed-9ce11871c210</t>
  </si>
  <si>
    <t>cc4e89f8-b508-4999-95e0-817c128b1f58</t>
  </si>
  <si>
    <t>3e3a1244-e922-4845-a530-43dbf4777392</t>
  </si>
  <si>
    <t>f8bb3188-6817-48e7-aa77-08e6a8c6f8f3</t>
  </si>
  <si>
    <t>b76979a3-ae02-4358-bfba-d18b846c8a18</t>
  </si>
  <si>
    <t>4e357082-ab7b-43e0-9f82-eb4516162831</t>
  </si>
  <si>
    <t>7ab8ab46-180a-4460-8dd8-79b6ff4c2cc7</t>
  </si>
  <si>
    <t>8949a14f-d7f4-44f1-a175-7794d3634cd9</t>
  </si>
  <si>
    <t>c456e9db-a2d4-4e41-8182-d9fee1792f32</t>
  </si>
  <si>
    <t>2609b0e5-ee39-463b-9cc4-0adbd5521ce1</t>
  </si>
  <si>
    <t>a0bfae59-fd53-4ec6-875d-ddd15d2e3893</t>
  </si>
  <si>
    <t>f3c5256d-8978-4eeb-bc04-e962baf60dd0</t>
  </si>
  <si>
    <t>144fe1f9-17ac-4008-a4e3-80068234eec4</t>
  </si>
  <si>
    <t>2dd24dd6-aced-4988-941b-d7a3c9bda0a2</t>
  </si>
  <si>
    <t>4be29a6d-58a3-412c-a2be-7daf914802e3</t>
  </si>
  <si>
    <t>7c707687-7a52-436c-a858-0edb11138953</t>
  </si>
  <si>
    <t>5b4b7665-5dd1-4d58-b052-54a9f385821d</t>
  </si>
  <si>
    <t>68670d3f-8c17-40bf-b958-0f14ec3901a4</t>
  </si>
  <si>
    <t>dea376c6-4f18-4715-a1f5-1e3c1dc25ff3</t>
  </si>
  <si>
    <t>424e9ef4-2e84-4d6f-8180-2068b918e20c</t>
  </si>
  <si>
    <t>546725ed-7461-4417-8141-05905245b204</t>
  </si>
  <si>
    <t>cc640d12-f0b6-4f48-99d6-b2418764c1d3</t>
  </si>
  <si>
    <t>25cdf239-59f4-48f3-aed1-fd36ce5da79c</t>
  </si>
  <si>
    <t>82abd493-9548-435a-a645-dac353d1dee7</t>
  </si>
  <si>
    <t>9a4c2342-317f-48ac-80e9-414a3ce3f826</t>
  </si>
  <si>
    <t>1eb083ca-6dc7-4115-85fa-4f1450d99975</t>
  </si>
  <si>
    <t>c697b100-7c65-41ac-aefa-35be4e3587eb</t>
  </si>
  <si>
    <t>c928bbcc-75a7-4b9a-9244-2b82c722c9eb</t>
  </si>
  <si>
    <t>4a2f7bd7-b20b-426d-89b0-72326750647f</t>
  </si>
  <si>
    <t>1c8b3e99-c3c6-4d06-a8b3-a6c839473180</t>
  </si>
  <si>
    <t>350b047a-6285-4166-9fc6-412472ec6c02</t>
  </si>
  <si>
    <t>09d96d0e-2ecd-4c2e-b366-1e4c89fbb24a</t>
  </si>
  <si>
    <t>f8b81853-dd17-43a0-bc1f-f645626c6b8b</t>
  </si>
  <si>
    <t>c2cbe2c6-3591-484c-8faf-5aaf5da4b2a3</t>
  </si>
  <si>
    <t>aede5895-c0da-4d30-9f34-a15eb412487b</t>
  </si>
  <si>
    <t>931df8df-8e1d-45dd-8ec9-617d0883f6a0</t>
  </si>
  <si>
    <t>2101edab-e4de-4427-a895-2a8d67359361</t>
  </si>
  <si>
    <t>fa5aa2b2-40cc-4d1e-8942-ba93d034a7b0</t>
  </si>
  <si>
    <t>c615e6a4-c3e8-4369-9753-a57dd3dca809</t>
  </si>
  <si>
    <t>1027f7bc-acb9-4b12-952d-364e29e71618</t>
  </si>
  <si>
    <t>48fc953d-5285-4457-84a7-33bef77f1f3d</t>
  </si>
  <si>
    <t>ecc97de7-6dca-407c-aaf2-190fbcc282bb</t>
  </si>
  <si>
    <t>744e1156-5a37-4947-a8db-5a5c5c69785e</t>
  </si>
  <si>
    <t>c9398f86-8301-4a93-a8fe-e732b9080247</t>
  </si>
  <si>
    <t>56f69eae-fe1b-41aa-b474-b9662f71f10c</t>
  </si>
  <si>
    <t>21e4fd85-c891-402d-8898-e7e12040752a</t>
  </si>
  <si>
    <t>184dcf97-10c1-4229-b691-8d2b3e70fab8</t>
  </si>
  <si>
    <t>223b13d4-c577-45e7-b470-26528ca92208</t>
  </si>
  <si>
    <t>5d1a0ad3-bbdf-41b6-b48f-39b1950e7491</t>
  </si>
  <si>
    <t>622333df-219e-4dd6-8da8-7543456bbcc2</t>
  </si>
  <si>
    <t>42fa5547-f248-4143-a417-a16c63f0ff59</t>
  </si>
  <si>
    <t>602cc5d2-dc24-4b77-8953-a6e5a4c351dc</t>
  </si>
  <si>
    <t>9db57d44-3319-4124-8c78-b7beaf86dade</t>
  </si>
  <si>
    <t>184c51df-c0ff-4833-ab4f-3e26250a4b8f</t>
  </si>
  <si>
    <t>681f797b-84e0-4e33-988a-dc8a8fe1b854</t>
  </si>
  <si>
    <t>5f4f366f-071f-49bc-9395-3e687e990178</t>
  </si>
  <si>
    <t>620453e3-0dd4-451c-a39f-8ad5d825d9be</t>
  </si>
  <si>
    <t>8f343e7c-31d0-4bf4-b80f-7d007af26ea6</t>
  </si>
  <si>
    <t>e784214a-93cb-493f-93d6-14e0c647c035</t>
  </si>
  <si>
    <t>13954cd3-eaee-45e8-99bb-5611b85a7014</t>
  </si>
  <si>
    <t>4df34634-6cbd-4317-97a9-f02fd1cebacc</t>
  </si>
  <si>
    <t>fd04034e-5677-498a-b5b8-d2ddc228dd97</t>
  </si>
  <si>
    <t>3e9513f5-12fa-4f47-8340-a830535141fe</t>
  </si>
  <si>
    <t>628571a8-05b4-4944-8328-e642316fe59f</t>
  </si>
  <si>
    <t>c9b2ef8a-a4ab-4913-9f94-eda7f8531029</t>
  </si>
  <si>
    <t>df8b5502-4a0a-4937-b112-1ca53cedb6b7</t>
  </si>
  <si>
    <t>960fb4c3-bce4-424a-8b6e-f86744460b71</t>
  </si>
  <si>
    <t>397e96be-8c58-4e3b-84bf-fe67a78b3269</t>
  </si>
  <si>
    <t>de079832-854f-4978-82cd-a095ff3e05ef</t>
  </si>
  <si>
    <t>ce56b509-91c3-47c5-a62c-b84f162f4776</t>
  </si>
  <si>
    <t>c02df05d-c4b2-453e-a197-dfb3001c93a9</t>
  </si>
  <si>
    <t>0d46ce12-f7f5-4dce-96c2-2b6b4818e883</t>
  </si>
  <si>
    <t>d3b7c5d1-094e-42b9-8519-64f046da373a</t>
  </si>
  <si>
    <t>a267d7c4-6966-4362-9a7c-6668ae35185e</t>
  </si>
  <si>
    <t>7165ca7c-e1b0-4fc5-8343-7e888c4f019b</t>
  </si>
  <si>
    <t>015efb1a-f836-484f-a886-91abecc94d74</t>
  </si>
  <si>
    <t>5f85427d-5228-4c7c-83ed-f22725008f3b</t>
  </si>
  <si>
    <t>d4c6f3a5-f140-4315-b05d-d9692a41162c</t>
  </si>
  <si>
    <t>f70ecde8-f479-4c53-9560-9b8d1210b81c</t>
  </si>
  <si>
    <t>9c394428-f20d-4d6e-b729-d9821cdbad52</t>
  </si>
  <si>
    <t>ada58815-1ee1-4cdd-b21d-4b09c537774f</t>
  </si>
  <si>
    <t>0ed258a4-95a5-4ad9-b38d-d6cf1288aa4c</t>
  </si>
  <si>
    <t>ab8d43ad-edcd-4378-83c6-913407c024b6</t>
  </si>
  <si>
    <t>d89777cd-5e4b-4250-8779-d30b4073b0b1</t>
  </si>
  <si>
    <t>62603825-3fef-4cf8-b823-3cc3415e148d</t>
  </si>
  <si>
    <t>6b1103c0-c224-4030-8e6c-d15b883320ab</t>
  </si>
  <si>
    <t>1869ece1-333a-4ae0-b4d7-499ad021688f</t>
  </si>
  <si>
    <t>53f3c8fe-a928-4d00-b582-fd513c2175eb</t>
  </si>
  <si>
    <t>06c0dcee-e335-4a80-8552-7a10a56e41af</t>
  </si>
  <si>
    <t>3e39c56d-947a-471f-a9b3-084fa8260ae7</t>
  </si>
  <si>
    <t>4138e25a-5f09-49c9-8d2a-2dbd8056cbb1</t>
  </si>
  <si>
    <t>f5214248-c29e-4f3f-bed8-1759798a7849</t>
  </si>
  <si>
    <t>dc3fa2eb-2d34-4420-b4ee-3c02d373be69</t>
  </si>
  <si>
    <t>8435b652-78db-4f6f-9d96-46d9f2355f88</t>
  </si>
  <si>
    <t>d8265175-c709-41b6-9ccb-8f4d28409366</t>
  </si>
  <si>
    <t>29e99836-e113-4438-8f2a-68afec052ed0</t>
  </si>
  <si>
    <t>d84a2be0-4ce6-4c2d-a1b6-6af09c8e9720</t>
  </si>
  <si>
    <t>7c815164-31db-4800-acc4-5a9be33c4075</t>
  </si>
  <si>
    <t>905e73fe-2cce-42b1-8c80-4b97b2e3176b</t>
  </si>
  <si>
    <t>9ecdba96-5364-4e5d-9a05-ecf6bd067af9</t>
  </si>
  <si>
    <t>26b70b78-77b4-49b2-b580-1d131b2535c2</t>
  </si>
  <si>
    <t>500dc7c6-0275-4248-bf5d-6d6418247ae5</t>
  </si>
  <si>
    <t>eb0c8d62-c7f2-449c-97a3-4e445df2422e</t>
  </si>
  <si>
    <t>41f39d8d-30f9-4097-8a08-0346caba8457</t>
  </si>
  <si>
    <t>aab12468-ff4a-4d42-b80e-802cb8dbddba</t>
  </si>
  <si>
    <t>fcd04469-dd34-488c-80ec-eeaad88d8c3b</t>
  </si>
  <si>
    <t>0a42530e-2a2a-41de-84e8-c0c49125c235</t>
  </si>
  <si>
    <t>88b17a65-ded5-4611-bf31-b50c2febc753</t>
  </si>
  <si>
    <t>9b0585c4-b44f-4321-abc1-08dee7e39ab9</t>
  </si>
  <si>
    <t>0cea7cf8-aace-46ca-9e13-99b2cb3f468b</t>
  </si>
  <si>
    <t>e56943d8-9073-4828-a33c-d22d04be98b1</t>
  </si>
  <si>
    <t>067788b7-c4eb-45b5-ba51-d2f36c6991b3</t>
  </si>
  <si>
    <t>e97c8b57-7a4c-444a-9cfd-7d43eabc277d</t>
  </si>
  <si>
    <t>3833796f-28a3-4add-8a72-e233b58ee8dc</t>
  </si>
  <si>
    <t>bc0f7aa1-ce55-4427-9dbb-1ba1dc5bfbfe</t>
  </si>
  <si>
    <t>d16ec0af-ff38-4731-abf7-e13571cedbe6</t>
  </si>
  <si>
    <t>84e0a0f0-e78b-4ad7-a750-051ebb6a3c11</t>
  </si>
  <si>
    <t>67ab082a-3ae8-42d9-b9fe-67bd0808e155</t>
  </si>
  <si>
    <t>c82e4751-6b91-4051-9850-40fe5238d0ab</t>
  </si>
  <si>
    <t>5f0312d8-ad23-408f-be5d-2dc07569d6fd</t>
  </si>
  <si>
    <t>efa0ccc1-8367-4d2a-b01b-9224fae50238</t>
  </si>
  <si>
    <t>edf8f64a-a3cf-4d3c-ac04-468d6f3b2b93</t>
  </si>
  <si>
    <t>384716d6-7da0-4779-8d40-77546daac606</t>
  </si>
  <si>
    <t>634749eb-83d2-4554-85d7-14540b8cab12</t>
  </si>
  <si>
    <t>0824e2f8-ed6e-4d74-9d9d-4f88abfdaa19</t>
  </si>
  <si>
    <t>7b548d5f-4c33-44b0-88b8-cfdfeec3a036</t>
  </si>
  <si>
    <t>9d926db2-f0bb-4e44-b187-2f608b804a4d</t>
  </si>
  <si>
    <t>d074b138-0b96-4893-a81f-6a2063f01154</t>
  </si>
  <si>
    <t>c5085ab3-45c7-4f65-8469-1607c825d35a</t>
  </si>
  <si>
    <t>70366f70-dd86-469b-90c4-a0a29dd810df</t>
  </si>
  <si>
    <t>49d7ea7e-c84f-4f30-bad8-fa60097acfab</t>
  </si>
  <si>
    <t>6a84a52c-6a1f-4009-80d9-9ca66209b91f</t>
  </si>
  <si>
    <t>917d77c1-cc9c-4793-ba5b-ad59a2df782c</t>
  </si>
  <si>
    <t>92116eca-05bb-4560-be92-ccfc9e49d881</t>
  </si>
  <si>
    <t>14cec2c3-ebb0-4518-abae-80083db318f1</t>
  </si>
  <si>
    <t>61b78155-695f-4884-93eb-dbd99756e45a</t>
  </si>
  <si>
    <t>18322bd8-f902-4c84-ae05-3ff33277cb9b</t>
  </si>
  <si>
    <t>a8112a57-0bf0-4b2e-b660-ea73b1072173</t>
  </si>
  <si>
    <t>c2dc2e21-f3f8-443b-a751-72033b3e9a96</t>
  </si>
  <si>
    <t>4352c8a1-f2da-4145-b243-3076ea99a59e</t>
  </si>
  <si>
    <t>c0957cbc-aabe-45ad-a018-ee6c1a24c395</t>
  </si>
  <si>
    <t>ce8ee269-bf46-4505-8b21-553204225be1</t>
  </si>
  <si>
    <t>0d0116a7-f597-48a1-9868-e30bc865a285</t>
  </si>
  <si>
    <t>2f429dfd-15de-4612-a6ed-5030365e146c</t>
  </si>
  <si>
    <t>ff48d53f-92c2-4051-8362-214e40424265</t>
  </si>
  <si>
    <t>6885c51f-1e98-4b8a-9633-672b0205ef91</t>
  </si>
  <si>
    <t>768ff1d6-6bb4-4f8c-8107-268ddd463ed7</t>
  </si>
  <si>
    <t>feaf5448-4847-47c0-9791-638bd1ce6a38</t>
  </si>
  <si>
    <t>8ce273de-2ac3-4604-8370-afa0a0346732</t>
  </si>
  <si>
    <t>dfe2f623-7c4b-4021-9688-6fe5d8dd46e8</t>
  </si>
  <si>
    <t>b6cbe107-6cbd-4772-8837-08bf0048bad3</t>
  </si>
  <si>
    <t>642d09fa-a3ff-4d39-ab68-b155264233ee</t>
  </si>
  <si>
    <t>bfa1f5a3-5c59-4cff-9045-583c771247b1</t>
  </si>
  <si>
    <t>085fa03d-ce6c-4887-90d8-649ed2e77a9f</t>
  </si>
  <si>
    <t>e8c9528b-eb19-4848-a64c-16062fe8db66</t>
  </si>
  <si>
    <t>c548653b-3104-47f5-a397-9839cbbb1459</t>
  </si>
  <si>
    <t>ddd8ff36-7c69-4bc5-ba1f-710811cc7b5d</t>
  </si>
  <si>
    <t>6f8a43b3-9323-4fff-a713-270c5f7e8139</t>
  </si>
  <si>
    <t>98453d9b-5f1a-499a-af09-e25cef48857b</t>
  </si>
  <si>
    <t>8dbd5dc6-7c8b-4f4b-aa8e-5619a92ef134</t>
  </si>
  <si>
    <t>1b10908e-a735-40ca-a4c2-d31da7709efe</t>
  </si>
  <si>
    <t>00c9d224-2eff-4787-b47a-a7121a06d764</t>
  </si>
  <si>
    <t>9d2405bb-aa29-485b-b3df-eb04951595fd</t>
  </si>
  <si>
    <t>6418fa13-0725-4be8-9fc4-fdb7de494ede</t>
  </si>
  <si>
    <t>b2a7c219-2b55-40d1-baee-57df3de6f36d</t>
  </si>
  <si>
    <t>af794ccf-7c96-4185-8a7f-62af0691f8e9</t>
  </si>
  <si>
    <t>971e2e51-1cef-4269-b311-b85f230b5a2c</t>
  </si>
  <si>
    <t>855cf104-8b8d-4e1f-b8b2-fa303b5ab975</t>
  </si>
  <si>
    <t>7b771d01-a3d8-4b3c-b919-56d7a3edaf9c</t>
  </si>
  <si>
    <t>4ad827f1-9fa1-459f-a4b3-637944009f20</t>
  </si>
  <si>
    <t>74eff93a-8c11-458a-a391-94010b5c6154</t>
  </si>
  <si>
    <t>332dfd16-44bb-4d14-8609-00fb73ac9bbc</t>
  </si>
  <si>
    <t>5c3d4e31-818f-4498-b347-a3b5597476df</t>
  </si>
  <si>
    <t>12a2f3b6-7549-40e7-9b16-ce5fe191d807</t>
  </si>
  <si>
    <t>ac28c29c-9798-4446-9079-8d9da4758fe8</t>
  </si>
  <si>
    <t>c9ca5a0a-7f86-4f66-8a5e-352d6cbfb2e4</t>
  </si>
  <si>
    <t>c0b5f68e-60e0-446c-b44a-e623b4b662a5</t>
  </si>
  <si>
    <t>38a432a6-dfe9-4307-8917-bf2a31c49861</t>
  </si>
  <si>
    <t>8aeb2370-b5a6-4a1f-9c5d-026468267dde</t>
  </si>
  <si>
    <t>e56ae49f-72d5-423a-b8cd-1593f9dafc54</t>
  </si>
  <si>
    <t>53f07db9-3ca3-467e-a6e1-867409572ae8</t>
  </si>
  <si>
    <t>9d96eaf4-44de-4829-a991-8f131588cfdf</t>
  </si>
  <si>
    <t>517ed84b-0fb5-493c-8307-de598f2d3140</t>
  </si>
  <si>
    <t>4b54b3dc-7eb4-4915-8c83-ba02f8dace17</t>
  </si>
  <si>
    <t>672e8caf-f79f-4685-b8c6-2fc3bbd684e9</t>
  </si>
  <si>
    <t>22fd16d3-15fa-4ae2-b49d-e7b527862596</t>
  </si>
  <si>
    <t>ac79ddcb-4e2c-41ec-8fb5-bf145839eb64</t>
  </si>
  <si>
    <t>87c1c35f-c7a6-454d-b777-6741dd437238</t>
  </si>
  <si>
    <t>c26882b1-aa18-4f83-b95d-9e720a95d77e</t>
  </si>
  <si>
    <t>b7db3654-59fa-4012-81b7-d43c7643bfd4</t>
  </si>
  <si>
    <t>061f06cf-ae9b-43ee-8310-bc600f989a71</t>
  </si>
  <si>
    <t>2c8ac74e-fb47-4b62-a23d-4d9a91420f14</t>
  </si>
  <si>
    <t>6b7eaf4f-3c93-437c-8a61-c303429f5608</t>
  </si>
  <si>
    <t>30da336c-c042-4e86-aa18-9b4d65ba6163</t>
  </si>
  <si>
    <t>947c2ebd-59e0-45e7-8d42-dcb1eec675e4</t>
  </si>
  <si>
    <t>7866b1c3-745e-473f-8421-efc65bb65a0f</t>
  </si>
  <si>
    <t>a31505ff-2745-4421-9e93-67a8e07b13cf</t>
  </si>
  <si>
    <t>0efa6e26-b945-4078-ac94-761fe7d67372</t>
  </si>
  <si>
    <t>993bcb0d-8773-4eca-9a49-11e87be805f2</t>
  </si>
  <si>
    <t>783aaaa3-e67f-4566-94f3-2f4f36115a70</t>
  </si>
  <si>
    <t>cae6b48f-5cd5-488e-b168-b8bc81640fe7</t>
  </si>
  <si>
    <t>e3d942bf-c29d-4584-bd44-0ecbe8709d85</t>
  </si>
  <si>
    <t>4ce3f7de-728c-4bbb-9f4b-2a0f43cc2f94</t>
  </si>
  <si>
    <t>3bced253-d8bc-4372-b5ae-124b2163f6fe</t>
  </si>
  <si>
    <t>8499b222-e21a-4a9e-86b9-cfcd965a0b4f</t>
  </si>
  <si>
    <t>23236f4f-cd1b-41e6-8ebf-abb24ee3a964</t>
  </si>
  <si>
    <t>240b203f-acb1-44ae-a175-6549953a343b</t>
  </si>
  <si>
    <t>236aad2a-11a4-4b0c-8db7-c32ededec4a2</t>
  </si>
  <si>
    <t>b74a048a-4e71-48cd-8c96-5c56b84c5a18</t>
  </si>
  <si>
    <t>273d96ba-42d4-4c78-b38c-7ac5f64a2f2a</t>
  </si>
  <si>
    <t>26a691be-8010-4d9d-bccf-b2ce7d5e49c5</t>
  </si>
  <si>
    <t>a82fcbca-c6a5-448e-a720-f9e27dd6a4b6</t>
  </si>
  <si>
    <t>07f31ae1-443c-4a18-aaf6-4d9b841f87b0</t>
  </si>
  <si>
    <t>3af6d2d8-6c45-4859-bf5d-5a89eaa31733</t>
  </si>
  <si>
    <t>20e3b59f-136a-4c5e-a3bd-00cf1bffa7b3</t>
  </si>
  <si>
    <t>807b2a8f-0e3a-4da7-8ee9-a469befe64fc</t>
  </si>
  <si>
    <t>8bfbe278-b8e6-49ba-a600-3f1eb81ab61e</t>
  </si>
  <si>
    <t>dff2f048-10bd-4d7c-b1db-e1eae671b4ea</t>
  </si>
  <si>
    <t>93c38b12-b1fa-485c-8e33-d0e2d822f6c1</t>
  </si>
  <si>
    <t>768b145b-a0e7-40a8-afc2-b2522299ecfb</t>
  </si>
  <si>
    <t>f5581487-3b43-444e-b182-7a98cbbda3e9</t>
  </si>
  <si>
    <t>7044ca7f-e681-40af-9f32-b7e70a8124c9</t>
  </si>
  <si>
    <t>7a1be0ba-c704-496b-a0ca-2d4f654fde5c</t>
  </si>
  <si>
    <t>d50e1fcc-7bdb-4dd4-bda3-5526dff92c61</t>
  </si>
  <si>
    <t>3cb2d2dd-d814-47b2-83c9-93d49dd600fc</t>
  </si>
  <si>
    <t>e88008ea-f558-4f50-8fdd-9e8a8699b3b6</t>
  </si>
  <si>
    <t>aaf9a6e5-51fe-49b4-8cac-c1b7588f269f</t>
  </si>
  <si>
    <t>07481eba-4be0-451a-9309-d1b83f86035b</t>
  </si>
  <si>
    <t>e8d66fb6-18bc-462e-a148-4323f2aa3220</t>
  </si>
  <si>
    <t>83f0b9d3-7a13-4d7a-8564-5cebf12a2b3a</t>
  </si>
  <si>
    <t>73772948-6430-4736-bdf3-63d4f638ea5c</t>
  </si>
  <si>
    <t>85aa397b-f702-430d-81a6-6aceed071aa7</t>
  </si>
  <si>
    <t>9f243682-809b-4048-a32a-2d613e09f052</t>
  </si>
  <si>
    <t>1dbbe081-785a-480e-aba0-8d32dfc9d240</t>
  </si>
  <si>
    <t>c88ec617-8445-41ad-b810-6c9607f4b13b</t>
  </si>
  <si>
    <t>831c09ff-81d5-4bae-977f-fbbdb4197390</t>
  </si>
  <si>
    <t>abafbdb0-dcf4-4f5c-b929-744c8cea5ba9</t>
  </si>
  <si>
    <t>f1003b4b-f9ad-4b1f-afbe-c296a8f86c5d</t>
  </si>
  <si>
    <t>4ee8da86-9795-4627-9570-f6cc55d2256b</t>
  </si>
  <si>
    <t>9d836ea5-dc80-40a6-a3d3-efe3555593e2</t>
  </si>
  <si>
    <t>32847d1e-ec2f-4dbc-bdcb-32bd39475bea</t>
  </si>
  <si>
    <t>6b560d5f-56c8-43ea-b302-f4d74b937017</t>
  </si>
  <si>
    <t>94e40e46-e339-46bc-9cd2-a857cdadd915</t>
  </si>
  <si>
    <t>f356167b-f387-4568-93eb-37e57cf07a07</t>
  </si>
  <si>
    <t>1d0a66a4-d495-4a1d-8f97-06682b110156</t>
  </si>
  <si>
    <t>d9e96449-d5ae-40b6-8216-d42574511b1c</t>
  </si>
  <si>
    <t>9ce954bb-c29c-4d9b-b44b-1e841c7d01da</t>
  </si>
  <si>
    <t>3a28f71a-c6e0-42de-b271-2b569e5b6fd3</t>
  </si>
  <si>
    <t>8c12dbf6-ef95-4cdc-be6a-b6a987597e26</t>
  </si>
  <si>
    <t>9b65b15c-c91c-47a4-9718-9b7715c0b35d</t>
  </si>
  <si>
    <t>b0ddfe21-de6d-47fe-aba0-7c391d38a588</t>
  </si>
  <si>
    <t>35926756-a9be-4523-8e18-836724a1a282</t>
  </si>
  <si>
    <t>68952b9f-4d37-45e1-85bd-36e69c9bd42b</t>
  </si>
  <si>
    <t>d8903403-697e-473f-a317-4c90ca8f2289</t>
  </si>
  <si>
    <t>0704c682-f0f6-4f91-8b4d-218f607411ac</t>
  </si>
  <si>
    <t>43d398a7-1d9c-4f4b-83f1-c19f9becfb74</t>
  </si>
  <si>
    <t>aa54f6f5-ae41-4536-a193-83d8ef682672</t>
  </si>
  <si>
    <t>2de66cc1-600a-46bd-9f0f-02e23f04ef7b</t>
  </si>
  <si>
    <t>dbc14484-3e37-4309-bdd2-b686e0ae7c0e</t>
  </si>
  <si>
    <t>9d525028-f628-49c7-aeaa-2f7ac666ca0a</t>
  </si>
  <si>
    <t>bb103d2f-ac6e-4774-b61d-b39555f922e1</t>
  </si>
  <si>
    <t>75745ac9-f139-4525-8495-64a2974810fe</t>
  </si>
  <si>
    <t>8add06a5-4e18-448f-90ca-868b0ac4fac5</t>
  </si>
  <si>
    <t>9b8db299-2a50-43eb-b95c-98a2012ea1ed</t>
  </si>
  <si>
    <t>0627ef06-85bd-42f1-9360-2d92537f5be4</t>
  </si>
  <si>
    <t>7ff63cb8-5954-4c23-9868-2c61d741ee15</t>
  </si>
  <si>
    <t>6ff80dc4-5f2b-46dd-afb2-1a473c77227f</t>
  </si>
  <si>
    <t>84f6f3eb-a5cf-4cdc-af68-ca4f53dc1891</t>
  </si>
  <si>
    <t>5c9d7647-c5c8-4bda-a20a-7a44f2c83b72</t>
  </si>
  <si>
    <t>9ea74343-a832-46f7-a6d4-9d2627c74ada</t>
  </si>
  <si>
    <t>a7f77f8d-d35e-4541-bbf5-356fa6098c29</t>
  </si>
  <si>
    <t>a0ee38bb-ce1b-4893-abe3-88e997aa96b2</t>
  </si>
  <si>
    <t>46aad11b-2113-468a-922f-906bebebe720</t>
  </si>
  <si>
    <t>ec91fcbd-57cc-4952-bae3-34156502da8f</t>
  </si>
  <si>
    <t>b4fa659a-a04c-490e-8a84-d28f02f6470d</t>
  </si>
  <si>
    <t>eee41c01-005c-42e5-9da9-26c61dbf47a9</t>
  </si>
  <si>
    <t>fb6a40e5-41ab-4a06-b67f-6fa937d59b03</t>
  </si>
  <si>
    <t>1319eae1-487b-463a-9524-08fe8ad7edd5</t>
  </si>
  <si>
    <t>ed783f73-4ca6-4934-85fd-f281694f3d34</t>
  </si>
  <si>
    <t>ff3067b4-c097-429c-a2c1-965eda95e522</t>
  </si>
  <si>
    <t>45cb1c06-aeb6-4482-99e0-782f1baf4fe9</t>
  </si>
  <si>
    <t>5f6a49f2-5364-435e-9826-3d3e82c74a0c</t>
  </si>
  <si>
    <t>8f2dee6c-a407-433d-a0df-b8959e1de301</t>
  </si>
  <si>
    <t>1d61de5b-5aa8-459f-bac9-78082ce4ce95</t>
  </si>
  <si>
    <t>e26f9d7b-5641-4267-b9b3-bae909da8206</t>
  </si>
  <si>
    <t>379e5738-2763-4ee4-a5bf-9b764891ea8b</t>
  </si>
  <si>
    <t>d5c7938e-7b72-43aa-9590-cccdd420a2ab</t>
  </si>
  <si>
    <t>8b3cfff5-ca9e-4da6-86d3-ffd356332fbe</t>
  </si>
  <si>
    <t>49738b3a-1579-492e-b3cb-7a6a3f396ab2</t>
  </si>
  <si>
    <t>48507686-be17-4f0d-a290-148f85492172</t>
  </si>
  <si>
    <t>18d948db-4caa-4196-96ae-b3a8b3f601fe</t>
  </si>
  <si>
    <t>f44219a7-16ff-4c8d-afca-a7c65ff85a5f</t>
  </si>
  <si>
    <t>5ab7b763-eed8-40ea-8a6a-9eaa7a312d86</t>
  </si>
  <si>
    <t>36c76b69-6c4a-468f-a76b-71564f8d6c57</t>
  </si>
  <si>
    <t>a7a12999-e3e9-472a-b2c6-e30a02af95ca</t>
  </si>
  <si>
    <t>06f6a7fd-1efd-4cb4-aeb0-837b27c8199b</t>
  </si>
  <si>
    <t>3d8ebb62-4d97-44f3-9c4f-a8a8fdf92bd4</t>
  </si>
  <si>
    <t>8add06a5-4e18-448f-90ca-868b0ac4fac6</t>
  </si>
  <si>
    <t>afe984f7-fd03-4d2f-917e-f331c667ed12</t>
  </si>
  <si>
    <t>df97ecaa-b35b-4dc1-82d0-b3c91858b62b</t>
  </si>
  <si>
    <t>f61a1117-0cca-4d03-ba64-2316bc04a87d</t>
  </si>
  <si>
    <t>836f69c1-2942-403a-a538-af319e11ade3</t>
  </si>
  <si>
    <t>8bb1f5a4-63de-41fe-93cb-affb5ede9ea4</t>
  </si>
  <si>
    <t>5986ca47-5c28-4414-9cb7-9d899eb01a20</t>
  </si>
  <si>
    <t>9b2ad87c-7419-46d7-8d43-5c767d6e901a</t>
  </si>
  <si>
    <t>81894fc3-0af5-4de0-b659-52bb9ff9d8f8</t>
  </si>
  <si>
    <t>37624914-5b99-4c81-b1da-4656c851d3f4</t>
  </si>
  <si>
    <t>56ec9f0f-46c2-4609-b796-b9cb695d8289</t>
  </si>
  <si>
    <t>5b1e9f56-0c69-4a4b-8bcb-ecf1967370e6</t>
  </si>
  <si>
    <t>edd79154-2470-48e9-a738-1775f1539b06</t>
  </si>
  <si>
    <t>afbbc5d4-f869-4579-8228-e350aaf1af03</t>
  </si>
  <si>
    <t>5bf2f53f-0b94-41c2-8126-9d62981300f1</t>
  </si>
  <si>
    <t>277d6ac9-4d83-4b99-9ce3-5960cbeb9ce6</t>
  </si>
  <si>
    <t>9b8d2bf3-04c2-443d-b484-75f77e3f1c6a</t>
  </si>
  <si>
    <t>7cd312d9-0c41-4d41-b58c-98cc44dcb8a5</t>
  </si>
  <si>
    <t>04170bbd-cb86-4e68-936a-1150c80a36a1</t>
  </si>
  <si>
    <t>b7c2f29c-4efa-4c60-ba92-98dd80754ee1</t>
  </si>
  <si>
    <t>17fb1fe6-7afc-4078-814c-ed4baeb1aa14</t>
  </si>
  <si>
    <t>bbfc08ba-f8ca-4de0-8bbf-c79c1b3f27c5</t>
  </si>
  <si>
    <t>25225a75-f4bf-4c07-8b1b-9ded9c89fe0f</t>
  </si>
  <si>
    <t>ca4ebb92-af20-4553-ab49-8856b39d439c</t>
  </si>
  <si>
    <t>9c3392a4-b1a7-4d93-b487-c34db78041e0</t>
  </si>
  <si>
    <t>4ca6c663-0270-441f-959d-8b484a1b14bb</t>
  </si>
  <si>
    <t>99205558-e7e0-49ff-9267-f5bdc9d5a81f</t>
  </si>
  <si>
    <t>2dab8abf-056d-4f1b-9838-b435f28445f3</t>
  </si>
  <si>
    <t>79bc23ce-1976-4145-977e-4463e1c52452</t>
  </si>
  <si>
    <t>348f481f-6665-4187-83e7-760a8559873a</t>
  </si>
  <si>
    <t>724aa314-3491-4021-ac08-0d0dc2d7ece1</t>
  </si>
  <si>
    <t>70e5dfcb-2dec-4479-821b-a20bae17fae3</t>
  </si>
  <si>
    <t>dc5e252d-4dd6-4f5f-a8bf-55232c651e1e</t>
  </si>
  <si>
    <t>3525657e-eb19-49e4-844f-26bf55d41d4f</t>
  </si>
  <si>
    <t>f124101f-4881-4578-9953-e3886b3b79bd</t>
  </si>
  <si>
    <t>6ade966c-8bc0-4d9a-b2a9-9671c997f4fd</t>
  </si>
  <si>
    <t>b9bf8f4e-6502-4e1b-bc6d-11ba5f8e43c6</t>
  </si>
  <si>
    <t>31d12396-b407-455c-a27b-2f87ca345bb90</t>
  </si>
  <si>
    <t>e172e9eb-b5a1-441f-9bd5-f24614bb4816</t>
  </si>
  <si>
    <t>0bf59500-ac68-448e-a383-be339990f11b</t>
  </si>
  <si>
    <t>9a3c8310-3abd-475e-9bd7-84015859a001</t>
  </si>
  <si>
    <t>847bb4af-4814-466b-8ee6-97979e1eb694</t>
  </si>
  <si>
    <t>6f159054-ffdf-4d9b-b62e-f250a729f855</t>
  </si>
  <si>
    <t>62ffffac-6ad3-41b1-b70d-08b717c52167</t>
  </si>
  <si>
    <t>818b525d-29d2-427b-a2a7-f43e0fa24ca6</t>
  </si>
  <si>
    <t>a26d3b45-4f7d-46c0-ade9-0d71fda1b359</t>
  </si>
  <si>
    <t>12fae578-9bc9-4a2c-aa71-68c6c56843db</t>
  </si>
  <si>
    <t>697c20ba-2dfc-4595-8e8c-e37be628ca6d</t>
  </si>
  <si>
    <t>766330ca-01d4-49c1-9017-5329e98b0654</t>
  </si>
  <si>
    <t>4b6ece31-2f90-44b5-aa65-f59c3e94f427</t>
  </si>
  <si>
    <t>874c19d9-1cbe-48ad-9bce-98de3e44e2c1</t>
  </si>
  <si>
    <t>ffd73a02-6270-4904-8fef-94b8c792c127</t>
  </si>
  <si>
    <t>809369f9-8707-404f-838c-4cc837eb5b68</t>
  </si>
  <si>
    <t>575b7f47-b408-40b2-8349-4902e7a1718b</t>
  </si>
  <si>
    <t>87872b36-708a-4ba2-aba5-646d025aebb7</t>
  </si>
  <si>
    <t>c145d9c0-8d9f-41c5-ba95-d958bcfab661</t>
  </si>
  <si>
    <t>7a866101-e543-4c95-8491-0061e35bf335</t>
  </si>
  <si>
    <t>cd06a7d0-19fb-4c60-8d23-ec17c47916a3</t>
  </si>
  <si>
    <t>8363cae0-1afb-4eb7-ad3c-f044853658d4</t>
  </si>
  <si>
    <t>81d05228-8773-4ffa-a385-2f0085c210a3</t>
  </si>
  <si>
    <t>415b9a5b-a49f-4b2b-a3e6-bdf791738583</t>
  </si>
  <si>
    <t>6405369f-e74a-4f8e-8f10-c3a14361431a</t>
  </si>
  <si>
    <t>e62e319e-a12d-4b14-ba56-5320da434c40</t>
  </si>
  <si>
    <t>a25c57df-a2ab-41a0-bc46-4f2d360f2613</t>
  </si>
  <si>
    <t>bb1b3593-fa25-497a-a91a-4d252682debb</t>
  </si>
  <si>
    <t>33a0f6e3-bd53-4985-a224-ae288224c857</t>
  </si>
  <si>
    <t>816e8446-f45e-4a7c-9670-5507af603a31</t>
  </si>
  <si>
    <t>9500df24-006e-4cad-8c62-dcb3142feed8</t>
  </si>
  <si>
    <t>6a0e6809-15c2-43de-9835-b427917b6b57</t>
  </si>
  <si>
    <t>74f0a0d8-fece-4e93-ace0-bbb8ae9d766c</t>
  </si>
  <si>
    <t>b179e084-5d95-43e1-a01d-092028750438</t>
  </si>
  <si>
    <t>a002ebbf-b853-4117-98c8-571b3599b80d</t>
  </si>
  <si>
    <t>8bebf119-606b-4d3a-965b-b4abdb765438</t>
  </si>
  <si>
    <t>c1bb116e-7dfb-4c8b-947c-e0e0c8f97dd4</t>
  </si>
  <si>
    <t>20fd4bab-44b9-4012-ad29-9c29972c77af</t>
  </si>
  <si>
    <t>33cdcb86-4931-4c08-a68e-81d2f6b31a31</t>
  </si>
  <si>
    <t>13212984-82c6-4720-8cea-5ace6c799e6f</t>
  </si>
  <si>
    <t>0d847fcb-b072-46e6-9797-534d765b8ad0</t>
  </si>
  <si>
    <t>69ca8bf9-0541-43e3-9655-092887f7330f</t>
  </si>
  <si>
    <t>b4946d3c-30c4-4e02-8f0a-67a6911ce80c</t>
  </si>
  <si>
    <t>12af92ab-5620-405c-b8db-0f9c588fd3ce</t>
  </si>
  <si>
    <t>21d0e8b5-b2bb-46f8-bd57-3227be2e9a65</t>
  </si>
  <si>
    <t>c81f238b-67bd-431f-ad06-ad315e2cd7f8</t>
  </si>
  <si>
    <t>90c79516-e816-497a-892a-d60ab1f84033</t>
  </si>
  <si>
    <t>7771c310-c63c-4731-8328-b605bf660bb4</t>
  </si>
  <si>
    <t>9de52824-5c51-4569-aa4f-a7a3d9276c7d</t>
  </si>
  <si>
    <t>9c9d388f-c82b-4b94-b8d3-d5406f748330</t>
  </si>
  <si>
    <t>aa213d8f-dbbb-4b46-82df-df841c1056bf</t>
  </si>
  <si>
    <t>dd9835dc-ef48-4029-a388-2eaf41a41d04</t>
  </si>
  <si>
    <t>0d7db8a7-c64b-4017-954c-819f44d7adbb</t>
  </si>
  <si>
    <t>8f05e412-7f67-42ba-97f7-f964d87c6ccc</t>
  </si>
  <si>
    <t>f1104680-83fa-4e10-9277-486b3730d62d</t>
  </si>
  <si>
    <t>3898f179-b793-4dea-b5f9-dc53d80b4cfa</t>
  </si>
  <si>
    <t>8cbc4517-c244-4987-b9b3-e7298c40aba4</t>
  </si>
  <si>
    <t>645dec2e-e9ae-4b2b-aac6-034245461f3c</t>
  </si>
  <si>
    <t>bcd2ac05-f549-426e-8ef3-52d6d0bf9aad</t>
  </si>
  <si>
    <t>fa47cb6d-0f61-4385-966f-952a717cdaa6</t>
  </si>
  <si>
    <t>6d0b9c01-aab1-4eb1-8414-1392c6560a7b</t>
  </si>
  <si>
    <t>99b75eef-1efb-4e62-898a-b52a264c6da0</t>
  </si>
  <si>
    <t>d379de45-8d62-42b7-b1a2-c9ed94065b48</t>
  </si>
  <si>
    <t>066f3b7a-6344-466c-bc11-8a9d1ff1f5b2</t>
  </si>
  <si>
    <t>1f88c9d8-780e-4669-86df-117992d117d4</t>
  </si>
  <si>
    <t>3b45a609-fbf8-48c0-bffe-100882cc0b8d</t>
  </si>
  <si>
    <t>4084f98b-7260-44a9-b823-72ca000493a3</t>
  </si>
  <si>
    <t>b9df7f83-aed5-43c0-abfe-82952e9298c4</t>
  </si>
  <si>
    <t>c7b4e5bc-0333-4aac-aa46-56973aeba05f</t>
  </si>
  <si>
    <t>f40c0c04-c742-4020-993c-6aa7040fef55</t>
  </si>
  <si>
    <t>5676afc3-731e-4a18-a92b-9e518ca5f1ac</t>
  </si>
  <si>
    <t>193e17ea-a8c0-4f39-953e-b4178207acdb</t>
  </si>
  <si>
    <t>d7565f9a-daee-417b-95d7-0d08b9f0669f</t>
  </si>
  <si>
    <t>2e3ef932-47c7-4b46-866e-fde586dec120</t>
  </si>
  <si>
    <t>755cb3cb-33c7-4591-95fa-51dc38c4cb7f</t>
  </si>
  <si>
    <t>65b42393-eb64-4bc4-87d1-772c0a428e02</t>
  </si>
  <si>
    <t>26659d7d-c3c0-40ae-b9fe-b83c080dce92</t>
  </si>
  <si>
    <t>1e4fa94f-01a8-4046-a905-8837b9248b8e</t>
  </si>
  <si>
    <t>eb74c470-a6f7-4217-9049-9b50337846b9</t>
  </si>
  <si>
    <t>9de51db8-e680-4af1-a322-dfb0d913643f</t>
  </si>
  <si>
    <t>b6ae88f3-9964-412d-833d-a9314060002d</t>
  </si>
  <si>
    <t>1ff99bfd-ebd6-4a61-85bf-909beb32c5e2</t>
  </si>
  <si>
    <t>82294078-c988-4822-921e-99b3f559e3c9</t>
  </si>
  <si>
    <t>19f47b70-8e07-4285-a7fb-9cb07b5736f3</t>
  </si>
  <si>
    <t>bfc97cbf-609f-4b5f-b8a5-ff3d22bb471d</t>
  </si>
  <si>
    <t>c13f4364-ca5f-4528-bfd5-2ec26559a228</t>
  </si>
  <si>
    <t>a0bee16e-8f78-4a2f-964e-345ca8e86d1a</t>
  </si>
  <si>
    <t>c3698d3e-2896-4864-bc66-eaa5527c922a</t>
  </si>
  <si>
    <t>d4de62b7-cb3b-409a-8c19-ede3f1fd5235</t>
  </si>
  <si>
    <t>e4054b32-3b2c-4497-9c1a-2dc29af2f924</t>
  </si>
  <si>
    <t>cf7003cf-5d28-44c9-82f1-758696275dfb</t>
  </si>
  <si>
    <t>470995aa-56e4-442b-908e-0b2df18bc527</t>
  </si>
  <si>
    <t>75745d9e-cb26-41a5-99cc-f911f75a6f98</t>
  </si>
  <si>
    <t>470fe475-7d55-4aee-b2e5-b903c8948837</t>
  </si>
  <si>
    <t>5c37370c-a092-49dd-8680-0e4508dee6c4</t>
  </si>
  <si>
    <t>022e674f-f552-4cfc-893d-158730eb8156</t>
  </si>
  <si>
    <t>b8dd8b42-f4ef-4d97-9056-64a493d43eb7</t>
  </si>
  <si>
    <t>721768c1-cdd3-4def-af3d-e4ff1f2d5bdb</t>
  </si>
  <si>
    <t>3b273ecb-0c89-43b5-ad28-5c5ec13d6363</t>
  </si>
  <si>
    <t>bb1d323c-4472-4059-8aeb-1f15fd5ca0c9</t>
  </si>
  <si>
    <t>48c728e0-1466-455d-adbb-cfaadb62b57b</t>
  </si>
  <si>
    <t>29eee91f-7dfb-4ad1-ad10-b055e3b57300</t>
  </si>
  <si>
    <t>ccbb8712-d357-46e4-bf21-700d498676a4</t>
  </si>
  <si>
    <t>96a6090c-b120-4eb4-b78e-b3756aa33eaa</t>
  </si>
  <si>
    <t>5467ede4-4d34-4eae-8b27-aacc4c5422f3</t>
  </si>
  <si>
    <t>e255ba04-14b1-4985-b667-45455fc42f3a</t>
  </si>
  <si>
    <t>98d81b76-58bc-41fe-b9bf-29362be25798</t>
  </si>
  <si>
    <t>7d339c62-e221-482d-8f7a-23f5eeb4cbc9</t>
  </si>
  <si>
    <t>1e31db43-7739-489c-bfc9-1a76fc2f830b</t>
  </si>
  <si>
    <t>54dacfb9-bf97-479f-8eca-92a7e0933571</t>
  </si>
  <si>
    <t>261a2471-ecab-472f-b5e9-57f1198047a7</t>
  </si>
  <si>
    <t>f75257dc-5fdc-47b6-86c4-53782a2a182a</t>
  </si>
  <si>
    <t>e1a1c7c2-d098-4002-813a-c96e273f53f0</t>
  </si>
  <si>
    <t>fe0275be-1dc2-4c78-bf39-31b256087081</t>
  </si>
  <si>
    <t>0eb6583e-172d-4d21-81d5-7f08896d9892</t>
  </si>
  <si>
    <t>44c15cf4-9cc0-479b-a4ab-17106d9c2330</t>
  </si>
  <si>
    <t>f1498321-b371-4a2e-9c40-e6e84e86dcf3</t>
  </si>
  <si>
    <t>b73f5d88-f11b-4d53-95d3-8a1895571bdb</t>
  </si>
  <si>
    <t>5c973058-7289-4bf6-a3c1-c4fa2f950356</t>
  </si>
  <si>
    <t>ceaa612c-d0fd-430f-beb8-f0256533745e</t>
  </si>
  <si>
    <t>468313fe-fd44-4032-80be-b20df7f2ab1e</t>
  </si>
  <si>
    <t>e8c0163b-96ee-4471-b668-20d3c21766df</t>
  </si>
  <si>
    <t>218c67e5-dc1e-43b2-b3eb-e5b6cdae4abf</t>
  </si>
  <si>
    <t>f1da3cf0-9908-4a3a-b002-09b9bad75c02</t>
  </si>
  <si>
    <t>345cbdff-5b99-480f-8b23-4f2b90960211</t>
  </si>
  <si>
    <t>a2d09457-63e7-4a99-a873-113d7e029293</t>
  </si>
  <si>
    <t>de4c4404-59e5-4f48-b872-c973ed335104</t>
  </si>
  <si>
    <t>90333ab7-27ca-4b2d-bf7c-cae2c46f96f6</t>
  </si>
  <si>
    <t>96304058-80d8-4873-b91f-6734cc22d05b</t>
  </si>
  <si>
    <t>21ee0799-e3e4-4a17-bce3-fd0c9646784f</t>
  </si>
  <si>
    <t>4fea1ba8-c48c-4205-8f7b-3823c108b690</t>
  </si>
  <si>
    <t>d21da76b-3085-4512-bcf9-4e7813a7cb1b</t>
  </si>
  <si>
    <t>13333f30-3603-420d-ba65-54165db0ec95</t>
  </si>
  <si>
    <t>613d4f8c-c245-468c-ac49-abcc1510c6cb</t>
  </si>
  <si>
    <t>329dcfd5-9f27-4b82-b550-1831386ac73a</t>
  </si>
  <si>
    <t>995c9680-5d17-4f86-aedd-09ae2ac71d28</t>
  </si>
  <si>
    <t>0434568a-4795-4f17-9849-c250137acf08</t>
  </si>
  <si>
    <t>26529be1-3529-4a4d-a51f-97015824879b</t>
  </si>
  <si>
    <t>84a996f0-0c97-4df2-9f89-13dab230f5d5</t>
  </si>
  <si>
    <t>00f371ee-b8a1-4e99-a305-84b237ad04b2</t>
  </si>
  <si>
    <t>81544551-63d0-44a5-870f-63477940e881</t>
  </si>
  <si>
    <t>e9588ee3-e82a-436c-a52f-94cc7b682278</t>
  </si>
  <si>
    <t>56f44b1d-31b6-4dbf-85bd-dd9b30a14205</t>
  </si>
  <si>
    <t>57bdb601-625a-4e6b-853e-f28bd06e553b</t>
  </si>
  <si>
    <t>e0aa3f89-ab1c-407b-b31e-0c8ac9947d02</t>
  </si>
  <si>
    <t>812c03e0-06d8-47b0-a86f-e008d20d899c</t>
  </si>
  <si>
    <t>f922a866-6052-4c28-82cb-c420272fe466</t>
  </si>
  <si>
    <t>07ae1afa-8a3d-4350-a2c6-77ab25d615c6</t>
  </si>
  <si>
    <t>b180b18a-1546-4afe-8f6b-06c8859e13aa</t>
  </si>
  <si>
    <t>dcc21b5c-3d75-40b3-bb23-822d9103dcca</t>
  </si>
  <si>
    <t>3d72e9d5-eea7-4615-b1b0-328265da8542</t>
  </si>
  <si>
    <t>fef941b9-626f-46d9-9646-8fae0f76c1b6</t>
  </si>
  <si>
    <t>2b4a2202-2d21-4cc1-af61-e5a0a408edcd</t>
  </si>
  <si>
    <t>c618694a-431c-4f41-b825-f310d6fbb658</t>
  </si>
  <si>
    <t>2bc47be2-6a22-47e5-8449-c6dd32b99225</t>
  </si>
  <si>
    <t>a7426222-2c97-4d7e-b953-43db2a23aad0</t>
  </si>
  <si>
    <t>07cdde06-24bc-48ec-a9c9-3f6fed4b9366</t>
  </si>
  <si>
    <t>01482bcb-36e2-42c8-843c-5be7cb68aae5</t>
  </si>
  <si>
    <t>3b0ec566-6d63-43a6-bad7-8c3951d78794</t>
  </si>
  <si>
    <t>eb3ca3d9-5a2e-45f6-8a1c-1f0c2bf60933</t>
  </si>
  <si>
    <t>9cb25341-cc6d-4554-b52e-05b2e6c00e65</t>
  </si>
  <si>
    <t>f3eb28a1-da86-4c59-95fd-a0e77ae34b6b</t>
  </si>
  <si>
    <t>4b7fa828-b03d-41e3-9d29-fa42358f7cc7</t>
  </si>
  <si>
    <t>ffaf54e8-aaed-4412-8085-5af11c0ee82a</t>
  </si>
  <si>
    <t>04f344e5-8ca3-4477-99f5-303f9e2d465e</t>
  </si>
  <si>
    <t>d9ba1d78-3ec7-4c98-a04b-2f67f1f3fdfc</t>
  </si>
  <si>
    <t>9c78a21f-1be9-4955-98ef-d06bfaaf60cd</t>
  </si>
  <si>
    <t>75cb8e60-f92e-45b8-9786-4b5a2c01d22d</t>
  </si>
  <si>
    <t>c80b48d9-17ec-41d6-a371-6f9b98094a02</t>
  </si>
  <si>
    <t>01cecfa1-b5e3-48fb-8e65-1088cfbec23e</t>
  </si>
  <si>
    <t>5f11e900-0195-47db-9c3c-17e16d46bc7f</t>
  </si>
  <si>
    <t>37e95caf-af63-45af-a507-5529cf25d9e1</t>
  </si>
  <si>
    <t>a6605d19-5fd9-499e-911b-1b4e9e2d74b1</t>
  </si>
  <si>
    <t>171e3040-ac05-483f-b096-f3a7c17f9dc3</t>
  </si>
  <si>
    <t>091a8c09-915e-49a7-ab60-f8b0960e724e</t>
  </si>
  <si>
    <t>295c323f-298d-434f-83c0-408b0f59855c</t>
  </si>
  <si>
    <t>2ad8947b-0b21-422b-9038-37b71e36f62f</t>
  </si>
  <si>
    <t>9a4caede-835f-45df-a078-01ac0c6c2375</t>
  </si>
  <si>
    <t>67da0e19-92c0-4d65-819a-52c829a24010</t>
  </si>
  <si>
    <t>fdea3fed-c1e8-4394-937c-69d86a83eafc</t>
  </si>
  <si>
    <t>564a1eb3-cdf0-4c00-812f-5fbcbe44bdbd</t>
  </si>
  <si>
    <t>b1b7f485-1cca-4f21-87ae-2c0a24a64a77</t>
  </si>
  <si>
    <t>40ab22a3-1fd8-4953-b08e-8a5f7d903870</t>
  </si>
  <si>
    <t>e51e5f6f-5fee-4e27-98bb-644b7b1ccd50</t>
  </si>
  <si>
    <t>97060b61-86eb-4761-8ce7-e62e81c8818d</t>
  </si>
  <si>
    <t>88e8a2ef-f367-4ca6-a986-50d48cf34a84</t>
  </si>
  <si>
    <t>433f616c-06bf-46c3-a916-2a71fc883ae5</t>
  </si>
  <si>
    <t>0f21dd45-9540-4877-b3c4-376fbdc882de</t>
  </si>
  <si>
    <t>0e03180a-9189-4d81-8c9a-f35af352a085</t>
  </si>
  <si>
    <t>7a46f890-9372-4cd2-8b3e-cf04103558ae</t>
  </si>
  <si>
    <t>8fb980b9-ac91-44c7-b428-b1c3044a99fa</t>
  </si>
  <si>
    <t>c4da95c3-6033-486a-8864-5d6e05efa2cb</t>
  </si>
  <si>
    <t>123ff647-813d-452b-bbc3-da60000b5132</t>
  </si>
  <si>
    <t>ecfd64ec-4aa0-4e41-9535-3b7d3461b1ad</t>
  </si>
  <si>
    <t>8ddf4033-2ddf-4155-9384-a40819b27095</t>
  </si>
  <si>
    <t>69db9335-5642-4514-a6c1-2c7ad68ffd2c</t>
  </si>
  <si>
    <t>3a11916e-0739-497f-be8a-de343bf81eb4</t>
  </si>
  <si>
    <t>20eff4c8-463c-469f-925f-6c67180a11ca</t>
  </si>
  <si>
    <t>f917fd1e-0be3-45e9-91d3-638bfa917290</t>
  </si>
  <si>
    <t>211ed96b-70a5-425b-9bfa-f61147b35f8c</t>
  </si>
  <si>
    <t>38f74f33-5c76-4a56-8333-c376d4c94444</t>
  </si>
  <si>
    <t>685556fe-6c26-420f-adb8-6161de8b9374</t>
  </si>
  <si>
    <t>8532a220-9ff5-41bb-b098-fd3ae4e7c313</t>
  </si>
  <si>
    <t>247c1785-735e-4011-9eb4-7b38adeffdb1</t>
  </si>
  <si>
    <t>e86fc374-7e64-4556-9145-8fe9739f8cb8</t>
  </si>
  <si>
    <t>589a45a5-716e-4075-8e0b-99e115725819</t>
  </si>
  <si>
    <t>3e3e9771-8191-4850-907b-60990aa1b6ce</t>
  </si>
  <si>
    <t>9675f85f-c751-44b0-b87e-f9772be5b593</t>
  </si>
  <si>
    <t>ab3ad9bf-4f41-43aa-bc4f-84ee90d1fa47</t>
  </si>
  <si>
    <t>11d5831f-44e2-47c4-8dfe-e16202dedd05</t>
  </si>
  <si>
    <t>4d1dc3e5-2822-4e7b-b4a6-f9cba9f4392e</t>
  </si>
  <si>
    <t>25628d23-c001-43c1-92ce-2f87977a0a7e</t>
  </si>
  <si>
    <t>0cf8b995-7c90-4800-a8ea-7a043a162752</t>
  </si>
  <si>
    <t>4660beea-6337-493e-90e4-f797ef61f9fe</t>
  </si>
  <si>
    <t>9553e13b-1f28-4d7a-9a6d-f7bc82a9935f</t>
  </si>
  <si>
    <t>a8a9cb3c-05af-4240-9e0f-b472ba673cb6</t>
  </si>
  <si>
    <t>4935dafa-2539-4813-a712-3bc73578efac</t>
  </si>
  <si>
    <t>25c9ee9a-70d9-4e11-9d15-41cbf3c0226f</t>
  </si>
  <si>
    <t>955793c2-c36d-49ee-89d8-369a4f63ea99</t>
  </si>
  <si>
    <t>8d6d34e2-4e97-434e-b673-a875f8c566bd</t>
  </si>
  <si>
    <t>5b8add25-4fca-4912-9e4c-9fd395df5ed7</t>
  </si>
  <si>
    <t>abbe6bc6-f100-48c2-aa4d-836d47dc80b4</t>
  </si>
  <si>
    <t>b891711f-bde4-4b2e-a680-4f851b1d961a</t>
  </si>
  <si>
    <t>09beff7a-2873-43cc-b28f-788d3d4a0f9d</t>
  </si>
  <si>
    <t>164e4e78-aebf-41fc-a264-debfb59fa56f</t>
  </si>
  <si>
    <t>31ea0d74-56f5-45a7-bcec-4eea2e8db5d9</t>
  </si>
  <si>
    <t>0e93cd04-1e48-41bf-bd17-2a2ff02f5204</t>
  </si>
  <si>
    <t>0270f3d5-55e3-4130-b64a-d8a2618ee927</t>
  </si>
  <si>
    <t>011ae82f-0e40-45ca-861b-45f0d5a4026f</t>
  </si>
  <si>
    <t>b945644c-b7db-40ad-8689-e68d49713cb3</t>
  </si>
  <si>
    <t>dd4f61a3-1337-4994-97fc-7a651de7045a</t>
  </si>
  <si>
    <t>0a00d79f-3832-401e-8f48-246014ccab05</t>
  </si>
  <si>
    <t>32ade4b9-f8b9-4419-bab9-c6bfaeaa0021</t>
  </si>
  <si>
    <t>1632142e-88c5-4489-b328-3eeecb0b0a58</t>
  </si>
  <si>
    <t>086500cb-fb3c-4596-b682-2f21789a70d0</t>
  </si>
  <si>
    <t>aa6053ce-1d5e-4c8d-be53-775813c378c6</t>
  </si>
  <si>
    <t>da0f5225-4a6a-4cf1-b494-e8e078ef0073</t>
  </si>
  <si>
    <t>c7409cd9-1fa5-41aa-abd3-9e3f7cb263fd</t>
  </si>
  <si>
    <t>6729e3db-9584-4d3f-b479-ace13a030084</t>
  </si>
  <si>
    <t>86d6cfa1-b121-4098-aea8-2374d1d8cb13</t>
  </si>
  <si>
    <t>8d3d0f12-d3ca-417e-bc30-eb349ae1b4d1</t>
  </si>
  <si>
    <t>d8367e6f-a655-43f3-8808-08d11e319f08</t>
  </si>
  <si>
    <t>51b17a27-95c9-468d-9410-c284b324fa17</t>
  </si>
  <si>
    <t>f2469c26-9570-4a01-93e9-d72c6af3fc55</t>
  </si>
  <si>
    <t>18461c97-c2a1-4370-bae9-ede172f8a839</t>
  </si>
  <si>
    <t>ad9276fd-6262-4a8d-b413-444e8c915cdd</t>
  </si>
  <si>
    <t>6effca09-d36e-4bf9-8f0f-60bfc91ca2f4</t>
  </si>
  <si>
    <t>7a2e0c4f-b54c-4264-8bb9-e46debe97d31</t>
  </si>
  <si>
    <t>6d400058-d043-4b29-bd90-2bccef044fbe</t>
  </si>
  <si>
    <t>89808b6b-2c4d-4756-a119-92ef3f7995bf</t>
  </si>
  <si>
    <t>3c1fffe7-47e9-4cb1-8bdc-2227d7592038</t>
  </si>
  <si>
    <t>dc73146e-6c8a-4e10-8b73-93445219de83</t>
  </si>
  <si>
    <t>77f8ddd2-aa9f-415a-97fc-46e399007c94</t>
  </si>
  <si>
    <t>7755298d-1253-4629-896d-f684bff12615</t>
  </si>
  <si>
    <t>9207b3d4-ffe0-419c-ba06-5ee185cb483f</t>
  </si>
  <si>
    <t>4bae831e-9245-4c82-9ad6-7a6dd0988985</t>
  </si>
  <si>
    <t>972ce776-5356-4d45-816d-e28a0e27fcae</t>
  </si>
  <si>
    <t>4ab8d45a-d082-4704-88af-7544dcf453cd</t>
  </si>
  <si>
    <t>c94018f8-6e85-496b-b366-5dc194d2ae62</t>
  </si>
  <si>
    <t>9c9e8d2e-9eec-418d-ad1f-3271adc64032</t>
  </si>
  <si>
    <t>c5274883-8b3f-49b1-be78-b4cab41d7f52</t>
  </si>
  <si>
    <t>dc011e70-a964-4395-9195-d8c1fb7183a4</t>
  </si>
  <si>
    <t>ffb4b2ef-0e6b-4b7d-bb9c-d6732fa12b39</t>
  </si>
  <si>
    <t>6d809071-1d22-4c75-9bfe-20a5d6d5b435</t>
  </si>
  <si>
    <t>d29044fc-7e0e-4923-9871-8705907a3147</t>
  </si>
  <si>
    <t>d2065280-2b75-48a2-ae0a-d4332f0eef2c</t>
  </si>
  <si>
    <t>8b64b470-2111-421b-a743-b04f81dfe608</t>
  </si>
  <si>
    <t>8517d014-cd0a-4fc8-bd72-942a7be06e4a</t>
  </si>
  <si>
    <t>a404e1a4-d96d-469c-bb9f-34cfe2a546ce</t>
  </si>
  <si>
    <t>218f6e45-6694-433f-8ae7-e993409aa997</t>
  </si>
  <si>
    <t>3e701740-2be7-4979-b926-be1268205b96</t>
  </si>
  <si>
    <t>f86f7935-13ea-47e9-8d30-3bf9520fda68</t>
  </si>
  <si>
    <t>9cad5441-563d-4522-a152-97f1a121d833</t>
  </si>
  <si>
    <t>4beb88b1-6400-4f64-9add-f75b4b46680a</t>
  </si>
  <si>
    <t>7df671d2-7fbe-4700-96be-aa6443efd05b</t>
  </si>
  <si>
    <t>fe4d675e-dcd3-46cc-b03c-a09599eb0500</t>
  </si>
  <si>
    <t>31d61736-4bed-47b3-a754-06c87220bd72</t>
  </si>
  <si>
    <t>1f0b83b0-4d8b-4bfa-baf5-0ae716360518</t>
  </si>
  <si>
    <t>5be058fe-dd5c-4dba-a0ba-08863125b093</t>
  </si>
  <si>
    <t>bad79b6f-bd14-45f8-82d9-3e71ce091b49</t>
  </si>
  <si>
    <t>e81c0fef-bd99-4c58-be03-e437f72049b7</t>
  </si>
  <si>
    <t>a472f387-2f34-4abf-a74d-5470254dd871</t>
  </si>
  <si>
    <t>44bd3dfc-4bf9-4514-a269-2b95c8fdb9f9</t>
  </si>
  <si>
    <t>e611e82d-9bfa-4454-806a-9572cec45958</t>
  </si>
  <si>
    <t>b31bf3d8-8a63-4166-9ca6-394ca3821a29</t>
  </si>
  <si>
    <t>393735b6-5881-467a-98c6-155cd788c5b9</t>
  </si>
  <si>
    <t>8055b5ff-9464-4ae4-a0a5-220198fba070</t>
  </si>
  <si>
    <t>148530d6-3296-4f4b-8625-d750e02222fa</t>
  </si>
  <si>
    <t>d2aaa1dd-488e-4dbe-91d9-1108d9a7bb5d</t>
  </si>
  <si>
    <t>5c95a79b-5d4e-481a-a5bc-4b465febc1e1</t>
  </si>
  <si>
    <t>a8cacd60-084f-4bab-829f-0a0a0047e5d9</t>
  </si>
  <si>
    <t>407d3282-61b7-469b-9479-3c23eeb6af89</t>
  </si>
  <si>
    <t>acdcdd94-7776-4454-8789-89bf4adc84c8</t>
  </si>
  <si>
    <t>d6e6781a-c65d-4c57-8eeb-a608eb402b85</t>
  </si>
  <si>
    <t>70d0d6fa-39de-41d9-8962-9021cb7e1a3e</t>
  </si>
  <si>
    <t>0ac888d5-13ae-44b6-8311-a560d9816638</t>
  </si>
  <si>
    <t>6b2e9958-1678-485b-9e39-00ab369919a9</t>
  </si>
  <si>
    <t>2bbb23c4-1343-4358-bb6f-b668fcc94bdf</t>
  </si>
  <si>
    <t>4d939b1a-2baf-4a5f-8abb-3930c1993386</t>
  </si>
  <si>
    <t>ea3fbd78-ca26-4e1a-a02b-e2a339b11fe7</t>
  </si>
  <si>
    <t>f417b54c-a28c-4ff1-8134-5dcb684b1333</t>
  </si>
  <si>
    <t>eb235868-22f7-44ec-8e77-a8832d5aa54f</t>
  </si>
  <si>
    <t>c3e6d36c-f865-4b4f-b005-2fa7eac8d441</t>
  </si>
  <si>
    <t>91e425a9-81b9-40f2-bbf7-1e32cd3ec8d8</t>
  </si>
  <si>
    <t>07d6a782-e64f-405e-a4f6-accef4b66ab9</t>
  </si>
  <si>
    <t>748faabf-c3cb-40bc-b5c4-59c8657d13a4</t>
  </si>
  <si>
    <t>8d29c5f6-ca87-4dd4-bcbe-78c42f154816</t>
  </si>
  <si>
    <t>ca22290f-39eb-4701-bacd-238d64fbcef9</t>
  </si>
  <si>
    <t>3c14cfe5-05a7-4abb-b9ce-3ec45a9f426c</t>
  </si>
  <si>
    <t>18872d17-74b0-469d-a610-f52eda6af767</t>
  </si>
  <si>
    <t>5a2570f3-13bc-4242-9a2e-cdfc36fb2013</t>
  </si>
  <si>
    <t>33ca70aa-5862-4d90-862a-30ed52e632bd</t>
  </si>
  <si>
    <t>a78c3a6a-3258-4f73-89a2-308e5a6c8d87</t>
  </si>
  <si>
    <t>db9081c2-1997-4c20-b9c1-ca010cda989b</t>
  </si>
  <si>
    <t>c6d1f371-70f9-4629-b0dc-97e076726eb8</t>
  </si>
  <si>
    <t>94b35d08-2135-435c-8d81-b18405e16d5e</t>
  </si>
  <si>
    <t>f1ff2706-b493-4edf-968e-44c9865557f8</t>
  </si>
  <si>
    <t>9565c896-daa2-4cc2-8850-9a699aed4a8b</t>
  </si>
  <si>
    <t>faa93695-8df0-45bd-952f-83d1efe80dc6</t>
  </si>
  <si>
    <t>dcd28025-9dd5-4c27-a6d8-783e740b94a9</t>
  </si>
  <si>
    <t>b3dc2994-cab9-44e0-837c-120d92eac642</t>
  </si>
  <si>
    <t>634e10e9-69d4-48a5-af63-ccc7d7dcc28a</t>
  </si>
  <si>
    <t>3afa6c37-df93-4258-ae83-d8e9382cc7b9</t>
  </si>
  <si>
    <t>94f66273-2436-4b71-a77f-9c176e704a63</t>
  </si>
  <si>
    <t>6ac6e3f2-b48a-43b9-a1e1-153631451bf2</t>
  </si>
  <si>
    <t>84f123a7-ccc3-4d82-9cb5-b171c0c1be5a</t>
  </si>
  <si>
    <t>c235bb01-9b83-4d18-a561-60411c8ca953</t>
  </si>
  <si>
    <t>e06e7dd7-1683-4d9c-a6d4-8ff6c5757546</t>
  </si>
  <si>
    <t>f24c62ed-cfeb-47ab-b6c9-6d703f25328b</t>
  </si>
  <si>
    <t>960a8bf5-75da-49d8-b01f-27f745283f1d</t>
  </si>
  <si>
    <t>9fdac60f-e0dc-4974-924c-1e1a327e8996</t>
  </si>
  <si>
    <t>e914a987-fa61-4f78-b754-2965e51c364a</t>
  </si>
  <si>
    <t>379eb594-eb03-4707-bfd6-ac53b51cc997</t>
  </si>
  <si>
    <t>34e065a6-d003-4681-8c89-df0942e92741</t>
  </si>
  <si>
    <t>78e3e61f-bb04-4946-9ada-a34dcc841f4e</t>
  </si>
  <si>
    <t>c432cb67-b5c4-417c-9f18-2f3adb4e9d9c</t>
  </si>
  <si>
    <t>7e2e81f4-875f-400a-93af-6905855421be</t>
  </si>
  <si>
    <t>f198de84-5a24-4382-9f8b-e3c262ccc1fc</t>
  </si>
  <si>
    <t>0c630a7b-4445-45bb-a98c-9a9946a14649</t>
  </si>
  <si>
    <t>d52f2da7-58a3-4edc-a501-27fe3059d115</t>
  </si>
  <si>
    <t>f010ce6b-a7fe-47f1-9c69-5a3d0f8a355a</t>
  </si>
  <si>
    <t>a97cbf0d-c4a1-4d66-bfbc-dfc8b3a8fa16</t>
  </si>
  <si>
    <t>31d12396-b407-455c-a27b-2f87ca345bb9</t>
  </si>
  <si>
    <t>37c4f4c2-607a-4deb-8a35-78b0d961d6b8</t>
  </si>
  <si>
    <t>0f07454c-d4dd-430c-8d57-7ccb45b3798d</t>
  </si>
  <si>
    <t>10697466-cdc4-4afb-b9eb-b6657cd2ef8c</t>
  </si>
  <si>
    <t>bfc3ca02-8365-430e-8f38-1a8e25a79c35</t>
  </si>
  <si>
    <t>37d28281-4a55-4109-9672-293f8c5bde2a</t>
  </si>
  <si>
    <t>dce512ad-75b0-4a62-afc4-0ac5378fc597</t>
  </si>
  <si>
    <t>0f9c3393-2b41-411c-9e30-59aef94147b5</t>
  </si>
  <si>
    <t>e00f7d57-fc7f-4b8b-8edd-c849dff03c27</t>
  </si>
  <si>
    <t>ebc48bc7-8be1-430e-8e3c-09427bda2b76</t>
  </si>
  <si>
    <t>9c439813-1396-46f1-a0c2-eeb82b02bfc7</t>
  </si>
  <si>
    <t>c33380aa-75ca-48fc-82bb-d8183dfbb11c</t>
  </si>
  <si>
    <t>68c1a829-7e68-4fe1-a678-e05339112703</t>
  </si>
  <si>
    <t>d40127fa-885e-49f1-8035-50999bfae9e2</t>
  </si>
  <si>
    <t>dca08f4c-8acb-4a71-96c2-cee2ce1c2417</t>
  </si>
  <si>
    <t>2e3c1a87-7baa-42ac-aaf2-cd41fea66eb0</t>
  </si>
  <si>
    <t>14d7efd4-e915-452c-a6a5-4ad881c18349</t>
  </si>
  <si>
    <t>7562535f-b7f1-4485-8a15-6663e40d4533</t>
  </si>
  <si>
    <t>2893a6d9-f8d2-4397-97ef-846bbadaf1ae</t>
  </si>
  <si>
    <t>74ed02b8-57f3-4012-ba7a-26f3d616d5d7</t>
  </si>
  <si>
    <t>f09c5d2a-4abc-468c-bbb7-c157987b6997</t>
  </si>
  <si>
    <t>ce29a9b5-459d-4a3e-9c77-74a31df62107</t>
  </si>
  <si>
    <t>99806569-dcc3-47ab-92f7-39d7b2cce66a</t>
  </si>
  <si>
    <t>d39d3fc7-c634-4a1f-bc30-e2743651cc0e</t>
  </si>
  <si>
    <t>fffb7162-9f30-4ad9-864a-46018a0ac04e</t>
  </si>
  <si>
    <t>5500daef-cf63-4405-9646-1701aec66b8f</t>
  </si>
  <si>
    <t>52faf043-83e8-40ce-be1b-ebc664863c5f</t>
  </si>
  <si>
    <t>ef71c0c5-ba47-445b-aae9-fa3618237d23</t>
  </si>
  <si>
    <t>334be8d4-d394-4fea-8ad2-1bfc0db6a4a5</t>
  </si>
  <si>
    <t>e1ef5f67-33f2-4675-b336-8bcacc509f76</t>
  </si>
  <si>
    <t>64e41690-072b-4e56-a070-abb2edf8c3b6</t>
  </si>
  <si>
    <t>8df4ab55-3365-4f43-8602-fc75dd070cd1</t>
  </si>
  <si>
    <t>74a15510-f53c-4111-aba0-dc934daa7cad</t>
  </si>
  <si>
    <t>846a4dda-d65f-4474-830f-a4a9ea6a2643</t>
  </si>
  <si>
    <t>f3c7d08b-201a-4424-9088-943bfeb54310</t>
  </si>
  <si>
    <t>cdc0d51d-1491-4f9e-9217-dd5125d71af6</t>
  </si>
  <si>
    <t>a1910ca7-9e55-4474-9168-6bf1219e7df5</t>
  </si>
  <si>
    <t>55615d60-7510-4d00-90c8-f60783665e61</t>
  </si>
  <si>
    <t>fc3f2253-ca57-4160-89f1-679294db44fa</t>
  </si>
  <si>
    <t>071b4ac9-75f9-423c-bb3d-e9987cb6d2fd</t>
  </si>
  <si>
    <t>96acccbd-7555-47c4-aa59-8b2e754606eb</t>
  </si>
  <si>
    <t>cd74bd3d-bf54-4644-855a-722d0da789eb</t>
  </si>
  <si>
    <t>df85d0d4-d04f-442c-a726-550a938984fb</t>
  </si>
  <si>
    <t>5f72018c-ebe2-422f-96b1-b557568a698e</t>
  </si>
  <si>
    <t>37e753a6-4a4d-4785-bcc9-87ec51779946</t>
  </si>
  <si>
    <t>dd979ee0-ce3e-488f-8d4e-4a77583e87e9</t>
  </si>
  <si>
    <t>5456d20d-6e19-4c34-af14-1867d5e56c3b</t>
  </si>
  <si>
    <t>2674786a-b9cb-4c90-9224-c7e9ae51275d</t>
  </si>
  <si>
    <t>7b0ec783-a9ad-4778-8657-ee0eee43155f</t>
  </si>
  <si>
    <t>ccd8fea8-193b-4937-af36-3713c7f262e7</t>
  </si>
  <si>
    <t>5a5d729f-a6fa-4650-b5c7-287d3b672db1</t>
  </si>
  <si>
    <t>40cc56ab-135b-498f-9899-2b646ea3fec0</t>
  </si>
  <si>
    <t>1ca57730-32a3-4f4a-8cea-dbc5cbf14b73</t>
  </si>
  <si>
    <t>eaebba53-6d12-4204-9dc3-d605c1edaa33</t>
  </si>
  <si>
    <t>138b6b59-917e-4463-8ffb-36a12c8d8073</t>
  </si>
  <si>
    <t>c729c5b3-e2e5-4296-beee-edd5d097b5c1</t>
  </si>
  <si>
    <t>f874cf6e-4b66-438d-832c-ea678c574875</t>
  </si>
  <si>
    <t>5307d74b-8f95-4ac8-bd3d-c19c75626e72</t>
  </si>
  <si>
    <t>122bcd35-df79-4a40-98bf-4bc99afaff8a</t>
  </si>
  <si>
    <t>3b4673a3-217a-4dac-89de-abae20aef82b</t>
  </si>
  <si>
    <t>a712f65a-0433-4036-a864-e843005d0cae</t>
  </si>
  <si>
    <t>ff27e4bb-eebf-4b94-81e2-7bf1b6350d8c</t>
  </si>
  <si>
    <t>e80b3421-04a4-4e64-8ffe-cc08c0c3d7e1</t>
  </si>
  <si>
    <t>1e00b8e1-d121-4493-b3a7-855de546d609</t>
  </si>
  <si>
    <t>b0062209-f9e6-4a11-9aef-de8bbae0a90c</t>
  </si>
  <si>
    <t>e618a860-6b26-4b00-ad8a-fa33fe35859d</t>
  </si>
  <si>
    <t>0e610a28-300c-41e6-8db8-89b28544b16b</t>
  </si>
  <si>
    <t>50059968-987c-40b1-8f54-a76a3bdc9777</t>
  </si>
  <si>
    <t>323f3541-3a9a-4dcd-b6e2-4c1796d7f416</t>
  </si>
  <si>
    <t>959e7547-9550-4729-9ca3-4cf70de63edd</t>
  </si>
  <si>
    <t>99bb2de6-8ec8-4283-acdf-04865056644c</t>
  </si>
  <si>
    <t>bc2a8357-70dc-4479-9b17-8c9de5b27cf5</t>
  </si>
  <si>
    <t>51f5dd90-3d4d-417a-bac8-568207687122</t>
  </si>
  <si>
    <t>f8f79b09-b928-4415-9041-0b956b39dd7d</t>
  </si>
  <si>
    <t>bd3cfa81-b9aa-495b-ab1e-93d7269e334f</t>
  </si>
  <si>
    <t>69d4f14c-f5df-49af-93a8-cca6d3d2de74</t>
  </si>
  <si>
    <t>e7fdaafb-8921-4f34-91e9-e780b8ae6a5e</t>
  </si>
  <si>
    <t>3c09a237-232f-4330-b250-d24caddad19f</t>
  </si>
  <si>
    <t>8a6beb7c-30f3-4509-ba6c-53dc143e4e42</t>
  </si>
  <si>
    <t>7bea33ff-0b78-42ee-932f-e91a2583f86e</t>
  </si>
  <si>
    <t>5fa06ca9-17de-4e8b-a656-48c7548e602d</t>
  </si>
  <si>
    <t>d884671e-b7d9-4263-9902-783c1c457533</t>
  </si>
  <si>
    <t>16831184-30a0-4639-b677-4dc41a38170a</t>
  </si>
  <si>
    <t>682acfdc-75e0-4e52-a578-8654d0dc58ac</t>
  </si>
  <si>
    <t>b9364a70-2b87-4cd8-956e-5eebcdfcf82f</t>
  </si>
  <si>
    <t>a3d61649-3b73-4e0b-bd11-1ceb7502811b</t>
  </si>
  <si>
    <t>2e82c193-2527-4547-bab9-cdf96f2fcca4</t>
  </si>
  <si>
    <t>8768bd7b-c3da-4fe9-80f7-e89e56b336c9</t>
  </si>
  <si>
    <t>243f3f0b-97c8-4318-8636-5e306bebeac4</t>
  </si>
  <si>
    <t>f9a8287a-b9c4-4412-b12f-cd29cd03678e</t>
  </si>
  <si>
    <t>a1b11a42-1ed7-428f-bee0-0de6d6285db5</t>
  </si>
  <si>
    <t>04fbe266-f648-4d39-a79f-6eba81ab0c88</t>
  </si>
  <si>
    <t>aaf11f95-dd57-4b9a-9b64-71ab9c3b5988</t>
  </si>
  <si>
    <t>79364644-c24a-4914-af3c-f8f8836e4461</t>
  </si>
  <si>
    <t>85dacbf3-9d10-46b0-9395-74035bfb57da</t>
  </si>
  <si>
    <t>80f165bd-ecc7-4fba-a6bd-ea3c161f237f</t>
  </si>
  <si>
    <t>178f6436-4b02-42e4-806f-db3a39e9fa07</t>
  </si>
  <si>
    <t>b2519278-92be-461c-9871-7ff21aa556fd</t>
  </si>
  <si>
    <t>d6ee9737-fba7-4be8-a34a-bd46255a3ed5</t>
  </si>
  <si>
    <t>d53a6296-a790-46e2-af1a-402fb81df974</t>
  </si>
  <si>
    <t>c136786b-9429-40d4-89f3-337748663ef4</t>
  </si>
  <si>
    <t>28619acd-e482-44a6-9e44-024608c52167</t>
  </si>
  <si>
    <t>9e35b5aa-f047-43f3-8f94-25f7104df3cf</t>
  </si>
  <si>
    <t>0d61c70d-a138-4b8c-9283-b36c45f5fc34</t>
  </si>
  <si>
    <t>fac86ee8-b931-4529-9083-d170bf1b4fb0</t>
  </si>
  <si>
    <t>d7e47312-6f23-41db-b97d-7b510c0e4d1e</t>
  </si>
  <si>
    <t>ec8a00c5-348a-4a5d-81d3-c44ce4416985</t>
  </si>
  <si>
    <t>64e19dc6-2e00-4302-912d-da5c198bbec9</t>
  </si>
  <si>
    <t>c52878ae-68ba-4906-8b22-01afdec4335a</t>
  </si>
  <si>
    <t>6e09c781-d651-4798-bccd-76bd20f157d2</t>
  </si>
  <si>
    <t>1d611eab-f81c-4c9e-a8cb-129bcb0f0493</t>
  </si>
  <si>
    <t>00ae13fc-4e2f-4f6b-a691-5f4bf4cde1e6</t>
  </si>
  <si>
    <t>26095d88-efc1-4329-902e-3e60cb1556e7</t>
  </si>
  <si>
    <t>dba8082f-c7df-4eaa-8777-07b7bf190b63</t>
  </si>
  <si>
    <t>c78a6329-6a35-424a-b6af-c165636d1531</t>
  </si>
  <si>
    <t>45733819-b604-4f34-bbb5-220ee5d7a3a3</t>
  </si>
  <si>
    <t>c40450c9-4553-42fa-b577-b87e8f3234b1</t>
  </si>
  <si>
    <t>186bbd86-081d-4fe2-8069-7cf4075ed596</t>
  </si>
  <si>
    <t>13309ca9-8c37-431e-9be3-2dbe9df5a5a4</t>
  </si>
  <si>
    <t>c172de72-3007-48d3-833d-938c16ec6697</t>
  </si>
  <si>
    <t>84e243c5-7ed4-4d2d-83b6-02a9adae30ec</t>
  </si>
  <si>
    <t>befe7b09-a667-4626-ad2f-3d796d39987b</t>
  </si>
  <si>
    <t>ab15b05d-c457-44cf-a564-e7c89dcf8cbb</t>
  </si>
  <si>
    <t>9a2d0005-6839-4d75-9d4e-8fd41e6048f0</t>
  </si>
  <si>
    <t>b7bad806-03dc-4b39-9d71-1a3ff659d797</t>
  </si>
  <si>
    <t>1e55d387-a861-4a35-805b-34fff1cf8d37</t>
  </si>
  <si>
    <t>29ba36fa-eade-4285-94e5-cadcf834f347</t>
  </si>
  <si>
    <t>053648b0-e73a-437b-abb3-0ff744beeb82</t>
  </si>
  <si>
    <t>89454028-dca7-42a6-82fb-fbd4d88eaacf</t>
  </si>
  <si>
    <t>bb13dd60-a244-4fd5-bf6a-038bfa466cc9</t>
  </si>
  <si>
    <t>549cbe83-2ea1-40b7-b3c2-c53fb58d23ce</t>
  </si>
  <si>
    <t>aa96a32b-acfa-4269-a818-c6416a04867d</t>
  </si>
  <si>
    <t>cc37fb8f-adc8-4295-9c8f-4064c43c52bd</t>
  </si>
  <si>
    <t>f1bdd053-c6ad-4543-9f87-2ba8e5096e1d</t>
  </si>
  <si>
    <t>89004ae3-5613-4efd-ad67-3ddb02887cb3</t>
  </si>
  <si>
    <t>a602745f-955d-4a2f-9375-24c7f06204a2</t>
  </si>
  <si>
    <t>3f275dbf-3d96-41e6-b6ce-9d57c8a66d90</t>
  </si>
  <si>
    <t>2a5e5d8d-014c-4ded-96ac-4bbce852a2d5</t>
  </si>
  <si>
    <t>286515b5-390e-41f9-9332-b92c7a31edfa</t>
  </si>
  <si>
    <t>6539f7db-2ac1-4369-8fa9-3139277c0545</t>
  </si>
  <si>
    <t>00423b71-7d57-4c72-b607-ed256d0d661b</t>
  </si>
  <si>
    <t>56529f18-e8b4-423d-90be-c8ef0c00d9cb</t>
  </si>
  <si>
    <t>9b41b264-7aca-4483-830f-2758812284cc</t>
  </si>
  <si>
    <t>9f8e2483-355b-4216-aa10-05475d102bf6</t>
  </si>
  <si>
    <t>8c87f60e-b8b8-4a6b-96e0-78c4422d3ece</t>
  </si>
  <si>
    <t>6bc66cf2-6b3e-4598-a8fc-af9a56fa0226</t>
  </si>
  <si>
    <t>0ec94453-9d1a-47d4-82f5-7a07b58a65af</t>
  </si>
  <si>
    <t>2b9debb4-4552-416a-a961-14d55e32dd72</t>
  </si>
  <si>
    <t>19c627f6-327b-4fd7-b66e-4a8df4e30fa8</t>
  </si>
  <si>
    <t>e269d02c-1535-4964-9ca5-95ba2c2aea86</t>
  </si>
  <si>
    <t>040fb993-64a1-40e6-824e-2f7575bd3eb2</t>
  </si>
  <si>
    <t>4ce9a7ad-be8c-4003-8549-0a1dbda10f86</t>
  </si>
  <si>
    <t>f8839ea4-c76e-4d66-a7f8-88632ebb6eb6</t>
  </si>
  <si>
    <t>887322d7-acb1-4900-bbaf-10f82772a3ef</t>
  </si>
  <si>
    <t>a4201a08-da88-4069-a9cc-d7e5d4fdf204</t>
  </si>
  <si>
    <t>35731a90-67e4-4284-9661-2539342b3e6b</t>
  </si>
  <si>
    <t>1e3975f3-94e9-443c-b3bf-27207eea9f41</t>
  </si>
  <si>
    <t>57c3b6bb-edb7-4171-9a08-53b8900a8713</t>
  </si>
  <si>
    <t>081b387b-6fb0-4c61-b791-0b1cbaffcd3a</t>
  </si>
  <si>
    <t>7674bac7-1995-4b9c-ae25-a32e38203a6d</t>
  </si>
  <si>
    <t>3f0b21c7-4870-473d-b90a-4fbd514c638e</t>
  </si>
  <si>
    <t>fa3dde4a-7f8f-455d-b080-67641848cc32</t>
  </si>
  <si>
    <t>d39523f0-84c0-448a-9fd1-0bc4b55a6167</t>
  </si>
  <si>
    <t>98bd183a-39c5-4123-9bfa-36dbd5f8a6cb</t>
  </si>
  <si>
    <t>fdf2fee1-9cfc-40ed-98ca-c011ad3cd5bf</t>
  </si>
  <si>
    <t>112fe107-cc5d-453c-adac-5505d221d5de</t>
  </si>
  <si>
    <t>abd99d22-cf54-457f-b7cb-b4a9b24b2994</t>
  </si>
  <si>
    <t>19873eea-170d-432e-8e99-30bab99cd8e2</t>
  </si>
  <si>
    <t>d47d6ab1-90ad-413e-8e0a-d143bae9b0d9</t>
  </si>
  <si>
    <t>a6320456-03a0-4b2d-aaf1-2996530cee76</t>
  </si>
  <si>
    <t>2bcf2d25-27de-4df4-ae18-d34e0d3ffc81</t>
  </si>
  <si>
    <t>9d4591a4-e80d-4bc4-a68f-790ed04ce92e</t>
  </si>
  <si>
    <t>6c7fb793-8d33-4fa0-9894-89ba7f56d05d</t>
  </si>
  <si>
    <t>e0d3088d-1f39-4bb4-94b3-2041b85d2592</t>
  </si>
  <si>
    <t>6e2b6635-8461-4ce7-8b85-18cb7e2c0e88</t>
  </si>
  <si>
    <t>571f18f7-872a-488b-a59c-a0cb581f71ff</t>
  </si>
  <si>
    <t>4c5e0961-7725-4a80-a302-c997e7196866</t>
  </si>
  <si>
    <t>5356e689-7209-4914-bb52-587d30345291</t>
  </si>
  <si>
    <t>981a8d77-48e1-4511-b358-c7d0f1113445</t>
  </si>
  <si>
    <t>f3061222-24d7-4b97-9976-82be02ca28dd</t>
  </si>
  <si>
    <t>b787068d-d73a-4924-8c23-71eff9adbe74</t>
  </si>
  <si>
    <t>2df8af9a-d4ea-48b9-a60e-5db53bbdeb20</t>
  </si>
  <si>
    <t>503ebb9b-8b63-4530-a65a-11b0b91c2445</t>
  </si>
  <si>
    <t>b6f17480-1f34-47e8-af1d-ce4c641817e3</t>
  </si>
  <si>
    <t>b6b4c532-e46a-487a-b28b-e3ea4725617e</t>
  </si>
  <si>
    <t>0352ba63-135d-4bc9-a318-d661ee1ab0e0</t>
  </si>
  <si>
    <t>a411211d-2e0a-42a2-9ef9-1ca665f68157</t>
  </si>
  <si>
    <t>d6b61850-ebcf-4feb-aa78-c694952657a9</t>
  </si>
  <si>
    <t>9c476d62-f07e-48c1-8a53-3b003e2a1663</t>
  </si>
  <si>
    <t>0892a11f-4c24-44f4-8c92-2d3b1fa9fe20</t>
  </si>
  <si>
    <t>1f2e137f-3d8a-41e0-b6ed-40a2e13bbb52</t>
  </si>
  <si>
    <t>c0fd29f7-ee82-4fea-837a-57d19e3b6902</t>
  </si>
  <si>
    <t>1e8df111-c839-42e2-b2c5-f7f34c7d67b5</t>
  </si>
  <si>
    <t>28186b34-5b1e-4735-9321-1d2c6dac861f</t>
  </si>
  <si>
    <t>8606efe7-7505-44ee-9f37-32bc0240e26c</t>
  </si>
  <si>
    <t>a1fe0d4d-a860-4040-aaff-5f5be4f46683</t>
  </si>
  <si>
    <t>4a263a97-7ed9-46a1-98cf-bd14ed2e48d2</t>
  </si>
  <si>
    <t>f355c1be-0c9c-4a15-9664-e71e9d507436</t>
  </si>
  <si>
    <t>a783711f-62e9-4994-b55b-a8d673c207bf</t>
  </si>
  <si>
    <t>5f8587d5-6574-44c9-b3d9-deebbcdb4c7f</t>
  </si>
  <si>
    <t>aa3b8aec-77f8-4717-a299-f34b854751fd</t>
  </si>
  <si>
    <t>1848b5d0-2bf4-4b9e-bb00-461d199385a8</t>
  </si>
  <si>
    <t>ed328023-ff7b-44a4-b8dd-19d6310f7464</t>
  </si>
  <si>
    <t>98780966-6e4f-4c49-b1ef-ede805371531</t>
  </si>
  <si>
    <t>7388f90b-516a-4ed7-9d54-de66e0957452</t>
  </si>
  <si>
    <t>516bbbd7-c556-47ac-9f8a-4cf2f3fd7e14</t>
  </si>
  <si>
    <t>7b7da9a7-997c-43d5-89b8-6803a913c865</t>
  </si>
  <si>
    <t>d0db3421-4bf4-4c38-a2d8-e9888a5e3085</t>
  </si>
  <si>
    <t>892eee64-cb4d-4ce8-bf5e-eafb1db6de06</t>
  </si>
  <si>
    <t>d7e16e4a-e2ab-4e45-8bb8-47124be5a22c</t>
  </si>
  <si>
    <t>027a9625-eabc-422d-bf9a-1f9d5148d1d5</t>
  </si>
  <si>
    <t>21ab1b23-b87c-499e-90e7-0c8c76f22965</t>
  </si>
  <si>
    <t>33ec6504-69f7-4609-8ca8-a923b6998e9d</t>
  </si>
  <si>
    <t>a5049d38-e100-4017-8a65-cb2f23209d96</t>
  </si>
  <si>
    <t>83099439-81a8-4bfa-b12b-05dd45e3a6cb</t>
  </si>
  <si>
    <t>5a7ba4a6-5c1e-474a-baa2-92b738726b41</t>
  </si>
  <si>
    <t>020cbee9-17d8-402e-9aa6-bfedc7577a80</t>
  </si>
  <si>
    <t>57dcef5f-f083-42bf-b1d5-1adfa12d284a</t>
  </si>
  <si>
    <t>6f697651-35de-4f88-af96-804464a584a4</t>
  </si>
  <si>
    <t>536a5e4d-ee06-41eb-be30-f3ed36706da1</t>
  </si>
  <si>
    <t>ced730b4-4ffe-4698-ba2e-9203880b72d7</t>
  </si>
  <si>
    <t>99e62b1c-019b-439c-a983-560b7c134877</t>
  </si>
  <si>
    <t>c79a98ed-1563-4842-866e-bed3b8b09e8a</t>
  </si>
  <si>
    <t>144c0285-0568-44b3-8f63-2181d30f91ff</t>
  </si>
  <si>
    <t>6a308949-a938-45ae-97da-27bc12cef5d7</t>
  </si>
  <si>
    <t>cce55a2b-2c8c-46cd-9438-baeac9b4bd72</t>
  </si>
  <si>
    <t>65e4aed5-89ab-4e1e-85a5-88e6f90aec25</t>
  </si>
  <si>
    <t>c7e55ec7-65b4-4169-b2af-78d640fa2b01</t>
  </si>
  <si>
    <t>94940a41-104f-4a43-a752-ddccbd936edc</t>
  </si>
  <si>
    <t>85a19ff1-f106-4604-9aeb-735b747bccfb</t>
  </si>
  <si>
    <t>854efe9f-582d-4baf-9b74-5b71286b06e0</t>
  </si>
  <si>
    <t>c5544908-e712-4675-8f5c-1120d562108c</t>
  </si>
  <si>
    <t>5ca7aa8e-7cb4-4ce3-8433-9df638ff52bf</t>
  </si>
  <si>
    <t>60aa0aa7-dbe8-49a6-9fdb-4bb21af0a1d7</t>
  </si>
  <si>
    <t>e6f833e7-741a-4259-805c-53e2bdab7db3</t>
  </si>
  <si>
    <t>e418aa32-cef5-4704-b779-85b6f66a313c</t>
  </si>
  <si>
    <t>832d4037-85c8-4df3-b368-c804da09166d</t>
  </si>
  <si>
    <t>75e0d529-79fc-48ec-8b88-662b3bbc9399</t>
  </si>
  <si>
    <t>92c6f55b-29df-471c-884f-ee335b02c7e9</t>
  </si>
  <si>
    <t>8882c1cb-9c3b-4f17-954b-64ecc6c1e1e8</t>
  </si>
  <si>
    <t>d7958095-11f1-4a57-b3b8-d1cfe777290e</t>
  </si>
  <si>
    <t>ec3429a0-089a-4cdd-86c5-06bd8cbcafbd</t>
  </si>
  <si>
    <t>92cc778e-3336-42bc-ac41-80810a78b6b2</t>
  </si>
  <si>
    <t>50e7612d-bca5-47e2-8b35-9eac4aabffcf</t>
  </si>
  <si>
    <t>220ac335-825a-4c8c-8f58-59ab2dbba3f0</t>
  </si>
  <si>
    <t>fc7aee6d-e61f-4c6c-ac9e-4dd85eb87356</t>
  </si>
  <si>
    <t>c64f4ff4-65de-41dc-80ed-bf29c773cc72</t>
  </si>
  <si>
    <t>e67bdf20-6746-4ba1-a41c-5a7cc4f60854</t>
  </si>
  <si>
    <t>8e263751-2c2a-4593-a36c-c02cf8822ff8</t>
  </si>
  <si>
    <t>13cfb606-1337-473f-a838-325659ca6a00</t>
  </si>
  <si>
    <t>00f49f16-55a8-446c-9754-2fdf59c75e07</t>
  </si>
  <si>
    <t>51425838-d433-4ea5-9e60-31be1b2b7381</t>
  </si>
  <si>
    <t>da1118a6-ed0a-418b-ade8-d979fa9835af</t>
  </si>
  <si>
    <t>e9071e68-29b6-4470-8076-7a58ef2974ce</t>
  </si>
  <si>
    <t>b6e90e52-6bc4-4d7c-9940-21686b341f21</t>
  </si>
  <si>
    <t>9c952cb0-7b53-480b-846a-7aa93d05856a</t>
  </si>
  <si>
    <t>31f67ad5-2d0d-45ea-8960-53f78cf637db</t>
  </si>
  <si>
    <t>feeeca31-9a80-4ba5-97fa-29725f6f0603</t>
  </si>
  <si>
    <t>be3395b2-9b9d-43af-b842-ad10bdc31c10</t>
  </si>
  <si>
    <t>2dac8cd9-acb0-45a4-92e1-c9191eec45d6</t>
  </si>
  <si>
    <t>5052f895-b5bf-49b3-ba01-3ce0979664db</t>
  </si>
  <si>
    <t>77bd7f29-7e58-41fd-aeb6-169478988ef6</t>
  </si>
  <si>
    <t>e538c64d-18bd-49c4-96c3-6d8c0811392b</t>
  </si>
  <si>
    <t>507d34e6-30a7-4fbd-b416-c4348b290942</t>
  </si>
  <si>
    <t>6ac6cf25-f44a-4fef-a2e3-ccbd024d0519</t>
  </si>
  <si>
    <t>5ffe6500-f474-42cc-a3af-3357929a7b3c</t>
  </si>
  <si>
    <t>785254da-5138-4468-8b45-5de32c71c370</t>
  </si>
  <si>
    <t>97c11bdc-51ca-4893-b35f-af764bf96658</t>
  </si>
  <si>
    <t>61a4109a-790b-44e3-a9a7-50057e61b344</t>
  </si>
  <si>
    <t>52c71c38-d323-4d6f-8cd9-35d4224a2129</t>
  </si>
  <si>
    <t>f5e9f027-088b-475d-a5ea-c092232d1dbb</t>
  </si>
  <si>
    <t>0282e2fa-2466-40be-9618-7882be5b9fa9</t>
  </si>
  <si>
    <t>f03133b6-24f9-48ac-b4a2-8341dd3e6743</t>
  </si>
  <si>
    <t>9f1e38ee-b77b-49a1-8515-7639731c00d6</t>
  </si>
  <si>
    <t>9468ba20-ffd5-4742-9ec7-0de845d323dc</t>
  </si>
  <si>
    <t>b2a36f1d-c380-4f00-a02f-ebe23ddf821d</t>
  </si>
  <si>
    <t>935c6d58-88df-48b4-9cb9-51179c654719</t>
  </si>
  <si>
    <t>f806eae4-ae4a-4caa-8a72-edc3151117d1</t>
  </si>
  <si>
    <t>197fe5ad-f470-4879-9f99-38ac98d0584c</t>
  </si>
  <si>
    <t>3ef725f1-532f-43f8-a09e-aef43c68fd2c</t>
  </si>
  <si>
    <t>1700eda7-052f-4b0b-9161-099704a81c9b</t>
  </si>
  <si>
    <t>a4f749cb-d813-437d-acf7-8d7824472aa8</t>
  </si>
  <si>
    <t>e343b589-9787-4a39-82a8-e9d81b3e4a3e</t>
  </si>
  <si>
    <t>1d8dc096-5c19-45e6-8365-56d24293757b</t>
  </si>
  <si>
    <t>5ee1d396-28b6-4c3e-bc2b-60425718356a</t>
  </si>
  <si>
    <t>847e929d-455d-435d-90fc-c781f8f180f5</t>
  </si>
  <si>
    <t>be552a36-1e2a-4a54-b395-0e3b87aea80c</t>
  </si>
  <si>
    <t>e6498d3c-30c6-4e7f-87c1-df0bb6ec954c</t>
  </si>
  <si>
    <t>e477e0ca-b02a-47a6-8ada-f9812fc79ebb</t>
  </si>
  <si>
    <t>cdd754c3-16c6-44e0-917f-0899e04e336a</t>
  </si>
  <si>
    <t>74376446-1f12-4ac3-bde2-bf4c0333c438</t>
  </si>
  <si>
    <t>e7fc4113-a93f-491a-8121-9c9a690de1ce</t>
  </si>
  <si>
    <t>de1cf0cb-f1e5-488b-920a-5b482064e1aa</t>
  </si>
  <si>
    <t>502e5b64-11da-4b9e-b4d8-1b24f7bb6fda</t>
  </si>
  <si>
    <t>b26f484f-158d-488d-b262-26a906037299</t>
  </si>
  <si>
    <t>be7e96f2-e05f-4aba-ae18-460c2265b774</t>
  </si>
  <si>
    <t>bf823ee5-4749-4de9-a342-cdd0c4e8af71</t>
  </si>
  <si>
    <t>2295f9fa-a5e8-484d-965a-c33caa6eb355</t>
  </si>
  <si>
    <t>3598cd79-9fdf-4e69-b493-2b601895d41e</t>
  </si>
  <si>
    <t>4a6a657d-1e53-4caa-ac21-3eabb3c225b4</t>
  </si>
  <si>
    <t>3e9c4bb4-bd8c-415e-a159-6942964b9483</t>
  </si>
  <si>
    <t>af9ebaf3-9ed5-4dd0-a644-b1f33e03ebfd</t>
  </si>
  <si>
    <t>8383f067-324a-4c71-b80b-38a3b34c3adf</t>
  </si>
  <si>
    <t>f811de5f-b0aa-4536-ba10-e282a77008b8</t>
  </si>
  <si>
    <t>912a2c38-0049-4a44-9478-a36f49c6ca7f</t>
  </si>
  <si>
    <t>e66f2715-724d-400b-8c4f-5aec9545906d</t>
  </si>
  <si>
    <t>30facde1-45a7-4d5f-8809-9c120bdbb6ef</t>
  </si>
  <si>
    <t>faa6b5a5-1019-4632-b4c5-41acbd250fa5</t>
  </si>
  <si>
    <t>d7bd0540-298e-4b26-9861-4d465cc7f623</t>
  </si>
  <si>
    <t>0c2fb809-c492-4bbc-bebb-95fffb0a506b</t>
  </si>
  <si>
    <t>9308010b-a688-470b-8175-a75845992be3</t>
  </si>
  <si>
    <t>0b608468-db70-47eb-8c31-7d68f7d1430f</t>
  </si>
  <si>
    <t>12ef2c00-0e37-413d-8a24-6ebb815cca1c</t>
  </si>
  <si>
    <t>3db771d5-6d8d-49b4-a3d0-d406623df0ba</t>
  </si>
  <si>
    <t>38dcaf66-d28d-4c15-a682-c674e0950c17</t>
  </si>
  <si>
    <t>19f647d2-da36-4a8f-8e51-432a9bf2e3b0</t>
  </si>
  <si>
    <t>a356f80b-cb80-43c2-bcd8-4b6ceb0e9dc0</t>
  </si>
  <si>
    <t>b605676d-252f-4ce6-81b8-f7a975c828e1</t>
  </si>
  <si>
    <t>448c1ee7-1355-46de-8e5e-8a2efa2afded</t>
  </si>
  <si>
    <t>083f4c9e-9bb8-47ed-970e-279b707f07a8</t>
  </si>
  <si>
    <t>e9e163fc-e55e-4b8d-bcdc-3294b28d95ef</t>
  </si>
  <si>
    <t>ec15cfcd-3c9d-4482-bc9d-4dd20b0a81e8</t>
  </si>
  <si>
    <t>98933775-745d-4c62-b301-3c2781133ef3</t>
  </si>
  <si>
    <t>e30c82a2-72cc-40cd-ad76-850a710c3c0e</t>
  </si>
  <si>
    <t>6055c35c-365d-4e7d-b3ce-841a6e70101f</t>
  </si>
  <si>
    <t>6e214071-dacb-4492-8024-a02e460cbc77</t>
  </si>
  <si>
    <t>4b52c0f5-4ada-4da6-bedc-01b9d2404cc6</t>
  </si>
  <si>
    <t>0f489ee0-cad1-4c77-bb5c-f0bb6f353784</t>
  </si>
  <si>
    <t>f58d5c5f-668f-4379-8f20-cd8ba3d0c777</t>
  </si>
  <si>
    <t>1201c377-b0e7-4ca3-ae1a-0dee384e2a78</t>
  </si>
  <si>
    <t>6ef69f54-b813-48a1-ab25-132793f72b91</t>
  </si>
  <si>
    <t>1442e37b-fbe3-4010-b0ac-fb01b6bc4fc7</t>
  </si>
  <si>
    <t>579a1f17-b685-440a-a2a3-f5efb2e00f61</t>
  </si>
  <si>
    <t>29c970c1-eaa5-4e58-90f5-70973809eb09</t>
  </si>
  <si>
    <t>25445e8d-f4ca-4817-865c-fbab66516560</t>
  </si>
  <si>
    <t>f5cb2dbe-cd0b-410b-b433-3127b899c63f</t>
  </si>
  <si>
    <t>528d6cde-d50c-438d-b76e-46d18ead45e1</t>
  </si>
  <si>
    <t>82cee192-e715-4470-981c-389e4d554bce</t>
  </si>
  <si>
    <t>0e32c34f-51f4-423e-9d85-3ace25d840b0</t>
  </si>
  <si>
    <t>8225289a-5649-4c40-a664-e2a1306ff3ab</t>
  </si>
  <si>
    <t>1f238c2c-f4b2-4f41-bc63-e7cb72d0404a</t>
  </si>
  <si>
    <t>03fe1e97-18d4-494e-aef8-c00f55809905</t>
  </si>
  <si>
    <t>acdda5d2-cfdd-47be-92f9-615f92e84044</t>
  </si>
  <si>
    <t>488a644b-afe1-444c-ac7f-e8eed7e6c3a8</t>
  </si>
  <si>
    <t>052332cc-9ce6-4b00-a8bb-2abae95b853f</t>
  </si>
  <si>
    <t>80262cbe-382b-4c6e-a020-2031aac7dc7f</t>
  </si>
  <si>
    <t>fd64f844-dd87-479a-af9f-3f06f703f845</t>
  </si>
  <si>
    <t>5a83e3d1-9cac-45a5-85cf-78fe3ec0b6f0</t>
  </si>
  <si>
    <t>d09da980-e810-46d1-b271-1c73a9d663ed</t>
  </si>
  <si>
    <t>75ffb9bf-44c8-4148-8433-89c757f6ea69</t>
  </si>
  <si>
    <t>a8b60d7a-265d-41c6-b880-0defcba54c40</t>
  </si>
  <si>
    <t>fb5ae130-5949-481f-93d0-14c1ff60bf2f</t>
  </si>
  <si>
    <t>6bf6d75d-3219-4c80-b1f2-8b3367aa2dce</t>
  </si>
  <si>
    <t>81c41b49-64ee-408d-8588-0c00cef1b043</t>
  </si>
  <si>
    <t>43d11b7f-3a77-41f9-9e4a-1c9c60cadfcf</t>
  </si>
  <si>
    <t>bc0df8fc-3904-4a0c-a86c-bae0a4088d71</t>
  </si>
  <si>
    <t>d82a5daf-774f-476d-81c4-98c48af61828</t>
  </si>
  <si>
    <t>d8e881f6-dcf0-4416-8493-381a98d272e7</t>
  </si>
  <si>
    <t>79c4b029-a838-4b79-b37e-155efc93afef</t>
  </si>
  <si>
    <t>08bc7d3c-d762-4917-b9c4-d9387149b909</t>
  </si>
  <si>
    <t>ed3d2e55-105f-4d49-9321-65f907adea07</t>
  </si>
  <si>
    <t>f811b833-ac57-4654-8946-2a93b52490a3</t>
  </si>
  <si>
    <t>e91798f1-dd9a-473c-9697-9ac7efeccc13</t>
  </si>
  <si>
    <t>d5b03ea9-6e4e-4ea5-9236-62cfc94277b7</t>
  </si>
  <si>
    <t>a0892852-14bd-4c14-af1d-9d2c694c3f36</t>
  </si>
  <si>
    <t>c5d19961-91ca-4d40-bb91-d05872458e8c</t>
  </si>
  <si>
    <t>04b34b82-5255-47a5-8e13-56ee8dd77712</t>
  </si>
  <si>
    <t>97a7e42b-3cca-45c1-84c3-80e158e12ab8</t>
  </si>
  <si>
    <t>e28a9da5-698b-47d1-8865-f82980dd98d3</t>
  </si>
  <si>
    <t>11c791d8-a8a1-412d-bfda-9260695438d0</t>
  </si>
  <si>
    <t>52d1d0a2-8115-4777-ada3-bb7cfdd23ff3</t>
  </si>
  <si>
    <t>5542ba75-8734-44a0-afb7-c7d41659f673</t>
  </si>
  <si>
    <t>d02b0111-5aa7-45d1-80ae-50c8a7e7e7de</t>
  </si>
  <si>
    <t>6cc0416e-86bf-4a02-a8dc-4d4f42bae9a8</t>
  </si>
  <si>
    <t>65c0e626-0704-41be-adbb-219961f00727</t>
  </si>
  <si>
    <t>63ae335b-aa57-44d4-a7eb-21f9ee672efd</t>
  </si>
  <si>
    <t>81dd0d9b-8bfb-4a92-bb99-e129c867ddb8</t>
  </si>
  <si>
    <t>e1b7cd45-d02b-4280-87a9-b0117678959a</t>
  </si>
  <si>
    <t>d07c2421-9f6d-47cd-9876-d985f5c5e5b2</t>
  </si>
  <si>
    <t>fd9447bb-deea-4dda-86ed-d79cbb5f3151</t>
  </si>
  <si>
    <t>87d65291-b99e-45c5-8562-8077b1e18b17</t>
  </si>
  <si>
    <t>9cb8637d-ea81-4699-9f6b-f313b605f100</t>
  </si>
  <si>
    <t>17733a47-fa73-4940-9896-d056998290bf</t>
  </si>
  <si>
    <t>f63114bc-4135-40d8-aa52-cd87549be640</t>
  </si>
  <si>
    <t>6654062d-9396-45a3-b02f-f27969c0ae32</t>
  </si>
  <si>
    <t>cae5154a-db4e-4823-9900-fd4bf9cc7628</t>
  </si>
  <si>
    <t>dc52cbf1-6119-4e78-89b1-6e0fb03abe0c</t>
  </si>
  <si>
    <t>75c5e7e3-7672-4910-aba9-4c02266fc07b</t>
  </si>
  <si>
    <t>ae0de2c4-5ea8-4ebb-8102-9c9fb66c02b0</t>
  </si>
  <si>
    <t>a0c95b07-34f5-484f-b06d-29ed2404ae51</t>
  </si>
  <si>
    <t>ccaf78ea-b47c-4718-93cc-44b7072d129d</t>
  </si>
  <si>
    <t>3063d0f3-4a62-4128-aa78-dcc506f73642</t>
  </si>
  <si>
    <t>46a074da-5849-4fb6-8634-15ea620f6678</t>
  </si>
  <si>
    <t>a8869c90-6a32-4a85-b931-e9ccb26c1fe9</t>
  </si>
  <si>
    <t>136f1a97-b3de-424c-bf87-049c7b994d14</t>
  </si>
  <si>
    <t>19044f66-dbde-40a7-8b98-1bf54b590182</t>
  </si>
  <si>
    <t>3ee2015c-bee3-461b-9ad3-72f77b07fa24</t>
  </si>
  <si>
    <t>1d8d1ff7-531e-4ba5-bcba-1b7f1e33d81f</t>
  </si>
  <si>
    <t>6b8fda9a-d57c-4e0b-84e5-f33767c58d18</t>
  </si>
  <si>
    <t>1aa180dd-ad4a-415e-869e-6d07f750ab89</t>
  </si>
  <si>
    <t>eec6014d-484b-4fe2-80d4-69cd04f4c24a</t>
  </si>
  <si>
    <t>3ed3acbc-4ced-4e8c-a48b-cd2feebe7b41</t>
  </si>
  <si>
    <t>34e1a06f-44a7-4a80-b2c6-b01158d3f019</t>
  </si>
  <si>
    <t>f8e8050c-e960-4fd2-8527-cfc0d29b6a4e</t>
  </si>
  <si>
    <t>4c7ad22d-91a9-43d0-afad-9b9acb0bd037</t>
  </si>
  <si>
    <t>eadb7c55-3e71-4b46-bd24-5d40927d56f4</t>
  </si>
  <si>
    <t>882ab0cf-a8c5-40f5-b022-b5cdfc4ad967</t>
  </si>
  <si>
    <t>d16a8230-2888-45f3-8195-abfa4e18abf0</t>
  </si>
  <si>
    <t>abaee893-9f92-470b-b09c-1d232a7a37ac</t>
  </si>
  <si>
    <t>1b5d7a25-03a9-4384-ad46-81e5d0deddf0</t>
  </si>
  <si>
    <t>3407eaad-524a-498c-bd6b-f0f55c13911e</t>
  </si>
  <si>
    <t>20874841-954a-42a2-93c3-329e2a5b9820</t>
  </si>
  <si>
    <t>1b656ad2-f7e7-4809-9792-0bd56454dcaf</t>
  </si>
  <si>
    <t>b593649e-4c11-43ce-8fa4-94a1bebe7125</t>
  </si>
  <si>
    <t>3d4e94d8-f555-499d-b929-a9deaf7058c1</t>
  </si>
  <si>
    <t>71b08760-9ebc-415f-8294-a07f36c79c60</t>
  </si>
  <si>
    <t>6648c3fb-4670-4ec4-a0f4-14e56409ae41</t>
  </si>
  <si>
    <t>5e48f642-dee0-446a-adcc-ff0af44b8145</t>
  </si>
  <si>
    <t>c39c997b-6f8e-4282-910f-3ff8db42aa93</t>
  </si>
  <si>
    <t>76ceefa0-79d4-4d83-b71d-2af378fb498c</t>
  </si>
  <si>
    <t>7d458cdb-373f-4367-b095-85c0165c336a</t>
  </si>
  <si>
    <t>a1d64fe6-e328-4399-a167-bfd0bd04331a</t>
  </si>
  <si>
    <t>a9a9be0e-9c71-41ee-8262-f86726e7662c</t>
  </si>
  <si>
    <t>d5575525-2380-4e89-8c06-3f4e5a314358</t>
  </si>
  <si>
    <t>696a1e54-a9c8-4659-bc57-a85ba73e85ea</t>
  </si>
  <si>
    <t>6341710b-5b6b-4659-9fd9-822f361f44f7</t>
  </si>
  <si>
    <t>0d9a98d2-c8f5-4f82-9b35-5f05504bf758</t>
  </si>
  <si>
    <t>176d1069-6c91-4998-805c-de6ff98de25a</t>
  </si>
  <si>
    <t>1c5b3513-9ce3-46df-bbb0-a2fa6e4b04e6</t>
  </si>
  <si>
    <t>c3ce7ccf-a8be-4fda-becf-b6ac47812887</t>
  </si>
  <si>
    <t>5e5b6261-69d3-4f57-9dc4-7059cfcdb8fd</t>
  </si>
  <si>
    <t>2861f3ce-e515-4460-b12d-87ffaffb3016</t>
  </si>
  <si>
    <t>bf1b9d71-7b86-4c25-8e9b-21245daa87cf</t>
  </si>
  <si>
    <t>b62d424b-ff14-473c-b039-84a1e6d04c2d</t>
  </si>
  <si>
    <t>8dae6930-0c60-4c82-9514-a4d72e0cf195</t>
  </si>
  <si>
    <t>1dd0b14b-0dcd-40cb-8e59-1f439c0bd4d9</t>
  </si>
  <si>
    <t>ef8e0320-3774-46cd-b5db-aaae422375e1</t>
  </si>
  <si>
    <t>afe5b10e-c5f9-482e-a3f0-fb26967657b0</t>
  </si>
  <si>
    <t>a4c5d188-ad34-4d3c-b22b-22db0c892d5d</t>
  </si>
  <si>
    <t>16758bc8-9a5c-4c38-8d05-ff1256b65b36</t>
  </si>
  <si>
    <t>6b328f1a-621a-44c7-9d22-5f9bd973c5e7</t>
  </si>
  <si>
    <t>f37231aa-f0f0-4a68-99d1-2d2b74d02bce</t>
  </si>
  <si>
    <t>508a091d-9006-4034-ab85-2a3712bf0c2e</t>
  </si>
  <si>
    <t>ef16b804-3c36-44c3-b07a-e262b634c0f2</t>
  </si>
  <si>
    <t>d481592d-4786-4281-a024-8f79dd057900</t>
  </si>
  <si>
    <t>b9fdcc67-7292-435e-8557-7e5eedb42fb5</t>
  </si>
  <si>
    <t>df474ef5-319c-40ce-ab7f-563a184c464d</t>
  </si>
  <si>
    <t>17e3bfc6-993f-46d1-881e-07243769faed</t>
  </si>
  <si>
    <t>96cb55f0-724e-406f-a98a-32e82d5a2864</t>
  </si>
  <si>
    <t>10fc93a5-78c4-4736-b545-a0663709735f</t>
  </si>
  <si>
    <t>1038567a-de53-427f-8ff6-ec5ec973a1bc</t>
  </si>
  <si>
    <t>bdad7428-4220-4e85-a2dd-23eda21b3a93</t>
  </si>
  <si>
    <t>8499cb3c-8734-4e08-a7a2-12608686ad59</t>
  </si>
  <si>
    <t>77bddf9c-5342-46bf-8d70-6dbb5cbc147e</t>
  </si>
  <si>
    <t>3cc6d211-db5e-4143-8435-7a99795cc6ba</t>
  </si>
  <si>
    <t>4c5bc7be-13eb-4c6a-91c1-f04f6569cea5</t>
  </si>
  <si>
    <t>e12a980e-a415-4d51-bdeb-bafa7b8513bb</t>
  </si>
  <si>
    <t>1dff4db8-370d-4e0c-8d31-4307a10ffa6b</t>
  </si>
  <si>
    <t>77fda48b-68d2-4fac-90ed-85da44b8719e</t>
  </si>
  <si>
    <t>c3b19e7f-4338-4b33-8022-abfbcf85442b</t>
  </si>
  <si>
    <t>464c07ba-6355-4a8d-a63f-f0a869be278b</t>
  </si>
  <si>
    <t>bd7c3605-30a4-409a-8c36-5e3f83c86c08</t>
  </si>
  <si>
    <t>44b59e80-d501-4046-a868-73d38182aa8f</t>
  </si>
  <si>
    <t>af367840-c3db-42fb-bd97-ba5a207813ed</t>
  </si>
  <si>
    <t>ca1804ac-96a6-44e8-959c-45a60b33b232</t>
  </si>
  <si>
    <t>0a7a0496-3d25-4e8d-ab29-dc41275ede51</t>
  </si>
  <si>
    <t>dc25e646-ec15-4a68-a8d3-221ca5fe0979</t>
  </si>
  <si>
    <t>fc95b9ff-2a5b-4ec5-b49f-4a0a2d2e8755</t>
  </si>
  <si>
    <t>6cc05ae8-c9f6-4408-be71-aa24dc34c53c</t>
  </si>
  <si>
    <t>af4f67e4-8077-44e8-b680-029f6c4a859e</t>
  </si>
  <si>
    <t>dcc90c19-ea1c-4195-bd4a-3b0880576ed9</t>
  </si>
  <si>
    <t>9f3db1e4-95ab-4dfa-b1b7-08ac0b46f229</t>
  </si>
  <si>
    <t>6b2da79d-acd9-4351-bfcc-d77041f243f9</t>
  </si>
  <si>
    <t>f9a77f16-0b30-462a-b8a3-1d5cbd8edd01</t>
  </si>
  <si>
    <t>9447ce8a-a187-41ec-b355-b02f8dd18045</t>
  </si>
  <si>
    <t>2293c8dc-81be-45f9-81bd-55328d82a567</t>
  </si>
  <si>
    <t>b8935642-e79f-4e76-9bb3-050927382a4c</t>
  </si>
  <si>
    <t>1053b088-77fb-4a09-8ec0-9ae63062eae2</t>
  </si>
  <si>
    <t>80f2d711-67e8-4157-8fca-04b9d98fee0e</t>
  </si>
  <si>
    <t>7ab0c875-bfe2-46f8-9d52-d6b9cb8a63e0</t>
  </si>
  <si>
    <t>c85d515b-6e7f-4338-81f4-76e3ff3e9cf2</t>
  </si>
  <si>
    <t>18fd86c9-b278-46cb-b0cc-c43e7e68a9ab</t>
  </si>
  <si>
    <t>5b8de561-ddc2-4c0c-95cc-adaeaf88b2c5</t>
  </si>
  <si>
    <t>c99fa404-3a7e-48e7-9857-4a3bda8f4dc3</t>
  </si>
  <si>
    <t>096d0e71-353d-4819-b0ee-2bc54096e878</t>
  </si>
  <si>
    <t>bc0b512b-4456-4886-95f3-2271ed38b4d5</t>
  </si>
  <si>
    <t>a27d335b-b853-447b-9148-6b18e3fa2e43</t>
  </si>
  <si>
    <t>8c29b04d-7f1e-40ba-95d8-367c418de34b</t>
  </si>
  <si>
    <t>0f019f07-e16f-41da-b930-baf386b0427b</t>
  </si>
  <si>
    <t>49b6151d-f3bc-4394-a4f6-81f0d652be75</t>
  </si>
  <si>
    <t>c84c3244-02d7-4a76-b8ee-f83ebf488e84</t>
  </si>
  <si>
    <t>fc19adf3-30bb-421f-a011-1576b6fef770</t>
  </si>
  <si>
    <t>37882de8-4dac-4849-a02f-98e4278e726b</t>
  </si>
  <si>
    <t>888ed1c7-4d8d-4937-bbf7-6d34db7a5a2b</t>
  </si>
  <si>
    <t>7b56f468-3eeb-4c11-b03f-ac255dce6fe9</t>
  </si>
  <si>
    <t>619dc403-b4a8-4897-a94c-57dbd7ba33e6</t>
  </si>
  <si>
    <t>e3ee623b-00ed-486c-a71c-4a3dbd032bdb</t>
  </si>
  <si>
    <t>31770a4d-b92b-45df-bf92-361b7373620f</t>
  </si>
  <si>
    <t>9daa5189-feb0-494a-b120-4406c4fff262</t>
  </si>
  <si>
    <t>e3a549f8-5a7b-463f-b499-380b39d2e62b</t>
  </si>
  <si>
    <t>948b9d50-4753-4b23-a20b-525eedf574e0</t>
  </si>
  <si>
    <t>62825cff-e6fc-416a-ac0d-d1631c2a4917</t>
  </si>
  <si>
    <t>a506a8fb-cc3a-4111-87df-c983ae41dc30</t>
  </si>
  <si>
    <t>0359147e-9121-4813-a195-5b5be82d4ce5</t>
  </si>
  <si>
    <t>66f6b1d5-26d0-463c-8458-c6975e910088</t>
  </si>
  <si>
    <t>3425e712-f7ad-45c0-91c5-191497c2af38</t>
  </si>
  <si>
    <t>ef61f566-6e9a-4856-9436-3be2e2dc8ab9</t>
  </si>
  <si>
    <t>b72e9b15-5eaf-448f-8dd5-30d33a95146b</t>
  </si>
  <si>
    <t>13b53e92-9113-46ca-b380-72a4c1d67f9e</t>
  </si>
  <si>
    <t>7caf8eed-9d90-44a8-815a-9eecfbe89058</t>
  </si>
  <si>
    <t>f3de5c23-34f1-48f5-a825-6f6e6014926e</t>
  </si>
  <si>
    <t>9ac20194-1922-480b-8ca4-056a9460b149</t>
  </si>
  <si>
    <t>ebfb8af9-5c42-4960-a937-7bae9252a920</t>
  </si>
  <si>
    <t>6cf08656-eab6-44f1-8c65-b0da64f66bb5</t>
  </si>
  <si>
    <t>e6f878bd-5a4a-43e5-868a-066184f8ddfe</t>
  </si>
  <si>
    <t>a616e473-34fa-4cb4-a82f-57f61665ab1b</t>
  </si>
  <si>
    <t>c30ab63e-0cdb-4d2f-9389-adc978426a3d</t>
  </si>
  <si>
    <t>b0d4ef2e-bcea-4478-a42a-514f81658637</t>
  </si>
  <si>
    <t>5a6ddedc-a4fc-4bf6-8f26-6936a1e943c2</t>
  </si>
  <si>
    <t>5fec48a5-e89b-410b-aab7-614231b12582</t>
  </si>
  <si>
    <t>47c7e63d-2a56-441e-8668-8d4a33f0a7de</t>
  </si>
  <si>
    <t>a0a5413d-c040-4bfd-ac0b-a1f330c83e20</t>
  </si>
  <si>
    <t>3287e1d1-83d0-46e2-b5d7-426a5947c1cd</t>
  </si>
  <si>
    <t>a7378e9f-8ce4-4997-891b-40fa5bac7f80</t>
  </si>
  <si>
    <t>f5a2896e-5f44-4ac1-b1ed-52cc82571574</t>
  </si>
  <si>
    <t>3478cbba-0697-482e-92ee-aa5f4bd08e88</t>
  </si>
  <si>
    <t>1a660a5b-c444-4dfc-bbec-2d981e607dbd</t>
  </si>
  <si>
    <t>fa50fff8-b04d-4083-80fc-55186e726b57</t>
  </si>
  <si>
    <t>702c1ff4-1a09-4aa7-91ba-37c71324bdb6</t>
  </si>
  <si>
    <t>08ebf850-c361-465a-9a16-5f0edd6a208e</t>
  </si>
  <si>
    <t>b3aaac2d-d5d2-4cd9-8c13-edd8b4bd5668</t>
  </si>
  <si>
    <t>b6472ced-6131-4cc4-9ff9-dad4e59d7116</t>
  </si>
  <si>
    <t>487a4757-130d-4242-8d59-66b674e3bdfe</t>
  </si>
  <si>
    <t>83ec8349-2009-463c-9c86-7078dd001a3f</t>
  </si>
  <si>
    <t>58d1f7e4-96e4-4890-999d-17608515d65c</t>
  </si>
  <si>
    <t>fce61653-1937-4f63-8c13-558750f645dc</t>
  </si>
  <si>
    <t>a7b9289d-66d0-414c-bb79-2ee9f1194715</t>
  </si>
  <si>
    <t>65c0fc2f-c1e7-4106-96f3-88f1dab0a301</t>
  </si>
  <si>
    <t>8c54e740-3348-47b7-8bf3-bc66c083d132</t>
  </si>
  <si>
    <t>535d01ca-82c5-43f4-989a-1be30ec25f92</t>
  </si>
  <si>
    <t>d415c690-3184-4e00-9255-ca0eb1bc1924</t>
  </si>
  <si>
    <t>c1e388b9-5e24-46ac-946d-bc9c9941f72f</t>
  </si>
  <si>
    <t>aa994b91-fb7c-4b6d-91be-95d6d007802c</t>
  </si>
  <si>
    <t>1672f272-abc6-41ad-82ae-82bf32a510b0</t>
  </si>
  <si>
    <t>f2ed75ec-019f-47ce-b50f-df24670b895b</t>
  </si>
  <si>
    <t>3f70ca7b-2b8d-4259-953b-74ba084b14b5</t>
  </si>
  <si>
    <t>07df2ced-c2d0-459b-85b1-5f3a04b07dd8</t>
  </si>
  <si>
    <t>20deb0e3-6eea-4430-84c1-386470b39b57</t>
  </si>
  <si>
    <t>552b10fc-5424-4cc3-8da7-2d445a89b0b5</t>
  </si>
  <si>
    <t>5689260b-8fc1-47b8-94c6-6f7437a8d7a4</t>
  </si>
  <si>
    <t>5a9f59f5-eb96-4158-b4bc-1ceedf1e399b</t>
  </si>
  <si>
    <t>989000d2-5b8e-4bee-b017-a2a221cc89f2</t>
  </si>
  <si>
    <t>d56c82b3-4d6b-4267-a106-6767f96c0187</t>
  </si>
  <si>
    <t>54f6d784-af71-4b93-ba2d-709a0815b257</t>
  </si>
  <si>
    <t>44e3e69b-cc50-4006-9f93-f9e284c15cea</t>
  </si>
  <si>
    <t>a513a539-9824-4e88-9b3a-cd84aa549304</t>
  </si>
  <si>
    <t>7a7ce350-5a0a-403f-9324-19d96929720f</t>
  </si>
  <si>
    <t>c8196872-9ecf-42ca-a227-c42a5b3bae0d</t>
  </si>
  <si>
    <t>ef1eb654-145f-4609-b05d-eed0b397e1fc</t>
  </si>
  <si>
    <t>cdecad9a-20ee-424e-9e5a-fb9ee92bf2cb</t>
  </si>
  <si>
    <t>53e5891f-4e05-4d6b-b5ce-d444fd69d84d</t>
  </si>
  <si>
    <t>2422a958-05c7-42f8-943f-03e46a5ca03e</t>
  </si>
  <si>
    <t>e55d257c-e1e6-4013-a640-f769843f83fb</t>
  </si>
  <si>
    <t>4b24d63d-3825-46b4-bbf3-880ebb8d4c82</t>
  </si>
  <si>
    <t>7b691226-5aef-450c-aa65-70e596634c8e</t>
  </si>
  <si>
    <t>faf7f6a7-ab9e-4920-9dea-60cdbb7767a3</t>
  </si>
  <si>
    <t>166a7742-b6ae-4262-b9ab-9b440356e4c9</t>
  </si>
  <si>
    <t>59f73f31-9712-48b4-b73b-19df26630a7d</t>
  </si>
  <si>
    <t>e58c2819-ed36-46e3-a8a1-001323a72c39</t>
  </si>
  <si>
    <t>9455ebe7-2751-4954-b9ee-2bcd9491b42f</t>
  </si>
  <si>
    <t>87296238-5b08-4d98-9225-1a1d06d78c90</t>
  </si>
  <si>
    <t>761eb07c-f161-4ec2-aa1a-89de19bcfabd</t>
  </si>
  <si>
    <t>95285f0c-885a-4598-bd5d-03ad966a27c8</t>
  </si>
  <si>
    <t>40e90f1d-d1ce-4a53-89c1-50bab2a25664</t>
  </si>
  <si>
    <t>6424c38f-e2a1-4bed-972a-5e1d69d89864</t>
  </si>
  <si>
    <t>0a21572d-4fd4-4406-9cea-ffd665f5398d</t>
  </si>
  <si>
    <t>81072866-8248-42ab-ad11-3fd9e09240d9</t>
  </si>
  <si>
    <t>735801ef-f2d5-4008-a6a0-ea0476474f98</t>
  </si>
  <si>
    <t>b8f12a44-3e3a-4f1c-bde7-07c95f0c6b5a</t>
  </si>
  <si>
    <t>f828b275-ac47-4d67-aa59-466c277a0c0c</t>
  </si>
  <si>
    <t>ee7ada20-3727-46e5-b4ec-aa4200ec2ad1</t>
  </si>
  <si>
    <t>b0838bba-ad6b-41e7-a18d-d74fbdd81d70</t>
  </si>
  <si>
    <t>a60c4146-7a2e-4c32-b45c-e4078936ea98</t>
  </si>
  <si>
    <t>bc232d5d-113c-4fb8-ab9c-e8f77d77e05e</t>
  </si>
  <si>
    <t>1f26ec7c-f049-4a39-a748-566bf504e119</t>
  </si>
  <si>
    <t>d31c5bd9-0e24-4a07-8c8f-2f4627218a6c</t>
  </si>
  <si>
    <t>b9372b59-b472-4b5b-842b-f1023e48899b</t>
  </si>
  <si>
    <t>8772e73f-213f-4e28-a356-ce4a7a8b85a2</t>
  </si>
  <si>
    <t>e9d9ddf3-148e-4068-82ca-e011f6cbbe90</t>
  </si>
  <si>
    <t>4096cf4d-7712-4a50-9647-5ae3fce602ef</t>
  </si>
  <si>
    <t>2a3c2376-7d5b-4261-a5f9-18dc26894418</t>
  </si>
  <si>
    <t>70615cfe-8153-40e1-b33c-c48616a6ed23</t>
  </si>
  <si>
    <t>c1c2365b-9539-4af2-9b1a-19a84e49cd17</t>
  </si>
  <si>
    <t>94c0d4b8-8560-4860-ad71-4295ab3056af</t>
  </si>
  <si>
    <t>b49fc80a-69a8-422a-9130-d25b7fa4a35e</t>
  </si>
  <si>
    <t>27042975-f872-440f-be50-c2b12408cf28</t>
  </si>
  <si>
    <t>4bfdbfe6-82d6-4392-95d2-b1b0496ea862</t>
  </si>
  <si>
    <t>3f557cfc-4f53-4a4b-99ea-042ea222ad01</t>
  </si>
  <si>
    <t>6be8b45f-4836-4b9b-b527-61c4b078d112</t>
  </si>
  <si>
    <t>dca04b65-7422-406f-960a-ae279f4cfaae</t>
  </si>
  <si>
    <t>bf12cab3-46ed-42c1-9704-a8caece8d825</t>
  </si>
  <si>
    <t>c5454ed2-3572-4875-a2ed-8adaf2025594</t>
  </si>
  <si>
    <t>4fd66407-e7ce-4653-9aba-7d0324e18536</t>
  </si>
  <si>
    <t>3e8ecf6a-6c75-4a10-810a-04e7ccaa5cab</t>
  </si>
  <si>
    <t>fcda0fbe-88b4-4637-85f5-c6cf5dece2cf</t>
  </si>
  <si>
    <t>8bfe8c38-d6c7-44d4-8e8b-0eb6446b5deb</t>
  </si>
  <si>
    <t>852279d6-e5c5-446b-8a55-50c5946d326a</t>
  </si>
  <si>
    <t>12366d0c-9907-47d7-99c5-d8e5241748c6</t>
  </si>
  <si>
    <t>d898f32a-abc4-4cbc-ab18-e5f25121f97b</t>
  </si>
  <si>
    <t>3f24fbf0-698a-47fb-a6d6-f2b8d55093c0</t>
  </si>
  <si>
    <t>b8407f24-4fa5-4124-ad31-bb12157ed570</t>
  </si>
  <si>
    <t>c1860158-e11f-43e6-be6e-0961f19a8e71</t>
  </si>
  <si>
    <t>4182ef4b-8d03-43e4-b1ce-9f3293a11e8a</t>
  </si>
  <si>
    <t>d8f24fb9-304d-4006-bdfa-0bb3c3de0f5c</t>
  </si>
  <si>
    <t>5ca1ace9-86df-4092-b7c6-4eb0833c0615</t>
  </si>
  <si>
    <t>7a3c2fb8-5271-453f-b32f-31010e5d20b1</t>
  </si>
  <si>
    <t>3bb31642-a0d7-490e-a73c-53a80343ac0a</t>
  </si>
  <si>
    <t>ba2dfb6c-6749-4c96-a936-42eabbc2e042</t>
  </si>
  <si>
    <t>4b049fa3-58a5-4b5e-ab2d-da1524b5fc70</t>
  </si>
  <si>
    <t>5673fdaf-48d0-4cb9-8237-ba516c91e776</t>
  </si>
  <si>
    <t>97c9ac1b-1f36-48b6-913d-c8b05a1e3e43</t>
  </si>
  <si>
    <t>ce11f2eb-a400-4ef6-9b74-3754e41772d6</t>
  </si>
  <si>
    <t>1416984d-84ff-4040-9eb7-7e41b7e5be46</t>
  </si>
  <si>
    <t>b956464f-e2b6-4499-a65a-413af7cbc58d</t>
  </si>
  <si>
    <t>f7093fc9-2c1b-4ef2-b136-bebb03565c45</t>
  </si>
  <si>
    <t>5c58f19d-a198-45cf-9807-4a2960210837</t>
  </si>
  <si>
    <t>09814f67-e1ee-4bd1-9b7b-4c36092695d0</t>
  </si>
  <si>
    <t>7668cf01-36e9-47fd-934c-8c0c7a7d44d4</t>
  </si>
  <si>
    <t>9739611f-7297-440b-99f0-a87c93bb586e</t>
  </si>
  <si>
    <t>381c4ec8-5949-4258-98d6-ce015c0c85dd</t>
  </si>
  <si>
    <t>e689c657-9130-47f8-8812-74839bf2bcc6</t>
  </si>
  <si>
    <t>8a8989bd-ecb4-4ec4-b4d6-8d789d63c213</t>
  </si>
  <si>
    <t>9099126a-6859-46eb-b6f8-0f8a78cf7555</t>
  </si>
  <si>
    <t>d0813782-1a3b-443b-a45a-88327a565003</t>
  </si>
  <si>
    <t>dd41e6a2-e9fb-4dc7-bdc4-296734557883</t>
  </si>
  <si>
    <t>ed669336-7bc9-41ba-9480-b87314b3a082</t>
  </si>
  <si>
    <t>5583bcd3-6bae-4cb7-967e-6d8a56eaa4d1</t>
  </si>
  <si>
    <t>e26d1781-8717-409c-b1f1-c45f0cceb39d</t>
  </si>
  <si>
    <t>c7680c03-aec0-4fce-8fe5-66964a37b735</t>
  </si>
  <si>
    <t>74e53723-ae86-40e4-872c-82aed43dd9f5</t>
  </si>
  <si>
    <t>b00b872b-80d2-4b5c-830a-e742052093ac</t>
  </si>
  <si>
    <t>111a290b-3883-4d36-af35-3d943e1042a4</t>
  </si>
  <si>
    <t>1340ab0a-994d-496e-a637-46fbc8c89a89</t>
  </si>
  <si>
    <t>97c7da3f-fb4e-413d-9a9f-b393373a9ce0</t>
  </si>
  <si>
    <t>c12ffd77-348c-4b19-a77b-ac75aab77757</t>
  </si>
  <si>
    <t>4fd3f1a1-5854-4ed9-8098-5019ed477f2f</t>
  </si>
  <si>
    <t>05135a07-a926-4cc3-94b0-33179d3d64c9</t>
  </si>
  <si>
    <t>f857bfc6-361e-4611-ab4e-7e0f8e21f8ac</t>
  </si>
  <si>
    <t>0ba9041c-7f4e-48ed-93ed-ae3d5d650f83</t>
  </si>
  <si>
    <t>e294972f-5c8b-4c06-84f2-a08139c1e380</t>
  </si>
  <si>
    <t>25be126a-d00e-41f1-a55e-d41904803e9c</t>
  </si>
  <si>
    <t>f9d45294-cdf8-432a-b2a7-1311c1e3e544</t>
  </si>
  <si>
    <t>af07e405-ef8c-4425-ba9b-579b134aa6e4</t>
  </si>
  <si>
    <t>18708921-9495-4f4f-b33b-81dd6b1a7de1</t>
  </si>
  <si>
    <t>1bbe4b2e-dfa4-4db2-904a-4f4c04d9c446</t>
  </si>
  <si>
    <t>c99069a7-176f-45d5-b175-0f0f270f87e0</t>
  </si>
  <si>
    <t>13f2552d-196e-41c6-b514-adb3f3218fef</t>
  </si>
  <si>
    <t>7eb89fdf-f378-43ef-b265-669ea54ccd41</t>
  </si>
  <si>
    <t>53b49063-ae2d-40a6-bbcf-cb33972abc44</t>
  </si>
  <si>
    <t>23198bfe-e448-4a3b-bf05-de309a82bfe2</t>
  </si>
  <si>
    <t>af386106-1764-47a3-b018-e2472ab81d20</t>
  </si>
  <si>
    <t>23051fa0-30c5-46ce-bc86-854bdf5822c4</t>
  </si>
  <si>
    <t>c0bf3813-613c-4508-9d9f-37eefe624595</t>
  </si>
  <si>
    <t>0e65d276-04a9-42f4-805d-45267ce1848e</t>
  </si>
  <si>
    <t>8193ba6f-ae2d-4eed-9bbe-abb8ec14874d</t>
  </si>
  <si>
    <t>c3c9af15-d01d-431b-a4d3-63d8f849662e</t>
  </si>
  <si>
    <t>1df34651-db3e-454d-8376-7eff0e8ce485</t>
  </si>
  <si>
    <t>804527d4-4d6d-4799-8e0c-f9e2b3524216</t>
  </si>
  <si>
    <t>7ef00d45-608d-4947-91d5-9ac3d7bc63e9</t>
  </si>
  <si>
    <t>6f27f565-3446-4fc5-bc8a-b38f60fab550</t>
  </si>
  <si>
    <t>c038175f-6aa6-4444-87e3-0b305bf2ab77</t>
  </si>
  <si>
    <t>fe2afc8b-4b76-4305-b3d8-9ab48f973b8f</t>
  </si>
  <si>
    <t>8cde3158-d7e1-4137-b9cb-e5aad13a1a9c</t>
  </si>
  <si>
    <t>1a8075b6-1f5d-40e6-bd79-362d6c063661</t>
  </si>
  <si>
    <t>75c3f8f7-d987-44ca-a4c1-4dd34a6b7b98</t>
  </si>
  <si>
    <t>10b15efc-44d6-4d12-bbb4-97d81e729028</t>
  </si>
  <si>
    <t>5546e779-b5d6-477a-ba8d-ba458c30e8a6</t>
  </si>
  <si>
    <t>191a970b-0c31-48f8-bb26-bf5cc6ad00fd</t>
  </si>
  <si>
    <t>64562d86-2a86-4e25-9a15-4ee069e7bb67</t>
  </si>
  <si>
    <t>1f751fb1-b4e1-4879-a862-0ab8c88ef4b8</t>
  </si>
  <si>
    <t>262def13-90ef-475e-b60e-148475d8fed7</t>
  </si>
  <si>
    <t>8d626dab-8870-4b97-a95e-8fed7af86db3</t>
  </si>
  <si>
    <t>bf938d2e-2a02-4cd1-b950-b92ec862abb9</t>
  </si>
  <si>
    <t>061d9694-c366-4736-9268-88fdfa7c2222</t>
  </si>
  <si>
    <t>a92571d7-0a6b-41b7-ab4c-2f96fa43cb03</t>
  </si>
  <si>
    <t>172df7d4-5945-4999-b98d-16ee101284f9</t>
  </si>
  <si>
    <t>3679f777-0f37-43f7-8c70-a24248fe789c</t>
  </si>
  <si>
    <t>a7fc0f1f-f83e-4772-a7ec-5952ad851c65</t>
  </si>
  <si>
    <t>f4de669f-c953-4c04-b98a-af7b9c7bf8e7</t>
  </si>
  <si>
    <t>641c751d-adba-4f3f-a21b-a604f587bb98</t>
  </si>
  <si>
    <t>028a2fe1-a710-4ba1-bcb5-bda5fc7ef651</t>
  </si>
  <si>
    <t>31ab2cbe-b12d-4538-a6bf-2a23e6ce232f</t>
  </si>
  <si>
    <t>e3b914f8-f9eb-43ad-84ed-ba737def4a2e</t>
  </si>
  <si>
    <t>85bca757-f784-48a7-834d-7319a033d5f0</t>
  </si>
  <si>
    <t>b29007f6-236a-498a-883c-8c1fd0556dc0</t>
  </si>
  <si>
    <t>66b2aff8-2435-4c20-87cd-4aaf0c9cf0a8</t>
  </si>
  <si>
    <t>2c5ab78d-fcfe-45fe-a5ae-28938b8b8633</t>
  </si>
  <si>
    <t>1f2fc926-d4ab-4051-80e1-b5d3f2eb0245</t>
  </si>
  <si>
    <t>ff54c7c5-e080-4f63-a28a-f75c512b03a3</t>
  </si>
  <si>
    <t>5a7a23d5-5f3f-427e-b30d-4e6189a0ece3</t>
  </si>
  <si>
    <t>f3b04711-0a55-4718-a8a6-f6e933efdf34</t>
  </si>
  <si>
    <t>773b4f75-2eb0-4d28-bbae-4127ceafcc07</t>
  </si>
  <si>
    <t>ec7eb2af-ccf6-493e-999d-509e6367c46b</t>
  </si>
  <si>
    <t>6502dbdc-3e3a-458e-a54e-e7f1506fb761</t>
  </si>
  <si>
    <t>437fd159-b725-4102-96b3-143cab68b561</t>
  </si>
  <si>
    <t>c79e21b7-8480-4523-8026-75bdcf255f87</t>
  </si>
  <si>
    <t>2298728b-db96-4149-b43e-347539330467</t>
  </si>
  <si>
    <t>ae7811ba-862f-4c6a-8486-b0c4df493fed</t>
  </si>
  <si>
    <t>0f96928b-218a-42d7-8f75-89179570b0de</t>
  </si>
  <si>
    <t>4f24dcb4-a1ca-403e-add8-1d9406e86751</t>
  </si>
  <si>
    <t>a52cfa80-dfa2-4a3a-9542-3839d5f5c79d</t>
  </si>
  <si>
    <t>840efb9d-66c2-402c-80c4-10aa9bd45d13</t>
  </si>
  <si>
    <t>25c4596c-cff4-4c00-a57f-c16f9fda3941</t>
  </si>
  <si>
    <t>8179eea6-465f-4057-99ba-76f9a7daf8af</t>
  </si>
  <si>
    <t>bad74d78-520d-4cc0-bc83-4654c76afd58</t>
  </si>
  <si>
    <t>0c0ec765-454f-4b85-ab7b-7a6a7ba8bbe2</t>
  </si>
  <si>
    <t>0feded24-5c48-4f74-a5ee-76c81f54dac2</t>
  </si>
  <si>
    <t>b09ed155-1b54-4d25-b8d7-35abd6b5991f</t>
  </si>
  <si>
    <t>9000f0d8-cac3-454a-ad90-847c9a75a14b</t>
  </si>
  <si>
    <t>be4d58e3-e9e1-4631-987e-bd03c33a7cd8</t>
  </si>
  <si>
    <t>0897a11f-d542-4b62-be3b-3ef7b4076275</t>
  </si>
  <si>
    <t>c0296ef0-06ca-48c8-87b7-f2774ccb00f9</t>
  </si>
  <si>
    <t>6be721f9-18c8-4b50-b596-11c8e33e2a5d</t>
  </si>
  <si>
    <t>c48d548f-1a58-41ad-917a-207c2c240574</t>
  </si>
  <si>
    <t>04bedaf9-e939-4ea5-8dde-591331929d4c</t>
  </si>
  <si>
    <t>3b47e91d-c25d-47dd-bdaf-340caf7325ae</t>
  </si>
  <si>
    <t>a8de6f32-386d-40a9-85fd-601cd5118143</t>
  </si>
  <si>
    <t>ae46e6b4-c3b3-4e17-a5ce-847efa0ffe11</t>
  </si>
  <si>
    <t>572d07cb-d612-4019-97fb-8f0657fba1a9</t>
  </si>
  <si>
    <t>a8da1c61-7fa2-4af9-ab2f-d502df791138</t>
  </si>
  <si>
    <t>58606201-f1aa-4b4d-910b-3ba167c6f134</t>
  </si>
  <si>
    <t>44fb9f0d-6b9b-47c3-b9a8-daa3f902d346</t>
  </si>
  <si>
    <t>c5f30e26-48e3-4b98-bcbe-da43f6716f5f</t>
  </si>
  <si>
    <t>d1f1e5f7-5b84-49dd-8399-a1c6d662df4c</t>
  </si>
  <si>
    <t>8eaadafc-df55-4d7f-a0f1-09eb073c22e2</t>
  </si>
  <si>
    <t>9a9daa18-cd52-4b5f-b206-6b4ea6a5de97</t>
  </si>
  <si>
    <t>99c83fec-204e-4045-96eb-2dd715a6949a</t>
  </si>
  <si>
    <t>c2be5720-407f-4095-837f-31ebcd6a9d19</t>
  </si>
  <si>
    <t>fe018dc7-db28-47f9-8923-119ce4e53ffc</t>
  </si>
  <si>
    <t>4dfc1c16-3bba-4126-a5c3-43e4f88f6e28</t>
  </si>
  <si>
    <t>52bb5f2f-fd44-4c32-8302-773dac248975</t>
  </si>
  <si>
    <t>16024e28-7d06-41b8-a840-d6552de32ce6</t>
  </si>
  <si>
    <t>da7dfc0b-2fa2-4a49-9eae-bc0bae252519</t>
  </si>
  <si>
    <t>1df791cf-fe5e-47aa-b058-7dc143d9a4d5</t>
  </si>
  <si>
    <t>448183fa-5d4b-4cd2-9843-ad4533189a55</t>
  </si>
  <si>
    <t>d980d4d4-e926-4d0f-9ba8-ef5e21f4da54</t>
  </si>
  <si>
    <t>efafe5c8-02c5-4305-aad0-94ad9cd74c9f</t>
  </si>
  <si>
    <t>4ffa8ac0-d06a-48ca-ae7a-85fbdc8c7044</t>
  </si>
  <si>
    <t>039c2023-d222-4caa-b830-aae22958404c</t>
  </si>
  <si>
    <t>35070c9f-875d-4063-be82-5e2359571368</t>
  </si>
  <si>
    <t>563c6f09-c612-48da-aa7d-050b752d697e</t>
  </si>
  <si>
    <t>00e379bf-32ee-4b49-ac4a-4e21af29e824</t>
  </si>
  <si>
    <t>1aa0c24f-7a61-4331-8dbc-6d3db9217760</t>
  </si>
  <si>
    <t>bd03edad-86f9-4e54-ac51-72d137891135</t>
  </si>
  <si>
    <t>47398e10-0b8f-485a-a201-229caeb253c2</t>
  </si>
  <si>
    <t>967037da-c678-4149-b844-d04b969b991b</t>
  </si>
  <si>
    <t>543f730e-f761-42bf-95b1-13a6bf5661dc</t>
  </si>
  <si>
    <t>bb768cee-05e0-44f2-9751-7918247d284d</t>
  </si>
  <si>
    <t>2ad8f364-1998-4962-a977-16ccda3bb775</t>
  </si>
  <si>
    <t>6cd5ccff-d7b0-4cd4-9cc7-6935260a35d5</t>
  </si>
  <si>
    <t>fd2cd2c1-b7db-43e8-b1d3-024df7895be9</t>
  </si>
  <si>
    <t>5bd5a5f6-525c-4185-9d4d-4ccdb293c2f6</t>
  </si>
  <si>
    <t>12849a61-23bb-43a1-89f8-5de163a5ce93</t>
  </si>
  <si>
    <t>fb0689a7-8ae2-4794-8344-6dfbb87d2c35</t>
  </si>
  <si>
    <t>b615f142-6558-4678-a15d-b3be69b61d9f</t>
  </si>
  <si>
    <t>483d370e-62fa-4fd4-ba16-44554f2e013b</t>
  </si>
  <si>
    <t>5e6a25f7-aa17-472c-bab3-cfdda6ed9f1d</t>
  </si>
  <si>
    <t>d9567139-4bf2-42cd-9db7-0a2dd165c08a</t>
  </si>
  <si>
    <t>71b6fc9c-2df6-476b-b828-8827de9ef66f</t>
  </si>
  <si>
    <t>4b02eb9b-0242-450d-a897-bb8d8c62d086</t>
  </si>
  <si>
    <t>4eb216ca-d227-450e-9659-53966d74f0c9</t>
  </si>
  <si>
    <t>ca18b753-7ccb-46c9-bdb2-5a4332c355d8</t>
  </si>
  <si>
    <t>eb2d6674-0acf-4136-a7ad-8248979cdca6</t>
  </si>
  <si>
    <t>6e35036b-59fc-4f91-b26d-6429a53ded43</t>
  </si>
  <si>
    <t>588f9fb2-1f73-4c65-a27e-461ba6fbfb32</t>
  </si>
  <si>
    <t>23fdb7cd-0cdd-4dce-81b4-a3edf888d5fc</t>
  </si>
  <si>
    <t>92262241-6979-4574-808f-0c6a752910d6</t>
  </si>
  <si>
    <t>74422083-bd2a-4859-a973-a9fb9a4d9b0e</t>
  </si>
  <si>
    <t>ada23aa8-4461-47fa-8bb4-1b982a184cb5</t>
  </si>
  <si>
    <t>1b03438a-3a1a-409b-ad70-598d9c3acec5</t>
  </si>
  <si>
    <t>12464534-d0df-4d07-b2be-bdc777c7e260</t>
  </si>
  <si>
    <t>ca2f86c3-7db8-43fa-b3b3-f9bb6cf8b104</t>
  </si>
  <si>
    <t>c6c0403d-47e9-465e-92b5-e736f49b49ef</t>
  </si>
  <si>
    <t>3815f957-35ba-40cf-a796-aae0e2e8194a</t>
  </si>
  <si>
    <t>e3deb7b0-7b89-43d6-aceb-467e82123ca4</t>
  </si>
  <si>
    <t>d1e7752a-eda5-4356-bd2a-e7e5f3f419fe</t>
  </si>
  <si>
    <t>660fcafd-3a09-48c2-aa16-477c09f690a5</t>
  </si>
  <si>
    <t>72049c03-dab8-4681-8d9b-2bd5175a793a</t>
  </si>
  <si>
    <t>96ddfb40-43fa-4dbc-8956-80eb98318616</t>
  </si>
  <si>
    <t>60103330-43f5-4f79-bdd6-983154851928</t>
  </si>
  <si>
    <t>53738156-fd68-46fe-b251-0914b30b78aa</t>
  </si>
  <si>
    <t>71d2287a-ee4a-42d3-b40c-cf78d5fd3651</t>
  </si>
  <si>
    <t>ae6ce391-f345-487c-b6f2-3941d9293668</t>
  </si>
  <si>
    <t>d776c35f-e5d8-4f80-840c-c8bba7151722</t>
  </si>
  <si>
    <t>d8bd7057-aa2e-44a5-8e3e-4adfc9e31cc0</t>
  </si>
  <si>
    <t>e19b24d5-0650-402f-950a-7ecaee61d25e</t>
  </si>
  <si>
    <t>6021d5cf-31f6-4329-a1ad-06c594f8877f</t>
  </si>
  <si>
    <t>0dab09fc-dfc7-46b7-a46f-58af613daf8e</t>
  </si>
  <si>
    <t>fc72c03b-e901-4a6d-b2bd-402fb4294933</t>
  </si>
  <si>
    <t>8e778d2a-e44a-4252-bfb7-0a486a424099</t>
  </si>
  <si>
    <t>dacad04f-5cbb-4e32-a5c4-59e353b24146</t>
  </si>
  <si>
    <t>0c60cdb0-34c1-4bb5-a961-16e98ee6b9ed</t>
  </si>
  <si>
    <t>26a5b2f4-2a22-4f13-bf0f-8784993c83b2</t>
  </si>
  <si>
    <t>d98be9ac-dd98-4e5f-a593-491daac65453</t>
  </si>
  <si>
    <t>999724c9-e22c-4991-be53-dd0a52232dbb</t>
  </si>
  <si>
    <t>8e59f955-0e77-43f8-b68f-3a13ba8ab685</t>
  </si>
  <si>
    <t>e3c6f25d-74e1-48f3-bbd6-38a8b7079a1a</t>
  </si>
  <si>
    <t>9d0daf99-14cd-40f3-963e-a24ca034d44e</t>
  </si>
  <si>
    <t>c42242c4-47d1-44f5-8266-4dc88249ef1a</t>
  </si>
  <si>
    <t>51dbfac5-0c9d-4a5a-9c94-e89f649c6dab</t>
  </si>
  <si>
    <t>ba0ad9ca-ead7-4759-9f68-88ad94717f1e</t>
  </si>
  <si>
    <t>3df2566c-b0af-460e-b415-dbe6f8bbb8b0</t>
  </si>
  <si>
    <t>36785f71-444d-4f3f-a3d5-c7f6fac147a4</t>
  </si>
  <si>
    <t>434ca445-d7ba-4102-934c-62b1b00f8d62</t>
  </si>
  <si>
    <t>cb3c725f-d30e-4958-886e-e942657344f0</t>
  </si>
  <si>
    <t>cfbbd12d-a967-4355-a74a-4563a70d9ad1</t>
  </si>
  <si>
    <t>72ec4dfb-afd9-4d41-a945-84f42382f456</t>
  </si>
  <si>
    <t>1dbadca1-d157-4e8f-bd02-c331ce477977</t>
  </si>
  <si>
    <t>91c70e3f-8097-4ee1-a69c-f4f803c7fcba</t>
  </si>
  <si>
    <t>678fedb7-b4d2-4d01-999e-9140546de82a</t>
  </si>
  <si>
    <t>9d95bfad-bf95-4bb3-b6eb-f857e93fc6db</t>
  </si>
  <si>
    <t>7a22334d-96f1-427a-882b-4ac770d62fc6</t>
  </si>
  <si>
    <t>f30a70a9-10a9-4858-a787-628d2231b6ad</t>
  </si>
  <si>
    <t>0c949b36-e72f-4a33-85b5-0e11a605499c</t>
  </si>
  <si>
    <t>bce6d340-b4b7-48ed-a464-b75f03e1c750</t>
  </si>
  <si>
    <t>687797dc-cfb2-4387-a504-4abb89eddf85</t>
  </si>
  <si>
    <t>f211ec20-6a8e-4271-ae86-23de09ad5ae1</t>
  </si>
  <si>
    <t>7e284e05-ee27-4c7a-ab6f-1f1075e1c54a</t>
  </si>
  <si>
    <t>529f2a7d-e3bd-432b-936c-b22739bcecab</t>
  </si>
  <si>
    <t>b8f0f367-32a1-41d3-afc6-39066f9c895f</t>
  </si>
  <si>
    <t>278ebb58-b98d-4bd6-a0a1-297eded806fd</t>
  </si>
  <si>
    <t>49bda0a9-f938-48d0-ac2b-b1a481360354</t>
  </si>
  <si>
    <t>2346162e-40c3-440e-b17c-4b4e60175f17</t>
  </si>
  <si>
    <t>41a515ef-b6d4-4dcd-b73e-769e99d59179</t>
  </si>
  <si>
    <t>21b8dbcb-07e1-4597-821b-e5566bd6b8e8</t>
  </si>
  <si>
    <t>6f991320-2457-43f2-a4e9-25194b9af1bc</t>
  </si>
  <si>
    <t>719ba57d-bb58-4c53-bb6c-497213a4ec3a</t>
  </si>
  <si>
    <t>eaa37be3-a95e-4ec7-8557-71c67d0d1f04</t>
  </si>
  <si>
    <t>e88cb8e6-756a-435e-b886-b76a86bcbc20</t>
  </si>
  <si>
    <t>2206bc4f-04ab-467e-a24f-a5d22cf7cf31</t>
  </si>
  <si>
    <t>890214b6-a06a-4d40-9c56-0e5dfd9a0258</t>
  </si>
  <si>
    <t>253faa0d-2de4-4903-bf96-ee75e09fcefa</t>
  </si>
  <si>
    <t>e38e3853-3b87-42e7-bede-16a893d71bda</t>
  </si>
  <si>
    <t>6f0877e0-1c86-4426-a254-c6618c44af9d</t>
  </si>
  <si>
    <t>31ac22d7-ac49-434b-8eb1-9f942f205a93</t>
  </si>
  <si>
    <t>95dba131-af86-4d3f-887a-0678f5a8dd70</t>
  </si>
  <si>
    <t>c7da5f3f-6860-45e8-9bd4-f839efd27d70</t>
  </si>
  <si>
    <t>43617b27-a0cb-4874-92a4-2fe3cae2e0e7</t>
  </si>
  <si>
    <t>7cfa6ac0-a294-4d14-a2a9-0a4e47df7dad</t>
  </si>
  <si>
    <t>0d5bfc05-9a1d-424a-89d4-26c884c02653</t>
  </si>
  <si>
    <t>c8af7104-b20c-439a-b6d4-6721189c91ad</t>
  </si>
  <si>
    <t>2d775424-3001-46a6-8dd8-ce7c3d441d1b</t>
  </si>
  <si>
    <t>1866e5c4-8ba8-44df-bcdc-63583aa7e766</t>
  </si>
  <si>
    <t>84372406-f51f-4d01-a04a-84c2ab8d7f43</t>
  </si>
  <si>
    <t>c9f8f9c6-9c69-4eaa-8519-f2db0691b954</t>
  </si>
  <si>
    <t>af642a38-c3dd-49b3-bc76-2239bf275f12</t>
  </si>
  <si>
    <t>70f78369-b09d-4873-b492-4ab5f6413b32</t>
  </si>
  <si>
    <t>679121dc-7209-4ad9-8f3a-038120cf39c0</t>
  </si>
  <si>
    <t>91e6cfb5-4bed-4819-b247-e53052364592</t>
  </si>
  <si>
    <t>ff2af4f0-12a4-4e7a-9cb3-ab913073cd9d</t>
  </si>
  <si>
    <t>41acd85d-d4c1-4d8d-8a0b-4c109daeb3ce</t>
  </si>
  <si>
    <t>b2918579-f245-4ff0-8f03-71835c1f4e8a</t>
  </si>
  <si>
    <t>5061b946-0091-4c78-aaf6-c2d0bfdbd121</t>
  </si>
  <si>
    <t>097c2fec-282e-42c7-9946-656e63543445</t>
  </si>
  <si>
    <t>3986484a-b9a5-4541-a3c2-e290230f0ab1</t>
  </si>
  <si>
    <t>bd92625c-b6d7-4257-91ef-5c2a112e06c6</t>
  </si>
  <si>
    <t>9f81b246-abfc-4a15-915f-d4da1df711b6</t>
  </si>
  <si>
    <t>2c125370-8e26-46ed-a662-5b9839d87ea9</t>
  </si>
  <si>
    <t>0374bd00-9f51-40d9-bf28-4092b2876cce</t>
  </si>
  <si>
    <t>2dfe7033-a992-4a89-b685-47aae0cd9448</t>
  </si>
  <si>
    <t>bbc27621-68b5-49e9-a432-d7959ebe2e1f</t>
  </si>
  <si>
    <t>1faca2bf-fef2-47e3-aa2f-6b7441b27818</t>
  </si>
  <si>
    <t>e9c2c4ce-74a4-470b-ac2c-a17ee763e251</t>
  </si>
  <si>
    <t>6143b6f1-8871-42ee-a517-2c2b95088de6</t>
  </si>
  <si>
    <t>8e0c26b1-c936-4064-aaac-1e0201f445d1</t>
  </si>
  <si>
    <t>c7bba491-56d7-4224-a427-580872439b5a</t>
  </si>
  <si>
    <t>fa60cf83-6305-4ef7-8b73-cfbd9083dae5</t>
  </si>
  <si>
    <t>c1c57f55-b8b7-473d-99e2-21c0eb3ddb6b</t>
  </si>
  <si>
    <t>5158caff-4bc5-496f-b4d9-c882134d0605</t>
  </si>
  <si>
    <t>e336d2fd-6bef-4c73-a335-d3155e2c3503</t>
  </si>
  <si>
    <t>38efa262-dadc-4c50-8677-2dd1c375bea0</t>
  </si>
  <si>
    <t>c10587de-0a12-4cb6-87b1-1f80c6cdafeb</t>
  </si>
  <si>
    <t>47e83121-a62d-45f5-be2d-b9ebcbcc3611</t>
  </si>
  <si>
    <t>ae285b95-236f-4208-94da-001d0b9926be</t>
  </si>
  <si>
    <t>29ac4c5a-65ee-4697-87cc-37891a33c270</t>
  </si>
  <si>
    <t>e8d7001e-64d2-4c59-91a0-87430a92ba90</t>
  </si>
  <si>
    <t>72df1347-9375-4bba-a66f-209af3080200</t>
  </si>
  <si>
    <t>0c87e774-70f3-42c8-9353-5eaf161a7c5d</t>
  </si>
  <si>
    <t>75f8ca92-83d8-4e06-9fbe-963f1eb40db6</t>
  </si>
  <si>
    <t>e00cb170-919d-4c47-b1d1-fc35ed16a099</t>
  </si>
  <si>
    <t>0c467071-c2e7-412d-90ef-e00e6381ef3d</t>
  </si>
  <si>
    <t>b98a7759-1fb4-4236-9c63-ac650425e543</t>
  </si>
  <si>
    <t>cb319eb2-1d0e-451c-9bc8-0eb1010f2d87</t>
  </si>
  <si>
    <t>1d91b169-0b36-4d06-947f-153431b08c45</t>
  </si>
  <si>
    <t>adf4c328-14be-4d7a-b2af-4331b9bbead1</t>
  </si>
  <si>
    <t>2b5b8fbe-9c00-4b88-8b76-7f96d6ae08e3</t>
  </si>
  <si>
    <t>056fa9f3-6d2f-4a55-8cc5-ef4459dc90b6</t>
  </si>
  <si>
    <t>149c9bf9-e614-4264-9c72-86d584a84441</t>
  </si>
  <si>
    <t>5ad5c484-5507-4279-a787-57addd2c11e8</t>
  </si>
  <si>
    <t>b7e5fb40-c855-4c72-af6a-b680b2dbea94</t>
  </si>
  <si>
    <t>5b2f3567-c5aa-458a-baca-057d9f7bb5e7</t>
  </si>
  <si>
    <t>8a348b9b-30bb-4250-947f-5bb90d5782d5</t>
  </si>
  <si>
    <t>b5d3f8b0-0084-4de0-bde6-76b8fac0328d</t>
  </si>
  <si>
    <t>b271e2fe-ed9a-4b64-9e72-786728f558d2</t>
  </si>
  <si>
    <t>72803c66-4bad-4aea-81ca-5e7b4a358843</t>
  </si>
  <si>
    <t>2572150b-6674-4d36-a34e-570837357c73</t>
  </si>
  <si>
    <t>1951165e-2fbe-40a0-91a5-bff5808831a6</t>
  </si>
  <si>
    <t>03d08f60-8595-4cd1-bfb9-b014f01be417</t>
  </si>
  <si>
    <t>ee7511fc-181c-4860-a401-1ffe2ed18a72</t>
  </si>
  <si>
    <t>1dc74c32-0d97-4d67-b440-3bd692bb824c</t>
  </si>
  <si>
    <t>1a8efdba-25ef-4bd6-ba59-a2a149af59f6</t>
  </si>
  <si>
    <t>d7cabd18-385c-4434-9045-7d11587b3b60</t>
  </si>
  <si>
    <t>a092cc05-33c7-4e9b-afe5-6094bf2f8243</t>
  </si>
  <si>
    <t>5c69f5fc-4611-445a-9852-da047fbcd8fc</t>
  </si>
  <si>
    <t>ac5cce80-71f2-4faf-9ba9-6c3f98596287</t>
  </si>
  <si>
    <t>f5b320b9-b22b-490b-a1c0-a8737a1f7bf9</t>
  </si>
  <si>
    <t>6de90ddb-d417-4a04-be08-bb5778ccdd40</t>
  </si>
  <si>
    <t>0e278539-db3b-4ffb-91ad-03f6d5172d0c</t>
  </si>
  <si>
    <t>f09693bc-a6f5-4956-bcd4-1af948868063</t>
  </si>
  <si>
    <t>2bb26eed-07a8-465c-accf-abbf9eb56cb4</t>
  </si>
  <si>
    <t>8cdcca3d-7070-4440-a49d-9b838e7b7f7a</t>
  </si>
  <si>
    <t>0f112972-58bf-4825-9316-54745b3e230d</t>
  </si>
  <si>
    <t>28d96b2e-8ddd-4ff3-9c2a-c132c12f4b71</t>
  </si>
  <si>
    <t>09826fef-11e1-452b-b354-59d2f03b3c5f</t>
  </si>
  <si>
    <t>cacf7a27-c8a4-44a1-bdba-a73e64f2dec3</t>
  </si>
  <si>
    <t>98a3bda2-b411-4636-abc5-39bd9c897090</t>
  </si>
  <si>
    <t>2d5c7ab6-40a0-431d-aee6-06c591f3a6c8</t>
  </si>
  <si>
    <t>3d93d3f0-7f2a-48ce-9a1e-675427d911c0</t>
  </si>
  <si>
    <t>c0d73f25-1037-4602-93e4-9bac326f3e74</t>
  </si>
  <si>
    <t>580bc31c-c700-47f3-91b8-7db29477c1ff</t>
  </si>
  <si>
    <t>b59dc84c-82fd-4d96-8049-cebaf3fe5006</t>
  </si>
  <si>
    <t>36f28de2-1326-400e-8574-489001587404</t>
  </si>
  <si>
    <t>8a90809a-2a77-47ab-84f9-5006f50a53b1</t>
  </si>
  <si>
    <t>385ba914-d6b6-4551-a25e-9b1a109d32a9</t>
  </si>
  <si>
    <t>58348d0f-86f6-4cc8-9296-4a87708d86e7</t>
  </si>
  <si>
    <t>b78ec4fa-cc6d-44d1-8ed6-67643ab73fc3</t>
  </si>
  <si>
    <t>e02d7216-074d-427d-a0c3-c1138d0d736a</t>
  </si>
  <si>
    <t>149c8865-bf55-401e-bef3-dc1508947143</t>
  </si>
  <si>
    <t>04f20be2-0f74-493b-9b32-849401ecaf58</t>
  </si>
  <si>
    <t>036a20bf-0144-4b4a-9ed9-3ab56cf9cff8</t>
  </si>
  <si>
    <t>8e4e74bb-8a94-4991-8f56-b7cfef2b8aa8</t>
  </si>
  <si>
    <t>d956be36-58a1-498c-bb83-2c228a2da8ac</t>
  </si>
  <si>
    <t>334084b8-c5b2-4fad-a58e-59c6699ef445</t>
  </si>
  <si>
    <t>3db20dfd-a9c2-4aff-a003-f5eab24fbbb2</t>
  </si>
  <si>
    <t>7d0a651f-3dc3-40fa-b9e8-f979af21ab20</t>
  </si>
  <si>
    <t>4a872eac-674e-4326-ba0b-273cc467a1bb</t>
  </si>
  <si>
    <t>966cf83c-2760-4476-8442-95f4b29a104d</t>
  </si>
  <si>
    <t>be1a24be-0fdf-4e77-b6b8-39ebf5eb2276</t>
  </si>
  <si>
    <t>b86935e4-18c7-46f7-af5c-d3862fddcae9</t>
  </si>
  <si>
    <t>9976d01b-160d-4217-a02d-00e48d5e6598</t>
  </si>
  <si>
    <t>90b714f9-2f0c-4ace-84ed-e9997ae648cc</t>
  </si>
  <si>
    <t>95f7e74f-a961-495c-b38c-3e05342b2467</t>
  </si>
  <si>
    <t>41cb9289-5649-4025-9634-3e8dfb88cf19</t>
  </si>
  <si>
    <t>7c40c2b6-f418-45eb-8b4b-af20f958ad68</t>
  </si>
  <si>
    <t>3cd1305f-3d90-496d-88fe-f7366dc2788e</t>
  </si>
  <si>
    <t>839bee7c-aa7e-4edf-b506-5ca86d11f9cb</t>
  </si>
  <si>
    <t>816f2c8d-6ec1-4666-9dbb-b848a6d9d0f9</t>
  </si>
  <si>
    <t>ebc06a5a-9dac-4b83-adbe-1f94b716306d</t>
  </si>
  <si>
    <t>da31be73-5c91-4498-a802-d87eb989c587</t>
  </si>
  <si>
    <t>a2058858-aedf-4777-93c8-dc82171ce0c4</t>
  </si>
  <si>
    <t>fd0f4be9-2f39-409b-b5f6-f806080c32af</t>
  </si>
  <si>
    <t>81c83c96-0358-44b1-b205-52b30e753e7a</t>
  </si>
  <si>
    <t>3549117f-f490-4dfd-a123-d6bcb6135c6c</t>
  </si>
  <si>
    <t>878928c9-ed5c-4037-b85c-2113997698cc</t>
  </si>
  <si>
    <t>e3fc89f5-dac6-4aa6-bcdc-e336bc6f8bb4</t>
  </si>
  <si>
    <t>db89f137-ac24-4bde-bdff-46f526aeadba</t>
  </si>
  <si>
    <t>03f846f2-15c8-48a4-bfd9-d99cd688f43c</t>
  </si>
  <si>
    <t>e2f47774-d79d-420c-b0c1-6a39d7cca5da</t>
  </si>
  <si>
    <t>2d35ad50-e088-45e0-a351-6873ac3890d7</t>
  </si>
  <si>
    <t>300e521c-0e30-4841-9914-c0f1c4f3e595</t>
  </si>
  <si>
    <t>739827e0-2943-4367-b938-b3190da1c9e4</t>
  </si>
  <si>
    <t>06d47cc4-5489-45c6-8ea0-68de59bd0140</t>
  </si>
  <si>
    <t>a5c8c790-f9ab-4eee-93f8-19f4995bfc9e</t>
  </si>
  <si>
    <t>d1febb2d-935a-43ba-aa98-6939f9b12803</t>
  </si>
  <si>
    <t>d5f5a7a1-203f-405d-a718-ceb13018261d</t>
  </si>
  <si>
    <t>cccc5854-1901-4251-beb2-0f76cf3c5681</t>
  </si>
  <si>
    <t>e479e5c1-c4e1-4623-8220-2671832f6228</t>
  </si>
  <si>
    <t>8571d94a-98d8-41ca-b4e3-ee7bfdd45819</t>
  </si>
  <si>
    <t>1d02f709-693c-4c56-9c11-f80be65960f1</t>
  </si>
  <si>
    <t>33339dd7-08b5-40f5-9d9f-66e1005ef1a9</t>
  </si>
  <si>
    <t>4e1efb11-0c76-4d79-a02f-edaf76b20e36</t>
  </si>
  <si>
    <t>c0a09470-f491-423d-b723-5d4cdc7dd55c</t>
  </si>
  <si>
    <t>63ef1ecc-f801-48aa-bfcf-49b6071e7b23</t>
  </si>
  <si>
    <t>455ad423-81f9-4f6a-8263-35d9756f77c9</t>
  </si>
  <si>
    <t>d81ae700-d670-499f-a25d-3b9c0a13ee79</t>
  </si>
  <si>
    <t>7f50e077-ba91-42b6-91f9-923c9ab019d2</t>
  </si>
  <si>
    <t>f380139a-c162-4a03-899b-0228306277b9</t>
  </si>
  <si>
    <t>8c8a60ed-e07c-44ce-83c2-30eca85d4160</t>
  </si>
  <si>
    <t>fb41b827-3039-4616-9226-ace89d5d051b</t>
  </si>
  <si>
    <t>8316ecfb-1c75-4b72-bb31-6bda0785e242</t>
  </si>
  <si>
    <t>127905fc-7ee0-4a42-a465-a8d6c9aaf887</t>
  </si>
  <si>
    <t>fee48b1f-4610-4a59-9abd-e29cd6b65ce3</t>
  </si>
  <si>
    <t>d4cfa242-3824-4b73-859a-fd8d927cc125</t>
  </si>
  <si>
    <t>21ac1e15-bb0b-47d8-95eb-be9044c59db3</t>
  </si>
  <si>
    <t>d4953af8-0db4-48c6-8e14-319949ca76b6</t>
  </si>
  <si>
    <t>bce3c87b-839e-42ab-88cf-f3dce442d334</t>
  </si>
  <si>
    <t>72604133-469d-47d5-bcc1-4915116b10c1</t>
  </si>
  <si>
    <t>fd25eb7e-f419-43c0-baf0-0adcd1375217</t>
  </si>
  <si>
    <t>d7624a59-88f0-445b-813f-e2278df02c75</t>
  </si>
  <si>
    <t>ac4eeba1-24d2-4e79-b7c5-53d30b473ce3</t>
  </si>
  <si>
    <t>f63d6249-3452-4629-a291-294bb08dbbf9</t>
  </si>
  <si>
    <t>d22c0861-e90c-4489-aaa8-858943b12b8d</t>
  </si>
  <si>
    <t>80ab2f25-6680-4792-8c60-80b9fb1118aa</t>
  </si>
  <si>
    <t>1e32b0e9-c838-477a-92ca-b9f6b64b6b3a</t>
  </si>
  <si>
    <t>78b9ce50-259d-4470-b68f-b09c64feec2c</t>
  </si>
  <si>
    <t>5aebea7d-b4c9-4f85-a670-a0b67ae0225f</t>
  </si>
  <si>
    <t>bd0c6c15-a469-439f-8a26-91b808362eb3</t>
  </si>
  <si>
    <t>2694276a-aaa3-4e0a-87f2-7e4f0f9fa263</t>
  </si>
  <si>
    <t>73e7c6d8-69d4-47b7-b31d-ac986675f448</t>
  </si>
  <si>
    <t>d92d5cd4-2f03-4248-be79-a2d9fb995d89</t>
  </si>
  <si>
    <t>9397a3b1-8436-4a48-92e4-8ab9e23f22ec</t>
  </si>
  <si>
    <t>c513018d-b71c-4101-b78f-61ea977f6db3</t>
  </si>
  <si>
    <t>bc8507ed-a9b3-4234-9b98-f282a256c0ee</t>
  </si>
  <si>
    <t>3847d4ba-df58-42fe-acdb-92454ed92474</t>
  </si>
  <si>
    <t>80f6cbda-01f3-40fc-8cf3-f57166b1af0f</t>
  </si>
  <si>
    <t>9019b5ac-197e-4402-8238-59e51607a9e8</t>
  </si>
  <si>
    <t>8cec3f36-3cc4-48e9-aa81-b7d7da47f4ac</t>
  </si>
  <si>
    <t>b9ad80c3-88c6-491c-8e6d-ff7832ce32d2</t>
  </si>
  <si>
    <t>81b84f51-68c0-4974-9867-40cc9566cfc4</t>
  </si>
  <si>
    <t>5a6f2a03-9231-462a-9962-5f521716f626</t>
  </si>
  <si>
    <t>34873b1d-4be1-401d-a405-02c3242a4263</t>
  </si>
  <si>
    <t>27974db5-06be-4901-b0c5-f36b60e4641b</t>
  </si>
  <si>
    <t>52d3de23-7582-4cfc-8429-0a736f60781c</t>
  </si>
  <si>
    <t>5786767a-ceaa-4213-af4b-a39cdbe41e0d</t>
  </si>
  <si>
    <t>52e6663f-c71e-4925-a778-0192c9fd6753</t>
  </si>
  <si>
    <t>35cac404-d99c-46c4-9528-655ebaeda586</t>
  </si>
  <si>
    <t>8b4556d1-ae9d-4a97-a09b-bbadab18e76a</t>
  </si>
  <si>
    <t>f43379f0-dc3e-4340-8bbe-7c21e02b84cc</t>
  </si>
  <si>
    <t>b4328837-4738-4b5d-a0d7-126774cf0d9e</t>
  </si>
  <si>
    <t>d0882d88-1053-40b7-b763-dca84380fa80</t>
  </si>
  <si>
    <t>aa733d21-2518-4dc1-9396-45d13c06ac85</t>
  </si>
  <si>
    <t>a0f0cebf-20aa-4455-ae26-6f97de79c67e</t>
  </si>
  <si>
    <t>ed9e9ece-cf27-4f49-9f48-5cf2d310b191</t>
  </si>
  <si>
    <t>886ac835-3f82-41de-906e-41ff5f9ec90f</t>
  </si>
  <si>
    <t>ac681fdc-31dc-4d6d-98e1-debd32bb22cc</t>
  </si>
  <si>
    <t>f366ef67-5664-42b7-97ba-f8392b92cd20</t>
  </si>
  <si>
    <t>074c7e71-1de1-4db9-af49-55fd67db7ad7</t>
  </si>
  <si>
    <t>f1169139-1d95-4d2b-9480-1c5ebe692037</t>
  </si>
  <si>
    <t>af9d7341-9e11-4add-85a7-20fff8f9b407</t>
  </si>
  <si>
    <t>46cb8863-e287-4d3b-bc72-c8c47d6c5c97</t>
  </si>
  <si>
    <t>4b384f9d-b4a3-4ad3-ac5a-b44af6cc5de4</t>
  </si>
  <si>
    <t>1d7ac353-b19a-42b2-8aae-eba5c344de2f</t>
  </si>
  <si>
    <t>aa7c724a-8f03-4c16-a4c4-d87b6df909ef</t>
  </si>
  <si>
    <t>72dc1d24-315b-4637-9368-687733700664</t>
  </si>
  <si>
    <t>f0b9aa89-44bf-4cb7-802c-9c8e27a5264f</t>
  </si>
  <si>
    <t>b70b7968-ca25-4b41-983b-87025e001268</t>
  </si>
  <si>
    <t>3b7c4a0a-622e-4e99-b0d7-c54aa164d7cf</t>
  </si>
  <si>
    <t>8da15ca4-5b24-4ffd-a75d-f14439da0b77</t>
  </si>
  <si>
    <t>a65ae446-0e06-4cd3-8497-c998018d6ddd</t>
  </si>
  <si>
    <t>e02af2fa-e170-41dd-aeaf-f35512c61d2a</t>
  </si>
  <si>
    <t>ba7e7745-0c52-40a3-aeaf-94a28a8e1c90</t>
  </si>
  <si>
    <t>2d988396-5a9b-4849-9d93-eb2a10650047</t>
  </si>
  <si>
    <t>77619b3a-ffca-4684-bd32-97b52404a64d</t>
  </si>
  <si>
    <t>054b1aa2-c38b-467f-9108-48985502d922</t>
  </si>
  <si>
    <t>e439f200-9299-4fb7-8186-283cf0ff527b</t>
  </si>
  <si>
    <t>2e6e7c6c-5656-4860-b4f3-a1bf69e2af36</t>
  </si>
  <si>
    <t>3758afa4-7a56-4f75-852f-a29dfe018104</t>
  </si>
  <si>
    <t>9bc506ea-ec18-4901-95a4-aa5de6f92513</t>
  </si>
  <si>
    <t>763e42c1-183a-4c9d-b8b7-8e8e2cfc44ee</t>
  </si>
  <si>
    <t>1bf71ada-eee4-4f6c-bee3-7d0127b2d75d</t>
  </si>
  <si>
    <t>29858597-76b5-400f-bc0a-bcfd51771e6b</t>
  </si>
  <si>
    <t>58c31a96-9c53-475c-a5d6-e509b5b7bd98</t>
  </si>
  <si>
    <t>4518b4d4-a36f-4922-a808-38db2a3550fa</t>
  </si>
  <si>
    <t>fdcd16e7-4d98-44f8-9ecf-d7416ee553d0</t>
  </si>
  <si>
    <t>b4cf5b97-dc87-4481-a8f8-24b9b3fc9815</t>
  </si>
  <si>
    <t>ffc2eac4-8c81-419a-8632-dedb6b1d3d64</t>
  </si>
  <si>
    <t>df2b023d-c22b-48db-95bc-810c601a1b29</t>
  </si>
  <si>
    <t>d5ace5c3-f9a4-4ef8-b1ab-c0338d339069</t>
  </si>
  <si>
    <t>9c94c632-ee11-491b-83f8-336227752375</t>
  </si>
  <si>
    <t>391ec056-cb40-4ccc-ab75-86851c548bb8</t>
  </si>
  <si>
    <t>dd8c57db-8193-4aee-8138-ff16a97f8b06</t>
  </si>
  <si>
    <t>fc9c17fa-54ba-43f2-a3b4-14e238a75426</t>
  </si>
  <si>
    <t>0fa52318-c43c-4d91-98de-4a3230799920</t>
  </si>
  <si>
    <t>0dcf1601-9a28-44b0-b691-cf95323b183c</t>
  </si>
  <si>
    <t>895ec112-71c5-4f7f-922d-cdf1dff19b2d</t>
  </si>
  <si>
    <t>62fc6983-8668-4a5f-a813-325b4ed6486e</t>
  </si>
  <si>
    <t>bd43d82d-5272-4b49-aead-6a437baa2ce2</t>
  </si>
  <si>
    <t>d311ffee-f2fc-4fc0-92ca-e84b87c333b4</t>
  </si>
  <si>
    <t>f4e0723d-54f5-4328-ad2c-d1fedc14ae67</t>
  </si>
  <si>
    <t>6bbf43bb-8da8-4300-99d4-7a1d9051e538</t>
  </si>
  <si>
    <t>a7d5f8c9-b215-4f7f-ad60-a51d0e0c3166</t>
  </si>
  <si>
    <t>1dd75048-a1ce-4fae-80dd-7405b664e3a7</t>
  </si>
  <si>
    <t>74390d59-dd0b-45f1-80be-98660e986269</t>
  </si>
  <si>
    <t>05ccb3d1-14ef-468e-9d1d-775b1ababde5</t>
  </si>
  <si>
    <t>1b11e84d-9778-4cbb-be55-51d4d3a80d39</t>
  </si>
  <si>
    <t>4b078512-5b47-4fbb-95ca-6df4c79e6c3a</t>
  </si>
  <si>
    <t>b202929e-aebf-452a-b7a3-5fa2b7f8177c</t>
  </si>
  <si>
    <t>f15ea1d7-1132-4d5d-83f8-1edb1fbbc4f7</t>
  </si>
  <si>
    <t>4b4262ae-153f-424a-be6a-462bd4d15534</t>
  </si>
  <si>
    <t>194be239-154f-4987-8549-271e37b68a4c</t>
  </si>
  <si>
    <t>eb193976-6bbb-4249-9f51-b941da981ba0</t>
  </si>
  <si>
    <t>da1fb7f8-3378-4dc9-9f1b-9151b0671b6e</t>
  </si>
  <si>
    <t>f04ae848-31f1-45b2-8f63-d79a0b2f51c0</t>
  </si>
  <si>
    <t>3aaad96c-64e1-4ec8-a0ba-2e2bf9313c6e</t>
  </si>
  <si>
    <t>23190a94-5222-4eb3-9c96-4339a372154e</t>
  </si>
  <si>
    <t>2a7e90e5-529e-4654-a98c-6d9877c9f9c9</t>
  </si>
  <si>
    <t>824691ec-1d67-467c-acca-6d0d0202176f</t>
  </si>
  <si>
    <t>2d159eed-8747-45da-beb0-e941bcf5c709</t>
  </si>
  <si>
    <t>83f2a01a-eb63-4f7c-b390-1318c1b28d76</t>
  </si>
  <si>
    <t>fbb0fb9d-9323-4b52-878a-ebe77d4d66dc</t>
  </si>
  <si>
    <t>8b90e4aa-2d18-4e49-befb-49515e454627</t>
  </si>
  <si>
    <t>82503c74-437e-4ded-bf08-d3fbcba786d2</t>
  </si>
  <si>
    <t>585040e5-f6c5-48f7-a94e-bbed29ae7a60</t>
  </si>
  <si>
    <t>c272f44e-c3c2-473d-aae6-3ce90904c2f6</t>
  </si>
  <si>
    <t>f97308d7-0418-465a-bba4-fbd1e775c576</t>
  </si>
  <si>
    <t>86caa1a6-c873-49bf-bd47-48dd78fa5dcc</t>
  </si>
  <si>
    <t>90d22ecc-5b9f-4884-8804-630378d74c5c</t>
  </si>
  <si>
    <t>78b81aae-a0a8-4eb9-bb08-682ee8fa3630</t>
  </si>
  <si>
    <t>d2eeeb31-f41e-4fe9-ae5a-0f0f9e234fb2</t>
  </si>
  <si>
    <t>454369dc-0d9f-4209-92a6-949c36fc6363</t>
  </si>
  <si>
    <t>cbf4698d-03fa-4539-adde-515abd09b1de</t>
  </si>
  <si>
    <t>b84be130-36f6-439f-bd7d-c395b7b928ad</t>
  </si>
  <si>
    <t>1b54ca66-ce5f-46a6-9fc2-361a85854cf5</t>
  </si>
  <si>
    <t>50fc200c-9e02-4f3a-8ea9-6954abbf27f3</t>
  </si>
  <si>
    <t>8dde5f2f-93fc-4286-9b89-b88bda988ad8</t>
  </si>
  <si>
    <t>30beb320-5aa5-4ba7-85ef-7a927a32fd41</t>
  </si>
  <si>
    <t>ed4d0f9c-755e-44ce-9da9-86a240b05e21</t>
  </si>
  <si>
    <t>b3389f0a-1ae6-4823-929c-a79a8eed87db</t>
  </si>
  <si>
    <t>5d0a9624-7d29-4976-8b44-3016d8eb6eed</t>
  </si>
  <si>
    <t>823a174c-4455-4241-b22e-356b0ac436d0</t>
  </si>
  <si>
    <t>fc6af609-3805-42ad-8c4b-7b9a6b3c043a</t>
  </si>
  <si>
    <t>11603eb2-05a1-4f2d-8dd5-eeb3e8db0173</t>
  </si>
  <si>
    <t>ef69571f-ce85-4c6c-b985-aaf67776e7f2</t>
  </si>
  <si>
    <t>d7b11adf-918c-4874-accf-905e71d478ee</t>
  </si>
  <si>
    <t>1d4c0dbf-3b69-46cc-8ed6-8e960d86f783</t>
  </si>
  <si>
    <t>5c58d4bf-5666-418e-8cb3-a9af225e2d5e</t>
  </si>
  <si>
    <t>5f4b8b38-5405-4d46-895c-72383d57bfbb</t>
  </si>
  <si>
    <t>9fa64b2c-9821-477d-b00b-3be248fd1e3a</t>
  </si>
  <si>
    <t>9d70cd04-5ba4-4fb2-8f2a-8c5dd7014b4e</t>
  </si>
  <si>
    <t>d4acba36-d2a2-45c3-97e0-b599801d98c8</t>
  </si>
  <si>
    <t>96f77f9d-7a9e-46f7-86b7-3f5902ace711</t>
  </si>
  <si>
    <t>9c29ba21-b80f-44eb-bea2-b30fe6406d6e</t>
  </si>
  <si>
    <t>25ac5153-50ca-4754-a383-39a1781656d8</t>
  </si>
  <si>
    <t>80c786f6-d551-4ad9-b7dc-7a73c1ee722e</t>
  </si>
  <si>
    <t>3b4c113b-1bd7-463e-a74b-858879df7052</t>
  </si>
  <si>
    <t>65172947-ccdf-42cf-9960-bd411af21d25</t>
  </si>
  <si>
    <t>b95a216d-a6dd-40dd-b271-bccbe62b02ec</t>
  </si>
  <si>
    <t>c5d3d00f-3b5c-4039-aabe-20db38bdf48b</t>
  </si>
  <si>
    <t>46ff3fff-fb23-451b-9de8-75aa14dcab1a</t>
  </si>
  <si>
    <t>f445c8e3-a46b-41ed-8f40-bf1aa1933a3c</t>
  </si>
  <si>
    <t>4ca91546-0142-4a52-841d-f86f59ba69f4</t>
  </si>
  <si>
    <t>d061f6fb-f9bc-40c7-9338-5c12758d66e1</t>
  </si>
  <si>
    <t>d4eadbde-bf3f-46a6-b2dc-c47d63926355</t>
  </si>
  <si>
    <t>04f33eba-bb0a-4419-945a-1d0ba9cea619</t>
  </si>
  <si>
    <t>7488deb7-2556-4d11-9032-3afc4d299d8c</t>
  </si>
  <si>
    <t>1ada53f2-2710-4f61-b59b-e57e2af0712d</t>
  </si>
  <si>
    <t>58e89678-e029-4a67-853b-c45ca5c54d6a</t>
  </si>
  <si>
    <t>1395c2b7-b537-4efc-ac7d-f76b23cf6f73</t>
  </si>
  <si>
    <t>b3f395f1-36be-4cba-8d83-3b94966d5399</t>
  </si>
  <si>
    <t>315b9e51-bbf0-41f4-946b-aaaccacc68a5</t>
  </si>
  <si>
    <t>929c4659-7843-46b3-bff5-58e1fe1f7c1d</t>
  </si>
  <si>
    <t>844f36f0-757b-4794-ae61-3619075da74a</t>
  </si>
  <si>
    <t>62090e3f-fe7d-47af-8a87-60ad312a8269</t>
  </si>
  <si>
    <t>b2b67566-7fee-4b95-bab3-0865a9f1eb4b</t>
  </si>
  <si>
    <t>39f9ab01-73ec-422f-9d84-558cdc38df26</t>
  </si>
  <si>
    <t>c94c81ff-2d0a-4c81-8637-9e82b1784214</t>
  </si>
  <si>
    <t>5d43a3d3-2ec1-4d18-be89-7d039e7c955f</t>
  </si>
  <si>
    <t>3150f3a4-fd04-4980-845d-c58088e57d0c</t>
  </si>
  <si>
    <t>d45ce608-b378-4cdc-84eb-a92ea17347a1</t>
  </si>
  <si>
    <t>8b0c2859-7320-429d-8816-302aa28e81aa</t>
  </si>
  <si>
    <t>a2d7d992-8495-4a4d-a442-3671cfd28920</t>
  </si>
  <si>
    <t>8c4f1986-22a3-42b1-b6cf-a3db9e61fe9b</t>
  </si>
  <si>
    <t>3682838f-e42e-40e2-833e-965453e50f08</t>
  </si>
  <si>
    <t>691c1f91-e836-4e5d-939d-b3bfa939ceb1</t>
  </si>
  <si>
    <t>630a300e-1422-4126-82ba-3403ac5b2b0e</t>
  </si>
  <si>
    <t>317dfc0a-587a-42a3-a36f-c64b6cb7fa9f</t>
  </si>
  <si>
    <t>71017d3a-f29e-4019-ae3c-b9ea1e349f93</t>
  </si>
  <si>
    <t>b458b981-7821-4584-bde1-03048ccd0baa</t>
  </si>
  <si>
    <t>1923d3c1-7e99-4edd-b123-0902422de09a</t>
  </si>
  <si>
    <t>51890807-3583-4ed3-a223-18146c1207ee</t>
  </si>
  <si>
    <t>3e70ecef-c1fa-4271-a62f-f1120c37c6dc</t>
  </si>
  <si>
    <t>fff1da8e-e678-435f-b645-309cf792f9c7</t>
  </si>
  <si>
    <t>69b9ba80-5587-44a3-9793-a068804054b7</t>
  </si>
  <si>
    <t>cb75c15e-ba97-4401-adee-e7c7862d177f</t>
  </si>
  <si>
    <t>9962be61-5850-4473-bd58-6261d16c5168</t>
  </si>
  <si>
    <t>fcf3738a-5167-4491-b42b-5fe8c7bc6411</t>
  </si>
  <si>
    <t>d81ca459-232f-4597-9f11-bb287e18719a</t>
  </si>
  <si>
    <t>0586dae3-6b1d-4caf-a931-8d3ee76419f3</t>
  </si>
  <si>
    <t>7014332d-0ecb-4b5e-a636-b7416dee3722</t>
  </si>
  <si>
    <t>6428a832-6056-46f5-9a2a-87eb0fe03dfd</t>
  </si>
  <si>
    <t>0b3e00d9-dc68-48bc-852b-ef3d62cb9d88</t>
  </si>
  <si>
    <t>6a1f6319-620a-48e5-ae7e-b0f85649650a</t>
  </si>
  <si>
    <t>77c1fa2e-7d3a-49ea-8d5c-d0d7dfc6a383</t>
  </si>
  <si>
    <t>b13929d3-e070-419f-84a0-34b8c09c3c67</t>
  </si>
  <si>
    <t>87494e5c-ec5f-4af9-abf3-70c3f17a2f04</t>
  </si>
  <si>
    <t>cad87064-4fd9-478a-9df2-8cb117791b40</t>
  </si>
  <si>
    <t>ffbcbb9a-54c9-4927-bbc1-e3f85b43e77b</t>
  </si>
  <si>
    <t>09681998-4627-453c-a703-e2b1fe5d0a1c</t>
  </si>
  <si>
    <t>f2c81757-ff3e-45de-8a0a-2d65c954540c</t>
  </si>
  <si>
    <t>275e9f67-94dd-412f-9534-3499d9262e0d</t>
  </si>
  <si>
    <t>0413de0d-80b6-4b50-8de7-5166fabb44fe</t>
  </si>
  <si>
    <t>d43eb912-d873-4d07-8eb4-d2e294699f6b</t>
  </si>
  <si>
    <t>9d5c44df-424b-49f3-8731-b8f19eb6e47f</t>
  </si>
  <si>
    <t>3ded2e79-9b8b-461e-9609-153dc5a05da1</t>
  </si>
  <si>
    <t>545aefb5-00d0-4a4b-8439-c95922f22f7b</t>
  </si>
  <si>
    <t>ae056c2e-607d-44af-a7a3-e6b5fd5ea920</t>
  </si>
  <si>
    <t>96707b1f-5b56-41aa-a71c-cf3f2a13f127</t>
  </si>
  <si>
    <t>57229b8e-6a7c-48db-84da-342f9938e340</t>
  </si>
  <si>
    <t>5d5dc9fc-d35c-45dd-8938-bcfd3a62351c</t>
  </si>
  <si>
    <t>15b4730d-ec59-4a5e-9bba-7923a21b0462</t>
  </si>
  <si>
    <t>c3b20baf-bc79-4326-8eb6-918263604417</t>
  </si>
  <si>
    <t>fcfca1aa-12f0-4006-aec1-0d3cdb04609f</t>
  </si>
  <si>
    <t>667cb1cf-ee08-4d44-928d-95355039208d</t>
  </si>
  <si>
    <t>3b3de2c6-9c9a-4747-91e9-40495f81ca92</t>
  </si>
  <si>
    <t>b7f8ffaa-cf16-49c7-9b24-1415f1af5d2e</t>
  </si>
  <si>
    <t>d594ee7f-6b21-437c-845b-8af53178098b</t>
  </si>
  <si>
    <t>dace481f-1f42-474a-b7a2-e1061d5a583e</t>
  </si>
  <si>
    <t>68ad82be-667c-4a86-96cd-7d0d19f2a9ed</t>
  </si>
  <si>
    <t>8d4fff50-9164-4e7e-bbef-0f0c82af5e16</t>
  </si>
  <si>
    <t>a8afd0ab-4543-4243-a136-93141e06bac2</t>
  </si>
  <si>
    <t>d6773892-250b-4c30-a40c-0789c22ff114</t>
  </si>
  <si>
    <t>9877e259-f511-4d1f-82ff-c176944901d3</t>
  </si>
  <si>
    <t>03726480-7503-431b-9287-cb57aadff6c6</t>
  </si>
  <si>
    <t>03157748-eb7a-4f30-ae2d-83f6de9e5901</t>
  </si>
  <si>
    <t>cefdda40-e04e-468b-884e-9844dae88193</t>
  </si>
  <si>
    <t>375357b1-585d-47d8-be62-c0fca69a107d</t>
  </si>
  <si>
    <t>c9c57356-44f9-4d48-bc88-e720057073b4</t>
  </si>
  <si>
    <t>827c03f3-04ec-4365-9833-a2b758f3039f</t>
  </si>
  <si>
    <t>8894329a-d270-4029-a8b4-b929873cb42e</t>
  </si>
  <si>
    <t>b267e478-b572-4d43-a5ba-aa65b88455f9</t>
  </si>
  <si>
    <t>11c5a42d-0b5a-454d-9d7b-923283586abe</t>
  </si>
  <si>
    <t>1ef924d1-3a34-4328-9277-5b7351ac39de</t>
  </si>
  <si>
    <t>b73297d7-307e-4093-ada9-230d00147065</t>
  </si>
  <si>
    <t>0236dc92-74ec-4d7a-af20-ce8a355abee3</t>
  </si>
  <si>
    <t>72c7480c-4fd8-4b46-a648-faaa09a3c5f8</t>
  </si>
  <si>
    <t>0e0ea588-747d-4022-9bc2-d13bff9f9055</t>
  </si>
  <si>
    <t>c7242186-362c-4650-aa1a-424c20874742</t>
  </si>
  <si>
    <t>61068fa7-6c41-4ed3-8c1e-73d01cc824dc</t>
  </si>
  <si>
    <t>32dab443-92e2-499c-b6ff-61d50fd02f69</t>
  </si>
  <si>
    <t>7014232e-4ea3-45c7-b0f2-72a9c2a70cb6</t>
  </si>
  <si>
    <t>4cf4d305-2666-44f4-bfb8-31436a6ab14a</t>
  </si>
  <si>
    <t>ce7f49f3-74d5-4228-893e-2917642d704a</t>
  </si>
  <si>
    <t>480d5b5f-bc8e-4cd8-819b-8609b52e71dc</t>
  </si>
  <si>
    <t>93d7a5e6-a8cb-4e66-a36e-622b405cea58</t>
  </si>
  <si>
    <t>1357740d-b29e-4393-ad73-63e64dde8e7a</t>
  </si>
  <si>
    <t>c542bd03-c6b7-4515-96f9-60b05335b87b</t>
  </si>
  <si>
    <t>4f8bd2b0-25c1-4eb0-a4ba-b04820955f6f</t>
  </si>
  <si>
    <t>19f18675-4c45-4ae2-b6f5-2bb40af281ae</t>
  </si>
  <si>
    <t>a2485da4-6125-4a35-b6ff-c56eb2effa30</t>
  </si>
  <si>
    <t>6ed830d6-5140-446b-b4de-caeed02248d5</t>
  </si>
  <si>
    <t>dc6c2aa8-889b-4f03-bda0-c53b3dac9049</t>
  </si>
  <si>
    <t>8060677f-68da-45b5-b4e3-7c80e2ac90d0</t>
  </si>
  <si>
    <t>c4ba0a86-c03b-4a8b-bc8a-cdbe29201200</t>
  </si>
  <si>
    <t>163c99f7-b60d-4963-bcff-df800e14fd6e</t>
  </si>
  <si>
    <t>5821d287-537f-42a7-a392-9d4f8f24517a</t>
  </si>
  <si>
    <t>1b224c98-4632-42bb-90eb-b5ce8c080096</t>
  </si>
  <si>
    <t>b7475c76-0778-4f1a-848b-aa4f48cc4222</t>
  </si>
  <si>
    <t>cbea36c4-2742-48af-aca0-11a1db7d3b97</t>
  </si>
  <si>
    <t>334ee2bf-c5c4-4cbd-a9af-b6d824719c0b</t>
  </si>
  <si>
    <t>9dcc585f-5171-4010-8ad9-f05f48859aa9</t>
  </si>
  <si>
    <t>861c5079-03b1-4ecf-97f8-046f4b4f72c5</t>
  </si>
  <si>
    <t>761393c0-0ba7-4217-b45b-82cbc924b53e</t>
  </si>
  <si>
    <t>5cb1b05c-bff2-4ad6-8199-9d90be524d47</t>
  </si>
  <si>
    <t>a992fa42-72f0-4577-9464-bb27380490d6</t>
  </si>
  <si>
    <t>0042f32f-f7e5-4f32-acea-ac5a9bea76e4</t>
  </si>
  <si>
    <t>40a6b8c7-9c36-43e4-b5a4-5f21ae658acc</t>
  </si>
  <si>
    <t>5819554f-51fe-45a7-84e3-0b2cb37fa87a</t>
  </si>
  <si>
    <t>c074520b-c2ec-4efa-9678-f79bca44ca20</t>
  </si>
  <si>
    <t>800b910e-2844-4bdf-abb6-53c1c46b12c1</t>
  </si>
  <si>
    <t>d191000c-4b55-4071-90e1-5f2765ac4f2d</t>
  </si>
  <si>
    <t>680af3cf-948b-4069-a2d1-03a90a9640ea</t>
  </si>
  <si>
    <t>da30cdfb-86fe-4b54-8fc2-fb42fa9c5d3e</t>
  </si>
  <si>
    <t>69568c3f-1cb8-440b-be1d-cbf7f1e9558f</t>
  </si>
  <si>
    <t>84457ae9-5a06-49af-a5b8-b90081daa82a</t>
  </si>
  <si>
    <t>380d1a10-7993-4530-a49b-d0bccf24cd9e</t>
  </si>
  <si>
    <t>d55a95c2-f19a-494c-a85c-9eb6554421b7</t>
  </si>
  <si>
    <t>b3ca1b8b-e73c-441a-a26c-911037d03758</t>
  </si>
  <si>
    <t>26983fe4-a901-49c6-b09b-0d4583096632</t>
  </si>
  <si>
    <t>c5d98631-3336-4813-8416-321af633f728</t>
  </si>
  <si>
    <t>ca59b878-608d-47a6-aeb2-d1386a7fcd2f</t>
  </si>
  <si>
    <t>45ba5030-067f-4c36-9466-a2285b07c7d2</t>
  </si>
  <si>
    <t>3418b68f-ffa2-4cc0-a690-85a701b0eb2f</t>
  </si>
  <si>
    <t>17b7860e-b9c6-4235-9107-7b529d6fdd53</t>
  </si>
  <si>
    <t>4457b207-3364-4838-b7ee-7fb10080fad9</t>
  </si>
  <si>
    <t>82dcd53b-65b5-40e6-abeb-e6768c1446b2</t>
  </si>
  <si>
    <t>e6f618d2-ed96-4d5e-8afe-f956e035e465</t>
  </si>
  <si>
    <t>f632703f-cb95-44b5-b1a8-373400cf585b</t>
  </si>
  <si>
    <t>e9f77916-eb2e-48e7-95a0-ad9b53fcbc3c</t>
  </si>
  <si>
    <t>39f1de72-51ed-4f1a-ad41-10e2a5f275a6</t>
  </si>
  <si>
    <t>1ed25e99-a7e8-4483-bcc3-6c99505a83ba</t>
  </si>
  <si>
    <t>987e9e53-da41-4664-8596-cf0adf71a29c</t>
  </si>
  <si>
    <t>4bf0101a-3d80-4be8-a8a2-8d84d6afe69f</t>
  </si>
  <si>
    <t>fb56dcc3-d703-4f00-9a8a-3856c70d4f2b</t>
  </si>
  <si>
    <t>a39467d7-a82c-4856-b0a7-920289566c03</t>
  </si>
  <si>
    <t>d7ea94bc-b457-4b4f-9374-229144c7ada6</t>
  </si>
  <si>
    <t>b09a353a-f2bd-48b5-ab7e-470a10416b26</t>
  </si>
  <si>
    <t>2919a1ce-0fc3-4a14-ba9e-1d5fe15f165f</t>
  </si>
  <si>
    <t>185ec1e0-1131-4b5d-802a-240d0d29b296</t>
  </si>
  <si>
    <t>317abd71-4f79-47c0-ac89-a593dafec7b5</t>
  </si>
  <si>
    <t>3e8fee2f-2d2d-4d4e-8d4a-e8bdf431215d</t>
  </si>
  <si>
    <t>3566a001-0110-4efe-b603-70da80c1858d</t>
  </si>
  <si>
    <t>daaeff21-5d64-4560-9574-7cd47960e6ea</t>
  </si>
  <si>
    <t>b03f960d-3e54-4f83-9408-5f39b5ba626c</t>
  </si>
  <si>
    <t>8a3ab47f-05ce-400e-86a9-2ad5a29d6e40</t>
  </si>
  <si>
    <t>dbedb199-cc64-4191-a61d-7508980edc13</t>
  </si>
  <si>
    <t>6e82707f-13e8-41ea-bc11-f710c2a4d23e</t>
  </si>
  <si>
    <t>94ad6e90-59c7-4686-abae-0ec126e9ecdf</t>
  </si>
  <si>
    <t>9f084888-9c2c-41cc-a7d4-1a4df2e1fc7d</t>
  </si>
  <si>
    <t>99cbc6ad-968b-480a-90c5-25ed9e29722a</t>
  </si>
  <si>
    <t>df3c84db-0cdc-4bfd-b0f2-14e996e14403</t>
  </si>
  <si>
    <t>ac1f1bae-fbbb-424f-b177-fbb79754e56c</t>
  </si>
  <si>
    <t>cfb1085a-e4b8-4ad6-8a00-d2cedb303f27</t>
  </si>
  <si>
    <t>6ffec655-785a-43b2-bcfd-e20969136c4f</t>
  </si>
  <si>
    <t>360098f7-6845-4e57-b3a6-027af6c8939a</t>
  </si>
  <si>
    <t>106d0859-5239-4e2c-b512-1722f3532222</t>
  </si>
  <si>
    <t>9af95bd3-f86f-4654-903f-5b96598a7ada</t>
  </si>
  <si>
    <t>531fb22d-fc40-45f1-8ac6-fafe46d602aa</t>
  </si>
  <si>
    <t>7d4c1dd8-34b9-4e40-b4b8-88b5d72e5452</t>
  </si>
  <si>
    <t>302cbe77-493a-4d56-8610-1b30ab71d4bf</t>
  </si>
  <si>
    <t>f3938a5c-be9b-46d6-a332-324f3400edc0</t>
  </si>
  <si>
    <t>cf6f81ea-e23d-489d-a33d-59b61e1bfa18</t>
  </si>
  <si>
    <t>68db78a0-5a70-40f6-a5ee-a9192608443d</t>
  </si>
  <si>
    <t>eec480f9-907d-4bc4-b118-adc048d192ff</t>
  </si>
  <si>
    <t>447b6f46-baa6-4c06-b8a0-e5f9030be35c</t>
  </si>
  <si>
    <t>ea862cc9-c729-42ea-9daa-84777195e94d</t>
  </si>
  <si>
    <t>b6ae597a-85df-4dc4-a997-cfecccae3c31</t>
  </si>
  <si>
    <t>69159dac-0ff7-4837-8847-1eaa9b4bf502</t>
  </si>
  <si>
    <t>5e434067-b07f-4172-a19e-988b539c66ec</t>
  </si>
  <si>
    <t>90e39f31-817d-4c93-870a-575b3aabba07</t>
  </si>
  <si>
    <t>966cda4c-eaed-4eec-844b-f78e5df4e023</t>
  </si>
  <si>
    <t>d2357c5d-67a2-4bb7-93cb-901ed379393c</t>
  </si>
  <si>
    <t>f9fbb2c9-6576-4924-8386-9978bf8097c9</t>
  </si>
  <si>
    <t>679d9130-dd57-4beb-9ea1-cb4da4c30715</t>
  </si>
  <si>
    <t>6bf2bf4f-d8c1-47ec-ab72-3b53d7ede7d6</t>
  </si>
  <si>
    <t>06740579-c378-46cb-aa89-ea3563fcc252</t>
  </si>
  <si>
    <t>a93ea2bb-a734-4ae6-8092-ea27257feff2</t>
  </si>
  <si>
    <t>106b86c4-72f6-4097-b653-080a0a500484</t>
  </si>
  <si>
    <t>e77fdc69-c016-4b2f-8099-774df8b5109f</t>
  </si>
  <si>
    <t>5a28a26a-f058-4dd9-965e-26e9386111c2</t>
  </si>
  <si>
    <t>9d478771-fdd9-474d-8a22-8142ef6fa7d2</t>
  </si>
  <si>
    <t>71c8121f-df99-4553-8924-69fc0cbde96f</t>
  </si>
  <si>
    <t>e7bf2fb6-8383-4775-9da3-13c2d9da4865</t>
  </si>
  <si>
    <t>ec3d5fef-e05b-4d6e-828d-7459266d49e7</t>
  </si>
  <si>
    <t>d9ae9497-552c-4bf3-9f4f-84190c4f351d</t>
  </si>
  <si>
    <t>23ee1f59-d84c-41af-a188-bd89d0a92047</t>
  </si>
  <si>
    <t>21d7b9e0-9ab4-46b5-8f21-908640066ce0</t>
  </si>
  <si>
    <t>d8d06434-eaf9-4493-80b1-aa130ca5fb8d</t>
  </si>
  <si>
    <t>4a27a972-7a6b-4ab4-ba1e-da7d2cfafdda</t>
  </si>
  <si>
    <t>8f927ec5-0513-44b8-a1f1-2af0ccdc0f3c</t>
  </si>
  <si>
    <t>0109ae61-7b49-4b44-87af-19f9aa930601</t>
  </si>
  <si>
    <t>fcdc495c-c84c-4e13-97f4-b14c843858ce</t>
  </si>
  <si>
    <t>dc6dfc51-7586-4a67-8ecd-4c6951a427d3</t>
  </si>
  <si>
    <t>10a56417-ac95-46bf-ad99-fe0c3d1ce656</t>
  </si>
  <si>
    <t>dc80acd0-56f0-4378-a626-30b1abcd00f2</t>
  </si>
  <si>
    <t>425d74fc-f8d0-4ed4-88d9-37bf2f4e00f4</t>
  </si>
  <si>
    <t>bf7ff95c-1c77-4e7e-ad4f-89be49a1a673</t>
  </si>
  <si>
    <t>9515a3d6-666b-4471-936e-929a2caf19b5</t>
  </si>
  <si>
    <t>8db253eb-9b32-4453-81ce-b1eb5c98bf8a</t>
  </si>
  <si>
    <t>83e65770-8008-458a-ad45-e489c276f46b</t>
  </si>
  <si>
    <t>627e6b4a-07de-4bbc-813f-db17a5c2f667</t>
  </si>
  <si>
    <t>a9d97d6b-41c5-4888-b011-22233e73649b</t>
  </si>
  <si>
    <t>b6d51a79-bcc8-4b04-a04c-7164056d055d</t>
  </si>
  <si>
    <t>dd8f6b81-040a-461a-8d9e-b834e89a021d</t>
  </si>
  <si>
    <t>0b2a8924-6161-46c8-aa96-4f9adf3fc639</t>
  </si>
  <si>
    <t>280492cd-c153-4e0b-a45f-fd0d9e470daa</t>
  </si>
  <si>
    <t>f3dd82c4-b752-4057-9c7f-3f17127b995a</t>
  </si>
  <si>
    <t>0d37d408-8f73-4200-a536-62b9c28033d4</t>
  </si>
  <si>
    <t>f6ddf0e3-0233-44be-a8d9-096894bfa29e</t>
  </si>
  <si>
    <t>c7de82c3-e9cd-4deb-a667-572988e62931</t>
  </si>
  <si>
    <t>8d61674f-de1e-4861-b793-72f5b47626d3</t>
  </si>
  <si>
    <t>bc4a8a8a-e5e6-48fb-be24-02412fe3f287</t>
  </si>
  <si>
    <t>028b76a2-0ffa-467a-8215-6447c0da0821</t>
  </si>
  <si>
    <t>ff262d84-a411-4b75-b6ea-3a84ee5c080a</t>
  </si>
  <si>
    <t>43c5e236-07e0-49bf-a60b-a780485966a7</t>
  </si>
  <si>
    <t>95c24892-2a19-439e-9ac3-323070a768fd</t>
  </si>
  <si>
    <t>002228ff-2387-4e34-b3f7-297d380611d5</t>
  </si>
  <si>
    <t>44773067-f3b6-45b6-8b11-d80114f51e88</t>
  </si>
  <si>
    <t>e9fa32e6-396e-4320-9ecd-b082b33ec2c2</t>
  </si>
  <si>
    <t>782e9961-6740-475a-979a-9448a5122f3e</t>
  </si>
  <si>
    <t>95fc3a6e-fa32-4295-9adf-021ffbac7ead</t>
  </si>
  <si>
    <t>5af5764a-81d6-4ab8-9d0e-f4abd24c27e2</t>
  </si>
  <si>
    <t>0f75f8ab-5d25-45c8-bf2a-23122c37cd14</t>
  </si>
  <si>
    <t>8951a93a-92ab-47af-b91d-ac6da276af9a</t>
  </si>
  <si>
    <t>058d0291-dc57-42ae-9f29-7fbc090a010e</t>
  </si>
  <si>
    <t>df9cead8-9f81-4763-8f7c-69d2dbf39a68</t>
  </si>
  <si>
    <t>673f9e4d-3726-481d-9a8b-d798d6f85f5a</t>
  </si>
  <si>
    <t>931f3130-d6a6-4b20-9e90-afd1f3cb4437</t>
  </si>
  <si>
    <t>fa5cc8a0-c17d-4ac2-8423-1ce1f7e61197</t>
  </si>
  <si>
    <t>1aeb4a6e-f905-4510-9d36-a59da8b4f3e0</t>
  </si>
  <si>
    <t>e2f3d13c-4672-4164-a457-238d0575e65e</t>
  </si>
  <si>
    <t>7a4cbb97-c2bc-4d03-95ae-94e56b8b7faf</t>
  </si>
  <si>
    <t>340176a5-e1da-4859-a0a5-1c24021dfda1</t>
  </si>
  <si>
    <t>082af98c-3b27-4a16-b701-116d358855ce</t>
  </si>
  <si>
    <t>5b39f631-1fcd-41ca-b5b7-db8b419a8f31</t>
  </si>
  <si>
    <t>e2d6da01-97eb-40c2-8438-366dca0fe555</t>
  </si>
  <si>
    <t>550059e1-ddcf-4116-9e8e-36d255f30c09</t>
  </si>
  <si>
    <t>4cd7ffca-1f1c-4fdc-92a4-50a14a174e38</t>
  </si>
  <si>
    <t>60a93da1-7aae-459e-a0d2-1d00b98104c7</t>
  </si>
  <si>
    <t>92a5661b-983d-41f7-bd52-0791fff9146b</t>
  </si>
  <si>
    <t>7f79f087-204c-4fe8-b934-90f3efed10b6</t>
  </si>
  <si>
    <t>fdb9895b-0d1d-4036-83b8-da7e6758136a</t>
  </si>
  <si>
    <t>b3dba276-0a08-4ca3-9a1a-57db56b72ce3</t>
  </si>
  <si>
    <t>b952aca6-d854-438e-b610-474d6de86264</t>
  </si>
  <si>
    <t>9e447b95-6b5e-4633-8914-da3dc7bddb72</t>
  </si>
  <si>
    <t>1277ae6e-ceb9-4477-99a8-f2fc38850a49</t>
  </si>
  <si>
    <t>59e51780-3e07-434b-8119-5607294cd9c3</t>
  </si>
  <si>
    <t>1cf5f9fa-0d05-4425-89ce-f4d64b3e5918</t>
  </si>
  <si>
    <t>b6456d05-0b58-466f-8f3b-a2b3148eaa22</t>
  </si>
  <si>
    <t>61ecc2c2-3573-4e4a-8b0f-09464ed6338a</t>
  </si>
  <si>
    <t>142edb74-125f-4a75-9445-8f6008aa0522</t>
  </si>
  <si>
    <t>26b73446-ca49-4a82-a8d0-a65704bc25c1</t>
  </si>
  <si>
    <t>934c73b3-d00a-4fef-a976-0c32d931a0bd</t>
  </si>
  <si>
    <t>1b62035c-dfc6-486c-8e0a-68148a842d75</t>
  </si>
  <si>
    <t>aaba2bf0-7561-4ba1-9d65-74f7996f401b</t>
  </si>
  <si>
    <t>271152ea-757c-4477-bf63-bd083fcb57a1</t>
  </si>
  <si>
    <t>e9df1e7b-ae78-4029-a840-5322be252159</t>
  </si>
  <si>
    <t>843603c8-28d0-4b57-8935-c32315bc9ea8</t>
  </si>
  <si>
    <t>6ab820e1-b783-4661-bfff-cb64bde725e7</t>
  </si>
  <si>
    <t>9bff7a02-b47e-426a-bc28-6df53af1f75b</t>
  </si>
  <si>
    <t>6b1de7f3-e274-4cf5-8c08-3d49fb057211</t>
  </si>
  <si>
    <t>1c143281-5dbf-40fe-9387-a56475c71dbd</t>
  </si>
  <si>
    <t>3967f73d-fb47-48cf-9f1c-4115ff378f0a</t>
  </si>
  <si>
    <t>c1e1a721-c43c-475a-9d2b-bc3c293f4196</t>
  </si>
  <si>
    <t>0102f9d9-cb56-4b11-9dbb-cf6e3098ae91</t>
  </si>
  <si>
    <t>5363837d-9598-4862-9409-7ed4ef3f2518</t>
  </si>
  <si>
    <t>75b4b30d-146d-4d84-a4a8-a735dbacc1f9</t>
  </si>
  <si>
    <t>cc710d56-50b1-4ff5-ab49-cdbb4f6cb255</t>
  </si>
  <si>
    <t>c7bf3bb4-35dc-4627-abda-cf9f7c4f960c</t>
  </si>
  <si>
    <t>2d916c53-8838-4fd3-b27a-2b19512993f4</t>
  </si>
  <si>
    <t>5ee9e6f1-5f6a-4ad6-bc47-3fb7f622abbd</t>
  </si>
  <si>
    <t>a05ca2d8-2add-4648-b0cb-2725e35fd6f5</t>
  </si>
  <si>
    <t>3a5f0cdb-12b8-458f-bcb9-3d0af9a16da5</t>
  </si>
  <si>
    <t>4343083a-c11c-4993-bc5c-6163ae071ae2</t>
  </si>
  <si>
    <t>2c71f1b0-5690-4e45-9130-d9bb075d1591</t>
  </si>
  <si>
    <t>3c31a198-851e-4fc5-a649-472d3e88e82c</t>
  </si>
  <si>
    <t>b87826ef-54b2-4d49-96f5-b8d2b24861d6</t>
  </si>
  <si>
    <t>47a4d316-e697-416c-b116-ff03de0aed19</t>
  </si>
  <si>
    <t>a7ec5936-94e2-4ba6-af5d-aa6dbfa1502c</t>
  </si>
  <si>
    <t>d08357cb-ab16-4bde-8ba9-c35f31f2f28f</t>
  </si>
  <si>
    <t>c06e70fb-75c4-4690-b8f8-167953ca86da</t>
  </si>
  <si>
    <t>7f197166-3751-422a-b64e-d8fc5d768540</t>
  </si>
  <si>
    <t>39c96505-1505-4fc4-a069-2b77c2ebfdaf</t>
  </si>
  <si>
    <t>4e3f6bcb-ffe7-4875-9dbf-56254eed0df4</t>
  </si>
  <si>
    <t>390663c8-6331-4d5d-97c8-26403ef4b3fa</t>
  </si>
  <si>
    <t>76ac07a9-1198-4c4f-aba8-08655fe1d34d</t>
  </si>
  <si>
    <t>d85c4b88-86c9-40d0-8ece-a9f09bc1384d</t>
  </si>
  <si>
    <t>44ff22de-3ce0-48d6-a7ef-8cbf9afe9960</t>
  </si>
  <si>
    <t>6bb143da-76af-4cf9-8de8-12d4ebd12c18</t>
  </si>
  <si>
    <t>1034f16d-85b9-4ae6-ba03-5e30018e3ce4</t>
  </si>
  <si>
    <t>64bc5fdd-f209-4ef3-9b26-34fba3cc3bf8</t>
  </si>
  <si>
    <t>4036237d-3a1d-4786-aa12-6f45d5ea0237</t>
  </si>
  <si>
    <t>54d0e293-9832-42dc-8037-d4dcd3739115</t>
  </si>
  <si>
    <t>c97d8bf8-c4ae-403a-862d-2a127cdbdf9d</t>
  </si>
  <si>
    <t>2db35c2c-d538-40be-8433-d2322941ae16</t>
  </si>
  <si>
    <t>c652f328-0e90-4b09-a3c1-0ed7b80ce964</t>
  </si>
  <si>
    <t>5e2d575e-718b-4822-9a0b-9a01396fdbe5</t>
  </si>
  <si>
    <t>3940a760-d9ab-46a5-96c3-a7c2f0a21b0e</t>
  </si>
  <si>
    <t>6352f262-239b-47a3-b56c-60e25ffa5e80</t>
  </si>
  <si>
    <t>acdefaaf-0137-4aee-98f7-6fafd4b6d6a4</t>
  </si>
  <si>
    <t>ec1af6ea-32cf-45f8-b8de-3f4b63f74989</t>
  </si>
  <si>
    <t>b5b1d996-7a2d-4124-9e1d-b5b7de8ccb3c</t>
  </si>
  <si>
    <t>7fca6792-7917-428b-8ea4-9241eb95ff20</t>
  </si>
  <si>
    <t>258103c3-a7ee-400b-a1e3-5485ef0063b0</t>
  </si>
  <si>
    <t>f7af4286-cd8d-492d-b47d-5ccd153d874e</t>
  </si>
  <si>
    <t>c525b543-ca81-4dbe-a475-b2817a8a2603</t>
  </si>
  <si>
    <t>2a543dbc-78ba-4ba1-a5ca-f9eda9bbbd46</t>
  </si>
  <si>
    <t>91e94c82-c1ee-4ae8-bf42-432d94a593d1</t>
  </si>
  <si>
    <t>d495b618-6987-4b77-8217-8fd3c9611b05</t>
  </si>
  <si>
    <t>322c5fe2-0155-428d-b444-2545e310eda5</t>
  </si>
  <si>
    <t>691298f5-8d6f-435f-9d0c-27d308e24d17</t>
  </si>
  <si>
    <t>4b28ac4f-b1ab-4a0f-881e-1b14832037ea</t>
  </si>
  <si>
    <t>58c4132c-8569-4246-b362-f8f55660d731</t>
  </si>
  <si>
    <t>bf6ecc9a-93c3-4475-99d4-4fa9d1d8145c</t>
  </si>
  <si>
    <t>df5ce055-69ed-46a1-8480-344b076b51b6</t>
  </si>
  <si>
    <t>461df1d8-34bc-4f18-9ab8-30eaa473d6ab</t>
  </si>
  <si>
    <t>92b7bb34-9498-4052-9415-168f3a28c2a3</t>
  </si>
  <si>
    <t>0e298982-46db-40a0-99e4-8bece4766593</t>
  </si>
  <si>
    <t>a863e39a-d763-44e0-9b93-9dfdb2bc0bbf</t>
  </si>
  <si>
    <t>31538d8d-b903-4b9c-b089-5bf121ef79b8</t>
  </si>
  <si>
    <t>53b04bf2-dffa-4c30-8309-4b4eabcbcba0</t>
  </si>
  <si>
    <t>b327c913-ce3c-4299-9528-03345d9fadd7</t>
  </si>
  <si>
    <t>9a8f4dab-b136-4101-8604-291831a4818f</t>
  </si>
  <si>
    <t>0c140fd1-0385-4874-8756-e7132e9f0796</t>
  </si>
  <si>
    <t>536f0118-88ab-4666-b640-fda390c7db3d</t>
  </si>
  <si>
    <t>1a871e64-67db-4784-aec8-437fbdb60d87</t>
  </si>
  <si>
    <t>ffdcb46c-1abd-42f1-826f-8368048de5c1</t>
  </si>
  <si>
    <t>eff639bb-d2c3-43f7-9b96-a18b071182f1</t>
  </si>
  <si>
    <t>cbb8184c-45ba-4c3b-bbef-9221850099d7</t>
  </si>
  <si>
    <t>24befd8b-01fa-4237-9c87-ae1c5d4e7184</t>
  </si>
  <si>
    <t>605cd945-77fd-443d-bf47-507665e89d9d</t>
  </si>
  <si>
    <t>02a5f933-eaf3-4ff6-9c76-db78e718818e</t>
  </si>
  <si>
    <t>d0a04f3e-fe96-445e-94fd-96fc4a569280</t>
  </si>
  <si>
    <t>984f90fa-cc01-45f2-b1b4-fbd65c878cfb</t>
  </si>
  <si>
    <t>a5bb3aeb-d317-430f-b375-414f1d504229</t>
  </si>
  <si>
    <t>751eec43-8c61-4f7d-b91a-d1460110e76f</t>
  </si>
  <si>
    <t>e7ca2f3a-a37f-4abc-8253-9e63cbabea9c</t>
  </si>
  <si>
    <t>e069465c-365d-477c-a800-143209df6642</t>
  </si>
  <si>
    <t>4d72b112-2cdf-4feb-af44-35c5ee77a59c</t>
  </si>
  <si>
    <t>bcb1fa24-6461-47b2-bbb3-d73e67267667</t>
  </si>
  <si>
    <t>3d8775fb-fd3f-4cbb-a598-2e9bd923bf64</t>
  </si>
  <si>
    <t>ce334b28-1720-4f17-9f7b-7cc26afebdc4</t>
  </si>
  <si>
    <t>9ef01bcf-4340-4fe3-8bf0-4af789dfef28</t>
  </si>
  <si>
    <t>ac53fce1-c1a3-4611-934b-ba0f1f910d71</t>
  </si>
  <si>
    <t>4d4d03cd-f5ef-4e78-bcc6-a2fbb7f248a0</t>
  </si>
  <si>
    <t>c71c9e3a-9715-40ff-adf6-1f24f38527eb</t>
  </si>
  <si>
    <t>b2fca481-3969-46bf-b467-3a3f265fbbdb</t>
  </si>
  <si>
    <t>f780b2e8-175e-4769-931c-90a3f58356e8</t>
  </si>
  <si>
    <t>c66d11dd-fdb9-48b8-ad95-8872f0e8d43a</t>
  </si>
  <si>
    <t>78bc45b6-6c82-4414-a486-bb8c637e7054</t>
  </si>
  <si>
    <t>eba8bbe2-4b8c-4194-b70b-5f71017156eb</t>
  </si>
  <si>
    <t>dd3a51dc-1c56-4e9e-9cbc-c975cfa15ad5</t>
  </si>
  <si>
    <t>3da705dd-5023-4f4a-8197-8ecc25824f16</t>
  </si>
  <si>
    <t>186e650b-81bf-4158-ba08-d95fbb52674c</t>
  </si>
  <si>
    <t>1bbee7d3-5468-4de4-926d-704dc7cf7bc2</t>
  </si>
  <si>
    <t>1208596e-be25-4b00-a7b2-98394ca35e2f</t>
  </si>
  <si>
    <t>6618c046-74fc-4b20-a668-3d7ae7df0f3f</t>
  </si>
  <si>
    <t>2c75f0e8-6ecc-4732-b9d7-a57d41f28cd3</t>
  </si>
  <si>
    <t>7ff815c3-b21b-4ed0-9bcc-fc155a082e21</t>
  </si>
  <si>
    <t>9e25ba48-300b-4284-b128-503132f96011</t>
  </si>
  <si>
    <t>aeb3f081-3072-4356-8807-f6df1969526c</t>
  </si>
  <si>
    <t>a8b9f7dc-12d0-44bb-94ab-9f2aefd13cba</t>
  </si>
  <si>
    <t>aa913c6f-aadd-413a-b577-5065c13365ec</t>
  </si>
  <si>
    <t>1b57f2fc-8c01-4e6e-ad8c-ba8fef344142</t>
  </si>
  <si>
    <t>b7bb823e-4b31-47be-a5a9-c92520a5adc3</t>
  </si>
  <si>
    <t>b2bf7597-b138-4723-b3d0-389e05c999b5</t>
  </si>
  <si>
    <t>97ffb73d-8da3-407b-b0db-396a0bdd0b6e</t>
  </si>
  <si>
    <t>3ce276a6-8bf0-48db-975a-8c027a9f0a68</t>
  </si>
  <si>
    <t>4b59f185-de9b-4dd5-b5a0-be73ec9feb9e</t>
  </si>
  <si>
    <t>beb5b48d-1173-45d5-9cd7-8f076c8d2c6a</t>
  </si>
  <si>
    <t>ff02c32f-be70-4ca1-93e1-844b5730c71f</t>
  </si>
  <si>
    <t>596053bb-9079-4084-a02e-654dcc068526</t>
  </si>
  <si>
    <t>bcf003c2-1ebf-4bf5-a4f8-80aa3667ebc7</t>
  </si>
  <si>
    <t>f3e6a195-4d60-4220-9db3-44dbdb3c1ed6</t>
  </si>
  <si>
    <t>628ee866-dcc2-4d9f-af11-af6f2a3d01ca</t>
  </si>
  <si>
    <t>3341650b-094b-4a32-9020-00133e8817b8</t>
  </si>
  <si>
    <t>ff96bf3d-1e90-4832-9fa9-bb04efbea041</t>
  </si>
  <si>
    <t>4c091b8e-4647-4c28-8c8a-b490e578e7ae</t>
  </si>
  <si>
    <t>0605b586-36de-4d2b-a2e5-41f2c07f22d1</t>
  </si>
  <si>
    <t>d0f3df80-fe7e-4225-9ad8-9548209c2160</t>
  </si>
  <si>
    <t>83bc862a-a520-46b7-ba87-62ee5e789e3a</t>
  </si>
  <si>
    <t>0e7dfeb2-9c66-49d7-9b72-8e363c3a82c3</t>
  </si>
  <si>
    <t>30c30d8a-8038-423f-a4f8-a5c016e2cb9c</t>
  </si>
  <si>
    <t>ddc25cd2-3f2f-4350-86f4-e2bc560deea2</t>
  </si>
  <si>
    <t>fe480e9a-bf80-49d3-97bf-67f5f4a43d5d</t>
  </si>
  <si>
    <t>9e4b3cb5-9f87-4078-8f98-60fc662a34fa</t>
  </si>
  <si>
    <t>76935f61-ba6f-419a-81d5-e63bcb85277d</t>
  </si>
  <si>
    <t>f0ed6684-ad73-4b17-a857-13ff6a280270</t>
  </si>
  <si>
    <t>269b0277-5888-4c31-a444-9b55824c6cf2</t>
  </si>
  <si>
    <t>1532939b-6830-4a19-b144-8095415ae663</t>
  </si>
  <si>
    <t>5c1b80e6-9661-4247-a3c8-d20b7a50ebec</t>
  </si>
  <si>
    <t>2c3d849a-8ac3-4c8e-9816-af5213ff3395</t>
  </si>
  <si>
    <t>b5d7fcb6-63cb-46c2-b980-e1de3ae8b441</t>
  </si>
  <si>
    <t>c6265054-18e6-484b-8310-d53f215c14dc</t>
  </si>
  <si>
    <t>5949ff30-b6d4-465c-88eb-63927b17774f</t>
  </si>
  <si>
    <t>bbdd684e-3c5d-45fd-8366-6cdc97a3dd15</t>
  </si>
  <si>
    <t>a736ce7e-841f-4a5e-93eb-be6ec3ca9350</t>
  </si>
  <si>
    <t>ef250c74-a799-40d4-b979-2622d11e5c05</t>
  </si>
  <si>
    <t>82fd5ddb-0d59-45b4-ae9f-236c1395215b</t>
  </si>
  <si>
    <t>4ec3a2f6-a922-4565-b370-4b1b6df69ee7</t>
  </si>
  <si>
    <t>31aac289-265d-4046-9e9b-d391e3f5578a</t>
  </si>
  <si>
    <t>3dc16f2e-e6fe-44f0-8238-3a04d723b01a</t>
  </si>
  <si>
    <t>29abf2d5-fff3-4f1b-956f-cc7042dc1e5f</t>
  </si>
  <si>
    <t>146d4a83-958f-42e8-8d86-67c2781f5d2e</t>
  </si>
  <si>
    <t>d4532d73-8ada-4c23-a70d-9599b0360f29</t>
  </si>
  <si>
    <t>c372f933-53c3-46e9-97cf-4779d37c84c7</t>
  </si>
  <si>
    <t>7cecea6b-ad5d-4e68-81a8-6785b234cfe0</t>
  </si>
  <si>
    <t>f2e3dc00-8f8a-46ef-90b9-c630960cdd7f</t>
  </si>
  <si>
    <t>4508b978-b45f-413f-ba82-afe5655c3657</t>
  </si>
  <si>
    <t>1f2d1bb6-7db9-413c-b9b6-b1ac70752110</t>
  </si>
  <si>
    <t>7cae7b5c-ebdc-4354-b06d-b3331e1d1ea5</t>
  </si>
  <si>
    <t>ec74f957-78d1-4d44-bad5-9685af3ed69a</t>
  </si>
  <si>
    <t>a01eae63-128d-4dc8-a2f4-156064a076ba</t>
  </si>
  <si>
    <t>8aceeb63-c8eb-46cc-b95d-cf077c90540c</t>
  </si>
  <si>
    <t>3418f23a-ac41-49e7-8d54-51c05f5ee595</t>
  </si>
  <si>
    <t>d5dbd422-2dac-49eb-923f-af54602bb80c</t>
  </si>
  <si>
    <t>31e8da7c-ab53-4fff-baf4-680a49f61adc</t>
  </si>
  <si>
    <t>95553a31-a7f1-4924-b27b-7ee800c2bf26</t>
  </si>
  <si>
    <t>d9552c9e-e811-40d0-95eb-4a9b4c73b100</t>
  </si>
  <si>
    <t>ad76eb89-4fc2-4e07-8595-d91eb2f5df8a</t>
  </si>
  <si>
    <t>1d698bca-f5a9-4f36-8746-9411c527a3e3</t>
  </si>
  <si>
    <t>b1936054-ceac-4313-874d-a1e25a6e8655</t>
  </si>
  <si>
    <t>04ddc3d4-515d-464b-a38e-0d971fbbce7a</t>
  </si>
  <si>
    <t>740a066b-4cc9-4d55-ac59-a7a52bba54a3</t>
  </si>
  <si>
    <t>b7ef5879-8cf9-40df-8d23-e1ff7b1dec5e</t>
  </si>
  <si>
    <t>c03ba066-f882-4352-91a7-f9d8394e0417</t>
  </si>
  <si>
    <t>a280af8c-0b86-4f9a-90c3-a54b482f88cf</t>
  </si>
  <si>
    <t>bc1579a5-9a31-425c-a00d-f32560511c44</t>
  </si>
  <si>
    <t>f4d059c3-bfc0-43dd-aa67-16f15b8cc7fc</t>
  </si>
  <si>
    <t>c0571fc1-54d3-43be-aa4c-f863940a3846</t>
  </si>
  <si>
    <t>0e1afa97-29c8-4830-8331-63c6e7f98e37</t>
  </si>
  <si>
    <t>4be514e7-bf76-4d95-b9d5-56a8d0856815</t>
  </si>
  <si>
    <t>d01c1440-46b3-4b75-90c7-f01ec9a74392</t>
  </si>
  <si>
    <t>04b9252b-f18c-4b0e-8ada-0a3b2c30aa0b</t>
  </si>
  <si>
    <t>b3cc157b-f271-462d-89e5-090a0392a132</t>
  </si>
  <si>
    <t>223d2fd2-acfd-45bb-8bb7-b70bfe9271f0</t>
  </si>
  <si>
    <t>a0883069-c5c7-44bc-99f2-91bb0d7a6ab5</t>
  </si>
  <si>
    <t>91261550-4b30-4357-a95b-3edd9254a6aa</t>
  </si>
  <si>
    <t>842f83b0-82f9-4f1c-8ff1-a30a7428f4ca</t>
  </si>
  <si>
    <t>f88bdffb-b6da-4bc1-a6d7-0a41d6445f03</t>
  </si>
  <si>
    <t>168377eb-2330-4273-90a0-6f6b3818c965</t>
  </si>
  <si>
    <t>44975eb6-ed84-417f-a43c-fb8fc1d5c4f9</t>
  </si>
  <si>
    <t>4f29b499-4269-4eaf-8704-1023d6aa46e1</t>
  </si>
  <si>
    <t>bf48d907-9be6-40a7-804c-2bda84195674</t>
  </si>
  <si>
    <t>64bf2a94-fdd3-422b-9f0c-00c69f121d59</t>
  </si>
  <si>
    <t>9a326d47-c63b-4221-bf1e-fbd4dcf5a792</t>
  </si>
  <si>
    <t>033034ea-13e9-4d31-87c9-958cf8e25f3d</t>
  </si>
  <si>
    <t>c100729f-07f5-4ead-81e8-5b1817d04b52</t>
  </si>
  <si>
    <t>172e6b1e-f32d-4644-a03b-9f2646b16cb4</t>
  </si>
  <si>
    <t>bd300c66-dd31-4c5a-8068-e8bdb4f58fa8</t>
  </si>
  <si>
    <t>21c7f7d8-321d-4651-914f-71dd8d203f8d</t>
  </si>
  <si>
    <t>0c5cc7a9-be2e-4923-9811-568234c1e4bc</t>
  </si>
  <si>
    <t>adb56a62-f313-4da4-9681-0863962e8d84</t>
  </si>
  <si>
    <t>8a6aceaa-a6bd-4242-8b99-f36655dd7520</t>
  </si>
  <si>
    <t>a007dab7-9e1e-4ecc-b8ec-e42660346486</t>
  </si>
  <si>
    <t>2b3abdf5-6c5a-4e3f-97ff-46ed4d20437f</t>
  </si>
  <si>
    <t>3e513ff0-b50c-43d9-9a22-61ef483c9c7d</t>
  </si>
  <si>
    <t>52883736-300b-4dcf-bf1f-da280daa335d</t>
  </si>
  <si>
    <t>e7e62f64-5dab-4d86-949e-2d62e9984909</t>
  </si>
  <si>
    <t>22c60594-3446-421b-a9f5-e831564387bf</t>
  </si>
  <si>
    <t>e218a3f5-c005-4d9c-86e7-49febc6d273d</t>
  </si>
  <si>
    <t>aa3de1bf-a21e-4c66-881d-6e6d28a5bbd6</t>
  </si>
  <si>
    <t>5bb3d46f-f068-49c7-83be-e785393a75d7</t>
  </si>
  <si>
    <t>84fb7d67-f344-4d9f-8f98-c58de3a125e0</t>
  </si>
  <si>
    <t>d2b4607c-c21b-44a2-9cf7-7cb1808adef9</t>
  </si>
  <si>
    <t>72ea99c3-24a2-474d-a461-9827d05d87ee</t>
  </si>
  <si>
    <t>c17836e0-5b13-4784-ac9d-0b87bb8e18b5</t>
  </si>
  <si>
    <t>d60f9ce5-7d57-456a-8b1b-46a55a198e62</t>
  </si>
  <si>
    <t>21607d82-32c4-4699-a663-f4187e25c34b</t>
  </si>
  <si>
    <t>334a42dd-fa88-4263-a5f5-5989ae2e1878</t>
  </si>
  <si>
    <t>cc5f1872-5b97-4e56-a786-e36e518e12ce</t>
  </si>
  <si>
    <t>48fa0277-a01f-4462-93ce-4dfd41333a20</t>
  </si>
  <si>
    <t>3c6cc812-2747-43f3-a265-79697d764496</t>
  </si>
  <si>
    <t>4961f5ca-1743-4f21-b1fb-22a70700a194</t>
  </si>
  <si>
    <t>0ae26697-269a-4027-b614-a7b64fb57472</t>
  </si>
  <si>
    <t>cd7502a5-948e-4dc9-828a-ad51504df8fa</t>
  </si>
  <si>
    <t>f1bc9bba-ff11-458f-a4d7-a070a1ef43b0</t>
  </si>
  <si>
    <t>36cc1bb1-db1b-4548-859f-f006b01d148c</t>
  </si>
  <si>
    <t>208437ce-69bd-45fb-a187-2a185d8cb463</t>
  </si>
  <si>
    <t>bb017b1f-6e7f-419e-87aa-69b7538b6aa4</t>
  </si>
  <si>
    <t>27aafdab-f722-4916-928a-4333304d4a03</t>
  </si>
  <si>
    <t>ff491b54-311f-4991-b749-83c9929624a7</t>
  </si>
  <si>
    <t>c32e2715-6976-4eb6-a8f2-a6602a1feff3</t>
  </si>
  <si>
    <t>64633d79-184e-4999-a433-eb49dc2f0e31</t>
  </si>
  <si>
    <t>7ba8f01d-fe5a-4416-a8d1-8187be5e81a8</t>
  </si>
  <si>
    <t>20a2b7a8-037b-471d-ba8a-77d2163a4c34</t>
  </si>
  <si>
    <t>d4d58403-e568-4374-9038-b70ad4c6dbe4</t>
  </si>
  <si>
    <t>85427d36-30ea-40d0-9374-01cf49362009</t>
  </si>
  <si>
    <t>afcdd6b9-ad9d-450b-8480-b600fad1b0f1</t>
  </si>
  <si>
    <t>2e6a0d01-1506-45b9-bfdb-216d255052eb</t>
  </si>
  <si>
    <t>5d5c78f0-e7fe-44fa-96b4-25e1243da0ba</t>
  </si>
  <si>
    <t>3f9530f5-0533-4705-aa18-ac341d567730</t>
  </si>
  <si>
    <t>4138d6ec-8b64-4bb4-8889-c371e60ba9c2</t>
  </si>
  <si>
    <t>0e49c83f-d211-4f4e-91b6-399892f1c077</t>
  </si>
  <si>
    <t>7673a703-f542-4b04-828e-9f2d56180d31</t>
  </si>
  <si>
    <t>7a7e4aeb-dab1-4bde-91c2-9613a1b73e03</t>
  </si>
  <si>
    <t>bab462d2-28c4-4b0d-b2ba-f14564014ab1</t>
  </si>
  <si>
    <t>dfcc6da2-9314-4e12-98da-1c04cbfadf3a</t>
  </si>
  <si>
    <t>fa49680a-9c37-4f2d-88e0-bcee6fa5c0ac</t>
  </si>
  <si>
    <t>8591509a-6aca-4a8e-b5e4-3d135de22cf6</t>
  </si>
  <si>
    <t>83816bb5-432d-4a4b-bebf-bcb393f6e97c</t>
  </si>
  <si>
    <t>36fffd96-371f-4e6c-a9ec-0ab214199218</t>
  </si>
  <si>
    <t>8f1ffa93-f8a0-4d89-84b0-10b56b3000cf</t>
  </si>
  <si>
    <t>963f45e7-729c-4f8b-8a10-e6220a25a5a8</t>
  </si>
  <si>
    <t>6b1992e2-8c6e-4aea-b7da-59aea9d4543a</t>
  </si>
  <si>
    <t>16b45201-ec2e-4fdf-8521-6159f1965a53</t>
  </si>
  <si>
    <t>052fae56-c9d6-405a-ac1f-84ee8bea6cae</t>
  </si>
  <si>
    <t>c4c23fd3-3850-43be-a6d9-fb02aa783b6e</t>
  </si>
  <si>
    <t>dd786383-7f19-4deb-bc57-9d330a257ec0</t>
  </si>
  <si>
    <t>1183cb89-8c7b-4f74-8afe-b0a4a2e45e54</t>
  </si>
  <si>
    <t>42f3518b-9c32-498d-8e24-0ca81bac7d99</t>
  </si>
  <si>
    <t>4e9d35f2-2420-4027-a995-b4512b8a34e7</t>
  </si>
  <si>
    <t>699b9e3c-45ae-4631-a041-d6320e24f2eb</t>
  </si>
  <si>
    <t>7f8ce43d-c97d-4490-9e27-01b24a3a4b82</t>
  </si>
  <si>
    <t>4027706e-2c4c-483b-a580-1886c9cf88f1</t>
  </si>
  <si>
    <t>21edcd77-3026-4897-a2a2-50d1d5a843fe</t>
  </si>
  <si>
    <t>bc4f31e8-01df-4657-8009-03259d361898</t>
  </si>
  <si>
    <t>bac62bef-3137-45d8-afa8-628eef750c14</t>
  </si>
  <si>
    <t>4eb8aa36-fa7f-40b0-b991-5aec7af9662a</t>
  </si>
  <si>
    <t>8ab723f9-f0af-410a-a8e0-42987812d46a</t>
  </si>
  <si>
    <t>b78407b6-e2a7-4221-bc17-378d194bc708</t>
  </si>
  <si>
    <t>8e1846cc-0360-4000-8e35-67c5351450b3</t>
  </si>
  <si>
    <t>21f179e2-3c66-4209-8f2d-7201fc1bcd2a</t>
  </si>
  <si>
    <t>bcedfcfe-ab5f-4c30-8163-be4f4ba91cce</t>
  </si>
  <si>
    <t>37b1b390-a72c-4938-a14c-0823f4aa3dad</t>
  </si>
  <si>
    <t>06338b7f-1b8f-4da8-91d0-9523bfc48ed7</t>
  </si>
  <si>
    <t>376ee1e4-68a5-42ad-b278-ca36c1eb565e</t>
  </si>
  <si>
    <t>f48330e0-9256-4b88-8366-b3b4b323098c</t>
  </si>
  <si>
    <t>3556f6c6-0313-4cfe-bff9-f4f2ff8ea365</t>
  </si>
  <si>
    <t>de3689ad-bd48-4935-99c8-6751f4362385</t>
  </si>
  <si>
    <t>8cf28d7d-b823-4699-96a8-5a91923aa440</t>
  </si>
  <si>
    <t>9fac57b4-1100-4aef-98ff-d86dd4228a0c</t>
  </si>
  <si>
    <t>1b34f676-1ca0-4847-beac-7bed2429871b</t>
  </si>
  <si>
    <t>4d9680b8-8f54-40d8-bb65-a0359f7452cc</t>
  </si>
  <si>
    <t>df8eeca9-6504-4cf0-9ce7-b6bf7b438828</t>
  </si>
  <si>
    <t>d016e2a8-f887-4219-8631-982986fb5fc4</t>
  </si>
  <si>
    <t>3c45526b-dbfc-4885-ace0-60315092c512</t>
  </si>
  <si>
    <t>67fdbdfc-e5a4-4f8f-ad64-6a95df3862b2</t>
  </si>
  <si>
    <t>fee812bc-6d8a-463d-8c2d-401e0c8ea610</t>
  </si>
  <si>
    <t>ac27cf07-0882-4062-a660-3d507fca84fd</t>
  </si>
  <si>
    <t>35b214ec-cbb2-40ba-a133-f12b2da9e8a0</t>
  </si>
  <si>
    <t>3644afe7-3182-467d-83a3-6839335628f1</t>
  </si>
  <si>
    <t>96a4658a-0922-4362-b013-c20c3127d88d</t>
  </si>
  <si>
    <t>e1decb29-7ab4-4f92-a009-2c423069a631</t>
  </si>
  <si>
    <t>9ae280a5-4d93-40cc-b705-a22ae868519f</t>
  </si>
  <si>
    <t>7bd8bf82-c505-46d3-9b2c-86da56853054</t>
  </si>
  <si>
    <t>cb8965c5-90b7-48f3-9551-ff0967f72fe2</t>
  </si>
  <si>
    <t>26a56079-2ebd-4b78-abb0-a31bd720c797</t>
  </si>
  <si>
    <t>bf87e1f6-2ff7-44ae-9a01-1b4a06424c38</t>
  </si>
  <si>
    <t>7602eb00-9a24-40ca-a5f7-cd954435d27a</t>
  </si>
  <si>
    <t>6d12894a-0070-412c-a667-cd2bd1c8d903</t>
  </si>
  <si>
    <t>c5d51e4b-7df3-43ae-b15a-4a2e17782b3e</t>
  </si>
  <si>
    <t>53a1d03c-2d2f-457f-962a-370aa4f8b1de</t>
  </si>
  <si>
    <t>714b625a-fb44-4f17-8079-63a88976b98a</t>
  </si>
  <si>
    <t>aa2ce1c0-b94a-4c78-9c42-a919e91ded78</t>
  </si>
  <si>
    <t>f50a07c6-3f07-45bc-9ba6-90708972c0fb</t>
  </si>
  <si>
    <t>301eeec2-dbfa-47e0-9e36-b30a5a77c42a</t>
  </si>
  <si>
    <t>f49a2e61-195b-4bc2-93bd-76752ca0f818</t>
  </si>
  <si>
    <t>7a4e890e-7110-46fd-86a4-a0fdeec43651</t>
  </si>
  <si>
    <t>04a15cb4-db1f-4274-85cc-9c75a6130506</t>
  </si>
  <si>
    <t>2876608b-abb5-4fb2-a424-285270a9311a</t>
  </si>
  <si>
    <t>dccf1b1e-10f3-4dd2-81d9-a870879f0c7e</t>
  </si>
  <si>
    <t>754fbcdb-1bb3-4e06-81be-fd0b7d7170b8</t>
  </si>
  <si>
    <t>33cfd1ef-1e24-446a-851e-317bb3bc05bb</t>
  </si>
  <si>
    <t>02edfcea-46fc-4ce8-b73a-4939625ec55e</t>
  </si>
  <si>
    <t>aa2dff7b-40b9-4275-945b-8471aedeb2f1</t>
  </si>
  <si>
    <t>4f97249c-55f6-4ec0-a361-8c4a04deaa4a</t>
  </si>
  <si>
    <t>27665aaa-b04f-4704-8399-7292fe204701</t>
  </si>
  <si>
    <t>6774a91f-35ff-46bd-9bc3-61b751b09559</t>
  </si>
  <si>
    <t>e37a0aaf-0c2d-4972-a594-fd205ac1d4e6</t>
  </si>
  <si>
    <t>26a015cc-b8f0-4d61-8a0c-8e841660cc7a</t>
  </si>
  <si>
    <t>31190bdb-cde4-4e56-98bd-3f1b3ddf8501</t>
  </si>
  <si>
    <t>25105afd-657a-450d-8315-392528cf4223</t>
  </si>
  <si>
    <t>4111995b-cd77-427e-a65d-acac7e3cc7be</t>
  </si>
  <si>
    <t>07cafdbc-b9db-47e8-acaa-c4dba3460acd</t>
  </si>
  <si>
    <t>ec3b95b0-b8a3-4b54-b639-c4c8825691dc</t>
  </si>
  <si>
    <t>aae545aa-2e34-4ba4-8ccc-353b99101332</t>
  </si>
  <si>
    <t>35dedcbf-8371-4e26-8527-4c9fc8dbf662</t>
  </si>
  <si>
    <t>f7818e87-6e61-4c74-ba4c-e4abef079150</t>
  </si>
  <si>
    <t>5311ee98-3405-40f7-91b7-6efe75eef8e3</t>
  </si>
  <si>
    <t>30539b46-1469-4e94-bd88-8631fa7799ac</t>
  </si>
  <si>
    <t>608b9f35-b3c1-4b40-b045-e44fddceb774</t>
  </si>
  <si>
    <t>3724fee7-0b8e-41b4-98fe-326c81ec21ee</t>
  </si>
  <si>
    <t>b05b2aaa-c86b-4d3b-94f6-0de443a199e4</t>
  </si>
  <si>
    <t>71bf5d06-95f0-4d59-90a1-ddfda9ae60fa</t>
  </si>
  <si>
    <t>edbddd13-9db1-4e50-82ec-81671f818568</t>
  </si>
  <si>
    <t>aececc13-0612-465c-9448-48c4283a03fe</t>
  </si>
  <si>
    <t>aa97af9a-f247-4641-87b8-5d4da48a76c8</t>
  </si>
  <si>
    <t>37b13cc7-a6a6-4b72-85cd-bbd58a1bf28f</t>
  </si>
  <si>
    <t>63e0c0b5-a7ed-4601-9e8e-fb8d814a0405</t>
  </si>
  <si>
    <t>ead9e0ea-532f-45f0-a918-0eef26738806</t>
  </si>
  <si>
    <t>03e19e2d-b35b-4c8d-bcbe-a2cb8bbb2dbb</t>
  </si>
  <si>
    <t>5e1ad547-cf51-4a18-904c-534a62a87e26</t>
  </si>
  <si>
    <t>c38e93aa-ee8d-451d-990a-3fba89474fae</t>
  </si>
  <si>
    <t>f808fc09-a62b-48cd-b43d-b79bf3513f7e</t>
  </si>
  <si>
    <t>82ddecba-a1a1-414a-9540-0816b4f52354</t>
  </si>
  <si>
    <t>7533f10d-6834-4876-9731-6e9ad6e1bc12</t>
  </si>
  <si>
    <t>13e8397f-0911-4902-92b9-589f999524a0</t>
  </si>
  <si>
    <t>a578aa24-bc2e-414d-9f38-d5f928ca7806</t>
  </si>
  <si>
    <t>ceb7548b-928c-4c8e-a802-53a5415cd1d3</t>
  </si>
  <si>
    <t>8f8735a9-65b6-4998-bec0-6c497180999b</t>
  </si>
  <si>
    <t>9b12213b-6fb8-429f-bf94-8ecb6991c526</t>
  </si>
  <si>
    <t>79a4ca25-e6c7-49ff-8b2f-9a24a04fadb4</t>
  </si>
  <si>
    <t>361e827a-41a3-40f3-b131-50eddb9d023d</t>
  </si>
  <si>
    <t>a661486c-64a9-42d4-88fe-5406add3de43</t>
  </si>
  <si>
    <t>f607bfad-4b8f-4042-a8ad-3cc0d623d624</t>
  </si>
  <si>
    <t>2389d9b8-797f-4bdf-8932-8b603ff3b760</t>
  </si>
  <si>
    <t>4a9cdff8-a3cb-4919-afc4-8e6fca615c64</t>
  </si>
  <si>
    <t>cb000c8f-b6ee-4ec6-8e5d-729ad6f834f5</t>
  </si>
  <si>
    <t>601c54a6-6863-4285-97bf-944123c99114</t>
  </si>
  <si>
    <t>e0a83bbb-8a73-49f6-8e2a-1b21a96c7f18</t>
  </si>
  <si>
    <t>2fbd8bb6-2707-4d74-98a0-4bc974ca8cbf</t>
  </si>
  <si>
    <t>848606fe-1cab-408c-9125-07f2c2a73c33</t>
  </si>
  <si>
    <t>75b8354d-28bc-4939-9e97-c12f92da38ec</t>
  </si>
  <si>
    <t>8697bbe6-52d4-42d5-b7fd-bd0c6507c621</t>
  </si>
  <si>
    <t>983f8c89-24c1-467b-92c1-973faf6eb929</t>
  </si>
  <si>
    <t>1abd5dd5-2770-4b8a-9fbd-50b49f29d4d9</t>
  </si>
  <si>
    <t>6cf6066f-6070-49ac-8871-ddc76ee8084b</t>
  </si>
  <si>
    <t>fc703f1a-819a-4b44-ad30-e00a78eb5b78</t>
  </si>
  <si>
    <t>3ea80592-bdb5-4d6d-bd27-07fe68c7c78b</t>
  </si>
  <si>
    <t>a6da58d2-45ff-4741-8bfe-b2b84f7dcc0b</t>
  </si>
  <si>
    <t>3c2a4a47-f9a4-4233-ae3c-065cddcec488</t>
  </si>
  <si>
    <t>c693eb50-ee37-45fa-9039-0548dd88a358</t>
  </si>
  <si>
    <t>a0845ad8-ed99-43c0-8506-2ee63b704f2d</t>
  </si>
  <si>
    <t>01df2300-5bfd-4e48-ab92-1ec4856992ea</t>
  </si>
  <si>
    <t>04fc14d9-d706-4589-ba87-78072c57a1f9</t>
  </si>
  <si>
    <t>a412b061-4268-45b7-8d6f-08aca9cd4bb1</t>
  </si>
  <si>
    <t>3c5e56ef-48c7-4b7c-86f5-4602aeab500f</t>
  </si>
  <si>
    <t>15c153df-66f7-4798-bcda-24aa6d37bf3a</t>
  </si>
  <si>
    <t>e404565b-0dc3-4948-a8fb-b7631545cba2</t>
  </si>
  <si>
    <t>df23b751-c938-4589-b2a3-67846555ed25</t>
  </si>
  <si>
    <t>5278ddb5-7430-4a2b-90a0-f23cc35bf79a</t>
  </si>
  <si>
    <t>c4ca5f47-e478-43e9-a3ee-d1cadde4782c</t>
  </si>
  <si>
    <t>c6c75c25-be5e-4944-be8e-4bc0e0e45b29</t>
  </si>
  <si>
    <t>1de2f7c0-efd9-4bf5-9cfa-f89e75725952</t>
  </si>
  <si>
    <t>c1fd5a32-708b-4e31-aebe-737764848d49</t>
  </si>
  <si>
    <t>5f569845-a870-480b-a680-8bff8ada090c</t>
  </si>
  <si>
    <t>2c9bece9-592d-4ea0-9153-636f9735d4f3</t>
  </si>
  <si>
    <t>0850b0ee-b454-4d06-98b2-dd1bb58f1a30</t>
  </si>
  <si>
    <t>a27a96be-5b91-47d3-84a7-a66aeb82e99b</t>
  </si>
  <si>
    <t>b88f0963-84e0-4c5e-aa3d-1f17087c45cf</t>
  </si>
  <si>
    <t>8fd05f20-55ae-40d2-8b84-fc76f1360bb1</t>
  </si>
  <si>
    <t>32d2c817-2506-4539-8916-82d6f7a755c2</t>
  </si>
  <si>
    <t>ccfd1cbc-7a02-4dc7-81d2-edd5d1adc6a5</t>
  </si>
  <si>
    <t>39cd55af-0d51-408d-a7f7-752fbcdacd0f</t>
  </si>
  <si>
    <t>835f4bbb-f80e-4c6d-bf42-11d15586b7ff</t>
  </si>
  <si>
    <t>edabd20a-8609-49c2-87ef-5def112b2a8c</t>
  </si>
  <si>
    <t>25598c64-9943-4415-a8bf-37fae8a23f18</t>
  </si>
  <si>
    <t>1c7e6079-9f71-453c-af12-bef8ac3d373a</t>
  </si>
  <si>
    <t>89adf3bd-04c9-490c-ab13-5ad58f705a08</t>
  </si>
  <si>
    <t>8bb24f47-3955-48eb-9c86-305ec65a03f2</t>
  </si>
  <si>
    <t>104bb883-ea9a-4ef3-9da5-40a820781a2d</t>
  </si>
  <si>
    <t>132fe87f-a87e-4b50-a3f0-571558ddaaaa</t>
  </si>
  <si>
    <t>8ad6bbd0-67ca-43c5-962f-f33a456d003c</t>
  </si>
  <si>
    <t>d1d840e3-f1ea-4ad4-a4f4-017d5e65067e</t>
  </si>
  <si>
    <t>9e75c24b-3039-4979-b4a9-d0a9cd30aa4c</t>
  </si>
  <si>
    <t>442716d3-9761-4b37-b2aa-2cda71243a70</t>
  </si>
  <si>
    <t>08bc6343-b8be-4f3f-b725-a1d4625d5541</t>
  </si>
  <si>
    <t>c8f3c53a-c7b2-4f1e-96c6-6bfe1f870037</t>
  </si>
  <si>
    <t>7931175b-b4d9-41ab-ae94-2fc82db81ac1</t>
  </si>
  <si>
    <t>a68967ea-f527-41e2-a882-570741059562</t>
  </si>
  <si>
    <t>9b2ac141-b933-4f0b-9734-f55c1db4595b</t>
  </si>
  <si>
    <t>c357c554-41eb-4f1e-a423-e049139fccdf</t>
  </si>
  <si>
    <t>88d4121f-2524-4147-b757-6e79010c59c4</t>
  </si>
  <si>
    <t>8743037d-2ff2-4d64-9a36-b0a3780e967e</t>
  </si>
  <si>
    <t>b89aff56-95dc-4481-bf0a-25c0aee68cda</t>
  </si>
  <si>
    <t>7fe60e1f-8064-465c-a756-2713e6321c2b</t>
  </si>
  <si>
    <t>3051c8cc-ba77-4f65-b2e9-d745b9dc4df9</t>
  </si>
  <si>
    <t>9fd1ff0e-6971-46fa-854e-3e508122a0b8</t>
  </si>
  <si>
    <t>68101422-18df-40b1-a6ec-f3e1dd6d8860</t>
  </si>
  <si>
    <t>45c5b08a-011a-4f21-a0de-feee728e7801</t>
  </si>
  <si>
    <t>6d2db262-9c89-4620-9fb3-0b384e9379e0</t>
  </si>
  <si>
    <t>1f5cd42e-6182-4f8c-9e60-0ef4cc5c10d4</t>
  </si>
  <si>
    <t>7a3eb739-b1d9-4979-bae7-a716e5420ab9</t>
  </si>
  <si>
    <t>10b8a585-0074-4cdb-83b4-88b572cc6869</t>
  </si>
  <si>
    <t>dacd72db-5fea-4101-aae3-475b79d42ad4</t>
  </si>
  <si>
    <t>f207e325-24a0-46aa-b73c-ca6164d4f654</t>
  </si>
  <si>
    <t>25b41a20-c948-4bcb-b957-8f7c07b13e5f</t>
  </si>
  <si>
    <t>0dadf185-d53b-44b5-8d91-e6da1f5aa7e7</t>
  </si>
  <si>
    <t>be588968-b03c-487c-a79b-0d7ed88a5621</t>
  </si>
  <si>
    <t>27ead9d4-1043-427d-ace8-e8917b15a389</t>
  </si>
  <si>
    <t>9577355a-59e5-4425-98cc-0ba78f484920</t>
  </si>
  <si>
    <t>00600a13-68cd-41a1-933b-db50f2d8ad77</t>
  </si>
  <si>
    <t>3dad28ba-4cfa-4979-97df-dc53f0749e20</t>
  </si>
  <si>
    <t>bb3544e0-10d4-40d2-9290-dccd4c01c258</t>
  </si>
  <si>
    <t>fcc099cb-8645-4179-96ee-f68911cb6eb5</t>
  </si>
  <si>
    <t>24092664-538e-417c-9cf3-fb6297375a88</t>
  </si>
  <si>
    <t>7a2750b2-d65a-48a4-be18-2eeb117c14a8</t>
  </si>
  <si>
    <t>10e48bd3-1eec-488b-9b41-44dcbceb1be5</t>
  </si>
  <si>
    <t>7e6aaaaf-a564-4a7e-9519-9279d0a943af</t>
  </si>
  <si>
    <t>ac2bb699-36ac-44d8-b948-79a8961839ad</t>
  </si>
  <si>
    <t>5fdeb4f1-037c-42bf-9210-05a19c8dd858</t>
  </si>
  <si>
    <t>be3dbddc-5b19-47f8-8af5-0081b6861ada</t>
  </si>
  <si>
    <t>ed82768d-6f72-4e1e-8f3b-d80d3429206c</t>
  </si>
  <si>
    <t>c5871014-c3e0-454f-b58b-14e227765bd3</t>
  </si>
  <si>
    <t>14d4d4a3-685a-41c4-9752-dc67b4b8da7e</t>
  </si>
  <si>
    <t>74185586-adf5-4fa7-ba08-1588614cb2f7</t>
  </si>
  <si>
    <t>8022a415-1061-4b16-8b65-2ebb9d203207</t>
  </si>
  <si>
    <t>e0ccef47-4d29-4284-943c-b3b1bf4775d6</t>
  </si>
  <si>
    <t>e366c072-0baa-487e-8c09-5dccd7899e00</t>
  </si>
  <si>
    <t>ae33c3c2-8f83-4bf5-85bb-3fa321355c66</t>
  </si>
  <si>
    <t>c5cea603-0578-4b5d-8b2e-48a4277b854e</t>
  </si>
  <si>
    <t>43d4d7b7-5727-4d57-ba8c-c0ed5854200d</t>
  </si>
  <si>
    <t>3efc0562-5eb9-436e-a875-5e2473fd883e</t>
  </si>
  <si>
    <t>aea7721e-15e0-45ba-817f-93fe2e761b48</t>
  </si>
  <si>
    <t>8f4d62bc-4809-4581-9040-20bd1a5cbdcb</t>
  </si>
  <si>
    <t>c337dc33-f9ae-48e9-ae7a-823de5c295d6</t>
  </si>
  <si>
    <t>67882fa7-15d2-4e62-8b44-6f8f6b833012</t>
  </si>
  <si>
    <t>aaf034f3-6478-412b-b662-22c0e6cf0fc9</t>
  </si>
  <si>
    <t>5c4ac6bd-f0b1-4a6e-a7d9-8f54a89a3211</t>
  </si>
  <si>
    <t>f1123c96-fa9d-4369-b97b-ad0e6be71674</t>
  </si>
  <si>
    <t>f1caa633-eb09-4e7b-8332-8a274b7f18fa</t>
  </si>
  <si>
    <t>9c48e13e-5024-47c9-857a-45673a295bf3</t>
  </si>
  <si>
    <t>2516e4fe-8b53-459b-9ddd-9dc28f237fae</t>
  </si>
  <si>
    <t>98038118-ba52-47c5-bee3-b3b381d22958</t>
  </si>
  <si>
    <t>cb4c44c1-a9a4-4b3a-9068-e2ae9b3eeba8</t>
  </si>
  <si>
    <t>b1a5855f-0c34-4f4c-83dd-7249c1dabe09</t>
  </si>
  <si>
    <t>41bc3b7c-de3c-41da-8d42-d2351afef97f</t>
  </si>
  <si>
    <t>f6eb72f2-2537-4664-91a9-c5a5d3c1a643</t>
  </si>
  <si>
    <t>433e9990-cb1a-4245-ace7-512fcf8ec3cd</t>
  </si>
  <si>
    <t>c693636f-14f2-4607-a0b6-474ffc545d9b</t>
  </si>
  <si>
    <t>db148a65-9896-43f3-90ca-abb60789ff63</t>
  </si>
  <si>
    <t>f37172fb-e47e-4c06-85e4-27dc8cf41a9a</t>
  </si>
  <si>
    <t>b4eeaffd-1629-4d67-b7ae-33784ab87e37</t>
  </si>
  <si>
    <t>096e33b8-8105-4306-bb3a-2b601bbd42de</t>
  </si>
  <si>
    <t>600eeb14-070b-4df3-8a79-2aee5a974b5e</t>
  </si>
  <si>
    <t>6901235f-4e63-4d60-9c1b-68a4b8a50f90</t>
  </si>
  <si>
    <t>7d9a68c8-703b-4b30-89a8-84b4584a82d6</t>
  </si>
  <si>
    <t>72b7f91b-5dd0-4efc-bc85-2fec49007bfa</t>
  </si>
  <si>
    <t>960766a4-fdbf-42e7-b456-fc8525673ed9</t>
  </si>
  <si>
    <t>2a95aba4-dffe-437b-b7be-5fc1f83f2799</t>
  </si>
  <si>
    <t>05791a50-b554-46d7-8172-b04558a6320a</t>
  </si>
  <si>
    <t>43240682-9342-4e1a-8383-583716a98623</t>
  </si>
  <si>
    <t>4faa0c3f-b2ce-4483-8081-1d00e2ec788e</t>
  </si>
  <si>
    <t>45e9a155-a29e-4cc6-b074-343df5220dba</t>
  </si>
  <si>
    <t>ff64f6da-92c9-48b7-a20e-9582c0eb77bc</t>
  </si>
  <si>
    <t>d78cbe03-fa3b-40ed-9760-96b60c23f6e5</t>
  </si>
  <si>
    <t>aea64ef1-e201-4481-8b68-2ae253d6ee24</t>
  </si>
  <si>
    <t>c2206366-a2ee-4e68-9e59-fa7af1920188</t>
  </si>
  <si>
    <t>ff79b0ef-8fae-412b-a13b-7a87e6bd2c19</t>
  </si>
  <si>
    <t>cfa62b01-e0b3-417e-a7fe-2567796d447a</t>
  </si>
  <si>
    <t>854c5fe4-c586-45c2-bb84-2af50ce679fc</t>
  </si>
  <si>
    <t>302fc3b5-e509-4c0e-9ff5-b659b10f76b0</t>
  </si>
  <si>
    <t>44de1a5a-a158-41af-a9cc-caa01896a058</t>
  </si>
  <si>
    <t>851e7e36-db75-4254-94b4-418bc8a97cc9</t>
  </si>
  <si>
    <t>72956204-a4d1-4483-8f4d-70e48b604ce5</t>
  </si>
  <si>
    <t>17417919-1764-415e-9e22-b1133eb070b9</t>
  </si>
  <si>
    <t>b148781b-0590-4985-87d3-6726c29f5fec</t>
  </si>
  <si>
    <t>a6dee974-c213-402a-b78c-4922cf1cee74</t>
  </si>
  <si>
    <t>68e5108c-acaa-4ff6-ad57-a3667bdf189f</t>
  </si>
  <si>
    <t>6214caaa-d16e-4b1b-ab7e-efed2273a8bf</t>
  </si>
  <si>
    <t>8dcae28f-4934-4c5a-8bcb-493107bcfed7</t>
  </si>
  <si>
    <t>ec59afb0-22f0-409f-b8b3-3f726d10f1e0</t>
  </si>
  <si>
    <t>de090dc0-e894-4170-a49b-99d5454a60a9</t>
  </si>
  <si>
    <t>5bbac62a-81e5-4afb-9825-f1d4a2b28764</t>
  </si>
  <si>
    <t>7df99a65-4e38-4814-b854-0f9bb82fecbb</t>
  </si>
  <si>
    <t>9c7a75d3-d74e-476b-8344-f229dcbb93a7</t>
  </si>
  <si>
    <t>1d2125d4-18c2-41ad-a525-c35983c1cbef</t>
  </si>
  <si>
    <t>6c8af828-f2de-467f-9fa9-15a9cd004665</t>
  </si>
  <si>
    <t>6cff3af2-d2a7-4385-96c7-cfdfe82842ab</t>
  </si>
  <si>
    <t>cfc58bb4-ef86-483c-8141-6f3b8ca3e7d9</t>
  </si>
  <si>
    <t>807658cb-c50f-4d42-83b5-006769dfcef7</t>
  </si>
  <si>
    <t>4bdbf938-f4a9-40b3-aabd-bf69d8faa653</t>
  </si>
  <si>
    <t>4b333102-b746-458e-8d0d-7f807e43a653</t>
  </si>
  <si>
    <t>f42c3a95-832e-4296-8e67-3d0648fd25b2</t>
  </si>
  <si>
    <t>63a5bb79-f9de-4b9b-8b38-19f067384b11</t>
  </si>
  <si>
    <t>d8307600-f786-4a29-9137-92fcc9faed03</t>
  </si>
  <si>
    <t>3f42567c-9ae3-4933-8711-38378765d9b6</t>
  </si>
  <si>
    <t>5b7ef213-fd11-42aa-96c2-3bd71a5ae998</t>
  </si>
  <si>
    <t>b31371cf-e64b-44a0-8152-3c6d32028570</t>
  </si>
  <si>
    <t>953f4c0e-b199-4f52-a7e7-2a67bb0e4c79</t>
  </si>
  <si>
    <t>fa227936-52fb-4cfc-8cd6-43f8d258c27d</t>
  </si>
  <si>
    <t>95791de0-899c-4bac-8dfc-69f0317515cc</t>
  </si>
  <si>
    <t>edcbf600-9109-40f3-8a89-16602226f235</t>
  </si>
  <si>
    <t>64e9b6cb-6df2-4425-a985-fced61aa840b</t>
  </si>
  <si>
    <t>eea73c79-8507-406f-a902-c1e184deba74</t>
  </si>
  <si>
    <t>9277d3cb-542f-4503-a5d2-53de3c620f29</t>
  </si>
  <si>
    <t>77442d16-bcfc-41cb-883b-f1e0b054866d</t>
  </si>
  <si>
    <t>62c9eea2-ccff-48c1-a541-d4a3d6430f96</t>
  </si>
  <si>
    <t>5e6027ca-4c1b-4824-a1e5-d5390d6c1ad5</t>
  </si>
  <si>
    <t>16081598-8793-4be4-903f-bcbda4644012</t>
  </si>
  <si>
    <t>eca993bc-8f23-4904-9e5e-686770c39067</t>
  </si>
  <si>
    <t>3af987f6-0664-45a1-81c4-d022f7134e77</t>
  </si>
  <si>
    <t>0599089d-c268-4ea1-b3a1-2be1e369d0db</t>
  </si>
  <si>
    <t>41075c39-5883-49ef-864b-5e36f52bd0ff</t>
  </si>
  <si>
    <t>3a53356b-5d96-4342-8236-17cdfc88f415</t>
  </si>
  <si>
    <t>8bb99330-239d-4739-8dbc-eda9c688591b</t>
  </si>
  <si>
    <t>8eacb0db-a406-4305-b8bb-11c78645a4d6</t>
  </si>
  <si>
    <t>04f6ac30-53fd-46b7-a391-5d836b0edd04</t>
  </si>
  <si>
    <t>06c83518-c051-450d-8508-919a402c3276</t>
  </si>
  <si>
    <t>15dbecfd-070e-46c5-aaf2-c39427bdb2a2</t>
  </si>
  <si>
    <t>42c3d9fe-59cd-412f-89bc-93c54ee51b96</t>
  </si>
  <si>
    <t>56fd9d47-fcf3-473d-8ddf-117e972c41d1</t>
  </si>
  <si>
    <t>14c48946-bdc8-4a33-bf26-f51e52b928a6</t>
  </si>
  <si>
    <t>2cfada85-97cf-4ef1-8645-32f7236c458d</t>
  </si>
  <si>
    <t>9724f787-beea-4638-93b4-98a7e7beaa94</t>
  </si>
  <si>
    <t>49da38e2-fb36-493c-9310-40872e05b8e0</t>
  </si>
  <si>
    <t>af8a084a-2425-417d-b6f0-ac39464bd4c6</t>
  </si>
  <si>
    <t>b529c55f-dd95-4448-b830-673653289b49</t>
  </si>
  <si>
    <t>c1003e62-56dd-4d94-84d7-5b74d2752697</t>
  </si>
  <si>
    <t>f12bab7f-5ee2-4ee8-b143-0027ca0a0a31</t>
  </si>
  <si>
    <t>e0c1f9f0-668a-422e-aae0-ca63330eb00a</t>
  </si>
  <si>
    <t>c38233d7-e6da-4962-a55c-b1d07ccb915d</t>
  </si>
  <si>
    <t>97ff496b-9f0c-4490-8658-e84d7ff93a13</t>
  </si>
  <si>
    <t>49d45b20-a027-4682-800b-0d19db3b3d09</t>
  </si>
  <si>
    <t>4e86c068-e10e-4273-a1af-2e62f0f8f3fc</t>
  </si>
  <si>
    <t>ab92e134-3df4-4633-97b0-4132c38823d2</t>
  </si>
  <si>
    <t>6668986e-5eff-48d6-858a-d8b02684d6e5</t>
  </si>
  <si>
    <t>5f009888-a604-4778-bf6b-f951e2f74f0a</t>
  </si>
  <si>
    <t>0a2eaddb-0244-412f-a7c7-8659a1796136</t>
  </si>
  <si>
    <t>1a580df9-e9d3-4f0c-8cf7-d711404ce6ad</t>
  </si>
  <si>
    <t>8ecf8fa5-4b54-4a85-a838-d6c528cad039</t>
  </si>
  <si>
    <t>7d2d6878-071e-47a4-b2b1-61c67506ecbc</t>
  </si>
  <si>
    <t>4a873898-1721-4c35-b75f-88c59b3d22be</t>
  </si>
  <si>
    <t>dfc39a25-2ace-4d62-9df3-33c07dcf8420</t>
  </si>
  <si>
    <t>cdbde4eb-ae19-4970-b8b1-3b7947953f49</t>
  </si>
  <si>
    <t>1a362c64-961a-4445-981b-a34963111e48</t>
  </si>
  <si>
    <t>07778d3a-a2a0-4f37-8017-0b47e0667331</t>
  </si>
  <si>
    <t>d3c4d16b-aadd-4316-b706-3776a79b5864</t>
  </si>
  <si>
    <t>8e83d807-8a5e-4a4b-a0df-68b55dea52cf</t>
  </si>
  <si>
    <t>dbe35ed9-eb37-4d10-8ce9-3cf38b673998</t>
  </si>
  <si>
    <t>56615bff-5402-4ab7-a811-68a3a958ec6a</t>
  </si>
  <si>
    <t>6223c679-f08e-43ed-8406-9f8befb412b5</t>
  </si>
  <si>
    <t>c646256e-d27f-4ee3-97c5-8850dd3cb5e1</t>
  </si>
  <si>
    <t>ad30616d-07d8-479d-836d-b0d92c0b2a29</t>
  </si>
  <si>
    <t>d6a0ec3e-6bcd-41d0-8252-d49b1404c8ae</t>
  </si>
  <si>
    <t>3e44852e-5fc5-4428-8040-7d5acc42153c</t>
  </si>
  <si>
    <t>8d42e897-728d-4972-85a6-caa659b1ff63</t>
  </si>
  <si>
    <t>aeca3c41-02db-4554-9d6f-2fe735766ecd</t>
  </si>
  <si>
    <t>4ece8634-82c5-4f05-82c7-26f4e45825e4</t>
  </si>
  <si>
    <t>e94be580-4f61-43ac-8eee-0c559fc9911a</t>
  </si>
  <si>
    <t>234852a1-ba0b-45ce-9f3d-c965bf9a064c</t>
  </si>
  <si>
    <t>24dbb108-a7a1-4916-bc2b-a3a0325d420c</t>
  </si>
  <si>
    <t>d734fc84-4f5f-4c4c-98ed-5ccbc1ded87b</t>
  </si>
  <si>
    <t>ecb55bab-ce05-48d7-b4f8-3cfe12f1ea39</t>
  </si>
  <si>
    <t>0501ce70-65e7-4136-b117-5c4c740b9d9c</t>
  </si>
  <si>
    <t>cc3cfd52-4ce5-49db-adc0-91a9812af543</t>
  </si>
  <si>
    <t>c91a56cd-8c26-4c69-ba36-7704b7d9f25c</t>
  </si>
  <si>
    <t>f08b9ac4-e15c-44eb-87bb-662d8fb8f79a</t>
  </si>
  <si>
    <t>a73fd01d-b340-4aee-9525-3222e6e21229</t>
  </si>
  <si>
    <t>b523167d-dc90-4481-81d9-4745beeaa9ce</t>
  </si>
  <si>
    <t>ed1bcb51-835f-4f31-95dc-267fde5f58b4</t>
  </si>
  <si>
    <t>29c94437-83f4-4f4c-9119-a633fe840594</t>
  </si>
  <si>
    <t>3f158519-6012-4e41-a96b-ac9c95460c5c</t>
  </si>
  <si>
    <t>bd210576-7b1a-4f26-8c65-80af8ff410bd</t>
  </si>
  <si>
    <t>05f35fcf-39ea-4a45-9ebc-1f5afac926e6</t>
  </si>
  <si>
    <t>170c4442-95b8-4d49-8552-ebf4633d5b1c</t>
  </si>
  <si>
    <t>35e9901f-d883-4f1b-9a6d-79f8813daece</t>
  </si>
  <si>
    <t>79840eca-6660-4915-9ba9-e3d050b20516</t>
  </si>
  <si>
    <t>b741355d-a86e-4d32-a637-0d0d18ffd75d</t>
  </si>
  <si>
    <t>81c9ea65-7c44-4b93-b4f4-487c81e65775</t>
  </si>
  <si>
    <t>a9ad9c76-2a10-499c-a8c5-0e545f61a230</t>
  </si>
  <si>
    <t>0bc75307-f20f-40c0-b22c-76e2289d02ea</t>
  </si>
  <si>
    <t>2233600c-1256-43a0-922b-0ff1b0c44395</t>
  </si>
  <si>
    <t>3a5ef218-a9cb-45b7-ae66-362bfdfddedd</t>
  </si>
  <si>
    <t>1a98750a-3a3f-4fe9-86c3-27ba2bac0d8a</t>
  </si>
  <si>
    <t>dea24a45-f0ff-42d9-bfc3-ed5a4c12cb34</t>
  </si>
  <si>
    <t>361ed7d9-888c-422e-8f19-bf41abc6b41b</t>
  </si>
  <si>
    <t>f98328cd-aaef-401e-8c66-7100e0c449f5</t>
  </si>
  <si>
    <t>f05cc4ab-9ffd-4425-8754-7bda79692e41</t>
  </si>
  <si>
    <t>9248d494-6c26-4603-be3a-1dc1cbdf469a</t>
  </si>
  <si>
    <t>0fb5fbd6-5bcd-40ae-b977-3632e62a5e12</t>
  </si>
  <si>
    <t>6b371f5e-662d-4916-b6c5-7fb843cf5116</t>
  </si>
  <si>
    <t>649c6270-5b9e-4bb4-942d-9d58d8dc6e56</t>
  </si>
  <si>
    <t>c79cf390-ca1c-4de0-9d87-08b761d3300f</t>
  </si>
  <si>
    <t>57b3f1f6-4d21-411d-b0e6-4d2ccef3f959</t>
  </si>
  <si>
    <t>5362bc9a-7083-4964-be33-0c7d696b5103</t>
  </si>
  <si>
    <t>2afb750c-7653-4a65-b87a-98b8a888c51e</t>
  </si>
  <si>
    <t>076eeb2c-63bc-416c-a2a9-a096106cd7ec</t>
  </si>
  <si>
    <t>57f43d6d-b5be-407b-9353-db5b0ae24e37</t>
  </si>
  <si>
    <t>e686c05a-dd1a-4214-8298-f57ddb25dba8</t>
  </si>
  <si>
    <t>08b6f1a5-4813-42d5-8c6c-3aa65f06d132</t>
  </si>
  <si>
    <t>f53ee9c6-76d5-4b6d-b4df-6ecf3593b1d0</t>
  </si>
  <si>
    <t>53e11ed2-96be-473e-b888-77441602ee97</t>
  </si>
  <si>
    <t>3b6542ea-7ab8-4dd6-b0c0-4e6a8d0f3840</t>
  </si>
  <si>
    <t>b14681f8-9471-451c-ac1c-8cd4e48553a7</t>
  </si>
  <si>
    <t>4aa2a9f4-2057-4a52-9c91-1444c353bc76</t>
  </si>
  <si>
    <t>1a047959-2cb4-4618-951c-640e479abe80</t>
  </si>
  <si>
    <t>f66d0be3-3ed7-44b1-863b-361f073cc844</t>
  </si>
  <si>
    <t>23f5f1c9-e691-44cd-ab84-ae24085b48d6</t>
  </si>
  <si>
    <t>238ca689-aeef-49f6-a232-2a1664f13ef7</t>
  </si>
  <si>
    <t>17215779-d211-4159-b8c9-a73201b2f8b7</t>
  </si>
  <si>
    <t>e1e80c55-66e5-4d77-9945-eebf6d5a94c4</t>
  </si>
  <si>
    <t>bdeeee97-8725-4759-a976-25c0444f679c</t>
  </si>
  <si>
    <t>65c0cc7e-6fab-4d8b-b1a7-87b8d351df58</t>
  </si>
  <si>
    <t>41e619f6-a36a-4074-8f76-d4680796f784</t>
  </si>
  <si>
    <t>ea7d055f-5eb3-4c2f-b220-addb31897fad</t>
  </si>
  <si>
    <t>967e7137-c27b-470c-9f33-4beb866e6924</t>
  </si>
  <si>
    <t>29c6ff16-38da-4463-9832-5b40f9ab37c0</t>
  </si>
  <si>
    <t>5d50729a-46d0-4f62-a5ba-939b229fae74</t>
  </si>
  <si>
    <t>f0192d58-de33-4e15-96fa-1d4c56afa3c0</t>
  </si>
  <si>
    <t>2f51d91b-2c5a-4d65-b615-66e1582323bd</t>
  </si>
  <si>
    <t>fbf9f596-47fd-4964-b1f6-017a991d0192</t>
  </si>
  <si>
    <t>f01e37e3-b5b3-48fa-9b9b-b79a205fd2c6</t>
  </si>
  <si>
    <t>914d417e-7103-44b7-92ac-85027f13d1f5</t>
  </si>
  <si>
    <t>71739498-e850-454e-9f8e-a31c9ee5d5cc</t>
  </si>
  <si>
    <t>ebb0cc94-2f5b-4978-a0af-07cd186f5509</t>
  </si>
  <si>
    <t>2d015325-ecbc-4968-b6ae-eebe7e1bde23</t>
  </si>
  <si>
    <t>d318a778-d126-46c9-a84d-92411393b15d</t>
  </si>
  <si>
    <t>43994038-d017-4355-ae48-2416621d04ae</t>
  </si>
  <si>
    <t>a5f5238d-8901-4742-bc93-c7e4fea70289</t>
  </si>
  <si>
    <t>2e38ab2a-232c-477e-a365-010dfe4a3d2e</t>
  </si>
  <si>
    <t>ae2161c7-5647-431a-baf9-bd11ddcb2d41</t>
  </si>
  <si>
    <t>050d8e06-247c-40bb-97ba-105f5ab58d2a</t>
  </si>
  <si>
    <t>9f746747-7768-401d-9ce0-1a3a142f0951</t>
  </si>
  <si>
    <t>c05659b2-8043-4386-b1ae-be8a4ca62689</t>
  </si>
  <si>
    <t>5d47aae3-b348-4db5-8090-33e1468993c7</t>
  </si>
  <si>
    <t>4c1374a8-b39e-4030-95d8-0f383f258d15</t>
  </si>
  <si>
    <t>d99ea4db-2ee8-42fe-8515-42f3a6800c90</t>
  </si>
  <si>
    <t>edb33a02-1802-45a4-aeae-0cfc33452434</t>
  </si>
  <si>
    <t>8c3fda0f-9f24-4fd2-891b-5abf4964cc0a</t>
  </si>
  <si>
    <t>b4563f38-8821-4731-8073-b1c7410a1d40</t>
  </si>
  <si>
    <t>db3c02af-66df-423e-b14b-0b76823a3f1c</t>
  </si>
  <si>
    <t>e552fc06-dfcb-4b24-bba3-5e0597bc1484</t>
  </si>
  <si>
    <t>2e57764f-410a-44ca-83c4-f9e2896981e9</t>
  </si>
  <si>
    <t>c0e8cd53-bde1-4c2e-ae64-e7e5ccfc0cb7</t>
  </si>
  <si>
    <t>5cb26a21-fce2-48b2-9a15-2096e9fd1fd6</t>
  </si>
  <si>
    <t>72a3e7ae-3bd0-44e7-8c3f-45fcacdceddf</t>
  </si>
  <si>
    <t>e90cd1a4-ebdc-441e-a4eb-c0e485e63d79</t>
  </si>
  <si>
    <t>8a18108b-7225-4d06-99ee-d1056289110c</t>
  </si>
  <si>
    <t>b1c3e9f3-9045-47c4-9b51-1ba336fd560e</t>
  </si>
  <si>
    <t>e6053375-ba04-4d2e-9de0-415424fc083c</t>
  </si>
  <si>
    <t>b7d12ca9-c09d-40cc-9297-451b8417d8d2</t>
  </si>
  <si>
    <t>243c04e4-659d-4da0-9761-6f86815b2e90</t>
  </si>
  <si>
    <t>4877dfb7-31b2-43f8-9b30-849f2955f498</t>
  </si>
  <si>
    <t>e1477908-ed76-4775-95fc-cbd4e3450d90</t>
  </si>
  <si>
    <t>3763dd7a-d760-4e70-a11f-1cba57e33363</t>
  </si>
  <si>
    <t>73b24e30-e29d-4926-ba7f-895ea6fe9f07</t>
  </si>
  <si>
    <t>077b3970-fb22-421f-a3ff-949e540af2bf</t>
  </si>
  <si>
    <t>64688834-2ca0-4495-8fa6-d4b16488ec68</t>
  </si>
  <si>
    <t>e1adc1b5-5a4a-4591-acd8-efa75d250f5b</t>
  </si>
  <si>
    <t>c3bf83da-26f2-43e7-801f-132ed1f4c020</t>
  </si>
  <si>
    <t>c37d612c-dfce-4460-986c-a8d4c58bdb50</t>
  </si>
  <si>
    <t>49ec023b-f167-4ce2-a9cf-e288a7aa2add</t>
  </si>
  <si>
    <t>8df5d93b-b305-4d3d-863d-d651f5e82854</t>
  </si>
  <si>
    <t>f51ad750-66bb-4d6f-a581-03c98286e09f</t>
  </si>
  <si>
    <t>78410737-1afe-4257-ad3c-c290ad2f1ab5</t>
  </si>
  <si>
    <t>875a57bc-5e70-4a23-883f-97a560b64954</t>
  </si>
  <si>
    <t>ca879a5b-d945-4468-80ce-4d7d6bc55196</t>
  </si>
  <si>
    <t>ebff8b35-cf3d-4ccb-b621-e5783a32ce94</t>
  </si>
  <si>
    <t>3d812780-5a7a-4ba3-ace1-32bfcc134ace</t>
  </si>
  <si>
    <t>6681850b-9c7c-4108-b82c-9364f2f1c3b2</t>
  </si>
  <si>
    <t>8eae48d1-1913-430f-bce3-5fb6da0a5b39</t>
  </si>
  <si>
    <t>fb9a764f-fdea-42db-8757-0b24f679143c</t>
  </si>
  <si>
    <t>deb3d9fc-47f6-4443-8873-ccacdb12f229</t>
  </si>
  <si>
    <t>4564d3eb-39f2-48db-983e-dbefff32caee</t>
  </si>
  <si>
    <t>442be35d-4d24-407b-813d-ab769858384a</t>
  </si>
  <si>
    <t>85583cc8-cbfe-4ddb-bdca-0a50c7f0b57f</t>
  </si>
  <si>
    <t>96d9e295-7158-4ac9-8e67-ef57798ad053</t>
  </si>
  <si>
    <t>6a5044f5-40af-44cb-a5dc-c6a11261383a</t>
  </si>
  <si>
    <t>c2b885ac-70ee-4112-8e3e-f03d500e6fa5</t>
  </si>
  <si>
    <t>0ac32b9c-d259-4824-a7ae-46b3b275a120</t>
  </si>
  <si>
    <t>6777e084-213e-4ae4-952f-5031ff4c1f52</t>
  </si>
  <si>
    <t>c00c76c6-261a-4a85-8164-6433ec1c3d2d</t>
  </si>
  <si>
    <t>92053da0-c032-40f7-a3c7-f97fed38814a</t>
  </si>
  <si>
    <t>069d9ef4-b898-4af6-9ec9-734f47a2aa4e</t>
  </si>
  <si>
    <t>5681dd46-cce5-4fef-8f2a-bd2f7b841909</t>
  </si>
  <si>
    <t>825db041-2b30-44e8-87bc-412e3245cc7f</t>
  </si>
  <si>
    <t>a6ec8dfe-2b64-4d7c-97e0-d6f0e53e9790</t>
  </si>
  <si>
    <t>f044ae53-8a17-4fb5-af4f-072c38af3e03</t>
  </si>
  <si>
    <t>487ada10-53ff-4658-8751-6b4c723ffd82</t>
  </si>
  <si>
    <t>c7e6b48b-ed9f-4ac7-b4f4-64a8269a0f64</t>
  </si>
  <si>
    <t>f6a5928d-0992-4886-b32f-465d5afdf8ff</t>
  </si>
  <si>
    <t>834578d3-b2b3-4a9d-a6bb-cda38010e376</t>
  </si>
  <si>
    <t>44bf2db1-30eb-4131-af2b-9be5df2ca755</t>
  </si>
  <si>
    <t>58a8eb60-ca08-4e24-aff3-343936fca327</t>
  </si>
  <si>
    <t>02daca2b-0a9f-4292-aed8-54f653465134</t>
  </si>
  <si>
    <t>5c7ae516-c2e0-44d2-8645-6bf87a99a11c</t>
  </si>
  <si>
    <t>5335f033-6b7d-453a-a7db-a4a0b88159fd</t>
  </si>
  <si>
    <t>ab4555ee-4969-47f5-87c5-c131bfbff58e</t>
  </si>
  <si>
    <t>ee99be66-a56b-4966-bee7-4dcacf740239</t>
  </si>
  <si>
    <t>6e2922e1-1087-4b2d-88ac-7f01fb8cbd89</t>
  </si>
  <si>
    <t>70858eb7-f335-4935-bfb9-2db28ac28133</t>
  </si>
  <si>
    <t>5629100e-7e84-455a-b9d5-b403f66539b6</t>
  </si>
  <si>
    <t>03eecf68-bfdd-4bfa-b297-5873e3501d49</t>
  </si>
  <si>
    <t>de919a46-8bea-4dff-b1b4-148d711bf94a</t>
  </si>
  <si>
    <t>f1949485-b7c7-4d6a-afcb-8339d5bfe44a</t>
  </si>
  <si>
    <t>b816523f-2b7d-417f-9630-5cf7e2596a7e</t>
  </si>
  <si>
    <t>22042eb5-aab3-4b6a-b78f-5c6e33c7b12e</t>
  </si>
  <si>
    <t>ff20be14-65eb-498d-8af0-ee9939b16f26</t>
  </si>
  <si>
    <t>0425d884-0f59-4316-8daf-3e6495b0f6b9</t>
  </si>
  <si>
    <t>fa8ec9d6-8d92-4dde-a696-e5e97e537537</t>
  </si>
  <si>
    <t>d45e9ed3-b4b7-488e-9a42-3fb9bb0be205</t>
  </si>
  <si>
    <t>c1dc2a7f-01fb-4b10-a65f-758bc6f6c369</t>
  </si>
  <si>
    <t>79b39562-9b69-4e91-905e-26e92a1a24f5</t>
  </si>
  <si>
    <t>47dfcdfe-1f49-48e8-bc05-3471309c538c</t>
  </si>
  <si>
    <t>493b7869-84fb-4c9c-9064-8b1c031e9115</t>
  </si>
  <si>
    <t>4516aa10-229c-49ed-9fe9-a24f651100e2</t>
  </si>
  <si>
    <t>eeaa5770-0a87-46cf-a0bf-d09db8f00589</t>
  </si>
  <si>
    <t>aff661d5-a530-4ca8-85df-6f73184f3eeb</t>
  </si>
  <si>
    <t>f4f01fcf-3c40-4184-b835-4ffdc418c25e</t>
  </si>
  <si>
    <t>999f3a10-8a05-40f8-827b-b621c7681fab</t>
  </si>
  <si>
    <t>920c1684-7e68-441a-ae3f-1429c363f8be</t>
  </si>
  <si>
    <t>557038f5-6328-40ae-a56b-eddd45be0e18</t>
  </si>
  <si>
    <t>10219e75-2a07-43ba-9824-f0be5740cb4d</t>
  </si>
  <si>
    <t>db35efcf-ce78-4ea7-8eac-7b2452c7c742</t>
  </si>
  <si>
    <t>4d168234-21e3-4bac-a14f-49334ff5a69a</t>
  </si>
  <si>
    <t>f792ad96-2e27-49fb-a024-8f04792abc26</t>
  </si>
  <si>
    <t>d094d5d6-baef-4713-8ebb-ad9a3348186c</t>
  </si>
  <si>
    <t>9dbdf947-8f86-4234-a7ea-456c7a4740f6</t>
  </si>
  <si>
    <t>8297a721-2407-4875-8958-79ef27c7355d</t>
  </si>
  <si>
    <t>d86d63a9-c924-497f-ae21-47ab2d87cb00</t>
  </si>
  <si>
    <t>76657f70-6997-46f1-b2e2-0a4cabfe066b</t>
  </si>
  <si>
    <t>4f03b3cc-81ab-4a87-b72e-262c25810b21</t>
  </si>
  <si>
    <t>f139e88b-cd2f-4e91-aa21-7da042fc9ab5</t>
  </si>
  <si>
    <t>5c0c2df1-b2a5-4367-a53f-c3e3177f4ed9</t>
  </si>
  <si>
    <t>7eea8717-c2ac-4782-8d91-62bf94c764ff</t>
  </si>
  <si>
    <t>1bc5db28-fecd-4e6a-afce-2ca1d2e3c945</t>
  </si>
  <si>
    <t>848e7d1d-9e67-4295-b8ec-c132b3cb6aa7</t>
  </si>
  <si>
    <t>7ab4639b-51fa-4929-8280-8dfd7036c739</t>
  </si>
  <si>
    <t>923f8be2-f4e3-445b-94da-dc0887909877</t>
  </si>
  <si>
    <t>0e70bee7-1e18-4793-820d-83180c4ccc7a</t>
  </si>
  <si>
    <t>e2ed23f4-55de-49d5-be6d-4d708e664048</t>
  </si>
  <si>
    <t>c48e51b9-4c07-48fd-a1f8-477fda921e12</t>
  </si>
  <si>
    <t>6753433c-e059-4f81-ae96-94e0850026c4</t>
  </si>
  <si>
    <t>ffd9c6bb-897d-4a23-834d-28f7d38e05d4</t>
  </si>
  <si>
    <t>de08eba4-c7ed-44c4-be24-1b25bc7721da</t>
  </si>
  <si>
    <t>da46ecaa-f5a3-47cd-8528-25ff89b8c89a</t>
  </si>
  <si>
    <t>7711fc9c-5c72-49ec-b6ac-bc838a45c555</t>
  </si>
  <si>
    <t>ee54531f-845e-4713-ab5a-41c7fb4dcf15</t>
  </si>
  <si>
    <t>c29615fb-8e9e-47ed-a32c-aa963599e41e</t>
  </si>
  <si>
    <t>b9740242-2469-489d-b43b-43aa530519df</t>
  </si>
  <si>
    <t>8bcbc00d-b9b9-4438-abf5-3dec316d423b</t>
  </si>
  <si>
    <t>76a6fbb3-59c6-42dd-a586-5dbbefaaa3fe</t>
  </si>
  <si>
    <t>495eda5e-6e70-4f57-85e9-4dd274b6a7e1</t>
  </si>
  <si>
    <t>d46a008f-bfba-422c-89f3-4bfba1642db7</t>
  </si>
  <si>
    <t>bf888af8-c328-402a-a7f4-eb24c22a3989</t>
  </si>
  <si>
    <t>4a3d92f2-ccaf-4272-9c8d-295a60c32e8f</t>
  </si>
  <si>
    <t>93b000f4-cdb0-4ea2-9f57-effa8cd36d96</t>
  </si>
  <si>
    <t>d39faa58-6b2e-4f5f-8844-75f7a59759ec</t>
  </si>
  <si>
    <t>3c5846ca-059a-470c-8fc9-b9cdf03f3a6a</t>
  </si>
  <si>
    <t>a5df7847-67b7-46cd-9c1a-f17e0cfb99f4</t>
  </si>
  <si>
    <t>b8806141-37b5-4a04-ad07-9a52a30d2824</t>
  </si>
  <si>
    <t>45c93ec5-17d0-4be2-b823-df75efdf8ea5</t>
  </si>
  <si>
    <t>6ea12d8b-b01e-4c08-a8bc-b58d4fbbc358</t>
  </si>
  <si>
    <t>f888df15-827d-4916-9597-9efcbc0b49f1</t>
  </si>
  <si>
    <t>b3f6b2e0-dc10-4702-a6e7-8146f5145e99</t>
  </si>
  <si>
    <t>14d175c9-1e4a-44ca-b077-409c2bf183b0</t>
  </si>
  <si>
    <t>adb3389a-2100-4da8-96cc-ea2e8ca04c02</t>
  </si>
  <si>
    <t>55b01fc6-1f10-4791-bee6-a79856770fd7</t>
  </si>
  <si>
    <t>f97d7c3f-9d43-4114-a137-99e4b0398e3e</t>
  </si>
  <si>
    <t>1be28137-8437-473e-8139-9ed986f253e5</t>
  </si>
  <si>
    <t>91e7b47d-71a9-44eb-9b07-58c88cc5b2e0</t>
  </si>
  <si>
    <t>a0516798-014a-41bf-9278-fc92a3408263</t>
  </si>
  <si>
    <t>70fd59ed-24b3-4493-a6e6-9fab74306d4d</t>
  </si>
  <si>
    <t>729a2f5d-093a-4559-8aaa-581171df247b</t>
  </si>
  <si>
    <t>fc577f6c-7227-4c60-88c5-429992358499</t>
  </si>
  <si>
    <t>675cbec4-9293-4ae5-ac56-e67f6afe9a3b</t>
  </si>
  <si>
    <t>40f02ea5-32fc-42c4-8f8e-5b7d49be09fa</t>
  </si>
  <si>
    <t>89235bc0-e296-4689-abf2-55b0c3168cb2</t>
  </si>
  <si>
    <t>32cc0dc1-a1b4-4ba8-8278-3a83500de5d3</t>
  </si>
  <si>
    <t>cff48a30-ed0d-4ee4-b6d7-f148b5782f54</t>
  </si>
  <si>
    <t>fcc87b11-f722-4fda-89c7-d0eacba0546f</t>
  </si>
  <si>
    <t>b1ab1810-d924-46de-85de-db1da687d814</t>
  </si>
  <si>
    <t>a3a68d30-40aa-406d-bfb7-0f921cca48b5</t>
  </si>
  <si>
    <t>061183de-0c6b-4746-9f69-50695a764ab9</t>
  </si>
  <si>
    <t>e816bd9b-fe10-4bb7-b436-aeefa2fc7556</t>
  </si>
  <si>
    <t>07393307-c7a1-4c0f-be74-12c14fa7ed6c</t>
  </si>
  <si>
    <t>6681b802-c43c-4f7d-b26b-f77f934c371d</t>
  </si>
  <si>
    <t>4473fa9d-05f1-432f-aa68-999540a5e678</t>
  </si>
  <si>
    <t>8da63988-b103-4dc7-b660-e52e319a5d5e</t>
  </si>
  <si>
    <t>92bd5a89-a40f-40de-bbef-6f9fd4e809c8</t>
  </si>
  <si>
    <t>df95b011-32f4-4297-8cad-8adbacac7395</t>
  </si>
  <si>
    <t>af1383a9-8eca-41c9-ae88-beb528acb6ed</t>
  </si>
  <si>
    <t>63ea8406-522d-4537-aad0-d5bd54c1b18e</t>
  </si>
  <si>
    <t>b1a8fb8e-126c-43a3-94f6-344f3e085bd7</t>
  </si>
  <si>
    <t>7be792a8-6a4e-4c37-a5f6-3ac824cad0ad</t>
  </si>
  <si>
    <t>e0363235-0828-4efb-9de3-39a9d5e976e9</t>
  </si>
  <si>
    <t>cb9965ca-03b7-475f-93c3-7aa7602838fa</t>
  </si>
  <si>
    <t>4c97ba84-2e66-4679-a905-3da520acf188</t>
  </si>
  <si>
    <t>c5e132ae-5625-4741-95d5-3270a916a013</t>
  </si>
  <si>
    <t>47e77699-8899-4002-8fd5-c7d23352c57e</t>
  </si>
  <si>
    <t>7073bf34-5b6b-44e8-bdc5-ce765df0d36e</t>
  </si>
  <si>
    <t>d00ddf81-b2db-42d9-8df8-68b07263ab99</t>
  </si>
  <si>
    <t>82325dc9-bf43-4526-9705-380412680fb2</t>
  </si>
  <si>
    <t>42bf8ba2-7b77-464f-816e-8d5b3b6b5f64</t>
  </si>
  <si>
    <t>fc6bb094-c4bb-40ea-ac23-a20e2ae304bd</t>
  </si>
  <si>
    <t>b7db001b-7c5a-4500-bb24-535950973c06</t>
  </si>
  <si>
    <t>928b7427-1b71-40f5-8133-0397e0dc8017</t>
  </si>
  <si>
    <t>854a766b-dadd-4f89-b30c-8c93a3a11bc7</t>
  </si>
  <si>
    <t>aae2d924-f4f5-4533-a1f7-b3ad92230217</t>
  </si>
  <si>
    <t>bf95c908-77f9-49ec-b9c6-2cd137425666</t>
  </si>
  <si>
    <t>1bfdc39b-23fc-4bce-976a-5e1b4f9a9c2c</t>
  </si>
  <si>
    <t>fad76549-a3df-47e2-9e57-d4bb5147b337</t>
  </si>
  <si>
    <t>35415434-ac5e-414c-95e4-a56139a91d67</t>
  </si>
  <si>
    <t>0e6662b2-9342-4f34-8522-93ec4518115d</t>
  </si>
  <si>
    <t>b94c60b5-ab43-46ed-a559-9967773f5169</t>
  </si>
  <si>
    <t>ad570142-17c3-4f11-9259-96c1df299306</t>
  </si>
  <si>
    <t>d50e198f-2773-49db-807f-fa01576ee803</t>
  </si>
  <si>
    <t>ce29ea1a-a5cf-40a2-bd2b-19c122361966</t>
  </si>
  <si>
    <t>0d09c2d0-48a1-4340-aa70-bfbacc8fcb71</t>
  </si>
  <si>
    <t>9adc9856-3329-41d2-8a20-30574a38109c</t>
  </si>
  <si>
    <t>17cc8c5b-6d3e-4e60-a264-9d839e6197e9</t>
  </si>
  <si>
    <t>4b034f10-d67d-42e6-81bf-7dfaef5d3aa2</t>
  </si>
  <si>
    <t>d15f105c-b663-4ffe-8778-06abddbb2bc1</t>
  </si>
  <si>
    <t>7481a8aa-420d-467a-95d3-061916b78a23</t>
  </si>
  <si>
    <t>7fbeb150-5c7a-4a79-b721-a9fe7daef93f</t>
  </si>
  <si>
    <t>2a23f0f3-de06-4c74-9d14-31d71d0b2ff7</t>
  </si>
  <si>
    <t>91ce0a02-e37e-45d2-9499-3213660c9463</t>
  </si>
  <si>
    <t>7477c746-1f0d-4beb-a337-8972cddfb9bb</t>
  </si>
  <si>
    <t>af5114d0-4d79-407e-a42d-ef73ad4d13de</t>
  </si>
  <si>
    <t>164e2f43-580e-4217-8887-a42294ddf8f0</t>
  </si>
  <si>
    <t>dbe8f311-a056-4517-bd0c-54f2e5ea99f4</t>
  </si>
  <si>
    <t>8a3165b9-3247-43d3-a538-e977eeb01b0d</t>
  </si>
  <si>
    <t>5060a2f0-9042-4791-a2bd-3d2041f630b9</t>
  </si>
  <si>
    <t>26ed5b0d-a7a7-4683-90f7-8f6af9515ee0</t>
  </si>
  <si>
    <t>b48d4d7a-11d8-413a-919b-c97e28d70944</t>
  </si>
  <si>
    <t>43dd62cd-d248-474f-a9ca-292cfeae1eb2</t>
  </si>
  <si>
    <t>be739496-71c0-4257-bbc9-b9ecbf416717</t>
  </si>
  <si>
    <t>5a4177d5-1ef2-47ec-b14c-61c2f07622ad</t>
  </si>
  <si>
    <t>19a73fb0-17d0-4a2a-ae63-3836f7fabcbb</t>
  </si>
  <si>
    <t>66024073-6437-42ae-9237-cf4ba43498b7</t>
  </si>
  <si>
    <t>1254ff49-5e8b-4f8c-bc8f-3cfa8d1285f8</t>
  </si>
  <si>
    <t>f6bda6e9-42cb-4963-9f7f-926e2b401f80</t>
  </si>
  <si>
    <t>61cc2807-4c9b-4d3f-aef1-c6109bd43f05</t>
  </si>
  <si>
    <t>f8cbf890-8919-4cd7-9343-2600fbe664c9</t>
  </si>
  <si>
    <t>3afda16f-894b-4811-bcd6-5d11432fb305</t>
  </si>
  <si>
    <t>cc3ff0f7-592e-4096-9484-0fe4e6da451e</t>
  </si>
  <si>
    <t>63f21bde-1da7-4c3d-8013-c9246ad08c75</t>
  </si>
  <si>
    <t>2f64a760-66ce-4768-9cee-b58ea9a87bb2</t>
  </si>
  <si>
    <t>e34f4f32-11a9-41b4-a7b7-284ace09ab8a</t>
  </si>
  <si>
    <t>510e1e09-3b34-4099-916a-b0ecf88e1395</t>
  </si>
  <si>
    <t>fa66b928-c80a-4ccd-a4ff-0e49a7169876</t>
  </si>
  <si>
    <t>c46d7753-a062-4fc3-bca7-626f63846ab3</t>
  </si>
  <si>
    <t>80e155e4-f7c5-4bac-acb7-25f536246d87</t>
  </si>
  <si>
    <t>ef322b21-041f-46ab-9dfb-2f6889a03acf</t>
  </si>
  <si>
    <t>e07a2f84-539e-435a-a27e-1aa27920c43a</t>
  </si>
  <si>
    <t>a95ccb69-dc40-4c60-bd11-bf2ff013fd44</t>
  </si>
  <si>
    <t>7706be9f-7163-4c9d-a598-e7a60335ec32</t>
  </si>
  <si>
    <t>4c2d6f98-bc16-484e-9b9d-e8df79eae5db</t>
  </si>
  <si>
    <t>f045263a-d316-4ba5-a6de-8a4096ee2a0f</t>
  </si>
  <si>
    <t>31ba496e-bcfc-4716-a17d-436431cc321d</t>
  </si>
  <si>
    <t>a7428e3a-2187-40c3-9c80-a0e495e70f02</t>
  </si>
  <si>
    <t>c959e1b5-bee6-4609-afc8-c26904a4e6b9</t>
  </si>
  <si>
    <t>12bab92a-7d1a-4923-b64b-fcfb25f4973f</t>
  </si>
  <si>
    <t>e0dcb575-309a-4751-b42c-4f362ab95150</t>
  </si>
  <si>
    <t>69192804-c436-41de-9fe7-2d5e93275e0b</t>
  </si>
  <si>
    <t>16111341-5855-4ead-b1fb-a994c0b3c095</t>
  </si>
  <si>
    <t>a5e7b4db-109f-43ab-92fb-932e994c6905</t>
  </si>
  <si>
    <t>1e4a72c1-a503-403f-868e-d3b2e8556374</t>
  </si>
  <si>
    <t>71c3a23e-28f3-46f9-92fd-e4f07b87850f</t>
  </si>
  <si>
    <t>98a971d8-b228-4c24-89ef-dd08503f59b0</t>
  </si>
  <si>
    <t>fcfa8741-fc1e-4629-b4dd-cfba5a81bf37</t>
  </si>
  <si>
    <t>334405eb-57c7-4d4f-b3eb-3bf5be46ce9c</t>
  </si>
  <si>
    <t>61c9f0c1-6b00-44ba-af9e-d07cb5956771</t>
  </si>
  <si>
    <t>287ab619-2b8c-452b-a0fc-27314de3092a</t>
  </si>
  <si>
    <t>f8e03a91-a721-43f0-8492-0a8f5a089c9d</t>
  </si>
  <si>
    <t>54b3885d-5aaa-4154-a1c5-61d0b5f2474f</t>
  </si>
  <si>
    <t>9e14f6c9-829d-4854-a425-930f2ddd2626</t>
  </si>
  <si>
    <t>f514c248-00a6-4cd8-8950-bca16099b353</t>
  </si>
  <si>
    <t>63056456-a21b-40b5-a5b2-671c9801972a</t>
  </si>
  <si>
    <t>0c052bb1-48be-42a4-a11b-b1483252217b</t>
  </si>
  <si>
    <t>0f68bebe-2aa7-4165-8ee0-70cb6d31aeb5</t>
  </si>
  <si>
    <t>6b577417-79b6-4d4c-8c35-50d2c51c044d</t>
  </si>
  <si>
    <t>df1108a7-e765-482d-847b-9280eb8b64d4</t>
  </si>
  <si>
    <t>2d818d67-3d4d-4a28-9d7d-2ff7b6737e36</t>
  </si>
  <si>
    <t>63697445-e945-43da-b8ca-b173c4170a4c</t>
  </si>
  <si>
    <t>260c527d-1add-48c9-b153-fb4fb47839d6</t>
  </si>
  <si>
    <t>20cfe7b0-de56-47c1-a384-1628a366aaa0</t>
  </si>
  <si>
    <t>3e1744f6-f5ec-40f9-92e8-f1a4d02ac3d1</t>
  </si>
  <si>
    <t>833598a6-5e80-421b-8077-cc155c10d4b5</t>
  </si>
  <si>
    <t>edbd3310-40c7-4e77-a78e-602b37b5cc08</t>
  </si>
  <si>
    <t>51cb0085-1d95-4464-9e94-18749b120263</t>
  </si>
  <si>
    <t>d36f38bb-9f3d-414f-8b9a-d5324801b3dd</t>
  </si>
  <si>
    <t>680ed457-49d9-4f07-af2a-3dda6a6e9550</t>
  </si>
  <si>
    <t>6d12de91-170d-4fc2-b800-a25cab1fb8b3</t>
  </si>
  <si>
    <t>00ba863f-08aa-47e8-85d8-7ad95eda70bb</t>
  </si>
  <si>
    <t>db9f71d3-c154-44f2-b841-e95e1a083298</t>
  </si>
  <si>
    <t>36c17819-540e-4648-8202-d4d6433e6f03</t>
  </si>
  <si>
    <t>ed1e73b4-a3c9-4e73-8b0b-ba8c8c9c719f</t>
  </si>
  <si>
    <t>ad999c08-6995-4c31-b75c-6056f6d8306e</t>
  </si>
  <si>
    <t>15b67ae0-91b2-4ff9-9ea1-c5fbeed57773</t>
  </si>
  <si>
    <t>28765275-3665-4773-888a-40afaf8b5f56</t>
  </si>
  <si>
    <t>01346979-0ae2-46ab-8a29-7bef84318476</t>
  </si>
  <si>
    <t>6b4721ae-aec4-48d6-9871-6a031bbb3d51</t>
  </si>
  <si>
    <t>95dc7e3d-ceae-49bf-ae4b-88d49105523c</t>
  </si>
  <si>
    <t>edfe4bfa-93c6-4af0-8d5b-a087b9ff73d8</t>
  </si>
  <si>
    <t>aa3720f8-9b7b-4ef6-9dcb-0654b35bf5b4</t>
  </si>
  <si>
    <t>d55d8732-b59b-4553-96f5-d772ba36862e</t>
  </si>
  <si>
    <t>52ee7ef4-43e2-434e-a8d2-17e91a26fd7a</t>
  </si>
  <si>
    <t>9b53c561-2eab-4ce8-aa0d-06278ed863a5</t>
  </si>
  <si>
    <t>a8b00633-e81b-4279-9929-b132c0d818c1</t>
  </si>
  <si>
    <t>e15b9109-f13b-46c1-b08a-c2b311f494e1</t>
  </si>
  <si>
    <t>eb5a7c4f-f7d4-4aff-af33-9eb0de0068d3</t>
  </si>
  <si>
    <t>f9e557cf-7122-4137-a6fb-ec66d074b392</t>
  </si>
  <si>
    <t>031cd7e7-c70e-4df6-ac6e-fa2348643516</t>
  </si>
  <si>
    <t>dae9fd66-046e-46b9-bf5d-3caa30a4a3e0</t>
  </si>
  <si>
    <t>9ccee506-8841-42a3-afe7-b5acea2ae79c</t>
  </si>
  <si>
    <t>edfbd681-1334-4729-b32a-c567cfd889fb</t>
  </si>
  <si>
    <t>c776816f-ff40-4a56-bd0e-9297b91d8f2e</t>
  </si>
  <si>
    <t>6c5603cc-e4dc-45fa-bb63-0bd8415421bd</t>
  </si>
  <si>
    <t>c28d37d2-4a02-4252-bc70-01941c5526e9</t>
  </si>
  <si>
    <t>68feb985-b143-41de-b707-50bc8d541261</t>
  </si>
  <si>
    <t>a588ace7-e53a-4dcc-98ab-226866ff9443</t>
  </si>
  <si>
    <t>bb79aae8-000a-41ba-9cb4-e07f602d1363</t>
  </si>
  <si>
    <t>1aab0b24-b789-451c-ad40-c28373853d59</t>
  </si>
  <si>
    <t>66afe0bd-9516-475e-97af-f3a1b6ccef4c</t>
  </si>
  <si>
    <t>e2be06bd-19af-4ec9-91e6-74575cda3835</t>
  </si>
  <si>
    <t>482558c6-a151-4b6a-96fb-87db0a5ac12d</t>
  </si>
  <si>
    <t>7d9a43c8-1f9e-45b7-87df-5e34275b5dae</t>
  </si>
  <si>
    <t>bf818a4f-65a7-429b-a986-882edd90dd2f</t>
  </si>
  <si>
    <t>732318e4-eaa2-49b3-8513-fdc7d4946f7a</t>
  </si>
  <si>
    <t>be1e4b85-4a75-4595-a637-e882b0a9e64d</t>
  </si>
  <si>
    <t>755fbf31-fd20-4679-a170-5d8276e2c9c2</t>
  </si>
  <si>
    <t>42d3167f-e835-45c9-85dd-525d48d06449</t>
  </si>
  <si>
    <t>a96e08b2-81cf-427d-95fb-d2903f0d7e96</t>
  </si>
  <si>
    <t>69a240e3-599c-40fb-87a7-b305ed03d9ee</t>
  </si>
  <si>
    <t>3ac4c9bb-df50-499f-8a39-09194aed3adb</t>
  </si>
  <si>
    <t>4f11948f-edc5-4b67-b539-3212b506ae34</t>
  </si>
  <si>
    <t>644bd7be-6603-4da5-84e0-66b2f258f5ff</t>
  </si>
  <si>
    <t>4692809e-575b-4350-84b2-7c0171825ad9</t>
  </si>
  <si>
    <t>ea7cccf6-44fa-4689-b729-f5fa403673cc</t>
  </si>
  <si>
    <t>02eb61a4-c6bf-4211-b405-95dd716f0350</t>
  </si>
  <si>
    <t>3cccbf92-0547-4040-a154-a581d311cac3</t>
  </si>
  <si>
    <t>8503f991-9bcd-43d0-8dcd-2a4f888d2ea0</t>
  </si>
  <si>
    <t>8517abfd-1aee-4bb8-bb8b-eb10748347af</t>
  </si>
  <si>
    <t>26bdb04a-2e6f-48b8-8de9-4b4477bf5877</t>
  </si>
  <si>
    <t>c0f6f350-13da-447c-94a0-b1db0c79972d</t>
  </si>
  <si>
    <t>da31120b-06ff-4a60-8a3f-d68c7f85f942</t>
  </si>
  <si>
    <t>49ba1edf-0829-4bbd-af65-0bbe2f7d7d7a</t>
  </si>
  <si>
    <t>d8e0bcbd-d240-42ac-b9d3-0b8df5b80e85</t>
  </si>
  <si>
    <t>941bfc93-553d-4833-97a2-92c220700398</t>
  </si>
  <si>
    <t>b8175b9c-b812-49d2-a503-6c05684303a8</t>
  </si>
  <si>
    <t>c0ecb5e7-df10-4f5c-97d8-9e5c6519d8b9</t>
  </si>
  <si>
    <t>21594f93-94e5-4d6b-9bd2-f26de30990f4</t>
  </si>
  <si>
    <t>bb82931e-570c-4ade-9016-cdf3316e5ca5</t>
  </si>
  <si>
    <t>07302376-b117-4589-a107-b87ef91ebc8d</t>
  </si>
  <si>
    <t>ab1ff4b8-8eb6-4199-ad81-a46ac588e1e5</t>
  </si>
  <si>
    <t>d4edf047-206d-4708-bf3a-051ae848d84f</t>
  </si>
  <si>
    <t>654e8c54-8870-479c-a356-3c621e9d9895</t>
  </si>
  <si>
    <t>de0a3adb-e4c9-460e-bb4d-956c35d17bb6</t>
  </si>
  <si>
    <t>5d07c812-feba-4a33-b2e5-150a825402f6</t>
  </si>
  <si>
    <t>dbb24fa5-9d58-4d64-9536-2e4a8c3a9fd4</t>
  </si>
  <si>
    <t>b8005177-f309-494a-8873-91c0e4291e9b</t>
  </si>
  <si>
    <t>0ceffc6a-77d0-41ed-bda7-0958edac2c4d</t>
  </si>
  <si>
    <t>2456ec0f-4da0-4f77-9a04-be57e006f804</t>
  </si>
  <si>
    <t>cf1e8e64-207c-417e-b519-8bf3d7e1f9a8</t>
  </si>
  <si>
    <t>07ca366d-6655-4d43-9e69-675834889321</t>
  </si>
  <si>
    <t>9f2a2436-6ea2-45a1-be4e-5d0078cb1954</t>
  </si>
  <si>
    <t>bd5a8aba-c878-4a2b-a680-9e72d58cc9f4</t>
  </si>
  <si>
    <t>d1bcab77-db09-44d4-b746-d47fcdf8b7ef</t>
  </si>
  <si>
    <t>439736da-8f68-44b8-bd5f-8855f388bf61</t>
  </si>
  <si>
    <t>6d72a657-a5ea-4cb2-8b23-58f8a78f79da</t>
  </si>
  <si>
    <t>b4bd874b-d1c4-4aeb-99d9-05632e5e8151</t>
  </si>
  <si>
    <t>b8ae87ec-934f-45f2-bafc-e26a91712ed2</t>
  </si>
  <si>
    <t>23cb9425-f1d6-4acc-b41e-b7cd7efce0da</t>
  </si>
  <si>
    <t>4b567518-7861-4d13-a0f9-e95053393ca9</t>
  </si>
  <si>
    <t>aa504c60-db46-4b6f-9784-091034119755</t>
  </si>
  <si>
    <t>a2dd4516-497b-4b7a-9d72-9f1b1482edad</t>
  </si>
  <si>
    <t>06044b42-a565-418e-8012-d33713bf6bd9</t>
  </si>
  <si>
    <t>ac957e7f-e5a4-48ae-8e67-398c070195e4</t>
  </si>
  <si>
    <t>7e293d9f-b2b8-40c2-8bb0-a07d26b41463</t>
  </si>
  <si>
    <t>64fee4c5-f92f-43d2-aadf-3a220867e56e</t>
  </si>
  <si>
    <t>a6820025-7b09-49c1-80a0-bacb8e087f4d</t>
  </si>
  <si>
    <t>c3a9ed33-51dd-4355-aeb2-a0f97134861c</t>
  </si>
  <si>
    <t>67ffd469-a40b-4da4-85ac-4fad6227ee23</t>
  </si>
  <si>
    <t>5880f81e-8dee-4972-8e7b-86935af96de9</t>
  </si>
  <si>
    <t>c7c6ca40-cc1f-43d0-943e-7f99c074251d</t>
  </si>
  <si>
    <t>d3399209-1012-4f19-a68b-5b63da195cff</t>
  </si>
  <si>
    <t>a03986c0-35cd-476d-84d1-dc1600ae2d25</t>
  </si>
  <si>
    <t>4c0fdd4e-716f-4ca3-95a2-7d48e5b48b06</t>
  </si>
  <si>
    <t>2fa8001a-edfc-47ad-8133-05c19d418daf</t>
  </si>
  <si>
    <t>c0378b73-b353-4c06-9efb-d9aa6afdd6b8</t>
  </si>
  <si>
    <t>0594ca63-5dc8-43be-b95d-df1b66325db7</t>
  </si>
  <si>
    <t>ae5e1188-44bf-4ee9-b653-849ca92abde8</t>
  </si>
  <si>
    <t>a34fec1a-d498-4bbb-902c-5a3b5addf20f</t>
  </si>
  <si>
    <t>00b3d106-1e1c-431a-81a7-f32682e203ae</t>
  </si>
  <si>
    <t>be37e5e8-d93f-4d2c-91a7-08f5afa1e7a6</t>
  </si>
  <si>
    <t>c413bd18-486f-4e71-86d7-8e3c88f16404</t>
  </si>
  <si>
    <t>337a1ceb-415a-4176-8a7f-65ee5fd3c2dc</t>
  </si>
  <si>
    <t>7466f37d-78cf-4e5f-adb2-48731ebe5dd3</t>
  </si>
  <si>
    <t>1ed8c5b8-71ab-417d-9c4b-86c283f3c885</t>
  </si>
  <si>
    <t>a6e732c1-047a-49f9-8038-f9bab646819d</t>
  </si>
  <si>
    <t>c0aff24b-814a-4437-979d-d396924605d4</t>
  </si>
  <si>
    <t>bce1b79f-8443-4d9f-ab35-f94228646e1c</t>
  </si>
  <si>
    <t>a2ab117d-2947-4d61-bd6c-c788d575d7ee</t>
  </si>
  <si>
    <t>043a57eb-e285-4968-9a78-cdc165b5768f</t>
  </si>
  <si>
    <t>d161e0df-1f11-4037-ac3d-edc80ef06d03</t>
  </si>
  <si>
    <t>a134bd1d-d5e9-442e-b6f6-4bd46ad11acc</t>
  </si>
  <si>
    <t>47878615-a24a-478d-9e8e-c09fc69eb1fa</t>
  </si>
  <si>
    <t>8e1b1c64-9df2-4296-ba40-cf60482004e1</t>
  </si>
  <si>
    <t>dd934248-efe0-40ca-8f1e-901b4e0edffa</t>
  </si>
  <si>
    <t>f1b4c867-b263-4b02-8123-6a2c56648300</t>
  </si>
  <si>
    <t>f98f830a-8a51-4187-93c5-304d452ebaa7</t>
  </si>
  <si>
    <t>7490e6f9-4a32-4fdc-a1b8-859e2cc67fc5</t>
  </si>
  <si>
    <t>54b2689e-14ad-40b3-a0f9-d8917aba458f</t>
  </si>
  <si>
    <t>5b02b801-ec69-48b4-87a9-f679c9e26ed4</t>
  </si>
  <si>
    <t>9593add3-9f4c-4047-a064-0786eddb5032</t>
  </si>
  <si>
    <t>429889a9-ad6b-4b28-90cb-bf2ec0871b0a</t>
  </si>
  <si>
    <t>0f5a9af3-e0b0-4528-a2a5-1f4e1bffca1e</t>
  </si>
  <si>
    <t>cb2c19d0-2d7f-40d6-b234-9b66b7e08633</t>
  </si>
  <si>
    <t>dacd3b83-517e-4459-9edc-095ae86ac69b</t>
  </si>
  <si>
    <t>c0fbb99b-8d87-4618-ab15-9e073dc70712</t>
  </si>
  <si>
    <t>2633b7e4-0390-42a4-afac-94e939564193</t>
  </si>
  <si>
    <t>c121a31f-3f55-4dd9-b3f8-eb8972e51d81</t>
  </si>
  <si>
    <t>9a4066aa-7ea3-4ca3-92d7-6dd105b8b6dd</t>
  </si>
  <si>
    <t>33111599-0af2-4019-8bde-a4ca26eead19</t>
  </si>
  <si>
    <t>70e6333a-bade-4d76-9b06-21178de98055</t>
  </si>
  <si>
    <t>1fff62fa-9d0c-4722-82b2-08ec15873e69</t>
  </si>
  <si>
    <t>8c59ebef-83a8-4fbc-9c53-f7fad33f70a5</t>
  </si>
  <si>
    <t>42837802-93f3-4190-852d-a4e578cb5455</t>
  </si>
  <si>
    <t>38ce31d0-c5f1-4f5d-8b51-22a8251b5d15</t>
  </si>
  <si>
    <t>33051b77-7a7d-4442-b95b-f3dd0aa06846</t>
  </si>
  <si>
    <t>c2556ce2-110b-437b-b9ce-2dfd05f4c060</t>
  </si>
  <si>
    <t>03778d55-0517-4a04-8396-f6d63bc8263d</t>
  </si>
  <si>
    <t>731c9577-3d41-464d-a8fc-a08e9dfcc7ba</t>
  </si>
  <si>
    <t>529523c3-2fa1-4aa0-9408-1b85e99cd44f</t>
  </si>
  <si>
    <t>b121f48e-e454-4e67-a5a0-dbb4b9ae3f5c</t>
  </si>
  <si>
    <t>93ad99bd-6466-4e95-9606-b97f8419c063</t>
  </si>
  <si>
    <t>ce604cf5-e587-4467-bac6-e746d5d171d0</t>
  </si>
  <si>
    <t>49bf767d-4690-48a6-9a58-c9e0baafb9a1</t>
  </si>
  <si>
    <t>3a63e0fc-5c2e-4f1b-8852-b7cc74ea60bc</t>
  </si>
  <si>
    <t>3ec86ab1-230c-4f88-afec-bf4c7332cebc</t>
  </si>
  <si>
    <t>eca022e5-eb38-490e-b80e-ccaa6bc83a00</t>
  </si>
  <si>
    <t>b38b878e-0de4-46e4-8b35-b65446f84e27</t>
  </si>
  <si>
    <t>d7fc7ffb-e85f-496b-9e9c-a025188ca3d9</t>
  </si>
  <si>
    <t>542eee15-3290-49d1-bdc3-b83dfdbb910b</t>
  </si>
  <si>
    <t>f8e7b543-4050-45a3-8a4c-ef712738af05</t>
  </si>
  <si>
    <t>6b65758f-1644-4a33-8f72-84b48d46e724</t>
  </si>
  <si>
    <t>2abd9d61-0f3e-43c3-86e6-f2f4958367bc</t>
  </si>
  <si>
    <t>0442314e-9762-4cc1-a74a-91f9da477b7e</t>
  </si>
  <si>
    <t>d0809db8-b66a-4c14-8d11-5de9ced125df</t>
  </si>
  <si>
    <t>85a7bb6d-8700-44f9-9167-2919cbe3b0d1</t>
  </si>
  <si>
    <t>7b36adcd-a86d-4bd9-a7d1-395581919fa5</t>
  </si>
  <si>
    <t>c85cd4fa-ee9a-4899-9b4c-1a8db8c8aff8</t>
  </si>
  <si>
    <t>2cb42124-e379-4969-8823-ccf0bf0010e8</t>
  </si>
  <si>
    <t>c9462f33-005e-4832-b3f5-08891d76f29b</t>
  </si>
  <si>
    <t>e536ed53-7b13-467e-8a5d-9e0e78fa2914</t>
  </si>
  <si>
    <t>410859cb-4c88-4bdc-933c-3bce23241491</t>
  </si>
  <si>
    <t>cdd32f45-79b2-4477-9e9a-934a6ec3ef03</t>
  </si>
  <si>
    <t>3fffd831-e118-4e6a-b447-aee297b1ffe3</t>
  </si>
  <si>
    <t>bdb62b6f-0e24-46f9-9191-c1f4f760846d</t>
  </si>
  <si>
    <t>14874ca8-c9fd-4790-b7e0-70aab917fe72</t>
  </si>
  <si>
    <t>a741a362-1fe3-4a38-a0c3-36b331ae021a</t>
  </si>
  <si>
    <t>f74596b0-05ae-428f-b343-124049d4b3b2</t>
  </si>
  <si>
    <t>e9520f0e-e6af-4ea9-acda-359fe2925c82</t>
  </si>
  <si>
    <t>74aa78b7-50d6-4a23-97f9-1ae6481f266c</t>
  </si>
  <si>
    <t>588e4536-34a9-4ea0-a18b-492089f8bdab</t>
  </si>
  <si>
    <t>66f45e6e-83e1-4f72-8d79-7217214ba68a</t>
  </si>
  <si>
    <t>ad99d68c-5328-45ea-adad-493d57d94440</t>
  </si>
  <si>
    <t>0fa30522-0ab1-405a-8936-689814d21374</t>
  </si>
  <si>
    <t>6ce47d8a-05d4-4db4-845f-c3c3d828c867</t>
  </si>
  <si>
    <t>f92cee64-c989-4ec8-b98b-88e38d53e350</t>
  </si>
  <si>
    <t>ded68e46-dd13-4668-bdfb-db6f5d7c436a</t>
  </si>
  <si>
    <t>3e49b3e2-5504-477e-9948-c46010a40690</t>
  </si>
  <si>
    <t>f93dec09-8a38-40ca-875c-eeafd93678f1</t>
  </si>
  <si>
    <t>25528f43-0946-44d2-9a42-4e29d3d0d4c3</t>
  </si>
  <si>
    <t>ff3d9589-60e7-4584-95ab-504d4552232b</t>
  </si>
  <si>
    <t>de108b4a-ad6b-4950-a3e7-63ffbbd4dcd1</t>
  </si>
  <si>
    <t>2e8d6982-b402-4d0e-8119-2972e6470ec4</t>
  </si>
  <si>
    <t>43f2b4c4-ae8f-4655-93c1-2096d23dfba5</t>
  </si>
  <si>
    <t>dc91d615-11dd-435b-aa58-3b279ecfb531</t>
  </si>
  <si>
    <t>3e73d68e-c0b9-4845-b327-edbe4e19f80b</t>
  </si>
  <si>
    <t>5f517600-475c-4e38-85ac-6a5de2fda514</t>
  </si>
  <si>
    <t>5f52eab1-1af3-4445-a257-4dfa7cc87547</t>
  </si>
  <si>
    <t>1213fd63-c3f5-49c4-98f1-b40542ee728a</t>
  </si>
  <si>
    <t>0691d208-742f-4e0c-975a-bdc5d90c28aa</t>
  </si>
  <si>
    <t>2b7290cd-3804-4d8b-96d8-1c8078d2daa3</t>
  </si>
  <si>
    <t>44c1ecb4-a810-4d45-996a-d97569a61736</t>
  </si>
  <si>
    <t>1538fa81-cc8b-4778-a3f5-7c84656091e5</t>
  </si>
  <si>
    <t>98c9b3c4-e1ce-43d8-8657-ac241a8cdc48</t>
  </si>
  <si>
    <t>f89db2cb-b732-44a3-9137-9df00d36e0a5</t>
  </si>
  <si>
    <t>76fe316e-bab8-427c-a30c-03aff353a5d4</t>
  </si>
  <si>
    <t>81fc9368-356e-4382-b121-bed7a1c853d2</t>
  </si>
  <si>
    <t>d44c2d14-583b-4030-834a-4d8a85e996cc</t>
  </si>
  <si>
    <t>77d6186a-e9b3-4ea6-aaef-57a02ffb20ae</t>
  </si>
  <si>
    <t>f8b0d6e6-32c3-4362-82a8-be2bf58bc7cf</t>
  </si>
  <si>
    <t>2b87ffe7-beab-491e-a886-3586e1029e04</t>
  </si>
  <si>
    <t>26d965a0-abb8-401e-b6a9-5a8959d24774</t>
  </si>
  <si>
    <t>e913a80b-0481-4720-b9ea-945a7dc12988</t>
  </si>
  <si>
    <t>08f6ee36-8d0d-41bb-bf5d-19e8222c86ec</t>
  </si>
  <si>
    <t>6e682cde-2f26-42ee-8df8-ca56f2e7d007</t>
  </si>
  <si>
    <t>eeca2a46-0a6a-4d38-a0b4-0157ac11773d</t>
  </si>
  <si>
    <t>bc07e3d4-e00e-45cf-8538-15a9329c5287</t>
  </si>
  <si>
    <t>52e0a982-aa8f-480e-a335-bdb12a37c56e</t>
  </si>
  <si>
    <t>a58eb4c0-0c77-4495-a138-6b9f4f832402</t>
  </si>
  <si>
    <t>730f59b2-69e5-4bf6-a96c-6a27b081c411</t>
  </si>
  <si>
    <t>4d4488d1-68d4-49a7-850c-375f3e205e34</t>
  </si>
  <si>
    <t>a91652d0-15bd-4240-ae8e-00b06a6680e9</t>
  </si>
  <si>
    <t>4dfbab97-99ee-4460-a35c-66f7d1e1b65c</t>
  </si>
  <si>
    <t>e28a5ce8-bde0-4cd8-9a53-99241031ef7f</t>
  </si>
  <si>
    <t>c210e417-4b4b-4721-8213-854c0d3ade73</t>
  </si>
  <si>
    <t>90acc9e9-5cc8-4b05-ac3f-ef1e31a11900</t>
  </si>
  <si>
    <t>871fdba4-1bc7-4a90-999c-a4b509395465</t>
  </si>
  <si>
    <t>7efd6a8a-b875-4c27-80f1-076ea094cb92</t>
  </si>
  <si>
    <t>97354c93-c15a-4903-ab48-42b5f126b5d8</t>
  </si>
  <si>
    <t>77849740-09de-4101-81fb-bbe6bd5a3da7</t>
  </si>
  <si>
    <t>4bd7f636-b9b7-4f15-aacc-796baf841dbd</t>
  </si>
  <si>
    <t>b0e3f755-f76b-4656-a66c-ecf68128e3a3</t>
  </si>
  <si>
    <t>74a1b128-f7a4-4e22-bdb2-93c181bef0a9</t>
  </si>
  <si>
    <t>583000f0-d578-44c1-a983-c6460c6d8af2</t>
  </si>
  <si>
    <t>b3a64ec3-26a8-444e-851d-7af87064b280</t>
  </si>
  <si>
    <t>4890dd61-0867-4226-8862-c5f6ee145647</t>
  </si>
  <si>
    <t>95032ff4-f09b-4d3d-8795-c02e6678616e</t>
  </si>
  <si>
    <t>cc8c054f-a346-42da-a165-3974f0ed5aa2</t>
  </si>
  <si>
    <t>34759500-520f-4621-a04a-ddc6749fbc0d</t>
  </si>
  <si>
    <t>a84d3a87-e0ed-47d7-a7cf-de3aeea95bfb</t>
  </si>
  <si>
    <t>33c9abff-58a4-4cd7-82c0-8ef75252aed4</t>
  </si>
  <si>
    <t>73b59ea6-4c27-4201-aa05-354b817981de</t>
  </si>
  <si>
    <t>cc042be3-0730-4ffe-9b1b-681cf487dde0</t>
  </si>
  <si>
    <t>42216efe-7ac9-44c0-a9e8-aa36e430929f</t>
  </si>
  <si>
    <t>7a6f6fec-c9f2-4d94-9d4d-b5159a256301</t>
  </si>
  <si>
    <t>92e9d49d-200f-4696-9c0c-73ce8c678ef7</t>
  </si>
  <si>
    <t>85d0a635-2171-466e-8014-4a9405c357c0</t>
  </si>
  <si>
    <t>865ddb1e-901a-4d07-bee7-bd137cae6bdf</t>
  </si>
  <si>
    <t>482b2d49-8196-45f0-8e36-b7bf9e221e27</t>
  </si>
  <si>
    <t>0f3c7c9e-146e-40f7-8ea9-3375caa4cb4e</t>
  </si>
  <si>
    <t>bfcd2c3a-5f11-44b8-99ef-6964370de4a2</t>
  </si>
  <si>
    <t>b7dd4fb4-02c1-4597-88e2-1f77b64599c7</t>
  </si>
  <si>
    <t>f3d84d06-9610-4f08-a673-d3039d02a41f</t>
  </si>
  <si>
    <t>8b3f7712-bcad-44d4-b7d2-86b536b3ab21</t>
  </si>
  <si>
    <t>fcb9b23c-5032-40db-949f-06768dd894e1</t>
  </si>
  <si>
    <t>c83c7159-0c91-4fe6-90d2-120cab3e30bd</t>
  </si>
  <si>
    <t>b5911dbf-3914-433e-9267-eb12b02bc80d</t>
  </si>
  <si>
    <t>595ffda9-9a82-4486-b28a-553ec3cdf1b7</t>
  </si>
  <si>
    <t>73c7bd95-ed2d-4c0a-a0df-d36e5a781424</t>
  </si>
  <si>
    <t>f98336b9-788c-4a3e-9cba-a91c20ab2205</t>
  </si>
  <si>
    <t>9346de39-650c-468a-9a86-fe6372c1075e</t>
  </si>
  <si>
    <t>258a3b43-339f-453f-b0ea-4b8dab661075</t>
  </si>
  <si>
    <t>e0ddaf26-3107-4baa-8d60-7f9eb385e9a6</t>
  </si>
  <si>
    <t>c2c2cb2f-dd2a-4539-af24-92c4cdc7d3dd</t>
  </si>
  <si>
    <t>c0414f26-161c-40b3-8be3-b3e919288066</t>
  </si>
  <si>
    <t>259f56b8-589f-4aeb-8cae-6fa76a2a0956</t>
  </si>
  <si>
    <t>25444f5c-b902-4ff8-9a06-0affe80b2d41</t>
  </si>
  <si>
    <t>020f8411-e736-4714-b46f-bd7b83496ba2</t>
  </si>
  <si>
    <t>6ccd3d9d-f984-4956-95f7-25c466197638</t>
  </si>
  <si>
    <t>4b3044f2-5eb7-4941-bca3-d8f76ac0f850</t>
  </si>
  <si>
    <t>ad487a22-3a7e-4cca-ba31-cd3d45ea0031</t>
  </si>
  <si>
    <t>86a58bd4-88ab-42c7-ab98-ace55caddb57</t>
  </si>
  <si>
    <t>3cfd105d-88cd-4e33-968b-d4e923b96430</t>
  </si>
  <si>
    <t>a449ad04-e5e8-488f-8e96-0be97603e539</t>
  </si>
  <si>
    <t>72a7a1b4-cee8-4465-8bcc-04f4bff9c510</t>
  </si>
  <si>
    <t>9572318f-2a26-45a3-91cb-f6241c0204d7</t>
  </si>
  <si>
    <t>c220c7de-b9f5-4006-9c3d-5716ac0e4ba9</t>
  </si>
  <si>
    <t>13841fa9-916c-4f72-b696-2b75d5bce58e</t>
  </si>
  <si>
    <t>e67d9fbb-33ac-4a49-9156-f0b045e6f12d</t>
  </si>
  <si>
    <t>60d81b11-fb81-436b-8a13-22c0d63f62c7</t>
  </si>
  <si>
    <t>7d6a9312-a576-43a7-bea1-acefac53d13c</t>
  </si>
  <si>
    <t>3c8c51eb-6b08-4729-8327-bb2738e314f6</t>
  </si>
  <si>
    <t>354467ba-5a0b-4e47-8b66-d68df5283602</t>
  </si>
  <si>
    <t>58021965-9da7-4192-a99b-9f6adda22588</t>
  </si>
  <si>
    <t>419fe5a6-db50-4e6d-8bdc-b155f8ac67b0</t>
  </si>
  <si>
    <t>b07a3746-64cd-4091-8420-e964c82d6011</t>
  </si>
  <si>
    <t>c8e3f202-1598-4f82-9139-309e308313c8</t>
  </si>
  <si>
    <t>19a20bf0-6f70-4a1d-b09e-03056e7cc254</t>
  </si>
  <si>
    <t>44cf60e0-6ab5-4c88-ae32-d237375d1029</t>
  </si>
  <si>
    <t>4097485a-3d01-4a67-8730-4097d8347cdf</t>
  </si>
  <si>
    <t>b2f9577b-e7bb-4f53-af40-817fdd113d35</t>
  </si>
  <si>
    <t>72b411d3-3bad-46c9-bdc4-a12658151e33</t>
  </si>
  <si>
    <t>3e490199-f195-4b04-8415-88b25a017862</t>
  </si>
  <si>
    <t>6e78d0ab-73bc-42cd-a814-563821b898c4</t>
  </si>
  <si>
    <t>639aa768-8b5d-40c0-85d0-1cd7e1791942</t>
  </si>
  <si>
    <t>a0fd0abb-08a9-4404-a154-95077b6f0ac6</t>
  </si>
  <si>
    <t>1f3aa731-10ae-41f7-827d-3be0cae4ff63</t>
  </si>
  <si>
    <t>1fdf7664-6885-4638-8749-e32940db7c7b</t>
  </si>
  <si>
    <t>9173c3df-f4cf-4366-a1c3-34ac353a1cb7</t>
  </si>
  <si>
    <t>4882b05e-761d-48fe-a74d-3f354c80d1e3</t>
  </si>
  <si>
    <t>eca0a2a6-9a37-494b-b1dd-66f104e18aff</t>
  </si>
  <si>
    <t>42918a69-9f95-496a-ba1e-846fd82d7bb7</t>
  </si>
  <si>
    <t>33da54b5-f993-4701-9f36-8f17ae4d2444</t>
  </si>
  <si>
    <t>ad315ae5-1c64-4bae-b94e-e1be643b28ea</t>
  </si>
  <si>
    <t>c70e32c1-4a5b-4a0f-a559-a9b68bbd697c</t>
  </si>
  <si>
    <t>4654a0d1-5880-4cbf-b2d1-0105aab13254</t>
  </si>
  <si>
    <t>2cbfcd0a-737f-4086-af0e-d2f86486f370</t>
  </si>
  <si>
    <t>fb46b386-dfe1-4934-bf6c-8d4a38baae78</t>
  </si>
  <si>
    <t>eb8fc602-14ad-4049-b20c-c253555dfe70</t>
  </si>
  <si>
    <t>4b9daf84-8c6e-434a-8c6c-ab7c698add74</t>
  </si>
  <si>
    <t>e8082a5f-1d2f-4832-a979-bc86e14296dc</t>
  </si>
  <si>
    <t>e2f3129a-ceea-432e-9afb-97a2f9d281f9</t>
  </si>
  <si>
    <t>c0e054c5-574c-4499-89a3-c89dcd99ee93</t>
  </si>
  <si>
    <t>9e38545f-2cbb-4882-b692-2aa222485d52</t>
  </si>
  <si>
    <t>98b75ab3-546a-49a4-a0c3-de13a2614341</t>
  </si>
  <si>
    <t>9db60446-668d-4607-a5ce-d52a946d7a07</t>
  </si>
  <si>
    <t>0f2ed4f7-b8b9-40e1-aebe-bea0298bf462</t>
  </si>
  <si>
    <t>1cecafa2-04f9-43ec-b0ce-b3e20b73de7d</t>
  </si>
  <si>
    <t>05028aee-ea70-457d-b9f0-54dd88bf3d3f</t>
  </si>
  <si>
    <t>4753cfc1-567d-4ab2-adec-55fa7a0a3546</t>
  </si>
  <si>
    <t>fdae2dd9-9636-4f41-8125-403ceffef71a</t>
  </si>
  <si>
    <t>784c3f60-7869-4a4c-abda-30e6edbc4075</t>
  </si>
  <si>
    <t>2e055146-fc3e-4001-a09f-81929b9d434a</t>
  </si>
  <si>
    <t>ac48eb04-00be-4a24-b298-b8ccb94f88ea</t>
  </si>
  <si>
    <t>1d917dfd-74fb-4405-b8b6-f36790e9f87f</t>
  </si>
  <si>
    <t>8979a04a-70f1-4d55-923a-535027492bf3</t>
  </si>
  <si>
    <t>8424af16-51e0-42dc-bf6d-82322c2c38ee</t>
  </si>
  <si>
    <t>e6cf71b2-4dc1-4bbd-8800-2c20c2770e08</t>
  </si>
  <si>
    <t>c00ebcdb-9b46-4c77-9d0b-610a3c6b98f1</t>
  </si>
  <si>
    <t>077f552c-edd0-4bc3-9244-5f07c3821409</t>
  </si>
  <si>
    <t>e01ab116-ad97-4430-977f-cfe0b24faae3</t>
  </si>
  <si>
    <t>7b36b31c-d011-4413-8088-758d8d076ee4</t>
  </si>
  <si>
    <t>a6362950-cdb5-4119-a50e-05a4756b0901</t>
  </si>
  <si>
    <t>88b240de-951a-476a-b01a-e9667b6e2a96</t>
  </si>
  <si>
    <t>9f27b22f-2269-42e3-93f9-858dc3b7bec0</t>
  </si>
  <si>
    <t>6c066879-e083-4e18-a517-1805f263a32a</t>
  </si>
  <si>
    <t>f2818c64-01dd-43c9-a64d-4051a4541ec9</t>
  </si>
  <si>
    <t>0dd3aaa3-ea52-473d-a3d4-daa892ba4981</t>
  </si>
  <si>
    <t>f33c5229-3b43-4390-a033-c114cf53bc23</t>
  </si>
  <si>
    <t>9516558c-0f6e-4d32-9b2b-dc94e05dffd6</t>
  </si>
  <si>
    <t>b3b498b7-e4c2-495c-88dc-cc33a428434e</t>
  </si>
  <si>
    <t>57fc0c6b-41d7-4e33-962a-b7f4a9bc7043</t>
  </si>
  <si>
    <t>a541118c-e308-4d07-ba0c-fac2bd83152c</t>
  </si>
  <si>
    <t>79ea6df3-ea91-498e-a0de-17898f9a72eb</t>
  </si>
  <si>
    <t>2eb08f0a-616a-4145-a3f4-9620062ea061</t>
  </si>
  <si>
    <t>839b3678-ace9-4d70-9610-99ba3bde8b87</t>
  </si>
  <si>
    <t>8163ff8f-a48a-4acb-aecd-cbdf4ebcb53c</t>
  </si>
  <si>
    <t>adcae671-cd49-4b8f-a9f3-1f236af3a5cf</t>
  </si>
  <si>
    <t>04f887a8-8f1b-4f9b-8090-37096fa080d5</t>
  </si>
  <si>
    <t>2ae6ab23-fdcb-4f6b-be81-dc2a8c72f669</t>
  </si>
  <si>
    <t>abb15d4c-d465-4ca4-9f91-301105ac39ad</t>
  </si>
  <si>
    <t>f960a165-aa49-4dc4-8228-ce86b15ab629</t>
  </si>
  <si>
    <t>59a46be6-b827-4ba8-896e-1732d5e7e6b5</t>
  </si>
  <si>
    <t>dda1636f-b0c9-448c-abe4-f7ec09d94a1a</t>
  </si>
  <si>
    <t>dc09bfc4-3ef5-461e-b285-358049d5933e</t>
  </si>
  <si>
    <t>b458455d-f8a1-4e05-9b81-21a409a940df</t>
  </si>
  <si>
    <t>492e123e-0dad-420f-826f-c77635d59a1c</t>
  </si>
  <si>
    <t>94bd01ac-0c5f-4f8d-8765-c256deb9d567</t>
  </si>
  <si>
    <t>7eb3947d-b62b-4663-b1a2-c489a9134f58</t>
  </si>
  <si>
    <t>012d5f36-ec7c-4645-b3bf-50c0805518c4</t>
  </si>
  <si>
    <t>61cb1cb5-8f88-40e6-890a-e82a22265484</t>
  </si>
  <si>
    <t>8000259d-47ca-4559-a6c0-db969b7728c9</t>
  </si>
  <si>
    <t>d8ae198b-c9e9-41d3-9a0b-15307632606d</t>
  </si>
  <si>
    <t>73fe2e2f-c2a8-4302-bac2-ca8ae4aaa20c</t>
  </si>
  <si>
    <t>c64a8c15-0fae-4fa5-ac06-885dc8f4b456</t>
  </si>
  <si>
    <t>fe41ad63-c678-464e-804b-8bdb87e871d2</t>
  </si>
  <si>
    <t>aefd10d5-4d22-4951-89bf-017e82e46082</t>
  </si>
  <si>
    <t>bbeaa3c8-cfd2-4a6d-b992-906b281fb5a0</t>
  </si>
  <si>
    <t>5965a5cf-b93c-49b0-9ea4-8716415ad542</t>
  </si>
  <si>
    <t>4e1b9739-1334-4a39-b0a6-c59db8f0a6e6</t>
  </si>
  <si>
    <t>ee7eb111-2f3e-4a15-ae5a-6ddfe20f707c</t>
  </si>
  <si>
    <t>b52ac7bf-6e16-45b5-9aa8-e2d7b294ef1a</t>
  </si>
  <si>
    <t>6ba5c47b-17c9-4dfd-b145-051ff293a19f</t>
  </si>
  <si>
    <t>c8ddb346-f99e-4a7d-bfa3-68249556de5e</t>
  </si>
  <si>
    <t>5033ac1e-39c3-4bd5-9ea6-b915aefd4d81</t>
  </si>
  <si>
    <t>5c7c1a8a-dbee-4bd4-911c-e4c0f7345022</t>
  </si>
  <si>
    <t>912354d9-5e2c-4760-88c1-6a11707f143c</t>
  </si>
  <si>
    <t>4826bd8e-4167-4aa2-b600-39ab8d93c061</t>
  </si>
  <si>
    <t>fd573c61-b6d0-42c0-b86a-19f4663670df</t>
  </si>
  <si>
    <t>e1792f03-89ad-45d6-a004-c497957e5fa1</t>
  </si>
  <si>
    <t>fc71537f-ae10-4bac-a8ca-38eeeb8e8d2d</t>
  </si>
  <si>
    <t>f438352b-3403-4a28-b740-b761b545bc23</t>
  </si>
  <si>
    <t>9efa5d49-6536-4060-92d6-68218d25b226</t>
  </si>
  <si>
    <t>f27bb33c-ebeb-4112-889a-422e15afe804</t>
  </si>
  <si>
    <t>99c53608-f001-484c-9221-bbe321d414a6</t>
  </si>
  <si>
    <t>d4ca58d8-6b1e-4ea7-a784-771b020dc0ef</t>
  </si>
  <si>
    <t>f496a2bb-4533-42ab-99d8-f1b34c849c9c</t>
  </si>
  <si>
    <t>4beb4862-7696-4df5-b141-d2744fb18273</t>
  </si>
  <si>
    <t>23cc516e-e150-4720-8ba3-fd8c55f9f4d9</t>
  </si>
  <si>
    <t>3dce77f8-db3a-4018-992d-513a7e5402f7</t>
  </si>
  <si>
    <t>f94ee00b-0f39-4713-a22c-ccf6251677fc</t>
  </si>
  <si>
    <t>6ee54bd9-5e91-4aa2-9c15-6e44e5743bbe</t>
  </si>
  <si>
    <t>6396b05f-71ca-41e9-9623-56f86ec20a5e</t>
  </si>
  <si>
    <t>77a0ae10-062d-4938-9cb2-699158ec6843</t>
  </si>
  <si>
    <t>57a00365-cd03-4c0d-8533-139d261d1186</t>
  </si>
  <si>
    <t>4c293bab-1ea4-4f22-ae2a-16323ddce6d3</t>
  </si>
  <si>
    <t>a80e2964-be95-4b66-84ad-c8d67fcc4e46</t>
  </si>
  <si>
    <t>d6a1bc4c-9443-4a8a-8855-6a4b0c57a5bd</t>
  </si>
  <si>
    <t>21d0d926-8e8e-4940-a53d-73ebd2b8cc64</t>
  </si>
  <si>
    <t>5aa4611c-e87a-4fd4-a97e-ac6879425eb5</t>
  </si>
  <si>
    <t>e6a198a5-3e21-43f8-86f6-1dc7d5deca07</t>
  </si>
  <si>
    <t>98763312-24e9-41db-8f45-3a135cbb920f</t>
  </si>
  <si>
    <t>f5ca8650-84ac-4052-b99a-3a5da07fac52</t>
  </si>
  <si>
    <t>05b9afba-3386-4485-8790-73ab76e8fc81</t>
  </si>
  <si>
    <t>0c4a09ce-d8c1-47eb-b5f4-be76b25b867f</t>
  </si>
  <si>
    <t>75d7bca0-9461-4e39-a583-a0f98fc0b8c7</t>
  </si>
  <si>
    <t>cdbffee1-3eb6-4250-b51b-12f6b0f2dfd1</t>
  </si>
  <si>
    <t>ba681044-e3df-4cc6-9461-152b912ee99d</t>
  </si>
  <si>
    <t>81e56897-557d-436c-81b0-01d01743865c</t>
  </si>
  <si>
    <t>5403294e-1249-4229-b6b2-ecc741597753</t>
  </si>
  <si>
    <t>1fc60bb4-7b0c-4f1a-9cd0-438e6bfa8647</t>
  </si>
  <si>
    <t>0f21b93f-5d6e-4b27-823e-e4653a5cfa92</t>
  </si>
  <si>
    <t>2a404ab3-4376-4d49-b738-7747a925118a</t>
  </si>
  <si>
    <t>f7a99ea9-ece5-41f9-afe1-91532bdd0be7</t>
  </si>
  <si>
    <t>b81c8357-0b3b-4fa0-8f37-3352290e92c7</t>
  </si>
  <si>
    <t>56fd1a1e-9496-4380-8696-9276b5c19919</t>
  </si>
  <si>
    <t>a876e8a8-2e83-424d-aaee-09adeb69d816</t>
  </si>
  <si>
    <t>fc151d3a-e5aa-49c3-ac5f-e6e4c58dc3c9</t>
  </si>
  <si>
    <t>8ac5ce6a-000a-498e-8d62-ddbe6e9da566</t>
  </si>
  <si>
    <t>44bdc39e-b079-4317-be5f-e74784f48d03</t>
  </si>
  <si>
    <t>b609cc08-80f8-44d6-944b-8a5e5ae23c28</t>
  </si>
  <si>
    <t>0fe75caf-daef-4850-a2d3-dde0bd71a706</t>
  </si>
  <si>
    <t>4c84362e-2e89-48a1-84b9-6b51260ffb53</t>
  </si>
  <si>
    <t>8d99c751-f94a-4c88-94bd-ebb662c41406</t>
  </si>
  <si>
    <t>37217c60-dbbe-44b9-bf56-554dd25e87e9</t>
  </si>
  <si>
    <t>480e7e60-8f78-4e08-9dc9-8f4b518a4093</t>
  </si>
  <si>
    <t>b876765d-de61-4d8c-ac67-af36528a8c67</t>
  </si>
  <si>
    <t>60c08f01-7470-436f-a92e-ec9052000d78</t>
  </si>
  <si>
    <t>467355ca-4687-419b-8fc0-54276550c87b</t>
  </si>
  <si>
    <t>e1d23158-b3ef-4184-b808-1048b5b55b65</t>
  </si>
  <si>
    <t>974c6a58-1ca8-4b73-bf33-605b7122a610</t>
  </si>
  <si>
    <t>cc20643e-49db-43fa-a81d-02b4fe8d0bcb</t>
  </si>
  <si>
    <t>923cdaf7-bfad-4880-8d87-ed66f0238328</t>
  </si>
  <si>
    <t>3b9e62aa-46e1-4b70-8149-afe603ca973d</t>
  </si>
  <si>
    <t>754a9a0b-08a5-41fa-9dc2-667db6eeee53</t>
  </si>
  <si>
    <t>4e77a572-9f38-42e9-9e5a-02b3bc96d940</t>
  </si>
  <si>
    <t>1ae9dcd6-4d3f-48c7-a67c-9fac3bc53f64</t>
  </si>
  <si>
    <t>cf0b39f9-30da-461d-8a13-79ea955c6b47</t>
  </si>
  <si>
    <t>b24bd792-9679-4451-9313-b76208ad8431</t>
  </si>
  <si>
    <t>26235017-6140-4046-8e4f-e14878e671eb</t>
  </si>
  <si>
    <t>0c6eb8c6-cf1d-4227-92da-f6a11940bc56</t>
  </si>
  <si>
    <t>d3ab2bb1-9962-490c-b590-6471dccee99d</t>
  </si>
  <si>
    <t>40adafa7-3b05-47b3-b1f8-b5eb3b979866</t>
  </si>
  <si>
    <t>6fad4a22-01b4-43a9-a9d7-3894ec24341d</t>
  </si>
  <si>
    <t>5e7099a0-0beb-42b9-8282-6aff2a7aa6b5</t>
  </si>
  <si>
    <t>bd3a1743-dd50-4c79-92d3-b7048433a503</t>
  </si>
  <si>
    <t>988e693e-13b7-42e4-86ab-e2293100f965</t>
  </si>
  <si>
    <t>1b76928a-eca3-4ca6-a3ff-7ce8b88c52dc</t>
  </si>
  <si>
    <t>751dc18b-a28f-4bdc-857a-871060f922b7</t>
  </si>
  <si>
    <t>8c5fa41d-714f-4903-bb7d-3b5aa2f6f6db</t>
  </si>
  <si>
    <t>8dde7522-2eb3-49d4-8eda-33497e1efc9a</t>
  </si>
  <si>
    <t>b65c7b7c-7fb8-41d4-9b82-2c95385735f0</t>
  </si>
  <si>
    <t>92f6eedd-9436-4ec4-a884-c974ab9e391c</t>
  </si>
  <si>
    <t>7b8666b9-07d2-4044-a31a-0eb0f22e2c8f</t>
  </si>
  <si>
    <t>65379506-eb8c-4e6b-9722-d4f3cf07f457</t>
  </si>
  <si>
    <t>ca3c05ee-d5ac-4a91-adb4-da61b6414f4a</t>
  </si>
  <si>
    <t>41cf9beb-72a4-47d1-85fe-edfa889e3d2f</t>
  </si>
  <si>
    <t>9af33604-a14c-4a24-9a03-24b28c9529b0</t>
  </si>
  <si>
    <t>32325a50-b0da-4afe-be75-990b86c8b2cb</t>
  </si>
  <si>
    <t>83d6913d-d43e-4609-bb7b-9555d3452be3</t>
  </si>
  <si>
    <t>73766836-feaf-4bed-be16-43d6c560a2b3</t>
  </si>
  <si>
    <t>846c0e60-e118-49e0-9bc1-56a18a62b280</t>
  </si>
  <si>
    <t>575ae358-65d1-4906-99c0-78392d2defeb</t>
  </si>
  <si>
    <t>83edc55c-7b6a-429c-b970-c5e40df0a63f</t>
  </si>
  <si>
    <t>ed8ac1ca-8949-41b4-81fe-6b361d030f1b</t>
  </si>
  <si>
    <t>37b9fa83-7b4a-40e6-9c6a-4d7a4195412b</t>
  </si>
  <si>
    <t>f032f6ae-5ed1-4e02-a3de-f34e59210f0f</t>
  </si>
  <si>
    <t>7ae835b4-c1de-44fe-a0c4-2c00e8808864</t>
  </si>
  <si>
    <t>6da155d6-26c6-443b-a1c6-1e017c04ca09</t>
  </si>
  <si>
    <t>24abfaa9-8003-49c9-9fcc-26ffa1b82eda</t>
  </si>
  <si>
    <t>a35a1e9c-27d5-476e-af9e-4311861d2b27</t>
  </si>
  <si>
    <t>23c4bb7a-5106-4d9e-8af2-6e5754e77f94</t>
  </si>
  <si>
    <t>544b80fa-8953-45cd-80a7-d329bf60fc6c</t>
  </si>
  <si>
    <t>1b9b6373-8534-48d9-a256-826e1bcdcc5f</t>
  </si>
  <si>
    <t>89b4faef-15af-4ad0-8a0a-21757b3d4c4e</t>
  </si>
  <si>
    <t>ee66404c-d902-41d2-b5da-a8a460a4d23f</t>
  </si>
  <si>
    <t>79bfea71-78c4-4111-8287-7f1c8e6995ce</t>
  </si>
  <si>
    <t>1338051c-6933-4cdd-83c4-7c283c604f07</t>
  </si>
  <si>
    <t>8aaa5840-f96c-4677-b5b4-9e6acf6405a3</t>
  </si>
  <si>
    <t>39d3b525-21a1-465f-86c4-42c3382058e6</t>
  </si>
  <si>
    <t>f41b40cb-6216-4fcd-b486-5003dda07fe8</t>
  </si>
  <si>
    <t>5269b8f2-5540-4d00-a467-79c5367284c8</t>
  </si>
  <si>
    <t>a5f5a710-4e21-4e0f-937f-2c276696f922</t>
  </si>
  <si>
    <t>a53e8e2a-20f5-4422-a780-3e906ad151ec</t>
  </si>
  <si>
    <t>d1daf597-6968-486b-8ebd-db0e3be802d8</t>
  </si>
  <si>
    <t>3aa10b7f-434f-40c1-ae03-324dfa81e709</t>
  </si>
  <si>
    <t>4bd8e9f7-c120-4608-b797-860af107a07f</t>
  </si>
  <si>
    <t>9f596958-0aaa-40bf-b308-3793d95544c4</t>
  </si>
  <si>
    <t>8b8685f6-ae1b-4682-ab13-a36b7f724a95</t>
  </si>
  <si>
    <t>b1ef01cf-eff8-41eb-b516-b5f82cb5fe3f</t>
  </si>
  <si>
    <t>b29d3a12-1610-4868-966f-82fa29676c82</t>
  </si>
  <si>
    <t>3c9c9be9-7742-4a3e-97c6-b2b7810748b4</t>
  </si>
  <si>
    <t>e4769cf5-da0f-47dc-97af-8da984453212</t>
  </si>
  <si>
    <t>5897f9cd-a8be-4ffc-8f54-c7eaab9c37ac</t>
  </si>
  <si>
    <t>f534b47b-3459-4c66-97ec-9b05b5ad74cf</t>
  </si>
  <si>
    <t>bc527c38-4551-4e0e-9e38-846f4a359b74</t>
  </si>
  <si>
    <t>7627b7ef-513d-4cba-bd37-20111ed939a7</t>
  </si>
  <si>
    <t>561b70eb-c8b5-48c9-aed4-348ba2e41714</t>
  </si>
  <si>
    <t>e5770a29-2680-4c3f-96cf-e8ad08adb5c4</t>
  </si>
  <si>
    <t>103fc916-1d30-4605-9ef1-cc602681defc</t>
  </si>
  <si>
    <t>5a454e1c-8a7c-44f8-8aee-983f9a4cef5a</t>
  </si>
  <si>
    <t>49f13c93-cba0-40f9-947e-8ff1f7482b57</t>
  </si>
  <si>
    <t>1fccd432-d4ce-4d45-8662-4b167b6fa3db</t>
  </si>
  <si>
    <t>12439d5e-064a-4df2-896f-11adaf343732</t>
  </si>
  <si>
    <t>edca2dea-8992-44a2-9610-f190390737f8</t>
  </si>
  <si>
    <t>f792d2cb-6f70-4384-bb79-a962164945dc</t>
  </si>
  <si>
    <t>5ed2b9f7-5943-43fd-8f0f-9e82533dff8f</t>
  </si>
  <si>
    <t>73d88648-9767-409d-b0c9-947f2ded41e7</t>
  </si>
  <si>
    <t>249dd87d-be3b-4ce7-9431-7d7671a41484</t>
  </si>
  <si>
    <t>110f676f-9b48-4c52-9fed-c499abe8cbb4</t>
  </si>
  <si>
    <t>2f921915-aacd-412f-959a-0726b33dd34a</t>
  </si>
  <si>
    <t>2eb5a103-da9f-469e-b7aa-a44074956cce</t>
  </si>
  <si>
    <t>85ffa4a0-bba6-4603-bb7b-ac2b188f0540</t>
  </si>
  <si>
    <t>41dcc52d-25b9-4a19-a281-008bf3095b1d</t>
  </si>
  <si>
    <t>9b5a993f-c936-41f3-a92f-4e5c23773ac8</t>
  </si>
  <si>
    <t>4b1a24c4-a0ab-4758-bc53-d72f51381e5b</t>
  </si>
  <si>
    <t>8b37e1e9-d5a5-46f2-ac3c-55c57954007b</t>
  </si>
  <si>
    <t>380bc7d3-fe6f-4c7e-900d-ed13231db9dd</t>
  </si>
  <si>
    <t>39af2c7d-ecd3-494a-94ac-af17ee788067</t>
  </si>
  <si>
    <t>15e661a9-729f-423c-9860-46c47b8ad5ed</t>
  </si>
  <si>
    <t>3b404c9f-3902-4ff8-bb3b-0be5e97124e9</t>
  </si>
  <si>
    <t>749b7946-27ea-456d-ad6b-6968125b631b</t>
  </si>
  <si>
    <t>e684cbf1-73fa-4710-baeb-d15a8c2d45f6</t>
  </si>
  <si>
    <t>0567c777-7d24-49bd-b04e-320452694227</t>
  </si>
  <si>
    <t>a78d1f9a-a580-4cee-9b1a-3a0224d7f9e2</t>
  </si>
  <si>
    <t>0877364a-c44c-4cdf-aa97-9316a411a5b7</t>
  </si>
  <si>
    <t>8f9b32e5-397d-4766-ae72-2f449093d9d9</t>
  </si>
  <si>
    <t>d1f2d81f-1de5-48dd-ab1f-2f5d75c70aea</t>
  </si>
  <si>
    <t>7af6adee-b0d5-4f20-9cf9-3f77601bf139</t>
  </si>
  <si>
    <t>c896a0a4-c6f9-4864-b894-a2929c4fa5d6</t>
  </si>
  <si>
    <t>6ab47deb-4862-47d6-8d4d-70033b01825d</t>
  </si>
  <si>
    <t>4d8cb6db-eb1a-4992-9d8d-4a448512c1f6</t>
  </si>
  <si>
    <t>8f0cfc0f-3bda-40b7-8512-a6c17e647928</t>
  </si>
  <si>
    <t>a24560d0-9079-49f6-899c-dfbd19d3fbf2</t>
  </si>
  <si>
    <t>1c52003d-0410-47f1-976e-55cdf47dd187</t>
  </si>
  <si>
    <t>da104149-e29f-4dc0-a906-0eb9618fffbc</t>
  </si>
  <si>
    <t>d124fe19-7c62-4a72-9922-7d7c5049d72d</t>
  </si>
  <si>
    <t>24e87aca-cd8e-4706-bc3f-c49e4dd7e310</t>
  </si>
  <si>
    <t>864bd121-1c72-44bb-98b1-6129d66b0d64</t>
  </si>
  <si>
    <t>58450c38-44a7-4f14-be4e-7e0c070854ca</t>
  </si>
  <si>
    <t>5eb409ca-1080-4f8b-bc8e-95de224aa7b7</t>
  </si>
  <si>
    <t>a7380951-09b2-4021-bcb5-a1d676d99f1d</t>
  </si>
  <si>
    <t>ba264de6-406e-4580-b6d0-cf57d581ff73</t>
  </si>
  <si>
    <t>40574a6e-a5ab-4fd3-a6f3-85c3bff420f6</t>
  </si>
  <si>
    <t>eab9d8a9-a6fe-4eac-960e-75cf17a49054</t>
  </si>
  <si>
    <t>711f4d88-0836-4628-a497-837adfb57215</t>
  </si>
  <si>
    <t>ad5065d8-240c-4c32-b3e0-c1bf99e45106</t>
  </si>
  <si>
    <t>afc8e252-8dc5-4203-83d7-02d408f763d4</t>
  </si>
  <si>
    <t>b2caad84-d4c6-4efa-8288-265780c8eaf5</t>
  </si>
  <si>
    <t>31485a30-469d-45aa-b786-0b4984f8c43a</t>
  </si>
  <si>
    <t>8ef11513-6fc7-4006-8f0a-d96092f2faed</t>
  </si>
  <si>
    <t>bf75b45b-f033-41fe-9712-bdb90db3ae1d</t>
  </si>
  <si>
    <t>f848274c-215e-4b12-a6ed-e75e66894c42</t>
  </si>
  <si>
    <t>c5fa7e8a-0278-42e0-96b1-a98b81bec41e</t>
  </si>
  <si>
    <t>b84ae0ed-9225-40fb-84ba-8f84d07e32fe</t>
  </si>
  <si>
    <t>841bd38d-bee3-48c5-b318-c030b4c23795</t>
  </si>
  <si>
    <t>a0b0a172-cae5-491e-b766-d753b6253ad6</t>
  </si>
  <si>
    <t>72becfce-978e-40c7-ba07-c11532e8cf37</t>
  </si>
  <si>
    <t>2db682b9-7b22-4cf0-927e-3143eef39f94</t>
  </si>
  <si>
    <t>6c08c017-e4c1-4356-b8a2-a25b9a83af44</t>
  </si>
  <si>
    <t>533d9b40-4693-4286-8754-d181b667971c</t>
  </si>
  <si>
    <t>cfcaabeb-2f24-41d3-b697-08e6713d5922</t>
  </si>
  <si>
    <t>0fcacd6f-4729-4fa1-b1ce-4315a8b7e9b6</t>
  </si>
  <si>
    <t>872a1386-fdd6-4a99-aa8a-08be270023e3</t>
  </si>
  <si>
    <t>6d4d5db1-9a8d-4597-a626-075adc2c13a3</t>
  </si>
  <si>
    <t>b3f56143-8acd-4435-bc12-316c3aef966b</t>
  </si>
  <si>
    <t>371662b3-7908-45ed-a6fa-155218613fc8</t>
  </si>
  <si>
    <t>b250405e-66f6-4850-bada-9e043702ca90</t>
  </si>
  <si>
    <t>3c370d0f-ad8e-4d92-a9cc-330f3556e73c</t>
  </si>
  <si>
    <t>6f656c19-e3cd-4cb2-a018-044096da2091</t>
  </si>
  <si>
    <t>e11818e0-fa1f-454e-be13-4104b0f9e066</t>
  </si>
  <si>
    <t>0392b416-7f81-4faa-89ec-103da5602cb1</t>
  </si>
  <si>
    <t>3ab4a809-90c1-4f58-8200-41501def616e</t>
  </si>
  <si>
    <t>79bf46d0-8b87-4b33-ab25-d12b81383037</t>
  </si>
  <si>
    <t>45272caa-8d3d-4f6d-9781-ea23d1035b7c</t>
  </si>
  <si>
    <t>efda6900-e578-4c0d-9d23-b4d114561720</t>
  </si>
  <si>
    <t>ac5d3cfd-b461-492b-8101-3be782f69855</t>
  </si>
  <si>
    <t>945dd400-9240-479d-8533-38a4332234ab</t>
  </si>
  <si>
    <t>25cdc8db-b1e1-4562-9231-f589a24498f9</t>
  </si>
  <si>
    <t>8ca54a4c-a7fd-4d9f-ad33-0189e05de33b</t>
  </si>
  <si>
    <t>112bd43f-491c-4700-8f85-13cc3268abdf</t>
  </si>
  <si>
    <t>fe0ca710-1fdb-4125-ae75-35d0273e8198</t>
  </si>
  <si>
    <t>833c453a-029f-4503-a05d-5ac3c18d57d1</t>
  </si>
  <si>
    <t>16431e0c-ce1c-4095-b8a3-676de459461a</t>
  </si>
  <si>
    <t>b8e362cc-a6e1-47d2-a54b-9d04d36f5cca</t>
  </si>
  <si>
    <t>18fb04e2-4fd1-46d3-a629-ede5d4b55038</t>
  </si>
  <si>
    <t>d3501bd3-62ef-4f7a-87ec-b6af6763b4f9</t>
  </si>
  <si>
    <t>0bbbd990-cd44-4da4-8be1-c6c6c9537d42</t>
  </si>
  <si>
    <t>bb6d8574-12ce-43f8-af07-dbfe485ff320</t>
  </si>
  <si>
    <t>d2a53135-4589-4f33-9eb9-45c641309612</t>
  </si>
  <si>
    <t>c3a4134c-8543-463a-8181-31ad469f0f1c</t>
  </si>
  <si>
    <t>0c225472-a462-4640-950b-bfc196ae416c</t>
  </si>
  <si>
    <t>fa34c4e5-41b8-441d-85bd-ae1acdd484ab</t>
  </si>
  <si>
    <t>12e6921a-9f74-445c-964f-b24fd66ea656</t>
  </si>
  <si>
    <t>cbba6859-68c9-4af5-ab24-5c2ba997642a</t>
  </si>
  <si>
    <t>47363336-2d50-4e87-b280-27540056646a</t>
  </si>
  <si>
    <t>7b5814ed-5b50-4eb8-b1c4-3d39b410f7aa</t>
  </si>
  <si>
    <t>5fe5f1dd-ab40-44d8-976a-c7895342df9a</t>
  </si>
  <si>
    <t>d6619bc4-a0a2-41c2-afbb-c79392f5129b</t>
  </si>
  <si>
    <t>0ad4eee3-b416-4084-8d4b-8ba08d58aab5</t>
  </si>
  <si>
    <t>e18c1203-17c7-4dc8-8c7d-b1770b57b758</t>
  </si>
  <si>
    <t>6456ee74-af9a-4bfa-9efa-f9a38974610f</t>
  </si>
  <si>
    <t>e1af40d5-0538-4912-b6eb-c51e9f2dabbf</t>
  </si>
  <si>
    <t>851b81a9-2a08-477f-a068-c15fc924c944</t>
  </si>
  <si>
    <t>6f55225e-7d62-4f6e-a982-1c976965b08a</t>
  </si>
  <si>
    <t>fe102ffd-5cf6-4f79-922d-0cf1e661be3a</t>
  </si>
  <si>
    <t>555b832f-233d-40b8-a795-38297b099778</t>
  </si>
  <si>
    <t>20f4e2f9-701f-4415-bc12-aaf8c29ff569</t>
  </si>
  <si>
    <t>b8814dd2-87aa-4368-bc6f-cdb360a3f847</t>
  </si>
  <si>
    <t>c5a06f18-ea02-436b-ba0f-b57a9860f51e</t>
  </si>
  <si>
    <t>4ced8f51-bdb8-432b-9cce-b23fe9236d30</t>
  </si>
  <si>
    <t>1ecc0256-9a32-46b1-8c6d-8fc698009f16</t>
  </si>
  <si>
    <t>f093c2c8-11d4-4449-9b1d-f992e4b75784</t>
  </si>
  <si>
    <t>1f2c2769-8ebd-4657-993e-26340ddedeff</t>
  </si>
  <si>
    <t>1252da44-d08d-450d-9ec9-784469fcd164</t>
  </si>
  <si>
    <t>deecc9a0-a611-4c42-8a37-93404dd04520</t>
  </si>
  <si>
    <t>78fe57b5-164e-48c6-9584-9c0f895b5cfe</t>
  </si>
  <si>
    <t>ff1549e7-da0f-4f12-9db6-8295d65f7230</t>
  </si>
  <si>
    <t>f4d242b4-76e7-43f3-a85a-bc722c4c598b</t>
  </si>
  <si>
    <t>d7fa146c-dd5f-4781-8e78-b8a822408f32</t>
  </si>
  <si>
    <t>74ca106f-34f2-4cd3-967e-a98fda9c8519</t>
  </si>
  <si>
    <t>7b2ee2ed-dcb2-40e5-a8b5-f8996f1eeead</t>
  </si>
  <si>
    <t>162666db-6f96-4cbf-a5b8-15a58d52ef41</t>
  </si>
  <si>
    <t>3c46c8fd-259e-4469-ba9c-5a425e4bc90c</t>
  </si>
  <si>
    <t>5ee8fad8-30c4-4fbc-b03b-071ee48dee89</t>
  </si>
  <si>
    <t>5c86f9ec-36aa-4d9d-976f-dca710f26c2e</t>
  </si>
  <si>
    <t>dc741351-1f8c-4838-b624-95c67cfb8986</t>
  </si>
  <si>
    <t>d9646d49-8fc3-4607-848e-bcaca8914b8e</t>
  </si>
  <si>
    <t>b35c7d4f-783a-436e-b7f0-a89ab009af1d</t>
  </si>
  <si>
    <t>baea0a1b-c6bc-4001-95f1-6199c12de5f7</t>
  </si>
  <si>
    <t>9a3f11df-cc6b-4cd8-9d3c-ba44d2c4bf8d</t>
  </si>
  <si>
    <t>c12bfd95-a831-4219-b265-702200c56789</t>
  </si>
  <si>
    <t>565701ca-0f79-42c2-bcde-960d40763776</t>
  </si>
  <si>
    <t>07285ea1-0103-4284-982a-c33bf5eae445</t>
  </si>
  <si>
    <t>3ac7e4b4-bffd-4bdc-b9b2-83b2a284d24e</t>
  </si>
  <si>
    <t>1c37aefc-ef05-465b-a935-06951e915dc8</t>
  </si>
  <si>
    <t>024de75b-5bc5-429b-bb1d-2c5a91343d69</t>
  </si>
  <si>
    <t>0e180a35-57c5-4427-8b10-412b5977a5bd</t>
  </si>
  <si>
    <t>9a9ee37a-2974-472f-b209-d9c3070ed1e0</t>
  </si>
  <si>
    <t>53a0d3d7-676c-4aae-b9e8-ecadd7210da3</t>
  </si>
  <si>
    <t>da1cba78-0d97-41e9-a992-bbc05009ebce</t>
  </si>
  <si>
    <t>12b48127-a98c-4da6-ba74-dba75151fc5b</t>
  </si>
  <si>
    <t>228dee1d-6dab-4f1c-a247-fbcfe4740c87</t>
  </si>
  <si>
    <t>c17cf505-0352-4e3e-a01a-f73c6a6d1e6c</t>
  </si>
  <si>
    <t>d484eca4-a2ca-46bb-8f84-8b7f716ef5ad</t>
  </si>
  <si>
    <t>75e3bd69-8934-4dcd-9c3d-e00f02244db2</t>
  </si>
  <si>
    <t>21d87641-7c70-4de2-a086-5528ffc97503</t>
  </si>
  <si>
    <t>b5f769e8-d27f-4258-ad8a-fd129ddeaf84</t>
  </si>
  <si>
    <t>e6cef380-3043-4c15-b757-24fb0a0eba53</t>
  </si>
  <si>
    <t>00f393de-466a-4306-b4cf-5be4aea29893</t>
  </si>
  <si>
    <t>75ce4724-5ff3-4a74-b58b-2c5fc2ae7cad</t>
  </si>
  <si>
    <t>3a026b5c-65c0-44d1-8fcd-0ed5517848fe</t>
  </si>
  <si>
    <t>0d8b15ff-a477-4acf-be59-19db0fabb80a</t>
  </si>
  <si>
    <t>7fa91107-95c0-4ce3-8694-a50ddbd7bef1</t>
  </si>
  <si>
    <t>337ad0e8-bdcd-46e2-8df8-f91afc3a9de5</t>
  </si>
  <si>
    <t>1dd11a3d-51c2-4daa-8120-4d920f47eed8</t>
  </si>
  <si>
    <t>83d1a1ef-921e-4ce6-8c0b-94747ca2d934</t>
  </si>
  <si>
    <t>cbb1b489-e257-4d0d-84dc-e41c1e90e999</t>
  </si>
  <si>
    <t>e2b33349-ac06-40db-b473-a1c27998a67a</t>
  </si>
  <si>
    <t>f96a14d4-0d71-488f-b9e6-00512c1e0b0b</t>
  </si>
  <si>
    <t>f1ceafb2-e23b-41d4-8e83-86a1afe488e9</t>
  </si>
  <si>
    <t>dc95d89c-7ad3-4967-8924-537603caf7a1</t>
  </si>
  <si>
    <t>8cdd2548-bee0-4614-bbce-6ed05fcb278a</t>
  </si>
  <si>
    <t>e187a2cf-ee7e-4fbf-9112-25652a401f91</t>
  </si>
  <si>
    <t>ccc488f8-4bc8-4c67-8401-dd5ef1e766a0</t>
  </si>
  <si>
    <t>42d851f8-0069-4411-838d-3876fd4e24c7</t>
  </si>
  <si>
    <t>32a813f3-784b-49c2-925f-c7d3c827bbce</t>
  </si>
  <si>
    <t>82145b92-a736-4054-8e34-7b4004e45c89</t>
  </si>
  <si>
    <t>2fced0df-6ca8-4f68-8dec-cc08165daaca</t>
  </si>
  <si>
    <t>cab63be8-8c8c-49a6-93f1-52bb4eedcce4</t>
  </si>
  <si>
    <t>fa7faf68-568a-4bdb-b495-f651efb2c869</t>
  </si>
  <si>
    <t>555c3e4d-507d-4ff3-8e32-fa5c1767566f</t>
  </si>
  <si>
    <t>3ae6eac2-d250-4132-b1c8-a6b776a03721</t>
  </si>
  <si>
    <t>c93caf72-96e6-426a-9146-0622ced1c663</t>
  </si>
  <si>
    <t>8ca14837-ea9e-43b7-9435-07bdfc98b4b9</t>
  </si>
  <si>
    <t>e73a5b4e-784c-4ddf-9288-85097d37bd65</t>
  </si>
  <si>
    <t>05a08abb-ef3b-4a03-aa1f-6c6ea82cfba8</t>
  </si>
  <si>
    <t>3240c53b-eb9f-4fcd-a27e-c211c6e1038d</t>
  </si>
  <si>
    <t>abf782f2-7ea4-438f-a00d-26fd2b5745d0</t>
  </si>
  <si>
    <t>ba246336-5922-4837-94db-0e7e1d4d35a7</t>
  </si>
  <si>
    <t>57f7ea70-1b6b-4ef1-979b-a4d6d0f85f8f</t>
  </si>
  <si>
    <t>a279bc3f-eee3-4225-ad3e-0d89281c7d8c</t>
  </si>
  <si>
    <t>6545855a-d4f1-4aa1-a259-ab9b94977945</t>
  </si>
  <si>
    <t>b4c450fc-5b97-439a-98f7-40245c320575</t>
  </si>
  <si>
    <t>b90beca7-e706-45c1-b22d-6ae436437c23</t>
  </si>
  <si>
    <t>d6c3778c-1625-4887-a401-8a5ff9f3ef58</t>
  </si>
  <si>
    <t>771d21d7-b4c5-4c4d-8242-f69623277e69</t>
  </si>
  <si>
    <t>322d7512-8455-444e-b4b7-c839d28a7da1</t>
  </si>
  <si>
    <t>7fe60224-b743-4b33-a03d-706e9b8c3640</t>
  </si>
  <si>
    <t>ac81ee74-083b-4a44-8a4e-4562b920a03f</t>
  </si>
  <si>
    <t>309c97f8-dff5-41da-b029-81ad1c7db423</t>
  </si>
  <si>
    <t>51b2c804-c722-400c-90df-d63ad534d24f</t>
  </si>
  <si>
    <t>c602656c-036a-4e0f-8cf6-a3407584021b</t>
  </si>
  <si>
    <t>c93d251a-316f-4aae-8d0b-30bf96ec09f0</t>
  </si>
  <si>
    <t>cf795d39-c22f-452a-8d14-59119cac7eff</t>
  </si>
  <si>
    <t>584fe679-c873-4df7-99e1-7fe07e7bc022</t>
  </si>
  <si>
    <t>d20bbb3a-0308-42ff-933f-b74f251daec5</t>
  </si>
  <si>
    <t>0c71033a-289a-41ba-98de-03c03fef6e47</t>
  </si>
  <si>
    <t>57fac708-11d3-4630-aaac-736da89e42c6</t>
  </si>
  <si>
    <t>2f61059f-df5d-4d2d-96cf-84f51ebb373c</t>
  </si>
  <si>
    <t>4b3f409e-8b6c-4bd8-af84-c79450579b18</t>
  </si>
  <si>
    <t>2b0dd8a0-bec8-46cd-b0f3-6dba099a332d</t>
  </si>
  <si>
    <t>ea8cfc76-f104-497e-91d7-1cac02970dc4</t>
  </si>
  <si>
    <t>b6e4a7be-be29-4599-857f-0f311e13759e</t>
  </si>
  <si>
    <t>cf8bf5fa-00e2-42c5-b3e9-4b8cee8a57d4</t>
  </si>
  <si>
    <t>8dbe5f28-f7c2-4f8c-85d4-38b3a8210a44</t>
  </si>
  <si>
    <t>a0dc0c91-23b0-486f-a1da-a4d5b1ff70a0</t>
  </si>
  <si>
    <t>3f21116a-b590-4fb2-a3f3-9e62dc948f12</t>
  </si>
  <si>
    <t>b92a324e-db12-4ee8-802e-9d214b74e35a</t>
  </si>
  <si>
    <t>1215e900-9e34-413f-b251-72a8c868b295</t>
  </si>
  <si>
    <t>5e2cfd88-16a6-4da6-bdd2-e468f9add41d</t>
  </si>
  <si>
    <t>43b84007-eb65-4086-8f19-48ad5177e21d</t>
  </si>
  <si>
    <t>3ae66599-30c9-43e4-91c9-0ca2b1420117</t>
  </si>
  <si>
    <t>c40f8e89-ff26-4b35-8dc9-33bce8f91226</t>
  </si>
  <si>
    <t>d758bdce-6629-4936-ba70-9021f132fd1a</t>
  </si>
  <si>
    <t>4e3b7527-bd24-4aba-918f-bf3c76b47883</t>
  </si>
  <si>
    <t>9d065b46-a30d-4739-8037-442583fb5d4a</t>
  </si>
  <si>
    <t>9e10ddb5-8672-4e19-b729-0ecf886e33d0</t>
  </si>
  <si>
    <t>b6782f54-d142-40d2-a031-b4b154fb1ef8</t>
  </si>
  <si>
    <t>f3426419-1ed9-4286-bcc3-375446eb4ca3</t>
  </si>
  <si>
    <t>e8a5d0d9-c2f6-4625-92b8-f8bf62767714</t>
  </si>
  <si>
    <t>3f7daad9-a71e-4d70-a24f-2893cd21b5e9</t>
  </si>
  <si>
    <t>9e371060-5892-4d02-b7b7-e579f7e6c4de</t>
  </si>
  <si>
    <t>fb015d5c-4198-44c7-84ce-e53faf5d4333</t>
  </si>
  <si>
    <t>45e91ff1-2968-489b-8108-f2f7934d60ef</t>
  </si>
  <si>
    <t>c3caebfd-4cfb-441f-acbf-e965cf56b194</t>
  </si>
  <si>
    <t>a8050517-8a39-4c7f-909f-c3f82213305f</t>
  </si>
  <si>
    <t>62dbc814-ace8-40d0-b12c-3a7679d31d9e</t>
  </si>
  <si>
    <t>ff02e8e2-3a33-431e-aa4e-baefb939aa1d</t>
  </si>
  <si>
    <t>188219f6-10dc-4ba5-92ad-6ef7c1ea4d2c</t>
  </si>
  <si>
    <t>bd84164c-1164-4533-8827-a6d532b8fb48</t>
  </si>
  <si>
    <t>f3c4bef4-85a2-4032-b29c-14dd427409ff</t>
  </si>
  <si>
    <t>32239d99-f9ca-4755-99f8-8d0215a5d318</t>
  </si>
  <si>
    <t>0533bbe3-9605-497b-9be5-938059791506</t>
  </si>
  <si>
    <t>29ac6269-27d3-4fbf-9592-cbabb433f02b</t>
  </si>
  <si>
    <t>8c627636-c0c9-4372-9eeb-a4516eb9a021</t>
  </si>
  <si>
    <t>44bba1c1-bf45-42e5-a4ea-d524f253ec1d</t>
  </si>
  <si>
    <t>8ba33744-0ffa-47a4-9893-d1c01d2dfe41</t>
  </si>
  <si>
    <t>f37c9431-5f79-4b23-adca-8064cbdae35a</t>
  </si>
  <si>
    <t>b55af418-1f59-4bac-9a39-bf2c6b7d7d8e</t>
  </si>
  <si>
    <t>b0f03cd0-0afd-421d-a8b3-9eacbdd45ef2</t>
  </si>
  <si>
    <t>6bdd9c55-56fc-4eff-bec4-94b966cc94f3</t>
  </si>
  <si>
    <t>d3328f41-6cef-4a46-9c37-70a5a1896b07</t>
  </si>
  <si>
    <t>dce57a04-a67a-401a-92e1-08cf9284cada</t>
  </si>
  <si>
    <t>a9a4fe0e-0b83-4c52-84d9-9d07f8e4dee1</t>
  </si>
  <si>
    <t>d6553f56-8ad5-44da-b9e4-e6f47cef9096</t>
  </si>
  <si>
    <t>2f92a870-ea8a-4a13-bdbd-21788ffacc09</t>
  </si>
  <si>
    <t>1bd2fd48-e728-478c-9fd6-5a2fe11d7d21</t>
  </si>
  <si>
    <t>425d73ec-a846-4b2a-94d3-6d01300e9789</t>
  </si>
  <si>
    <t>ff7f19bc-36df-4a06-a5ce-1352790dbde0</t>
  </si>
  <si>
    <t>3a0a0b0b-2318-41cd-b104-b9c788326adb</t>
  </si>
  <si>
    <t>ae6da9ba-a47a-4451-96e6-42f1b9c736c7</t>
  </si>
  <si>
    <t>dab84448-8091-4408-b2b5-cded961478b6</t>
  </si>
  <si>
    <t>9d9aa148-f350-40b5-8089-3f88452b4023</t>
  </si>
  <si>
    <t>5d3eacae-86d5-457f-bc59-a31d1519ef70</t>
  </si>
  <si>
    <t>0a3fda29-c347-4130-b4b6-437d1763581e</t>
  </si>
  <si>
    <t>dfd3d898-a5f7-41f8-8096-12d26a8644bc</t>
  </si>
  <si>
    <t>c41c492e-1f7e-4239-a5d5-6c9cb7142e74</t>
  </si>
  <si>
    <t>ab95f97f-5721-44e9-b6e5-edf5428f33b1</t>
  </si>
  <si>
    <t>a02988ba-6528-4441-9993-68a96a3b60ec</t>
  </si>
  <si>
    <t>10131a4c-94e7-4b1a-b210-11b892637047</t>
  </si>
  <si>
    <t>3caeacc3-c2e6-4b4f-b2cd-f253ed0b6de6</t>
  </si>
  <si>
    <t>f7948246-b915-4e40-ad3e-fde123fe2be7</t>
  </si>
  <si>
    <t>e757bf3e-fd0a-4546-9a08-b883d46bf887</t>
  </si>
  <si>
    <t>6e7a78ef-a7af-4491-a4a8-180755905a0e</t>
  </si>
  <si>
    <t>88754f42-861f-47b9-8573-fb4e32382398</t>
  </si>
  <si>
    <t>03cfb77f-579b-478e-8168-bc57e1a8bf3c</t>
  </si>
  <si>
    <t>3752713c-be5d-447e-aaca-cc424b1b3262</t>
  </si>
  <si>
    <t>441f0df0-70ec-4cc4-920f-06f9ae86a897</t>
  </si>
  <si>
    <t>a9efc94e-2166-42b1-980b-e75849d91811</t>
  </si>
  <si>
    <t>7585ab70-9a21-4e09-a523-e3d1f91a5738</t>
  </si>
  <si>
    <t>7ce3f7a0-4318-44c7-8222-6df809522b19</t>
  </si>
  <si>
    <t>1fbfb28d-2b16-4ebd-a34d-008c2656f769</t>
  </si>
  <si>
    <t>1a930a88-6139-4eaf-859d-ac36f1833b46</t>
  </si>
  <si>
    <t>071b4cdc-c84e-4165-8644-867ffefc2ca5</t>
  </si>
  <si>
    <t>f4d817a8-6bf8-4049-9419-9c149bc2f1c3</t>
  </si>
  <si>
    <t>ae34cdef-74c4-48ac-8f8a-c265a03d807b</t>
  </si>
  <si>
    <t>e1911b92-533c-44b3-a539-398ac260ad52</t>
  </si>
  <si>
    <t>394fdc04-2523-4d35-a2ed-d5d53a19e11b</t>
  </si>
  <si>
    <t>00dcde29-4644-4ba6-98c8-bf24f78d2924</t>
  </si>
  <si>
    <t>5a82ec3c-5bde-4f23-a9eb-e4f7a5ba807f</t>
  </si>
  <si>
    <t>d43a22d1-dec4-457e-8098-91b2af30687c</t>
  </si>
  <si>
    <t>5b183c1d-01db-4522-b544-ebd48d96ebc9</t>
  </si>
  <si>
    <t>91b5d79f-72d0-44c7-b9d0-d7c3661cf60b</t>
  </si>
  <si>
    <t>abe103b0-e6d3-4b4d-8a4a-1bad3f78bf23</t>
  </si>
  <si>
    <t>f2af9e86-6830-441a-a09f-27df0c09a2e3</t>
  </si>
  <si>
    <t>6677f214-414d-4582-9bd9-58882a6b7a5d</t>
  </si>
  <si>
    <t>24810559-dbbf-4c81-8f89-e5438fae7f54</t>
  </si>
  <si>
    <t>0852b70a-5d5a-420f-864b-47630160d38a</t>
  </si>
  <si>
    <t>395daa0e-c426-45e6-94e3-92b465e58c67</t>
  </si>
  <si>
    <t>4a9e60ac-9ab9-4dfb-ad21-2bd8a8750fd1</t>
  </si>
  <si>
    <t>9934a3b7-9326-4ebc-8416-e042414578d9</t>
  </si>
  <si>
    <t>abf086e9-4b32-4ace-9e51-d2f6f42a742a</t>
  </si>
  <si>
    <t>eb42cc2a-9262-4571-94d7-2c1fb0b03171</t>
  </si>
  <si>
    <t>f7c95109-57e9-4110-8356-4b2269a9e53c</t>
  </si>
  <si>
    <t>5cd7b297-e879-48cc-9e57-94b7e62401c5</t>
  </si>
  <si>
    <t>3af6b523-dbde-407b-9367-822acf27761e</t>
  </si>
  <si>
    <t>f4d87fa6-82e9-4a7e-9631-b926e44cc78b</t>
  </si>
  <si>
    <t>6d9570c5-c888-4c0e-9424-ce5705416ae1</t>
  </si>
  <si>
    <t>d7c1ec4d-5a62-4535-9329-ce2d0d404b45</t>
  </si>
  <si>
    <t>4a268f6e-7f35-426b-91c6-51f778180064</t>
  </si>
  <si>
    <t>7c7036c5-7503-46e6-8b02-7e56fb24325f</t>
  </si>
  <si>
    <t>1611704f-5514-4c7b-a4f8-ac7b7d19907c</t>
  </si>
  <si>
    <t>b3687171-ef6b-40fd-b6c1-11af76d881a9</t>
  </si>
  <si>
    <t>fd9762ac-31a3-4ba1-9485-ec897ff2ecfa</t>
  </si>
  <si>
    <t>ef53fe56-449b-44e3-bdf0-b64fb863ab2d</t>
  </si>
  <si>
    <t>4937b29e-2948-4431-adef-8601dbb077fd</t>
  </si>
  <si>
    <t>b79cf8ee-cca1-4f05-82e5-fa7c1cedc2e3</t>
  </si>
  <si>
    <t>b3dd6634-e019-4aa6-a382-4907fc7505cf</t>
  </si>
  <si>
    <t>21568dc6-a6f1-4972-b05b-d875ce79abc4</t>
  </si>
  <si>
    <t>8de6bef0-4e85-4a98-b069-48edb2cdfee4</t>
  </si>
  <si>
    <t>f31fd3ed-4102-4d06-a941-4f9ecae1cc78</t>
  </si>
  <si>
    <t>ab81b8e9-0f8b-48a3-84a0-f1cfe22f975e</t>
  </si>
  <si>
    <t>cc7dbe89-344c-4022-b1d9-1a748ab419ef</t>
  </si>
  <si>
    <t>beee36ef-41af-4e61-8beb-27d8e864f5a4</t>
  </si>
  <si>
    <t>3f0cb9b4-8161-4bfd-a473-73079d499dfe</t>
  </si>
  <si>
    <t>895bb08e-f879-4f99-902c-a144f7decf8d</t>
  </si>
  <si>
    <t>c991ab12-caca-4bb6-aaea-6e6e858b3631</t>
  </si>
  <si>
    <t>4ec5d6d8-28f0-4365-904f-4dd82fabcb83</t>
  </si>
  <si>
    <t>d273c6b8-ce76-40f8-bff2-0f46274dffd4</t>
  </si>
  <si>
    <t>666e9706-41f9-4ab8-9f88-7ac5b6ffca18</t>
  </si>
  <si>
    <t>40b593d3-ad73-4fa1-9d06-46e7bdf11974</t>
  </si>
  <si>
    <t>0fabfdc6-93cd-4fe5-861a-c9c1eb18736b</t>
  </si>
  <si>
    <t>86b0314f-5154-4a02-b0ee-426fe2028209</t>
  </si>
  <si>
    <t>805e7d68-be76-4f70-a854-739c25acef0c</t>
  </si>
  <si>
    <t>f15185b3-ecd4-40d3-bc00-2cfb8c629474</t>
  </si>
  <si>
    <t>e26be0e1-e00b-4849-8d9c-55d2f4b12246</t>
  </si>
  <si>
    <t>08208d87-26dd-4b7e-85d2-745d5da6c74e</t>
  </si>
  <si>
    <t>e9669c73-13a0-47dd-9f8f-cca0a4e2f241</t>
  </si>
  <si>
    <t>e9ae181c-af9d-4c46-85c3-34da25c1b9d4</t>
  </si>
  <si>
    <t>ee2cd4d4-276a-4573-8535-413d66956ffb</t>
  </si>
  <si>
    <t>e413821d-d26a-465c-b0bf-b9cfe5c9b892</t>
  </si>
  <si>
    <t>c0244992-8137-4066-a08b-4697b6dcc6d4</t>
  </si>
  <si>
    <t>2d67e397-abe7-490c-bbe7-5c04543c267d</t>
  </si>
  <si>
    <t>bab92845-e8ef-4ae7-af69-5731a6e22ea7</t>
  </si>
  <si>
    <t>f4de5ca1-4c30-4eb2-ba81-599050990472</t>
  </si>
  <si>
    <t>0199e2bc-483f-496b-b7a6-7a3485f7b574</t>
  </si>
  <si>
    <t>b46ac60d-7ce7-4444-aa2c-809f8251934f</t>
  </si>
  <si>
    <t>eba5a097-325e-4f74-9a85-7d99a7cec1c0</t>
  </si>
  <si>
    <t>19f47699-8dc9-4f2f-862b-99fa980b6a18</t>
  </si>
  <si>
    <t>080870e4-0131-45c8-9c49-f40169cfca7b</t>
  </si>
  <si>
    <t>5b6dbfd2-0d1a-4e91-bc83-5ffc809ecb39</t>
  </si>
  <si>
    <t>19df6104-0dc5-47da-884b-6a5b7c6a3b00</t>
  </si>
  <si>
    <t>d881c4cb-d850-469b-9884-15cdaade7a02</t>
  </si>
  <si>
    <t>14e97950-2c42-438d-8681-087557105094</t>
  </si>
  <si>
    <t>2604fab7-a9ae-4bdc-84cb-17fc1f0e1725</t>
  </si>
  <si>
    <t>203e323e-c4fd-4b24-912e-f77d4518a1db</t>
  </si>
  <si>
    <t>9b3677e9-ae89-4d26-9b7d-18db50bad1c0</t>
  </si>
  <si>
    <t>32f766fd-9be6-4e42-ae4b-d2ca91720b71</t>
  </si>
  <si>
    <t>4dd2eba3-cb9d-44d9-9336-034b017f3a81</t>
  </si>
  <si>
    <t>848b2a09-b3b2-4cec-b388-e9c16bd5c708</t>
  </si>
  <si>
    <t>410ec6db-4e68-42d9-8a43-c4d06a712f52</t>
  </si>
  <si>
    <t>dd1111e1-f98c-4ca8-bbd0-fe0d0145474d</t>
  </si>
  <si>
    <t>7db78990-f791-4ad0-8fbf-fdcd7bf5faf2</t>
  </si>
  <si>
    <t>77641aa4-9b45-4bad-890a-a3e05d622a4f</t>
  </si>
  <si>
    <t>7f369352-7cad-4c4b-99cb-e0b76d14211a</t>
  </si>
  <si>
    <t>64cda595-fdb3-48b3-848e-c881ec917908</t>
  </si>
  <si>
    <t>c0e89fb3-fb8c-4625-81af-9db05f0bc066</t>
  </si>
  <si>
    <t>b32aafaf-7913-4297-b39b-19818a3b458e</t>
  </si>
  <si>
    <t>ff4f3af2-f725-4072-813c-6d47cbb2497c</t>
  </si>
  <si>
    <t>1c0aee9a-e43b-4672-8c1d-5efdf3d5790f</t>
  </si>
  <si>
    <t>4167a56d-f5db-46a1-9c45-b0e5965771a2</t>
  </si>
  <si>
    <t>fd892d27-1e49-4e4d-8eef-9a1ea5e48920</t>
  </si>
  <si>
    <t>16341bc8-1341-4692-a928-660dd6a3c18a</t>
  </si>
  <si>
    <t>cf6d55a9-6a0a-4ab8-9835-c786d36f8587</t>
  </si>
  <si>
    <t>6ef2fb3e-9910-4ec0-bca7-e49eae099805</t>
  </si>
  <si>
    <t>77aa0934-7678-4776-9616-9fface3c35db</t>
  </si>
  <si>
    <t>284b33cb-1ccf-4437-bc34-7ea8312e489b</t>
  </si>
  <si>
    <t>27de63db-9927-4081-9e11-6f7bc1a016ce</t>
  </si>
  <si>
    <t>e2e2acd5-1ebe-4b2e-a95b-b0f57d38ee3c</t>
  </si>
  <si>
    <t>8d339ee0-f966-4628-9585-531a4beae841</t>
  </si>
  <si>
    <t>697ad16c-efc9-46bb-9272-b33f5f4b78d6</t>
  </si>
  <si>
    <t>b0611bde-d0ab-479b-9349-b20042193c37</t>
  </si>
  <si>
    <t>c416ca8a-04c7-4d5d-af0a-2e1f913f61f7</t>
  </si>
  <si>
    <t>4018e2f9-f671-43e8-935d-8a9c95dede89</t>
  </si>
  <si>
    <t>e726036b-7aab-4e66-b6ea-14d49c006273</t>
  </si>
  <si>
    <t>50889050-948a-4b31-9508-91bdbf1e3e18</t>
  </si>
  <si>
    <t>eff61165-bc59-41db-b1b5-c15b0d1e6166</t>
  </si>
  <si>
    <t>c1f93d83-fe7d-4df5-b7cb-a10a55b760b5</t>
  </si>
  <si>
    <t>7d71c96f-12b9-4b8f-811a-cba3bd9fa25b</t>
  </si>
  <si>
    <t>673d45ea-ba78-428f-9758-91c7fc8fdc08</t>
  </si>
  <si>
    <t>c6f9b2db-d53f-403e-ace3-a9abc3051f2c</t>
  </si>
  <si>
    <t>7b8ab0b2-ef89-4cf5-8c40-e33a402056a8</t>
  </si>
  <si>
    <t>7d0792cb-4cf7-49a7-b149-fd5784aee813</t>
  </si>
  <si>
    <t>2c3f129f-b7fa-4905-ab12-2c3505c06922</t>
  </si>
  <si>
    <t>d517b602-acca-43b0-ae8c-1daefd5bcef6</t>
  </si>
  <si>
    <t>f2ea4d36-6134-484f-b573-b45d7f34ef74</t>
  </si>
  <si>
    <t>cf995fb5-ca21-4cd1-b13e-ebe086de7206</t>
  </si>
  <si>
    <t>d840a994-344d-4298-8bd1-b88b99cd10d5</t>
  </si>
  <si>
    <t>f588d870-f225-4862-8958-13ce8b835715</t>
  </si>
  <si>
    <t>a2e4f177-3bff-4715-aa68-04ab0191f033</t>
  </si>
  <si>
    <t>baaa60ab-ce8b-4634-8b03-30159ff12849</t>
  </si>
  <si>
    <t>5694ab41-f81f-4214-af02-522a14bdecc5</t>
  </si>
  <si>
    <t>12cd4a6a-41f2-471f-afca-1c0e46fab1b8</t>
  </si>
  <si>
    <t>4ee2c3ae-e0c7-4706-b86f-ebb625b328b9</t>
  </si>
  <si>
    <t>d89fa0f5-0c51-4a8f-9e3f-8e81dad60d3f</t>
  </si>
  <si>
    <t>58d66313-a5b2-4716-ba20-f1492bff8e7b</t>
  </si>
  <si>
    <t>9668ab75-aa6b-4b12-ad36-6673125126c2</t>
  </si>
  <si>
    <t>7d6ff26f-18dd-42d8-b5b4-546574ceccf9</t>
  </si>
  <si>
    <t>bd82c410-d67f-40de-8f49-f7852987be6b</t>
  </si>
  <si>
    <t>4fc2d68b-ecfd-4b25-8d64-6e955cec074d</t>
  </si>
  <si>
    <t>55bdfa5b-7f59-42cf-bbab-482dfe2064a9</t>
  </si>
  <si>
    <t>64d51ad0-b57a-46f5-ae54-8d54516013eb</t>
  </si>
  <si>
    <t>fbad05b5-caec-43af-8483-d99457bfbf1f</t>
  </si>
  <si>
    <t>ea79158e-7c96-4ac8-aff5-b3ed4004acd1</t>
  </si>
  <si>
    <t>d3991db1-51d3-4e84-ade6-bec2122748b7</t>
  </si>
  <si>
    <t>f348389d-29ca-453a-8d54-7f6a8c6421f9</t>
  </si>
  <si>
    <t>b1b944da-b611-48e6-824e-3f39bf00a28a</t>
  </si>
  <si>
    <t>9c78a825-fab3-4d65-91f9-e3077de3fe06</t>
  </si>
  <si>
    <t>e59f17a3-5ab6-469d-a8cf-afe9bf181a87</t>
  </si>
  <si>
    <t>a860a1d4-b9b3-4a46-849e-9b07da230134</t>
  </si>
  <si>
    <t>bcc4de97-c182-4cf2-9dde-defce613139b</t>
  </si>
  <si>
    <t>3e49fea2-fa8e-4ed8-b1e3-3078894caf24</t>
  </si>
  <si>
    <t>ab5302bb-5ea8-4626-9b9b-866ecf03a83e</t>
  </si>
  <si>
    <t>e0f18766-44a8-423a-9000-19030bef29a8</t>
  </si>
  <si>
    <t>aeee3f33-16d3-4117-8b03-9eb6bbf9ed04</t>
  </si>
  <si>
    <t>b842ea44-b190-4f6e-842d-b33b4f9d5fc4</t>
  </si>
  <si>
    <t>6608fa87-947d-47ad-b665-f2825d0ae730</t>
  </si>
  <si>
    <t>feeb5e2a-ad87-4825-bffe-5ad7a6325328</t>
  </si>
  <si>
    <t>ebba043c-cb4f-457e-ab9c-72195b5eb16a</t>
  </si>
  <si>
    <t>00308d78-ab9a-45d4-bc4c-53b369ed4921</t>
  </si>
  <si>
    <t>87944fad-c33c-4a93-bde6-04f61bfedd9f</t>
  </si>
  <si>
    <t>f47730d0-bdca-4927-8758-6da9846d37ed</t>
  </si>
  <si>
    <t>93055aaa-6347-4ab5-90d3-251f9ae0af82</t>
  </si>
  <si>
    <t>2003442d-10e2-4499-bf4b-e2780828ac21</t>
  </si>
  <si>
    <t>996833da-cd44-42d1-a8fd-0515e76246f7</t>
  </si>
  <si>
    <t>2b3be7f7-9266-4438-aa4f-3084c66d8dd7</t>
  </si>
  <si>
    <t>cf4f5e44-8c19-46d2-ae50-984e686befcb</t>
  </si>
  <si>
    <t>5a8d46a7-8cca-4918-abb9-38b1cc3e5408</t>
  </si>
  <si>
    <t>612ea60b-4a7f-4d12-850b-d028e6db47a8</t>
  </si>
  <si>
    <t>7812cc6d-eb22-4bfd-9899-b94ce938e85c</t>
  </si>
  <si>
    <t>a8285bbb-dae0-4d9b-bf24-0e98dd51ccf6</t>
  </si>
  <si>
    <t>5bc8758d-d352-4bb4-850d-35986e571bb7</t>
  </si>
  <si>
    <t>fc326624-6ebc-4c68-b57e-f1d28d1b2ec3</t>
  </si>
  <si>
    <t>eba8dc09-8225-4955-804e-22100310b1af</t>
  </si>
  <si>
    <t>8f791579-6847-48fd-8e8a-ee126bff8cf3</t>
  </si>
  <si>
    <t>7be7edbf-04a9-47f3-8de9-defaca0e8bb6</t>
  </si>
  <si>
    <t>c02dd9e8-9297-45b9-92be-ee08894dd6fa</t>
  </si>
  <si>
    <t>c179d3a3-0944-41ca-a6cf-7aab770e364c</t>
  </si>
  <si>
    <t>6345ae87-45a0-4f9e-9a90-2582a3996833</t>
  </si>
  <si>
    <t>3d2b1178-312d-49e3-9db8-ded943b25285</t>
  </si>
  <si>
    <t>3573c04b-5efa-4aa3-9bf2-13498989de46</t>
  </si>
  <si>
    <t>65580816-3514-4cdb-8e4d-852895b1ef4f</t>
  </si>
  <si>
    <t>b35466dc-ad35-429d-9ccd-f6bc7f34b36b</t>
  </si>
  <si>
    <t>8ec94d2a-4d9e-416d-ae1b-0db5f56fc318</t>
  </si>
  <si>
    <t>f6324d81-27b1-4e8f-a353-f5575f08dad7</t>
  </si>
  <si>
    <t>0a07c59f-1e6b-42e7-8248-59f6b7ba64a6</t>
  </si>
  <si>
    <t>ae0ae5e3-d060-4706-936f-4cced8b33f03</t>
  </si>
  <si>
    <t>d64db1a8-98b8-4eaa-a66b-dd4763455985</t>
  </si>
  <si>
    <t>d5ca3569-f11e-40a0-891c-31a8a617c1f4</t>
  </si>
  <si>
    <t>59cd32b6-e69a-4de5-8f02-30305bc2a39f</t>
  </si>
  <si>
    <t>3c019c7a-00d1-4b87-a6d6-cd2ebcce9af1</t>
  </si>
  <si>
    <t>63065bd1-d236-44fc-abcc-942218672962</t>
  </si>
  <si>
    <t>c583fa3a-3e14-47a2-88aa-e67683db4bdb</t>
  </si>
  <si>
    <t>0dacfb08-4148-479a-ac6f-0d625e954d12</t>
  </si>
  <si>
    <t>e84ef6d1-0ae4-42ef-8c83-fe858a369256</t>
  </si>
  <si>
    <t>4aba798a-1f6e-4313-806c-2d93ccd4e0ed</t>
  </si>
  <si>
    <t>38029883-c366-4053-8dda-e4da2bfc96b6</t>
  </si>
  <si>
    <t>2a7a0883-0264-47ac-b28c-78b0250201eb</t>
  </si>
  <si>
    <t>130b991a-c182-47d5-9703-1ffafe4db575</t>
  </si>
  <si>
    <t>09d21758-bf8c-4dae-b943-7e074ed6467d</t>
  </si>
  <si>
    <t>f765b0a5-ff64-4588-b4d6-743cf728e0bb</t>
  </si>
  <si>
    <t>3fda3dba-315b-411b-a534-c74c4a9edd78</t>
  </si>
  <si>
    <t>aed4f8ac-6d29-490b-b4f7-9e2ede14f5f8</t>
  </si>
  <si>
    <t>fdb8ddc4-7c7e-4bf1-aaca-6d6c6fdf5f3d</t>
  </si>
  <si>
    <t>b19b3161-441b-43b5-a41d-0ac7711f1e5d</t>
  </si>
  <si>
    <t>6e66bb46-a7ff-41e5-87e4-96cb16487507</t>
  </si>
  <si>
    <t>86aa9e72-1c8e-42d7-9faf-5913439c4cd6</t>
  </si>
  <si>
    <t>0a17726d-5e99-4891-9f4b-c7899d3cad62</t>
  </si>
  <si>
    <t>6ca54df8-0fe1-418a-9b61-47f3fe6e44f5</t>
  </si>
  <si>
    <t>47a1ba8d-5db0-4899-b540-ba8e57347d62</t>
  </si>
  <si>
    <t>f5daa881-3f72-4b18-a937-dd10def6187f</t>
  </si>
  <si>
    <t>e702a014-89d1-483b-9a96-7c361259950f</t>
  </si>
  <si>
    <t>0aed70eb-d027-42ef-96d4-bce74721452e</t>
  </si>
  <si>
    <t>a4340dc7-5a25-4392-8b0a-03fb38426194</t>
  </si>
  <si>
    <t>75e1f4f9-c099-43e6-bcb4-f44577e07669</t>
  </si>
  <si>
    <t>313cbd9c-00bd-4077-9bf0-255d5fcbba44</t>
  </si>
  <si>
    <t>13414daf-751c-44cc-9be7-3998a3ef3683</t>
  </si>
  <si>
    <t>411e868d-e42f-427c-bb3d-c97903449e63</t>
  </si>
  <si>
    <t>a3b14a06-8297-4a41-8e27-3556bbb4a415</t>
  </si>
  <si>
    <t>bae697b1-a489-487c-912b-ee5520eb9942</t>
  </si>
  <si>
    <t>b8cb52a7-293e-4678-b3ea-00b7669faccc</t>
  </si>
  <si>
    <t>bd26d172-023f-4f7f-91af-83bba81e79ab</t>
  </si>
  <si>
    <t>7e5ce2c5-7773-4c05-bad2-0c8e816b1a6c</t>
  </si>
  <si>
    <t>9d598347-024e-4426-b6f7-6af3a371b4e4</t>
  </si>
  <si>
    <t>a46a8883-afbb-4799-b91c-121723336e3d</t>
  </si>
  <si>
    <t>76233344-fa1c-4978-9bd8-c80bcd98fdf8</t>
  </si>
  <si>
    <t>64718aa5-b148-4a7c-a053-f4226a130562</t>
  </si>
  <si>
    <t>3614e486-ed2c-488f-8899-f62b4ba01cde</t>
  </si>
  <si>
    <t>709b1a16-df6c-4a8f-84ca-6914c8fb8ac3</t>
  </si>
  <si>
    <t>5baedf4e-6628-4b19-b03a-823fc6eaa692</t>
  </si>
  <si>
    <t>5021e79f-5ab1-4028-85dc-aca22f969075</t>
  </si>
  <si>
    <t>66e6bc99-912c-4b83-803a-61a92c960f5b</t>
  </si>
  <si>
    <t>45cbb0de-9b11-4d9b-af09-33246cd83a8e</t>
  </si>
  <si>
    <t>054b2b9f-25c4-4545-98f3-ee2f28a7ba5b</t>
  </si>
  <si>
    <t>92752747-4888-4acf-a216-9e559c3c3eaf</t>
  </si>
  <si>
    <t>ae591471-df46-491d-9ffa-cce24f229e0c</t>
  </si>
  <si>
    <t>3f4de118-fa26-4ce8-b12e-24c3959645fa</t>
  </si>
  <si>
    <t>4e14dd51-ce65-4a8e-b65a-4c722192f9c4</t>
  </si>
  <si>
    <t>8e7fd430-25a6-45e6-87b9-0f11a34a0d8e</t>
  </si>
  <si>
    <t>a3b2a838-8b2f-4053-a151-9c15867147e0</t>
  </si>
  <si>
    <t>684bc481-d406-4346-b482-2a5538e4aa05</t>
  </si>
  <si>
    <t>3c28f3cd-51a0-4302-a568-cdfd62ed2aa0</t>
  </si>
  <si>
    <t>12dcd031-ecf5-480b-bdb4-0f7a6e1f0539</t>
  </si>
  <si>
    <t>16cf4216-0e65-479a-8117-699361589e73</t>
  </si>
  <si>
    <t>61f70d7b-bcb8-4ba9-a031-34922307d8a3</t>
  </si>
  <si>
    <t>1754d6d1-b6f6-42ff-adbf-cd78d75a93b7</t>
  </si>
  <si>
    <t>1a1de910-278a-4e0b-b702-a9dc234bb278</t>
  </si>
  <si>
    <t>c3baea28-9d20-4a61-82d8-94359f292370</t>
  </si>
  <si>
    <t>437c16cd-bdfe-48ee-987a-338982e439ae</t>
  </si>
  <si>
    <t>fc29981b-32b7-47c5-a18b-5576347e2a5f</t>
  </si>
  <si>
    <t>76148eb0-9681-433e-88ab-47007efc31d8</t>
  </si>
  <si>
    <t>5c11514e-4e7a-4086-bd04-f6bf47f86a70</t>
  </si>
  <si>
    <t>8de0eec8-a298-4749-bee1-63c2f8099478</t>
  </si>
  <si>
    <t>5e777955-e73f-456d-86a7-433f3a7fe937</t>
  </si>
  <si>
    <t>162721d1-342a-4abe-8f25-45c85832e919</t>
  </si>
  <si>
    <t>ab156fdb-9359-45f9-a215-b3a4372bccf5</t>
  </si>
  <si>
    <t>cbc6ead7-090f-46d3-8798-90619eb052fb</t>
  </si>
  <si>
    <t>2f0d9391-d1d7-44d4-8317-54e03684e3a6</t>
  </si>
  <si>
    <t>6fa1f4e7-533b-4680-8faf-e300d3ff7dcb</t>
  </si>
  <si>
    <t>98eb2b81-ca3f-44aa-b45e-6bbd2b9203b9</t>
  </si>
  <si>
    <t>84e7a50e-2dfd-45b2-9042-9905bcad68fd</t>
  </si>
  <si>
    <t>9f7ba668-eefa-4e22-b02b-c10f2f30b4d1</t>
  </si>
  <si>
    <t>1f0e0b7e-2110-4536-aec4-90c00690cc30</t>
  </si>
  <si>
    <t>a77bcc95-b4b3-4977-84f3-b0288c808f8e</t>
  </si>
  <si>
    <t>b920c7b2-2ae1-4623-a773-5793d2225ba1</t>
  </si>
  <si>
    <t>35a2a67e-5d42-42d7-87bf-56b8a6989760</t>
  </si>
  <si>
    <t>53280d85-06c6-44ac-a4c3-a27923f609f3</t>
  </si>
  <si>
    <t>31b06288-fb21-4d60-a054-77eab64ce4cb</t>
  </si>
  <si>
    <t>ff8ef56d-e073-4513-b0fe-deaf8b88a2dc</t>
  </si>
  <si>
    <t>e6424a98-0137-4e30-a83e-b136c6540663</t>
  </si>
  <si>
    <t>be2c1cdd-b55c-43fd-9b2c-1a022d450bcd</t>
  </si>
  <si>
    <t>9920fab7-b8d8-415e-8598-ff5cbae993a5</t>
  </si>
  <si>
    <t>a00da348-c6db-469d-b462-99d7966a4648</t>
  </si>
  <si>
    <t>8807e098-4316-4ba9-9c41-de781e62f990</t>
  </si>
  <si>
    <t>b9d152c1-cb95-4399-9c49-22546f3dc783</t>
  </si>
  <si>
    <t>4b5a1810-4e29-4370-a56a-563d41a5e8a7</t>
  </si>
  <si>
    <t>25ea3b56-28ff-4e04-8c33-f83e74a3354f</t>
  </si>
  <si>
    <t>bf98dc80-089a-4ae2-ba80-5cf5ddb9d255</t>
  </si>
  <si>
    <t>13269d3c-232b-4b36-8646-2596ad71b4b9</t>
  </si>
  <si>
    <t>cc76ea33-ebfd-4733-972a-9f61e685a67a</t>
  </si>
  <si>
    <t>1a0fa23f-0f63-48bd-88a2-14771f608b3b</t>
  </si>
  <si>
    <t>0c2fa93d-bb72-45bb-b376-dc9b4d576009</t>
  </si>
  <si>
    <t>113b4dd3-8c5c-4e7a-a508-adb28b108694</t>
  </si>
  <si>
    <t>8167e244-6eef-4013-94a2-976799b7c34a</t>
  </si>
  <si>
    <t>c4c79f25-5dd6-4e5b-ad7a-8b0330b3c8b7</t>
  </si>
  <si>
    <t>75defefe-61dc-4acb-a700-d93abd7e77f8</t>
  </si>
  <si>
    <t>43243643-e938-42af-903a-a656aca7c3ca</t>
  </si>
  <si>
    <t>d6877b58-3cd0-46d1-b901-b846cc64ee4b</t>
  </si>
  <si>
    <t>cd70d17d-9709-49ee-9f40-5828c368bcc0</t>
  </si>
  <si>
    <t>6bc28b18-cddc-4797-8ea9-ab262bfdb86c</t>
  </si>
  <si>
    <t>f424494a-9ade-4116-8e14-a87d8598471b</t>
  </si>
  <si>
    <t>274f2da6-69eb-434a-bdb6-b5189f85e110</t>
  </si>
  <si>
    <t>b5b1d03e-b8ca-41b5-ba77-5413cc8af5bb</t>
  </si>
  <si>
    <t>01b3d911-75fe-40db-a473-948273d5bbe6</t>
  </si>
  <si>
    <t>1b2ed86b-7ef2-4f6d-b626-f64f639ab759</t>
  </si>
  <si>
    <t>97f0102f-790e-4280-9ead-33b4107459cb</t>
  </si>
  <si>
    <t>34e2d7ca-fdda-44f0-a82d-0dc09b05af1d</t>
  </si>
  <si>
    <t>93d6d319-972c-4973-9df7-138c84d41c65</t>
  </si>
  <si>
    <t>53420802-f500-48d5-8729-5357cff1973f</t>
  </si>
  <si>
    <t>879d5836-5793-4186-9bb8-77cd6d730d9e</t>
  </si>
  <si>
    <t>33a29f2e-93aa-495a-ab1c-e9be04907f05</t>
  </si>
  <si>
    <t>fd9ffe4a-558e-4226-8cbe-9f0438ba15ef</t>
  </si>
  <si>
    <t>7431dbf0-3b07-4ea1-b78e-67819d0697b7</t>
  </si>
  <si>
    <t>61e708f5-72d6-4e0e-97d1-b57d960b6bde</t>
  </si>
  <si>
    <t>3c93f5e1-10bb-4ab3-aae6-4d26e55bc619</t>
  </si>
  <si>
    <t>1026efa8-5317-4806-aad1-f2198d23ee9c</t>
  </si>
  <si>
    <t>0aee516b-ac37-4c71-a8c6-540aabfa00ff</t>
  </si>
  <si>
    <t>7c39b831-a96a-45a9-b99f-e9a6c0f7ecc4</t>
  </si>
  <si>
    <t>1cffbf29-cb9a-42ed-99cb-db195a741d30</t>
  </si>
  <si>
    <t>72e01706-fb35-4414-a853-a718b033a863</t>
  </si>
  <si>
    <t>c082f976-605a-43c0-a9dc-0c3b9f0ed57f</t>
  </si>
  <si>
    <t>00071f5b-ce22-43d6-841f-920daf8f6742</t>
  </si>
  <si>
    <t>6e120be7-66af-4bd2-a34d-505eb154d0d5</t>
  </si>
  <si>
    <t>3b6b9366-e9de-4cb8-bc58-047769832f42</t>
  </si>
  <si>
    <t>95dfe73e-5e2b-40e6-bb0e-84f2eb9458ae</t>
  </si>
  <si>
    <t>1318f21a-8735-4a2e-8872-66036a8ffc7c</t>
  </si>
  <si>
    <t>ed448f98-bdfe-4617-8126-55d232e87ffe</t>
  </si>
  <si>
    <t>e1e5c538-7b06-4f7c-94e1-370184659a52</t>
  </si>
  <si>
    <t>ae363634-91be-45a1-aa4c-84d519c3ba78</t>
  </si>
  <si>
    <t>46e62345-3e64-4197-81b5-c24a268972b8</t>
  </si>
  <si>
    <t>2155a48c-6716-4ffb-858b-d51fc2f1ca20</t>
  </si>
  <si>
    <t>127dd457-3fb5-428f-ad92-f497362f4aef</t>
  </si>
  <si>
    <t>debe800e-0aa8-4144-a951-9b81b2e79ff9</t>
  </si>
  <si>
    <t>d857498f-9bc9-4bb1-97c5-a5c3e7346576</t>
  </si>
  <si>
    <t>813b2505-d446-4694-b774-0c84a5829322</t>
  </si>
  <si>
    <t>e41f126f-10dc-4f57-b984-44e3894d12e9</t>
  </si>
  <si>
    <t>774efbba-55d8-4366-b8a7-e87dd53c5bea</t>
  </si>
  <si>
    <t>38d5f139-192f-4d65-bf38-9dda6acbe549</t>
  </si>
  <si>
    <t>91d3725f-8c4a-4220-afdd-61678bd8ead4</t>
  </si>
  <si>
    <t>b3e752f3-e47e-49fd-863f-a2593ab656c4</t>
  </si>
  <si>
    <t>334e0081-5969-4ff3-aebe-1e146d832cd9</t>
  </si>
  <si>
    <t>97b3ca1a-5ead-4005-813e-5f6409d9f6aa</t>
  </si>
  <si>
    <t>bb40fd93-8162-4aae-9f19-5fc62b1a79ed</t>
  </si>
  <si>
    <t>78d4ebee-48ed-4ae8-9cf8-58838d664ecf</t>
  </si>
  <si>
    <t>f24a476a-022f-4ec1-b629-0725c1289e38</t>
  </si>
  <si>
    <t>6fed5c7c-8c8e-4e86-93c6-1c5d316f2eea</t>
  </si>
  <si>
    <t>4a7804b7-b4fb-4f55-a28a-763be1899d23</t>
  </si>
  <si>
    <t>45b441b5-4338-4721-a02e-2e9c251798fd</t>
  </si>
  <si>
    <t>8fcc2a5c-2ffe-4993-a211-4ad11dbf890d</t>
  </si>
  <si>
    <t>a77287e0-3c09-4981-8d8b-c7b3f904ee57</t>
  </si>
  <si>
    <t>19f04b3a-e1ea-45ed-9147-337fc5673f20</t>
  </si>
  <si>
    <t>7b9aa194-a007-40c9-af59-77f425d43ba5</t>
  </si>
  <si>
    <t>a5a1dca1-fc5e-4485-b51e-6b355f8c0da4</t>
  </si>
  <si>
    <t>3e788024-a152-42b5-8f24-eb281638057c</t>
  </si>
  <si>
    <t>3cd03bfe-2443-474d-a47d-76c54ced22b7</t>
  </si>
  <si>
    <t>21c48f93-0782-49c7-8db6-eb34f779a53a</t>
  </si>
  <si>
    <t>115d34f7-9960-45ab-8f8c-be40c8c96fb6</t>
  </si>
  <si>
    <t>4ad983a3-b35f-4fda-8ad9-87ca82fbf518</t>
  </si>
  <si>
    <t>cc202b74-f953-4bb9-9ccd-bb60860cee07</t>
  </si>
  <si>
    <t>6a840183-27a2-4611-891a-3ed60823e5dc</t>
  </si>
  <si>
    <t>00b6c573-c14c-4038-8483-c0d7e9de77b7</t>
  </si>
  <si>
    <t>7f4a92a1-eac7-4c0b-9e71-347b34b7095a</t>
  </si>
  <si>
    <t>304bed91-6e0e-4db3-9ad5-7ed291b22ba2</t>
  </si>
  <si>
    <t>b3f2684a-6848-484a-8f59-276e6a7751c8</t>
  </si>
  <si>
    <t>d6ead344-6731-477e-96a3-3a3f48881c02</t>
  </si>
  <si>
    <t>a695d8f7-c551-40cc-8b98-04747523a7f5</t>
  </si>
  <si>
    <t>b7f6b639-96a8-45e7-99da-339641ceb6f0</t>
  </si>
  <si>
    <t>9e6f9bde-6592-4e18-b8ab-aafe0f848683</t>
  </si>
  <si>
    <t>fdf42850-f011-4b14-afcf-af5e01a9de24</t>
  </si>
  <si>
    <t>df82bbe5-5e88-4093-b84d-2f069d7b2643</t>
  </si>
  <si>
    <t>a2b103c5-c739-41e5-9543-2d1bd2bb4437</t>
  </si>
  <si>
    <t>239643af-6276-4586-9be8-0a989e297bdc</t>
  </si>
  <si>
    <t>5b71b126-71b9-4fd7-ab85-191a35a5d098</t>
  </si>
  <si>
    <t>42b0be62-8af1-4e3a-a896-096733037987</t>
  </si>
  <si>
    <t>105b12c5-1f95-47be-ade0-1fc8e7d478f5</t>
  </si>
  <si>
    <t>fec45f65-d504-44ae-b6ae-29fd549d423e</t>
  </si>
  <si>
    <t>38ff3038-00c0-4f5a-974c-b37914247620</t>
  </si>
  <si>
    <t>64021f90-d286-49a3-adda-dd6bdbecae47</t>
  </si>
  <si>
    <t>32ed46a6-0de6-4b41-b5eb-74f974f72f81</t>
  </si>
  <si>
    <t>ea7e6910-72cb-41f4-9e07-d44af199ff0f</t>
  </si>
  <si>
    <t>224cae14-14bc-48c4-a99b-6713b8bc0d3c</t>
  </si>
  <si>
    <t>c6d6babd-072a-4324-a8b2-9b84e7c41891</t>
  </si>
  <si>
    <t>4fae8239-c648-481c-b29f-112aed058266</t>
  </si>
  <si>
    <t>73632230-3596-4380-97eb-c6b27cdf1e71</t>
  </si>
  <si>
    <t>223e57dc-d57c-4399-afec-04123b2e5537</t>
  </si>
  <si>
    <t>5fb77dba-6670-4989-a5ab-424c4c23ceee</t>
  </si>
  <si>
    <t>f2e78a8c-243e-4e18-b7e1-321d877eb36a</t>
  </si>
  <si>
    <t>1ff3d2c2-c1cb-4b47-992a-3cc21c50f54c</t>
  </si>
  <si>
    <t>20ad3c28-3477-4517-9f20-7d29b90b843a</t>
  </si>
  <si>
    <t>bf9c46b0-6d1e-415c-8fa5-e14fcd2b0d9c</t>
  </si>
  <si>
    <t>97893f87-d4dc-4796-9b31-68143c734c8a</t>
  </si>
  <si>
    <t>9fabf29c-2478-471f-a38d-648c990a4362</t>
  </si>
  <si>
    <t>972e837a-afb0-44c6-9c6c-9661f448a7ee</t>
  </si>
  <si>
    <t>2199d890-aa11-4a92-9363-32cf9c30adda</t>
  </si>
  <si>
    <t>0e32fe12-7330-4f3f-801a-4a0bf17603e6</t>
  </si>
  <si>
    <t>cd91c29e-1db0-43d6-b53b-cc2a38ffbda3</t>
  </si>
  <si>
    <t>2f0c1b80-0c80-46a6-b0dc-f3d7cd025bf6</t>
  </si>
  <si>
    <t>b67d8eee-6ef3-43ed-8f2f-4a84aa79243f</t>
  </si>
  <si>
    <t>8be1f9f9-2f92-4dfd-8bae-843ba9ba3fa8</t>
  </si>
  <si>
    <t>9cef8131-8dae-4ce0-b7c1-234cbb9699e9</t>
  </si>
  <si>
    <t>a7fb0dc2-09ee-47db-9539-d7eaccaa1a06</t>
  </si>
  <si>
    <t>36e77f47-d493-4f6a-a0d5-a0f0f4f2f27d</t>
  </si>
  <si>
    <t>29adfb3b-a5a0-40dc-bd94-2f1570bdbf3e</t>
  </si>
  <si>
    <t>58432de9-70e5-41bd-ad4e-a30a19db5070</t>
  </si>
  <si>
    <t>e3c2f641-6329-4d22-901e-c59065c4b4fa</t>
  </si>
  <si>
    <t>71cbef26-974c-4e6c-b357-021483f1c36e</t>
  </si>
  <si>
    <t>2b660123-6678-41d0-b181-408ea9903f71</t>
  </si>
  <si>
    <t>a23dad43-0d40-4259-bec3-2d33ada5113a</t>
  </si>
  <si>
    <t>5d019e49-5bbc-4289-91ec-c599699c6dc7</t>
  </si>
  <si>
    <t>33cd4045-0f64-45df-be61-d762298d51d8</t>
  </si>
  <si>
    <t>077f594c-5b29-4555-b33d-51b40baae922</t>
  </si>
  <si>
    <t>164681f4-a41f-445b-ae03-2eadba1bde01</t>
  </si>
  <si>
    <t>ed133e22-b413-40c6-8da7-4f0574821d2c</t>
  </si>
  <si>
    <t>84733d20-a99a-44cf-820d-0840a8432ce2</t>
  </si>
  <si>
    <t>ab2b9221-a9a7-4e38-b0ac-982723bd0f11</t>
  </si>
  <si>
    <t>8e244f15-db6a-4db8-9450-b917c1e29de8</t>
  </si>
  <si>
    <t>d9186813-562e-4197-b141-514d42c92455</t>
  </si>
  <si>
    <t>8e236ab6-cc03-4249-afdf-b6174df19da1</t>
  </si>
  <si>
    <t>44b6b292-4cec-4ae8-9521-de1354bf9d42</t>
  </si>
  <si>
    <t>e05a60b4-9591-465b-a8f7-422b931ab927</t>
  </si>
  <si>
    <t>afae43c1-6463-4139-a678-8e9f359f4800</t>
  </si>
  <si>
    <t>6880fdd4-1cce-4c46-8a1a-c907e0c01131</t>
  </si>
  <si>
    <t>a3782c16-fc76-4673-b358-52059eedc57a</t>
  </si>
  <si>
    <t>c8bd21f5-1676-42ce-94e1-601473f3588b</t>
  </si>
  <si>
    <t>85284dfc-4c18-4e0e-8e3b-80e40e41ac34</t>
  </si>
  <si>
    <t>c23147b8-c08a-4cde-9541-78e5e300d497</t>
  </si>
  <si>
    <t>b6c76d90-f96f-4464-bf4b-d9de1f080d2b</t>
  </si>
  <si>
    <t>ad98db1a-7ee0-427f-8eb7-983cbc717294</t>
  </si>
  <si>
    <t>e9171ac6-59c4-4932-b50c-f1d9ccaa4085</t>
  </si>
  <si>
    <t>66ff9e0d-1129-419b-8177-e3f35f7d8e10</t>
  </si>
  <si>
    <t>bfb40afc-d4e3-4167-80f4-5974754feafa</t>
  </si>
  <si>
    <t>97bccb40-a381-492f-9b53-0f52f0449b17</t>
  </si>
  <si>
    <t>27b778b8-232c-4149-a8db-239b1404a45f</t>
  </si>
  <si>
    <t>c0020850-c35b-483c-95d5-f55798215a04</t>
  </si>
  <si>
    <t>11cf2154-1694-4d79-9762-2eba9b2010c4</t>
  </si>
  <si>
    <t>5181d70e-63f0-4d47-af2e-ad9c25a0decd</t>
  </si>
  <si>
    <t>122e93ed-666f-4367-87e9-b8412252b94f</t>
  </si>
  <si>
    <t>9032523c-08ff-4176-a5ef-14bdd9ec1387</t>
  </si>
  <si>
    <t>f2e9d0c1-c8e6-4e47-ae44-c1fd156de8e0</t>
  </si>
  <si>
    <t>a51049fb-e738-4b2d-bf43-3f8da2ff098c</t>
  </si>
  <si>
    <t>2a606c2e-0b5a-488d-bb8c-23987ed616ff</t>
  </si>
  <si>
    <t>b720eab3-c718-48c4-86f3-c29abf3db1c9</t>
  </si>
  <si>
    <t>5f9a886f-4c1b-4f31-910f-39a1f0788532</t>
  </si>
  <si>
    <t>4f355b11-b305-4028-b2e3-5cc14676db38</t>
  </si>
  <si>
    <t>24580e9e-7986-4f79-ba58-060c2a1b319b</t>
  </si>
  <si>
    <t>c7129601-978d-492f-bf70-a163d4f59c00</t>
  </si>
  <si>
    <t>e167a4dd-b527-44ab-b338-f840a529df31</t>
  </si>
  <si>
    <t>1fff82b8-7a33-4698-8898-e97035af9d40</t>
  </si>
  <si>
    <t>2e7b8833-75ce-4a89-b524-ccb788040023</t>
  </si>
  <si>
    <t>a8f386df-73d7-4d0d-8e91-a28def180686</t>
  </si>
  <si>
    <t>fb0633fa-0bfa-49a2-adc8-cbb2ebedb8d2</t>
  </si>
  <si>
    <t>a66a6529-dbe4-44c0-bdd9-afd5bd1b4652</t>
  </si>
  <si>
    <t>fed7f5e3-d27f-4bf8-864d-0f861a428456</t>
  </si>
  <si>
    <t>9b989683-0359-437e-90d8-9ffc3ee6eeea</t>
  </si>
  <si>
    <t>687da47f-06c2-4e0e-bd47-6a409e8783e5</t>
  </si>
  <si>
    <t>bdc7f547-3d0f-4dec-ae06-eac326b39d5a</t>
  </si>
  <si>
    <t>cc1b183c-a3b7-46c1-947b-fe759c9297ef</t>
  </si>
  <si>
    <t>9a4012c1-5f9d-4820-b1d0-26ce0f0bc98e</t>
  </si>
  <si>
    <t>b3329794-ce7d-4bff-9615-e3a3f9d96b84</t>
  </si>
  <si>
    <t>2ab05d24-66a3-4c32-8952-aae37a24faa9</t>
  </si>
  <si>
    <t>9b8854a6-8219-49e5-9abe-dd22339be541</t>
  </si>
  <si>
    <t>e21ab386-eace-4739-be9b-d26a52e69710</t>
  </si>
  <si>
    <t>b247d6f6-c355-453e-8ce3-9256b24e4b69</t>
  </si>
  <si>
    <t>c44aede9-4cab-48d8-af10-c122831bbe24</t>
  </si>
  <si>
    <t>07bfce19-29f5-4a3d-a0c0-e522d22f0085</t>
  </si>
  <si>
    <t>de6ce996-ab01-4c02-ae78-33dc9d07374c</t>
  </si>
  <si>
    <t>02ccfca5-e91f-4db3-9da2-ddeca1fa62d8</t>
  </si>
  <si>
    <t>4d699f8b-507e-4b64-8872-e2ac9647d79f</t>
  </si>
  <si>
    <t>4d57cfe4-32a6-4a33-bef7-20b193a07899</t>
  </si>
  <si>
    <t>805afaa5-122f-40cc-ba7e-655cf605be37</t>
  </si>
  <si>
    <t>c6290cc1-97c7-4cf0-bab8-3fb214d533a7</t>
  </si>
  <si>
    <t>e22f2b71-fb8b-4c26-9f08-9f6e8a9d2550</t>
  </si>
  <si>
    <t>4c4e2820-2efc-48b4-9757-37a37b487c4b</t>
  </si>
  <si>
    <t>83989d94-f8e1-44ce-b435-e6a19070556e</t>
  </si>
  <si>
    <t>340ef5c6-376d-4273-a160-809847754e1b</t>
  </si>
  <si>
    <t>2cc57022-75b0-4e2e-88e4-a2fb3c290c45</t>
  </si>
  <si>
    <t>5b5cd79f-82e1-486d-9cd7-1fff85ee747d</t>
  </si>
  <si>
    <t>f975a88e-3a62-43c5-9f38-1c238cdd5909</t>
  </si>
  <si>
    <t>5a83aa0b-bea2-4735-b900-03f0e92cdb57</t>
  </si>
  <si>
    <t>279b687d-598f-4186-97e5-421b54a72f9c</t>
  </si>
  <si>
    <t>b66a37ee-e79d-4e8d-baa4-1533d1079a96</t>
  </si>
  <si>
    <t>3d6dca91-0ae8-43bd-b4c1-c25f49c83233</t>
  </si>
  <si>
    <t>0d544b89-f869-44ac-ad7f-04a11638275a</t>
  </si>
  <si>
    <t>50f7eda0-876b-41d2-b252-0c6911319db3</t>
  </si>
  <si>
    <t>e908f7a3-d37c-43bb-abde-de556a521808</t>
  </si>
  <si>
    <t>be99e759-da51-432a-bbb8-9f65bcd30339</t>
  </si>
  <si>
    <t>e5c2a52c-0121-4d87-9692-c6b4dcf53627</t>
  </si>
  <si>
    <t>19d0439b-72b9-48c4-8a8a-5093ad319f61</t>
  </si>
  <si>
    <t>1b5c236a-5f55-4ea2-a9f1-0c333fec4394</t>
  </si>
  <si>
    <t>dfbcd743-90af-431f-87c8-8649c99f3cbc</t>
  </si>
  <si>
    <t>d0804f74-bc48-4426-ab5e-bf3efa70f69a</t>
  </si>
  <si>
    <t>a896135d-aed5-4d5c-8335-f0482a9a16fd</t>
  </si>
  <si>
    <t>8c356116-02ef-45b6-bfe4-3a4089019396</t>
  </si>
  <si>
    <t>c16616e4-3519-44e1-8081-a2ba903c229b</t>
  </si>
  <si>
    <t>d8723d12-e33c-4516-a9c6-0cbe2aed7796</t>
  </si>
  <si>
    <t>130c9fc6-9cea-4d1f-ad16-74d0e5f1b244</t>
  </si>
  <si>
    <t>c361c3a8-ce41-420d-8fc5-ecb3f2186455</t>
  </si>
  <si>
    <t>31e2bf68-2c84-4311-bb37-0d33869204a2</t>
  </si>
  <si>
    <t>4ecf656e-ab3e-4dc6-80c6-d349f1c55c0b</t>
  </si>
  <si>
    <t>20f06755-d0e2-4165-8498-abaf6d4cb88f</t>
  </si>
  <si>
    <t>82330ccf-c9ff-4a1c-a756-0667dc27a08c</t>
  </si>
  <si>
    <t>16564680-2176-4639-bd2b-1b104bdd7c4d</t>
  </si>
  <si>
    <t>88e54297-e1b0-483a-b51a-eb72ddcde3dc</t>
  </si>
  <si>
    <t>454c60c1-c058-44b4-9687-8f13c138cf23</t>
  </si>
  <si>
    <t>ae5274d0-90bd-4ed6-8c42-7b402103abbc</t>
  </si>
  <si>
    <t>2256cc01-c964-41d4-832c-852bb2bde814</t>
  </si>
  <si>
    <t>e99e1cee-2cd0-4cc7-ac64-6b7bfcb17764</t>
  </si>
  <si>
    <t>d219b889-ecf1-477e-965f-6593e12ef701</t>
  </si>
  <si>
    <t>c619b1c3-d062-4d56-b543-0eac9f81b1f5</t>
  </si>
  <si>
    <t>a9deb441-0ae8-4a90-9aef-904a2f0cf3f0</t>
  </si>
  <si>
    <t>0117085a-260d-40f9-9767-4fcb0bb7e1a8</t>
  </si>
  <si>
    <t>e8dcf13c-586e-4e57-9b2f-ac915f452390</t>
  </si>
  <si>
    <t>10360504-0839-49d0-a4a2-9dd57bbed785</t>
  </si>
  <si>
    <t>90e207bf-6da2-4172-9ad6-63cda8ac3fa4</t>
  </si>
  <si>
    <t>ec2fa813-6e9a-4e36-bb2f-5333fb264116</t>
  </si>
  <si>
    <t>f693c183-5899-4d0f-a8d0-00e9c7a1a487</t>
  </si>
  <si>
    <t>6acefd58-d14f-4720-a114-0612fed87927</t>
  </si>
  <si>
    <t>cc569802-f989-4fb6-bfd2-d65d01f515a9</t>
  </si>
  <si>
    <t>954ac804-6d9f-4f01-885f-2e76c9b8e5bf</t>
  </si>
  <si>
    <t>437529df-1435-46e6-aa7c-4be3099905ac</t>
  </si>
  <si>
    <t>e36612d5-753e-4591-b1a7-0d628d048db1</t>
  </si>
  <si>
    <t>9a6a954c-80fe-4646-9f67-48a072f2148d</t>
  </si>
  <si>
    <t>8df13b1c-a52f-43eb-80b8-c02fbbae905d</t>
  </si>
  <si>
    <t>aed47845-48c5-413c-9c7a-dea92d9e91a0</t>
  </si>
  <si>
    <t>f99d7f88-b5f0-4ace-92dc-622e9b6f5f5f</t>
  </si>
  <si>
    <t>ab531334-ac84-48e2-8436-6cbfa053dfe9</t>
  </si>
  <si>
    <t>b4d3db79-9262-4f00-916f-f78cd8e7dc0a</t>
  </si>
  <si>
    <t>c86ec3fb-4a38-410e-abdf-d555afd2bbca</t>
  </si>
  <si>
    <t>09648070-1290-41d5-8f59-18a60d25716e</t>
  </si>
  <si>
    <t>edc9b966-acf2-4f7e-a51d-a86bf3d0e68e</t>
  </si>
  <si>
    <t>20e42b97-a362-45f7-a113-9cecca50b339</t>
  </si>
  <si>
    <t>e6230ae5-4fc9-4ba9-b865-8a70757b6e9e</t>
  </si>
  <si>
    <t>62b43b06-36b0-4fd5-bbf5-97e08e38ec04</t>
  </si>
  <si>
    <t>b5b9cba4-9af1-4bda-8df4-bd6ea24e5d0d</t>
  </si>
  <si>
    <t>751d515e-8163-486b-af6e-61f9b63e7222</t>
  </si>
  <si>
    <t>f072a14e-9e0d-43c2-a97b-851646ba03bb</t>
  </si>
  <si>
    <t>8c94051a-c934-4148-9bfb-725428007a0f</t>
  </si>
  <si>
    <t>2d3fdad2-ffe1-4926-8c3c-787a07673233</t>
  </si>
  <si>
    <t>193148b8-5e19-4dcb-aa29-97fe5ae8a0b7</t>
  </si>
  <si>
    <t>f73e7a13-3c4f-4ea5-8e2c-31d6f16d363a</t>
  </si>
  <si>
    <t>36042795-a100-4c2f-a76d-164fe634d179</t>
  </si>
  <si>
    <t>f1b62e44-d348-430c-bc2c-0e04c8943194</t>
  </si>
  <si>
    <t>5418a612-dbff-4c6a-a094-61758343a279</t>
  </si>
  <si>
    <t>869bfb12-585f-4438-9250-5f2cd713adbe</t>
  </si>
  <si>
    <t>9016cbac-2a0a-4f30-a018-09ae67ad8f7c</t>
  </si>
  <si>
    <t>fc6f4efc-5721-488c-81b0-5abac99234ea</t>
  </si>
  <si>
    <t>c2f7e6ed-f099-480c-b586-f264eccd2ead</t>
  </si>
  <si>
    <t>e996ead4-b3e1-4535-917a-e14cff910d34</t>
  </si>
  <si>
    <t>481b72d5-0f3c-4a4d-9fe5-752af2eedfa2</t>
  </si>
  <si>
    <t>55985e10-b05b-4b4b-94bf-aab9f5e2bee7</t>
  </si>
  <si>
    <t>b0704ddb-65c6-4d75-b915-d4d78dfb2b48</t>
  </si>
  <si>
    <t>93d71b73-4c04-444d-aba2-6225d08ba372</t>
  </si>
  <si>
    <t>8de409e7-c9df-4bf2-ad77-c956fe1f9284</t>
  </si>
  <si>
    <t>85f89b23-19ce-4f01-a062-a39cb2c9ec21</t>
  </si>
  <si>
    <t>8adad8d9-961d-440b-923d-2b4b327c5938</t>
  </si>
  <si>
    <t>6559bfc1-82cc-4286-9465-24b0331a2639</t>
  </si>
  <si>
    <t>57d6c58d-0656-4459-b50f-27b2695225c7</t>
  </si>
  <si>
    <t>61f310c0-17c5-4565-9c59-4ee1f829c257</t>
  </si>
  <si>
    <t>ed87a357-7682-4bf0-ae5e-5e1ab3303e2f</t>
  </si>
  <si>
    <t>0ebb9661-415e-4ead-810b-b3241373005e</t>
  </si>
  <si>
    <t>05770302-203e-4144-82b9-4ecb039c0cfb</t>
  </si>
  <si>
    <t>1cc03c8f-f977-4506-9b6b-b209e98a0683</t>
  </si>
  <si>
    <t>5c4d92f6-fd26-4dae-a54a-8359896d47ea</t>
  </si>
  <si>
    <t>86523d4e-8c72-4000-a6ed-85a97ad2e9f3</t>
  </si>
  <si>
    <t>94a6c490-5dbd-4e03-bddf-1080fc1b93df</t>
  </si>
  <si>
    <t>5d406214-8d4f-4eb9-8e14-305ef618087d</t>
  </si>
  <si>
    <t>3df70e63-714d-4c73-946b-5f9c196b0000</t>
  </si>
  <si>
    <t>f48093a2-242d-4b2b-a3d8-e3452bbb3cb4</t>
  </si>
  <si>
    <t>9277ed75-a774-44b7-bec7-ca1044c185b2</t>
  </si>
  <si>
    <t>7efead0c-7ae6-455f-adae-77344a6e0472</t>
  </si>
  <si>
    <t>fa2f72cf-6dd9-4cda-8e53-d6b90b5ad5e7</t>
  </si>
  <si>
    <t>2bd02192-5bf1-47fa-911c-40a9881d2757</t>
  </si>
  <si>
    <t>1d00509c-d82a-495e-ba1e-1e052385136b</t>
  </si>
  <si>
    <t>fd44a1d8-d809-4f07-a1d2-a8c7192d07dc</t>
  </si>
  <si>
    <t>3c449e4f-c0db-40d4-a2ac-ebb208470a56</t>
  </si>
  <si>
    <t>4c73567d-0624-4550-bfec-d5c2b6973153</t>
  </si>
  <si>
    <t>64e20e04-749b-44a3-a3eb-dd7bf5ed2caa</t>
  </si>
  <si>
    <t>79b9d1d8-ad8d-4bca-8889-aae09d9b30d0</t>
  </si>
  <si>
    <t>addd31a9-9c8b-4a03-86f5-5db6a75d260f</t>
  </si>
  <si>
    <t>164d355f-5e01-4085-9251-4ee423ad6c75</t>
  </si>
  <si>
    <t>6ebe08e0-e706-4f32-bdfd-d025d8c5236a</t>
  </si>
  <si>
    <t>49703ad6-5be3-46d2-8e08-fadc14904122</t>
  </si>
  <si>
    <t>c1d72eb9-5895-41e2-8e1a-1cd9b058c9a7</t>
  </si>
  <si>
    <t>8637bc6e-b0d7-45c6-a8f1-0fb1999655fe</t>
  </si>
  <si>
    <t>47ef55ea-0963-4ebe-9ad2-b3688996bf59</t>
  </si>
  <si>
    <t>4c92d621-3aa0-4cbf-8828-4879b8ccf2e4</t>
  </si>
  <si>
    <t>116364aa-913c-4da4-96a3-e793dc56b4d0</t>
  </si>
  <si>
    <t>49f10394-c84b-48de-832f-253c35fdb474</t>
  </si>
  <si>
    <t>f92cd404-4c22-4055-93c3-d1a1c108da29</t>
  </si>
  <si>
    <t>6383f5d4-d140-4d62-9610-d321d2dca682</t>
  </si>
  <si>
    <t>94a4e867-29da-4465-860e-b0eb989fb17b</t>
  </si>
  <si>
    <t>29544565-385d-4982-8720-feb82ef80c8a</t>
  </si>
  <si>
    <t>ffdcfe02-e790-441e-9b61-3dbe7532dffd</t>
  </si>
  <si>
    <t>82193738-f9d5-4199-9373-3f1852359314</t>
  </si>
  <si>
    <t>0eadab55-0876-44ce-b14a-ea47474b4836</t>
  </si>
  <si>
    <t>a0f9673f-f4ca-4110-9f20-1ea6577636a2</t>
  </si>
  <si>
    <t>9438286b-24ae-4079-8ed0-8dc66a06a2d8</t>
  </si>
  <si>
    <t>c753ac60-0c6b-4cd6-b7c7-342dbd99f429</t>
  </si>
  <si>
    <t>8146e089-243c-43de-9b00-6ddca11110f4</t>
  </si>
  <si>
    <t>67757c6a-9e53-4fbd-853b-1662c221ac74</t>
  </si>
  <si>
    <t>339609cb-722d-4054-b340-636345d5bd8a</t>
  </si>
  <si>
    <t>a9aff5f4-67c3-4d80-86af-fabcafe3c6d0</t>
  </si>
  <si>
    <t>634b847d-4040-4f67-a16e-6bd2b8fa0dc3</t>
  </si>
  <si>
    <t>c3377125-cbc7-4b27-82ca-4f42de7947e0</t>
  </si>
  <si>
    <t>c0837b93-dafe-40af-bae0-59c87317f031</t>
  </si>
  <si>
    <t>27fcbc2e-e82e-40ac-9e26-4d6fd0fd4b31</t>
  </si>
  <si>
    <t>1f9efa3c-b48c-48d7-ab6a-dd1e93162451</t>
  </si>
  <si>
    <t>869ad12a-7deb-4bbc-90aa-5db183007c1e</t>
  </si>
  <si>
    <t>002c25d9-d4b2-481e-9365-19f6f12f70f1</t>
  </si>
  <si>
    <t>51f04e2e-276d-47f3-8b39-b75c5c625ed8</t>
  </si>
  <si>
    <t>49350787-989f-4c34-9d3c-e432e0da1a20</t>
  </si>
  <si>
    <t>e0d5b999-91d9-4f03-9f13-e9aa2e8270e0</t>
  </si>
  <si>
    <t>1b953db8-70f8-4f6e-bca0-eacf52ce4c3a</t>
  </si>
  <si>
    <t>4da2b965-50fb-4099-877b-48bc12379f91</t>
  </si>
  <si>
    <t>4fd77bcf-74ec-4940-a4e1-5635b9e9f6c5</t>
  </si>
  <si>
    <t>b5b72b47-d8de-4408-8e9b-dba9786da53c</t>
  </si>
  <si>
    <t>7bef4935-5ffa-4963-b067-0aa86dca50fa</t>
  </si>
  <si>
    <t>c3544331-8a00-463b-8a7d-bbed92d5cbb3</t>
  </si>
  <si>
    <t>863c2c29-d7d9-4c55-a7a5-6b66ec2a1268</t>
  </si>
  <si>
    <t>0a83c5e2-64c7-470d-889d-08c0340bb42b</t>
  </si>
  <si>
    <t>fa4e9104-7ea9-4d23-a14d-197f4e844d28</t>
  </si>
  <si>
    <t>bb80bda5-7161-46be-9dab-d1fa9dae140c</t>
  </si>
  <si>
    <t>b0d15b15-0b87-4cef-8bab-8077aa9f929a</t>
  </si>
  <si>
    <t>4cf98da7-8e9f-4d7e-93dd-4836dc0a819d</t>
  </si>
  <si>
    <t>10ef8794-c25b-4b06-87b3-89a5addcde84</t>
  </si>
  <si>
    <t>2cd593d3-ae32-4a23-896a-542f43af94f3</t>
  </si>
  <si>
    <t>37d30e8a-d013-43d6-9f10-48cb9208cee4</t>
  </si>
  <si>
    <t>95b7229d-fa63-4c8d-ada7-b783015ca53c</t>
  </si>
  <si>
    <t>b2268d9d-c5ff-4a10-a992-d950064df276</t>
  </si>
  <si>
    <t>2d95189a-c685-4898-a4d6-7896e1d1d27b</t>
  </si>
  <si>
    <t>f703aada-5fd3-40d0-9cfe-c20ac8781d8a</t>
  </si>
  <si>
    <t>76d3ab5e-e3f9-4c60-80ae-421c59ce55a3</t>
  </si>
  <si>
    <t>70525569-1cda-451e-bf2b-af833b23609a</t>
  </si>
  <si>
    <t>df27131c-3248-4f57-a1a5-b9be7884151f</t>
  </si>
  <si>
    <t>6a7987e3-400c-4d5e-9f99-dbafafb1b095</t>
  </si>
  <si>
    <t>1b3db5f7-c7b4-49db-9dfc-946f1f992b4e</t>
  </si>
  <si>
    <t>2d9667a0-79f2-44c9-9b81-92f5741e98a0</t>
  </si>
  <si>
    <t>3504402f-506d-4dff-bf4c-9b31bbd26d15</t>
  </si>
  <si>
    <t>32a20726-04c2-42f8-ad98-b13bdb02abd9</t>
  </si>
  <si>
    <t>ff676abe-5dd0-49b7-9c80-ff6320a09848</t>
  </si>
  <si>
    <t>2d827456-3060-4b22-b748-6b0b1eda9d32</t>
  </si>
  <si>
    <t>5e6c88ff-44c5-4e0e-b6fd-2fe2f15c5c2a</t>
  </si>
  <si>
    <t>89048cde-8fc4-44b8-85d3-851191aa90e6</t>
  </si>
  <si>
    <t>793f2cd4-6fd3-4dc2-85a5-789e3df8a7e1</t>
  </si>
  <si>
    <t>0bc05cf3-114c-4d28-a76b-955d0b83bc8a</t>
  </si>
  <si>
    <t>30d6abbb-7c3c-478b-ba28-4794326479d3</t>
  </si>
  <si>
    <t>a1ef467e-e59c-4df0-8d08-125b3c8c67f9</t>
  </si>
  <si>
    <t>06cce2e2-ac8d-43c0-aa9f-5dd74c92c3cd</t>
  </si>
  <si>
    <t>c5ee04c1-a854-40e2-88f7-8b91acca180a</t>
  </si>
  <si>
    <t>c3c03d1f-de2c-4590-83b8-ef19b503ec29</t>
  </si>
  <si>
    <t>e4f79b18-6a99-4414-9d55-81f9afc30834</t>
  </si>
  <si>
    <t>3e20667e-9c3a-479e-8f49-7a16ca2b47d0</t>
  </si>
  <si>
    <t>fe81d3e9-710f-464c-ae62-9630bdaca257</t>
  </si>
  <si>
    <t>56d87877-d308-4048-a11a-1f06dc8e2f23</t>
  </si>
  <si>
    <t>291b965f-9ccc-497d-a07a-b33548435593</t>
  </si>
  <si>
    <t>112ed85c-0e7f-4d33-828e-60c23165ef28</t>
  </si>
  <si>
    <t>baff2ec5-2644-47cf-92e1-65bab6528b01</t>
  </si>
  <si>
    <t>cc2b9657-cea9-4f7d-b47f-1fc6ff99df75</t>
  </si>
  <si>
    <t>746d0486-59c6-4f6f-bbe0-9d01d6230221</t>
  </si>
  <si>
    <t>446a583a-8575-4bf7-853b-6e91d01d844a</t>
  </si>
  <si>
    <t>a6ccc246-c8f1-4f65-a6d4-73565a8c6429</t>
  </si>
  <si>
    <t>08a9e455-e255-4544-b32e-87c302ac6541</t>
  </si>
  <si>
    <t>11e91831-64a0-4b49-846c-9fb2cc9b641f</t>
  </si>
  <si>
    <t>9c60517d-929c-413b-af70-bc667c53fae2</t>
  </si>
  <si>
    <t>228b1fa6-dc24-4e0b-be22-ccd0bf611773</t>
  </si>
  <si>
    <t>b4c378d4-c1ea-4b19-ac26-04c1cf303a41</t>
  </si>
  <si>
    <t>afd685d6-85c6-4582-84cc-4b6638679ce8</t>
  </si>
  <si>
    <t>04ec6460-e010-4580-b627-b529388d1664</t>
  </si>
  <si>
    <t>6cbd4874-e6cd-4bc7-9c7d-08f2afe216d8</t>
  </si>
  <si>
    <t>01140ce0-e2a9-4181-b551-af25b318e93e</t>
  </si>
  <si>
    <t>79ff23e4-eb66-4302-9ee2-7e0a66f55635</t>
  </si>
  <si>
    <t>b8ff64c2-dc55-4a42-a2e0-01a37a74db67</t>
  </si>
  <si>
    <t>8415546e-eecd-4150-93c5-d46b26309efb</t>
  </si>
  <si>
    <t>cbcf9114-6c0d-4eb2-9cfb-4cbea563c095</t>
  </si>
  <si>
    <t>f85a090b-1e38-493a-a6c5-4075d0f8d6d8</t>
  </si>
  <si>
    <t>37baec0a-a418-4be8-b71f-3c7184f68f3c</t>
  </si>
  <si>
    <t>991669df-88c8-4539-924a-3e1673c3ebd7</t>
  </si>
  <si>
    <t>d791ab04-6ca7-44da-bf08-11a5f77e58e6</t>
  </si>
  <si>
    <t>8d851a63-22e9-4ca5-96bf-f964916796dd</t>
  </si>
  <si>
    <t>b760403a-6314-47cc-a8f3-99f4557fc359</t>
  </si>
  <si>
    <t>9e2b42ee-63fd-46b8-9010-40b9633ddeca</t>
  </si>
  <si>
    <t>e72e28d7-aaf2-4e83-9846-e19074f1bb23</t>
  </si>
  <si>
    <t>1cae21df-807a-43f9-b0da-d12997e3fb67</t>
  </si>
  <si>
    <t>51f86902-d382-4e0a-a95a-85cda1f5377b</t>
  </si>
  <si>
    <t>e06d4782-0e23-4285-8747-39d3d1e20137</t>
  </si>
  <si>
    <t>3aa93855-1902-4108-8214-955ae0dc0fd0</t>
  </si>
  <si>
    <t>f0c4b1fb-f9ec-4074-b959-38e7b21798fd</t>
  </si>
  <si>
    <t>c64ecd1d-61e9-43f3-9b6b-c7a0d38721cf</t>
  </si>
  <si>
    <t>344e0740-8bef-474a-8395-51369b7956a4</t>
  </si>
  <si>
    <t>d1698a75-9d14-4295-b7c1-d5012deb7515</t>
  </si>
  <si>
    <t>c69e375e-604c-43a0-a3e4-00a8d492d518</t>
  </si>
  <si>
    <t>713e2e68-1136-411e-abe9-74a109098694</t>
  </si>
  <si>
    <t>e8d5c3ea-aabc-4df3-872a-c206116a0fdf</t>
  </si>
  <si>
    <t>891c0c91-b1c0-40fd-8de8-4a51c41fa69b</t>
  </si>
  <si>
    <t>ff2fa6fb-24ed-4929-9d0b-b3054b4fb706</t>
  </si>
  <si>
    <t>6b567f62-836d-47cf-8e8c-90246140903d</t>
  </si>
  <si>
    <t>fbeeb2ce-b43b-48a5-aab8-ef19ce9a55f9</t>
  </si>
  <si>
    <t>e7de75b3-986e-45c0-acac-ecf227f4aa04</t>
  </si>
  <si>
    <t>8fb0fee3-e787-4c43-9b94-f63408fd2edd</t>
  </si>
  <si>
    <t>39d0bd04-e76c-4636-a475-a2e1fc43fa5e</t>
  </si>
  <si>
    <t>42bd4b7e-5338-4d9a-949b-859217777f47</t>
  </si>
  <si>
    <t>1d3ed40c-552c-4611-b96c-cf541285daeb</t>
  </si>
  <si>
    <t>e63cd9d0-2aee-4264-beae-22b3e2b42a55</t>
  </si>
  <si>
    <t>8d6d1ade-fa1c-4bfc-a126-fc20513470b3</t>
  </si>
  <si>
    <t>7ee47426-76af-4217-ba2f-9363b2f863e2</t>
  </si>
  <si>
    <t>39ccf079-62f9-4789-b879-412dbe4cfb97</t>
  </si>
  <si>
    <t>37022cf4-537d-48b4-991d-5d0235793c85</t>
  </si>
  <si>
    <t>d36907d4-4cfe-4aec-bb3f-c1e56daac07f</t>
  </si>
  <si>
    <t>4bad8867-9dc4-4b05-a526-50b1c6ff1927</t>
  </si>
  <si>
    <t>acebaa4c-f660-4e24-8d62-76844a91d086</t>
  </si>
  <si>
    <t>be913f41-ad55-442d-aa6c-6bd07ce3e373</t>
  </si>
  <si>
    <t>cba9a1b8-15d8-4eb4-a0ca-48a4fcf16204</t>
  </si>
  <si>
    <t>b984b9eb-6fb2-48c3-920f-d5cb0c63b798</t>
  </si>
  <si>
    <t>e419de29-d2db-4da5-ba7c-5152526c2309</t>
  </si>
  <si>
    <t>74d2b065-aed7-49a9-af6f-b5fd30b1d954</t>
  </si>
  <si>
    <t>1337f09d-d440-463f-b05f-eb07b524eda0</t>
  </si>
  <si>
    <t>67ebbae9-4a0f-478e-9fd9-174db9c71c7e</t>
  </si>
  <si>
    <t>8158eda0-6af1-488b-97d8-15a0107b4362</t>
  </si>
  <si>
    <t>e0be3bdd-ca87-4ad6-9818-03436c0bbfe2</t>
  </si>
  <si>
    <t>225536f6-aac6-4113-bd49-7c73b15af3d1</t>
  </si>
  <si>
    <t>a74e32fd-c6b4-4844-b56c-be00bafc1c4d</t>
  </si>
  <si>
    <t>1e1caab8-ebe9-4f05-aadb-195e0474b8c4</t>
  </si>
  <si>
    <t>6d4315e0-cc63-46d5-b266-b21c2c0ab023</t>
  </si>
  <si>
    <t>b7a8bb99-1b64-4726-a6d8-cf65acc4edc2</t>
  </si>
  <si>
    <t>abf17508-01bb-49da-a62f-baddb650d3d1</t>
  </si>
  <si>
    <t>976ccd93-590d-44f0-87c2-906960f1e2dd</t>
  </si>
  <si>
    <t>54101f11-6228-4ddf-a10c-cad2cbf26fe9</t>
  </si>
  <si>
    <t>c401a8d3-869e-4c6e-b416-90ba0f0198ab</t>
  </si>
  <si>
    <t>729515e9-6355-4bde-b336-768f9e9497c4</t>
  </si>
  <si>
    <t>24bcac14-5eae-4257-ac92-02f503e0b275</t>
  </si>
  <si>
    <t>b1c62a57-777d-4700-bf5c-0b64c118fec3</t>
  </si>
  <si>
    <t>5dda006a-7031-4501-b42e-4068519b3b01</t>
  </si>
  <si>
    <t>b6817dd2-ddc9-4a13-863d-aab133434ee2</t>
  </si>
  <si>
    <t>8849630d-917c-4464-9e3e-908b42619866</t>
  </si>
  <si>
    <t>422b50da-1183-402c-96a5-3241d2c96aab</t>
  </si>
  <si>
    <t>13ba613d-6bfd-4433-bcaf-24ee1fe2ab81</t>
  </si>
  <si>
    <t>3f6c86e3-2df1-48b0-a4b8-8680e9f6be49</t>
  </si>
  <si>
    <t>aa76befb-38df-4b7e-95a4-f9b7f096708a</t>
  </si>
  <si>
    <t>df0ff7d8-97b6-4096-a313-9d751b33e5d7</t>
  </si>
  <si>
    <t>570dbbb1-932d-44d7-920a-0838ea923c80</t>
  </si>
  <si>
    <t>e3152f48-4b10-44b8-b60a-4d4769aa0855</t>
  </si>
  <si>
    <t>9271db79-a025-4902-8629-c1e9a5003a8d</t>
  </si>
  <si>
    <t>718795fb-56fe-46b5-abc1-80aa0894d231</t>
  </si>
  <si>
    <t>a314b252-c8fd-423f-9f0f-7262ee17b255</t>
  </si>
  <si>
    <t>9871001c-5653-4737-b7d1-2f1ee8fd836a</t>
  </si>
  <si>
    <t>07f75894-b38e-407a-9740-9d225fa39a17</t>
  </si>
  <si>
    <t>79f9d1c9-c37c-419e-ba17-007c2e7c8eee</t>
  </si>
  <si>
    <t>ad6a9f25-adf8-4fde-9b75-169fce01c630</t>
  </si>
  <si>
    <t>9d5fe32c-eb2d-4033-a5a2-b1d25fd1bd37</t>
  </si>
  <si>
    <t>be2481bf-329a-493f-90c2-3fd221be3523</t>
  </si>
  <si>
    <t>93353f4e-59b7-414e-8e4c-c134a94e3f89</t>
  </si>
  <si>
    <t>91a5e561-aef8-414d-aca8-7344532c6fce</t>
  </si>
  <si>
    <t>38034e93-72e9-4e28-94be-76e0fd063782</t>
  </si>
  <si>
    <t>57dd2359-97d3-4820-b1e7-bb9d871ee099</t>
  </si>
  <si>
    <t>00cdeadc-6719-4347-b827-f85d609f9a1c</t>
  </si>
  <si>
    <t>1b64ab6a-1276-47f7-8856-fca043482c32</t>
  </si>
  <si>
    <t>eab22908-d46a-4968-a09f-795aa5bacba8</t>
  </si>
  <si>
    <t>fc98a447-9ea5-47f8-ad97-38e1a11f5559</t>
  </si>
  <si>
    <t>95cf9639-dcb5-4126-8f8a-9b1e88468686</t>
  </si>
  <si>
    <t>f03b3429-8e84-446b-bf8f-90254058a944</t>
  </si>
  <si>
    <t>18f27acd-e91f-4417-bfa0-e523a4796895</t>
  </si>
  <si>
    <t>606bcde7-972c-47ee-8cf4-c9f318fc8177</t>
  </si>
  <si>
    <t>e755c4db-a10f-46f5-8326-56152ea6f223</t>
  </si>
  <si>
    <t>d04ae237-102a-4c74-bce7-39cf9cd4d652</t>
  </si>
  <si>
    <t>de4590e5-0e79-42be-b9de-a3ba4cd75f9f</t>
  </si>
  <si>
    <t>da0a3e4e-5a58-47ca-b57e-5f2bb54513fc</t>
  </si>
  <si>
    <t>c8b0ad07-626f-4b27-a0c0-79f142a65060</t>
  </si>
  <si>
    <t>1a906146-872c-4c0d-b4db-e338460b5139</t>
  </si>
  <si>
    <t>ba6100f2-d4d0-407f-b40c-1a81bf126ffa</t>
  </si>
  <si>
    <t>c3857b22-ee00-4470-81b6-a68c9cf56eb7</t>
  </si>
  <si>
    <t>f21466a9-c133-45e1-8b90-241a8748f7dc</t>
  </si>
  <si>
    <t>b8a3b1c9-c59b-4269-97ea-43ed678e23aa</t>
  </si>
  <si>
    <t>e080088d-4902-4827-87b6-ddd2ec3dddca</t>
  </si>
  <si>
    <t>0617e308-8ec9-4dec-bf85-e1f5502a7e4b</t>
  </si>
  <si>
    <t>464ebba2-b31b-44dc-906a-fb5ea7def265</t>
  </si>
  <si>
    <t>691ba454-69db-4ba8-818c-85328f3afaaa</t>
  </si>
  <si>
    <t>819fd926-b936-482f-982b-6c225d327e0b</t>
  </si>
  <si>
    <t>575a4daf-b114-492d-a3c7-f59ede165947</t>
  </si>
  <si>
    <t>16f92ea1-1efb-4ad6-9dd6-fac3ba5f91d6</t>
  </si>
  <si>
    <t>99baf6ee-87a3-4929-9f5e-8d21e231030f</t>
  </si>
  <si>
    <t>36edcf89-3fb1-4fa2-bd69-060ab5b017aa</t>
  </si>
  <si>
    <t>439568e1-38f0-46f7-93ce-5d9e2281b23d</t>
  </si>
  <si>
    <t>ee0c12fe-5cc2-449c-85bc-34281e718a07</t>
  </si>
  <si>
    <t>23f76b7b-9a91-4aa5-8a18-1791ebdd8768</t>
  </si>
  <si>
    <t>cf830917-d696-4fe8-b2ab-0ac302bc3188</t>
  </si>
  <si>
    <t>1ab17a84-0198-407c-adbd-c6023a555f71</t>
  </si>
  <si>
    <t>565db413-cceb-4cab-9f07-2140ab0a5919</t>
  </si>
  <si>
    <t>9af6b9b8-71b3-4d05-9138-6c495ec38a65</t>
  </si>
  <si>
    <t>e4c0c441-55ad-4923-a1e4-662f0f6801c7</t>
  </si>
  <si>
    <t>18614f07-a9fb-4a03-8908-9be2027d9212</t>
  </si>
  <si>
    <t>a690f893-0eac-4b15-8b71-0911b342a6d9</t>
  </si>
  <si>
    <t>aa3b4187-6ae9-4ade-a896-e435ce56d7f8</t>
  </si>
  <si>
    <t>4675f99f-2dcd-42d9-85a4-969369e671bf</t>
  </si>
  <si>
    <t>b0df9711-7801-4032-a45a-a9e070d86d29</t>
  </si>
  <si>
    <t>9148bbd7-77c1-4398-8d8d-91f0984e68f7</t>
  </si>
  <si>
    <t>ea38a34d-89cf-4530-86a0-f43033efbb58</t>
  </si>
  <si>
    <t>912eba4e-3bc6-4816-8649-f834a26a297f</t>
  </si>
  <si>
    <t>622eac09-7bcc-4a7e-b60f-fcbb8f22b107</t>
  </si>
  <si>
    <t>3435954d-06c0-499f-942d-fac00b21df27</t>
  </si>
  <si>
    <t>e50db5e8-4ccb-4707-9eb5-6f1d12320852</t>
  </si>
  <si>
    <t>13003cda-97f3-40ea-bd1f-d7257abc2b6e</t>
  </si>
  <si>
    <t>7ccacf20-3a43-4e5f-8505-23a9902a513b</t>
  </si>
  <si>
    <t>4994243e-4b75-426a-b294-b49c0cd05771</t>
  </si>
  <si>
    <t>acd4f88e-9e6d-404b-89d4-e63031a021a4</t>
  </si>
  <si>
    <t>3e86026c-465d-4938-a9b3-e46cb8bd8c2f</t>
  </si>
  <si>
    <t>8033777a-6914-406f-bd80-c3f194310d62</t>
  </si>
  <si>
    <t>8d2168b6-ae1c-4a51-8c27-d37e2d75711a</t>
  </si>
  <si>
    <t>81567d46-5fce-4cc1-8592-cf00b33d663f</t>
  </si>
  <si>
    <t>6314e57c-ad88-4d2a-ab46-7a4bf28843c2</t>
  </si>
  <si>
    <t>41289051-97ed-4045-963a-b15343c3aa2e</t>
  </si>
  <si>
    <t>541a8a7e-eb2c-4b4b-94d5-4996fd7a1986</t>
  </si>
  <si>
    <t>c7359891-7323-4195-81a7-e77381058260</t>
  </si>
  <si>
    <t>a8d5fcc1-5942-4832-be96-4520f45bab94</t>
  </si>
  <si>
    <t>afc7be0e-f8e2-452e-8cb3-34448a2ac9ad</t>
  </si>
  <si>
    <t>76c19e3b-0e9a-4a41-8777-08b8952234c3</t>
  </si>
  <si>
    <t>5ca7b59d-dbec-4f28-9be4-c855fd7c5a48</t>
  </si>
  <si>
    <t>c73f322d-c624-4640-9c2e-7ca376c32d1a</t>
  </si>
  <si>
    <t>1bcdb4d8-55d3-4d66-bf62-44f1a0804d87</t>
  </si>
  <si>
    <t>a3da5058-7e00-4977-843a-5b39b74ed1d4</t>
  </si>
  <si>
    <t>c5777da0-ec90-46a9-8a39-11a2c3e53e64</t>
  </si>
  <si>
    <t>5309fb6b-fda9-49d5-9709-a98c6985fec8</t>
  </si>
  <si>
    <t>b1a2b3f2-b50a-45e5-a0a3-7c08a7662847</t>
  </si>
  <si>
    <t>40ba8d6a-92bc-442c-bb28-2ea44842d927</t>
  </si>
  <si>
    <t>466ddfdf-c64c-44c1-b355-ccdc5321034f</t>
  </si>
  <si>
    <t>348a8714-4d66-44c0-ad3c-f7cc41a142be</t>
  </si>
  <si>
    <t>2bdf6766-1c95-45a9-b2db-bba1c6652d40</t>
  </si>
  <si>
    <t>1d503e7c-6813-4f0a-bcf6-d0546f1ab155</t>
  </si>
  <si>
    <t>d6c7bc96-5e6a-4167-9eb6-347e1397653c</t>
  </si>
  <si>
    <t>407aad69-ebd8-4f33-93be-d7f44758f080</t>
  </si>
  <si>
    <t>67f75a3b-93ac-49c9-a49a-a81ac97e8e75</t>
  </si>
  <si>
    <t>4fa2e5f3-a892-4aef-9be8-5b0a021d0eee</t>
  </si>
  <si>
    <t>1d81432e-9cae-4597-980e-c2fa146e85a0</t>
  </si>
  <si>
    <t>659ac4b0-5383-4848-991a-aeb0414a944d</t>
  </si>
  <si>
    <t>35320fec-0f3f-453c-b62b-beea0718986a</t>
  </si>
  <si>
    <t>ecf8bbf3-96f8-404a-87dd-07e37d6f9686</t>
  </si>
  <si>
    <t>79ddfa58-9d91-4cc8-8934-48f341865b3a</t>
  </si>
  <si>
    <t>df41f60d-7fbc-4215-8a27-3a5570f761b8</t>
  </si>
  <si>
    <t>54a72da9-19d4-416a-8249-b3a502b15c68</t>
  </si>
  <si>
    <t>f5731e8a-cfd2-408a-a495-0f724d4dc5f5</t>
  </si>
  <si>
    <t>49fb00da-cfe3-466d-9386-e641e8e7f405</t>
  </si>
  <si>
    <t>34523ebb-2498-4575-a6e6-e354b9b8071f</t>
  </si>
  <si>
    <t>7e0f0170-f6d0-493b-9685-37dab9ed5651</t>
  </si>
  <si>
    <t>7815f888-382c-4c53-b957-a80e3c48947b</t>
  </si>
  <si>
    <t>c2efde45-779f-4aa2-94e9-bac0f65087da</t>
  </si>
  <si>
    <t>c550902e-50d8-427b-9355-6b2f73a7f911</t>
  </si>
  <si>
    <t>2679e9fc-7e40-470f-9626-8f3db43191fa</t>
  </si>
  <si>
    <t>e916f232-f886-4f17-a518-2a7e00b800f0</t>
  </si>
  <si>
    <t>efffc52e-6e3a-4f0b-8880-fb659cdaed3d</t>
  </si>
  <si>
    <t>4746ea74-40b0-4d73-afd6-f04ff91bd42d</t>
  </si>
  <si>
    <t>362f18e1-7ed2-4de6-84be-965ea98108ff</t>
  </si>
  <si>
    <t>c4e246cf-7cc9-45b8-95ec-49109e50d7e8</t>
  </si>
  <si>
    <t>3a46d95a-a960-4e40-9879-64a94477b1f4</t>
  </si>
  <si>
    <t>46529e79-84bd-4228-8404-55b987be8cd3</t>
  </si>
  <si>
    <t>4e3333d7-12bd-4e52-8b2e-8d15fccb4e04</t>
  </si>
  <si>
    <t>b92f6c2a-0d14-4cd6-935a-ee9bd2306405</t>
  </si>
  <si>
    <t>0e7b13a8-ba21-4930-984e-26ffb526ca23</t>
  </si>
  <si>
    <t>2cfec353-f755-4181-b791-b9d16fdb303d</t>
  </si>
  <si>
    <t>e81ae50a-15b3-41b0-8ad5-777e6c3b680e</t>
  </si>
  <si>
    <t>d4986e2d-c530-4395-9fbb-4f8c305b4e31</t>
  </si>
  <si>
    <t>0b769114-5382-4e67-9a17-3e505ab928df</t>
  </si>
  <si>
    <t>701620b7-2709-4585-bcaf-76824fc614b6</t>
  </si>
  <si>
    <t>7a73f1dd-4ec0-4b9f-a05c-6c15b174f7d9</t>
  </si>
  <si>
    <t>3a4292a0-c26e-4f59-9738-5847f0f8547b</t>
  </si>
  <si>
    <t>ba224ba0-ffac-43eb-8ce4-eb894b8c47e3</t>
  </si>
  <si>
    <t>9cfff7a0-83b6-4caa-9b8e-9199377a9112</t>
  </si>
  <si>
    <t>443b3304-3f54-4628-9884-a3f2cafbca3b</t>
  </si>
  <si>
    <t>70b802e2-9349-4739-b3ae-bf480ed62033</t>
  </si>
  <si>
    <t>470ae833-22ec-41a7-b7a7-cf072f843f7d</t>
  </si>
  <si>
    <t>11d300ea-d50c-44a4-9581-22242364379b</t>
  </si>
  <si>
    <t>87a9944e-3df5-4a10-87f0-193721879c0b</t>
  </si>
  <si>
    <t>f24bfec6-01c3-4d88-bc12-e3438fd38529</t>
  </si>
  <si>
    <t>cebae2df-5a04-4f7e-9854-7d4f3522cd80</t>
  </si>
  <si>
    <t>a0c2c572-cbb3-44d0-83f6-d7f8fcac0beb</t>
  </si>
  <si>
    <t>ea60f18d-3385-4ab9-9508-8f180c5b29f1</t>
  </si>
  <si>
    <t>a35ef422-8be4-4765-b3d3-d32b46e70104</t>
  </si>
  <si>
    <t>2b438387-3c2a-4eec-a9c0-a35a2a333bb3</t>
  </si>
  <si>
    <t>1e33ffae-3124-4887-ad5a-f3c59ef34a19</t>
  </si>
  <si>
    <t>0470da5b-2b9a-4fe1-96dc-0d7ff9e22ed4</t>
  </si>
  <si>
    <t>c26e6838-5aff-48e7-baff-82274a9c0d11</t>
  </si>
  <si>
    <t>ddc377da-1304-4b98-8b83-3bf09b596935</t>
  </si>
  <si>
    <t>717319fb-54d6-4270-86c0-3a7710248a17</t>
  </si>
  <si>
    <t>749a3565-c336-4451-827f-37cc402c4824</t>
  </si>
  <si>
    <t>59cf54c8-4f09-4106-891f-e4b3702bbfbd</t>
  </si>
  <si>
    <t>b9ff46ac-0951-4682-9ded-e14a25c19556</t>
  </si>
  <si>
    <t>cc9ce91b-930a-4fb2-ace7-734a52841736</t>
  </si>
  <si>
    <t>0c904fc7-c145-4899-8d6c-a1f88efaa9ea</t>
  </si>
  <si>
    <t>b21032e2-0f2d-42c9-ac9d-8a0bf63ae117</t>
  </si>
  <si>
    <t>d9d64951-bd86-47d2-9b5c-74699f0ddd65</t>
  </si>
  <si>
    <t>d66e3ffa-734f-4134-accd-59ef6b29e012</t>
  </si>
  <si>
    <t>3f4bca31-4993-48ae-9aa6-1525c2917d66</t>
  </si>
  <si>
    <t>1da371a5-6272-4f69-9414-1bf00837f2c6</t>
  </si>
  <si>
    <t>6e9648fc-aa88-4433-b543-fd02bfd5eb21</t>
  </si>
  <si>
    <t>70e97bbb-7ef0-4019-9912-7d70436b7346</t>
  </si>
  <si>
    <t>65409b98-b72b-4507-8f2a-cf3ea1a3cd8c</t>
  </si>
  <si>
    <t>22b37d0b-9705-4c3c-ab09-5c3e920caf9e</t>
  </si>
  <si>
    <t>015bb11d-e875-4a77-8c33-5304f05bea3a</t>
  </si>
  <si>
    <t>3c41d94d-fae0-403e-b0ba-e146725028c3</t>
  </si>
  <si>
    <t>1478c780-9ac6-4575-a3cb-930ec5e55d46</t>
  </si>
  <si>
    <t>b62277d0-ed3a-4590-afeb-8830974c3c6d</t>
  </si>
  <si>
    <t>1fdd940f-d8a4-42a0-9c90-a24a15da8c66</t>
  </si>
  <si>
    <t>bb7d8775-794b-42d7-ba32-23a75a2fe0ba</t>
  </si>
  <si>
    <t>39e3e4ff-e7ea-4d9c-8f67-1b2dfd19c948</t>
  </si>
  <si>
    <t>6b8e065d-5df6-4f00-8117-5c38a5ce22a5</t>
  </si>
  <si>
    <t>0e2aa733-a045-4099-bce7-4493377809f4</t>
  </si>
  <si>
    <t>985cbbc9-39e5-47a5-b88f-6a61ea625dc6</t>
  </si>
  <si>
    <t>e4e972cb-d9f7-4eb1-a387-389ab314e9e9</t>
  </si>
  <si>
    <t>e1efc0e2-90df-4b4a-82e2-268c2c113c45</t>
  </si>
  <si>
    <t>862e8325-466c-436f-bbf9-c312b59c3dfa</t>
  </si>
  <si>
    <t>8a51f808-b061-48ab-9e27-ac186d3892cf</t>
  </si>
  <si>
    <t>da340552-eba0-4e98-b778-17cb59c18771</t>
  </si>
  <si>
    <t>70419849-59cc-4638-8a62-30b6c27b110a</t>
  </si>
  <si>
    <t>b62cf02c-fb90-42b1-b00c-6ccbb87dc3d4</t>
  </si>
  <si>
    <t>ad28ff99-5516-4142-8456-e53038122c39</t>
  </si>
  <si>
    <t>3a696f0c-3d05-4646-8e61-4a91cad6c7f7</t>
  </si>
  <si>
    <t>e69e1817-275a-4b87-9634-f9b175b2e71c</t>
  </si>
  <si>
    <t>89ab8b3f-3da2-49b4-a523-be78232104ec</t>
  </si>
  <si>
    <t>785e722e-ebe2-4b1d-96b3-a9e0589fd5cb</t>
  </si>
  <si>
    <t>6c90005b-c84f-4d67-8f10-944376be5ee9</t>
  </si>
  <si>
    <t>54b4b2d9-1fa8-43e4-b343-5344abb3afc3</t>
  </si>
  <si>
    <t>a9dac39e-366e-465d-b985-d7d328e5a1f0</t>
  </si>
  <si>
    <t>76eda8fc-53cc-41ce-814c-b276de139bd6</t>
  </si>
  <si>
    <t>389d05b8-5681-4583-8b6e-dc23f21ab082</t>
  </si>
  <si>
    <t>3ae60780-353e-44f6-a086-ed12ca8e3ac0</t>
  </si>
  <si>
    <t>2a0be5f8-3f49-4dd5-b2f9-7618b09dc647</t>
  </si>
  <si>
    <t>20170326-3d27-4d6a-a1b3-a3dd0fe80c9e</t>
  </si>
  <si>
    <t>98161cca-bbce-435a-b69e-5220cd52dfa1</t>
  </si>
  <si>
    <t>ec556109-ca46-49b3-be75-38b3d039d3c8</t>
  </si>
  <si>
    <t>83d2edc0-d995-49bf-9906-73b5cd328bec</t>
  </si>
  <si>
    <t>7bc367ea-e739-4c3c-b0f6-1c5ff68cc793</t>
  </si>
  <si>
    <t>171e4a98-35f6-4a67-a572-f761e79b016c</t>
  </si>
  <si>
    <t>4f9f107c-e315-4608-9c0d-fa01c1f01dd9</t>
  </si>
  <si>
    <t>d9b90a71-1818-4875-95db-7c96de503fb8</t>
  </si>
  <si>
    <t>08d1887b-ea1b-410b-ba35-029a4ef3762e</t>
  </si>
  <si>
    <t>7b579a9f-41d9-41ce-b216-161fd36c0c96</t>
  </si>
  <si>
    <t>05292bbd-a079-4cd4-857f-949512fcb16e</t>
  </si>
  <si>
    <t>c1744bef-91ae-4b63-805b-9e6ecb566d54</t>
  </si>
  <si>
    <t>84234f6e-d6b4-4cde-ab17-27983240160c</t>
  </si>
  <si>
    <t>517ec474-4a11-40ad-8023-9434a534baaa</t>
  </si>
  <si>
    <t>66e1f94c-9255-427d-a0a9-0c18b60e606d</t>
  </si>
  <si>
    <t>c8169387-50a3-43b1-8570-ddd57eea2286</t>
  </si>
  <si>
    <t>b2d37f46-9730-45a2-be49-82f0970aa757</t>
  </si>
  <si>
    <t>79e3725b-6ab4-48e5-b50d-ae5fee48fe16</t>
  </si>
  <si>
    <t>5d7cc9b7-d4c1-4deb-a505-a5f898fe86fa</t>
  </si>
  <si>
    <t>01aa3575-7231-4975-a99b-68cb4b903fa8</t>
  </si>
  <si>
    <t>3abd92c2-c263-4077-b143-c3b8bfcc824a</t>
  </si>
  <si>
    <t>9cb56823-b270-429a-ae96-8c4c7c490045</t>
  </si>
  <si>
    <t>3e6e9aee-e749-4af1-8f64-60e9c66e2a9f</t>
  </si>
  <si>
    <t>0b396868-c252-47aa-87a9-3750632631de</t>
  </si>
  <si>
    <t>7803e897-d375-4988-90b9-853f26fced6a</t>
  </si>
  <si>
    <t>20bd91b1-5410-48ce-9ea3-24dda725ffc2</t>
  </si>
  <si>
    <t>5efa4a9a-f8eb-45a0-813d-dd26f8164ae7</t>
  </si>
  <si>
    <t>0c470807-7c7b-4635-958d-c5e061c6834b</t>
  </si>
  <si>
    <t>44107bc2-9ccd-442e-ada3-cca1e74a5e30</t>
  </si>
  <si>
    <t>4ad3c2c0-851c-4f76-abc9-246160e0ab71</t>
  </si>
  <si>
    <t>ed1038b4-7daa-4a9b-ac0f-9192a6467bba</t>
  </si>
  <si>
    <t>3133a1a9-e01f-4e3f-84c7-fc1d4df5a37a</t>
  </si>
  <si>
    <t>4ca761cc-61b8-44fd-a0d5-f7a28b88eb0e</t>
  </si>
  <si>
    <t>d85b2e77-8d84-4585-bab8-53d268948660</t>
  </si>
  <si>
    <t>7ac28f83-5c36-480d-8625-1aca236541d9</t>
  </si>
  <si>
    <t>9b39df7f-3d13-416c-a3d5-376ef72cb79a</t>
  </si>
  <si>
    <t>92e10186-26ae-4f5b-ba6f-0da5b64f5a47</t>
  </si>
  <si>
    <t>e0c7ef42-f7ab-4951-ab5f-210245944707</t>
  </si>
  <si>
    <t>2566b898-f39e-4414-b01c-d7d5200d8664</t>
  </si>
  <si>
    <t>65357b03-fc0b-47c0-9dff-d4ccdf1bd1a6</t>
  </si>
  <si>
    <t>4b06ed1f-0e30-4288-80eb-b641d807a159</t>
  </si>
  <si>
    <t>21e130dc-2777-4cdd-97a7-047aa2ac54c9</t>
  </si>
  <si>
    <t>6d9536ba-8d10-4506-b4a4-c446965bbd40</t>
  </si>
  <si>
    <t>d5457553-24e6-49c0-bab4-e7cd6db95f78</t>
  </si>
  <si>
    <t>7419b815-66e0-4a75-bdf4-38064f56b6a1</t>
  </si>
  <si>
    <t>1f5213b9-f21f-4049-a107-366de8e541a9</t>
  </si>
  <si>
    <t>e0a7309b-c626-42f9-a02d-f1f215c18694</t>
  </si>
  <si>
    <t>d13d94a2-10cb-4efd-8f65-56c57622bc5c</t>
  </si>
  <si>
    <t>efc1e954-133c-4431-9987-c41675b6032f</t>
  </si>
  <si>
    <t>5e35b24b-1fc9-4516-9498-9e3827ca9074</t>
  </si>
  <si>
    <t>63bdcad7-6d54-4f2d-8f35-647084623c22</t>
  </si>
  <si>
    <t>ce9a7f7c-cbdb-4c6b-ae71-eebf9470efbf</t>
  </si>
  <si>
    <t>3f6bbb4f-9b1c-4202-869f-793e8d4d7f1a</t>
  </si>
  <si>
    <t>49a5da56-8c1d-435f-9c55-ed0381631e32</t>
  </si>
  <si>
    <t>f867a5c0-348a-4d11-9e46-e3e1ddfae52d</t>
  </si>
  <si>
    <t>c6fc4635-f75f-4f88-931a-48482d803ace</t>
  </si>
  <si>
    <t>a52e239d-d9a1-4fc5-8800-79eb566e63b4</t>
  </si>
  <si>
    <t>a5702081-efd9-4d5f-b648-1a79a023dd7d</t>
  </si>
  <si>
    <t>2888e4b0-3d94-4ed8-a3ad-7bf63fe4ed34</t>
  </si>
  <si>
    <t>86f79992-0ec8-460c-b9ca-06bb2d4b2d9d</t>
  </si>
  <si>
    <t>2f8f4435-f3d0-495f-bbed-8238ee247509</t>
  </si>
  <si>
    <t>1d44e0ee-b37b-4b48-afe1-a6730ff250f1</t>
  </si>
  <si>
    <t>f0080b91-9e4e-4ac1-bbe3-f506fe321b3e</t>
  </si>
  <si>
    <t>40c78fb6-9110-45ba-b762-a675416366db</t>
  </si>
  <si>
    <t>5116bddc-4fcf-4be2-8c5d-66fc71660f67</t>
  </si>
  <si>
    <t>1f1152bd-ddf0-47f5-a31a-44f3c683df09</t>
  </si>
  <si>
    <t>2348f10a-b1b8-477b-9e11-513edb04b771</t>
  </si>
  <si>
    <t>8df884a5-4e50-4fc6-bf74-10ec485fd463</t>
  </si>
  <si>
    <t>b6b63c5e-1342-43e0-a8dd-eae7cc0fa00a</t>
  </si>
  <si>
    <t>f89725e9-c998-468d-a0a2-7571cd151743</t>
  </si>
  <si>
    <t>0759e854-66fa-45a2-ad21-e8c1269a6ffb</t>
  </si>
  <si>
    <t>9adbc269-7b76-4a65-9c2e-282fd648f65d</t>
  </si>
  <si>
    <t>6c7ebcc4-2dc0-4edf-bf17-2ec652058b37</t>
  </si>
  <si>
    <t>5e9a3d55-b488-4273-9e5d-1e9567092704</t>
  </si>
  <si>
    <t>e9b98104-1c10-45dc-ad6b-e311e643d66f</t>
  </si>
  <si>
    <t>4802c77a-9c72-479f-a7fe-6c368b58bd80</t>
  </si>
  <si>
    <t>d164ba7f-bd78-437c-8b98-afe067b0907f</t>
  </si>
  <si>
    <t>8d225c4b-4008-4028-8ace-1f9fa1a8352c</t>
  </si>
  <si>
    <t>2f46ba0e-acbe-4a15-bf9a-80b7a6d6e4c8</t>
  </si>
  <si>
    <t>ab0b1364-80a4-4508-9fbb-b0b96f172b11</t>
  </si>
  <si>
    <t>62f6a64e-0903-4a25-b441-f8ba015f71c0</t>
  </si>
  <si>
    <t>7f37c9b2-1a1b-454b-b6d1-11ddfecf701c</t>
  </si>
  <si>
    <t>1972fc1b-af60-49a6-b1c0-97b27d28e6cb</t>
  </si>
  <si>
    <t>26dddf97-4f5d-4493-9664-1d6b3eee2b85</t>
  </si>
  <si>
    <t>0e5e15fd-910e-4ab6-b349-a23b219c6e2c</t>
  </si>
  <si>
    <t>34555122-633a-4753-886e-ae803d0d7b11</t>
  </si>
  <si>
    <t>5eef2d46-19a3-4f32-ad05-2c66e0f2f90e</t>
  </si>
  <si>
    <t>20e5ee85-6815-4bcc-b39d-e2f4a652b78c</t>
  </si>
  <si>
    <t>d05f06b5-1647-48d5-907c-8d200ccd5175</t>
  </si>
  <si>
    <t>15b558ce-c449-45dd-a481-1a8ffa9578f7</t>
  </si>
  <si>
    <t>cf7a19c1-ea03-48d5-b17c-eb3e97eb489d</t>
  </si>
  <si>
    <t>974cb41e-3596-4ea4-a312-1953964df667</t>
  </si>
  <si>
    <t>29403656-4635-4f51-9b00-496ea8c3dff9</t>
  </si>
  <si>
    <t>0c6168a7-3308-4be6-a009-d18deb9873a8</t>
  </si>
  <si>
    <t>52f7b1e0-f634-4d11-a55e-7e716ee1a26a</t>
  </si>
  <si>
    <t>602db766-b25f-48c5-a4cb-8a44ad3519e6</t>
  </si>
  <si>
    <t>77553bbc-faed-42a8-bc4b-c6df851a79bb</t>
  </si>
  <si>
    <t>934e0927-7106-4ca8-be85-ac12ffbf01e7</t>
  </si>
  <si>
    <t>9d446449-7186-46f7-abb4-ae4d0100d3ec</t>
  </si>
  <si>
    <t>63ffd20b-b4d8-40e1-ad5b-72e4c167937c</t>
  </si>
  <si>
    <t>81e8754c-a4d1-4828-97a1-360deb6922c1</t>
  </si>
  <si>
    <t>c4a14442-84b9-416c-aa6a-edcbd2b5f45a</t>
  </si>
  <si>
    <t>29147ecb-5860-4ec8-bc5f-9da387883613</t>
  </si>
  <si>
    <t>500de2b9-0a37-450d-98a4-ba8cf836aec5</t>
  </si>
  <si>
    <t>0df289b1-7972-49bf-a2f4-e8ef7067d33a</t>
  </si>
  <si>
    <t>5167b221-07bd-4c43-be89-07944c714a64</t>
  </si>
  <si>
    <t>23705670-9f46-4641-ba8b-7c58171ffea4</t>
  </si>
  <si>
    <t>aefa1d65-fad0-4618-9c2c-25c02fdab751</t>
  </si>
  <si>
    <t>1e843342-a128-4a32-8866-c9967a5a2457</t>
  </si>
  <si>
    <t>70ff8719-2b85-40ae-a2eb-71fe4d386d5b</t>
  </si>
  <si>
    <t>193a501a-28fc-496f-94b0-c3c3ce21e85e</t>
  </si>
  <si>
    <t>a1a1cc44-59b8-4312-8631-8d9f96f8221b</t>
  </si>
  <si>
    <t>9ffb0e6d-aa59-440c-bfe7-bb2a512e1ec7</t>
  </si>
  <si>
    <t>31d8816d-2fd6-4924-83bd-2b55c2f66078</t>
  </si>
  <si>
    <t>4d6c8983-1079-4358-b8af-c68cfbc2adb1</t>
  </si>
  <si>
    <t>f7db4efc-af74-48fe-8518-d3911d88dc8e</t>
  </si>
  <si>
    <t>482e9d4a-1245-49f5-8463-4f4d5d330238</t>
  </si>
  <si>
    <t>c8a616f5-3c0d-45cd-8299-03d8a5a0382f</t>
  </si>
  <si>
    <t>f46062ec-d90e-4188-ba2a-786a693a9ac2</t>
  </si>
  <si>
    <t>ae65d8da-4424-47be-b1c4-6eb0e7dfed13</t>
  </si>
  <si>
    <t>e4bfb201-902d-4c1d-95aa-b6200c300942</t>
  </si>
  <si>
    <t>ee395f05-38b7-4e16-b439-ecf3bcae8456</t>
  </si>
  <si>
    <t>671bb6da-829d-4a13-86a1-f2aade64cec2</t>
  </si>
  <si>
    <t>b10400aa-68ee-46f0-a5ab-4bc349fe461b</t>
  </si>
  <si>
    <t>0e1c6629-1087-4cfa-97f2-ac099325597b</t>
  </si>
  <si>
    <t>9e85b406-fefb-44b4-a645-ae4730083fcb</t>
  </si>
  <si>
    <t>f2233d8c-4b2e-4cda-a1f5-e883d5178624</t>
  </si>
  <si>
    <t>5eaadf07-169c-47f3-ac82-0f1b104b50d0</t>
  </si>
  <si>
    <t>71ffe36f-bf12-46f6-9caa-7073ad4b3533</t>
  </si>
  <si>
    <t>ed6bc432-1d64-4bdc-a7a1-92d77149195f</t>
  </si>
  <si>
    <t>ce0a098a-663d-43ac-be4c-eb9c136781bf</t>
  </si>
  <si>
    <t>9ff9024e-57fd-4d63-ba8e-bc23654cf29a</t>
  </si>
  <si>
    <t>b1967337-eca8-48ed-a69b-5fe9f903020f</t>
  </si>
  <si>
    <t>ea885257-8542-47b0-a133-94a6ef1a624d</t>
  </si>
  <si>
    <t>21b1aa53-f024-46ef-90b9-379dbe5e3b3f</t>
  </si>
  <si>
    <t>7c1a5523-bb85-4b16-a432-47d5028ccc19</t>
  </si>
  <si>
    <t>1dacea26-4a92-4937-a15c-9ac06e1c5c30</t>
  </si>
  <si>
    <t>e484778c-84fa-4252-8f70-d3e5fb97e2e5</t>
  </si>
  <si>
    <t>8903121d-d971-44fa-8298-d8c85cb7d2a5</t>
  </si>
  <si>
    <t>06ebfeea-91e1-4978-ab19-6754a73ed6fd</t>
  </si>
  <si>
    <t>7db6ce2b-1ef5-4cfc-8eac-8b790645c4bd</t>
  </si>
  <si>
    <t>081c1182-cecc-48e7-9955-9461a61e5a3d</t>
  </si>
  <si>
    <t>ca12fad9-e6c3-4425-bd89-cd8438ade1ff</t>
  </si>
  <si>
    <t>9d25fe2d-2220-4ee5-a944-aadb3747b4f6</t>
  </si>
  <si>
    <t>3221107b-3f54-4834-b697-c08e220ec98f</t>
  </si>
  <si>
    <t>7314c539-9a86-4bf4-96ca-116a3a9329d2</t>
  </si>
  <si>
    <t>70c99bdb-b638-4f83-8293-30aa827ab58c</t>
  </si>
  <si>
    <t>df763098-cb5d-4e41-9ccb-11dd83118e6f</t>
  </si>
  <si>
    <t>814df9cd-d9c4-44cb-bf08-484072d75bcc</t>
  </si>
  <si>
    <t>c33cc396-b96d-4eb2-bd3f-14766dfa1095</t>
  </si>
  <si>
    <t>2215ad58-b874-4f47-803d-1fe3b1baea18</t>
  </si>
  <si>
    <t>df7fa3f6-904f-4d02-93bb-da7ae9f3cdf4</t>
  </si>
  <si>
    <t>f5137413-8695-4d03-a61b-b470d28ca020</t>
  </si>
  <si>
    <t>832f6ef7-b780-4441-8490-c60d560a46ab</t>
  </si>
  <si>
    <t>4fc04f37-ccfc-4c34-a2bb-465e2ab0f684</t>
  </si>
  <si>
    <t>9088560e-103b-450a-97e7-72e28a9ccad6</t>
  </si>
  <si>
    <t>12b46201-71e8-4547-92e4-dd4557c0cbaa</t>
  </si>
  <si>
    <t>50580892-1d42-46ad-832a-30408eefc7e4</t>
  </si>
  <si>
    <t>ba117468-fa16-42a0-b57a-f470326af6fc</t>
  </si>
  <si>
    <t>2c6a90b9-3e26-41f0-8c43-dfa499c01e72</t>
  </si>
  <si>
    <t>4523bdcb-db0e-4b36-affa-1e300742ee3d</t>
  </si>
  <si>
    <t>aeb01d72-e21b-420d-bcf2-6f092e5c0ba9</t>
  </si>
  <si>
    <t>34d32457-07fa-44de-b892-1414e85b395a</t>
  </si>
  <si>
    <t>7724d0e5-2a50-4f27-9fba-6317695f5e17</t>
  </si>
  <si>
    <t>f2de4a0c-3c0a-434f-bc8f-305e7df34444</t>
  </si>
  <si>
    <t>9f344f31-c0c2-4246-bfab-e4331ff4c30e</t>
  </si>
  <si>
    <t>2ec9af45-c008-421c-9ef5-9420d450b90c</t>
  </si>
  <si>
    <t>242eb909-7dc3-421c-a281-8bbd4b1030db</t>
  </si>
  <si>
    <t>1fdad0b9-5473-4568-8604-b9fde21628e1</t>
  </si>
  <si>
    <t>ab898da0-93a6-45a7-a40b-035b68eedb43</t>
  </si>
  <si>
    <t>f7403cfc-74af-41b2-ae6e-e3eca1775c22</t>
  </si>
  <si>
    <t>edcc50ab-6c04-496a-8bea-32e7190cefc5</t>
  </si>
  <si>
    <t>52e28be6-02c2-45ae-a4ad-dd9d955f996c</t>
  </si>
  <si>
    <t>65db2a07-6b3f-4097-bf05-5dc3fdc57684</t>
  </si>
  <si>
    <t>248604ed-b5e2-40cf-a84b-6f0ccfcf4ec6</t>
  </si>
  <si>
    <t>cfc4ab31-b18b-48d7-8d11-9075c0e0fc1d</t>
  </si>
  <si>
    <t>c59c5228-13ca-4b48-ab62-850973140025</t>
  </si>
  <si>
    <t>a6a7357a-efe0-47ab-96fd-60947e29f4f5</t>
  </si>
  <si>
    <t>53d2902b-a3f3-4a63-b9a4-2e719f643bc7</t>
  </si>
  <si>
    <t>19377785-f6df-47c9-8751-87e03b6cc695</t>
  </si>
  <si>
    <t>f9c5487d-6de0-4567-80f8-91d2bc885db0</t>
  </si>
  <si>
    <t>3f59cc8c-2e1f-4fec-be3d-59c7ef7af242</t>
  </si>
  <si>
    <t>97aea85f-6bc7-4832-b939-ffbef583b9c6</t>
  </si>
  <si>
    <t>b68e7aeb-f591-4769-be82-a5bf2f26f1ba</t>
  </si>
  <si>
    <t>4249a389-4f0d-43af-bf2a-af5ba4145cac</t>
  </si>
  <si>
    <t>f17ec8dc-bfda-412e-b3b0-e684b9ec209e</t>
  </si>
  <si>
    <t>8c69a371-9f9e-417f-9033-edfb8cee3b09</t>
  </si>
  <si>
    <t>d21b95f5-9c3d-4dff-a1bf-9fcca3acd018</t>
  </si>
  <si>
    <t>05c84906-ffba-4cb3-8536-938270359bd8</t>
  </si>
  <si>
    <t>7d634266-c7fe-4ce9-a3d2-46da4de0aa80</t>
  </si>
  <si>
    <t>884060b3-4cb5-4f3c-ac3a-6232a4b62ce3</t>
  </si>
  <si>
    <t>cf63e434-a148-4c98-9bc7-1248015614ca</t>
  </si>
  <si>
    <t>97367252-ef48-4a0b-9812-b45a4b46d367</t>
  </si>
  <si>
    <t>86bf6b8e-1435-476c-a569-0e128ee68852</t>
  </si>
  <si>
    <t>a50875df-1b0c-49b5-87ed-607b4d6b994b</t>
  </si>
  <si>
    <t>cd3f2ce2-d981-4eea-b0ae-08df3bb58a67</t>
  </si>
  <si>
    <t>451414a6-ae4b-4003-bf0a-00174fa74dfb</t>
  </si>
  <si>
    <t>58453b9d-9054-4098-a8b7-3b71e096f2e2</t>
  </si>
  <si>
    <t>9da58651-4df7-4848-81eb-de7e4afb25dd</t>
  </si>
  <si>
    <t>8fe875d8-6eb3-4d6c-a524-0fdd9ed832a2</t>
  </si>
  <si>
    <t>15bbaf13-1732-494b-bbd0-71b3440784a4</t>
  </si>
  <si>
    <t>5c1c2fe1-5287-4326-aa8a-030d629d1767</t>
  </si>
  <si>
    <t>4c6e4f67-5c05-4fa7-bc32-41b0fcd236a6</t>
  </si>
  <si>
    <t>c42b9962-e608-4c95-af2b-dd7054bfcead</t>
  </si>
  <si>
    <t>30f65ab2-d5d0-4590-b77e-0e0f8ae54592</t>
  </si>
  <si>
    <t>8b0e7eaf-3ec5-4784-a229-1e034f185499</t>
  </si>
  <si>
    <t>a75b3afe-ef21-4f2a-bb11-134b4a6a4374</t>
  </si>
  <si>
    <t>ab3a2269-8cbb-4064-90bb-4c2e461d8f83</t>
  </si>
  <si>
    <t>0a756329-2dd4-41a3-a655-d496fa83d985</t>
  </si>
  <si>
    <t>8ad47d7d-2451-49c2-a5c0-3f8dfe565f37</t>
  </si>
  <si>
    <t>bb60cb83-dabd-4ca9-8f50-9c066f4ef0bb</t>
  </si>
  <si>
    <t>d2486db9-a03e-437a-ab7a-03bc88f29594</t>
  </si>
  <si>
    <t>c8ae5d01-e8f1-4c45-8c97-f1e06c043f1b</t>
  </si>
  <si>
    <t>e35b31d9-c014-4510-8d23-c4726aad21f3</t>
  </si>
  <si>
    <t>cc032169-b9fd-48a0-b362-bfbf9e4faf31</t>
  </si>
  <si>
    <t>81e7c91f-6440-4b21-8e80-54dbdfc7dde4</t>
  </si>
  <si>
    <t>7c71c830-86e6-49c0-85cd-f3b4c659681c</t>
  </si>
  <si>
    <t>a2e6f692-b349-4e9c-a8e4-caee4b94c565</t>
  </si>
  <si>
    <t>9928e0eb-1729-4561-aee1-383019b1f9de</t>
  </si>
  <si>
    <t>e69f8bd1-983d-4874-8c7d-f4c296d8b60d</t>
  </si>
  <si>
    <t>3ed41e81-8336-41f9-95fd-c4936774307b</t>
  </si>
  <si>
    <t>4b1eae82-49d9-4ce0-bf4f-4f4a4db8e86e</t>
  </si>
  <si>
    <t>2a832c21-7e5e-4f7b-964b-c27d10d6871a</t>
  </si>
  <si>
    <t>dbdeb7d8-00f5-48a6-ab78-49f48455d2cd</t>
  </si>
  <si>
    <t>b94870af-ecbc-4ceb-a772-4ef659dd2037</t>
  </si>
  <si>
    <t>a76c8375-b607-465e-89f5-61850fef59f5</t>
  </si>
  <si>
    <t>f9fb89b3-6a86-42c3-84a6-dd06224bf103</t>
  </si>
  <si>
    <t>c024e609-4d29-450e-a935-6ed2d83795db</t>
  </si>
  <si>
    <t>89df72b8-4fdd-4c4c-9a59-21585ff881fb</t>
  </si>
  <si>
    <t>d90c2bdb-57bc-4aed-a0eb-04dda096d472</t>
  </si>
  <si>
    <t>52fecb3e-9708-43bf-bcbf-07bad7e20d9d</t>
  </si>
  <si>
    <t>35ee0cc2-3698-444f-97b7-91d76c99e548</t>
  </si>
  <si>
    <t>d2899b49-5201-48f4-bdff-aeca3bd3ab4e</t>
  </si>
  <si>
    <t>7da75fe6-c891-4e1b-97ba-2129d38d878a</t>
  </si>
  <si>
    <t>6f9a4bd0-92b2-4616-b037-7772feee132a</t>
  </si>
  <si>
    <t>813580b7-bfe8-4768-81ab-926bde5b02ea</t>
  </si>
  <si>
    <t>e5f283a1-fc7a-486b-97fb-1192a8f0deeb</t>
  </si>
  <si>
    <t>bc55cafe-8265-4371-a011-35073b4c1067</t>
  </si>
  <si>
    <t>bd7a7b20-b1e5-4c54-9986-7a89020646f0</t>
  </si>
  <si>
    <t>001e078b-70bd-4fd6-851a-3f073f0884fd</t>
  </si>
  <si>
    <t>74e4d85c-04cb-40c0-8468-b65244b8763a</t>
  </si>
  <si>
    <t>e699c441-adc4-4bae-856c-ff172cb4f8dd</t>
  </si>
  <si>
    <t>d1aad2e8-8cad-4675-befb-ce1b535ae866</t>
  </si>
  <si>
    <t>64fe4e74-9f17-4fd0-bd01-f396fe682144</t>
  </si>
  <si>
    <t>4deb7c33-c7d1-440a-9451-ad1ec706da53</t>
  </si>
  <si>
    <t>62c9e571-65c7-4e23-b602-e176b096b464</t>
  </si>
  <si>
    <t>e9c6abab-fa3a-4198-a348-3b621a9ed22c</t>
  </si>
  <si>
    <t>032fb5e0-8f61-465c-b1b6-2c98a80cd9d5</t>
  </si>
  <si>
    <t>1b0dfe5c-c39b-4c2d-bba0-01d298555668</t>
  </si>
  <si>
    <t>864fe1fb-7525-41f5-a068-ac033535cf2c</t>
  </si>
  <si>
    <t>8d9efd77-da54-44c6-ac17-d0f6f8b22712</t>
  </si>
  <si>
    <t>3b08b87e-0d79-4ed3-aaa3-7f0fef0a329a</t>
  </si>
  <si>
    <t>acbfb6bd-8f78-4478-a503-96d3b9423776</t>
  </si>
  <si>
    <t>0e011d9a-21fc-4755-83aa-8a3ac0583aaa</t>
  </si>
  <si>
    <t>adf98efc-6d08-4d2b-b5a4-3db4faa4a2ac</t>
  </si>
  <si>
    <t>251d3ce5-6a0e-470e-b834-81a322cd71ba</t>
  </si>
  <si>
    <t>fa852b67-159e-405f-8676-d5a105e7bb86</t>
  </si>
  <si>
    <t>c6962059-9125-4740-92da-b8e67e8df88c</t>
  </si>
  <si>
    <t>37ec4c81-c13f-4bc1-a730-95668f46c06d</t>
  </si>
  <si>
    <t>33ae3d83-b948-4650-9415-05d83e3fe706</t>
  </si>
  <si>
    <t>aee8ab44-a0f1-4640-905b-d68a2f65a49f</t>
  </si>
  <si>
    <t>c23d70ff-27d6-49bd-974e-3245d2c07e57</t>
  </si>
  <si>
    <t>266e4293-8223-4c51-808a-f13491bd8eb2</t>
  </si>
  <si>
    <t>ea76699e-f6e0-4f2c-b309-d72844c5d017</t>
  </si>
  <si>
    <t>8d2161f8-f893-4a4c-b92e-a2f1aa034309</t>
  </si>
  <si>
    <t>89ffd546-1e6e-4777-b8ed-241a11f3b0cd</t>
  </si>
  <si>
    <t>162da3cf-bb64-42fc-993b-e745a9ab465f</t>
  </si>
  <si>
    <t>2da9c183-9b39-436f-98db-2dc98e48642e</t>
  </si>
  <si>
    <t>01cbcb06-efe6-4d21-9e17-bd342b727fbd</t>
  </si>
  <si>
    <t>40ef78e9-4e98-4ece-8b9d-0734d3bfe300</t>
  </si>
  <si>
    <t>1658bf4a-2245-4dce-a26c-72285ceed712</t>
  </si>
  <si>
    <t>1f3e963a-2d94-43e4-9032-cf1cdc479e09</t>
  </si>
  <si>
    <t>b9c334ed-08d5-417d-9593-5cd3c581f750</t>
  </si>
  <si>
    <t>e5caa96c-35c6-4ec9-8bd1-5011f6d04101</t>
  </si>
  <si>
    <t>aa0c3cc3-252c-4ff6-8d3c-e64d4d485e00</t>
  </si>
  <si>
    <t>4783befc-8617-4cb0-aa74-edce4a16397c</t>
  </si>
  <si>
    <t>d4871aea-84f1-44bb-98bc-47ba1ae543a4</t>
  </si>
  <si>
    <t>67fcd979-ae24-47af-812a-94c171dfc29b</t>
  </si>
  <si>
    <t>0ca79c40-c818-4175-95c3-3e7117a2fa05</t>
  </si>
  <si>
    <t>6b6d0ffb-cc89-4c10-a83d-c2dbc10dccd3</t>
  </si>
  <si>
    <t>443bc5e4-a765-41b2-8ee3-196d53dcecd5</t>
  </si>
  <si>
    <t>32a8adaf-fef3-4500-ac2c-343a12a94f01</t>
  </si>
  <si>
    <t>e3ab4ce5-c415-40d0-8b2f-b2a66dbb7d9c</t>
  </si>
  <si>
    <t>a7b224a7-7bca-4196-94aa-4a51f2b37f2d</t>
  </si>
  <si>
    <t>f60b9203-b485-48e9-88cd-2974182478da</t>
  </si>
  <si>
    <t>10e467cf-afff-4773-a4f9-d17465b11da9</t>
  </si>
  <si>
    <t>2b8271cb-3b7a-49ae-a0fc-59943853d4cd</t>
  </si>
  <si>
    <t>1c790175-4b44-4c30-8437-b7e221c67ed0</t>
  </si>
  <si>
    <t>a3856e85-8c07-490d-b498-743f53ede9af</t>
  </si>
  <si>
    <t>8c7b82ec-8c44-469f-9520-2dcebb43f58c</t>
  </si>
  <si>
    <t>641acc41-80c1-46c4-a52e-1504571d1898</t>
  </si>
  <si>
    <t>ed58875b-0eeb-49f4-a956-b5331f431008</t>
  </si>
  <si>
    <t>d400d34e-afce-4189-a135-557508fe4405</t>
  </si>
  <si>
    <t>0d24a90a-9496-4935-93a9-e3a0fd3c25d5</t>
  </si>
  <si>
    <t>13dbb4f9-ee72-49e8-b9d1-b48bbfb17435</t>
  </si>
  <si>
    <t>0b8be5a2-157b-4512-ade9-e7f81a2b2754</t>
  </si>
  <si>
    <t>9802d203-cab0-43cb-89a5-5efe32fdb9d4</t>
  </si>
  <si>
    <t>b8edf2b2-e521-4e60-9fe3-8302a173ef10</t>
  </si>
  <si>
    <t>b3f8571a-3a0a-49a5-9dc3-c2496272a970</t>
  </si>
  <si>
    <t>6e523a98-d021-4ea4-8a68-39a22623ffd6</t>
  </si>
  <si>
    <t>92baa567-63f1-4713-84a3-2a17cc2ba3e8</t>
  </si>
  <si>
    <t>cebb576f-a1d1-4284-b2f8-2d11b208473a</t>
  </si>
  <si>
    <t>7ddbfc3d-6c94-4fb3-a106-90686c4b36f0</t>
  </si>
  <si>
    <t>fb47bc6f-adc3-4eb4-ae16-f281e42d1f82</t>
  </si>
  <si>
    <t>6fad7c4d-a57b-4573-9ab1-9d661da871e6</t>
  </si>
  <si>
    <t>620badcd-c37d-4b77-927b-06ba5e5e84db</t>
  </si>
  <si>
    <t>a9e27cdb-853a-4d00-9290-eb79c327738e</t>
  </si>
  <si>
    <t>b9612ece-b762-43c0-ac17-a72be988dca1</t>
  </si>
  <si>
    <t>e51e1e8d-ea60-4652-b91f-6481db75959f</t>
  </si>
  <si>
    <t>99b69752-4e82-4dc0-92dd-74d0de2c1204</t>
  </si>
  <si>
    <t>98066864-9239-4614-b27d-fba3549259c3</t>
  </si>
  <si>
    <t>49766e30-18a3-4af3-9ca3-290ececf951e</t>
  </si>
  <si>
    <t>f5b3706b-32ff-4a03-b9ef-ed672c2ab8dd</t>
  </si>
  <si>
    <t>69f290fa-9245-4b0b-a371-e1e92c1ab295</t>
  </si>
  <si>
    <t>ceb19913-e81d-4657-a381-e508042e7e48</t>
  </si>
  <si>
    <t>38b10f7c-7598-45a7-a056-7b7937d91447</t>
  </si>
  <si>
    <t>7435f0ee-221d-4edf-90ce-edf336613d44</t>
  </si>
  <si>
    <t>c3028175-4bb3-44ab-af04-97a55c2ddd37</t>
  </si>
  <si>
    <t>68aa6d1b-9541-4b2d-842c-e5956487c843</t>
  </si>
  <si>
    <t>9711cf51-9119-4ebb-8cf0-e7d5ab822101</t>
  </si>
  <si>
    <t>c0c72450-bfc0-46e2-9d0f-447195d4bd22</t>
  </si>
  <si>
    <t>b9ce95e9-ce35-4ed8-a917-fa12e46490f7</t>
  </si>
  <si>
    <t>501fd0c8-ac3d-4f95-b0d3-5675cd3fc41c</t>
  </si>
  <si>
    <t>1c063a2c-8260-4a71-922d-c01cea629f0e</t>
  </si>
  <si>
    <t>a5228a69-928e-42a6-9c07-21fbb3710cf9</t>
  </si>
  <si>
    <t>95de045f-c98e-4656-afbe-55d17861c65f</t>
  </si>
  <si>
    <t>328e1aa7-26f7-41f5-847b-27b5ececce4a</t>
  </si>
  <si>
    <t>ef7e0c40-b46b-45e0-9f0c-ed77f2fb5f4a</t>
  </si>
  <si>
    <t>0bd4ed96-36ae-40a2-8202-7f02b2b1dcc1</t>
  </si>
  <si>
    <t>b022541b-cd82-46bb-9e7d-9915ef656228</t>
  </si>
  <si>
    <t>c77d2b27-8144-48c4-a8da-ceb6acac45a3</t>
  </si>
  <si>
    <t>6f2b2789-7e66-42b4-9da2-75ac8af9dd60</t>
  </si>
  <si>
    <t>a850d3a3-610f-470d-bd3e-137ff10a1a90</t>
  </si>
  <si>
    <t>92332873-8e46-4034-a000-422121937684</t>
  </si>
  <si>
    <t>79113353-e0f3-4da0-9fbb-aaa6e1e2e0e9</t>
  </si>
  <si>
    <t>3462e0ca-5e89-42a0-9274-4987a2e9bbc4</t>
  </si>
  <si>
    <t>3e765e97-3416-46aa-a684-c8b3c1ea6f48</t>
  </si>
  <si>
    <t>32ce468d-0505-42be-af44-5747484f4d18</t>
  </si>
  <si>
    <t>2ce9b196-3bd6-4429-b173-d951e7d94e80</t>
  </si>
  <si>
    <t>413fd37e-f2f1-41f4-99f9-06c932f2ba60</t>
  </si>
  <si>
    <t>c598bc29-61ad-418f-bfd4-946bf028401d</t>
  </si>
  <si>
    <t>9a4fc7b6-79f9-462b-9628-79e3306e911a</t>
  </si>
  <si>
    <t>312f0367-e14e-49d4-b822-80f5dd035214</t>
  </si>
  <si>
    <t>35050223-588c-4566-879e-9eaf5cd28f7d</t>
  </si>
  <si>
    <t>1772f4a7-68e5-4f31-8e5d-9b79667aef57</t>
  </si>
  <si>
    <t>f2714c9b-e48e-468f-822b-e61b37dc6117</t>
  </si>
  <si>
    <t>ae446e2c-7183-4ac2-9a4c-55432257048f</t>
  </si>
  <si>
    <t>cda89c66-2a78-40ad-995f-3d0298fff12b</t>
  </si>
  <si>
    <t>2295bce8-2aa4-482a-ae8f-887fd8e14cca</t>
  </si>
  <si>
    <t>0b8cc6ad-69be-463c-9584-41026129984e</t>
  </si>
  <si>
    <t>c4603c01-2fc0-43b8-8f15-4ce7d7b373c2</t>
  </si>
  <si>
    <t>17919a59-aa4e-4b7a-8bf2-8568048defd6</t>
  </si>
  <si>
    <t>06249ffd-5444-47af-bfc2-87257fdab1dd</t>
  </si>
  <si>
    <t>e5374ebc-7655-48ba-a415-f9b3cb42e1ee</t>
  </si>
  <si>
    <t>e4c068cc-a82e-4dc8-923b-551fb3f94d82</t>
  </si>
  <si>
    <t>b4415671-d60f-43ab-bb4a-6dd065e47c48</t>
  </si>
  <si>
    <t>146407b9-ff23-476d-9d37-07e0c213afdf</t>
  </si>
  <si>
    <t>36c0c4f5-1d66-4cfb-bddb-a21981981035</t>
  </si>
  <si>
    <t>9d5f373d-403c-4a6d-b75a-0a74e13d7834</t>
  </si>
  <si>
    <t>902b1422-8c41-470b-a722-209ddc560659</t>
  </si>
  <si>
    <t>fc9a1e76-991c-4d7b-b678-66c6d4db87ef</t>
  </si>
  <si>
    <t>045e3e73-491f-4adf-8faf-f943dfbc7b39</t>
  </si>
  <si>
    <t>e5178ce8-5285-4805-96dd-8d86abaa96a5</t>
  </si>
  <si>
    <t>9dbc8bb1-f23c-415f-be13-498c616bd28d</t>
  </si>
  <si>
    <t>ac98b933-570f-4658-9a6a-2c8a3bd93ef9</t>
  </si>
  <si>
    <t>382ba539-b4a5-416a-a381-71069bedf978</t>
  </si>
  <si>
    <t>ef8abe33-229a-4c0d-b28e-ab069ad82cd6</t>
  </si>
  <si>
    <t>e5dfcf44-6ab3-482b-9e69-d0781f433c80</t>
  </si>
  <si>
    <t>f24d6bba-8081-4b52-9d6e-402a7f28384a</t>
  </si>
  <si>
    <t>978ca82f-ac83-4b4e-b545-2def178a8d57</t>
  </si>
  <si>
    <t>058275f0-42d3-4583-847f-87f3ff0aaaf3</t>
  </si>
  <si>
    <t>617d2073-5a14-4e37-8790-1098ee6e78cb</t>
  </si>
  <si>
    <t>cc2813f8-656a-4bb4-95ea-a6215988a371</t>
  </si>
  <si>
    <t>a05d8a3e-fac2-485e-b930-bfabe591ffb7</t>
  </si>
  <si>
    <t>98cde910-e913-4900-b859-a3d4a987fc16</t>
  </si>
  <si>
    <t>8169a2d7-b6c6-4c07-a504-6cbbefd597e3</t>
  </si>
  <si>
    <t>f20aa828-d396-481d-9af6-0a0d6bcd2d1a</t>
  </si>
  <si>
    <t>97fb176f-ace8-40de-a339-de63fc21a042</t>
  </si>
  <si>
    <t>94de5f14-4465-4cd3-8453-334b008a3f94</t>
  </si>
  <si>
    <t>adcb7c83-a164-4d66-8723-cb328feae772</t>
  </si>
  <si>
    <t>e29b6ee6-9942-45e9-88a9-1f70075575fa</t>
  </si>
  <si>
    <t>9f65f4cd-b4bb-47b1-9ab9-1e7d3105ec3b</t>
  </si>
  <si>
    <t>346d8b1d-e02b-4cd0-8be9-0cd1157a011a</t>
  </si>
  <si>
    <t>a75a3987-814e-4bcc-94da-f62b8fbb58aa</t>
  </si>
  <si>
    <t>47f8582f-d590-455c-8bbd-512be6435494</t>
  </si>
  <si>
    <t>b4027caf-43c5-475e-afd8-bb3f1344a718</t>
  </si>
  <si>
    <t>9c7aa489-430d-42b2-954f-90f1b80ae387</t>
  </si>
  <si>
    <t>4d026fc8-49fc-4f4a-9719-d5403c040f7c</t>
  </si>
  <si>
    <t>dd69ca31-d92f-474f-a385-7d9f5155cb71</t>
  </si>
  <si>
    <t>2f04794f-4de7-46f1-b8b4-5a01905da804</t>
  </si>
  <si>
    <t>70f1956d-4a90-4a9e-9d74-39761551ffb8</t>
  </si>
  <si>
    <t>85b541cd-21a1-4a80-b151-44a90956e7d4</t>
  </si>
  <si>
    <t>af49ef5d-9925-4e20-9644-2413ccd8e267</t>
  </si>
  <si>
    <t>f1e519f4-3b0e-48eb-a5c6-681b9831ee88</t>
  </si>
  <si>
    <t>a080075a-1473-4fb7-80de-62dae4adc564</t>
  </si>
  <si>
    <t>a3ed4ef1-bacf-492e-adad-16752403363d</t>
  </si>
  <si>
    <t>7f7c3bb8-1417-4ad2-96b0-da06488b1f5e</t>
  </si>
  <si>
    <t>ee57e38b-b876-4a8a-a6d6-4d6bb29ecc2a</t>
  </si>
  <si>
    <t>49906be3-6d32-4ae9-945f-eb70b1c2a506</t>
  </si>
  <si>
    <t>4a2ee362-86ac-489e-9f12-daeb0c3c744a</t>
  </si>
  <si>
    <t>cea8ac79-845b-4540-9db9-7c0ccfdab0bc</t>
  </si>
  <si>
    <t>2c98a4e6-72c9-44e5-af5a-31f739c69cad</t>
  </si>
  <si>
    <t>d5a551d1-21a3-4d90-ac61-98cbcde68be3</t>
  </si>
  <si>
    <t>145a0c15-ee6e-41f5-9ec1-491ed7db47fd</t>
  </si>
  <si>
    <t>b20f0cfc-f797-4e90-b2cd-8d16d00e8922</t>
  </si>
  <si>
    <t>b6a90e3c-e19e-46d4-8b5f-a3be6e8d9054</t>
  </si>
  <si>
    <t>e56459bc-ba3c-485b-aea4-d3d314062f2d</t>
  </si>
  <si>
    <t>fbeef9f8-f59e-4800-9b47-d31437daa26d</t>
  </si>
  <si>
    <t>fe7c707c-fc45-4453-900d-248ed45a6369</t>
  </si>
  <si>
    <t>5ea6ab0f-78f7-46dc-9e19-9cec9369a830</t>
  </si>
  <si>
    <t>115cb8e5-855b-42a4-bfd5-436cbec47276</t>
  </si>
  <si>
    <t>80540515-26b8-4974-aeb6-c90746cc9692</t>
  </si>
  <si>
    <t>bfd3fea9-7c6f-41f8-b01a-41293ce9a9e7</t>
  </si>
  <si>
    <t>efd73b96-5a91-48e1-a8c8-79e7bff2ea8e</t>
  </si>
  <si>
    <t>206fd534-4b2f-4089-b280-a9b68d2a0b9a</t>
  </si>
  <si>
    <t>014b6bdd-9c8d-422a-a35c-737f0d1785e3</t>
  </si>
  <si>
    <t>cc016e42-60fd-4917-bd63-ff3a95f9bf21</t>
  </si>
  <si>
    <t>dcad945a-d7da-4a78-ba5a-b65c2448fe03</t>
  </si>
  <si>
    <t>0f4866a2-f23f-4ccc-b90f-910beb10c93a</t>
  </si>
  <si>
    <t>8fa61b08-8fbb-4f50-843d-bdc417c7e825</t>
  </si>
  <si>
    <t>ede32402-0659-4bb9-83b0-000ceb2d1ffc</t>
  </si>
  <si>
    <t>6753da5e-ee80-4b32-a51f-5e069f57f8a1</t>
  </si>
  <si>
    <t>344e253f-c93e-44f0-89c7-7f4178907df7</t>
  </si>
  <si>
    <t>2895eb48-ef4b-4a93-9d38-6bbde24b892f</t>
  </si>
  <si>
    <t>b360d2ed-c274-49ef-841d-1fcd65fcdc13</t>
  </si>
  <si>
    <t>9a70d2b1-0b0f-4d24-971c-4c814b981d1e</t>
  </si>
  <si>
    <t>53471508-b9ac-45fd-a325-de3e40356353</t>
  </si>
  <si>
    <t>58e06949-1232-4c0a-9397-91d1027c5fcd</t>
  </si>
  <si>
    <t>e871a320-82b7-4fe0-8bd8-4946bbd7e254</t>
  </si>
  <si>
    <t>079aa32b-53b3-4c78-b760-6a6427d0db84</t>
  </si>
  <si>
    <t>e4687018-36b2-40cc-8ed9-4af0c3536f65</t>
  </si>
  <si>
    <t>2cd6065c-168b-41ca-b6e2-c575887266da</t>
  </si>
  <si>
    <t>a0d6447c-388d-4552-9b3f-5f15abf0ce3b</t>
  </si>
  <si>
    <t>c7fb5f49-33a6-4307-b75d-b32b06be6001</t>
  </si>
  <si>
    <t>09a41a09-f70f-43bc-b20c-1da0c4c2cd36</t>
  </si>
  <si>
    <t>ed4d8929-7c95-4a43-94ca-786ea682dbcc</t>
  </si>
  <si>
    <t>5d7a4f75-8d1c-4913-8b7f-7209753ddd05</t>
  </si>
  <si>
    <t>a3d369e0-b7a0-4965-8e3d-fbd5125a8c5e</t>
  </si>
  <si>
    <t>81bebdbb-aa8d-4f14-84f1-3412f1dc93a6</t>
  </si>
  <si>
    <t>ae5929a7-5b89-4b1c-9d8f-13a70dfc2c94</t>
  </si>
  <si>
    <t>020dbc20-3c71-4c4a-b929-7603321823dd</t>
  </si>
  <si>
    <t>8703a2c5-88e4-456a-b071-9ff919862ddd</t>
  </si>
  <si>
    <t>6c01bd5e-2005-4f07-b533-01f5b25cc8db</t>
  </si>
  <si>
    <t>561add4b-d1c1-45fb-a76c-ca8637890d92</t>
  </si>
  <si>
    <t>6cd9a18e-1c0d-483c-8fcd-53118ae029cc</t>
  </si>
  <si>
    <t>866bc5c8-2117-43f7-8352-a97dc3fa018b</t>
  </si>
  <si>
    <t>aa51be73-9de2-4c5e-ad0a-51b5362f65ff</t>
  </si>
  <si>
    <t>1139658c-79fe-4511-af9e-1e5a8a44c479</t>
  </si>
  <si>
    <t>bf5bc0ca-0fde-463a-ae89-c3f454785633</t>
  </si>
  <si>
    <t>eeecd64c-e696-431c-8b21-15c8be750a6b</t>
  </si>
  <si>
    <t>bc78afb7-b3de-40a5-ae3d-ae9beabcbfcb</t>
  </si>
  <si>
    <t>033c7088-be1e-4a03-9f13-fcdb6f6b46bf</t>
  </si>
  <si>
    <t>c310cd45-5ebc-47f6-8f40-9d20add6f420</t>
  </si>
  <si>
    <t>b91c799b-4d03-432a-a711-1293b283103c</t>
  </si>
  <si>
    <t>d846bf97-c37c-49e1-acf6-ac78b768ed7b</t>
  </si>
  <si>
    <t>4fef4d30-8a00-4526-bf05-8d72f18cc04d</t>
  </si>
  <si>
    <t>fe0a7560-ec63-4f88-b5e6-100112c3462a</t>
  </si>
  <si>
    <t>0e67f83d-642f-4d42-9755-bfa82721227b</t>
  </si>
  <si>
    <t>d97aab30-0a77-4d3f-af3b-9740b4cf4129</t>
  </si>
  <si>
    <t>d84907a2-7878-43d7-a772-f91c9ba53019</t>
  </si>
  <si>
    <t>86a03edd-fbf6-4b67-97ba-79a3dc1bb4e2</t>
  </si>
  <si>
    <t>d75f8b07-8ac9-4cfd-8038-1aeb87c36dd7</t>
  </si>
  <si>
    <t>2a054a9e-cb10-4d05-8cb1-ab3abdb167ae</t>
  </si>
  <si>
    <t>7ac762d7-56d2-41f1-bd77-0a37d85944cd</t>
  </si>
  <si>
    <t>337b17d9-8289-4daa-a2a3-9a180c5d14fc</t>
  </si>
  <si>
    <t>369993a5-c3ce-4281-8dfb-783a1ffe1e8f</t>
  </si>
  <si>
    <t>e0502006-93e9-4554-a175-011246f32d37</t>
  </si>
  <si>
    <t>81aea3a4-60f9-4567-8079-45f1c7710df1</t>
  </si>
  <si>
    <t>e41de847-f087-4278-bf50-5abb5cedab88</t>
  </si>
  <si>
    <t>62248767-8549-41a0-acfb-9e726c73a8a2</t>
  </si>
  <si>
    <t>457d78d1-dbc1-4194-8ba9-805687051881</t>
  </si>
  <si>
    <t>cdc1fc7d-82d2-466f-8211-6877ff70663c</t>
  </si>
  <si>
    <t>59ac44bd-b0c7-40c5-a048-e6ef73a7a15e</t>
  </si>
  <si>
    <t>09b37edc-b4c8-414a-bc06-38ed013c37f6</t>
  </si>
  <si>
    <t>2d220699-1099-4df5-bc5a-1d59750f0760</t>
  </si>
  <si>
    <t>6d8b738a-bd1a-4d54-a573-227b4b060ec4</t>
  </si>
  <si>
    <t>e95a119c-6beb-476b-8be0-70217f132906</t>
  </si>
  <si>
    <t>51ff06b2-5c5e-4c61-8531-01acf793e021</t>
  </si>
  <si>
    <t>ee079788-f59d-483f-9e85-4229e881f0e4</t>
  </si>
  <si>
    <t>b390a1f1-ffd7-4b9f-a91c-e9bb081e430d</t>
  </si>
  <si>
    <t>8a6730ec-93cb-45f4-a65a-efe6c1cff57e</t>
  </si>
  <si>
    <t>e29e7a73-538f-42a6-bba0-485bedc1e528</t>
  </si>
  <si>
    <t>b44d043e-59cb-4ff8-b0d4-e5322ec7aa51</t>
  </si>
  <si>
    <t>cce70ebd-b8cd-4e3e-b4a0-cc9f0e661c51</t>
  </si>
  <si>
    <t>fb34b693-7dd1-4422-82aa-a8f12a3beed0</t>
  </si>
  <si>
    <t>fd3fea4f-53a6-4aa5-96d5-95e01aeba61a</t>
  </si>
  <si>
    <t>3765d9d5-243e-4c1a-95f1-f51840fabb4d</t>
  </si>
  <si>
    <t>4875cd0d-9bd5-482f-b44e-bd2b337ee855</t>
  </si>
  <si>
    <t>45b2cf8d-b936-4caf-b5e6-b3eb3f738675</t>
  </si>
  <si>
    <t>66fb08f8-50d5-4a18-a911-7e0c72350659</t>
  </si>
  <si>
    <t>396cf943-c222-4a44-a88a-007c37433cc7</t>
  </si>
  <si>
    <t>1187e9e3-9601-4b1a-a90e-0cd0bfab657a</t>
  </si>
  <si>
    <t>b8f5bf04-6f1d-42b3-9ecf-482284c0f22e</t>
  </si>
  <si>
    <t>ebf5b901-8683-4556-af4a-34ef8ac276d7</t>
  </si>
  <si>
    <t>4771cfc7-5e7d-4ad7-be4a-b53c30a23c26</t>
  </si>
  <si>
    <t>032db5b4-0b01-4d6a-ac44-e75b64dab945</t>
  </si>
  <si>
    <t>2d16639d-0052-4543-bffe-2d132ca608fe</t>
  </si>
  <si>
    <t>aa63e688-c006-4fd1-beef-65c2e8508aea</t>
  </si>
  <si>
    <t>44348c75-19cc-49ba-ab1f-b4a7914c615e</t>
  </si>
  <si>
    <t>cfb8a416-efc2-4fc1-916d-f34978c18380</t>
  </si>
  <si>
    <t>116bf250-fae7-4860-bd34-82ab3823affc</t>
  </si>
  <si>
    <t>43123767-d05c-4797-838d-65fd5e00ab90</t>
  </si>
  <si>
    <t>bd7adf44-24e0-48e4-9b63-93d6641e6ae2</t>
  </si>
  <si>
    <t>b4bfe274-7eb6-46b6-987e-ef6603914f10</t>
  </si>
  <si>
    <t>0089af0b-90a0-4f57-a636-795f306ac8b1</t>
  </si>
  <si>
    <t>66301a98-6528-4629-a509-a2b1a5d570f2</t>
  </si>
  <si>
    <t>78112f24-a0dd-45cc-a6db-69f9e1dc9b42</t>
  </si>
  <si>
    <t>6890fac7-8c9b-4570-ad42-79a15007e78d</t>
  </si>
  <si>
    <t>3755128a-e5df-4685-b243-4d65c21cf863</t>
  </si>
  <si>
    <t>bfd0c493-6eeb-44ca-a4eb-a18257c97303</t>
  </si>
  <si>
    <t>10bfb474-e53f-4101-870a-168ba5ec6f85</t>
  </si>
  <si>
    <t>ce0fd8d7-c549-4db8-8b48-2d72c0442a42</t>
  </si>
  <si>
    <t>3d4cd71b-6495-43b1-9e72-72ed45648705</t>
  </si>
  <si>
    <t>c94db85f-9a87-486e-baff-cc08544964fd</t>
  </si>
  <si>
    <t>98f7e2a5-4ccb-44fa-aad5-6fb2df2c67fc</t>
  </si>
  <si>
    <t>ed154fef-b8cb-4a56-8f45-aeca49f5496f</t>
  </si>
  <si>
    <t>96f8861f-6eb5-4ff4-a91e-39a9c2ccad70</t>
  </si>
  <si>
    <t>e2e79653-5a25-4cd9-a6c6-16ff5e6fbc56</t>
  </si>
  <si>
    <t>d1cff5b9-565b-40c9-800f-f62e4ab31720</t>
  </si>
  <si>
    <t>5f8c18a0-4cab-43fb-ad37-487898b2102b</t>
  </si>
  <si>
    <t>b10d2588-b335-4ab7-967f-1f140aa6dfaf</t>
  </si>
  <si>
    <t>9aad6f85-5f86-4b50-ac18-13cbf86e48d5</t>
  </si>
  <si>
    <t>d6bc7a3b-1c84-43ff-bb9c-36e56701a009</t>
  </si>
  <si>
    <t>e8ab5640-b615-4d3b-87a8-53980a234d1c</t>
  </si>
  <si>
    <t>0034b732-a4dd-4a6d-842a-18792434a3cc</t>
  </si>
  <si>
    <t>e837bd77-3bce-41ad-b219-f50f72ac1065</t>
  </si>
  <si>
    <t>5aa31c01-10e9-4119-aa9f-c0a6cf7a6995</t>
  </si>
  <si>
    <t>8d8537d7-6720-4497-8ddc-7c28911f1ca2</t>
  </si>
  <si>
    <t>3a8c47b2-002d-4d85-a5b1-042d65cbe825</t>
  </si>
  <si>
    <t>ec6b3123-215c-4f0f-a2dd-a02f69c5c039</t>
  </si>
  <si>
    <t>f6477108-c001-45d8-9bbd-3515fc128923</t>
  </si>
  <si>
    <t>315ff642-4ae7-447d-97b4-f6bdd95779fa</t>
  </si>
  <si>
    <t>dfb5d2d1-86d1-460d-a11d-109f422edca6</t>
  </si>
  <si>
    <t>4f5e5095-567d-49e4-9a95-1e39743a2a2c</t>
  </si>
  <si>
    <t>e1918e23-a9e3-4f08-9c9e-a8894c3cdb13</t>
  </si>
  <si>
    <t>9be9497c-f81e-45df-b6d6-bcdbeff84290</t>
  </si>
  <si>
    <t>11cbd3c9-983d-43c8-b217-9627f75372c3</t>
  </si>
  <si>
    <t>e7da0b3e-1e79-4563-8916-ded220d1ca5f</t>
  </si>
  <si>
    <t>31d6c6e0-aae3-473f-9257-4782ce418273</t>
  </si>
  <si>
    <t>4e0d2cfc-7cce-4024-b66a-ed0413f0defa</t>
  </si>
  <si>
    <t>9ed2c9a6-d5ff-45cd-8026-7cd7062d43db</t>
  </si>
  <si>
    <t>451d39ce-29b4-4ee8-87d9-9208060042e0</t>
  </si>
  <si>
    <t>a945b5a1-e650-429e-8d80-56ca22d8b8e4</t>
  </si>
  <si>
    <t>8601f20b-cb5e-4ede-8084-71dc679b7d5b</t>
  </si>
  <si>
    <t>a638b762-7ca2-4473-9a87-9993ecd3f2be</t>
  </si>
  <si>
    <t>4f16638b-6498-4c15-a2e0-50735d5082cd</t>
  </si>
  <si>
    <t>7812bd80-b4c3-4c36-bacb-7872f6a2d2e9</t>
  </si>
  <si>
    <t>84440059-f04a-4b42-849b-9949e28bd445</t>
  </si>
  <si>
    <t>a6afa4b9-0c76-4f87-bfd1-2c2c0e75e8a9</t>
  </si>
  <si>
    <t>63ad9a16-e6bc-4b10-8a65-3ebdcafd7911</t>
  </si>
  <si>
    <t>584c672c-efc6-4f89-bae1-5d7af04428a0</t>
  </si>
  <si>
    <t>6ffb5586-0a95-4558-8116-9bc71fa2b84c</t>
  </si>
  <si>
    <t>05141258-e8a5-462c-8cb6-cd75c53373f9</t>
  </si>
  <si>
    <t>65fbae0f-c8b3-4507-b9b0-3b3668e5fdc0</t>
  </si>
  <si>
    <t>629cd3f0-b5fc-451d-87fb-f2bb6c89e2ba</t>
  </si>
  <si>
    <t>9239b86a-f580-44db-904d-86cdb1243ca4</t>
  </si>
  <si>
    <t>e19b1664-86c6-4bc7-a82a-749ea0c5c144</t>
  </si>
  <si>
    <t>d872d386-3838-491c-b71f-79f48cbc831a</t>
  </si>
  <si>
    <t>2c72bb89-032b-49e8-b8ac-6da0cfb6bbb0</t>
  </si>
  <si>
    <t>c636fb80-b0df-4255-a56d-6f471c0c4f31</t>
  </si>
  <si>
    <t>2179c2cb-93da-4860-b578-31105f75d2c2</t>
  </si>
  <si>
    <t>f5037b13-cc79-4def-b8da-36a80e5dd8e2</t>
  </si>
  <si>
    <t>7ae44de0-5d11-4edf-8477-6762db3d6ba0</t>
  </si>
  <si>
    <t>73e9114a-4e19-49ad-8d94-ae399fd0da9f</t>
  </si>
  <si>
    <t>11e01525-495f-4448-8028-687d01e1873e</t>
  </si>
  <si>
    <t>35164cbf-7529-47ca-b133-e23c7f7505e0</t>
  </si>
  <si>
    <t>6daec1f0-51bd-43a0-b2f4-126ff02aa669</t>
  </si>
  <si>
    <t>8a3ff484-a62a-45f6-a2a1-559e05d40163</t>
  </si>
  <si>
    <t>1a0b6a5c-5636-4544-92df-329fe3cc4c50</t>
  </si>
  <si>
    <t>ade96f5a-f7a0-4839-bbab-bca1afc802ff</t>
  </si>
  <si>
    <t>4c26083f-6ac3-4f1b-af08-4e9309656548</t>
  </si>
  <si>
    <t>7c3d5101-9a15-4953-837e-55140cb81e78</t>
  </si>
  <si>
    <t>3722b34b-672a-4a8c-831f-3270c13dbc8b</t>
  </si>
  <si>
    <t>ae8e16a7-ddfd-4bf9-9833-8810308cc026</t>
  </si>
  <si>
    <t>9e145f17-3eb0-45d1-b163-6f505488ac04</t>
  </si>
  <si>
    <t>47fa4e58-6797-4013-9233-13ac8c762398</t>
  </si>
  <si>
    <t>a5516a4a-b8c8-4850-97b4-1f1e2647892f</t>
  </si>
  <si>
    <t>8cb0e91e-3b94-46a8-9a64-6d8f7fd99105</t>
  </si>
  <si>
    <t>56499658-559f-4552-89b6-9e9d4b1f2880</t>
  </si>
  <si>
    <t>7370822c-ca04-4475-a24d-eb1985e5732b</t>
  </si>
  <si>
    <t>b9ce9f1c-99ad-4f47-9fa2-89b7c032bd1e</t>
  </si>
  <si>
    <t>fd0db7ac-d78a-4cba-bd5c-61258814c56b</t>
  </si>
  <si>
    <t>a766927d-0a5f-4b9a-8167-49d72cf9d6fc</t>
  </si>
  <si>
    <t>5a52107d-2a10-494a-8160-387ffcddee54</t>
  </si>
  <si>
    <t>34ecc3f7-d8ff-4de2-8a1e-14259f09561f</t>
  </si>
  <si>
    <t>dc3e204e-15ee-48fa-a83f-fb0c678a7111</t>
  </si>
  <si>
    <t>ddd3a05a-d369-46eb-b555-adae3addcc32</t>
  </si>
  <si>
    <t>faf8b348-e19d-4781-8719-2e9275f2e5d5</t>
  </si>
  <si>
    <t>33089a4c-1517-4ceb-9c63-ec912b11c4a3</t>
  </si>
  <si>
    <t>f01c7097-a23c-4d4f-9aef-ca4f4d65c455</t>
  </si>
  <si>
    <t>eac9bf69-0713-46a9-b69f-0cf8230481fa</t>
  </si>
  <si>
    <t>0cd20c99-1994-46ce-a269-84760ef7a9e7</t>
  </si>
  <si>
    <t>2f870384-295c-49b5-a75f-dea3b2a6cafb</t>
  </si>
  <si>
    <t>8230961e-8042-49ec-b1fd-0897e376b127</t>
  </si>
  <si>
    <t>8f0f5a52-d0e8-458b-8405-31a0d4281b5c</t>
  </si>
  <si>
    <t>07807d75-f5c0-4b73-bfc5-92a79f855ed9</t>
  </si>
  <si>
    <t>423add75-500d-4842-b2a0-714255b42d58</t>
  </si>
  <si>
    <t>d7d7e48f-6bcc-4337-9499-c6d65beca008</t>
  </si>
  <si>
    <t>fa1a77b4-aaab-4ac7-a20f-47ef4a110d7b</t>
  </si>
  <si>
    <t>61581446-03ad-48dd-a19c-ddce110b30ad</t>
  </si>
  <si>
    <t>11d04c02-7288-45c0-91da-dee3f0b8f237</t>
  </si>
  <si>
    <t>4a85822b-e43a-4b68-a696-e694534b712e</t>
  </si>
  <si>
    <t>6bdf5a0e-a9d8-46b3-b15d-49c406d2d563</t>
  </si>
  <si>
    <t>efff4050-e65b-4add-ba23-580c69769c7a</t>
  </si>
  <si>
    <t>a4cd27bf-40fb-47f1-874c-cf9a69d65050</t>
  </si>
  <si>
    <t>14f6d2f2-27ad-44a5-bbeb-0c397741994e</t>
  </si>
  <si>
    <t>7b3ba699-0339-409d-9326-1235d2f62c51</t>
  </si>
  <si>
    <t>fa5d94b3-1b9a-4070-abe8-a5385765cd11</t>
  </si>
  <si>
    <t>244d8c40-2405-48d5-a247-860231bbd059</t>
  </si>
  <si>
    <t>9b65d9fa-3a8b-4274-b9a7-faba5496ac0e</t>
  </si>
  <si>
    <t>a5af200e-77d6-47cf-ab4b-8ce13441d3f2</t>
  </si>
  <si>
    <t>d340f9b7-1e76-4afe-ba53-f62c3a89b67d</t>
  </si>
  <si>
    <t>3075bc94-0e68-49f3-998e-4d72cd2d449b</t>
  </si>
  <si>
    <t>6d81c87e-99be-4292-b148-bc5aa129aa98</t>
  </si>
  <si>
    <t>cdb45039-ab60-402a-9f74-b4d920d25550</t>
  </si>
  <si>
    <t>d53c3396-0522-4d29-b85c-7d4b6dde1339</t>
  </si>
  <si>
    <t>ce2394fb-eb12-4dca-a7bf-69a49b213782</t>
  </si>
  <si>
    <t>001cae11-d399-4b28-bd9f-0506f7dfc5b0</t>
  </si>
  <si>
    <t>036b49a4-369e-44a6-a9b3-8b6c7f759d54</t>
  </si>
  <si>
    <t>1d7218a2-c397-4a2a-a3dd-c022c19d0c15</t>
  </si>
  <si>
    <t>233c7fcf-6fb6-404c-b450-37f5f8570e43</t>
  </si>
  <si>
    <t>8bd093f4-b9f7-4156-9c9c-9007effcfb68</t>
  </si>
  <si>
    <t>16d1b488-7780-4a00-9322-1b175e71ab71</t>
  </si>
  <si>
    <t>0063d9e1-9c41-4399-850c-ee56ff25b327</t>
  </si>
  <si>
    <t>9bcb09be-5840-4666-a165-7ed0d27f2a3f</t>
  </si>
  <si>
    <t>7bf015f8-133f-406d-bec6-92edee823852</t>
  </si>
  <si>
    <t>e0321b85-3c91-47ff-87b8-999a052cf16a</t>
  </si>
  <si>
    <t>7f9129c0-a872-45a4-8f21-43d7d6bf61d1</t>
  </si>
  <si>
    <t>f0ee71a9-a5f5-43ca-98ac-c04f0af6a934</t>
  </si>
  <si>
    <t>2d1531e7-4872-4fbb-a3a9-1dbc762b4098</t>
  </si>
  <si>
    <t>fbd20dad-bd8b-43ce-a354-a3fcca7eaa41</t>
  </si>
  <si>
    <t>861bb7db-8bb0-41dc-902c-b858c699c70e</t>
  </si>
  <si>
    <t>6bc4eee2-6f5a-4e83-b1b1-b873d3041258</t>
  </si>
  <si>
    <t>81320266-65d5-4916-84fd-1e54dbbc656e</t>
  </si>
  <si>
    <t>6ea4c8db-7423-4422-89ab-6f5f4d3507de</t>
  </si>
  <si>
    <t>59d2a8e1-7884-4631-95e4-af3fc9240f97</t>
  </si>
  <si>
    <t>4edae16c-3e74-493b-927c-9f675c6eb7b2</t>
  </si>
  <si>
    <t>086692c0-188a-4702-8a85-9a329bc17056</t>
  </si>
  <si>
    <t>786bb4ba-cc17-4d12-ad05-11d3518323f3</t>
  </si>
  <si>
    <t>c139923e-b557-43a9-86b1-085b7d5ab7cf</t>
  </si>
  <si>
    <t>947e7520-2418-4abd-af4c-6e0fb0fef1bc</t>
  </si>
  <si>
    <t>fc3a9e8b-1a50-418e-ae17-0e38ba31b3b3</t>
  </si>
  <si>
    <t>c97eda2b-0103-48ef-a2ff-b4b0ef61b401</t>
  </si>
  <si>
    <t>dae0ab0b-b70d-4aee-aef8-20246e1464b6</t>
  </si>
  <si>
    <t>7c3dab58-dc17-4b13-8f18-f259f9549ea1</t>
  </si>
  <si>
    <t>f4e577d5-7f2a-440a-b2c0-3d8fe204fa3b</t>
  </si>
  <si>
    <t>eb1a0dea-4426-482d-a019-9848a15a3364</t>
  </si>
  <si>
    <t>c6c52c69-281d-4d98-81a9-74e60ebcf6db</t>
  </si>
  <si>
    <t>22c373aa-4636-4d8b-89a6-0f52818ae0ce</t>
  </si>
  <si>
    <t>07f6a71f-18fc-4847-b0f9-6ca7e3964451</t>
  </si>
  <si>
    <t>7bfd081e-18d2-4cc5-958b-28919a237713</t>
  </si>
  <si>
    <t>b4022a82-daef-496c-b346-67666d5e3c50</t>
  </si>
  <si>
    <t>db64be67-5901-45fd-84d7-39953864b188</t>
  </si>
  <si>
    <t>2b0bd47e-f309-4f96-9498-0e62350a8b8c</t>
  </si>
  <si>
    <t>9ef7b973-ed86-4f99-ab8e-a36fec96247e</t>
  </si>
  <si>
    <t>9e6b2651-2aa2-4fac-b28e-28d2d7ca4809</t>
  </si>
  <si>
    <t>9ebaf8cb-e7df-49b5-8171-df12ed0f3d01</t>
  </si>
  <si>
    <t>bbcd5fb5-496f-4ccc-92f6-86fab8ad20f3</t>
  </si>
  <si>
    <t>b5821ca4-0b55-4d03-b514-aed81e29ae9c</t>
  </si>
  <si>
    <t>649bea65-3565-4e5d-bc24-69a96e5904f1</t>
  </si>
  <si>
    <t>a8de91cd-a1c4-4368-8133-fe908c129871</t>
  </si>
  <si>
    <t>93458be3-4d24-476f-8362-3cb0098408b5</t>
  </si>
  <si>
    <t>e88051f8-2283-4ec6-a564-1a04b8a5d459</t>
  </si>
  <si>
    <t>c1e00f3b-9174-4a4d-9e6f-f9d49fe5c3ef</t>
  </si>
  <si>
    <t>bbbadc08-46d5-4007-b810-2eb4d0d374bb</t>
  </si>
  <si>
    <t>15dc424b-2721-47c0-bb0b-c417dfd5a835</t>
  </si>
  <si>
    <t>b914f916-aeac-4656-b32d-edca53e25de7</t>
  </si>
  <si>
    <t>198a574f-092b-4741-99d9-3d05072682e1</t>
  </si>
  <si>
    <t>b7d0273a-e287-4a33-998e-2a10c1db7cbc</t>
  </si>
  <si>
    <t>2c97101b-5541-4cee-b195-a4bf0e3e03c6</t>
  </si>
  <si>
    <t>2bd18468-c240-4874-8be2-d4099389a980</t>
  </si>
  <si>
    <t>c816107b-71bf-4f21-87fc-ca233fc5b544</t>
  </si>
  <si>
    <t>02e2fd80-b294-4c27-89eb-f8c45b784ae5</t>
  </si>
  <si>
    <t>d0acaaea-a32d-43ff-970d-f3d90d85e399</t>
  </si>
  <si>
    <t>20e997ad-e613-4c21-aa18-cbe6397f4bca</t>
  </si>
  <si>
    <t>c6da8734-90d3-493e-9414-63fd359fc151</t>
  </si>
  <si>
    <t>7ddf733c-13ef-4f15-9722-351acb939a44</t>
  </si>
  <si>
    <t>44d5ca6d-26c1-4534-99d5-06b0a4bb1ff4</t>
  </si>
  <si>
    <t>0a479db8-a667-4e2e-b97c-0ebb05495eed</t>
  </si>
  <si>
    <t>47669552-b97f-4130-8a68-14cca708f613</t>
  </si>
  <si>
    <t>64e4408e-ad8f-4e4b-8b6b-90fea0c84003</t>
  </si>
  <si>
    <t>9304d22f-842b-43b4-92ac-8ad5bb723a51</t>
  </si>
  <si>
    <t>53765025-5632-4c59-bc52-7717a66f0c8f</t>
  </si>
  <si>
    <t>f1687114-b333-4fb7-be0b-3931a333948f</t>
  </si>
  <si>
    <t>6860d685-3d68-4cd6-8158-4c1f559bc014</t>
  </si>
  <si>
    <t>29f30c1d-0dfe-4811-ab17-7b535bf247e3</t>
  </si>
  <si>
    <t>c2ef815d-9239-4d4b-b438-f8fcd7f0002a</t>
  </si>
  <si>
    <t>3408baa6-8527-4973-842b-5b680dbaf84f</t>
  </si>
  <si>
    <t>bdcdc172-88a9-4229-b4aa-4c89c410b2b3</t>
  </si>
  <si>
    <t>83db5c32-3295-4a21-ab94-c36aa61ec5fc</t>
  </si>
  <si>
    <t>6d97b508-bd54-4b83-8c5e-eea9384ddfc5</t>
  </si>
  <si>
    <t>bdde3ec8-8886-45f6-ab40-51ed2f0d05d9</t>
  </si>
  <si>
    <t>5abda428-e962-43b4-bdde-1ca977ab16fe</t>
  </si>
  <si>
    <t>532062cf-ae49-41fd-84e1-87eb1f6cc142</t>
  </si>
  <si>
    <t>c1e66fba-3d2f-4d34-9bb6-011b566a83e5</t>
  </si>
  <si>
    <t>74d86fa7-9fdf-4203-8c89-caf64ee9711a</t>
  </si>
  <si>
    <t>b7bbe3ad-c44b-4155-b3ee-45d9d7fa4be2</t>
  </si>
  <si>
    <t>d3a9c550-3aee-4f1b-92e5-095b20cc9516</t>
  </si>
  <si>
    <t>9d3b5fa7-de67-400c-982b-73b249579436</t>
  </si>
  <si>
    <t>a6b1aaed-d909-4413-b596-da27c149280d</t>
  </si>
  <si>
    <t>d8903f8f-6ed3-4b67-98b0-e023bb7740bc</t>
  </si>
  <si>
    <t>f7462563-fc84-4f18-acab-6049674b058a</t>
  </si>
  <si>
    <t>cff557ba-dce2-49cd-b952-dfe86c3c0942</t>
  </si>
  <si>
    <t>2421a185-b536-4453-a891-feffdfb08925</t>
  </si>
  <si>
    <t>e67db9fd-9105-4f1b-9bf6-53c3e029d7c7</t>
  </si>
  <si>
    <t>1dc20cba-d4f8-4f3b-b60c-28e628cb8c4c</t>
  </si>
  <si>
    <t>4810923c-afbd-437c-971a-3985bb9c27de</t>
  </si>
  <si>
    <t>75cbc41e-83df-45cc-a7b3-2fd467f32b20</t>
  </si>
  <si>
    <t>7a0dcf3c-341f-44cd-abfe-601fe3de431f</t>
  </si>
  <si>
    <t>c2670219-07d1-4655-918b-daecbd7d63c3</t>
  </si>
  <si>
    <t>04c8ecaa-2769-44e0-9609-a231a542a8e7</t>
  </si>
  <si>
    <t>e9a4c663-8cb0-43cd-82f2-11e0b6f5f5b6</t>
  </si>
  <si>
    <t>07f047cc-082e-4cea-ae39-b99c82d7864e</t>
  </si>
  <si>
    <t>11a18936-54a1-4d91-a4d5-7c32b788cbc7</t>
  </si>
  <si>
    <t>9ed3c42b-1655-4386-a8a6-f7d858510b80</t>
  </si>
  <si>
    <t>01814a43-0bfb-46ec-bf56-4a1f3057a5f9</t>
  </si>
  <si>
    <t>38962f28-2fd4-4e24-b5aa-f7a8f0e45d75</t>
  </si>
  <si>
    <t>74ca222c-0586-4434-8976-8a62c4183d32</t>
  </si>
  <si>
    <t>04a62fda-0d00-456b-b38e-70c963676fc4</t>
  </si>
  <si>
    <t>7d0253f7-77f2-4d15-b4c9-21764004d6b7</t>
  </si>
  <si>
    <t>9a00570f-49c3-47b1-af8e-641149fba7e8</t>
  </si>
  <si>
    <t>f84f1754-6d68-49bb-bec2-c17b0f3819b7</t>
  </si>
  <si>
    <t>eef4de93-c2f2-4250-9e76-13f4d680a823</t>
  </si>
  <si>
    <t>427b968b-b1c0-4d3c-80df-37751d049781</t>
  </si>
  <si>
    <t>4938af91-172d-47b3-9318-5f4e8ca9161d</t>
  </si>
  <si>
    <t>de715ce9-5afd-4214-8669-1319b22b83ac</t>
  </si>
  <si>
    <t>1241aca6-ba84-4a8b-b5cb-9690314cdc22</t>
  </si>
  <si>
    <t>2cd3e7ee-65d7-46d1-b55e-da5ad691c436</t>
  </si>
  <si>
    <t>e3a56b53-21f7-4f60-b46e-339430a3a3c2</t>
  </si>
  <si>
    <t>6fc7e4d8-a8aa-4751-b0d8-eff43935a0b4</t>
  </si>
  <si>
    <t>87f5cf3e-c187-4eae-9709-042e528651b0</t>
  </si>
  <si>
    <t>e662cbbf-0dcf-4015-aed2-f7ecae8734dd</t>
  </si>
  <si>
    <t>8f807b91-f815-4509-bada-30d6eb5d6e65</t>
  </si>
  <si>
    <t>f1a4a18c-533e-4d27-9d99-7a3a9e8d6cc2</t>
  </si>
  <si>
    <t>eb2a4a3c-63f1-4365-8191-f119a46a15a1</t>
  </si>
  <si>
    <t>24119b65-c641-4bed-a629-f71048e82a65</t>
  </si>
  <si>
    <t>3b9dd185-5fef-46fe-bb0f-6951f057d84a</t>
  </si>
  <si>
    <t>257f5beb-6b85-490b-bbae-803494e47e2e</t>
  </si>
  <si>
    <t>3150a5cb-8851-4ab9-9dd9-35a930a4c13d</t>
  </si>
  <si>
    <t>26cc9f93-e913-48b2-a901-e8bc2965c268</t>
  </si>
  <si>
    <t>0579b4cd-5004-4207-ae26-75f51ef66ed0</t>
  </si>
  <si>
    <t>5cac7568-c4c3-49aa-ba81-4cf082bce8c7</t>
  </si>
  <si>
    <t>d4e4184b-1210-4e91-96e0-28a9958b621e</t>
  </si>
  <si>
    <t>829bbc44-2380-41fe-8ebd-08939d6115de</t>
  </si>
  <si>
    <t>c98f8556-d8bf-4fcc-bae2-4c7e5b80ca5b</t>
  </si>
  <si>
    <t>bdc3c113-9db2-4979-9d05-100aea55611c</t>
  </si>
  <si>
    <t>f72b0468-df15-482a-8c84-b994be3301f0</t>
  </si>
  <si>
    <t>3889e06f-eabd-40a7-a436-b4fe20a24e69</t>
  </si>
  <si>
    <t>4f5ef67f-b02e-4835-ab60-62aea6343ea8</t>
  </si>
  <si>
    <t>8154c867-1bdb-4de7-9685-5ba92ef33f68</t>
  </si>
  <si>
    <t>b5a7c272-58f7-4ae6-93e7-20a5251fb031</t>
  </si>
  <si>
    <t>487e4eb2-5919-45ff-b03d-ae0a75ce6cf3</t>
  </si>
  <si>
    <t>98dac494-733e-4faf-b943-795df202b5c1</t>
  </si>
  <si>
    <t>転記済</t>
  </si>
  <si>
    <t>cd986e39</t>
  </si>
  <si>
    <t>阪和 , 豊通</t>
  </si>
  <si>
    <t>中山製鋼:阪和 , 豊通</t>
  </si>
  <si>
    <t>ＨＳ１(単体H1/電特A/HS)) , ＨＳ２</t>
  </si>
  <si>
    <t>中山製鋼:阪和 , 豊通ＨＳ１(単体H1/電特A/HS)) , ＨＳ２</t>
  </si>
  <si>
    <t>182e6f60</t>
  </si>
  <si>
    <t>867adaab</t>
  </si>
  <si>
    <t>中山製鋼:阪和Ｈ１(特A)</t>
  </si>
  <si>
    <t>f1573413</t>
  </si>
  <si>
    <t>中山製鋼:豊通Ｈ１(特A)</t>
  </si>
  <si>
    <t>118a9167</t>
  </si>
  <si>
    <t>中山製鋼:阪和 , 豊通Ｈ２(特級)</t>
  </si>
  <si>
    <t>0ca4e319</t>
  </si>
  <si>
    <t>中山製鋼:阪和 , 豊通Ｈ３(1級)</t>
  </si>
  <si>
    <t>d20e08af</t>
  </si>
  <si>
    <t>中山製鋼:阪和 , 豊通Ｌ１(2級)</t>
  </si>
  <si>
    <t>495bcd48</t>
  </si>
  <si>
    <t>中山製鋼:阪和 , 豊通新断Ａ</t>
  </si>
  <si>
    <t>e7d2f51d</t>
  </si>
  <si>
    <t>豊通/出張商店 , 豊通/中川嘉弘商店</t>
  </si>
  <si>
    <t>中山製鋼:豊通/出張商店 , 豊通/中川嘉弘商店</t>
  </si>
  <si>
    <t>中山製鋼:豊通/出張商店 , 豊通/中川嘉弘商店新断Ａ</t>
  </si>
  <si>
    <t>0176fe78</t>
  </si>
  <si>
    <t>中山製鋼:阪和 , 豊通新断Ｂ</t>
  </si>
  <si>
    <t>b9a910b9</t>
  </si>
  <si>
    <t>中山製鋼:阪和 , 豊通新断Ｃ</t>
  </si>
  <si>
    <t>2ae94dff</t>
  </si>
  <si>
    <t>中山鋼業:ナベＨ１(特A)</t>
  </si>
  <si>
    <t>9c762337</t>
  </si>
  <si>
    <t>ＪＨ１(H2T山口)鍛造ﾊﾞﾘ , Ｈ２(特級) , Ｈ３(1級) , Ｌ１(2級)</t>
  </si>
  <si>
    <t>中山鋼業:ナベＪＨ１(H2T山口)鍛造ﾊﾞﾘ , Ｈ２(特級) , Ｈ３(1級) , Ｌ１(2級)</t>
  </si>
  <si>
    <t>21fd6928</t>
  </si>
  <si>
    <t>中山鋼業:ナベＬ２(H4･級外･L1ﾊﾞﾗ)</t>
  </si>
  <si>
    <t>3cb2fc49</t>
  </si>
  <si>
    <t>中山鋼業:ナベ鋼ダライＡ</t>
  </si>
  <si>
    <t>069ea63e</t>
  </si>
  <si>
    <t>e7fa3d56</t>
  </si>
  <si>
    <t>ＨＳ２ , ＨＳ１(単体H1/電特A/HS))</t>
  </si>
  <si>
    <t>合同大阪:伊藤忠ＨＳ２ , ＨＳ１(単体H1/電特A/HS))</t>
  </si>
  <si>
    <t>b8660354</t>
  </si>
  <si>
    <t>合同大阪:伊藤忠鋼ダライＡ</t>
  </si>
  <si>
    <t>201dee6e</t>
  </si>
  <si>
    <t>合同大阪:伊藤忠鋼ダライＢ</t>
  </si>
  <si>
    <t>84981247</t>
  </si>
  <si>
    <t>大同特殊鋼:JSE/大和ﾘﾃｯｸ鋼ダライＡ</t>
  </si>
  <si>
    <t>4728c72d</t>
  </si>
  <si>
    <t>大同特殊鋼:JSE/第二＠2.3鋼ダライＡ</t>
  </si>
  <si>
    <t>2d759751</t>
  </si>
  <si>
    <t>大同特殊鋼:JSE/岐阜＠1.5鋼ダライＡ</t>
  </si>
  <si>
    <t>ed993cd6</t>
  </si>
  <si>
    <t>Ｈ２(特級) , Ｌ１(2級) , Ｈ３(1級) , Ｈ１(特A)</t>
  </si>
  <si>
    <t>ＪＦＥ条鋼:リバイブＨ２(特級) , Ｌ１(2級) , Ｈ３(1級) , Ｈ１(特A)</t>
  </si>
  <si>
    <t>525e0c81</t>
  </si>
  <si>
    <t>泉北中谷:ナベ双葉新断Ａ</t>
  </si>
  <si>
    <t>392ee6f4</t>
  </si>
  <si>
    <t>ﾆｭｰｽｺﾝ稲永:</t>
  </si>
  <si>
    <t>ff4411e9</t>
  </si>
  <si>
    <t>ﾆｭｰｽｺﾝ稲永:ナベ新断Ａ</t>
  </si>
  <si>
    <t>9df909e1</t>
  </si>
  <si>
    <t>ＨＳ１(単体H1/電特A/HS)) , Ｌ１(2級) , シュレＣ , Ｈ１(特A) , Ｈ２(特級) , Ｌ２(H4･級外･L1ﾊﾞﾗ) , Ｈ３(1級) , シュレＡ</t>
  </si>
  <si>
    <t>東鐵名古屋:直納ＨＳ１(単体H1/電特A/HS)) , Ｌ１(2級) , シュレＣ , Ｈ１(特A) , Ｈ２(特級) , Ｌ２(H4･級外･L1ﾊﾞﾗ) , Ｈ３(1級) , シュレＡ</t>
  </si>
  <si>
    <t>4142ffd3</t>
  </si>
  <si>
    <t>トピー工業:ＭＭＨ２(特級)</t>
  </si>
  <si>
    <t>9e4d1ae1</t>
  </si>
  <si>
    <t>f046175e</t>
  </si>
  <si>
    <t>ＨＳ１(単体H1/電特A/HS)) , Ｈ１(特A) , Ｈ２(特級) , Ｈ３(1級) , Ｌ１(2級) , Ｌ２(H4･級外･L1ﾊﾞﾗ) , シュレＡ , シュレＣ</t>
  </si>
  <si>
    <t>東鐵岡山:直納ＨＳ１(単体H1/電特A/HS)) , Ｈ１(特A) , Ｈ２(特級) , Ｈ３(1級) , Ｌ１(2級) , Ｌ２(H4･級外･L1ﾊﾞﾗ) , シュレＡ , シュレＣ</t>
  </si>
  <si>
    <t>005b0545</t>
  </si>
  <si>
    <t>東鐵名古屋:直納ＨＳ１(単体H1/電特A/HS)) , Ｈ１(特A) , Ｈ２(特級) , Ｈ３(1級) , Ｌ１(2級) , Ｌ２(H4･級外･L1ﾊﾞﾗ) , シュレＡ , シュレＣ</t>
  </si>
  <si>
    <t>2f38bd26</t>
  </si>
  <si>
    <t>ＨＳ１(単体H1/電特A/HS)) , Ｈ１(特A) , Ｈ２(特級) , Ｈ３(1級) , Ｌ１(2級) , Ｌ２(H4･級外･L1ﾊﾞﾗ) , 新断Ａ , 新断Ｂ , 鋼ダライＡ , シュレＡ , シュレＣ , ＣＰ Ａ</t>
  </si>
  <si>
    <t>東鐵田原:直納ＨＳ１(単体H1/電特A/HS)) , Ｈ１(特A) , Ｈ２(特級) , Ｈ３(1級) , Ｌ１(2級) , Ｌ２(H4･級外･L1ﾊﾞﾗ) , 新断Ａ , 新断Ｂ , 鋼ダライＡ , シュレＡ , シュレＣ , ＣＰ Ａ</t>
  </si>
  <si>
    <t>90fa4924</t>
  </si>
  <si>
    <t>大鉄堺 , 豊通 , 産振 , 伊藤忠</t>
  </si>
  <si>
    <t>大鉄　堺:大鉄堺 , 豊通 , 産振 , 伊藤忠</t>
  </si>
  <si>
    <t>Ｈ１(特A) , ＪＨ１ , Ｈ２(特級) , ＪＨ１(H2T山口)鍛造ﾊﾞﾘ , Ｈ３(1級) , Ｌ１(2級) , 新断Ａ , 新断Ｂ , シュレＡ , シュレＢ , シュレＣ , ＣＰ Ａ , ＣＰ Ｂ一斗缶</t>
  </si>
  <si>
    <t>大鉄　堺:大鉄堺 , 豊通 , 産振 , 伊藤忠Ｈ１(特A) , ＪＨ１ , Ｈ２(特級) , ＪＨ１(H2T山口)鍛造ﾊﾞﾘ , Ｈ３(1級) , Ｌ１(2級) , 新断Ａ , 新断Ｂ , シュレＡ , シュレＢ , シュレＣ , ＣＰ Ａ , ＣＰ Ｂ一斗缶</t>
  </si>
  <si>
    <t>f39229d2</t>
  </si>
  <si>
    <t>Ｈ１(特A) , Ｈ２(特級) , Ｈ３(1級) , Ｌ１(2級) , ＣＰ Ａ</t>
  </si>
  <si>
    <t>岸和田:豊通Ｈ１(特A) , Ｈ２(特級) , Ｈ３(1級) , Ｌ１(2級) , ＣＰ Ａ</t>
  </si>
  <si>
    <t>f4bd37c0</t>
  </si>
  <si>
    <t>新断Ａ , 新断Ｂ</t>
  </si>
  <si>
    <t>合同大阪:伊藤忠新断Ａ , 新断Ｂ</t>
  </si>
  <si>
    <t>79ebbf47</t>
  </si>
  <si>
    <t>共英枚方:ナベ/置場単価Ｈ１(特A) , Ｈ２(特級) , Ｈ３(1級) , Ｌ１(2級) , ＣＰ Ａ</t>
  </si>
  <si>
    <t>330eb51e</t>
  </si>
  <si>
    <t>0eca5efd</t>
  </si>
  <si>
    <t>Ｈ２(特級) , Ｈ３(1級) , Ｌ１(2級) , ＣＰ Ａ</t>
  </si>
  <si>
    <t>ﾔﾏﾄ:阪和Ｈ２(特級) , Ｈ３(1級) , Ｌ１(2級) , ＣＰ Ａ</t>
  </si>
  <si>
    <t>d4a7d95c</t>
  </si>
  <si>
    <t>Ｈ１(特A) , Ｈ２(特級) , Ｈ３(1級) , Ｌ１(2級) , Ｌ２(H4･級外･L1ﾊﾞﾗ) , 新断Ａ , 新断Ｂ , 鋼ダライＡ , ＣＰ Ａ</t>
  </si>
  <si>
    <t>ＪＦＥ条鋼:リバイブＨ１(特A) , Ｈ２(特級) , Ｈ３(1級) , Ｌ１(2級) , Ｌ２(H4･級外･L1ﾊﾞﾗ) , 新断Ａ , 新断Ｂ , 鋼ダライＡ , ＣＰ Ａ</t>
  </si>
  <si>
    <t>8122ca57</t>
  </si>
  <si>
    <t>ＨＳ１(単体H1/電特A/HS)) , ＨＳ２ , ＨＳ３</t>
  </si>
  <si>
    <t>山陽特殊:産振ＨＳ１(単体H1/電特A/HS)) , ＨＳ２ , ＨＳ３</t>
  </si>
  <si>
    <t>957dfe62</t>
  </si>
  <si>
    <t>山陽特殊:MMＨＳ１(単体H1/電特A/HS)) , ＨＳ２ , ＨＳ３</t>
  </si>
  <si>
    <t>b91960cd</t>
  </si>
  <si>
    <t>ＨＳ１(単体H1/電特A/HS)) , ＨＳ２ , Ｈ１(特A) , Ｈ２(特級) , Ｈ３(1級) , Ｌ２(H4･級外･L1ﾊﾞﾗ)</t>
  </si>
  <si>
    <t>愛知:阪和ＨＳ１(単体H1/電特A/HS)) , ＨＳ２ , Ｈ１(特A) , Ｈ２(特級) , Ｈ３(1級) , Ｌ２(H4･級外･L1ﾊﾞﾗ)</t>
  </si>
  <si>
    <t>c308c23f</t>
  </si>
  <si>
    <t>ＨＳ１(単体H1/電特A/HS)) , ＨＳ２ , Ｈ１(特A) , Ｈ２(特級) , Ｈ３(1級) , Ｌ２(H4･級外･L1ﾊﾞﾗ) , 鋼ダライＡ</t>
  </si>
  <si>
    <t>愛知:ナベＨＳ１(単体H1/電特A/HS)) , ＨＳ２ , Ｈ１(特A) , Ｈ２(特級) , Ｈ３(1級) , Ｌ２(H4･級外･L1ﾊﾞﾗ) , 鋼ダライＡ</t>
  </si>
  <si>
    <t>8ad05826</t>
  </si>
  <si>
    <t>ＨＳ１(単体H1/電特A/HS)) , ＪＨ１(H2T山口)鍛造ﾊﾞﾘ , Ｈ２(特級) , Ｈ３(1級) , Ｌ２(H4･級外･L1ﾊﾞﾗ) , 鋼ダライＡ , 鋳物</t>
  </si>
  <si>
    <t>山口鋼業:MM建材ＨＳ１(単体H1/電特A/HS)) , ＪＨ１(H2T山口)鍛造ﾊﾞﾘ , Ｈ２(特級) , Ｈ３(1級) , Ｌ２(H4･級外･L1ﾊﾞﾗ) , 鋼ダライＡ , 鋳物</t>
  </si>
  <si>
    <t>eeec4180</t>
  </si>
  <si>
    <t>ＨＳ１(単体H1/電特A/HS)) , Ｈ１(特A) , Ｈ２(特級) , Ｈ３(1級) , Ｌ２(H4･級外･L1ﾊﾞﾗ) , 鋼ダライＡ</t>
  </si>
  <si>
    <t>山口鋼業:阪和ＨＳ１(単体H1/電特A/HS)) , Ｈ１(特A) , Ｈ２(特級) , Ｈ３(1級) , Ｌ２(H4･級外･L1ﾊﾞﾗ) , 鋼ダライＡ</t>
  </si>
  <si>
    <t>b4ea4d66</t>
  </si>
  <si>
    <t>ＨＳ１(単体H1/電特A/HS)) , Ｈ２(特級) , Ｈ３(1級) , Ｌ２(H4･級外･L1ﾊﾞﾗ) , 鋼ダライＡ</t>
  </si>
  <si>
    <t>大同特殊鋼:大同興業ＨＳ１(単体H1/電特A/HS)) , Ｈ２(特級) , Ｈ３(1級) , Ｌ２(H4･級外･L1ﾊﾞﾗ) , 鋼ダライＡ</t>
  </si>
  <si>
    <t>d55031cf</t>
  </si>
  <si>
    <t>JSE/大和ﾘﾃｯｸ , JSE/第二＠2.3 , JSE/岐阜＠1.5</t>
  </si>
  <si>
    <t>大同特殊鋼:JSE/大和ﾘﾃｯｸ , JSE/第二＠2.3 , JSE/岐阜＠1.5</t>
  </si>
  <si>
    <t>ＨＳ１(単体H1/電特A/HS)) , Ｈ２(特級) , 鋼ダライＡ</t>
  </si>
  <si>
    <t>大同特殊鋼:JSE/大和ﾘﾃｯｸ , JSE/第二＠2.3 , JSE/岐阜＠1.5ＨＳ１(単体H1/電特A/HS)) , Ｈ２(特級) , 鋼ダライＡ</t>
  </si>
  <si>
    <t>9fb8e382</t>
  </si>
  <si>
    <t>821333b3</t>
  </si>
  <si>
    <t>栗東置場単価 , 第二置場単価</t>
  </si>
  <si>
    <t>RTA:栗東置場単価 , 第二置場単価</t>
  </si>
  <si>
    <t>RTA:栗東置場単価 , 第二置場単価鋼ダライＡ</t>
  </si>
  <si>
    <t>272c513d</t>
  </si>
  <si>
    <t>Ｈ１(特A) , Ｈ２(特級) , Ｈ３(1級) , Ｌ１(2級)</t>
  </si>
  <si>
    <t>共英名古屋:ナベＨ１(特A) , Ｈ２(特級) , Ｈ３(1級) , Ｌ１(2級)</t>
  </si>
  <si>
    <t>a7383377</t>
  </si>
  <si>
    <t>山口鋼業:MM建材鋳物</t>
  </si>
  <si>
    <t>8d20cfda</t>
  </si>
  <si>
    <t>山口鋼業:MM建材鋳物・ﾀﾞｸﾀｲﾙ</t>
  </si>
  <si>
    <t>4077f3f7</t>
  </si>
  <si>
    <t>新断Ａ , 新断Ｂ , 新断Ｃ</t>
  </si>
  <si>
    <t>中山製鋼:阪和 , 豊通新断Ａ , 新断Ｂ , 新断Ｃ</t>
  </si>
  <si>
    <t>7131c70c</t>
  </si>
  <si>
    <t>a7cb74bc</t>
  </si>
  <si>
    <t>南港:産振シュレＡ</t>
  </si>
  <si>
    <t>bb5662b1</t>
  </si>
  <si>
    <t>ＨＳ２ , Ｈ１/ｻﾑﾃｯｸ , Ｈ１(特A) , Ｈ２(特級) , Ｈ３(1級) , Ｌ１(2級) , 新断Ａ , 新断Ｂ , 新断Ｃ , ＨＳ１(単体H1/電特A/HS))</t>
  </si>
  <si>
    <t>中山製鋼:阪和 , 豊通ＨＳ２ , Ｈ１/ｻﾑﾃｯｸ , Ｈ１(特A) , Ｈ２(特級) , Ｈ３(1級) , Ｌ１(2級) , 新断Ａ , 新断Ｂ , 新断Ｃ , ＨＳ１(単体H1/電特A/HS))</t>
  </si>
  <si>
    <t>cdcaa1ca</t>
  </si>
  <si>
    <t>284d922b</t>
  </si>
  <si>
    <t>Ｈ３(1級) , Ｌ１(2級) , Ｌ２(H4･級外･L1ﾊﾞﾗ)</t>
  </si>
  <si>
    <t>中山鋼業:ナベＨ３(1級) , Ｌ１(2級) , Ｌ２(H4･級外･L1ﾊﾞﾗ)</t>
  </si>
  <si>
    <t>ed91f56d</t>
  </si>
  <si>
    <t>ＨＳ２ , Ｈ１/ｻﾑﾃｯｸ , Ｈ１(特A)</t>
  </si>
  <si>
    <t>中山製鋼:阪和 , 豊通ＨＳ２ , Ｈ１/ｻﾑﾃｯｸ , Ｈ１(特A)</t>
  </si>
  <si>
    <t>a8120c39</t>
  </si>
  <si>
    <t>5d0507ef</t>
  </si>
  <si>
    <t>東鐵関西:直納ＨＳ１(単体H1/電特A/HS)) , Ｈ１(特A) , Ｈ２(特級) , Ｈ３(1級) , Ｌ１(2級) , Ｌ２(H4･級外･L1ﾊﾞﾗ) , シュレＡ , シュレＣ</t>
  </si>
  <si>
    <t>afc85154</t>
  </si>
  <si>
    <t>阪和 , 豊通 , 豊通/出張商店 , 豊通/中川嘉弘商店</t>
  </si>
  <si>
    <t>中山製鋼:阪和 , 豊通 , 豊通/出張商店 , 豊通/中川嘉弘商店</t>
  </si>
  <si>
    <t>中山製鋼:阪和 , 豊通 , 豊通/出張商店 , 豊通/中川嘉弘商店ＨＳ２ , Ｈ１/ｻﾑﾃｯｸ , Ｈ１(特A) , Ｈ２(特級) , Ｈ３(1級) , Ｌ１(2級) , 新断Ａ , 新断Ｂ , 新断Ｃ , ＨＳ１(単体H1/電特A/HS))</t>
  </si>
  <si>
    <t>2f7645dc</t>
  </si>
  <si>
    <t>Ｈ１(特A) , ＪＨ１(H2T山口)鍛造ﾊﾞﾘ , Ｈ２(特級) , Ｈ３(1級) , Ｌ１(2級) , Ｌ２(H4･級外･L1ﾊﾞﾗ) , 新断Ａ , 鋼ダライＡ</t>
  </si>
  <si>
    <t>中山鋼業:ナベＨ１(特A) , ＪＨ１(H2T山口)鍛造ﾊﾞﾘ , Ｈ２(特級) , Ｈ３(1級) , Ｌ１(2級) , Ｌ２(H4･級外･L1ﾊﾞﾗ) , 新断Ａ , 鋼ダライＡ</t>
  </si>
  <si>
    <t>58f42481</t>
  </si>
  <si>
    <t>ＨＳ１(単体H1/電特A/HS)) , ＨＳ２ , Ｈ１(特A) , Ｈ２(特級) , Ｈ３(1級) , Ｌ１(2級) , 新断Ａ , 新断Ｂ , 鋼ダライＡ , 鋼ダライＢ</t>
  </si>
  <si>
    <t>合同大阪:伊藤忠ＨＳ１(単体H1/電特A/HS)) , ＨＳ２ , Ｈ１(特A) , Ｈ２(特級) , Ｈ３(1級) , Ｌ１(2級) , 新断Ａ , 新断Ｂ , 鋼ダライＡ , 鋼ダライＢ</t>
  </si>
  <si>
    <t>811deaed</t>
  </si>
  <si>
    <t>a5cf1843</t>
  </si>
  <si>
    <t>ＨＳ１(単体H1/電特A/HS)) , Ｈ１(特A) , Ｈ２(特級) , Ｈ３(1級) , Ｌ１(2級) , Ｌ２(H4･級外･L1ﾊﾞﾗ) , シュレＡ , シュレＣ , 新断Ａ , 新断Ｂ , 鋼ダライＡ , 銑ダライ , ＣＰ Ａ</t>
  </si>
  <si>
    <t>東鐵岡山:直納ＨＳ１(単体H1/電特A/HS)) , Ｈ１(特A) , Ｈ２(特級) , Ｈ３(1級) , Ｌ１(2級) , Ｌ２(H4･級外･L1ﾊﾞﾗ) , シュレＡ , シュレＣ , 新断Ａ , 新断Ｂ , 鋼ダライＡ , 銑ダライ , ＣＰ Ａ</t>
  </si>
  <si>
    <t>28526dbd</t>
  </si>
  <si>
    <t>ae595ece</t>
  </si>
  <si>
    <t>1b9a584e</t>
  </si>
  <si>
    <t>Ｈ２(特級) , Ｌ１(2級) , 鋼ダライＡ , シュレＢ , ＣＰ Ｂ一斗缶 , 新断Ａ , 鋼ダライＢ , シュレＣ , Ｈ１(特A) , ＪＨ１(H2T山口)鍛造ﾊﾞﾘ , Ｈ３(1級) , 新断Ｂ , シュレＡ , ＣＰ Ａ , ＪＨ１</t>
  </si>
  <si>
    <t>大鉄　堺:大鉄堺 , 豊通 , 産振 , 伊藤忠Ｈ２(特級) , Ｌ１(2級) , 鋼ダライＡ , シュレＢ , ＣＰ Ｂ一斗缶 , 新断Ａ , 鋼ダライＢ , シュレＣ , Ｈ１(特A) , ＪＨ１(H2T山口)鍛造ﾊﾞﾘ , Ｈ３(1級) , 新断Ｂ , シュレＡ , ＣＰ Ａ , ＪＨ１</t>
  </si>
  <si>
    <t>e681cd08</t>
  </si>
  <si>
    <t>ｸﾎﾞﾀ:伊藤忠新断Ａ</t>
  </si>
  <si>
    <t>22b29a08</t>
  </si>
  <si>
    <t>栗本鐵工:豊通ＨＳ１(単体H1/電特A/HS)) , ＨＳ２ , ＨＳ３</t>
  </si>
  <si>
    <t>2a0640b6</t>
  </si>
  <si>
    <t>048c12da</t>
  </si>
  <si>
    <t>7936612a</t>
  </si>
  <si>
    <t>848c7020</t>
  </si>
  <si>
    <t>8ec8b1b6</t>
  </si>
  <si>
    <t>Ｈ２(特級) , Ｈ３(1級) , Ｌ１(2級) , Ｈ１(特A) , Ｌ２(H4･級外･L1ﾊﾞﾗ)</t>
  </si>
  <si>
    <t>ﾔﾏﾄ:阪和Ｈ２(特級) , Ｈ３(1級) , Ｌ１(2級) , Ｈ１(特A) , Ｌ２(H4･級外･L1ﾊﾞﾗ)</t>
  </si>
  <si>
    <t>67e814a0</t>
  </si>
  <si>
    <t>合同大阪:伊藤忠Ｈ１(特A) , Ｈ２(特級) , Ｈ３(1級) , Ｌ１(2級)</t>
  </si>
  <si>
    <t>20cd084d</t>
  </si>
  <si>
    <t>096f12d6</t>
  </si>
  <si>
    <t>ＪＦＥ条鋼:リバイブＣＰ Ａ</t>
  </si>
  <si>
    <t>d6b36399</t>
  </si>
  <si>
    <t>ＨＳ２ , Ｈ１/ｻﾑﾃｯｸ , Ｈ１(特A) , Ｈ２(特級) , Ｈ３(1級) , Ｌ１(2級) , 新断Ａ , 新断Ｂ , 新断Ｃ</t>
  </si>
  <si>
    <t>中山製鋼:阪和ＨＳ２ , Ｈ１/ｻﾑﾃｯｸ , Ｈ１(特A) , Ｈ２(特級) , Ｈ３(1級) , Ｌ１(2級) , 新断Ａ , 新断Ｂ , 新断Ｃ</t>
  </si>
  <si>
    <t>21e81b94</t>
  </si>
  <si>
    <t>ＨＳ１(単体H1/電特A/HS)) , ＨＳ２ , Ｈ１/ｻﾑﾃｯｸ , Ｈ１(特A) , Ｈ２(特級) , Ｈ３(1級) , Ｌ１(2級) , 新断Ａ , 新断Ｂ , 新断Ｃ</t>
  </si>
  <si>
    <t>中山製鋼:豊通ＨＳ１(単体H1/電特A/HS)) , ＨＳ２ , Ｈ１/ｻﾑﾃｯｸ , Ｈ１(特A) , Ｈ２(特級) , Ｈ３(1級) , Ｌ１(2級) , 新断Ａ , 新断Ｂ , 新断Ｃ</t>
  </si>
  <si>
    <t>9cef3e9e</t>
  </si>
  <si>
    <t>b46032d5</t>
  </si>
  <si>
    <t>合同大阪:伊藤忠ＨＳ１(単体H1/電特A/HS)) , ＨＳ２</t>
  </si>
  <si>
    <t>e813d6b0</t>
  </si>
  <si>
    <t>e1337590</t>
  </si>
  <si>
    <t>94eb2af6</t>
  </si>
  <si>
    <t>ＪＨ１(H2T山口)鍛造ﾊﾞﾘ , Ｈ２(特級) , Ｈ３(1級) , Ｌ１(2級) , Ｌ２(H4･級外･L1ﾊﾞﾗ)</t>
  </si>
  <si>
    <t>中山鋼業:ナベＪＨ１(H2T山口)鍛造ﾊﾞﾘ , Ｈ２(特級) , Ｈ３(1級) , Ｌ１(2級) , Ｌ２(H4･級外･L1ﾊﾞﾗ)</t>
  </si>
  <si>
    <t>e617a4f0</t>
  </si>
  <si>
    <t>a54971b7</t>
  </si>
  <si>
    <t>山陽特殊:MM新断Ａ , 新断Ｂ</t>
  </si>
  <si>
    <t>c5906687</t>
  </si>
  <si>
    <t>新断Ａ , 新断Ｂ , シュレＡ</t>
  </si>
  <si>
    <t>愛知:阪和新断Ａ , 新断Ｂ , シュレＡ</t>
  </si>
  <si>
    <t>53a69b5c</t>
  </si>
  <si>
    <t>山陽特殊:MM新断Ｃ</t>
  </si>
  <si>
    <t>1dbad8be</t>
  </si>
  <si>
    <t>9893bb9f</t>
  </si>
  <si>
    <t>262ddfc3</t>
  </si>
  <si>
    <t>6ff685d1</t>
  </si>
  <si>
    <t>d2e0b10e</t>
  </si>
  <si>
    <t>324e34e4</t>
  </si>
  <si>
    <t>fcfdbc92</t>
  </si>
  <si>
    <t>7df59866</t>
  </si>
  <si>
    <t>35ba0154</t>
  </si>
  <si>
    <t>山陽特殊:MM新断Ａ , 新断Ｂ , 新断Ｃ</t>
  </si>
  <si>
    <t>042a0db5</t>
  </si>
  <si>
    <t>49167424</t>
  </si>
  <si>
    <t>Ｈ１(特A) , Ｈ２(特級) , Ｈ３(1級) , Ｌ１(2級) , Ｌ２(H4･級外･L1ﾊﾞﾗ) , 新断Ａ , 新断Ｂ</t>
  </si>
  <si>
    <t>ＪＦＥ条鋼:リバイブＨ１(特A) , Ｈ２(特級) , Ｈ３(1級) , Ｌ１(2級) , Ｌ２(H4･級外･L1ﾊﾞﾗ) , 新断Ａ , 新断Ｂ</t>
  </si>
  <si>
    <t>c1b66550</t>
  </si>
  <si>
    <t>Ｈ２(特級) , Ｌ２(H4･級外･L1ﾊﾞﾗ) , ＨＳ１(単体H1/電特A/HS)) , Ｈ３(1級) , シュレＡ , Ｈ１(特A) , Ｌ１(2級) , シュレＣ</t>
  </si>
  <si>
    <t>東鐵名古屋:直納Ｈ２(特級) , Ｌ２(H4･級外･L1ﾊﾞﾗ) , ＨＳ１(単体H1/電特A/HS)) , Ｈ３(1級) , シュレＡ , Ｈ１(特A) , Ｌ１(2級) , シュレＣ</t>
  </si>
  <si>
    <t>0f3c0585</t>
  </si>
  <si>
    <t>東鐵田原:直納新断Ａ , 新断Ｂ</t>
  </si>
  <si>
    <t>62aa6b17</t>
  </si>
  <si>
    <t>ＨＳ１(単体H1/電特A/HS)) , Ｈ３(1級) , シュレＡ , Ｈ１(特A) , Ｌ１(2級) , シュレＣ , Ｈ２(特級) , Ｌ２(H4･級外･L1ﾊﾞﾗ) , 鋼ダライＡ , ＣＰ Ａ</t>
  </si>
  <si>
    <t>東鐵田原:直納ＨＳ１(単体H1/電特A/HS)) , Ｈ３(1級) , シュレＡ , Ｈ１(特A) , Ｌ１(2級) , シュレＣ , Ｈ２(特級) , Ｌ２(H4･級外･L1ﾊﾞﾗ) , 鋼ダライＡ , ＣＰ Ａ</t>
  </si>
  <si>
    <t>60cd7c6b</t>
  </si>
  <si>
    <t>Ｈ１(特A) , Ｌ１(2級) , Ｈ２(特級) , Ｈ３(1級)</t>
  </si>
  <si>
    <t>共英名古屋:ナベＨ１(特A) , Ｌ１(2級) , Ｈ２(特級) , Ｈ３(1級)</t>
  </si>
  <si>
    <t>1f8f25a8</t>
  </si>
  <si>
    <t>岸和田:豊通Ｈ１(特A)</t>
  </si>
  <si>
    <t>00cf6077</t>
  </si>
  <si>
    <t>岸和田:豊通Ｈ２(特級) , Ｈ３(1級) , Ｌ１(2級) , ＣＰ Ａ</t>
  </si>
  <si>
    <t>704b9fd7</t>
  </si>
  <si>
    <t>阪和 , ナベ</t>
  </si>
  <si>
    <t>愛知:阪和 , ナベ</t>
  </si>
  <si>
    <t>愛知:阪和 , ナベＨＳ１(単体H1/電特A/HS)) , ＨＳ２ , Ｈ１(特A) , Ｈ２(特級) , Ｈ３(1級) , Ｌ２(H4･級外･L1ﾊﾞﾗ) , 鋼ダライＡ</t>
  </si>
  <si>
    <t>9c4b6423</t>
  </si>
  <si>
    <t>MM建材 , 阪和</t>
  </si>
  <si>
    <t>山口鋼業:MM建材 , 阪和</t>
  </si>
  <si>
    <t>ＨＳ１(単体H1/電特A/HS)) , ＪＨ１(H2T山口)鍛造ﾊﾞﾘ , Ｈ２(特級) , Ｈ３(1級) , Ｌ２(H4･級外･L1ﾊﾞﾗ) , 鋼ダライＡ , 鋳物・ﾀﾞｸﾀｲﾙ , Ｈ１(特A)</t>
  </si>
  <si>
    <t>山口鋼業:MM建材 , 阪和ＨＳ１(単体H1/電特A/HS)) , ＪＨ１(H2T山口)鍛造ﾊﾞﾘ , Ｈ２(特級) , Ｈ３(1級) , Ｌ２(H4･級外･L1ﾊﾞﾗ) , 鋼ダライＡ , 鋳物・ﾀﾞｸﾀｲﾙ , Ｈ１(特A)</t>
  </si>
  <si>
    <t>94c699a8</t>
  </si>
  <si>
    <t>大同興業 , JSE/大和ﾘﾃｯｸ , JSE/第二＠2.3 , JSE/岐阜＠1.5</t>
  </si>
  <si>
    <t>大同特殊鋼:大同興業 , JSE/大和ﾘﾃｯｸ , JSE/第二＠2.3 , JSE/岐阜＠1.5</t>
  </si>
  <si>
    <t>ＨＳ１(単体H1/電特A/HS)) , 鋼ダライＡ , Ｈ２(特級)</t>
  </si>
  <si>
    <t>大同特殊鋼:大同興業 , JSE/大和ﾘﾃｯｸ , JSE/第二＠2.3 , JSE/岐阜＠1.5ＨＳ１(単体H1/電特A/HS)) , 鋼ダライＡ , Ｈ２(特級)</t>
  </si>
  <si>
    <t>1a4d7433</t>
  </si>
  <si>
    <t>666b6a47</t>
  </si>
  <si>
    <t>ＨＳ１(単体H1/電特A/HS)) , ＨＳ２ , ＨＳ３ , Ｌ１(2級)</t>
  </si>
  <si>
    <t>山陽特殊:MMＨＳ１(単体H1/電特A/HS)) , ＨＳ２ , ＨＳ３ , Ｌ１(2級)</t>
  </si>
  <si>
    <t>48422637</t>
  </si>
  <si>
    <t>5abeb557</t>
  </si>
  <si>
    <t>95161c70</t>
  </si>
  <si>
    <t>6ef27c6e</t>
  </si>
  <si>
    <t>3da99df2</t>
  </si>
  <si>
    <t>ec7a950a</t>
  </si>
  <si>
    <t>d1106f8a</t>
  </si>
  <si>
    <t>1289b668</t>
  </si>
  <si>
    <t>泉北中谷:ナベ双葉ＨＳ１(単体H1/電特A/HS))</t>
  </si>
  <si>
    <t>8b9c619c</t>
  </si>
  <si>
    <t>ＨＳ１(単体H1/電特A/HS)) , Ｌ１(2級) , 新断Ｃ , ＨＳ２ , 新断Ａ , ＨＳ３ , 新断Ｂ</t>
  </si>
  <si>
    <t>山陽特殊:MMＨＳ１(単体H1/電特A/HS)) , Ｌ１(2級) , 新断Ｃ , ＨＳ２ , 新断Ａ , ＨＳ３ , 新断Ｂ</t>
  </si>
  <si>
    <t>6ceb0a26</t>
  </si>
  <si>
    <t>ＨＳ１(単体H1/電特A/HS)) , Ｈ２(特級) , 新断Ａ , 鋼ダライＡ , ＨＳ２ , Ｈ３(1級) , 新断Ｂ , Ｈ１(特A) , Ｌ２(H4･級外･L1ﾊﾞﾗ) , シュレＡ</t>
  </si>
  <si>
    <t>愛知:阪和 , ナベＨＳ１(単体H1/電特A/HS)) , Ｈ２(特級) , 新断Ａ , 鋼ダライＡ , ＨＳ２ , Ｈ３(1級) , 新断Ｂ , Ｈ１(特A) , Ｌ２(H4･級外･L1ﾊﾞﾗ) , シュレＡ</t>
  </si>
  <si>
    <t>e6c4e457</t>
  </si>
  <si>
    <t>鋼ダライＡ , ＨＳ１(単体H1/電特A/HS)) , Ｈ２(特級)</t>
  </si>
  <si>
    <t>大同特殊鋼:大同興業 , JSE/大和ﾘﾃｯｸ , JSE/第二＠2.3 , JSE/岐阜＠1.5鋼ダライＡ , ＨＳ１(単体H1/電特A/HS)) , Ｈ２(特級)</t>
  </si>
  <si>
    <t>80d092e3</t>
  </si>
  <si>
    <t>ＨＳ１(単体H1/電特A/HS)) , Ｈ２(特級) , 鋼ダライＡ , ＨＳ２ , Ｈ３(1級) , Ｈ１(特A) , Ｌ２(H4･級外･L1ﾊﾞﾗ)</t>
  </si>
  <si>
    <t>愛知:ナベＨＳ１(単体H1/電特A/HS)) , Ｈ２(特級) , 鋼ダライＡ , ＨＳ２ , Ｈ３(1級) , Ｈ１(特A) , Ｌ２(H4･級外･L1ﾊﾞﾗ)</t>
  </si>
  <si>
    <t>65901299</t>
  </si>
  <si>
    <t>Ｈ２(特級) , 鋼ダライＡ , Ｈ１(特A) , Ｌ２(H4･級外･L1ﾊﾞﾗ) , ＨＳ１(単体H1/電特A/HS)) , Ｈ３(1級) , 鋳物・ﾀﾞｸﾀｲﾙ , ＪＨ１(H2T山口)鍛造ﾊﾞﾘ</t>
  </si>
  <si>
    <t>山口鋼業:MM建材 , 阪和Ｈ２(特級) , 鋼ダライＡ , Ｈ１(特A) , Ｌ２(H4･級外･L1ﾊﾞﾗ) , ＨＳ１(単体H1/電特A/HS)) , Ｈ３(1級) , 鋳物・ﾀﾞｸﾀｲﾙ , ＪＨ１(H2T山口)鍛造ﾊﾞﾘ</t>
  </si>
  <si>
    <t>7a6ca8a6</t>
  </si>
  <si>
    <t>f3dc3f2d</t>
  </si>
  <si>
    <t>共英枚方:ナベ/置場単価Ｈ１(特A)</t>
  </si>
  <si>
    <t>23b3497a</t>
  </si>
  <si>
    <t>共英枚方:ナベ/置場単価Ｈ２(特級)</t>
  </si>
  <si>
    <t>0d0907bc</t>
  </si>
  <si>
    <t>共英枚方:ナベ/置場単価Ｈ３(1級)</t>
  </si>
  <si>
    <t>f36499af</t>
  </si>
  <si>
    <t>共英枚方:ナベ/置場単価Ｌ１(2級)</t>
  </si>
  <si>
    <t>270addb0</t>
  </si>
  <si>
    <t>540606c8</t>
  </si>
  <si>
    <t>00653e3a</t>
  </si>
  <si>
    <t>阪和 , 豊通 , 豊通/中川嘉弘商店</t>
  </si>
  <si>
    <t>中山製鋼:阪和 , 豊通 , 豊通/中川嘉弘商店</t>
  </si>
  <si>
    <t>中山製鋼:阪和 , 豊通 , 豊通/中川嘉弘商店ＨＳ２ , Ｈ１/ｻﾑﾃｯｸ , Ｈ１(特A) , Ｈ２(特級) , Ｈ３(1級) , Ｌ１(2級) , 新断Ａ , 新断Ｂ , 新断Ｃ , ＨＳ１(単体H1/電特A/HS))</t>
  </si>
  <si>
    <t>516a66ac</t>
  </si>
  <si>
    <t>f326a553</t>
  </si>
  <si>
    <t>Ｈ１(特A) , ＪＨ１ , Ｈ２(特級) , ＪＨ１(H2T山口)鍛造ﾊﾞﾘ , Ｈ３(1級) , Ｌ１(2級) , 新断Ａ , 新断Ｂ , 鋼ダライＡ , 鋼ダライＢ , シュレＡ , シュレＢ , シュレＣ , ＣＰ Ａ , ＣＰ Ｂ一斗缶</t>
  </si>
  <si>
    <t>大鉄　堺:大鉄堺 , 豊通 , 産振 , 伊藤忠Ｈ１(特A) , ＪＨ１ , Ｈ２(特級) , ＪＨ１(H2T山口)鍛造ﾊﾞﾘ , Ｈ３(1級) , Ｌ１(2級) , 新断Ａ , 新断Ｂ , 鋼ダライＡ , 鋼ダライＢ , シュレＡ , シュレＢ , シュレＣ , ＣＰ Ａ , ＣＰ Ｂ一斗缶</t>
  </si>
  <si>
    <t>64fc7d29</t>
  </si>
  <si>
    <t>中山製鋼:豊通/中川嘉弘商店新断Ａ</t>
  </si>
  <si>
    <t>3a6e0c4a</t>
  </si>
  <si>
    <t>b571515e</t>
  </si>
  <si>
    <t>edcde361</t>
  </si>
  <si>
    <t>8af7d4ff</t>
  </si>
  <si>
    <t>180683b7</t>
  </si>
  <si>
    <t>19c6cdee</t>
  </si>
  <si>
    <t>226b68a9</t>
  </si>
  <si>
    <t>c7709564</t>
  </si>
  <si>
    <t>9766b580</t>
  </si>
  <si>
    <t>94373a2d</t>
  </si>
  <si>
    <t>96b2fc63</t>
  </si>
  <si>
    <t>Ｈ１/ｻﾑﾃｯｸ , Ｈ３(1級) , 新断Ｂ , ＨＳ２ , Ｈ２(特級) , 新断Ａ , Ｈ１(特A) , Ｌ１(2級) , 新断Ｃ , ＨＳ１(単体H1/電特A/HS))</t>
  </si>
  <si>
    <t>中山製鋼:阪和 , 豊通 , 豊通/出張商店 , 豊通/中川嘉弘商店Ｈ１/ｻﾑﾃｯｸ , Ｈ３(1級) , 新断Ｂ , ＨＳ２ , Ｈ２(特級) , 新断Ａ , Ｈ１(特A) , Ｌ１(2級) , 新断Ｃ , ＨＳ１(単体H1/電特A/HS))</t>
  </si>
  <si>
    <t>c1252560</t>
  </si>
  <si>
    <t>6bc22bac</t>
  </si>
  <si>
    <t>4e22ad7a</t>
  </si>
  <si>
    <t>c82f381c</t>
  </si>
  <si>
    <t>ba7fccb3</t>
  </si>
  <si>
    <t>ff8b2008</t>
  </si>
  <si>
    <t>43f695ae</t>
  </si>
  <si>
    <t>fc9fcd19</t>
  </si>
  <si>
    <t>bc2eaeed</t>
  </si>
  <si>
    <t>6bc22bac3</t>
  </si>
  <si>
    <t>大鉄　堺テスト</t>
  </si>
  <si>
    <t>大鉄　堺テスト:大鉄堺 , 豊通 , 産振 , 伊藤忠</t>
  </si>
  <si>
    <t>大鉄　堺テスト:大鉄堺 , 豊通 , 産振 , 伊藤忠Ｈ１(特A) , ＪＨ１ , Ｈ２(特級) , ＪＨ１(H2T山口)鍛造ﾊﾞﾘ , Ｈ３(1級) , Ｌ１(2級) , 新断Ａ , 新断Ｂ , 鋼ダライＡ , 鋼ダライＢ , シュレＡ , シュレＢ , シュレＣ , ＣＰ Ａ , ＣＰ Ｂ一斗缶</t>
  </si>
  <si>
    <t>f4c4c957</t>
  </si>
  <si>
    <t>ＨＳ１(単体H1/電特A/HS)) , Ｈ２(特級) , 新断Ａ</t>
  </si>
  <si>
    <t>泉北中谷:ナベ双葉ＨＳ１(単体H1/電特A/HS)) , Ｈ２(特級) , 新断Ａ</t>
  </si>
  <si>
    <t>0ecb3e9d</t>
  </si>
  <si>
    <t>Ｈ２(特級) , Ｌ２(H4･級外･L1ﾊﾞﾗ)</t>
  </si>
  <si>
    <t>愛知:ナベＨ２(特級) , Ｌ２(H4･級外･L1ﾊﾞﾗ)</t>
  </si>
  <si>
    <t>a2a66669</t>
  </si>
  <si>
    <t>3e1ba79e</t>
  </si>
  <si>
    <t>ed71b6ab</t>
  </si>
  <si>
    <t>d2dce148</t>
  </si>
  <si>
    <t>ece5b168</t>
  </si>
  <si>
    <t>816e94cc</t>
  </si>
  <si>
    <t>56552976</t>
  </si>
  <si>
    <t>295e8ad0</t>
  </si>
  <si>
    <t>18b7832f</t>
  </si>
  <si>
    <t>9949976d</t>
  </si>
  <si>
    <t>cff98bf7</t>
  </si>
  <si>
    <t>95c34e75</t>
  </si>
  <si>
    <t>ＨＳ１(単体H1/電特A/HS)) , ＨＳ２ , Ｈ１(特A) , Ｈ２(特級) , Ｈ３(1級) , Ｌ２(H4･級外･L1ﾊﾞﾗ) , 新断Ａ , 新断Ｂ , シュレＡ</t>
  </si>
  <si>
    <t>愛知:阪和ＨＳ１(単体H1/電特A/HS)) , ＨＳ２ , Ｈ１(特A) , Ｈ２(特級) , Ｈ３(1級) , Ｌ２(H4･級外･L1ﾊﾞﾗ) , 新断Ａ , 新断Ｂ , シュレＡ</t>
  </si>
  <si>
    <t>6ff47dc5</t>
  </si>
  <si>
    <t>ＨＳ１(単体H1/電特A/HS)) , ＨＳ２ , ＨＳ３ , Ｌ１(2級) , 新断Ａ , 新断Ｂ , 新断Ｃ</t>
  </si>
  <si>
    <t>山陽特殊:MMＨＳ１(単体H1/電特A/HS)) , ＨＳ２ , ＨＳ３ , Ｌ１(2級) , 新断Ａ , 新断Ｂ , 新断Ｃ</t>
  </si>
  <si>
    <t>eeca3de4</t>
  </si>
  <si>
    <t>a77e619d</t>
  </si>
  <si>
    <t>1f230f19</t>
  </si>
  <si>
    <t>190de544</t>
  </si>
  <si>
    <t>e767fc13</t>
  </si>
  <si>
    <t>大同特殊鋼:JSE/大和ﾘﾃｯｸＨＳ１(単体H1/電特A/HS))</t>
  </si>
  <si>
    <t>82878cbf</t>
  </si>
  <si>
    <t>大同特殊鋼:JSE/大和ﾘﾃｯｸＨ２(特級)</t>
  </si>
  <si>
    <t>cb5d700d</t>
  </si>
  <si>
    <t>d8398418</t>
  </si>
  <si>
    <t>JSE/第二＠2.3 , JSE/岐阜＠1.5</t>
  </si>
  <si>
    <t>大同特殊鋼:JSE/第二＠2.3 , JSE/岐阜＠1.5</t>
  </si>
  <si>
    <t>大同特殊鋼:JSE/第二＠2.3 , JSE/岐阜＠1.5ＨＳ１(単体H1/電特A/HS))</t>
  </si>
  <si>
    <t>97225a51</t>
  </si>
  <si>
    <t>大同特殊鋼:JSE/第二＠2.3 , JSE/岐阜＠1.5Ｈ２(特級)</t>
  </si>
  <si>
    <t>ea515044</t>
  </si>
  <si>
    <t>大同特殊鋼:JSE/第二＠2.3 , JSE/岐阜＠1.5鋼ダライＡ</t>
  </si>
  <si>
    <t>0bda8602</t>
  </si>
  <si>
    <t>ＨＳ１(単体H1/電特A/HS)) , ＪＨ１(H2T山口)鍛造ﾊﾞﾘ , Ｈ２(特級) , Ｈ３(1級) , Ｌ２(H4･級外･L1ﾊﾞﾗ) , 鋼ダライＡ</t>
  </si>
  <si>
    <t>山口鋼業:MM建材ＨＳ１(単体H1/電特A/HS)) , ＪＨ１(H2T山口)鍛造ﾊﾞﾘ , Ｈ２(特級) , Ｈ３(1級) , Ｌ２(H4･級外･L1ﾊﾞﾗ) , 鋼ダライＡ</t>
  </si>
  <si>
    <t>9081de64</t>
  </si>
  <si>
    <t>11f4b203</t>
  </si>
  <si>
    <t>e6567b6b</t>
  </si>
  <si>
    <t>中山製鋼:阪和Ｈ２(特級)</t>
  </si>
  <si>
    <t>1543361f</t>
  </si>
  <si>
    <t>78b767fa</t>
  </si>
  <si>
    <t>c5544844</t>
  </si>
  <si>
    <t>3fd866cb</t>
  </si>
  <si>
    <t>e430f614</t>
  </si>
  <si>
    <t>c28fdd1d</t>
  </si>
  <si>
    <t>4c86e097</t>
  </si>
  <si>
    <t>e2c4cea3</t>
  </si>
  <si>
    <t>Ｈ１(特A) , Ｈ２(特級) , ＪＨ１(H2T山口)鍛造ﾊﾞﾘ , Ｈ３(1級) , Ｌ１(2級) , 新断Ａ , 新断Ｂ , 鋼ダライＡ , 鋼ダライＢ , シュレＡ , シュレＢ , シュレＣ , ＣＰ Ａ , ＣＰ Ｂ一斗缶</t>
  </si>
  <si>
    <t>大鉄　堺:大鉄堺 , 豊通 , 産振 , 伊藤忠Ｈ１(特A) , Ｈ２(特級) , ＪＨ１(H2T山口)鍛造ﾊﾞﾘ , Ｈ３(1級) , Ｌ１(2級) , 新断Ａ , 新断Ｂ , 鋼ダライＡ , 鋼ダライＢ , シュレＡ , シュレＢ , シュレＣ , ＣＰ Ａ , ＣＰ Ｂ一斗缶</t>
  </si>
  <si>
    <t>b868437d</t>
  </si>
  <si>
    <t>46d70bf3</t>
  </si>
  <si>
    <t>4713439d</t>
  </si>
  <si>
    <t>7bb32b09</t>
  </si>
  <si>
    <t>0c4965c7</t>
  </si>
  <si>
    <t>f6e15a10</t>
  </si>
  <si>
    <t>303b8cbe</t>
  </si>
  <si>
    <t>3f8c2338</t>
  </si>
  <si>
    <t>5e8f77ed</t>
  </si>
  <si>
    <t>fbb95b81</t>
  </si>
  <si>
    <t>54a73ed3</t>
  </si>
  <si>
    <t>be238664</t>
  </si>
  <si>
    <t>愛知:阪和新断Ａ , 新断Ｂ</t>
  </si>
  <si>
    <t>6ce140a0</t>
  </si>
  <si>
    <t>cae97fb5</t>
  </si>
  <si>
    <t>愛知:阪和シュレＡ</t>
  </si>
  <si>
    <t>c1be7dbe</t>
  </si>
  <si>
    <t>9e2d56a8</t>
  </si>
  <si>
    <t>909000f9</t>
  </si>
  <si>
    <t>551dd7ee</t>
  </si>
  <si>
    <t>4d99fc1d</t>
  </si>
  <si>
    <t>2b8c044c</t>
  </si>
  <si>
    <t>8fc2e5e4</t>
  </si>
  <si>
    <t>0309e4ff</t>
  </si>
  <si>
    <t>大同特殊鋼:JSE/大和ﾘﾃｯｸ , JSE/第二＠2.3 , JSE/岐阜＠1.5ＨＳ１(単体H1/電特A/HS))</t>
  </si>
  <si>
    <t>3a5450f5</t>
  </si>
  <si>
    <t>南港:ﾅﾝｾｲＨＳ１(単体H1/電特A/HS))</t>
  </si>
  <si>
    <t>9f9dd3f2</t>
  </si>
  <si>
    <t>南港:ﾅﾝｾｲＨ２(特級)</t>
  </si>
  <si>
    <t>d138537d</t>
  </si>
  <si>
    <t>南港:ﾅﾝｾｲ新断Ａ</t>
  </si>
  <si>
    <t>4af69d0d</t>
  </si>
  <si>
    <t>RTA:第二置場単価鋼ダライＡ</t>
  </si>
  <si>
    <t>30ef0c2d</t>
  </si>
  <si>
    <t>3d86d059</t>
  </si>
  <si>
    <t>Ｈ１(特A) , Ｈ２(特級) , Ｈ３(1級) , Ｌ１(2級) , Ｌ２(H4･級外･L1ﾊﾞﾗ)</t>
  </si>
  <si>
    <t>ＪＦＥ条鋼:リバイブＨ１(特A) , Ｈ２(特級) , Ｈ３(1級) , Ｌ１(2級) , Ｌ２(H4･級外･L1ﾊﾞﾗ)</t>
  </si>
  <si>
    <t>f0f8b7b7</t>
  </si>
  <si>
    <t>93efe965</t>
  </si>
  <si>
    <t>泉北中谷:ナベ双葉Ｈ２(特級)</t>
  </si>
  <si>
    <t>e90129bb</t>
  </si>
  <si>
    <t>be87f477</t>
  </si>
  <si>
    <t>1840554b</t>
  </si>
  <si>
    <t>Ｈ１(特A) , Ｈ２(特級) , Ｈ３(1級) , Ｌ１(2級) , Ｌ２(H4･級外･L1ﾊﾞﾗ) , 鋼ダライＡ</t>
  </si>
  <si>
    <t>ＪＦＥ条鋼:リバイブＨ１(特A) , Ｈ２(特級) , Ｈ３(1級) , Ｌ１(2級) , Ｌ２(H4･級外･L1ﾊﾞﾗ) , 鋼ダライＡ</t>
  </si>
  <si>
    <t>dfcd8729</t>
  </si>
  <si>
    <t>ＨＳ１(単体H1/電特A/HS)) , 新断Ａ</t>
  </si>
  <si>
    <t>南港:ﾅﾝｾｲＨＳ１(単体H1/電特A/HS)) , 新断Ａ</t>
  </si>
  <si>
    <t>29c4d20c</t>
  </si>
  <si>
    <t>4a49eeb8</t>
  </si>
  <si>
    <t>8e21e8e1</t>
  </si>
  <si>
    <t>75b16797</t>
  </si>
  <si>
    <t>Ｈ１(特A) , Ｈ２(特級) , Ｈ３(1級) , Ｌ１(2級) , 新断Ａ , 新断Ｂ</t>
  </si>
  <si>
    <t>合同大阪:伊藤忠Ｈ１(特A) , Ｈ２(特級) , Ｈ３(1級) , Ｌ１(2級) , 新断Ａ , 新断Ｂ</t>
  </si>
  <si>
    <t>5f598adf</t>
  </si>
  <si>
    <t>4ec522c4</t>
  </si>
  <si>
    <t>057dac75</t>
  </si>
  <si>
    <t>c424d570</t>
  </si>
  <si>
    <t>e4b71c8e</t>
  </si>
  <si>
    <t>ffe1a76e</t>
  </si>
  <si>
    <t>fe9ea4cd</t>
  </si>
  <si>
    <t>db5a1529</t>
  </si>
  <si>
    <t>44e1559a</t>
  </si>
  <si>
    <t>c0d578b7</t>
  </si>
  <si>
    <t>103d7ab5</t>
  </si>
  <si>
    <t>ec7e22f5</t>
  </si>
  <si>
    <t>a9f99bed</t>
  </si>
  <si>
    <t>a627db1f</t>
  </si>
  <si>
    <t>7734170c</t>
  </si>
  <si>
    <t>cb510bea</t>
  </si>
  <si>
    <t>69203600</t>
  </si>
  <si>
    <t>98ede964</t>
  </si>
  <si>
    <t>大鉄　堺:産振Ｈ１(特A)</t>
  </si>
  <si>
    <t>2a4bf4dc</t>
  </si>
  <si>
    <t>大鉄　堺:産振Ｈ２(特級)</t>
  </si>
  <si>
    <t>fdb0ae91</t>
  </si>
  <si>
    <t>大鉄　堺:産振Ｈ３(1級)</t>
  </si>
  <si>
    <t>3c609472</t>
  </si>
  <si>
    <t>大鉄　堺:産振Ｌ１(2級)</t>
  </si>
  <si>
    <t>0f1a7413</t>
  </si>
  <si>
    <t>大鉄　堺:産振鋼ダライＡ</t>
  </si>
  <si>
    <t>6ad3a1b5</t>
  </si>
  <si>
    <t>ec522cf5</t>
  </si>
  <si>
    <t>cfe9f151</t>
  </si>
  <si>
    <t>Ｌ１(2級) , Ｈ２(特級) , Ｈ１(特A) , Ｈ３(1級) , Ｌ２(H4･級外･L1ﾊﾞﾗ)</t>
  </si>
  <si>
    <t>ﾔﾏﾄ:阪和Ｌ１(2級) , Ｈ２(特級) , Ｈ１(特A) , Ｈ３(1級) , Ｌ２(H4･級外･L1ﾊﾞﾗ)</t>
  </si>
  <si>
    <t>6ea7d871</t>
  </si>
  <si>
    <t>4c3ba5d3</t>
  </si>
  <si>
    <t>2ca280e3</t>
  </si>
  <si>
    <t>Ｈ１(特A) , Ｈ２(特級) , ＪＨ１(H2T山口)鍛造ﾊﾞﾘ , Ｈ３(1級) , 新断Ａ , 新断Ｂ , 鋼ダライＡ , 鋼ダライＢ , シュレＡ , シュレＢ , シュレＣ , ＣＰ Ａ , ＣＰ Ｂ一斗缶 , Ｌ１(2級)</t>
  </si>
  <si>
    <t>大鉄　堺:大鉄堺 , 豊通 , 産振 , 伊藤忠Ｈ１(特A) , Ｈ２(特級) , ＪＨ１(H2T山口)鍛造ﾊﾞﾘ , Ｈ３(1級) , 新断Ａ , 新断Ｂ , 鋼ダライＡ , 鋼ダライＢ , シュレＡ , シュレＢ , シュレＣ , ＣＰ Ａ , ＣＰ Ｂ一斗缶 , Ｌ１(2級)</t>
  </si>
  <si>
    <t>95b28937</t>
  </si>
  <si>
    <t>f585a128</t>
  </si>
  <si>
    <t>Ｈ１(特A) , Ｌ１(2級) , 新断Ｃ , Ｈ１/ｻﾑﾃｯｸ , Ｈ３(1級) , 新断Ｂ , ＨＳ２ , Ｈ２(特級) , 新断Ａ , ＨＳ１(単体H1/電特A/HS))</t>
  </si>
  <si>
    <t>中山製鋼:阪和 , 豊通Ｈ１(特A) , Ｌ１(2級) , 新断Ｃ , Ｈ１/ｻﾑﾃｯｸ , Ｈ３(1級) , 新断Ｂ , ＨＳ２ , Ｈ２(特級) , 新断Ａ , ＨＳ１(単体H1/電特A/HS))</t>
  </si>
  <si>
    <t>78535ffe</t>
  </si>
  <si>
    <t>豊通/中川嘉弘商店 , 豊通/出張商店</t>
  </si>
  <si>
    <t>中山製鋼:豊通/中川嘉弘商店 , 豊通/出張商店</t>
  </si>
  <si>
    <t>中山製鋼:豊通/中川嘉弘商店 , 豊通/出張商店新断Ａ</t>
  </si>
  <si>
    <t>bda27382</t>
  </si>
  <si>
    <t>Ｈ１(特A) , Ｌ１(2級) , Ｈ２(特級) , Ｈ３(1級) , ＣＰ Ａ</t>
  </si>
  <si>
    <t>岸和田:豊通Ｈ１(特A) , Ｌ１(2級) , Ｈ２(特級) , Ｈ３(1級) , ＣＰ Ａ</t>
  </si>
  <si>
    <t>29975fb1</t>
  </si>
  <si>
    <t>ＨＳ２ , ＨＳ３ , ＨＳ１(単体H1/電特A/HS))</t>
  </si>
  <si>
    <t>栗本鐵工:豊通ＨＳ２ , ＨＳ３ , ＨＳ１(単体H1/電特A/HS))</t>
  </si>
  <si>
    <t>1a4d5dc9</t>
  </si>
  <si>
    <t>栗本鐵工:豊通鋳物・ﾀﾞｸﾀｲﾙ</t>
  </si>
  <si>
    <t>05edde8c</t>
  </si>
  <si>
    <t>ba4fac9f</t>
  </si>
  <si>
    <t>e2f13f81</t>
  </si>
  <si>
    <t>4013b895</t>
  </si>
  <si>
    <t>49e332c7</t>
  </si>
  <si>
    <t>0f54478d</t>
  </si>
  <si>
    <t>e09a9fe5</t>
  </si>
  <si>
    <t>b771198d</t>
  </si>
  <si>
    <t>6f645936</t>
  </si>
  <si>
    <t>956951ea</t>
  </si>
  <si>
    <t>ＨＳ１(単体H1/電特A/HS)) , Ｈ２(特級)</t>
  </si>
  <si>
    <t>大同特殊鋼:大同興業 , JSE/大和ﾘﾃｯｸ , JSE/第二＠2.3 , JSE/岐阜＠1.5ＨＳ１(単体H1/電特A/HS)) , Ｈ２(特級)</t>
  </si>
  <si>
    <t>f36e6616</t>
  </si>
  <si>
    <t>ＨＳ１(単体H1/電特A/HS)) , ＨＳ２ , ＨＳ３ , Ｌ１(2級) , 新断Ｃ</t>
  </si>
  <si>
    <t>山陽特殊:MMＨＳ１(単体H1/電特A/HS)) , ＨＳ２ , ＨＳ３ , Ｌ１(2級) , 新断Ｃ</t>
  </si>
  <si>
    <t>7e22ecf9</t>
  </si>
  <si>
    <t>f3b0ef02</t>
  </si>
  <si>
    <t>3adffef1</t>
  </si>
  <si>
    <t>Ｈ２(特級) , 新断Ａ</t>
  </si>
  <si>
    <t>泉北中谷:ナベ双葉Ｈ２(特級) , 新断Ａ</t>
  </si>
  <si>
    <t>97fdb796</t>
  </si>
  <si>
    <t>b1b3adb5</t>
  </si>
  <si>
    <t>c3a93074</t>
  </si>
  <si>
    <t>ffb74878</t>
  </si>
  <si>
    <t>8544b1f5</t>
  </si>
  <si>
    <t>4c44df52</t>
  </si>
  <si>
    <t>d12283fd</t>
  </si>
  <si>
    <t>352fcb05</t>
  </si>
  <si>
    <t>7a3de6a3</t>
  </si>
  <si>
    <t>03b8c507</t>
  </si>
  <si>
    <t>2a792f42</t>
  </si>
  <si>
    <t>4f83b02c</t>
  </si>
  <si>
    <t>2830c05c</t>
  </si>
  <si>
    <t>6216eda8</t>
  </si>
  <si>
    <t>a92cd1cf</t>
  </si>
  <si>
    <t>119c0ae6</t>
  </si>
  <si>
    <t>76bbe508</t>
  </si>
  <si>
    <t>50c765ab</t>
  </si>
  <si>
    <t>63a163d2</t>
  </si>
  <si>
    <t>ＪＦＥ条鋼:リバイブ新断Ａ , 新断Ｂ</t>
  </si>
  <si>
    <t>e995cd6b</t>
  </si>
  <si>
    <t>鋼ダライＡ , ＣＰ Ａ</t>
  </si>
  <si>
    <t>ＪＦＥ条鋼:リバイブ鋼ダライＡ , ＣＰ Ａ</t>
  </si>
  <si>
    <t>e10987aa</t>
  </si>
  <si>
    <t>ＪＦＥ条鋼:リバイブＨ１(特A)</t>
  </si>
  <si>
    <t>c06114cb</t>
  </si>
  <si>
    <t>10e1db9c</t>
  </si>
  <si>
    <t>664870bc</t>
  </si>
  <si>
    <t>f578fbbe</t>
  </si>
  <si>
    <t>4e338cce</t>
  </si>
  <si>
    <t>9ddf7d37</t>
  </si>
  <si>
    <t>a71e2b45</t>
  </si>
  <si>
    <t>ＪＦＥ条鋼:リバイブＬ１(2級)</t>
  </si>
  <si>
    <t>10d33817</t>
  </si>
  <si>
    <t>ＪＦＥ条鋼:リバイブＬ２(H4･級外･L1ﾊﾞﾗ)</t>
  </si>
  <si>
    <t>29ada9d4</t>
  </si>
  <si>
    <t>岸和田:阪和シュレＢ</t>
  </si>
  <si>
    <t>3d31269d</t>
  </si>
  <si>
    <t>ﾏｷｳﾗ鋼業:直納シュレＡ</t>
  </si>
  <si>
    <t>e08a5edc</t>
  </si>
  <si>
    <t>099501a5</t>
  </si>
  <si>
    <t>f3484d2f</t>
  </si>
  <si>
    <t>ca0b77cf</t>
  </si>
  <si>
    <t>a2e447cd</t>
  </si>
  <si>
    <t>cb1e5d5e</t>
  </si>
  <si>
    <t>d0b4a743</t>
  </si>
  <si>
    <t>85f946f3</t>
  </si>
  <si>
    <t>ＨＳ１(単体H1/電特A/HS)) , Ｌ１(2級) , Ｈ１(特A) , Ｌ２(H4･級外･L1ﾊﾞﾗ) , Ｈ２(特級) , シュレＡ , Ｈ３(1級) , シュレＣ</t>
  </si>
  <si>
    <t>東鐵関西:直納ＨＳ１(単体H1/電特A/HS)) , Ｌ１(2級) , Ｈ１(特A) , Ｌ２(H4･級外･L1ﾊﾞﾗ) , Ｈ２(特級) , シュレＡ , Ｈ３(1級) , シュレＣ</t>
  </si>
  <si>
    <t>bc6209ec</t>
  </si>
  <si>
    <t>831e84ce</t>
  </si>
  <si>
    <t>79557f4f</t>
  </si>
  <si>
    <t>0877ab43</t>
  </si>
  <si>
    <t>9306ad7a</t>
  </si>
  <si>
    <t>ab3593f5</t>
  </si>
  <si>
    <t>ca86d2e7</t>
  </si>
  <si>
    <t>fb6c2a26</t>
  </si>
  <si>
    <t>97972f7f</t>
  </si>
  <si>
    <t>439cf189</t>
  </si>
  <si>
    <t>シュレＡ , シュレＢ , シュレＣ</t>
  </si>
  <si>
    <t>岸和田:阪和シュレＡ , シュレＢ , シュレＣ</t>
  </si>
  <si>
    <t>1595eee5</t>
  </si>
  <si>
    <t>ＨＳ１(単体H1/電特A/HS)) , ＨＳ２ , ＨＳ３ , 鋳物・ﾀﾞｸﾀｲﾙ</t>
  </si>
  <si>
    <t>栗本鐵工:豊通ＨＳ１(単体H1/電特A/HS)) , ＨＳ２ , ＨＳ３ , 鋳物・ﾀﾞｸﾀｲﾙ</t>
  </si>
  <si>
    <t>38aac1a7</t>
  </si>
  <si>
    <t>50f4ff68</t>
  </si>
  <si>
    <t>dfcabb16</t>
  </si>
  <si>
    <t>ecbf0912</t>
  </si>
  <si>
    <t>29e562a7</t>
  </si>
  <si>
    <t>a032cff7</t>
  </si>
  <si>
    <t>c7ff744b</t>
  </si>
  <si>
    <t>04671a4e</t>
  </si>
  <si>
    <t>df1bd82f</t>
  </si>
  <si>
    <t>fb79baaa</t>
  </si>
  <si>
    <t>Ｈ３(1級) , シュレＡ , 鋼ダライＡ , ＨＳ１(単体H1/電特A/HS)) , Ｌ１(2級) , シュレＣ , 銑ダライ , Ｈ１(特A) , Ｌ２(H4･級外･L1ﾊﾞﾗ) , 新断Ａ , ＣＰ Ａ , Ｈ２(特級) , 新断Ｂ</t>
  </si>
  <si>
    <t>東鐵岡山:直納Ｈ３(1級) , シュレＡ , 鋼ダライＡ , ＨＳ１(単体H1/電特A/HS)) , Ｌ１(2級) , シュレＣ , 銑ダライ , Ｈ１(特A) , Ｌ２(H4･級外･L1ﾊﾞﾗ) , 新断Ａ , ＣＰ Ａ , Ｈ２(特級) , 新断Ｂ</t>
  </si>
  <si>
    <t>347ea00d</t>
  </si>
  <si>
    <t>999045c1</t>
  </si>
  <si>
    <t>b0848c37</t>
  </si>
  <si>
    <t>7b0fb51d</t>
  </si>
  <si>
    <t>Ｈ３(1級) , 新断Ａ , Ｌ１(2級) , 新断Ｂ , Ｈ１(特A) , Ｌ２(H4･級外･L1ﾊﾞﾗ) , Ｈ２(特級) , ＣＰ Ａ</t>
  </si>
  <si>
    <t>ＪＦＥ条鋼:リバイブＨ３(1級) , 新断Ａ , Ｌ１(2級) , 新断Ｂ , Ｈ１(特A) , Ｌ２(H4･級外･L1ﾊﾞﾗ) , Ｈ２(特級) , ＣＰ Ａ</t>
  </si>
  <si>
    <t>548dfb58</t>
  </si>
  <si>
    <t>a96050b5</t>
  </si>
  <si>
    <t>77f3c31d</t>
  </si>
  <si>
    <t>bde4bb23</t>
  </si>
  <si>
    <t>475090ad</t>
  </si>
  <si>
    <t>Ｈ１(特A) , Ｈ２(特級) , Ｈ３(1級) , Ｌ１(2級) , Ｌ２(H4･級外･L1ﾊﾞﾗ) , 新断Ａ , 新断Ｂ , 鋼ダライＡ</t>
  </si>
  <si>
    <t>ＪＦＥ条鋼:リバイブＨ１(特A) , Ｈ２(特級) , Ｈ３(1級) , Ｌ１(2級) , Ｌ２(H4･級外･L1ﾊﾞﾗ) , 新断Ａ , 新断Ｂ , 鋼ダライＡ</t>
  </si>
  <si>
    <t>79849a0e</t>
  </si>
  <si>
    <t>3dfce69f</t>
  </si>
  <si>
    <t>9a7cbe21</t>
  </si>
  <si>
    <t>合同姫路:阪和新断Ａ</t>
  </si>
  <si>
    <t>fa542f26</t>
  </si>
  <si>
    <t>6fc0635c</t>
  </si>
  <si>
    <t>be601ce0</t>
  </si>
  <si>
    <t>Ｈ３(1級) , シュレＡ , ＨＳ１(単体H1/電特A/HS)) , シュレＣ , Ｈ１(特A) , Ｌ１(2級) , Ｈ２(特級) , Ｌ２(H4･級外･L1ﾊﾞﾗ)</t>
  </si>
  <si>
    <t>東鐵名古屋:直納Ｈ３(1級) , シュレＡ , ＨＳ１(単体H1/電特A/HS)) , シュレＣ , Ｈ１(特A) , Ｌ１(2級) , Ｈ２(特級) , Ｌ２(H4･級外･L1ﾊﾞﾗ)</t>
  </si>
  <si>
    <t>f03d2aab</t>
  </si>
  <si>
    <t>Ｈ２(特級) , シュレＡ , Ｈ３(1級) , 新断Ａ , シュレＣ , ＨＳ１(単体H1/電特A/HS)) , Ｌ１(2級) , 新断Ｂ , ＣＰ Ａ , Ｈ１(特A) , Ｌ２(H4･級外･L1ﾊﾞﾗ) , 鋼ダライＡ</t>
  </si>
  <si>
    <t>東鐵田原:直納Ｈ２(特級) , シュレＡ , Ｈ３(1級) , 新断Ａ , シュレＣ , ＨＳ１(単体H1/電特A/HS)) , Ｌ１(2級) , 新断Ｂ , ＣＰ Ａ , Ｈ１(特A) , Ｌ２(H4･級外･L1ﾊﾞﾗ) , 鋼ダライＡ</t>
  </si>
  <si>
    <t>ad915685</t>
  </si>
  <si>
    <t>8cf51214</t>
  </si>
  <si>
    <t>4d691727</t>
  </si>
  <si>
    <t>Ｈ２(特級) , 鋼ダライＡ , ＨＳ１(単体H1/電特A/HS)) , Ｈ３(1級) , ＨＳ２ , Ｈ１(特A) , Ｌ２(H4･級外･L1ﾊﾞﾗ)</t>
  </si>
  <si>
    <t>愛知:ナベＨ２(特級) , 鋼ダライＡ , ＨＳ１(単体H1/電特A/HS)) , Ｈ３(1級) , ＨＳ２ , Ｈ１(特A) , Ｌ２(H4･級外･L1ﾊﾞﾗ)</t>
  </si>
  <si>
    <t>9d677518</t>
  </si>
  <si>
    <t>4a9e018a</t>
  </si>
  <si>
    <t>65a97d32</t>
  </si>
  <si>
    <t>93028526</t>
  </si>
  <si>
    <t>b9c7d1af</t>
  </si>
  <si>
    <t>efc52fd6</t>
  </si>
  <si>
    <t>ＨＳ１(単体H1/電特A/HS)) , ＪＨ１(H2T山口)鍛造ﾊﾞﾘ , Ｈ２(特級) , Ｈ３(1級) , Ｌ２(H4･級外･L1ﾊﾞﾗ) , 鋳物・ﾀﾞｸﾀｲﾙ , Ｈ１(特A)</t>
  </si>
  <si>
    <t>山口鋼業:MM建材 , 阪和ＨＳ１(単体H1/電特A/HS)) , ＪＨ１(H2T山口)鍛造ﾊﾞﾘ , Ｈ２(特級) , Ｈ３(1級) , Ｌ２(H4･級外･L1ﾊﾞﾗ) , 鋳物・ﾀﾞｸﾀｲﾙ , Ｈ１(特A)</t>
  </si>
  <si>
    <t>2d505cdc</t>
  </si>
  <si>
    <t>a8bb784f</t>
  </si>
  <si>
    <t>1c390b3b</t>
  </si>
  <si>
    <t>8dd5e837</t>
  </si>
  <si>
    <t>2418c2a2</t>
  </si>
  <si>
    <t>2975b92a</t>
  </si>
  <si>
    <t>c6dc0a3e</t>
  </si>
  <si>
    <t>b11c4347</t>
  </si>
  <si>
    <t>合同大阪:阪和ＨＳ１(単体H1/電特A/HS)) , ＨＳ２ , Ｈ１(特A) , Ｈ２(特級) , Ｈ３(1級) , Ｌ１(2級) , 新断Ａ , 新断Ｂ , 鋼ダライＡ , 鋼ダライＢ</t>
  </si>
  <si>
    <t>154537d3</t>
  </si>
  <si>
    <t>48428b6c</t>
  </si>
  <si>
    <t>12fb3490</t>
  </si>
  <si>
    <t>Ｈ１(特A) , ＪＨ１(H2T山口)鍛造ﾊﾞﾘ , Ｈ２(特級) , Ｈ３(1級) , Ｌ１(2級) , Ｌ２(H4･級外･L1ﾊﾞﾗ) , 新断Ａ</t>
  </si>
  <si>
    <t>中山鋼業:ナベＨ１(特A) , ＪＨ１(H2T山口)鍛造ﾊﾞﾘ , Ｈ２(特級) , Ｈ３(1級) , Ｌ１(2級) , Ｌ２(H4･級外･L1ﾊﾞﾗ) , 新断Ａ</t>
  </si>
  <si>
    <t>c4b02a50</t>
  </si>
  <si>
    <t>684f8b5b</t>
  </si>
  <si>
    <t>2b20a3fc</t>
  </si>
  <si>
    <t>7df6e643</t>
  </si>
  <si>
    <t>7f7dffda</t>
  </si>
  <si>
    <t>愛知:ナベＨＳ１(単体H1/電特A/HS)) , ＨＳ２ , Ｈ１(特A) , Ｈ２(特級) , Ｈ３(1級) , Ｌ２(H4･級外･L1ﾊﾞﾗ)</t>
  </si>
  <si>
    <t>8d98a0c9</t>
  </si>
  <si>
    <t>f89828f8</t>
  </si>
  <si>
    <t>06cb2780</t>
  </si>
  <si>
    <t>e99c9a62</t>
  </si>
  <si>
    <t>edf3e605</t>
  </si>
  <si>
    <t>1c49f2fa</t>
  </si>
  <si>
    <t>7630b75e</t>
  </si>
  <si>
    <t>d3a274a1</t>
  </si>
  <si>
    <t>c7f3679a</t>
  </si>
  <si>
    <t>437af90c</t>
  </si>
  <si>
    <t>ＨＳ１(単体H1/電特A/HS)) , ＪＨ１(H2T山口)鍛造ﾊﾞﾘ , Ｈ２(特級) , Ｈ３(1級) , Ｌ２(H4･級外･L1ﾊﾞﾗ) , 鋼ダライＡ , 鋳物・ﾀﾞｸﾀｲﾙ</t>
  </si>
  <si>
    <t>山口鋼業:MM建材ＨＳ１(単体H1/電特A/HS)) , ＪＨ１(H2T山口)鍛造ﾊﾞﾘ , Ｈ２(特級) , Ｈ３(1級) , Ｌ２(H4･級外･L1ﾊﾞﾗ) , 鋼ダライＡ , 鋳物・ﾀﾞｸﾀｲﾙ</t>
  </si>
  <si>
    <t>317403cd</t>
  </si>
  <si>
    <t>ＨＳ１(単体H1/電特A/HS)) , Ｈ１(特A) , Ｈ２(特級) , Ｈ３(1級) , Ｌ２(H4･級外･L1ﾊﾞﾗ)</t>
  </si>
  <si>
    <t>山口鋼業:阪和ＨＳ１(単体H1/電特A/HS)) , Ｈ１(特A) , Ｈ２(特級) , Ｈ３(1級) , Ｌ２(H4･級外･L1ﾊﾞﾗ)</t>
  </si>
  <si>
    <t>94bd50a6</t>
  </si>
  <si>
    <t>7ab4b4bf</t>
  </si>
  <si>
    <t>新断Ａ , 新断Ｂ , Ｈ３(1級) , Ｌ１(2級) , Ｌ２(H4･級外･L1ﾊﾞﾗ) , Ｈ１(特A) , Ｈ２(特級)</t>
  </si>
  <si>
    <t>ＪＦＥ条鋼:リバイブ新断Ａ , 新断Ｂ , Ｈ３(1級) , Ｌ１(2級) , Ｌ２(H4･級外･L1ﾊﾞﾗ) , Ｈ１(特A) , Ｈ２(特級)</t>
  </si>
  <si>
    <t>b22eb8c2</t>
  </si>
  <si>
    <t>bb06f7b4</t>
  </si>
  <si>
    <t>c546ec51</t>
  </si>
  <si>
    <t>Ｈ１(特A) , Ｈ２(特級) , ＪＨ１(H2T山口)鍛造ﾊﾞﾘ , Ｈ３(1級) , 新断Ａ , 新断Ｂ , シュレＡ , シュレＢ , シュレＣ , ＣＰ Ａ , ＣＰ Ｂ一斗缶 , Ｌ１(2級)</t>
  </si>
  <si>
    <t>大鉄　堺:大鉄堺Ｈ１(特A) , Ｈ２(特級) , ＪＨ１(H2T山口)鍛造ﾊﾞﾘ , Ｈ３(1級) , 新断Ａ , 新断Ｂ , シュレＡ , シュレＢ , シュレＣ , ＣＰ Ａ , ＣＰ Ｂ一斗缶 , Ｌ１(2級)</t>
  </si>
  <si>
    <t>3d693092</t>
  </si>
  <si>
    <t>鋼ダライＡ , 鋼ダライＢ</t>
  </si>
  <si>
    <t>大鉄　堺:大鉄堺鋼ダライＡ , 鋼ダライＢ</t>
  </si>
  <si>
    <t>63b48ba7</t>
  </si>
  <si>
    <t>Ｈ１(特A) , ＪＨ１(H2T山口)鍛造ﾊﾞﾘ , Ｈ２(特級) , Ｈ３(1級) , Ｌ１(2級) , 新断Ａ , 新断Ｂ , シュレＡ , シュレＢ , シュレＣ , ＣＰ Ａ , ＣＰ Ｂ一斗缶</t>
  </si>
  <si>
    <t>大鉄　堺:豊通Ｈ１(特A) , ＪＨ１(H2T山口)鍛造ﾊﾞﾘ , Ｈ２(特級) , Ｈ３(1級) , Ｌ１(2級) , 新断Ａ , 新断Ｂ , シュレＡ , シュレＢ , シュレＣ , ＣＰ Ａ , ＣＰ Ｂ一斗缶</t>
  </si>
  <si>
    <t>1f57b6cb</t>
  </si>
  <si>
    <t>大鉄　堺:豊通鋼ダライＡ , 鋼ダライＢ</t>
  </si>
  <si>
    <t>b05ff11c</t>
  </si>
  <si>
    <t>Ｈ１(特A) , Ｈ２(特級) , Ｈ３(1級) , ＣＰ Ａ , ＣＰ Ｂ一斗缶 , Ｌ１(2級) , 新断Ａ , 新断Ｂ</t>
  </si>
  <si>
    <t>大鉄　堺:産振Ｈ１(特A) , Ｈ２(特級) , Ｈ３(1級) , ＣＰ Ａ , ＣＰ Ｂ一斗缶 , Ｌ１(2級) , 新断Ａ , 新断Ｂ</t>
  </si>
  <si>
    <t>c62e113b</t>
  </si>
  <si>
    <t>a0570d50</t>
  </si>
  <si>
    <t>Ｈ１(特A) , ＪＨ１(H2T山口)鍛造ﾊﾞﾘ , Ｈ２(特級) , Ｈ３(1級) , Ｌ１(2級) , 新断Ａ , 新断Ｂ</t>
  </si>
  <si>
    <t>大鉄　堺:伊藤忠Ｈ１(特A) , ＪＨ１(H2T山口)鍛造ﾊﾞﾘ , Ｈ２(特級) , Ｈ３(1級) , Ｌ１(2級) , 新断Ａ , 新断Ｂ</t>
  </si>
  <si>
    <t>8bae8c64</t>
  </si>
  <si>
    <t>f5dd74dc</t>
  </si>
  <si>
    <t>29f5f6c4</t>
  </si>
  <si>
    <t>9a078404</t>
  </si>
  <si>
    <t>Ｈ１(特A) , Ｈ２(特級) , ＪＨ１(H2T山口)鍛造ﾊﾞﾘ , Ｈ３(1級) , Ｌ１(2級) , 新断Ａ , 新断Ｂ , シュレＡ , シュレＢ , シュレＣ , ＣＰ Ａ , ＣＰ Ｂ一斗缶</t>
  </si>
  <si>
    <t>大鉄　堺:大鉄堺Ｈ１(特A) , Ｈ２(特級) , ＪＨ１(H2T山口)鍛造ﾊﾞﾘ , Ｈ３(1級) , Ｌ１(2級) , 新断Ａ , 新断Ｂ , シュレＡ , シュレＢ , シュレＣ , ＣＰ Ａ , ＣＰ Ｂ一斗缶</t>
  </si>
  <si>
    <t>0a1d633e</t>
  </si>
  <si>
    <t>786ff7ca</t>
  </si>
  <si>
    <t>d1fbcdc8</t>
  </si>
  <si>
    <t>f7580660</t>
  </si>
  <si>
    <t>074f56f2</t>
  </si>
  <si>
    <t>c892ccdb</t>
  </si>
  <si>
    <t>9a02ef36</t>
  </si>
  <si>
    <t>036668c1</t>
  </si>
  <si>
    <t>9a2036f9</t>
  </si>
  <si>
    <t>174a9bfa</t>
  </si>
  <si>
    <t>Ｈ３(1級) , 新断Ｂ , Ｈ１(特A) , Ｌ１(2級) , 鋼ダライＡ , Ｈ２(特級) , Ｌ２(H4･級外･L1ﾊﾞﾗ) , ＣＰ Ａ , 新断Ａ</t>
  </si>
  <si>
    <t>ＪＦＥ条鋼:リバイブＨ３(1級) , 新断Ｂ , Ｈ１(特A) , Ｌ１(2級) , 鋼ダライＡ , Ｈ２(特級) , Ｌ２(H4･級外･L1ﾊﾞﾗ) , ＣＰ Ａ , 新断Ａ</t>
  </si>
  <si>
    <t>d6b66f5b</t>
  </si>
  <si>
    <t>f838ef5f</t>
  </si>
  <si>
    <t>ca0a500f</t>
  </si>
  <si>
    <t>df153b3d</t>
  </si>
  <si>
    <t>7991adbd</t>
  </si>
  <si>
    <t>e31aaca3</t>
  </si>
  <si>
    <t>2e50ba16</t>
  </si>
  <si>
    <t>310444be</t>
  </si>
  <si>
    <t>e7f3edac</t>
  </si>
  <si>
    <t>86e229be</t>
  </si>
  <si>
    <t>5bc9c3cc</t>
  </si>
  <si>
    <t>4a881b2c</t>
  </si>
  <si>
    <t>fd9dcee2</t>
  </si>
  <si>
    <t>da579b15</t>
  </si>
  <si>
    <t>a38d9695</t>
  </si>
  <si>
    <t>2d81455a</t>
  </si>
  <si>
    <t>3b76d739</t>
  </si>
  <si>
    <t>e99e54ed</t>
  </si>
  <si>
    <t>2b850f03</t>
  </si>
  <si>
    <t>7de2dc1c</t>
  </si>
  <si>
    <t>03a41451</t>
  </si>
  <si>
    <t>18c08e21</t>
  </si>
  <si>
    <t>6ad4141e</t>
  </si>
  <si>
    <t>f26f12d4</t>
  </si>
  <si>
    <t>1dd55fe4</t>
  </si>
  <si>
    <t>南港:ﾅﾝｾｲＨ１(特A)</t>
  </si>
  <si>
    <t>c619ca64</t>
  </si>
  <si>
    <t>南港:ﾅﾝｾｲＨ３(1級)</t>
  </si>
  <si>
    <t>c4489dea</t>
  </si>
  <si>
    <t>南港:ﾅﾝｾｲＬ１(2級)</t>
  </si>
  <si>
    <t>42c70537</t>
  </si>
  <si>
    <t>29990ebb</t>
  </si>
  <si>
    <t>6832b12d</t>
  </si>
  <si>
    <t>d8480dd8</t>
  </si>
  <si>
    <t>ＨＳ１(単体H1/電特A/HS)) , ＨＳ２ , Ｈ１(特A) , Ｈ２(特級) , Ｈ３(1級) , Ｌ２(H4･級外･L1ﾊﾞﾗ) , シュレＡ</t>
  </si>
  <si>
    <t>愛知:阪和ＨＳ１(単体H1/電特A/HS)) , ＨＳ２ , Ｈ１(特A) , Ｈ２(特級) , Ｈ３(1級) , Ｌ２(H4･級外･L1ﾊﾞﾗ) , シュレＡ</t>
  </si>
  <si>
    <t>1e8470e3</t>
  </si>
  <si>
    <t>9b1f157b</t>
  </si>
  <si>
    <t>acac58e4</t>
  </si>
  <si>
    <t>081f8775</t>
  </si>
  <si>
    <t>ＨＳ１(単体H1/電特A/HS)) , 鋼ダライＡ</t>
  </si>
  <si>
    <t>大同特殊鋼:大同興業ＨＳ１(単体H1/電特A/HS)) , 鋼ダライＡ</t>
  </si>
  <si>
    <t>b2fd48d3</t>
  </si>
  <si>
    <t>大同特殊鋼:JSE/大和ﾘﾃｯｸＨＳ１(単体H1/電特A/HS)) , Ｈ２(特級) , 鋼ダライＡ</t>
  </si>
  <si>
    <t>865cc67e</t>
  </si>
  <si>
    <t>大同特殊鋼:JSE/第二＠2.3 , JSE/岐阜＠1.5ＨＳ１(単体H1/電特A/HS)) , Ｈ２(特級) , 鋼ダライＡ</t>
  </si>
  <si>
    <t>98ed04a2</t>
  </si>
  <si>
    <t>49909a40</t>
  </si>
  <si>
    <t>e588468d</t>
  </si>
  <si>
    <t>91f4fba0</t>
  </si>
  <si>
    <t>390d02d2</t>
  </si>
  <si>
    <t>d3e5e2da</t>
  </si>
  <si>
    <t>54e2af8e</t>
  </si>
  <si>
    <t>763f4f39</t>
  </si>
  <si>
    <t>5dd35dde</t>
  </si>
  <si>
    <t>468eabd4</t>
  </si>
  <si>
    <t>b4a2e875</t>
  </si>
  <si>
    <t>7bed7f9a</t>
  </si>
  <si>
    <t>合同大阪:伊藤忠Ｈ１(特A)</t>
  </si>
  <si>
    <t>9210efcc</t>
  </si>
  <si>
    <t>ＨＳ１(単体H1/電特A/HS)) , ＨＳ２ , Ｈ２(特級) , Ｈ３(1級) , Ｌ１(2級) , 新断Ａ , 新断Ｂ , 鋼ダライＡ , 鋼ダライＢ</t>
  </si>
  <si>
    <t>合同大阪:伊藤忠ＨＳ１(単体H1/電特A/HS)) , ＨＳ２ , Ｈ２(特級) , Ｈ３(1級) , Ｌ１(2級) , 新断Ａ , 新断Ｂ , 鋼ダライＡ , 鋼ダライＢ</t>
  </si>
  <si>
    <t>8866c0ef</t>
  </si>
  <si>
    <t>118738bc</t>
  </si>
  <si>
    <t>60e577a6</t>
  </si>
  <si>
    <t>1acc0b0e</t>
  </si>
  <si>
    <t>11ce6b7f</t>
  </si>
  <si>
    <t>南港:産振新断Ａ</t>
  </si>
  <si>
    <t>7b38436e</t>
  </si>
  <si>
    <t>泉北中谷:豊通新断Ａ</t>
  </si>
  <si>
    <t>94c77748</t>
  </si>
  <si>
    <t>合同姫路:阪和新断Ｂ</t>
  </si>
  <si>
    <t>0f53eb97</t>
  </si>
  <si>
    <t>0d2cb084</t>
  </si>
  <si>
    <t>Ｈ２(特級) , Ｈ３(1級) , Ｈ１(特A) , Ｌ１(2級)</t>
  </si>
  <si>
    <t>南港:ﾅﾝｾｲＨ２(特級) , Ｈ３(1級) , Ｈ１(特A) , Ｌ１(2級)</t>
  </si>
  <si>
    <t>dffb3755</t>
  </si>
  <si>
    <t>:</t>
  </si>
  <si>
    <t>abab0ca4</t>
  </si>
  <si>
    <t>62abd83f</t>
  </si>
  <si>
    <t>1e7b80bb</t>
  </si>
  <si>
    <t>ＨＳ１(単体H1/電特A/HS)) , ＨＳ２ , Ｈ１(特A) , Ｈ２(特級) , Ｈ３(1級) , Ｌ１(2級)</t>
  </si>
  <si>
    <t>合同大阪:伊藤忠ＨＳ１(単体H1/電特A/HS)) , ＨＳ２ , Ｈ１(特A) , Ｈ２(特級) , Ｈ３(1級) , Ｌ１(2級)</t>
  </si>
  <si>
    <t>3b1223e0</t>
  </si>
  <si>
    <t>2aeaca6f</t>
  </si>
  <si>
    <t>447cc794</t>
  </si>
  <si>
    <t>744c6397</t>
  </si>
  <si>
    <t>d17f1d1b</t>
  </si>
  <si>
    <t>d98fff42</t>
  </si>
  <si>
    <t>Ｈ２(特級) , 鋼ダライＡ</t>
  </si>
  <si>
    <t>大鉄　堺:産振Ｈ２(特級) , 鋼ダライＡ</t>
  </si>
  <si>
    <t>a4f905dd</t>
  </si>
  <si>
    <t>Ｈ１(特A) , Ｈ３(1級) , ＣＰ Ａ , ＣＰ Ｂ一斗缶 , Ｌ１(2級) , 新断Ａ , 新断Ｂ</t>
  </si>
  <si>
    <t>大鉄　堺:産振Ｈ１(特A) , Ｈ３(1級) , ＣＰ Ａ , ＣＰ Ｂ一斗缶 , Ｌ１(2級) , 新断Ａ , 新断Ｂ</t>
  </si>
  <si>
    <t>03f14808</t>
  </si>
  <si>
    <t>37593307</t>
  </si>
  <si>
    <t>c080a335</t>
  </si>
  <si>
    <t>5e4f9c90</t>
  </si>
  <si>
    <t>b425b092</t>
  </si>
  <si>
    <t>f763d1f8</t>
  </si>
  <si>
    <t>1783b9ad</t>
  </si>
  <si>
    <t>3d77ccb0</t>
  </si>
  <si>
    <t>1dacc40e</t>
  </si>
  <si>
    <t>合同姫路:阪和新断Ａ , 新断Ｂ</t>
  </si>
  <si>
    <t>b77d4ea4</t>
  </si>
  <si>
    <t>7d26a8d6</t>
  </si>
  <si>
    <t>bd34d655</t>
  </si>
  <si>
    <t>9492a255</t>
  </si>
  <si>
    <t>4c661acc</t>
  </si>
  <si>
    <t>e45fe554</t>
  </si>
  <si>
    <t>cc783403</t>
  </si>
  <si>
    <t>ab4e4b02</t>
  </si>
  <si>
    <t>85af047f</t>
  </si>
  <si>
    <t>1bd44b9c</t>
  </si>
  <si>
    <t>eeda685c</t>
  </si>
  <si>
    <t>b5b4e8e0</t>
  </si>
  <si>
    <t>11063f22</t>
  </si>
  <si>
    <t>b321825c</t>
  </si>
  <si>
    <t>bd3a301f</t>
  </si>
  <si>
    <t>2c5fc4a8</t>
  </si>
  <si>
    <t>c626c824</t>
  </si>
  <si>
    <t>大同特殊鋼:JSE/第二＠2.3ＨＳ１(単体H1/電特A/HS)) , Ｈ２(特級) , 鋼ダライＡ</t>
  </si>
  <si>
    <t>b15909c1</t>
  </si>
  <si>
    <t>大同特殊鋼:JSE/岐阜＠1.5ＨＳ１(単体H1/電特A/HS)) , Ｈ２(特級) , 鋼ダライＡ</t>
  </si>
  <si>
    <t>6903bebb</t>
  </si>
  <si>
    <t>3daa722f</t>
  </si>
  <si>
    <t>8a4c1bb1</t>
  </si>
  <si>
    <t>76a6be31</t>
  </si>
  <si>
    <t>6bb35aca</t>
  </si>
  <si>
    <t>24e9b9d9</t>
  </si>
  <si>
    <t>77c1b4e3</t>
  </si>
  <si>
    <t>e14b863a</t>
  </si>
  <si>
    <t>60ef85f5</t>
  </si>
  <si>
    <t>8e7523ba</t>
  </si>
  <si>
    <t>大鉄堺 , 豊通 , 産振</t>
  </si>
  <si>
    <t>大鉄　堺:大鉄堺 , 豊通 , 産振</t>
  </si>
  <si>
    <t>大鉄　堺:大鉄堺 , 豊通 , 産振鋼ダライＡ , 鋼ダライＢ</t>
  </si>
  <si>
    <t>b3b7cd72</t>
  </si>
  <si>
    <t>a04bd955</t>
  </si>
  <si>
    <t>7f4fb7fe</t>
  </si>
  <si>
    <t>f5e87003</t>
  </si>
  <si>
    <t>25daf5b8</t>
  </si>
  <si>
    <t>c87876f1</t>
  </si>
  <si>
    <t>81e448cd</t>
  </si>
  <si>
    <t>c8fa7fd3</t>
  </si>
  <si>
    <t>d8519eba</t>
  </si>
  <si>
    <t>facf323b</t>
  </si>
  <si>
    <t>2981010a</t>
  </si>
  <si>
    <t>a6259943</t>
  </si>
  <si>
    <t>66f22132</t>
  </si>
  <si>
    <t>978e06b5</t>
  </si>
  <si>
    <t>4b5d90d8</t>
  </si>
  <si>
    <t>15723d4d</t>
  </si>
  <si>
    <t>614698a0</t>
  </si>
  <si>
    <t>0fd844a1</t>
  </si>
  <si>
    <t>ＨＳ１(単体H1/電特A/HS)) , ＪＨ１(H2T山口)鍛造ﾊﾞﾘ , Ｈ２(特級) , Ｈ３(1級) , Ｌ２(H4･級外･L1ﾊﾞﾗ) , 鋳物・ﾀﾞｸﾀｲﾙ</t>
  </si>
  <si>
    <t>山口鋼業:MM建材ＨＳ１(単体H1/電特A/HS)) , ＪＨ１(H2T山口)鍛造ﾊﾞﾘ , Ｈ２(特級) , Ｈ３(1級) , Ｌ２(H4･級外･L1ﾊﾞﾗ) , 鋳物・ﾀﾞｸﾀｲﾙ</t>
  </si>
  <si>
    <t>139db2f3</t>
  </si>
  <si>
    <t>e4bd93e1</t>
  </si>
  <si>
    <t>大同特殊鋼:大同興業ＨＳ１(単体H1/電特A/HS))</t>
  </si>
  <si>
    <t>12b241cc</t>
  </si>
  <si>
    <t>大同特殊鋼:JSE/大和ﾘﾃｯｸ , JSE/第二＠2.3 , JSE/岐阜＠1.5ＨＳ１(単体H1/電特A/HS)) , Ｈ２(特級)</t>
  </si>
  <si>
    <t>a8f212ec</t>
  </si>
  <si>
    <t>8a244e19</t>
  </si>
  <si>
    <t>650abf8d</t>
  </si>
  <si>
    <t>中山鋼業:ナベＪＨ１(H2T山口)鍛造ﾊﾞﾘ</t>
  </si>
  <si>
    <t>14e5658f</t>
  </si>
  <si>
    <t>b2fa1ac8</t>
  </si>
  <si>
    <t>9b88c300</t>
  </si>
  <si>
    <t>ＨＳ１(単体H1/電特A/HS)) , Ｌ１(2級) , ＨＳ２ , ＨＳ３</t>
  </si>
  <si>
    <t>山陽特殊:MMＨＳ１(単体H1/電特A/HS)) , Ｌ１(2級) , ＨＳ２ , ＨＳ３</t>
  </si>
  <si>
    <t>8db8774b</t>
  </si>
  <si>
    <t>c3e3e34f</t>
  </si>
  <si>
    <t>シュレＡ , 新断Ａ , 新断Ｂ</t>
  </si>
  <si>
    <t>愛知:阪和シュレＡ , 新断Ａ , 新断Ｂ</t>
  </si>
  <si>
    <t>9e31e895</t>
  </si>
  <si>
    <t>ﾔﾏﾄ:阪和Ｈ１(特A) , Ｈ２(特級) , Ｈ３(1級) , Ｌ１(2級) , Ｌ２(H4･級外･L1ﾊﾞﾗ)</t>
  </si>
  <si>
    <t>b6856f6a</t>
  </si>
  <si>
    <t>051631cc</t>
  </si>
  <si>
    <t>b9a2ac5e</t>
  </si>
  <si>
    <t>c7a6818b</t>
  </si>
  <si>
    <t>c2448f0d</t>
  </si>
  <si>
    <t>中山製鋼:豊通ＨＳ１(単体H1/電特A/HS))</t>
  </si>
  <si>
    <t>f5f630a4</t>
  </si>
  <si>
    <t>3fb29d24</t>
  </si>
  <si>
    <t>e8636366</t>
  </si>
  <si>
    <t>b7978c53</t>
  </si>
  <si>
    <t>7619abfa</t>
  </si>
  <si>
    <t>e02d94d8</t>
  </si>
  <si>
    <t>4e4b8f61</t>
  </si>
  <si>
    <t>ＨＳ１(単体H1/電特A/HS)) , Ｌ１(2級) , ＨＳ２ , 新断Ａ , ＨＳ３ , 新断Ｂ , 新断Ｃ</t>
  </si>
  <si>
    <t>山陽特殊:MMＨＳ１(単体H1/電特A/HS)) , Ｌ１(2級) , ＨＳ２ , 新断Ａ , ＨＳ３ , 新断Ｂ , 新断Ｃ</t>
  </si>
  <si>
    <t>3bebee18</t>
  </si>
  <si>
    <t>b5b678b7</t>
  </si>
  <si>
    <t>Ｈ１(特A) , 新断Ａ , Ｈ２(特級) , 新断Ｂ , ＨＳ１(単体H1/電特A/HS)) , Ｈ３(1級) , ＨＳ２ , Ｌ２(H4･級外･L1ﾊﾞﾗ) , シュレＡ</t>
  </si>
  <si>
    <t>愛知:阪和Ｈ１(特A) , 新断Ａ , Ｈ２(特級) , 新断Ｂ , ＨＳ１(単体H1/電特A/HS)) , Ｈ３(1級) , ＨＳ２ , Ｌ２(H4･級外･L1ﾊﾞﾗ) , シュレＡ</t>
  </si>
  <si>
    <t>301525a4</t>
  </si>
  <si>
    <t>Ｈ２(特級) , 鋼ダライＡ , ＨＳ１(単体H1/電特A/HS))</t>
  </si>
  <si>
    <t>大同特殊鋼:JSE/大和ﾘﾃｯｸＨ２(特級) , 鋼ダライＡ , ＨＳ１(単体H1/電特A/HS))</t>
  </si>
  <si>
    <t>6fa1448d</t>
  </si>
  <si>
    <t>JSE/第二＠2.3 , JSE/岐阜＠1.5 , 大同興業</t>
  </si>
  <si>
    <t>大同特殊鋼:JSE/第二＠2.3 , JSE/岐阜＠1.5 , 大同興業</t>
  </si>
  <si>
    <t>大同特殊鋼:JSE/第二＠2.3 , JSE/岐阜＠1.5 , 大同興業鋼ダライＡ , ＨＳ１(単体H1/電特A/HS)) , Ｈ２(特級)</t>
  </si>
  <si>
    <t>292e38de</t>
  </si>
  <si>
    <t>ＪＨ１(H2T山口)鍛造ﾊﾞﾘ , Ｌ２(H4･級外･L1ﾊﾞﾗ) , 鋼ダライＡ , Ｈ２(特級) , 鋳物・ﾀﾞｸﾀｲﾙ , ＨＳ１(単体H1/電特A/HS)) , Ｈ３(1級)</t>
  </si>
  <si>
    <t>山口鋼業:MM建材ＪＨ１(H2T山口)鍛造ﾊﾞﾘ , Ｌ２(H4･級外･L1ﾊﾞﾗ) , 鋼ダライＡ , Ｈ２(特級) , 鋳物・ﾀﾞｸﾀｲﾙ , ＨＳ１(単体H1/電特A/HS)) , Ｈ３(1級)</t>
  </si>
  <si>
    <t>f8ea515d</t>
  </si>
  <si>
    <t>Ｈ１(特A) , Ｈ２(特級) , Ｈ３(1級) , ＨＳ１(単体H1/電特A/HS)) , Ｌ２(H4･級外･L1ﾊﾞﾗ)</t>
  </si>
  <si>
    <t>山口鋼業:阪和Ｈ１(特A) , Ｈ２(特級) , Ｈ３(1級) , ＨＳ１(単体H1/電特A/HS)) , Ｌ２(H4･級外･L1ﾊﾞﾗ)</t>
  </si>
  <si>
    <t>530641d9</t>
  </si>
  <si>
    <t>Ｈ３(1級) , Ｌ１(2級) , Ｈ１(特A) , Ｈ２(特級)</t>
  </si>
  <si>
    <t>共英名古屋:ナベＨ３(1級) , Ｌ１(2級) , Ｈ１(特A) , Ｈ２(特級)</t>
  </si>
  <si>
    <t>a80ac9c2</t>
  </si>
  <si>
    <t>306c86c7</t>
  </si>
  <si>
    <t>2cd5185b</t>
  </si>
  <si>
    <t>a0a504cb</t>
  </si>
  <si>
    <t>1bd534ae</t>
  </si>
  <si>
    <t>9c51ac84</t>
  </si>
  <si>
    <t>836bf79f</t>
  </si>
  <si>
    <t>b6af6f20</t>
  </si>
  <si>
    <t>2ce541ec</t>
  </si>
  <si>
    <t>大鉄　堺:ナベＨ２(特級)</t>
  </si>
  <si>
    <t>0e9c254b</t>
  </si>
  <si>
    <t>大鉄　堺:ナベＨ３(1級)</t>
  </si>
  <si>
    <t>075b0167</t>
  </si>
  <si>
    <t>大鉄　堺:ナベＬ１(2級)</t>
  </si>
  <si>
    <t>5523ab59</t>
  </si>
  <si>
    <t>ＨＳ２ , Ｈ１(特A) , Ｈ２(特級) , Ｈ３(1級) , Ｌ１(2級)</t>
  </si>
  <si>
    <t>中山製鋼:豊通ＨＳ２ , Ｈ１(特A) , Ｈ２(特級) , Ｈ３(1級) , Ｌ１(2級)</t>
  </si>
  <si>
    <t>6964f75d</t>
  </si>
  <si>
    <t>中山製鋼:豊通新断Ａ , 新断Ｂ , 新断Ｃ</t>
  </si>
  <si>
    <t>bca74f32</t>
  </si>
  <si>
    <t>a2fe3b02</t>
  </si>
  <si>
    <t>中山製鋼:阪和ＨＳ２ , Ｈ１(特A) , Ｈ２(特級) , Ｈ３(1級) , Ｌ１(2級)</t>
  </si>
  <si>
    <t>dcc14aa3</t>
  </si>
  <si>
    <t>中山製鋼:阪和新断Ａ , 新断Ｂ , 新断Ｃ</t>
  </si>
  <si>
    <t>4e145e8d</t>
  </si>
  <si>
    <t>Ｈ１(特A) , Ｈ２(特級)</t>
  </si>
  <si>
    <t>大鉄　堺:産振Ｈ１(特A) , Ｈ２(特級)</t>
  </si>
  <si>
    <t>50c67344</t>
  </si>
  <si>
    <t>d15ba7e0</t>
  </si>
  <si>
    <t>9815fa3b</t>
  </si>
  <si>
    <t>山陽特殊:大同ＨＳ１(単体H1/電特A/HS))</t>
  </si>
  <si>
    <t>fe8fd06e</t>
  </si>
  <si>
    <t>山陽特殊:大同ＨＳ２</t>
  </si>
  <si>
    <t>820197c7</t>
  </si>
  <si>
    <t>山陽特殊:大同ＨＳ３</t>
  </si>
  <si>
    <t>1b57e20f</t>
  </si>
  <si>
    <t>シュレＡ , シュレＣ</t>
  </si>
  <si>
    <t>東鐵関西:直納シュレＡ , シュレＣ</t>
  </si>
  <si>
    <t>b12d1c8c</t>
  </si>
  <si>
    <t>3a8f89dc</t>
  </si>
  <si>
    <t>ＨＳ１(単体H1/電特A/HS)) , Ｈ１(特A) , Ｈ２(特級) , Ｈ３(1級) , Ｌ１(2級) , Ｌ２(H4･級外･L1ﾊﾞﾗ) , 鋼ダライＡ , シュレＡ , シュレＣ , ＣＰ Ａ</t>
  </si>
  <si>
    <t>東鐵田原:直納ＨＳ１(単体H1/電特A/HS)) , Ｈ１(特A) , Ｈ２(特級) , Ｈ３(1級) , Ｌ１(2級) , Ｌ２(H4･級外･L1ﾊﾞﾗ) , 鋼ダライＡ , シュレＡ , シュレＣ , ＣＰ Ａ</t>
  </si>
  <si>
    <t>5527b2d7</t>
  </si>
  <si>
    <t>6f870e4e</t>
  </si>
  <si>
    <t>611a1e92</t>
  </si>
  <si>
    <t>6f4cc10e</t>
  </si>
  <si>
    <t>a858f286</t>
  </si>
  <si>
    <t>64490ab2</t>
  </si>
  <si>
    <t>ae3217aa</t>
  </si>
  <si>
    <t>ＪＦＥ条鋼:リバイブＨ１(特A) , Ｈ２(特級) , Ｈ３(1級) , Ｌ１(2級)</t>
  </si>
  <si>
    <t>60235232</t>
  </si>
  <si>
    <t>ＪＦＥ条鋼:リバイブ鋼ダライＡ</t>
  </si>
  <si>
    <t>f5c58c5c</t>
  </si>
  <si>
    <t>b231f4ff</t>
  </si>
  <si>
    <t>73c41275</t>
  </si>
  <si>
    <t>d397ec36</t>
  </si>
  <si>
    <t>fb54e524</t>
  </si>
  <si>
    <t>2a5b20b5</t>
  </si>
  <si>
    <t>be13c31c</t>
  </si>
  <si>
    <t>68c13a0d</t>
  </si>
  <si>
    <t>67d660b3</t>
  </si>
  <si>
    <t>8068361f</t>
  </si>
  <si>
    <t>05ad3576</t>
  </si>
  <si>
    <t>17f71808</t>
  </si>
  <si>
    <t>山陽特殊:大同ＨＳ１(単体H1/電特A/HS)) , ＨＳ２ , ＨＳ３</t>
  </si>
  <si>
    <t>882da63b</t>
  </si>
  <si>
    <t>039fbb83</t>
  </si>
  <si>
    <t>新断Ｂ , 新断Ｃ , 新断Ａ</t>
  </si>
  <si>
    <t>中山製鋼:阪和新断Ｂ , 新断Ｃ , 新断Ａ</t>
  </si>
  <si>
    <t>c8160d9c</t>
  </si>
  <si>
    <t>ＨＳ２ , 新断Ａ , 新断Ｂ , 新断Ｃ</t>
  </si>
  <si>
    <t>中山製鋼:豊通ＨＳ２ , 新断Ａ , 新断Ｂ , 新断Ｃ</t>
  </si>
  <si>
    <t>44420df6</t>
  </si>
  <si>
    <t>98cb01a5</t>
  </si>
  <si>
    <t>f3f092d3</t>
  </si>
  <si>
    <t>7f2a2276</t>
  </si>
  <si>
    <t>中山製鋼:阪和 , 豊通ＨＳ２ , 新断Ａ , 新断Ｂ , 新断Ｃ</t>
  </si>
  <si>
    <t>47ee6a3a</t>
  </si>
  <si>
    <t>67da0bd0</t>
  </si>
  <si>
    <t>956bbf09</t>
  </si>
  <si>
    <t>7db23ac3</t>
  </si>
  <si>
    <t>大鉄　堺:大鉄堺Ｈ１(特A) , Ｈ２(特級) , ＪＨ１(H2T山口)鍛造ﾊﾞﾘ , Ｈ３(1級) , Ｌ１(2級) , 新断Ａ , 新断Ｂ , 鋼ダライＡ , 鋼ダライＢ , シュレＡ , シュレＢ , シュレＣ , ＣＰ Ａ , ＣＰ Ｂ一斗缶</t>
  </si>
  <si>
    <t>7f0f7e49</t>
  </si>
  <si>
    <t>Ｈ１(特A) , ＪＨ１(H2T山口)鍛造ﾊﾞﾘ , Ｈ２(特級) , Ｈ３(1級) , Ｌ１(2級) , 新断Ａ , 新断Ｂ , 鋼ダライＡ , 鋼ダライＢ , シュレＡ , シュレＢ , シュレＣ , ＣＰ Ａ , ＣＰ Ｂ一斗缶</t>
  </si>
  <si>
    <t>大鉄　堺:豊通Ｈ１(特A) , ＪＨ１(H2T山口)鍛造ﾊﾞﾘ , Ｈ２(特級) , Ｈ３(1級) , Ｌ１(2級) , 新断Ａ , 新断Ｂ , 鋼ダライＡ , 鋼ダライＢ , シュレＡ , シュレＢ , シュレＣ , ＣＰ Ａ , ＣＰ Ｂ一斗缶</t>
  </si>
  <si>
    <t>57f275f3</t>
  </si>
  <si>
    <t>Ｈ１(特A) , Ｈ２(特級) , Ｈ３(1級) , ＣＰ Ａ , ＣＰ Ｂ一斗缶 , Ｌ１(2級) , 新断Ａ , 新断Ｂ , 鋼ダライＡ</t>
  </si>
  <si>
    <t>大鉄　堺:産振Ｈ１(特A) , Ｈ２(特級) , Ｈ３(1級) , ＣＰ Ａ , ＣＰ Ｂ一斗缶 , Ｌ１(2級) , 新断Ａ , 新断Ｂ , 鋼ダライＡ</t>
  </si>
  <si>
    <t>18ab7056</t>
  </si>
  <si>
    <t>76c560f8</t>
  </si>
  <si>
    <t>大鉄　堺:ナベＨ１(特A) , Ｈ２(特級) , Ｈ３(1級) , Ｌ１(2級)</t>
  </si>
  <si>
    <t>b1dcbb63</t>
  </si>
  <si>
    <t>63cc0bea</t>
  </si>
  <si>
    <t>大鉄　堺:ナベＨ１(特A)</t>
  </si>
  <si>
    <t>698664a7</t>
  </si>
  <si>
    <t>be4ae929</t>
  </si>
  <si>
    <t>d436a613</t>
  </si>
  <si>
    <t>0a7e2a0d</t>
  </si>
  <si>
    <t>岸和田:岡谷鋼機Ｈ１(特A)</t>
  </si>
  <si>
    <t>32cba554</t>
  </si>
  <si>
    <t>岸和田:岡谷鋼機Ｈ２(特級)</t>
  </si>
  <si>
    <t>9ee8b3e9</t>
  </si>
  <si>
    <t>岸和田:岡谷鋼機Ｈ３(1級)</t>
  </si>
  <si>
    <t>fa154ce4</t>
  </si>
  <si>
    <t>Ｈ３(1級) , 新断Ｃ , Ｈ１/ｻﾑﾃｯｸ , Ｌ１(2級) , Ｈ１(特A) , 新断Ａ , ＨＳ２ , Ｈ２(特級) , 新断Ｂ</t>
  </si>
  <si>
    <t>中山製鋼:豊通Ｈ３(1級) , 新断Ｃ , Ｈ１/ｻﾑﾃｯｸ , Ｌ１(2級) , Ｈ１(特A) , 新断Ａ , ＨＳ２ , Ｈ２(特級) , 新断Ｂ</t>
  </si>
  <si>
    <t>c4908016</t>
  </si>
  <si>
    <t>7f794e69</t>
  </si>
  <si>
    <t>ＨＳ２ , Ｈ２(特級) , 新断Ｂ , Ｈ３(1級) , 新断Ｃ , Ｈ１/ｻﾑﾃｯｸ , Ｌ１(2級) , Ｈ１(特A) , 新断Ａ</t>
  </si>
  <si>
    <t>中山製鋼:阪和ＨＳ２ , Ｈ２(特級) , 新断Ｂ , Ｈ３(1級) , 新断Ｃ , Ｈ１/ｻﾑﾃｯｸ , Ｌ１(2級) , Ｈ１(特A) , 新断Ａ</t>
  </si>
  <si>
    <t>e56b297b</t>
  </si>
  <si>
    <t>d941be6d</t>
  </si>
  <si>
    <t>14d3a3c7</t>
  </si>
  <si>
    <t>28742585</t>
  </si>
  <si>
    <t>Ｈ３(1級) , Ｌ１(2級)</t>
  </si>
  <si>
    <t>大鉄　堺:産振Ｈ３(1級) , Ｌ１(2級)</t>
  </si>
  <si>
    <t>dea2dfea</t>
  </si>
  <si>
    <t>75b31d19</t>
  </si>
  <si>
    <t>中山製鋼:阪和ＨＳ２</t>
  </si>
  <si>
    <t>1ec1e99b</t>
  </si>
  <si>
    <t>北港:リバイブＨＳ１(単体H1/電特A/HS))</t>
  </si>
  <si>
    <t>b4f35a28</t>
  </si>
  <si>
    <t>24cef77d</t>
  </si>
  <si>
    <t>e0ffd8bb</t>
  </si>
  <si>
    <t>7e128e49</t>
  </si>
  <si>
    <t>2f18833b</t>
  </si>
  <si>
    <t>ＨＳ１(単体H1/電特A/HS)) , Ｈ１(特A) , Ｈ２(特級) , Ｈ３(1級) , Ｌ１(2級) , Ｌ２(H4･級外･L1ﾊﾞﾗ) , シュレＡ , シュレＣ , 新断Ａ , 新断Ｂ , ＣＰ Ａ</t>
  </si>
  <si>
    <t>東鐵岡山:直納ＨＳ１(単体H1/電特A/HS)) , Ｈ１(特A) , Ｈ２(特級) , Ｈ３(1級) , Ｌ１(2級) , Ｌ２(H4･級外･L1ﾊﾞﾗ) , シュレＡ , シュレＣ , 新断Ａ , 新断Ｂ , ＣＰ Ａ</t>
  </si>
  <si>
    <t>f7a40e02</t>
  </si>
  <si>
    <t>09fa2f7b</t>
  </si>
  <si>
    <t>14ed6682</t>
  </si>
  <si>
    <t>350a1d24</t>
  </si>
  <si>
    <t>2ddfd7bf</t>
  </si>
  <si>
    <t>bce5ecaa</t>
  </si>
  <si>
    <t>4c8d200e</t>
  </si>
  <si>
    <t>05695c98</t>
  </si>
  <si>
    <t>ad5fe95f</t>
  </si>
  <si>
    <t>合同大阪:伊藤忠鋼ダライＡ , 鋼ダライＢ</t>
  </si>
  <si>
    <t>39421609</t>
  </si>
  <si>
    <t>2dd7420f</t>
  </si>
  <si>
    <t>db4bfcca</t>
  </si>
  <si>
    <t>7ed0d271</t>
  </si>
  <si>
    <t>c806a9fd</t>
  </si>
  <si>
    <t>5ccc4fd1</t>
  </si>
  <si>
    <t>def07d9c</t>
  </si>
  <si>
    <t>bd7b139c</t>
  </si>
  <si>
    <t>Ｈ１(特A) , Ｈ２(特級) , Ｈ３(1級)</t>
  </si>
  <si>
    <t>岸和田:岡谷鋼機Ｈ１(特A) , Ｈ２(特級) , Ｈ３(1級)</t>
  </si>
  <si>
    <t>7d07a830</t>
  </si>
  <si>
    <t>fb9e5be3</t>
  </si>
  <si>
    <t>a0079cac</t>
  </si>
  <si>
    <t>e9050a24</t>
  </si>
  <si>
    <t>c57370e1</t>
  </si>
  <si>
    <t>31400d76</t>
  </si>
  <si>
    <t>9a70558c</t>
  </si>
  <si>
    <t>671a8c1c</t>
  </si>
  <si>
    <t>cb1ae4d9</t>
  </si>
  <si>
    <t>ce45a752</t>
  </si>
  <si>
    <t>21cc4e59</t>
  </si>
  <si>
    <t>eb70e273</t>
  </si>
  <si>
    <t>83c3b637</t>
  </si>
  <si>
    <t>ec3d50a6</t>
  </si>
  <si>
    <t>3ee9cfdf</t>
  </si>
  <si>
    <t>588f9b66</t>
  </si>
  <si>
    <t>808c0288</t>
  </si>
  <si>
    <t>875967b1</t>
  </si>
  <si>
    <t>b3dc443e</t>
  </si>
  <si>
    <t>393c82bd</t>
  </si>
  <si>
    <t>4e4b0036</t>
  </si>
  <si>
    <t>cb225bb6</t>
  </si>
  <si>
    <t>泉北中谷:ナベ双葉ＨＳ１(単体H1/電特A/HS)) , 新断Ａ</t>
  </si>
  <si>
    <t>ce8cf266</t>
  </si>
  <si>
    <t>中山製鋼:豊通ＨＳ２ , Ｈ１/ｻﾑﾃｯｸ , Ｈ１(特A) , Ｈ２(特級) , Ｈ３(1級) , Ｌ１(2級) , 新断Ａ , 新断Ｂ , 新断Ｃ</t>
  </si>
  <si>
    <t>400dfc90</t>
  </si>
  <si>
    <t>a9f8d1a8</t>
  </si>
  <si>
    <t>合同姫路:阪和新断Ａ , 新断Ｂ , 新断Ｃ</t>
  </si>
  <si>
    <t>bf894fa9</t>
  </si>
  <si>
    <t>cf604b3e</t>
  </si>
  <si>
    <t>a75679d1</t>
  </si>
  <si>
    <t>1d93ddb0</t>
  </si>
  <si>
    <t>331fc95e</t>
  </si>
  <si>
    <t>368baeca</t>
  </si>
  <si>
    <t>c9b7b1c3</t>
  </si>
  <si>
    <t>1b934be0</t>
  </si>
  <si>
    <t>合同姫路:阪和新断Ｃ</t>
  </si>
  <si>
    <t>7ed638ca</t>
  </si>
  <si>
    <t>9aceeaed</t>
  </si>
  <si>
    <t>ＨＳ１(単体H1/電特A/HS)) , ＨＳ２ , Ｈ１(特A) , Ｈ２(特級) , Ｈ３(1級) , Ｌ１(2級) , 鋼ダライＡ , 鋼ダライＢ</t>
  </si>
  <si>
    <t>合同大阪:伊藤忠ＨＳ１(単体H1/電特A/HS)) , ＨＳ２ , Ｈ１(特A) , Ｈ２(特級) , Ｈ３(1級) , Ｌ１(2級) , 鋼ダライＡ , 鋼ダライＢ</t>
  </si>
  <si>
    <t>77f28772</t>
  </si>
  <si>
    <t>dc438f46</t>
  </si>
  <si>
    <t>b70b08d2</t>
  </si>
  <si>
    <t>3bcc8f74</t>
  </si>
  <si>
    <t>db2e0d05</t>
  </si>
  <si>
    <t>8061eb3f</t>
  </si>
  <si>
    <t>c477b283</t>
  </si>
  <si>
    <t>1e26e4f2</t>
  </si>
  <si>
    <t>68df1be1</t>
  </si>
  <si>
    <t>57ee84cb</t>
  </si>
  <si>
    <t>2db028df</t>
  </si>
  <si>
    <t>6a2afed0</t>
  </si>
  <si>
    <t>91aa0243</t>
  </si>
  <si>
    <t>28e4ad31</t>
  </si>
  <si>
    <t>b182bedd</t>
  </si>
  <si>
    <t>36631432</t>
  </si>
  <si>
    <t>59ab94f5</t>
  </si>
  <si>
    <t>7fea3462</t>
  </si>
  <si>
    <t>b398eec9</t>
  </si>
  <si>
    <t>Ｈ２(特級) , Ｈ３(1級) , Ｌ１(2級)</t>
  </si>
  <si>
    <t>大鉄　堺:ナベＨ２(特級) , Ｈ３(1級) , Ｌ１(2級)</t>
  </si>
  <si>
    <t>99a2188e</t>
  </si>
  <si>
    <t>765d1d89</t>
  </si>
  <si>
    <t>ecd0e552</t>
  </si>
  <si>
    <t>4f681abe</t>
  </si>
  <si>
    <t>b235725d</t>
  </si>
  <si>
    <t>827e53e3</t>
  </si>
  <si>
    <t>6db5c3a1</t>
  </si>
  <si>
    <t>4219dac2</t>
  </si>
  <si>
    <t>decf4b91</t>
  </si>
  <si>
    <t>4e28c492</t>
  </si>
  <si>
    <t>18d43035</t>
  </si>
  <si>
    <t>9bd4a2a6</t>
  </si>
  <si>
    <t>0d050790</t>
  </si>
  <si>
    <t>075cd610</t>
  </si>
  <si>
    <t>a5e9a6e6</t>
  </si>
  <si>
    <t>ffc14a62</t>
  </si>
  <si>
    <t>9a35b6ad</t>
  </si>
  <si>
    <t>dc229942</t>
  </si>
  <si>
    <t>e8b1ab90</t>
  </si>
  <si>
    <t>b273eaa0</t>
  </si>
  <si>
    <t>00b5ecf0</t>
  </si>
  <si>
    <t>9795724a</t>
  </si>
  <si>
    <t>1f5b64b6</t>
  </si>
  <si>
    <t>ce683ba3</t>
  </si>
  <si>
    <t>7a82b459</t>
  </si>
  <si>
    <t>b228f52e</t>
  </si>
  <si>
    <t>5c209d78</t>
  </si>
  <si>
    <t>c54b10d1</t>
  </si>
  <si>
    <t>9750c0fc</t>
  </si>
  <si>
    <t>d9e3e8cb</t>
  </si>
  <si>
    <t>ﾆｭｰｽｺﾝ尼崎:ナベ新断Ａ</t>
  </si>
  <si>
    <t>9d776530</t>
  </si>
  <si>
    <t>0480d421</t>
  </si>
  <si>
    <t>69e286e3</t>
  </si>
  <si>
    <t>c2a5623a</t>
  </si>
  <si>
    <t>676f505a</t>
  </si>
  <si>
    <t>b57fb011</t>
  </si>
  <si>
    <t>cca00db9</t>
  </si>
  <si>
    <t>bf4cba89</t>
  </si>
  <si>
    <t>5712b410</t>
  </si>
  <si>
    <t>834a163a</t>
  </si>
  <si>
    <t>e191f4f6</t>
  </si>
  <si>
    <t>651c9ced</t>
  </si>
  <si>
    <t>cd777ea4</t>
  </si>
  <si>
    <t>6d7656e3</t>
  </si>
  <si>
    <t>f61aaa3c</t>
  </si>
  <si>
    <t>e2442f78</t>
  </si>
  <si>
    <t>54e54d48</t>
  </si>
  <si>
    <t>e62eae95</t>
  </si>
  <si>
    <t>07603d21</t>
  </si>
  <si>
    <t>f0ce25dc</t>
  </si>
  <si>
    <t>96a91e5c</t>
  </si>
  <si>
    <t>5302293d</t>
  </si>
  <si>
    <t>9f1a58bf</t>
  </si>
  <si>
    <t>a1746358</t>
  </si>
  <si>
    <t>b9e71d33</t>
  </si>
  <si>
    <t>33f24c0c</t>
  </si>
  <si>
    <t>c6b3bb67</t>
  </si>
  <si>
    <t>7e32e9ec</t>
  </si>
  <si>
    <t>d9a909dd</t>
  </si>
  <si>
    <t>a16da6f1</t>
  </si>
  <si>
    <t>1541d7f4</t>
  </si>
  <si>
    <t>ca8bb65b</t>
  </si>
  <si>
    <t>40aefed1</t>
  </si>
  <si>
    <t>80c4098e</t>
  </si>
  <si>
    <t>222ea5e0</t>
  </si>
  <si>
    <t>2eb76c8d</t>
  </si>
  <si>
    <t>9064c493</t>
  </si>
  <si>
    <t>cc4f546b</t>
  </si>
  <si>
    <t>cc5e37d6</t>
  </si>
  <si>
    <t>a7a4b01b</t>
  </si>
  <si>
    <t>3d8f0562</t>
  </si>
  <si>
    <t>b4efc86e</t>
  </si>
  <si>
    <t>b9935e7a</t>
  </si>
  <si>
    <t>4b06ec46</t>
  </si>
  <si>
    <t>2e37f326</t>
  </si>
  <si>
    <t>f049a9f0</t>
  </si>
  <si>
    <t>東鐵名古屋:直納Ｈ１(特A)</t>
  </si>
  <si>
    <t>cb7de087</t>
  </si>
  <si>
    <t>ea1f6b10</t>
  </si>
  <si>
    <t>79b04dd2</t>
  </si>
  <si>
    <t>87808811</t>
  </si>
  <si>
    <t>ff140d7c</t>
  </si>
  <si>
    <t>183351f7</t>
  </si>
  <si>
    <t>2ed0f1cc</t>
  </si>
  <si>
    <t>502fb26d</t>
  </si>
  <si>
    <t>d621be8c</t>
  </si>
  <si>
    <t>b9aef16e</t>
  </si>
  <si>
    <t>c6dbd5e3</t>
  </si>
  <si>
    <t>11e24dbc</t>
  </si>
  <si>
    <t>645a35cb</t>
  </si>
  <si>
    <t>85a00924</t>
  </si>
  <si>
    <t>8c306df7</t>
  </si>
  <si>
    <t>72d5c8c3</t>
  </si>
  <si>
    <t>2c20a38d</t>
  </si>
  <si>
    <t>86b05b51</t>
  </si>
  <si>
    <t>8ef8fa65</t>
  </si>
  <si>
    <t>f9e2a0ab</t>
  </si>
  <si>
    <t>56d52893</t>
  </si>
  <si>
    <t>398632d8</t>
  </si>
  <si>
    <t>4068aac8</t>
  </si>
  <si>
    <t>34beb900</t>
  </si>
  <si>
    <t>4facd6c6</t>
  </si>
  <si>
    <t>92649a79</t>
  </si>
  <si>
    <t>3bd81e4c</t>
  </si>
  <si>
    <t>30c0d5ca</t>
  </si>
  <si>
    <t>9b1e5687</t>
  </si>
  <si>
    <t>d85ce1d4</t>
  </si>
  <si>
    <t>8d481b20</t>
  </si>
  <si>
    <t>73d3d00d</t>
  </si>
  <si>
    <t>414c1b37</t>
  </si>
  <si>
    <t>e4bef599</t>
  </si>
  <si>
    <t>0ef6d2ae</t>
  </si>
  <si>
    <t>b4590b2b</t>
  </si>
  <si>
    <t>551ec796</t>
  </si>
  <si>
    <t>e43547e7</t>
  </si>
  <si>
    <t>d6b6b52e</t>
  </si>
  <si>
    <t>Ｈ１(特A) , ＪＨ１(H2T山口)鍛造ﾊﾞﾘ , Ｈ２(特級) , Ｈ３(1級) , Ｌ１(2級)</t>
  </si>
  <si>
    <t>中山鋼業:ナベＨ１(特A) , ＪＨ１(H2T山口)鍛造ﾊﾞﾘ , Ｈ２(特級) , Ｈ３(1級) , Ｌ１(2級)</t>
  </si>
  <si>
    <t>da5ef528</t>
  </si>
  <si>
    <t>cbed3990</t>
  </si>
  <si>
    <t>aeaa9dde</t>
  </si>
  <si>
    <t>泉北大都:リバイブＨ２(特級)</t>
  </si>
  <si>
    <t>a365e879</t>
  </si>
  <si>
    <t>796e9b9a</t>
  </si>
  <si>
    <t>7bfb0b14</t>
  </si>
  <si>
    <t>ebff47e9</t>
  </si>
  <si>
    <t>東鐵名古屋:直納Ｈ３(1級)</t>
  </si>
  <si>
    <t>44a94276</t>
  </si>
  <si>
    <t>東鐵名古屋:直納Ｌ１(2級)</t>
  </si>
  <si>
    <t>928af5cd</t>
  </si>
  <si>
    <t>ＨＳ１(単体H1/電特A/HS)) , Ｈ２(特級) , Ｌ２(H4･級外･L1ﾊﾞﾗ) , シュレＡ , シュレＣ</t>
  </si>
  <si>
    <t>東鐵名古屋:直納ＨＳ１(単体H1/電特A/HS)) , Ｈ２(特級) , Ｌ２(H4･級外･L1ﾊﾞﾗ) , シュレＡ , シュレＣ</t>
  </si>
  <si>
    <t>1820d1de</t>
  </si>
  <si>
    <t>東鐵田原:直納ＨＳ１(単体H1/電特A/HS))</t>
  </si>
  <si>
    <t>6301c66d</t>
  </si>
  <si>
    <t>東鐵田原:直納Ｈ１(特A)</t>
  </si>
  <si>
    <t>afb3504f</t>
  </si>
  <si>
    <t>東鐵田原:直納Ｈ３(1級)</t>
  </si>
  <si>
    <t>325fc205</t>
  </si>
  <si>
    <t>東鐵田原:直納Ｌ１(2級)</t>
  </si>
  <si>
    <t>b0e4321f</t>
  </si>
  <si>
    <t>e31f2d57</t>
  </si>
  <si>
    <t>Ｈ２(特級) , Ｌ２(H4･級外･L1ﾊﾞﾗ) , 鋼ダライＡ , シュレＡ , シュレＣ , ＣＰ Ａ</t>
  </si>
  <si>
    <t>東鐵田原:直納Ｈ２(特級) , Ｌ２(H4･級外･L1ﾊﾞﾗ) , 鋼ダライＡ , シュレＡ , シュレＣ , ＣＰ Ａ</t>
  </si>
  <si>
    <t>b539a488</t>
  </si>
  <si>
    <t>2229729a</t>
  </si>
  <si>
    <t>58510b8a</t>
  </si>
  <si>
    <t>07df4fb2</t>
  </si>
  <si>
    <t>a5a1160c</t>
  </si>
  <si>
    <t>8dc1e565</t>
  </si>
  <si>
    <t>639458aa</t>
  </si>
  <si>
    <t>5b7037f2</t>
  </si>
  <si>
    <t>e9e97ad7</t>
  </si>
  <si>
    <t>9e8da63f</t>
  </si>
  <si>
    <t>c2d2819d</t>
  </si>
  <si>
    <t>69020758</t>
  </si>
  <si>
    <t>dfe65193</t>
  </si>
  <si>
    <t>b8e27fcd</t>
  </si>
  <si>
    <t>ea3b7a59</t>
  </si>
  <si>
    <t>東鐵関西:直納Ｌ１(2級)</t>
  </si>
  <si>
    <t>f8e042af</t>
  </si>
  <si>
    <t>ＨＳ１(単体H1/電特A/HS)) , Ｈ１(特A) , Ｈ２(特級) , Ｈ３(1級) , Ｌ２(H4･級外･L1ﾊﾞﾗ) , シュレＡ , シュレＣ</t>
  </si>
  <si>
    <t>東鐵関西:直納ＨＳ１(単体H1/電特A/HS)) , Ｈ１(特A) , Ｈ２(特級) , Ｈ３(1級) , Ｌ２(H4･級外･L1ﾊﾞﾗ) , シュレＡ , シュレＣ</t>
  </si>
  <si>
    <t>d44a7214</t>
  </si>
  <si>
    <t>東鐵岡山:直納Ｈ１(特A)</t>
  </si>
  <si>
    <t>ef94cc01</t>
  </si>
  <si>
    <t>東鐵岡山:直納Ｈ３(1級)</t>
  </si>
  <si>
    <t>e719fc7c</t>
  </si>
  <si>
    <t>東鐵岡山:直納Ｌ１(2級)</t>
  </si>
  <si>
    <t>08b2c0e1</t>
  </si>
  <si>
    <t>ＨＳ１(単体H1/電特A/HS)) , Ｈ２(特級) , Ｌ２(H4･級外･L1ﾊﾞﾗ) , シュレＡ , シュレＣ , 新断Ａ , 新断Ｂ , 鋼ダライＡ , 銑ダライ , ＣＰ Ａ</t>
  </si>
  <si>
    <t>東鐵岡山:直納ＨＳ１(単体H1/電特A/HS)) , Ｈ２(特級) , Ｌ２(H4･級外･L1ﾊﾞﾗ) , シュレＡ , シュレＣ , 新断Ａ , 新断Ｂ , 鋼ダライＡ , 銑ダライ , ＣＰ Ａ</t>
  </si>
  <si>
    <t>c6e60aaf</t>
  </si>
  <si>
    <t>9cc76471</t>
  </si>
  <si>
    <t>4940a076</t>
  </si>
  <si>
    <t>d5d7346c</t>
  </si>
  <si>
    <t>fd71d819</t>
  </si>
  <si>
    <t>59e87d01</t>
  </si>
  <si>
    <t>山口鋼業:MM建材ＨＳ１(単体H1/電特A/HS))</t>
  </si>
  <si>
    <t>c87bc63a</t>
  </si>
  <si>
    <t>Ｈ２(特級) , Ｈ３(1級) , Ｌ２(H4･級外･L1ﾊﾞﾗ) , ＪＨ１(H2T山口)鍛造ﾊﾞﾘ</t>
  </si>
  <si>
    <t>山口鋼業:MM建材Ｈ２(特級) , Ｈ３(1級) , Ｌ２(H4･級外･L1ﾊﾞﾗ) , ＪＨ１(H2T山口)鍛造ﾊﾞﾘ</t>
  </si>
  <si>
    <t>63842473</t>
  </si>
  <si>
    <t>鋼ダライＡ , 鋳物・ﾀﾞｸﾀｲﾙ</t>
  </si>
  <si>
    <t>山口鋼業:MM建材鋼ダライＡ , 鋳物・ﾀﾞｸﾀｲﾙ</t>
  </si>
  <si>
    <t>6f5f1f74</t>
  </si>
  <si>
    <t>山口鋼業:阪和ＨＳ１(単体H1/電特A/HS))</t>
  </si>
  <si>
    <t>d52b57f4</t>
  </si>
  <si>
    <t>Ｈ１(特A) , Ｈ２(特級) , Ｈ３(1級) , Ｌ２(H4･級外･L1ﾊﾞﾗ)</t>
  </si>
  <si>
    <t>山口鋼業:阪和Ｈ１(特A) , Ｈ２(特級) , Ｈ３(1級) , Ｌ２(H4･級外･L1ﾊﾞﾗ)</t>
  </si>
  <si>
    <t>c27a7867</t>
  </si>
  <si>
    <t>ab406af9</t>
  </si>
  <si>
    <t>4d02f9bd</t>
  </si>
  <si>
    <t>19f5a083</t>
  </si>
  <si>
    <t>784acfae</t>
  </si>
  <si>
    <t>c021acaf</t>
  </si>
  <si>
    <t>d5e65271</t>
  </si>
  <si>
    <t>f020fbc2</t>
  </si>
  <si>
    <t>073837da</t>
  </si>
  <si>
    <t>5c17137d</t>
  </si>
  <si>
    <t>e7688d72</t>
  </si>
  <si>
    <t>2db7a37b</t>
  </si>
  <si>
    <t>93978d7c</t>
  </si>
  <si>
    <t>b1f63f2c</t>
  </si>
  <si>
    <t>大同特殊鋼:大同興業 , JSE/大和ﾘﾃｯｸ , JSE/第二＠2.3 , JSE/岐阜＠1.5鋼ダライＡ</t>
  </si>
  <si>
    <t>f6a38858</t>
  </si>
  <si>
    <t>c7066d9f</t>
  </si>
  <si>
    <t>c60f9057</t>
  </si>
  <si>
    <t>9edfb061</t>
  </si>
  <si>
    <t>0822943c</t>
  </si>
  <si>
    <t>中山製鋼:阪和Ｈ３(1級)</t>
  </si>
  <si>
    <t>95961fbe</t>
  </si>
  <si>
    <t>中山製鋼:阪和Ｌ１(2級)</t>
  </si>
  <si>
    <t>156bcfef</t>
  </si>
  <si>
    <t>a1166efa</t>
  </si>
  <si>
    <t>80bc9e2c</t>
  </si>
  <si>
    <t>1f928fc1</t>
  </si>
  <si>
    <t>b1d65004</t>
  </si>
  <si>
    <t>47bc0f45</t>
  </si>
  <si>
    <t>3dd205ee</t>
  </si>
  <si>
    <t>3e9fd751</t>
  </si>
  <si>
    <t>2f6a1f09</t>
  </si>
  <si>
    <t>8a83d17a</t>
  </si>
  <si>
    <t>16e0a847</t>
  </si>
  <si>
    <t>2d4c082c</t>
  </si>
  <si>
    <t>b174e1d3</t>
  </si>
  <si>
    <t>ddf48acb</t>
  </si>
  <si>
    <t>fa15b945</t>
  </si>
  <si>
    <t>a3c75a93</t>
  </si>
  <si>
    <t>dc9ddec7</t>
  </si>
  <si>
    <t>e22b595d</t>
  </si>
  <si>
    <t>c7ad4dab</t>
  </si>
  <si>
    <t>a308adc1</t>
  </si>
  <si>
    <t>adeb825a</t>
  </si>
  <si>
    <t>06002c2b</t>
  </si>
  <si>
    <t>38818ad3</t>
  </si>
  <si>
    <t>3bf05b30</t>
  </si>
  <si>
    <t>bd573115</t>
  </si>
  <si>
    <t>e1376fc2</t>
  </si>
  <si>
    <t>e09193fa</t>
  </si>
  <si>
    <t>8c3feb61</t>
  </si>
  <si>
    <t>488234c4</t>
  </si>
  <si>
    <t>73ae2693</t>
  </si>
  <si>
    <t>a1fa67dc</t>
  </si>
  <si>
    <t>7c7ca967</t>
  </si>
  <si>
    <t>07e562f9</t>
  </si>
  <si>
    <t>70c30ec2</t>
  </si>
  <si>
    <t>48425293</t>
  </si>
  <si>
    <t>0810b43d</t>
  </si>
  <si>
    <t>992270d0</t>
  </si>
  <si>
    <t>937522ad</t>
  </si>
  <si>
    <t>01095fa5</t>
  </si>
  <si>
    <t>2381573a</t>
  </si>
  <si>
    <t>中山鋼業:ナベＨ２(特級)</t>
  </si>
  <si>
    <t>68a68029</t>
  </si>
  <si>
    <t>中山鋼業:ナベＨ３(1級) , Ｌ１(2級)</t>
  </si>
  <si>
    <t>8ae83b03</t>
  </si>
  <si>
    <t>5bebf895</t>
  </si>
  <si>
    <t>新断Ａ , Ｌ２(H4･級外･L1ﾊﾞﾗ)</t>
  </si>
  <si>
    <t>中山鋼業:ナベ新断Ａ , Ｌ２(H4･級外･L1ﾊﾞﾗ)</t>
  </si>
  <si>
    <t>85929af3</t>
  </si>
  <si>
    <t>5578bfb8</t>
  </si>
  <si>
    <t>Ｈ１(特A) , Ｈ３(1級)</t>
  </si>
  <si>
    <t>ﾔﾏﾄ:阪和Ｈ１(特A) , Ｈ３(1級)</t>
  </si>
  <si>
    <t>6887b6cc</t>
  </si>
  <si>
    <t>ﾔﾏﾄ:阪和Ｌ１(2級)</t>
  </si>
  <si>
    <t>1d2ae596</t>
  </si>
  <si>
    <t>ﾔﾏﾄ:阪和Ｈ２(特級) , Ｌ２(H4･級外･L1ﾊﾞﾗ)</t>
  </si>
  <si>
    <t>93d5c800</t>
  </si>
  <si>
    <t>7a6e9f21</t>
  </si>
  <si>
    <t>30109af2</t>
  </si>
  <si>
    <t>40b77d38</t>
  </si>
  <si>
    <t>375f316f</t>
  </si>
  <si>
    <t>8821acf9</t>
  </si>
  <si>
    <t>2753fb27</t>
  </si>
  <si>
    <t>442915b7</t>
  </si>
  <si>
    <t>36d7b200</t>
  </si>
  <si>
    <t>aededc0e</t>
  </si>
  <si>
    <t>5cbdce5c</t>
  </si>
  <si>
    <t>121ab6d6</t>
  </si>
  <si>
    <t>a1cd1138</t>
  </si>
  <si>
    <t>c2bc108d</t>
  </si>
  <si>
    <t>e585c791</t>
  </si>
  <si>
    <t>3e43e961</t>
  </si>
  <si>
    <t>ＨＳ１(単体H1/電特A/HS)) , ＨＳ２ , 新断Ａ , 新断Ｂ , 鋼ダライＡ , 鋼ダライＢ</t>
  </si>
  <si>
    <t>合同大阪:伊藤忠ＨＳ１(単体H1/電特A/HS)) , ＨＳ２ , 新断Ａ , 新断Ｂ , 鋼ダライＡ , 鋼ダライＢ</t>
  </si>
  <si>
    <t>0a50e1f8</t>
  </si>
  <si>
    <t>bad9c524</t>
  </si>
  <si>
    <t>11c2d22f</t>
  </si>
  <si>
    <t>94e8d14d</t>
  </si>
  <si>
    <t>c9fdf8cc</t>
  </si>
  <si>
    <t>fe3194a5</t>
  </si>
  <si>
    <t>923b47cd</t>
  </si>
  <si>
    <t>f5b20af8</t>
  </si>
  <si>
    <t>663bb6df</t>
  </si>
  <si>
    <t>a545bb69</t>
  </si>
  <si>
    <t>ed8d0023</t>
  </si>
  <si>
    <t>26504b25</t>
  </si>
  <si>
    <t>fecf7fde</t>
  </si>
  <si>
    <t>85338c73</t>
  </si>
  <si>
    <t>be05d79d</t>
  </si>
  <si>
    <t>83803029</t>
  </si>
  <si>
    <t>59bce9a5</t>
  </si>
  <si>
    <t>cecb3c84</t>
  </si>
  <si>
    <t>a82537c3</t>
  </si>
  <si>
    <t>280143c3</t>
  </si>
  <si>
    <t>9039dfaa</t>
  </si>
  <si>
    <t>4600b2e5</t>
  </si>
  <si>
    <t>519ae7c5</t>
  </si>
  <si>
    <t>bf9b595c</t>
  </si>
  <si>
    <t>c44751dc</t>
  </si>
  <si>
    <t>岸和田:豊通Ｈ２(特級)</t>
  </si>
  <si>
    <t>34f45a8a</t>
  </si>
  <si>
    <t>岸和田:豊通Ｈ３(1級)</t>
  </si>
  <si>
    <t>6617e76f</t>
  </si>
  <si>
    <t>47af63ba</t>
  </si>
  <si>
    <t>中山鋼業:ナベＨ２(特級) , Ｈ３(1級) , Ｌ１(2級)</t>
  </si>
  <si>
    <t>a018fd97</t>
  </si>
  <si>
    <t>3e25ec08</t>
  </si>
  <si>
    <t>6f5eaf6a</t>
  </si>
  <si>
    <t>46335d29</t>
  </si>
  <si>
    <t>34062d23</t>
  </si>
  <si>
    <t>c19c9f65</t>
  </si>
  <si>
    <t>c77a4fdf</t>
  </si>
  <si>
    <t>大鉄堺 , 豊通 , 産振 , 伊藤忠 , ナベ</t>
  </si>
  <si>
    <t>大鉄　堺:大鉄堺 , 豊通 , 産振 , 伊藤忠 , ナベ</t>
  </si>
  <si>
    <t>大鉄　堺:大鉄堺 , 豊通 , 産振 , 伊藤忠 , ナベＨ１(特A) , Ｈ２(特級) , ＪＨ１(H2T山口)鍛造ﾊﾞﾘ , Ｈ３(1級) , Ｌ１(2級) , 新断Ａ , 新断Ｂ , 鋼ダライＡ , 鋼ダライＢ , シュレＡ , シュレＢ , シュレＣ , ＣＰ Ａ , ＣＰ Ｂ一斗缶</t>
  </si>
  <si>
    <t>88ebc01b</t>
  </si>
  <si>
    <t>40670c03</t>
  </si>
  <si>
    <t>73f79bc4</t>
  </si>
  <si>
    <t>5294b69a</t>
  </si>
  <si>
    <t>5e9aa226</t>
  </si>
  <si>
    <t>689b91c5</t>
  </si>
  <si>
    <t>292d182d</t>
  </si>
  <si>
    <t>dcd319ed</t>
  </si>
  <si>
    <t>c678adaf</t>
  </si>
  <si>
    <t>539d332b</t>
  </si>
  <si>
    <t>32353f38</t>
  </si>
  <si>
    <t>9661b960</t>
  </si>
  <si>
    <t>55de28ad</t>
  </si>
  <si>
    <t>5017b822</t>
  </si>
  <si>
    <t>fa019542</t>
  </si>
  <si>
    <t>8b74cd50</t>
  </si>
  <si>
    <t>442ca353</t>
  </si>
  <si>
    <t>ed66c479</t>
  </si>
  <si>
    <t>e6433e7e</t>
  </si>
  <si>
    <t>9305c43e</t>
  </si>
  <si>
    <t>66e3048c</t>
  </si>
  <si>
    <t>11855051</t>
  </si>
  <si>
    <t>101c83e3</t>
  </si>
  <si>
    <t>541abce5</t>
  </si>
  <si>
    <t>3f1b6301</t>
  </si>
  <si>
    <t>9b57caa4</t>
  </si>
  <si>
    <t>Ｈ３(1級) , 新断Ｃ , Ｈ１/ｻﾑﾃｯｸ , Ｌ１(2級) , ＨＳ１(単体H1/電特A/HS)) , Ｈ１(特A) , 新断Ａ , ＨＳ２ , Ｈ２(特級) , 新断Ｂ</t>
  </si>
  <si>
    <t>中山製鋼:豊通Ｈ３(1級) , 新断Ｃ , Ｈ１/ｻﾑﾃｯｸ , Ｌ１(2級) , ＨＳ１(単体H1/電特A/HS)) , Ｈ１(特A) , 新断Ａ , ＨＳ２ , Ｈ２(特級) , 新断Ｂ</t>
  </si>
  <si>
    <t>d9e7fe67</t>
  </si>
  <si>
    <t>URL</t>
  </si>
  <si>
    <t>link</t>
  </si>
  <si>
    <t>image</t>
  </si>
  <si>
    <t>単価表</t>
  </si>
  <si>
    <t>単価表リンク</t>
  </si>
  <si>
    <t>メニュー_Images/単価表.image.042655.png</t>
  </si>
  <si>
    <t>単価登録</t>
  </si>
  <si>
    <t>単価一括登録_Form</t>
  </si>
  <si>
    <t>メニュー_Images/単価登録.image.042708.png</t>
  </si>
  <si>
    <t>登録履歴</t>
  </si>
  <si>
    <t>メニュー_Images/単価一括登録.image.042953.png</t>
  </si>
  <si>
    <t>単価推移</t>
  </si>
  <si>
    <t>メニュー_Images/単価推移.image.044958.png</t>
  </si>
  <si>
    <t>https://docs.google.com/spreadsheets/d/1fVClsPMoUzeExsrkIne4_q5QSz4c_v1lGHTN_gqVbSE/edit?gid=927074825#gid=927074825</t>
  </si>
  <si>
    <t>エリア</t>
  </si>
  <si>
    <t>メーカー商社</t>
  </si>
  <si>
    <t>順番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</si>
  <si>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</si>
  <si>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</si>
  <si>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</si>
  <si>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</si>
  <si>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</si>
  <si>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</si>
  <si>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</si>
  <si>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</si>
  <si>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</si>
  <si>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</si>
  <si>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</si>
  <si>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</si>
  <si>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</si>
  <si>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</si>
  <si>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</si>
  <si>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</si>
  <si>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</si>
  <si>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</si>
  <si>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</si>
  <si>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</si>
  <si>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</si>
  <si>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</si>
  <si>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</si>
  <si>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</si>
  <si>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</si>
  <si>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</si>
  <si>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</si>
  <si>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</si>
  <si>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</si>
  <si>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</si>
  <si>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</si>
  <si>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</si>
  <si>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</si>
  <si>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</si>
  <si>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</si>
  <si>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</si>
  <si>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</si>
  <si>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</si>
  <si>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</si>
  <si>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</si>
  <si>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</si>
  <si>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</si>
  <si>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</si>
  <si>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</si>
  <si>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</si>
  <si>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</si>
  <si>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</si>
  <si>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</si>
  <si>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</si>
  <si>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</si>
  <si>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</si>
  <si>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</si>
  <si>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</si>
  <si>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</si>
  <si>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</si>
  <si>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</si>
  <si>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</si>
  <si>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</si>
  <si>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</si>
  <si>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</si>
  <si>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</si>
  <si>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</si>
  <si>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</si>
  <si>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</si>
  <si>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</si>
  <si>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</si>
  <si>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</si>
  <si>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</si>
  <si>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</si>
  <si>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</si>
  <si>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</si>
  <si>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</si>
  <si>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</si>
  <si>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</si>
  <si>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</si>
  <si>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</si>
  <si>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</si>
  <si>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</si>
  <si>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</si>
  <si>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</si>
  <si>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</si>
  <si>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</si>
  <si>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</si>
  <si>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</si>
  <si>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</si>
  <si>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</si>
  <si>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</si>
  <si>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</si>
  <si>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</si>
  <si>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</si>
  <si>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</si>
  <si>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</si>
  <si>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</si>
  <si>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</si>
  <si>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</si>
  <si>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</si>
  <si>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</si>
  <si>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</si>
  <si>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</si>
  <si>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</si>
  <si>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</si>
  <si>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</si>
  <si>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</si>
  <si>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</si>
  <si>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</si>
  <si>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</si>
  <si>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</si>
  <si>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</si>
  <si>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</si>
  <si>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 xml:space="preserve">産振	</t>
  </si>
  <si>
    <t>a110</t>
  </si>
  <si>
    <t>a111</t>
  </si>
  <si>
    <t xml:space="preserve">大鉄　堺:産振	</t>
  </si>
  <si>
    <t>a112</t>
  </si>
  <si>
    <t>a113</t>
  </si>
  <si>
    <t>a114</t>
  </si>
  <si>
    <t>a115</t>
  </si>
  <si>
    <t>a116</t>
  </si>
  <si>
    <t>a117</t>
  </si>
  <si>
    <t>a118</t>
  </si>
  <si>
    <t xml:space="preserve">伊藤忠	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</si>
  <si>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</si>
  <si>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</si>
  <si>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</si>
  <si>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</si>
  <si>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</si>
  <si>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</si>
  <si>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</si>
  <si>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</si>
  <si>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</si>
  <si>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</si>
  <si>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</si>
  <si>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</si>
  <si>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</si>
  <si>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</si>
  <si>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</si>
  <si>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</si>
  <si>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</si>
  <si>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</si>
  <si>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</si>
  <si>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</si>
  <si>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</si>
  <si>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</si>
  <si>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</si>
  <si>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</si>
  <si>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</si>
  <si>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</si>
  <si>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</si>
  <si>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</si>
  <si>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</si>
  <si>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</si>
  <si>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</si>
  <si>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</si>
  <si>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</si>
  <si>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</si>
  <si>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</si>
  <si>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</si>
  <si>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</si>
  <si>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ナベ/5/7～京都置場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</si>
  <si>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</si>
  <si>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</si>
  <si>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</si>
  <si>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</si>
  <si>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</si>
  <si>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</si>
  <si>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</si>
  <si>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</si>
  <si>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</si>
  <si>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</si>
  <si>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</si>
  <si>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</si>
  <si>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</si>
  <si>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</si>
  <si>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</si>
  <si>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</si>
  <si>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</si>
  <si>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</si>
  <si>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</si>
  <si>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-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</si>
  <si>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</si>
  <si>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</si>
  <si>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</si>
  <si>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</si>
  <si>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</si>
  <si>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</si>
  <si>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</si>
  <si>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</si>
  <si>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</si>
  <si>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</si>
  <si>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</si>
  <si>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</si>
  <si>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</si>
  <si>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</si>
  <si>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</si>
  <si>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姫路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</si>
  <si>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</si>
  <si>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</si>
  <si>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</si>
  <si>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</si>
  <si>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</si>
  <si>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</si>
  <si>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</si>
  <si>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</si>
  <si>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</si>
  <si>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</si>
  <si>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</si>
  <si>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</si>
  <si>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</si>
  <si>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</si>
  <si>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</si>
  <si>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</si>
  <si>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</si>
  <si>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</si>
  <si>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</si>
  <si>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</si>
  <si>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</si>
  <si>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</si>
  <si>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</si>
  <si>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</si>
  <si>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</si>
  <si>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</si>
  <si>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</si>
  <si>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</si>
  <si>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</si>
  <si>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</si>
  <si>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</si>
  <si>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</si>
  <si>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</si>
  <si>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</si>
  <si>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</si>
  <si>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</si>
  <si>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</si>
  <si>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</si>
  <si>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</si>
  <si>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</si>
  <si>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</si>
  <si>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</si>
  <si>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</si>
  <si>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</si>
  <si>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</si>
  <si>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</si>
  <si>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</si>
  <si>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</si>
  <si>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</si>
  <si>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</si>
  <si>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</si>
  <si>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</si>
  <si>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</si>
  <si>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</si>
  <si>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</si>
  <si>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</si>
  <si>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</si>
  <si>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</si>
  <si>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</si>
  <si>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</si>
  <si>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</si>
  <si>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</si>
  <si>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</si>
  <si>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</si>
  <si>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</si>
  <si>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</si>
  <si>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</si>
  <si>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</si>
  <si>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</si>
  <si>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</si>
  <si>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</si>
  <si>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</si>
  <si>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</si>
  <si>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</si>
  <si>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</si>
  <si>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</si>
  <si>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</si>
  <si>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</si>
  <si>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</si>
  <si>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</si>
  <si>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</si>
  <si>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</si>
  <si>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</si>
  <si>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</si>
  <si>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</si>
  <si>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</si>
  <si>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</si>
  <si>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</si>
  <si>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</si>
  <si>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</si>
  <si>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</si>
  <si>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</si>
  <si>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</si>
  <si>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</si>
  <si>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</si>
  <si>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</si>
  <si>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</si>
  <si>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</si>
  <si>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</si>
  <si>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</si>
  <si>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</si>
  <si>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</si>
  <si>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</si>
  <si>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</si>
  <si>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</si>
  <si>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</si>
  <si>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</si>
  <si>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</si>
  <si>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</si>
  <si>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</si>
  <si>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</si>
  <si>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</si>
  <si>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</si>
  <si>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</si>
  <si>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</si>
  <si>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</si>
  <si>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</si>
  <si>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</si>
  <si>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</si>
  <si>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</si>
  <si>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</si>
  <si>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</si>
  <si>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</si>
  <si>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その他</t>
  </si>
  <si>
    <t>a313</t>
  </si>
  <si>
    <t>a314</t>
  </si>
  <si>
    <t>a315</t>
  </si>
  <si>
    <t>日鉄ｽﾁｰﾙ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</si>
  <si>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</si>
  <si>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</si>
  <si>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</si>
  <si>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</si>
  <si>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</si>
  <si>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</si>
  <si>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</si>
  <si>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</si>
  <si>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</si>
  <si>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</si>
  <si>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</si>
  <si>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</si>
  <si>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 xml:space="preserve">ナベ・大同特殊・H2ｽﾗｲﾄﾞ	</t>
  </si>
  <si>
    <t>a328</t>
  </si>
  <si>
    <t>アプリへのリンク</t>
  </si>
  <si>
    <t>▼PCで使うとき用</t>
  </si>
  <si>
    <t>https://www.appsheet.com/start/47b75eb3-50d3-4793-bbec-a8117cf0386c</t>
  </si>
  <si>
    <t>▼編集画面</t>
  </si>
  <si>
    <t>https://www.appsheet.com/Template/AppDef?appName=【日鉄萬金属様】メーカー単価一覧表-78392533&amp;utm_source=share_app_link</t>
  </si>
  <si>
    <t>※アプリを修正する際に使用するリンクです</t>
  </si>
  <si>
    <t>アプリの使い方</t>
  </si>
  <si>
    <t>目次</t>
  </si>
  <si>
    <t>1.上記の「▼PCで使うとき用」のURLをクリックする</t>
  </si>
  <si>
    <t>2.ログイン後のアプリ画面</t>
  </si>
  <si>
    <t>3.単価表を確認する場合</t>
  </si>
  <si>
    <t>4.単価を登録する場合</t>
  </si>
  <si>
    <t>5.単価推移の確認方法</t>
  </si>
  <si>
    <t>※ログインを求められた場合↓↓</t>
  </si>
  <si>
    <t xml:space="preserve">　画面が一部変わる可能性もあるため、不明点は宮本までご連絡くださいませ。</t>
  </si>
  <si>
    <t>①グーグルでサインインを選択</t>
  </si>
  <si>
    <t>②自身のGmailアカウントでログイン</t>
  </si>
  <si>
    <t>③アクセス権限がリクエストされるので許可</t>
  </si>
  <si>
    <t>※保存した内容に応じて、単価表が更新されます</t>
  </si>
  <si>
    <t>rireki001</t>
  </si>
  <si>
    <t>上げ下げ</t>
  </si>
  <si>
    <t>最高値</t>
  </si>
  <si>
    <t>信和商事:豊通</t>
  </si>
  <si>
    <t>ｴｺﾌﾟﾗﾝﾆﾝｸﾞ:</t>
  </si>
  <si>
    <t>名古屋港:水野産業/西三区</t>
  </si>
  <si>
    <t>トヨキン:ナベ   大同特殊 H2ｽﾗｲﾄﾞ</t>
  </si>
  <si>
    <t>寺田:</t>
  </si>
  <si>
    <t>ＨＳ１(電特A・HS)</t>
  </si>
  <si>
    <t>ＪＨ１(H2T山口)</t>
  </si>
  <si>
    <t>鋳鉄筋･ﾀﾞｸﾀｲﾙ</t>
  </si>
  <si>
    <t>更新</t>
  </si>
  <si>
    <t>メーカー単価一覧表[最新]</t>
  </si>
  <si>
    <t>tanka1</t>
  </si>
  <si>
    <t>tanka2</t>
  </si>
  <si>
    <t>tanka3</t>
  </si>
  <si>
    <t>tanka4</t>
  </si>
  <si>
    <t>tanka5</t>
  </si>
  <si>
    <t>tanka6</t>
  </si>
  <si>
    <t>tanka7</t>
  </si>
  <si>
    <t>tanka8</t>
  </si>
  <si>
    <t>tanka9</t>
  </si>
  <si>
    <t>tanka10</t>
  </si>
  <si>
    <t>tanka11</t>
  </si>
  <si>
    <t>tanka12</t>
  </si>
  <si>
    <t>tanka13</t>
  </si>
  <si>
    <t>tanka14</t>
  </si>
  <si>
    <t>tanka15</t>
  </si>
  <si>
    <t>tanka16</t>
  </si>
  <si>
    <t>tanka17</t>
  </si>
  <si>
    <t>tanka18</t>
  </si>
  <si>
    <t>tanka19</t>
  </si>
  <si>
    <t>tanka20</t>
  </si>
  <si>
    <t>tanka21</t>
  </si>
  <si>
    <t>tanka21-2</t>
  </si>
  <si>
    <t>tanka22</t>
  </si>
  <si>
    <t>tanka23</t>
  </si>
  <si>
    <t>tanka24</t>
  </si>
  <si>
    <t>tanka25</t>
  </si>
  <si>
    <t>tanka26</t>
  </si>
  <si>
    <t>tanka27</t>
  </si>
  <si>
    <t>tanka28</t>
  </si>
  <si>
    <t>tanka29</t>
  </si>
  <si>
    <t>tanka30</t>
  </si>
  <si>
    <t>tanka31</t>
  </si>
  <si>
    <t>tanka32</t>
  </si>
  <si>
    <t>tanka33</t>
  </si>
  <si>
    <t>tanka34</t>
  </si>
  <si>
    <t>tanka35</t>
  </si>
  <si>
    <t>tanka36</t>
  </si>
  <si>
    <t>tanka37</t>
  </si>
  <si>
    <t>tanka38</t>
  </si>
  <si>
    <t>tanka39</t>
  </si>
  <si>
    <t>tanka40</t>
  </si>
  <si>
    <t>tanka41</t>
  </si>
  <si>
    <t>tanka42</t>
  </si>
  <si>
    <t>tanka43</t>
  </si>
  <si>
    <t>tanka44</t>
  </si>
  <si>
    <t>tanka45</t>
  </si>
  <si>
    <t>tanka46</t>
  </si>
  <si>
    <t>tanka47</t>
  </si>
  <si>
    <t>tanka48</t>
  </si>
  <si>
    <t>tanka49</t>
  </si>
  <si>
    <t>tanka50</t>
  </si>
  <si>
    <t>tanka51</t>
  </si>
  <si>
    <t>tanka52</t>
  </si>
  <si>
    <t>tanka53</t>
  </si>
  <si>
    <t>tanka54</t>
  </si>
  <si>
    <t>tanka55</t>
  </si>
  <si>
    <t>tanka56</t>
  </si>
  <si>
    <t>tanka57</t>
  </si>
  <si>
    <t>tanka58</t>
  </si>
  <si>
    <t>tanka59</t>
  </si>
  <si>
    <t>tanka60</t>
  </si>
  <si>
    <t>tanka61</t>
  </si>
  <si>
    <t>tanka62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</si>
</sst>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0.0"/>
    <numFmt numFmtId="166" formatCode="mm/dd"/>
    <numFmt numFmtId="167" formatCode="yyyy/m/d"/>
    <numFmt numFmtId="168" formatCode="yyyy/mm/dd h:mm:ss"/>
    <numFmt numFmtId="169" formatCode="yyyy/m/d h:mm:ss"/>
    <numFmt numFmtId="170" formatCode="m/d/yyyy h:mm:ss"/>
    <numFmt numFmtId="171" formatCode="yyyy/mm/dd"/>
  </numFmts>
  <fonts count="27">
    <font>
      <sz val="10.0"/>
      <color rgb="FF000000"/>
      <name val="Calibri"/>
      <scheme val="minor"/>
    </font>
    <font>
      <sz val="10.0"/>
      <color theme="1"/>
      <name val="Arial"/>
    </font>
    <font>
      <color theme="1"/>
      <name val="Calibri"/>
      <scheme val="minor"/>
    </font>
    <font/>
    <font>
      <sz val="10.0"/>
      <color theme="1"/>
      <name val="Malgun Gothic"/>
    </font>
    <font>
      <sz val="9.0"/>
      <color theme="1"/>
      <name val="Arial"/>
    </font>
    <font>
      <sz val="7.0"/>
      <color theme="1"/>
      <name val="Arial"/>
    </font>
    <font>
      <sz val="8.0"/>
      <color theme="1"/>
      <name val="Arial"/>
    </font>
    <font>
      <sz val="9.0"/>
      <color rgb="FF000000"/>
      <name val="Arial"/>
    </font>
    <font>
      <sz val="8.0"/>
      <color rgb="FF980000"/>
      <name val="Arial"/>
    </font>
    <font>
      <sz val="10.0"/>
      <color rgb="FF980000"/>
      <name val="Arial"/>
    </font>
    <font>
      <sz val="10.0"/>
      <color rgb="FF000000"/>
      <name val="Arial"/>
    </font>
    <font>
      <strike/>
      <sz val="10.0"/>
      <color theme="1"/>
      <name val="Arial"/>
    </font>
    <font>
      <color theme="1"/>
      <name val="Arial"/>
    </font>
    <font>
      <sz val="11.0"/>
      <color theme="1"/>
      <name val="Arial"/>
    </font>
    <font>
      <b/>
      <color theme="1"/>
      <name val="Arial"/>
    </font>
    <font>
      <b/>
      <sz val="11.0"/>
      <color theme="1"/>
      <name val="Arial"/>
    </font>
    <font>
      <color rgb="FF000000"/>
      <name val="Arial"/>
    </font>
    <font>
      <color rgb="FF980000"/>
      <name val="Arial"/>
    </font>
    <font>
      <strike/>
      <color theme="1"/>
      <name val="Arial"/>
    </font>
    <font>
      <color theme="1"/>
      <name val="Calibri"/>
    </font>
    <font>
      <color rgb="FF000000"/>
      <name val="Calibri"/>
    </font>
    <font>
      <b/>
      <color theme="1"/>
      <name val="Calibri"/>
    </font>
    <font>
      <u/>
      <color rgb="FF0563C1"/>
    </font>
    <font>
      <u/>
      <color rgb="FF0000FF"/>
    </font>
    <font>
      <u/>
      <color rgb="FF0000FF"/>
    </font>
    <font>
      <u/>
      <color theme="1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</fills>
  <borders count="17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/>
      <right/>
      <top/>
    </border>
    <border>
      <left/>
      <right/>
    </border>
    <border>
      <left/>
      <top/>
    </border>
    <border>
      <top/>
    </border>
    <border>
      <left/>
    </border>
  </borders>
  <cellStyleXfs count="1">
    <xf borderId="0" fillId="0" fontId="0" numFmtId="0" applyAlignment="1" applyFont="1"/>
  </cellStyleXfs>
  <cellXfs count="436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4" fontId="1" numFmtId="0" xfId="0" applyFill="1" applyFont="1"/>
    <xf borderId="0" fillId="0" fontId="1" numFmtId="0" xfId="0" applyFont="1"/>
    <xf borderId="1" fillId="2" fontId="1" numFmtId="0" xfId="0" applyBorder="1" applyFont="1"/>
    <xf borderId="2" fillId="2" fontId="1" numFmtId="0" xfId="0" applyBorder="1" applyFont="1"/>
    <xf borderId="3" fillId="0" fontId="3" numFmtId="0" xfId="0" applyBorder="1" applyFont="1"/>
    <xf borderId="1" fillId="3" fontId="1" numFmtId="0" xfId="0" applyAlignment="1" applyBorder="1" applyFont="1">
      <alignment readingOrder="0"/>
    </xf>
    <xf borderId="1" fillId="4" fontId="1" numFmtId="0" xfId="0" applyBorder="1" applyFont="1"/>
    <xf borderId="0" fillId="0" fontId="1" numFmtId="0" xfId="0" applyAlignment="1" applyFont="1">
      <alignment horizontal="center" vertical="center"/>
    </xf>
    <xf borderId="4" fillId="5" fontId="4" numFmtId="0" xfId="0" applyAlignment="1" applyBorder="1" applyFill="1" applyFont="1">
      <alignment horizontal="center" shrinkToFit="0" vertical="center" wrapText="1"/>
    </xf>
    <xf borderId="0" fillId="5" fontId="1" numFmtId="0" xfId="0" applyAlignment="1" applyFont="1">
      <alignment horizontal="center" shrinkToFit="0" vertical="center" wrapText="1"/>
    </xf>
    <xf borderId="4" fillId="5" fontId="5" numFmtId="0" xfId="0" applyAlignment="1" applyBorder="1" applyFont="1">
      <alignment horizontal="center" shrinkToFit="0" vertical="center" wrapText="1"/>
    </xf>
    <xf borderId="5" fillId="0" fontId="3" numFmtId="0" xfId="0" applyBorder="1" applyFont="1"/>
    <xf borderId="5" fillId="5" fontId="1" numFmtId="0" xfId="0" applyAlignment="1" applyBorder="1" applyFont="1">
      <alignment horizontal="center" shrinkToFit="0" vertical="center" wrapText="1"/>
    </xf>
    <xf borderId="4" fillId="5" fontId="1" numFmtId="0" xfId="0" applyAlignment="1" applyBorder="1" applyFont="1">
      <alignment horizontal="center" shrinkToFit="0" vertical="center" wrapText="1"/>
    </xf>
    <xf borderId="0" fillId="6" fontId="1" numFmtId="0" xfId="0" applyAlignment="1" applyFill="1" applyFont="1">
      <alignment horizontal="center" shrinkToFit="0" vertical="center" wrapText="1"/>
    </xf>
    <xf borderId="4" fillId="6" fontId="1" numFmtId="0" xfId="0" applyAlignment="1" applyBorder="1" applyFont="1">
      <alignment horizontal="center" shrinkToFit="0" vertical="center" wrapText="1"/>
    </xf>
    <xf borderId="6" fillId="5" fontId="1" numFmtId="0" xfId="0" applyAlignment="1" applyBorder="1" applyFont="1">
      <alignment horizontal="center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5" fillId="7" fontId="6" numFmtId="0" xfId="0" applyAlignment="1" applyBorder="1" applyFont="1">
      <alignment horizontal="center" shrinkToFit="0" vertical="center" wrapText="1"/>
    </xf>
    <xf borderId="5" fillId="7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7" fontId="7" numFmtId="0" xfId="0" applyAlignment="1" applyFont="1">
      <alignment horizontal="center" shrinkToFit="0" vertical="center" wrapText="1"/>
    </xf>
    <xf borderId="5" fillId="7" fontId="7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0" fillId="5" fontId="1" numFmtId="0" xfId="0" applyAlignment="1" applyFont="1">
      <alignment shrinkToFit="0" vertical="center" wrapText="1"/>
    </xf>
    <xf borderId="0" fillId="3" fontId="1" numFmtId="0" xfId="0" applyAlignment="1" applyFont="1">
      <alignment readingOrder="0" shrinkToFit="0" vertical="center" wrapText="1"/>
    </xf>
    <xf borderId="0" fillId="7" fontId="1" numFmtId="0" xfId="0" applyAlignment="1" applyFont="1">
      <alignment shrinkToFit="0" vertical="center" wrapText="1"/>
    </xf>
    <xf borderId="5" fillId="7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4" fontId="1" numFmtId="0" xfId="0" applyAlignment="1" applyBorder="1" applyFont="1">
      <alignment shrinkToFit="0" vertical="center" wrapText="1"/>
    </xf>
    <xf borderId="0" fillId="0" fontId="1" numFmtId="0" xfId="0" applyAlignment="1" applyFont="1">
      <alignment vertical="center"/>
    </xf>
    <xf borderId="1" fillId="8" fontId="1" numFmtId="0" xfId="0" applyAlignment="1" applyBorder="1" applyFill="1" applyFont="1">
      <alignment vertical="center"/>
    </xf>
    <xf borderId="7" fillId="8" fontId="7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shrinkToFit="0" vertical="center" wrapText="1"/>
    </xf>
    <xf borderId="8" fillId="8" fontId="7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shrinkToFit="0" vertical="center" wrapText="1"/>
    </xf>
    <xf borderId="9" fillId="8" fontId="7" numFmtId="0" xfId="0" applyAlignment="1" applyBorder="1" applyFont="1">
      <alignment shrinkToFit="0" vertical="center" wrapText="1"/>
    </xf>
    <xf borderId="1" fillId="8" fontId="7" numFmtId="0" xfId="0" applyAlignment="1" applyBorder="1" applyFont="1">
      <alignment vertical="center"/>
    </xf>
    <xf borderId="1" fillId="8" fontId="8" numFmtId="0" xfId="0" applyAlignment="1" applyBorder="1" applyFont="1">
      <alignment shrinkToFit="0" vertical="center" wrapText="1"/>
    </xf>
    <xf borderId="9" fillId="8" fontId="7" numFmtId="0" xfId="0" applyAlignment="1" applyBorder="1" applyFont="1">
      <alignment vertical="center"/>
    </xf>
    <xf borderId="1" fillId="3" fontId="1" numFmtId="0" xfId="0" applyAlignment="1" applyBorder="1" applyFont="1">
      <alignment shrinkToFit="0" vertical="center" wrapText="1"/>
    </xf>
    <xf borderId="9" fillId="8" fontId="1" numFmtId="0" xfId="0" applyAlignment="1" applyBorder="1" applyFont="1">
      <alignment shrinkToFit="0" vertical="center" wrapText="1"/>
    </xf>
    <xf borderId="8" fillId="8" fontId="1" numFmtId="0" xfId="0" applyAlignment="1" applyBorder="1" applyFont="1">
      <alignment shrinkToFit="0" vertical="center" wrapText="1"/>
    </xf>
    <xf borderId="8" fillId="8" fontId="8" numFmtId="0" xfId="0" applyAlignment="1" applyBorder="1" applyFont="1">
      <alignment shrinkToFit="0" vertical="center" wrapText="1"/>
    </xf>
    <xf borderId="8" fillId="8" fontId="9" numFmtId="0" xfId="0" applyAlignment="1" applyBorder="1" applyFont="1">
      <alignment shrinkToFit="0" vertical="center" wrapText="1"/>
    </xf>
    <xf borderId="8" fillId="8" fontId="10" numFmtId="0" xfId="0" applyAlignment="1" applyBorder="1" applyFont="1">
      <alignment shrinkToFit="0" vertical="center" wrapText="1"/>
    </xf>
    <xf borderId="1" fillId="8" fontId="11" numFmtId="0" xfId="0" applyAlignment="1" applyBorder="1" applyFont="1">
      <alignment shrinkToFit="0" vertical="center" wrapText="1"/>
    </xf>
    <xf borderId="7" fillId="8" fontId="11" numFmtId="0" xfId="0" applyAlignment="1" applyBorder="1" applyFont="1">
      <alignment shrinkToFit="0" vertical="center" wrapText="1"/>
    </xf>
    <xf borderId="8" fillId="8" fontId="11" numFmtId="0" xfId="0" applyAlignment="1" applyBorder="1" applyFont="1">
      <alignment shrinkToFit="0" vertical="center" wrapText="1"/>
    </xf>
    <xf borderId="8" fillId="8" fontId="1" numFmtId="0" xfId="0" applyAlignment="1" applyBorder="1" applyFont="1">
      <alignment vertical="center"/>
    </xf>
    <xf borderId="7" fillId="8" fontId="1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7" fillId="2" fontId="1" numFmtId="0" xfId="0" applyBorder="1" applyFont="1"/>
    <xf borderId="8" fillId="2" fontId="1" numFmtId="0" xfId="0" applyBorder="1" applyFont="1"/>
    <xf borderId="1" fillId="3" fontId="1" numFmtId="0" xfId="0" applyBorder="1" applyFont="1"/>
    <xf borderId="9" fillId="2" fontId="1" numFmtId="0" xfId="0" applyBorder="1" applyFont="1"/>
    <xf borderId="1" fillId="8" fontId="1" numFmtId="0" xfId="0" applyBorder="1" applyFont="1"/>
    <xf borderId="8" fillId="8" fontId="1" numFmtId="0" xfId="0" applyBorder="1" applyFont="1"/>
    <xf borderId="8" fillId="2" fontId="11" numFmtId="0" xfId="0" applyBorder="1" applyFont="1"/>
    <xf borderId="8" fillId="2" fontId="10" numFmtId="0" xfId="0" applyBorder="1" applyFont="1"/>
    <xf borderId="1" fillId="2" fontId="11" numFmtId="0" xfId="0" applyBorder="1" applyFont="1"/>
    <xf borderId="7" fillId="2" fontId="11" numFmtId="0" xfId="0" applyBorder="1" applyFont="1"/>
    <xf borderId="8" fillId="4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3" fontId="1" numFmtId="0" xfId="0" applyFont="1"/>
    <xf borderId="6" fillId="0" fontId="1" numFmtId="0" xfId="0" applyBorder="1" applyFont="1"/>
    <xf borderId="1" fillId="9" fontId="1" numFmtId="0" xfId="0" applyBorder="1" applyFill="1" applyFont="1"/>
    <xf borderId="5" fillId="0" fontId="11" numFmtId="0" xfId="0" applyBorder="1" applyFont="1"/>
    <xf borderId="5" fillId="0" fontId="10" numFmtId="0" xfId="0" applyBorder="1" applyFont="1"/>
    <xf borderId="0" fillId="0" fontId="11" numFmtId="0" xfId="0" applyFont="1"/>
    <xf borderId="4" fillId="0" fontId="11" numFmtId="0" xfId="0" applyBorder="1" applyFont="1"/>
    <xf borderId="5" fillId="4" fontId="1" numFmtId="0" xfId="0" applyBorder="1" applyFont="1"/>
    <xf borderId="1" fillId="10" fontId="1" numFmtId="0" xfId="0" applyBorder="1" applyFill="1" applyFont="1"/>
    <xf borderId="4" fillId="0" fontId="1" numFmtId="164" xfId="0" applyBorder="1" applyFont="1" applyNumberFormat="1"/>
    <xf borderId="7" fillId="8" fontId="1" numFmtId="0" xfId="0" applyBorder="1" applyFont="1"/>
    <xf borderId="1" fillId="2" fontId="12" numFmtId="0" xfId="0" applyBorder="1" applyFont="1"/>
    <xf borderId="8" fillId="4" fontId="12" numFmtId="0" xfId="0" applyBorder="1" applyFont="1"/>
    <xf borderId="8" fillId="2" fontId="12" numFmtId="0" xfId="0" applyBorder="1" applyFont="1"/>
    <xf borderId="0" fillId="0" fontId="1" numFmtId="164" xfId="0" applyFont="1" applyNumberFormat="1"/>
    <xf borderId="5" fillId="0" fontId="1" numFmtId="164" xfId="0" applyBorder="1" applyFont="1" applyNumberFormat="1"/>
    <xf borderId="8" fillId="8" fontId="12" numFmtId="0" xfId="0" applyBorder="1" applyFont="1"/>
    <xf borderId="9" fillId="8" fontId="12" numFmtId="0" xfId="0" applyBorder="1" applyFont="1"/>
    <xf borderId="0" fillId="0" fontId="12" numFmtId="0" xfId="0" applyFont="1"/>
    <xf borderId="5" fillId="0" fontId="12" numFmtId="0" xfId="0" applyBorder="1" applyFont="1"/>
    <xf borderId="0" fillId="11" fontId="1" numFmtId="0" xfId="0" applyAlignment="1" applyFill="1" applyFont="1">
      <alignment readingOrder="0"/>
    </xf>
    <xf borderId="4" fillId="11" fontId="1" numFmtId="0" xfId="0" applyBorder="1" applyFont="1"/>
    <xf borderId="0" fillId="11" fontId="1" numFmtId="0" xfId="0" applyFont="1"/>
    <xf borderId="5" fillId="11" fontId="1" numFmtId="0" xfId="0" applyBorder="1" applyFont="1"/>
    <xf borderId="6" fillId="11" fontId="1" numFmtId="0" xfId="0" applyBorder="1" applyFont="1"/>
    <xf borderId="5" fillId="11" fontId="11" numFmtId="0" xfId="0" applyBorder="1" applyFont="1"/>
    <xf borderId="0" fillId="11" fontId="11" numFmtId="0" xfId="0" applyFont="1"/>
    <xf borderId="4" fillId="11" fontId="11" numFmtId="0" xfId="0" applyBorder="1" applyFont="1"/>
    <xf borderId="7" fillId="10" fontId="1" numFmtId="0" xfId="0" applyBorder="1" applyFont="1"/>
    <xf borderId="8" fillId="10" fontId="1" numFmtId="0" xfId="0" applyBorder="1" applyFont="1"/>
    <xf borderId="1" fillId="12" fontId="1" numFmtId="0" xfId="0" applyBorder="1" applyFill="1" applyFont="1"/>
    <xf borderId="10" fillId="2" fontId="11" numFmtId="0" xfId="0" applyAlignment="1" applyBorder="1" applyFont="1">
      <alignment horizontal="center"/>
    </xf>
    <xf borderId="11" fillId="0" fontId="3" numFmtId="0" xfId="0" applyBorder="1" applyFont="1"/>
    <xf borderId="7" fillId="2" fontId="12" numFmtId="0" xfId="0" applyBorder="1" applyFont="1"/>
    <xf borderId="8" fillId="3" fontId="1" numFmtId="0" xfId="0" applyBorder="1" applyFont="1"/>
    <xf borderId="7" fillId="3" fontId="1" numFmtId="0" xfId="0" applyBorder="1" applyFont="1"/>
    <xf borderId="9" fillId="3" fontId="1" numFmtId="0" xfId="0" applyBorder="1" applyFont="1"/>
    <xf borderId="8" fillId="3" fontId="11" numFmtId="0" xfId="0" applyBorder="1" applyFont="1"/>
    <xf borderId="1" fillId="3" fontId="11" numFmtId="0" xfId="0" applyBorder="1" applyFont="1"/>
    <xf borderId="7" fillId="3" fontId="11" numFmtId="0" xfId="0" applyBorder="1" applyFont="1"/>
    <xf borderId="5" fillId="3" fontId="1" numFmtId="0" xfId="0" applyBorder="1" applyFont="1"/>
    <xf borderId="4" fillId="3" fontId="1" numFmtId="0" xfId="0" applyBorder="1" applyFont="1"/>
    <xf borderId="6" fillId="3" fontId="1" numFmtId="0" xfId="0" applyBorder="1" applyFont="1"/>
    <xf borderId="5" fillId="3" fontId="11" numFmtId="0" xfId="0" applyBorder="1" applyFont="1"/>
    <xf borderId="0" fillId="3" fontId="11" numFmtId="0" xfId="0" applyFont="1"/>
    <xf borderId="4" fillId="3" fontId="11" numFmtId="0" xfId="0" applyBorder="1" applyFont="1"/>
    <xf borderId="12" fillId="2" fontId="1" numFmtId="0" xfId="0" applyAlignment="1" applyBorder="1" applyFont="1">
      <alignment vertical="center"/>
    </xf>
    <xf borderId="13" fillId="0" fontId="3" numFmtId="0" xfId="0" applyBorder="1" applyFont="1"/>
    <xf borderId="12" fillId="10" fontId="1" numFmtId="0" xfId="0" applyAlignment="1" applyBorder="1" applyFont="1">
      <alignment vertical="center"/>
    </xf>
    <xf borderId="2" fillId="10" fontId="1" numFmtId="0" xfId="0" applyBorder="1" applyFont="1"/>
    <xf borderId="1" fillId="10" fontId="1" numFmtId="0" xfId="0" applyAlignment="1" applyBorder="1" applyFont="1">
      <alignment vertical="center"/>
    </xf>
    <xf borderId="1" fillId="9" fontId="1" numFmtId="0" xfId="0" applyAlignment="1" applyBorder="1" applyFont="1">
      <alignment vertical="center"/>
    </xf>
    <xf borderId="2" fillId="9" fontId="1" numFmtId="0" xfId="0" applyBorder="1" applyFont="1"/>
    <xf borderId="12" fillId="9" fontId="1" numFmtId="0" xfId="0" applyAlignment="1" applyBorder="1" applyFont="1">
      <alignment vertical="center"/>
    </xf>
    <xf borderId="2" fillId="10" fontId="11" numFmtId="0" xfId="0" applyBorder="1" applyFont="1"/>
    <xf borderId="1" fillId="6" fontId="1" numFmtId="0" xfId="0" applyBorder="1" applyFont="1"/>
    <xf borderId="2" fillId="6" fontId="11" numFmtId="0" xfId="0" applyBorder="1" applyFont="1"/>
    <xf borderId="1" fillId="13" fontId="1" numFmtId="0" xfId="0" applyBorder="1" applyFill="1" applyFont="1"/>
    <xf borderId="1" fillId="5" fontId="1" numFmtId="0" xfId="0" applyAlignment="1" applyBorder="1" applyFont="1">
      <alignment vertical="center"/>
    </xf>
    <xf borderId="2" fillId="5" fontId="11" numFmtId="0" xfId="0" applyAlignment="1" applyBorder="1" applyFont="1">
      <alignment horizontal="left"/>
    </xf>
    <xf borderId="1" fillId="5" fontId="11" numFmtId="0" xfId="0" applyAlignment="1" applyBorder="1" applyFont="1">
      <alignment horizontal="left"/>
    </xf>
    <xf borderId="1" fillId="6" fontId="1" numFmtId="0" xfId="0" applyAlignment="1" applyBorder="1" applyFont="1">
      <alignment vertical="center"/>
    </xf>
    <xf borderId="2" fillId="6" fontId="11" numFmtId="0" xfId="0" applyAlignment="1" applyBorder="1" applyFont="1">
      <alignment horizontal="left"/>
    </xf>
    <xf borderId="2" fillId="13" fontId="11" numFmtId="0" xfId="0" applyAlignment="1" applyBorder="1" applyFont="1">
      <alignment horizontal="left"/>
    </xf>
    <xf borderId="1" fillId="14" fontId="1" numFmtId="0" xfId="0" applyBorder="1" applyFill="1" applyFont="1"/>
    <xf borderId="2" fillId="14" fontId="11" numFmtId="0" xfId="0" applyAlignment="1" applyBorder="1" applyFont="1">
      <alignment horizontal="left"/>
    </xf>
    <xf borderId="1" fillId="13" fontId="11" numFmtId="0" xfId="0" applyAlignment="1" applyBorder="1" applyFont="1">
      <alignment horizontal="left"/>
    </xf>
    <xf borderId="12" fillId="13" fontId="1" numFmtId="0" xfId="0" applyAlignment="1" applyBorder="1" applyFont="1">
      <alignment vertical="center"/>
    </xf>
    <xf borderId="14" fillId="13" fontId="11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2" fillId="5" fontId="1" numFmtId="0" xfId="0" applyAlignment="1" applyBorder="1" applyFont="1">
      <alignment vertical="center"/>
    </xf>
    <xf borderId="1" fillId="6" fontId="11" numFmtId="0" xfId="0" applyAlignment="1" applyBorder="1" applyFont="1">
      <alignment horizontal="left"/>
    </xf>
    <xf borderId="12" fillId="6" fontId="1" numFmtId="0" xfId="0" applyAlignment="1" applyBorder="1" applyFont="1">
      <alignment horizontal="left" vertical="center"/>
    </xf>
    <xf borderId="2" fillId="14" fontId="11" numFmtId="0" xfId="0" applyBorder="1" applyFont="1"/>
    <xf borderId="12" fillId="6" fontId="1" numFmtId="0" xfId="0" applyAlignment="1" applyBorder="1" applyFont="1">
      <alignment vertical="center"/>
    </xf>
    <xf borderId="1" fillId="6" fontId="11" numFmtId="0" xfId="0" applyBorder="1" applyFont="1"/>
    <xf borderId="0" fillId="0" fontId="13" numFmtId="0" xfId="0" applyAlignment="1" applyFont="1">
      <alignment vertical="center"/>
    </xf>
    <xf borderId="0" fillId="0" fontId="14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3" numFmtId="0" xfId="0" applyAlignment="1" applyFont="1">
      <alignment vertical="center"/>
    </xf>
    <xf borderId="0" fillId="3" fontId="15" numFmtId="0" xfId="0" applyAlignment="1" applyFont="1">
      <alignment readingOrder="0" vertical="center"/>
    </xf>
    <xf borderId="0" fillId="15" fontId="16" numFmtId="0" xfId="0" applyAlignment="1" applyFill="1" applyFont="1">
      <alignment horizontal="center" vertical="center"/>
    </xf>
    <xf borderId="0" fillId="16" fontId="16" numFmtId="0" xfId="0" applyAlignment="1" applyFill="1" applyFont="1">
      <alignment horizontal="center" vertical="center"/>
    </xf>
    <xf borderId="0" fillId="17" fontId="16" numFmtId="0" xfId="0" applyAlignment="1" applyFill="1" applyFont="1">
      <alignment horizontal="center" vertical="center"/>
    </xf>
    <xf borderId="0" fillId="18" fontId="16" numFmtId="0" xfId="0" applyAlignment="1" applyFill="1" applyFon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19" fontId="13" numFmtId="0" xfId="0" applyAlignment="1" applyFill="1" applyFont="1">
      <alignment horizontal="center" shrinkToFit="0" vertical="center" wrapText="1"/>
    </xf>
    <xf borderId="4" fillId="19" fontId="13" numFmtId="0" xfId="0" applyAlignment="1" applyBorder="1" applyFont="1">
      <alignment horizontal="center" shrinkToFit="0" vertical="center" wrapText="1"/>
    </xf>
    <xf borderId="4" fillId="19" fontId="5" numFmtId="0" xfId="0" applyAlignment="1" applyBorder="1" applyFont="1">
      <alignment horizontal="center" shrinkToFit="0" vertical="center" wrapText="1"/>
    </xf>
    <xf borderId="5" fillId="19" fontId="13" numFmtId="0" xfId="0" applyAlignment="1" applyBorder="1" applyFont="1">
      <alignment horizontal="center" shrinkToFit="0" vertical="center" wrapText="1"/>
    </xf>
    <xf borderId="6" fillId="19" fontId="13" numFmtId="0" xfId="0" applyAlignment="1" applyBorder="1" applyFont="1">
      <alignment horizontal="center" shrinkToFit="0" vertical="center" wrapText="1"/>
    </xf>
    <xf borderId="5" fillId="19" fontId="7" numFmtId="0" xfId="0" applyAlignment="1" applyBorder="1" applyFont="1">
      <alignment horizontal="center" shrinkToFit="0" vertical="center" wrapText="1"/>
    </xf>
    <xf borderId="6" fillId="20" fontId="13" numFmtId="0" xfId="0" applyAlignment="1" applyBorder="1" applyFill="1" applyFont="1">
      <alignment horizontal="center" shrinkToFit="0" vertical="center" wrapText="1"/>
    </xf>
    <xf borderId="6" fillId="20" fontId="13" numFmtId="0" xfId="0" applyAlignment="1" applyBorder="1" applyFont="1">
      <alignment horizontal="center" readingOrder="0" shrinkToFit="0" vertical="center" wrapText="1"/>
    </xf>
    <xf borderId="0" fillId="20" fontId="13" numFmtId="0" xfId="0" applyAlignment="1" applyFont="1">
      <alignment horizontal="center" shrinkToFit="0" vertical="center" wrapText="1"/>
    </xf>
    <xf borderId="4" fillId="20" fontId="13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4" fillId="4" fontId="13" numFmtId="0" xfId="0" applyAlignment="1" applyBorder="1" applyFont="1">
      <alignment horizontal="center" shrinkToFit="0" vertical="center" wrapText="1"/>
    </xf>
    <xf borderId="6" fillId="4" fontId="13" numFmtId="0" xfId="0" applyAlignment="1" applyBorder="1" applyFont="1">
      <alignment horizontal="center" shrinkToFit="0" vertical="center" wrapText="1"/>
    </xf>
    <xf borderId="5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center" shrinkToFit="0" vertical="center" wrapText="1"/>
    </xf>
    <xf borderId="5" fillId="4" fontId="7" numFmtId="0" xfId="0" applyAlignment="1" applyBorder="1" applyFont="1">
      <alignment horizontal="center" shrinkToFit="0" vertical="center" wrapText="1"/>
    </xf>
    <xf borderId="5" fillId="21" fontId="13" numFmtId="0" xfId="0" applyAlignment="1" applyBorder="1" applyFill="1" applyFont="1">
      <alignment horizontal="center" shrinkToFit="0" vertical="center" wrapText="1"/>
    </xf>
    <xf borderId="6" fillId="21" fontId="13" numFmtId="0" xfId="0" applyAlignment="1" applyBorder="1" applyFont="1">
      <alignment horizontal="center" shrinkToFit="0" vertical="center" wrapText="1"/>
    </xf>
    <xf borderId="0" fillId="21" fontId="5" numFmtId="0" xfId="0" applyAlignment="1" applyFont="1">
      <alignment horizontal="center" shrinkToFit="0" vertical="center" wrapText="1"/>
    </xf>
    <xf borderId="5" fillId="21" fontId="7" numFmtId="0" xfId="0" applyAlignment="1" applyBorder="1" applyFont="1">
      <alignment horizontal="center" shrinkToFit="0" vertical="center" wrapText="1"/>
    </xf>
    <xf borderId="4" fillId="21" fontId="13" numFmtId="0" xfId="0" applyAlignment="1" applyBorder="1" applyFont="1">
      <alignment horizontal="center" shrinkToFit="0" vertical="center" wrapText="1"/>
    </xf>
    <xf borderId="0" fillId="21" fontId="13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6" fillId="19" fontId="13" numFmtId="0" xfId="0" applyAlignment="1" applyBorder="1" applyFont="1">
      <alignment shrinkToFit="0" vertical="center" wrapText="1"/>
    </xf>
    <xf borderId="0" fillId="19" fontId="13" numFmtId="0" xfId="0" applyAlignment="1" applyFont="1">
      <alignment horizontal="center" readingOrder="0" shrinkToFit="0" vertical="center" wrapText="1"/>
    </xf>
    <xf borderId="0" fillId="19" fontId="13" numFmtId="0" xfId="0" applyAlignment="1" applyFont="1">
      <alignment shrinkToFit="0" vertical="center" wrapText="1"/>
    </xf>
    <xf borderId="4" fillId="19" fontId="13" numFmtId="0" xfId="0" applyAlignment="1" applyBorder="1" applyFont="1">
      <alignment readingOrder="0" shrinkToFit="0" vertical="center" wrapText="1"/>
    </xf>
    <xf borderId="5" fillId="19" fontId="13" numFmtId="0" xfId="0" applyAlignment="1" applyBorder="1" applyFont="1">
      <alignment shrinkToFit="0" vertical="center" wrapText="1"/>
    </xf>
    <xf borderId="0" fillId="19" fontId="13" numFmtId="0" xfId="0" applyAlignment="1" applyFont="1">
      <alignment shrinkToFit="0" vertical="center" wrapText="1"/>
    </xf>
    <xf borderId="4" fillId="19" fontId="13" numFmtId="0" xfId="0" applyAlignment="1" applyBorder="1" applyFont="1">
      <alignment shrinkToFit="0" vertical="center" wrapText="1"/>
    </xf>
    <xf borderId="0" fillId="20" fontId="13" numFmtId="0" xfId="0" applyAlignment="1" applyFont="1">
      <alignment horizontal="center" readingOrder="0" shrinkToFit="0" vertical="center" wrapText="1"/>
    </xf>
    <xf borderId="4" fillId="4" fontId="13" numFmtId="0" xfId="0" applyAlignment="1" applyBorder="1" applyFont="1">
      <alignment shrinkToFit="0" vertical="center" wrapText="1"/>
    </xf>
    <xf borderId="5" fillId="4" fontId="13" numFmtId="0" xfId="0" applyAlignment="1" applyBorder="1" applyFont="1">
      <alignment shrinkToFit="0" vertical="center" wrapText="1"/>
    </xf>
    <xf borderId="5" fillId="4" fontId="13" numFmtId="0" xfId="0" applyAlignment="1" applyBorder="1" applyFont="1">
      <alignment horizontal="center" shrinkToFit="0" vertical="center" wrapText="1"/>
    </xf>
    <xf borderId="5" fillId="4" fontId="13" numFmtId="0" xfId="0" applyAlignment="1" applyBorder="1" applyFont="1">
      <alignment shrinkToFit="0" vertical="center" wrapText="1"/>
    </xf>
    <xf borderId="5" fillId="21" fontId="13" numFmtId="0" xfId="0" applyAlignment="1" applyBorder="1" applyFont="1">
      <alignment shrinkToFit="0" vertical="center" wrapText="1"/>
    </xf>
    <xf borderId="0" fillId="21" fontId="13" numFmtId="0" xfId="0" applyAlignment="1" applyFont="1">
      <alignment shrinkToFit="0" vertical="center" wrapText="1"/>
    </xf>
    <xf borderId="0" fillId="8" fontId="13" numFmtId="0" xfId="0" applyAlignment="1" applyFont="1">
      <alignment horizontal="center" vertical="center"/>
    </xf>
    <xf borderId="0" fillId="8" fontId="13" numFmtId="0" xfId="0" applyAlignment="1" applyFont="1">
      <alignment vertical="center"/>
    </xf>
    <xf borderId="4" fillId="8" fontId="13" numFmtId="0" xfId="0" applyAlignment="1" applyBorder="1" applyFont="1">
      <alignment vertical="center"/>
    </xf>
    <xf borderId="0" fillId="8" fontId="13" numFmtId="0" xfId="0" applyAlignment="1" applyFont="1">
      <alignment shrinkToFit="0" vertical="center" wrapText="1"/>
    </xf>
    <xf borderId="0" fillId="8" fontId="7" numFmtId="0" xfId="0" applyAlignment="1" applyFont="1">
      <alignment shrinkToFit="0" vertical="center" wrapText="1"/>
    </xf>
    <xf borderId="6" fillId="8" fontId="13" numFmtId="0" xfId="0" applyAlignment="1" applyBorder="1" applyFont="1">
      <alignment vertical="center"/>
    </xf>
    <xf borderId="6" fillId="8" fontId="7" numFmtId="0" xfId="0" applyAlignment="1" applyBorder="1" applyFont="1">
      <alignment shrinkToFit="0" vertical="center" wrapText="1"/>
    </xf>
    <xf borderId="0" fillId="8" fontId="13" numFmtId="0" xfId="0" applyAlignment="1" applyFont="1">
      <alignment readingOrder="0" vertical="center"/>
    </xf>
    <xf borderId="0" fillId="8" fontId="7" numFmtId="0" xfId="0" applyAlignment="1" applyFont="1">
      <alignment readingOrder="0" shrinkToFit="0" vertical="center" wrapText="1"/>
    </xf>
    <xf borderId="5" fillId="8" fontId="7" numFmtId="0" xfId="0" applyAlignment="1" applyBorder="1" applyFont="1">
      <alignment shrinkToFit="0" vertical="center" wrapText="1"/>
    </xf>
    <xf borderId="5" fillId="8" fontId="13" numFmtId="0" xfId="0" applyAlignment="1" applyBorder="1" applyFont="1">
      <alignment vertical="center"/>
    </xf>
    <xf borderId="4" fillId="8" fontId="13" numFmtId="0" xfId="0" applyAlignment="1" applyBorder="1" applyFont="1">
      <alignment shrinkToFit="0" vertical="center" wrapText="1"/>
    </xf>
    <xf borderId="4" fillId="8" fontId="7" numFmtId="0" xfId="0" applyAlignment="1" applyBorder="1" applyFont="1">
      <alignment readingOrder="0" shrinkToFit="0" vertical="center" wrapText="1"/>
    </xf>
    <xf borderId="4" fillId="8" fontId="7" numFmtId="0" xfId="0" applyAlignment="1" applyBorder="1" applyFont="1">
      <alignment shrinkToFit="0" vertical="center" wrapText="1"/>
    </xf>
    <xf borderId="0" fillId="8" fontId="13" numFmtId="0" xfId="0" applyAlignment="1" applyFont="1">
      <alignment readingOrder="0" shrinkToFit="0" vertical="center" wrapText="1"/>
    </xf>
    <xf borderId="5" fillId="8" fontId="8" numFmtId="0" xfId="0" applyAlignment="1" applyBorder="1" applyFont="1">
      <alignment shrinkToFit="0" vertical="center" wrapText="1"/>
    </xf>
    <xf borderId="4" fillId="8" fontId="5" numFmtId="0" xfId="0" applyAlignment="1" applyBorder="1" applyFont="1">
      <alignment shrinkToFit="0" vertical="center" wrapText="1"/>
    </xf>
    <xf borderId="5" fillId="8" fontId="5" numFmtId="0" xfId="0" applyAlignment="1" applyBorder="1" applyFont="1">
      <alignment shrinkToFit="0" vertical="center" wrapText="1"/>
    </xf>
    <xf borderId="4" fillId="8" fontId="5" numFmtId="0" xfId="0" applyAlignment="1" applyBorder="1" applyFont="1">
      <alignment readingOrder="0" vertical="center"/>
    </xf>
    <xf borderId="5" fillId="8" fontId="13" numFmtId="0" xfId="0" applyAlignment="1" applyBorder="1" applyFont="1">
      <alignment readingOrder="0" shrinkToFit="0" vertical="center" wrapText="1"/>
    </xf>
    <xf borderId="6" fillId="8" fontId="7" numFmtId="0" xfId="0" applyAlignment="1" applyBorder="1" applyFont="1">
      <alignment readingOrder="0" shrinkToFit="0" vertical="center" wrapText="1"/>
    </xf>
    <xf borderId="5" fillId="8" fontId="13" numFmtId="0" xfId="0" applyAlignment="1" applyBorder="1" applyFont="1">
      <alignment shrinkToFit="0" vertical="center" wrapText="1"/>
    </xf>
    <xf borderId="0" fillId="8" fontId="17" numFmtId="0" xfId="0" applyAlignment="1" applyFont="1">
      <alignment shrinkToFit="0" vertical="center" wrapText="1"/>
    </xf>
    <xf borderId="6" fillId="8" fontId="17" numFmtId="0" xfId="0" applyAlignment="1" applyBorder="1" applyFont="1">
      <alignment shrinkToFit="0" vertical="center" wrapText="1"/>
    </xf>
    <xf borderId="5" fillId="8" fontId="18" numFmtId="0" xfId="0" applyAlignment="1" applyBorder="1" applyFont="1">
      <alignment shrinkToFit="0" vertical="center" wrapText="1"/>
    </xf>
    <xf borderId="6" fillId="8" fontId="13" numFmtId="0" xfId="0" applyAlignment="1" applyBorder="1" applyFont="1">
      <alignment shrinkToFit="0" vertical="center" wrapText="1"/>
    </xf>
    <xf borderId="6" fillId="8" fontId="7" numFmtId="0" xfId="0" applyAlignment="1" applyBorder="1" applyFont="1">
      <alignment shrinkToFit="0" vertical="center" wrapText="1"/>
    </xf>
    <xf borderId="0" fillId="2" fontId="13" numFmtId="0" xfId="0" applyAlignment="1" applyFont="1">
      <alignment vertical="center"/>
    </xf>
    <xf borderId="0" fillId="22" fontId="13" numFmtId="0" xfId="0" applyAlignment="1" applyFill="1" applyFont="1">
      <alignment horizontal="center" vertical="center"/>
    </xf>
    <xf borderId="0" fillId="22" fontId="13" numFmtId="0" xfId="0" applyAlignment="1" applyFont="1">
      <alignment vertical="center"/>
    </xf>
    <xf borderId="4" fillId="22" fontId="13" numFmtId="0" xfId="0" applyAlignment="1" applyBorder="1" applyFont="1">
      <alignment vertical="center"/>
    </xf>
    <xf borderId="0" fillId="22" fontId="13" numFmtId="0" xfId="0" applyAlignment="1" applyFont="1">
      <alignment readingOrder="0" vertical="center"/>
    </xf>
    <xf borderId="6" fillId="22" fontId="13" numFmtId="0" xfId="0" applyAlignment="1" applyBorder="1" applyFont="1">
      <alignment readingOrder="0" vertical="center"/>
    </xf>
    <xf borderId="6" fillId="22" fontId="13" numFmtId="0" xfId="0" applyAlignment="1" applyBorder="1" applyFont="1">
      <alignment vertical="center"/>
    </xf>
    <xf borderId="0" fillId="22" fontId="13" numFmtId="0" xfId="0" applyAlignment="1" applyFont="1">
      <alignment vertical="center"/>
    </xf>
    <xf borderId="4" fillId="22" fontId="13" numFmtId="0" xfId="0" applyAlignment="1" applyBorder="1" applyFont="1">
      <alignment vertical="center"/>
    </xf>
    <xf borderId="5" fillId="22" fontId="13" numFmtId="0" xfId="0" applyAlignment="1" applyBorder="1" applyFont="1">
      <alignment vertical="center"/>
    </xf>
    <xf borderId="4" fillId="22" fontId="13" numFmtId="0" xfId="0" applyAlignment="1" applyBorder="1" applyFont="1">
      <alignment readingOrder="0" vertical="center"/>
    </xf>
    <xf borderId="5" fillId="22" fontId="13" numFmtId="0" xfId="0" applyAlignment="1" applyBorder="1" applyFont="1">
      <alignment readingOrder="0" vertical="center"/>
    </xf>
    <xf borderId="4" fillId="22" fontId="13" numFmtId="0" xfId="0" applyAlignment="1" applyBorder="1" applyFont="1">
      <alignment horizontal="right" readingOrder="0" vertical="center"/>
    </xf>
    <xf borderId="0" fillId="2" fontId="13" numFmtId="0" xfId="0" applyAlignment="1" applyFont="1">
      <alignment readingOrder="0" vertical="center"/>
    </xf>
    <xf borderId="0" fillId="2" fontId="13" numFmtId="0" xfId="0" applyAlignment="1" applyFont="1">
      <alignment horizontal="right" vertical="center"/>
    </xf>
    <xf borderId="4" fillId="2" fontId="13" numFmtId="0" xfId="0" applyAlignment="1" applyBorder="1" applyFont="1">
      <alignment horizontal="right" vertical="center"/>
    </xf>
    <xf borderId="6" fillId="2" fontId="13" numFmtId="0" xfId="0" applyAlignment="1" applyBorder="1" applyFont="1">
      <alignment vertical="center"/>
    </xf>
    <xf borderId="0" fillId="2" fontId="13" numFmtId="0" xfId="0" applyAlignment="1" applyFont="1">
      <alignment vertical="center"/>
    </xf>
    <xf borderId="0" fillId="9" fontId="13" numFmtId="0" xfId="0" applyAlignment="1" applyFont="1">
      <alignment horizontal="right" vertical="center"/>
    </xf>
    <xf borderId="4" fillId="2" fontId="13" numFmtId="0" xfId="0" applyAlignment="1" applyBorder="1" applyFont="1">
      <alignment vertical="center"/>
    </xf>
    <xf borderId="5" fillId="2" fontId="13" numFmtId="0" xfId="0" applyAlignment="1" applyBorder="1" applyFont="1">
      <alignment vertical="center"/>
    </xf>
    <xf borderId="5" fillId="2" fontId="17" numFmtId="0" xfId="0" applyAlignment="1" applyBorder="1" applyFont="1">
      <alignment horizontal="right" vertical="center"/>
    </xf>
    <xf borderId="4" fillId="9" fontId="13" numFmtId="0" xfId="0" applyAlignment="1" applyBorder="1" applyFont="1">
      <alignment vertical="center"/>
    </xf>
    <xf borderId="5" fillId="2" fontId="13" numFmtId="0" xfId="0" applyAlignment="1" applyBorder="1" applyFont="1">
      <alignment readingOrder="0" vertical="center"/>
    </xf>
    <xf borderId="0" fillId="9" fontId="13" numFmtId="0" xfId="0" applyAlignment="1" applyFont="1">
      <alignment vertical="center"/>
    </xf>
    <xf borderId="6" fillId="2" fontId="13" numFmtId="0" xfId="0" applyAlignment="1" applyBorder="1" applyFont="1">
      <alignment horizontal="right" vertical="center"/>
    </xf>
    <xf borderId="5" fillId="2" fontId="13" numFmtId="0" xfId="0" applyAlignment="1" applyBorder="1" applyFont="1">
      <alignment horizontal="right" vertical="center"/>
    </xf>
    <xf borderId="0" fillId="2" fontId="17" numFmtId="0" xfId="0" applyAlignment="1" applyFont="1">
      <alignment horizontal="right" vertical="center"/>
    </xf>
    <xf borderId="5" fillId="2" fontId="18" numFmtId="0" xfId="0" applyAlignment="1" applyBorder="1" applyFont="1">
      <alignment horizontal="right" vertical="center"/>
    </xf>
    <xf borderId="0" fillId="9" fontId="13" numFmtId="0" xfId="0" applyAlignment="1" applyFont="1">
      <alignment vertical="center"/>
    </xf>
    <xf borderId="4" fillId="9" fontId="13" numFmtId="0" xfId="0" applyAlignment="1" applyBorder="1" applyFont="1">
      <alignment horizontal="right" vertical="center"/>
    </xf>
    <xf borderId="6" fillId="9" fontId="13" numFmtId="0" xfId="0" applyAlignment="1" applyBorder="1" applyFont="1">
      <alignment vertical="center"/>
    </xf>
    <xf borderId="5" fillId="9" fontId="13" numFmtId="0" xfId="0" applyAlignment="1" applyBorder="1" applyFont="1">
      <alignment vertical="center"/>
    </xf>
    <xf borderId="5" fillId="9" fontId="17" numFmtId="0" xfId="0" applyAlignment="1" applyBorder="1" applyFont="1">
      <alignment horizontal="right" vertical="center"/>
    </xf>
    <xf borderId="5" fillId="9" fontId="13" numFmtId="0" xfId="0" applyAlignment="1" applyBorder="1" applyFont="1">
      <alignment horizontal="right" vertical="center"/>
    </xf>
    <xf borderId="0" fillId="2" fontId="13" numFmtId="0" xfId="0" applyAlignment="1" applyFont="1">
      <alignment vertical="center"/>
    </xf>
    <xf borderId="6" fillId="9" fontId="13" numFmtId="0" xfId="0" applyAlignment="1" applyBorder="1" applyFont="1">
      <alignment horizontal="right" vertical="center"/>
    </xf>
    <xf borderId="0" fillId="0" fontId="13" numFmtId="0" xfId="0" applyAlignment="1" applyFont="1">
      <alignment horizontal="right" vertical="center"/>
    </xf>
    <xf borderId="4" fillId="9" fontId="17" numFmtId="0" xfId="0" applyAlignment="1" applyBorder="1" applyFont="1">
      <alignment horizontal="right" vertical="center"/>
    </xf>
    <xf borderId="0" fillId="9" fontId="17" numFmtId="0" xfId="0" applyAlignment="1" applyFont="1">
      <alignment horizontal="right" vertical="center"/>
    </xf>
    <xf borderId="5" fillId="9" fontId="18" numFmtId="0" xfId="0" applyAlignment="1" applyBorder="1" applyFont="1">
      <alignment horizontal="right" vertical="center"/>
    </xf>
    <xf borderId="0" fillId="2" fontId="13" numFmtId="0" xfId="0" applyAlignment="1" applyFont="1">
      <alignment horizontal="right" vertical="center"/>
    </xf>
    <xf borderId="0" fillId="9" fontId="13" numFmtId="165" xfId="0" applyAlignment="1" applyFont="1" applyNumberFormat="1">
      <alignment horizontal="right" vertical="center"/>
    </xf>
    <xf borderId="0" fillId="9" fontId="13" numFmtId="0" xfId="0" applyAlignment="1" applyFont="1">
      <alignment horizontal="right" readingOrder="0" vertical="center"/>
    </xf>
    <xf borderId="4" fillId="2" fontId="13" numFmtId="164" xfId="0" applyAlignment="1" applyBorder="1" applyFont="1" applyNumberFormat="1">
      <alignment vertical="center"/>
    </xf>
    <xf borderId="0" fillId="2" fontId="13" numFmtId="164" xfId="0" applyAlignment="1" applyFont="1" applyNumberFormat="1">
      <alignment vertical="center"/>
    </xf>
    <xf borderId="5" fillId="2" fontId="13" numFmtId="0" xfId="0" applyAlignment="1" applyBorder="1" applyFont="1">
      <alignment vertical="center"/>
    </xf>
    <xf borderId="6" fillId="9" fontId="13" numFmtId="0" xfId="0" applyAlignment="1" applyBorder="1" applyFont="1">
      <alignment horizontal="right" readingOrder="0" vertical="center"/>
    </xf>
    <xf borderId="6" fillId="2" fontId="13" numFmtId="0" xfId="0" applyAlignment="1" applyBorder="1" applyFont="1">
      <alignment horizontal="right" readingOrder="0" vertical="center"/>
    </xf>
    <xf borderId="4" fillId="2" fontId="13" numFmtId="0" xfId="0" applyAlignment="1" applyBorder="1" applyFont="1">
      <alignment horizontal="right" vertical="center"/>
    </xf>
    <xf borderId="5" fillId="2" fontId="19" numFmtId="0" xfId="0" applyAlignment="1" applyBorder="1" applyFont="1">
      <alignment horizontal="right" vertical="center"/>
    </xf>
    <xf borderId="6" fillId="2" fontId="17" numFmtId="0" xfId="0" applyAlignment="1" applyBorder="1" applyFont="1">
      <alignment horizontal="right" vertical="center"/>
    </xf>
    <xf borderId="5" fillId="2" fontId="13" numFmtId="165" xfId="0" applyAlignment="1" applyBorder="1" applyFont="1" applyNumberFormat="1">
      <alignment vertical="center"/>
    </xf>
    <xf borderId="0" fillId="2" fontId="13" numFmtId="0" xfId="0" applyAlignment="1" applyFont="1">
      <alignment horizontal="right" readingOrder="0" vertical="center"/>
    </xf>
    <xf borderId="0" fillId="9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2" fontId="13" numFmtId="0" xfId="0" applyAlignment="1" applyFont="1">
      <alignment vertical="center"/>
    </xf>
    <xf borderId="0" fillId="2" fontId="13" numFmtId="0" xfId="0" applyAlignment="1" applyFont="1">
      <alignment readingOrder="0" vertical="center"/>
    </xf>
    <xf borderId="0" fillId="9" fontId="13" numFmtId="0" xfId="0" applyAlignment="1" applyFont="1">
      <alignment readingOrder="0" vertical="center"/>
    </xf>
    <xf borderId="0" fillId="9" fontId="13" numFmtId="0" xfId="0" applyAlignment="1" applyFont="1">
      <alignment vertical="center"/>
    </xf>
    <xf borderId="0" fillId="6" fontId="13" numFmtId="0" xfId="0" applyAlignment="1" applyFont="1">
      <alignment readingOrder="0" vertical="center"/>
    </xf>
    <xf borderId="0" fillId="6" fontId="17" numFmtId="0" xfId="0" applyAlignment="1" applyFont="1">
      <alignment readingOrder="0" vertical="center"/>
    </xf>
    <xf borderId="0" fillId="13" fontId="13" numFmtId="0" xfId="0" applyAlignment="1" applyFont="1">
      <alignment readingOrder="0" vertical="center"/>
    </xf>
    <xf borderId="0" fillId="9" fontId="20" numFmtId="0" xfId="0" applyFont="1"/>
    <xf borderId="0" fillId="2" fontId="20" numFmtId="0" xfId="0" applyFont="1"/>
    <xf borderId="0" fillId="13" fontId="17" numFmtId="0" xfId="0" applyAlignment="1" applyFont="1">
      <alignment readingOrder="0" vertical="center"/>
    </xf>
    <xf borderId="0" fillId="14" fontId="13" numFmtId="0" xfId="0" applyAlignment="1" applyFont="1">
      <alignment readingOrder="0" vertical="center"/>
    </xf>
    <xf borderId="0" fillId="14" fontId="17" numFmtId="0" xfId="0" applyAlignment="1" applyFont="1">
      <alignment readingOrder="0" vertical="center"/>
    </xf>
    <xf borderId="0" fillId="5" fontId="13" numFmtId="0" xfId="0" applyAlignment="1" applyFont="1">
      <alignment readingOrder="0" vertical="center"/>
    </xf>
    <xf borderId="0" fillId="5" fontId="17" numFmtId="0" xfId="0" applyAlignment="1" applyFont="1">
      <alignment readingOrder="0" vertical="center"/>
    </xf>
    <xf borderId="0" fillId="5" fontId="20" numFmtId="0" xfId="0" applyFont="1"/>
    <xf borderId="0" fillId="5" fontId="13" numFmtId="0" xfId="0" applyAlignment="1" applyFont="1">
      <alignment readingOrder="0"/>
    </xf>
    <xf borderId="0" fillId="13" fontId="17" numFmtId="0" xfId="0" applyAlignment="1" applyFont="1">
      <alignment vertical="center"/>
    </xf>
    <xf borderId="0" fillId="6" fontId="13" numFmtId="0" xfId="0" applyAlignment="1" applyFont="1">
      <alignment vertical="center"/>
    </xf>
    <xf borderId="0" fillId="6" fontId="17" numFmtId="0" xfId="0" applyAlignment="1" applyFont="1">
      <alignment vertical="center"/>
    </xf>
    <xf borderId="0" fillId="13" fontId="13" numFmtId="0" xfId="0" applyAlignment="1" applyFont="1">
      <alignment readingOrder="0"/>
    </xf>
    <xf borderId="0" fillId="5" fontId="13" numFmtId="166" xfId="0" applyAlignment="1" applyFont="1" applyNumberFormat="1">
      <alignment horizontal="left" readingOrder="0" vertical="center"/>
    </xf>
    <xf borderId="0" fillId="5" fontId="13" numFmtId="0" xfId="0" applyAlignment="1" applyFont="1">
      <alignment vertical="center"/>
    </xf>
    <xf borderId="0" fillId="13" fontId="13" numFmtId="0" xfId="0" applyAlignment="1" applyFont="1">
      <alignment vertical="center"/>
    </xf>
    <xf borderId="0" fillId="5" fontId="13" numFmtId="0" xfId="0" applyAlignment="1" applyFont="1">
      <alignment readingOrder="0" vertical="center"/>
    </xf>
    <xf borderId="0" fillId="5" fontId="17" numFmtId="0" xfId="0" applyAlignment="1" applyFont="1">
      <alignment vertical="center"/>
    </xf>
    <xf borderId="0" fillId="5" fontId="13" numFmtId="0" xfId="0" applyAlignment="1" applyFont="1">
      <alignment vertical="center"/>
    </xf>
    <xf borderId="0" fillId="14" fontId="13" numFmtId="0" xfId="0" applyAlignment="1" applyFont="1">
      <alignment vertical="center"/>
    </xf>
    <xf borderId="0" fillId="14" fontId="17" numFmtId="0" xfId="0" applyAlignment="1" applyFont="1">
      <alignment vertical="center"/>
    </xf>
    <xf borderId="0" fillId="6" fontId="13" numFmtId="0" xfId="0" applyAlignment="1" applyFont="1">
      <alignment vertical="center"/>
    </xf>
    <xf borderId="0" fillId="6" fontId="13" numFmtId="0" xfId="0" applyAlignment="1" applyFont="1">
      <alignment vertical="center"/>
    </xf>
    <xf borderId="0" fillId="6" fontId="17" numFmtId="0" xfId="0" applyAlignment="1" applyFont="1">
      <alignment vertical="center"/>
    </xf>
    <xf borderId="0" fillId="5" fontId="13" numFmtId="0" xfId="0" applyAlignment="1" applyFont="1">
      <alignment vertical="center"/>
    </xf>
    <xf borderId="0" fillId="6" fontId="13" numFmtId="0" xfId="0" applyAlignment="1" applyFont="1">
      <alignment vertical="center"/>
    </xf>
    <xf borderId="0" fillId="13" fontId="13" numFmtId="0" xfId="0" applyAlignment="1" applyFont="1">
      <alignment vertical="center"/>
    </xf>
    <xf borderId="0" fillId="5" fontId="13" numFmtId="0" xfId="0" applyAlignment="1" applyFont="1">
      <alignment vertical="center"/>
    </xf>
    <xf borderId="0" fillId="5" fontId="17" numFmtId="0" xfId="0" applyAlignment="1" applyFont="1">
      <alignment vertical="center"/>
    </xf>
    <xf borderId="0" fillId="13" fontId="13" numFmtId="0" xfId="0" applyAlignment="1" applyFont="1">
      <alignment vertical="center"/>
    </xf>
    <xf borderId="0" fillId="13" fontId="17" numFmtId="0" xfId="0" applyAlignment="1" applyFont="1">
      <alignment vertical="center"/>
    </xf>
    <xf borderId="0" fillId="13" fontId="13" numFmtId="0" xfId="0" applyAlignment="1" applyFont="1">
      <alignment vertical="center"/>
    </xf>
    <xf borderId="4" fillId="8" fontId="7" numFmtId="0" xfId="0" applyAlignment="1" applyBorder="1" applyFont="1">
      <alignment shrinkToFit="0" vertical="center" wrapText="1"/>
    </xf>
    <xf borderId="4" fillId="9" fontId="13" numFmtId="0" xfId="0" applyAlignment="1" applyBorder="1" applyFont="1">
      <alignment horizontal="right" readingOrder="0" vertical="center"/>
    </xf>
    <xf borderId="4" fillId="9" fontId="13" numFmtId="0" xfId="0" applyAlignment="1" applyBorder="1" applyFont="1">
      <alignment readingOrder="0" vertical="center"/>
    </xf>
    <xf borderId="4" fillId="2" fontId="13" numFmtId="0" xfId="0" applyAlignment="1" applyBorder="1" applyFont="1">
      <alignment horizontal="right" readingOrder="0" vertical="center"/>
    </xf>
    <xf borderId="0" fillId="2" fontId="13" numFmtId="0" xfId="0" applyAlignment="1" applyFont="1">
      <alignment readingOrder="0" vertical="center"/>
    </xf>
    <xf borderId="0" fillId="0" fontId="20" numFmtId="0" xfId="0" applyFont="1"/>
    <xf borderId="0" fillId="20" fontId="21" numFmtId="0" xfId="0" applyFont="1"/>
    <xf borderId="0" fillId="0" fontId="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0" numFmtId="14" xfId="0" applyAlignment="1" applyFont="1" applyNumberFormat="1">
      <alignment readingOrder="0"/>
    </xf>
    <xf borderId="0" fillId="20" fontId="8" numFmtId="0" xfId="0" applyFont="1"/>
    <xf borderId="0" fillId="0" fontId="20" numFmtId="0" xfId="0" applyAlignment="1" applyFont="1">
      <alignment readingOrder="0" vertical="bottom"/>
    </xf>
    <xf borderId="0" fillId="2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0" fontId="20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70" xfId="0" applyAlignment="1" applyFont="1" applyNumberFormat="1">
      <alignment readingOrder="0"/>
    </xf>
    <xf quotePrefix="1" borderId="0" fillId="0" fontId="20" numFmtId="0" xfId="0" applyAlignment="1" applyFont="1">
      <alignment readingOrder="0"/>
    </xf>
    <xf borderId="0" fillId="0" fontId="20" numFmtId="0" xfId="0" applyAlignment="1" applyFont="1">
      <alignment horizontal="right" readingOrder="0" vertical="bottom"/>
    </xf>
    <xf borderId="0" fillId="16" fontId="20" numFmtId="0" xfId="0" applyAlignment="1" applyFont="1">
      <alignment readingOrder="0"/>
    </xf>
    <xf borderId="0" fillId="16" fontId="20" numFmtId="167" xfId="0" applyAlignment="1" applyFont="1" applyNumberFormat="1">
      <alignment readingOrder="0"/>
    </xf>
    <xf borderId="0" fillId="16" fontId="20" numFmtId="0" xfId="0" applyAlignment="1" applyFont="1">
      <alignment readingOrder="0" vertical="bottom"/>
    </xf>
    <xf borderId="0" fillId="16" fontId="2" numFmtId="0" xfId="0" applyFont="1"/>
    <xf borderId="0" fillId="16" fontId="2" numFmtId="169" xfId="0" applyAlignment="1" applyFont="1" applyNumberFormat="1">
      <alignment readingOrder="0"/>
    </xf>
    <xf borderId="0" fillId="0" fontId="20" numFmtId="14" xfId="0" applyAlignment="1" applyFont="1" applyNumberFormat="1">
      <alignment horizontal="right" vertical="bottom"/>
    </xf>
    <xf borderId="0" fillId="0" fontId="20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0" numFmtId="170" xfId="0" applyAlignment="1" applyFont="1" applyNumberFormat="1">
      <alignment horizontal="right" vertical="bottom"/>
    </xf>
    <xf borderId="0" fillId="0" fontId="20" numFmtId="14" xfId="0" applyFont="1" applyNumberFormat="1"/>
    <xf borderId="0" fillId="0" fontId="20" numFmtId="0" xfId="0" applyFont="1"/>
    <xf borderId="0" fillId="0" fontId="2" numFmtId="170" xfId="0" applyFont="1" applyNumberFormat="1"/>
    <xf borderId="0" fillId="0" fontId="2" numFmtId="171" xfId="0" applyAlignment="1" applyFont="1" applyNumberFormat="1">
      <alignment readingOrder="0"/>
    </xf>
    <xf borderId="0" fillId="14" fontId="20" numFmtId="0" xfId="0" applyAlignment="1" applyFont="1">
      <alignment readingOrder="0" vertical="bottom"/>
    </xf>
    <xf borderId="0" fillId="8" fontId="20" numFmtId="0" xfId="0" applyAlignment="1" applyFont="1">
      <alignment readingOrder="0"/>
    </xf>
    <xf borderId="0" fillId="8" fontId="2" numFmtId="0" xfId="0" applyFont="1"/>
    <xf borderId="0" fillId="8" fontId="2" numFmtId="170" xfId="0" applyAlignment="1" applyFont="1" applyNumberFormat="1">
      <alignment readingOrder="0"/>
    </xf>
    <xf borderId="0" fillId="8" fontId="20" numFmtId="0" xfId="0" applyAlignment="1" applyFont="1">
      <alignment readingOrder="0"/>
    </xf>
    <xf borderId="0" fillId="8" fontId="20" numFmtId="14" xfId="0" applyAlignment="1" applyFont="1" applyNumberFormat="1">
      <alignment readingOrder="0"/>
    </xf>
    <xf borderId="0" fillId="8" fontId="20" numFmtId="0" xfId="0" applyAlignment="1" applyFont="1">
      <alignment readingOrder="0" vertical="bottom"/>
    </xf>
    <xf borderId="0" fillId="22" fontId="20" numFmtId="0" xfId="0" applyAlignment="1" applyFont="1">
      <alignment readingOrder="0"/>
    </xf>
    <xf borderId="0" fillId="14" fontId="20" numFmtId="0" xfId="0" applyAlignment="1" applyFont="1">
      <alignment readingOrder="0"/>
    </xf>
    <xf borderId="0" fillId="23" fontId="20" numFmtId="0" xfId="0" applyAlignment="1" applyFill="1" applyFont="1">
      <alignment readingOrder="0" vertical="bottom"/>
    </xf>
    <xf borderId="0" fillId="0" fontId="22" numFmtId="0" xfId="0" applyFont="1"/>
    <xf borderId="0" fillId="0" fontId="22" numFmtId="0" xfId="0" applyAlignment="1" applyFont="1">
      <alignment readingOrder="0"/>
    </xf>
    <xf borderId="0" fillId="0" fontId="2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3" numFmtId="171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168" xfId="0" applyAlignment="1" applyFont="1" applyNumberFormat="1">
      <alignment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0" fontId="13" numFmtId="171" xfId="0" applyAlignment="1" applyFont="1" applyNumberFormat="1">
      <alignment horizontal="right"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168" xfId="0" applyAlignment="1" applyFont="1" applyNumberFormat="1">
      <alignment readingOrder="0" vertical="bottom"/>
    </xf>
    <xf borderId="0" fillId="0" fontId="20" numFmtId="171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168" xfId="0" applyAlignment="1" applyFont="1" applyNumberFormat="1">
      <alignment horizontal="right" vertical="bottom"/>
    </xf>
    <xf borderId="0" fillId="0" fontId="20" numFmtId="168" xfId="0" applyAlignment="1" applyFont="1" applyNumberFormat="1">
      <alignment horizontal="right" readingOrder="0" vertical="bottom"/>
    </xf>
    <xf borderId="0" fillId="8" fontId="2" numFmtId="0" xfId="0" applyAlignment="1" applyFont="1">
      <alignment readingOrder="0"/>
    </xf>
    <xf borderId="0" fillId="8" fontId="2" numFmtId="171" xfId="0" applyAlignment="1" applyFont="1" applyNumberFormat="1">
      <alignment readingOrder="0"/>
    </xf>
    <xf borderId="0" fillId="22" fontId="2" numFmtId="0" xfId="0" applyAlignment="1" applyFont="1">
      <alignment readingOrder="0"/>
    </xf>
    <xf borderId="0" fillId="22" fontId="2" numFmtId="0" xfId="0" applyFont="1"/>
    <xf borderId="0" fillId="8" fontId="2" numFmtId="167" xfId="0" applyAlignment="1" applyFont="1" applyNumberFormat="1">
      <alignment readingOrder="0"/>
    </xf>
    <xf quotePrefix="1" borderId="0" fillId="8" fontId="2" numFmtId="0" xfId="0" applyAlignment="1" applyFont="1">
      <alignment readingOrder="0"/>
    </xf>
    <xf borderId="0" fillId="14" fontId="2" numFmtId="0" xfId="0" applyAlignment="1" applyFont="1">
      <alignment readingOrder="0"/>
    </xf>
    <xf borderId="0" fillId="22" fontId="2" numFmtId="171" xfId="0" applyAlignment="1" applyFont="1" applyNumberFormat="1">
      <alignment readingOrder="0"/>
    </xf>
    <xf borderId="0" fillId="22" fontId="2" numFmtId="168" xfId="0" applyAlignment="1" applyFont="1" applyNumberFormat="1">
      <alignment readingOrder="0"/>
    </xf>
    <xf borderId="0" fillId="22" fontId="2" numFmtId="0" xfId="0" applyAlignment="1" applyFont="1">
      <alignment readingOrder="0"/>
    </xf>
    <xf borderId="0" fillId="14" fontId="20" numFmtId="0" xfId="0" applyAlignment="1" applyFont="1">
      <alignment vertical="bottom"/>
    </xf>
    <xf borderId="0" fillId="14" fontId="20" numFmtId="171" xfId="0" applyAlignment="1" applyFont="1" applyNumberFormat="1">
      <alignment horizontal="right" vertical="bottom"/>
    </xf>
    <xf borderId="0" fillId="14" fontId="20" numFmtId="0" xfId="0" applyAlignment="1" applyFont="1">
      <alignment vertical="bottom"/>
    </xf>
    <xf borderId="0" fillId="14" fontId="20" numFmtId="0" xfId="0" applyAlignment="1" applyFont="1">
      <alignment horizontal="right" vertical="bottom"/>
    </xf>
    <xf borderId="0" fillId="14" fontId="20" numFmtId="168" xfId="0" applyAlignment="1" applyFont="1" applyNumberFormat="1">
      <alignment horizontal="right" vertical="bottom"/>
    </xf>
    <xf borderId="0" fillId="14" fontId="20" numFmtId="0" xfId="0" applyAlignment="1" applyFont="1">
      <alignment readingOrder="0" vertical="bottom"/>
    </xf>
    <xf borderId="0" fillId="16" fontId="20" numFmtId="0" xfId="0" applyAlignment="1" applyFont="1">
      <alignment vertical="bottom"/>
    </xf>
    <xf borderId="0" fillId="16" fontId="20" numFmtId="171" xfId="0" applyAlignment="1" applyFont="1" applyNumberFormat="1">
      <alignment horizontal="right" vertical="bottom"/>
    </xf>
    <xf borderId="0" fillId="16" fontId="20" numFmtId="0" xfId="0" applyAlignment="1" applyFont="1">
      <alignment vertical="bottom"/>
    </xf>
    <xf borderId="0" fillId="16" fontId="20" numFmtId="0" xfId="0" applyAlignment="1" applyFont="1">
      <alignment horizontal="right" vertical="bottom"/>
    </xf>
    <xf borderId="0" fillId="16" fontId="20" numFmtId="168" xfId="0" applyAlignment="1" applyFont="1" applyNumberFormat="1">
      <alignment horizontal="right" vertical="bottom"/>
    </xf>
    <xf borderId="0" fillId="16" fontId="20" numFmtId="0" xfId="0" applyAlignment="1" applyFont="1">
      <alignment readingOrder="0" vertical="bottom"/>
    </xf>
    <xf quotePrefix="1" borderId="0" fillId="16" fontId="20" numFmtId="0" xfId="0" applyAlignment="1" applyFont="1">
      <alignment vertical="bottom"/>
    </xf>
    <xf borderId="0" fillId="16" fontId="2" numFmtId="0" xfId="0" applyAlignment="1" applyFont="1">
      <alignment readingOrder="0"/>
    </xf>
    <xf borderId="0" fillId="16" fontId="2" numFmtId="171" xfId="0" applyAlignment="1" applyFont="1" applyNumberFormat="1">
      <alignment readingOrder="0"/>
    </xf>
    <xf borderId="0" fillId="16" fontId="2" numFmtId="168" xfId="0" applyAlignment="1" applyFont="1" applyNumberFormat="1">
      <alignment readingOrder="0"/>
    </xf>
    <xf borderId="0" fillId="16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13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Font="1"/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24" fontId="2" numFmtId="0" xfId="0" applyAlignment="1" applyFill="1" applyFont="1">
      <alignment readingOrder="0"/>
    </xf>
    <xf borderId="0" fillId="24" fontId="2" numFmtId="0" xfId="0" applyFont="1"/>
    <xf borderId="0" fillId="20" fontId="21" numFmtId="0" xfId="0" applyAlignment="1" applyFont="1">
      <alignment readingOrder="0"/>
    </xf>
    <xf borderId="0" fillId="0" fontId="20" numFmtId="167" xfId="0" applyFont="1" applyNumberFormat="1"/>
    <xf borderId="0" fillId="0" fontId="2" numFmtId="14" xfId="0" applyFont="1" applyNumberFormat="1"/>
    <xf borderId="0" fillId="0" fontId="20" numFmtId="0" xfId="0" applyFont="1"/>
    <xf borderId="0" fillId="0" fontId="1" numFmtId="0" xfId="0" applyAlignment="1" applyFont="1">
      <alignment readingOrder="0"/>
    </xf>
    <xf borderId="0" fillId="0" fontId="26" numFmtId="0" xfId="0" applyAlignment="1" applyFont="1">
      <alignment readingOrder="0"/>
    </xf>
    <xf borderId="0" fillId="4" fontId="20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最新単価表-style">
      <tableStyleElement dxfId="1" type="firstRowStripe"/>
      <tableStyleElement dxfId="2" type="secondRowStripe"/>
    </tableStyle>
    <tableStyle count="2" pivot="0" name="最新単価表　確認用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Relationship Id="rId3" Type="http://schemas.openxmlformats.org/officeDocument/2006/relationships/image" Target="../media/image8.png"/><Relationship Id="rId4" Type="http://schemas.openxmlformats.org/officeDocument/2006/relationships/image" Target="../media/image4.png"/><Relationship Id="rId9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3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</xdr:colOff>
      <xdr:row>1</xdr:row>
      <xdr:rowOff>180975</xdr:rowOff>
    </xdr:from>
    <xdr:ext cx="1276350" cy="609600"/>
    <xdr:sp>
      <xdr:nvSpPr>
        <xdr:cNvPr id="3" name="Shape 3"/>
        <xdr:cNvSpPr/>
      </xdr:nvSpPr>
      <xdr:spPr>
        <a:xfrm>
          <a:off x="1621150" y="690500"/>
          <a:ext cx="1661100" cy="780600"/>
        </a:xfrm>
        <a:prstGeom prst="bevel">
          <a:avLst>
            <a:gd fmla="val 12500" name="adj"/>
          </a:avLst>
        </a:prstGeom>
        <a:solidFill>
          <a:srgbClr val="F4CCCC"/>
        </a:solidFill>
        <a:ln cap="flat" cmpd="sng" w="9525">
          <a:solidFill>
            <a:srgbClr val="999999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履歴反映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98</xdr:row>
      <xdr:rowOff>57150</xdr:rowOff>
    </xdr:from>
    <xdr:ext cx="9286875" cy="3095625"/>
    <xdr:grpSp>
      <xdr:nvGrpSpPr>
        <xdr:cNvPr id="2" name="Shape 2" title="図形描画"/>
        <xdr:cNvGrpSpPr/>
      </xdr:nvGrpSpPr>
      <xdr:grpSpPr>
        <a:xfrm>
          <a:off x="432600" y="452625"/>
          <a:ext cx="9264276" cy="3080475"/>
          <a:chOff x="432600" y="452625"/>
          <a:chExt cx="9264276" cy="3080475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432600" y="452625"/>
            <a:ext cx="2429425" cy="30804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/>
        </xdr:nvSpPr>
        <xdr:spPr>
          <a:xfrm>
            <a:off x="670475" y="920650"/>
            <a:ext cx="2151600" cy="23718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/>
        </xdr:nvSpPr>
        <xdr:spPr>
          <a:xfrm>
            <a:off x="3162250" y="1822763"/>
            <a:ext cx="550500" cy="340200"/>
          </a:xfrm>
          <a:prstGeom prst="rightArrow">
            <a:avLst>
              <a:gd fmla="val 50000" name="adj1"/>
              <a:gd fmla="val 50000" name="adj2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7" name="Shape 7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3864750" y="790750"/>
            <a:ext cx="5832126" cy="20133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/>
        </xdr:nvSpPr>
        <xdr:spPr>
          <a:xfrm>
            <a:off x="6977250" y="1023000"/>
            <a:ext cx="1538700" cy="340200"/>
          </a:xfrm>
          <a:prstGeom prst="rect">
            <a:avLst/>
          </a:prstGeom>
          <a:noFill/>
          <a:ln cap="flat" cmpd="sng" w="2857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7165100" y="1491075"/>
            <a:ext cx="2371800" cy="4104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↑リンクをクリック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171450</xdr:colOff>
      <xdr:row>117</xdr:row>
      <xdr:rowOff>104775</xdr:rowOff>
    </xdr:from>
    <xdr:ext cx="9553575" cy="4876800"/>
    <xdr:grpSp>
      <xdr:nvGrpSpPr>
        <xdr:cNvPr id="2" name="Shape 2" title="図形描画"/>
        <xdr:cNvGrpSpPr/>
      </xdr:nvGrpSpPr>
      <xdr:grpSpPr>
        <a:xfrm>
          <a:off x="0" y="112350"/>
          <a:ext cx="9546575" cy="4858450"/>
          <a:chOff x="0" y="112350"/>
          <a:chExt cx="9546575" cy="4858450"/>
        </a:xfrm>
      </xdr:grpSpPr>
      <xdr:pic>
        <xdr:nvPicPr>
          <xdr:cNvPr id="10" name="Shape 10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0" y="112350"/>
            <a:ext cx="9448799" cy="4794817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/>
        </xdr:nvSpPr>
        <xdr:spPr>
          <a:xfrm>
            <a:off x="70050" y="840600"/>
            <a:ext cx="2371800" cy="26220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2" name="Shape 12"/>
          <xdr:cNvSpPr/>
        </xdr:nvSpPr>
        <xdr:spPr>
          <a:xfrm>
            <a:off x="560400" y="3902775"/>
            <a:ext cx="2421600" cy="540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13" name="Shape 13"/>
          <xdr:cNvSpPr txBox="1"/>
        </xdr:nvSpPr>
        <xdr:spPr>
          <a:xfrm>
            <a:off x="680475" y="3962825"/>
            <a:ext cx="2682000" cy="3903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単価登録をクリックする</a:t>
            </a:r>
            <a:endParaRPr sz="1400"/>
          </a:p>
        </xdr:txBody>
      </xdr:sp>
      <xdr:cxnSp>
        <xdr:nvCxnSpPr>
          <xdr:cNvPr id="14" name="Shape 14"/>
          <xdr:cNvCxnSpPr/>
        </xdr:nvCxnSpPr>
        <xdr:spPr>
          <a:xfrm flipH="1" rot="10800000">
            <a:off x="980700" y="3282275"/>
            <a:ext cx="60000" cy="7506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5" name="Shape 15"/>
          <xdr:cNvSpPr/>
        </xdr:nvSpPr>
        <xdr:spPr>
          <a:xfrm>
            <a:off x="4973525" y="600425"/>
            <a:ext cx="3922800" cy="37527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16" name="Shape 16"/>
          <xdr:cNvCxnSpPr/>
        </xdr:nvCxnSpPr>
        <xdr:spPr>
          <a:xfrm flipH="1" rot="10800000">
            <a:off x="2221575" y="1881325"/>
            <a:ext cx="2832000" cy="1101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7" name="Shape 17"/>
          <xdr:cNvSpPr/>
        </xdr:nvSpPr>
        <xdr:spPr>
          <a:xfrm>
            <a:off x="8966375" y="112350"/>
            <a:ext cx="580200" cy="390300"/>
          </a:xfrm>
          <a:prstGeom prst="rect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cxnSp>
        <xdr:nvCxnSpPr>
          <xdr:cNvPr id="18" name="Shape 18"/>
          <xdr:cNvCxnSpPr>
            <a:endCxn id="17" idx="2"/>
          </xdr:cNvCxnSpPr>
        </xdr:nvCxnSpPr>
        <xdr:spPr>
          <a:xfrm flipH="1" rot="10800000">
            <a:off x="8696075" y="502650"/>
            <a:ext cx="560400" cy="1608900"/>
          </a:xfrm>
          <a:prstGeom prst="straightConnector1">
            <a:avLst/>
          </a:prstGeom>
          <a:noFill/>
          <a:ln cap="flat" cmpd="sng" w="9525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  <xdr:sp>
        <xdr:nvSpPr>
          <xdr:cNvPr id="19" name="Shape 19"/>
          <xdr:cNvSpPr/>
        </xdr:nvSpPr>
        <xdr:spPr>
          <a:xfrm>
            <a:off x="5043425" y="4505500"/>
            <a:ext cx="3922800" cy="465300"/>
          </a:xfrm>
          <a:prstGeom prst="rect">
            <a:avLst/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20" name="Shape 20"/>
          <xdr:cNvSpPr txBox="1"/>
        </xdr:nvSpPr>
        <xdr:spPr>
          <a:xfrm>
            <a:off x="5183375" y="4574800"/>
            <a:ext cx="3783000" cy="326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各項目を入力してから保存をクリックする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704850</xdr:colOff>
      <xdr:row>161</xdr:row>
      <xdr:rowOff>19050</xdr:rowOff>
    </xdr:from>
    <xdr:ext cx="2724150" cy="723900"/>
    <xdr:sp>
      <xdr:nvSpPr>
        <xdr:cNvPr id="21" name="Shape 21"/>
        <xdr:cNvSpPr txBox="1"/>
      </xdr:nvSpPr>
      <xdr:spPr>
        <a:xfrm>
          <a:off x="260175" y="860600"/>
          <a:ext cx="2701800" cy="7005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単価推移をクリックする</a:t>
          </a:r>
          <a:endParaRPr b="1" sz="1400"/>
        </a:p>
      </xdr:txBody>
    </xdr:sp>
    <xdr:clientData fLocksWithSheet="0"/>
  </xdr:oneCellAnchor>
  <xdr:oneCellAnchor>
    <xdr:from>
      <xdr:col>9</xdr:col>
      <xdr:colOff>38100</xdr:colOff>
      <xdr:row>154</xdr:row>
      <xdr:rowOff>171450</xdr:rowOff>
    </xdr:from>
    <xdr:ext cx="762000" cy="885825"/>
    <xdr:sp>
      <xdr:nvSpPr>
        <xdr:cNvPr id="22" name="Shape 22"/>
        <xdr:cNvSpPr/>
      </xdr:nvSpPr>
      <xdr:spPr>
        <a:xfrm>
          <a:off x="2421725" y="2271625"/>
          <a:ext cx="740400" cy="870600"/>
        </a:xfrm>
        <a:prstGeom prst="rightArrow">
          <a:avLst>
            <a:gd fmla="val 50000" name="adj1"/>
            <a:gd fmla="val 50000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209550</xdr:colOff>
      <xdr:row>154</xdr:row>
      <xdr:rowOff>133350</xdr:rowOff>
    </xdr:from>
    <xdr:ext cx="3019425" cy="1762125"/>
    <xdr:sp>
      <xdr:nvSpPr>
        <xdr:cNvPr id="23" name="Shape 23"/>
        <xdr:cNvSpPr/>
      </xdr:nvSpPr>
      <xdr:spPr>
        <a:xfrm>
          <a:off x="450325" y="730525"/>
          <a:ext cx="3212400" cy="560400"/>
        </a:xfrm>
        <a:prstGeom prst="roundRect">
          <a:avLst>
            <a:gd fmla="val 16667" name="adj"/>
          </a:avLst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352425</xdr:colOff>
      <xdr:row>163</xdr:row>
      <xdr:rowOff>180975</xdr:rowOff>
    </xdr:from>
    <xdr:ext cx="3638550" cy="1181100"/>
    <xdr:sp>
      <xdr:nvSpPr>
        <xdr:cNvPr id="24" name="Shape 24"/>
        <xdr:cNvSpPr txBox="1"/>
      </xdr:nvSpPr>
      <xdr:spPr>
        <a:xfrm>
          <a:off x="750525" y="820575"/>
          <a:ext cx="3622500" cy="11607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・メーカー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・商社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・品名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を選択肢から選び、入力してください</a:t>
          </a:r>
          <a:endParaRPr b="1" sz="1400"/>
        </a:p>
      </xdr:txBody>
    </xdr:sp>
    <xdr:clientData fLocksWithSheet="0"/>
  </xdr:oneCellAnchor>
  <xdr:oneCellAnchor>
    <xdr:from>
      <xdr:col>15</xdr:col>
      <xdr:colOff>95250</xdr:colOff>
      <xdr:row>157</xdr:row>
      <xdr:rowOff>171450</xdr:rowOff>
    </xdr:from>
    <xdr:ext cx="2619375" cy="723900"/>
    <xdr:sp>
      <xdr:nvSpPr>
        <xdr:cNvPr id="25" name="Shape 25"/>
        <xdr:cNvSpPr txBox="1"/>
      </xdr:nvSpPr>
      <xdr:spPr>
        <a:xfrm>
          <a:off x="950675" y="830600"/>
          <a:ext cx="2841900" cy="7506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数秒間の読み込み（同期）後、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単価の推移が表示されます</a:t>
          </a:r>
          <a:endParaRPr b="1" sz="1400"/>
        </a:p>
      </xdr:txBody>
    </xdr:sp>
    <xdr:clientData fLocksWithSheet="0"/>
  </xdr:oneCellAnchor>
  <xdr:oneCellAnchor>
    <xdr:from>
      <xdr:col>13</xdr:col>
      <xdr:colOff>495300</xdr:colOff>
      <xdr:row>159</xdr:row>
      <xdr:rowOff>104775</xdr:rowOff>
    </xdr:from>
    <xdr:ext cx="1476375" cy="95250"/>
    <xdr:grpSp>
      <xdr:nvGrpSpPr>
        <xdr:cNvPr id="2" name="Shape 2" title="図形描画"/>
        <xdr:cNvGrpSpPr/>
      </xdr:nvGrpSpPr>
      <xdr:grpSpPr>
        <a:xfrm>
          <a:off x="1701200" y="2011375"/>
          <a:ext cx="1461000" cy="80100"/>
          <a:chOff x="1701200" y="2011375"/>
          <a:chExt cx="1461000" cy="80100"/>
        </a:xfrm>
      </xdr:grpSpPr>
      <xdr:cxnSp>
        <xdr:nvCxnSpPr>
          <xdr:cNvPr id="26" name="Shape 26"/>
          <xdr:cNvCxnSpPr/>
        </xdr:nvCxnSpPr>
        <xdr:spPr>
          <a:xfrm flipH="1" rot="10800000">
            <a:off x="1701200" y="2011375"/>
            <a:ext cx="1461000" cy="80100"/>
          </a:xfrm>
          <a:prstGeom prst="straightConnector1">
            <a:avLst/>
          </a:prstGeom>
          <a:noFill/>
          <a:ln cap="flat" cmpd="sng" w="38100">
            <a:solidFill>
              <a:srgbClr val="FF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19</xdr:col>
      <xdr:colOff>104775</xdr:colOff>
      <xdr:row>147</xdr:row>
      <xdr:rowOff>180975</xdr:rowOff>
    </xdr:from>
    <xdr:ext cx="485775" cy="457200"/>
    <xdr:sp>
      <xdr:nvSpPr>
        <xdr:cNvPr id="27" name="Shape 27"/>
        <xdr:cNvSpPr/>
      </xdr:nvSpPr>
      <xdr:spPr>
        <a:xfrm>
          <a:off x="2141525" y="950675"/>
          <a:ext cx="470400" cy="440400"/>
        </a:xfrm>
        <a:prstGeom prst="ellipse">
          <a:avLst/>
        </a:prstGeom>
        <a:noFill/>
        <a:ln cap="flat" cmpd="sng" w="381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47625</xdr:colOff>
      <xdr:row>144</xdr:row>
      <xdr:rowOff>66675</xdr:rowOff>
    </xdr:from>
    <xdr:ext cx="3562350" cy="685800"/>
    <xdr:sp>
      <xdr:nvSpPr>
        <xdr:cNvPr id="28" name="Shape 28"/>
        <xdr:cNvSpPr txBox="1"/>
      </xdr:nvSpPr>
      <xdr:spPr>
        <a:xfrm>
          <a:off x="670475" y="1421000"/>
          <a:ext cx="3542400" cy="670500"/>
        </a:xfrm>
        <a:prstGeom prst="rect">
          <a:avLst/>
        </a:prstGeom>
        <a:solidFill>
          <a:srgbClr val="CFE2F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数秒経っても、表示がされない場合は、</a:t>
          </a:r>
          <a:endParaRPr b="1"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再読み込みボタンをクリック</a:t>
          </a:r>
          <a:endParaRPr b="1" sz="1400"/>
        </a:p>
      </xdr:txBody>
    </xdr:sp>
    <xdr:clientData fLocksWithSheet="0"/>
  </xdr:oneCellAnchor>
  <xdr:oneCellAnchor>
    <xdr:from>
      <xdr:col>0</xdr:col>
      <xdr:colOff>171450</xdr:colOff>
      <xdr:row>21</xdr:row>
      <xdr:rowOff>57150</xdr:rowOff>
    </xdr:from>
    <xdr:ext cx="5857875" cy="3314700"/>
    <xdr:pic>
      <xdr:nvPicPr>
        <xdr:cNvPr id="0" name="image4.png" title="画像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40</xdr:row>
      <xdr:rowOff>9525</xdr:rowOff>
    </xdr:from>
    <xdr:ext cx="5857875" cy="3314700"/>
    <xdr:pic>
      <xdr:nvPicPr>
        <xdr:cNvPr id="0" name="image5.png" title="画像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59</xdr:row>
      <xdr:rowOff>38100</xdr:rowOff>
    </xdr:from>
    <xdr:ext cx="5857875" cy="3314700"/>
    <xdr:pic>
      <xdr:nvPicPr>
        <xdr:cNvPr id="0" name="image2.png" title="画像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80</xdr:row>
      <xdr:rowOff>28575</xdr:rowOff>
    </xdr:from>
    <xdr:ext cx="5953125" cy="2886075"/>
    <xdr:pic>
      <xdr:nvPicPr>
        <xdr:cNvPr id="0" name="image3.png" title="画像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148</xdr:row>
      <xdr:rowOff>66675</xdr:rowOff>
    </xdr:from>
    <xdr:ext cx="8505825" cy="3028950"/>
    <xdr:pic>
      <xdr:nvPicPr>
        <xdr:cNvPr id="0" name="image6.png" title="画像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800100</xdr:colOff>
      <xdr:row>148</xdr:row>
      <xdr:rowOff>66675</xdr:rowOff>
    </xdr:from>
    <xdr:ext cx="9658350" cy="4619625"/>
    <xdr:pic>
      <xdr:nvPicPr>
        <xdr:cNvPr id="0" name="image1.png" title="画像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1:CG31" displayName="Table_1" name="Table_1" id="1">
  <tableColumns count="8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  <tableColumn name="Column79" id="79"/>
    <tableColumn name="Column80" id="80"/>
    <tableColumn name="Column81" id="81"/>
    <tableColumn name="Column82" id="82"/>
    <tableColumn name="Column83" id="83"/>
    <tableColumn name="Column84" id="84"/>
    <tableColumn name="Column85" id="85"/>
  </tableColumns>
  <tableStyleInfo name="最新単価表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BX31" displayName="Table_2" name="Table_2" id="2">
  <tableColumns count="7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</tableColumns>
  <tableStyleInfo name="最新単価表　確認用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5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sheet.com/start/47b75eb3-50d3-4793-bbec-a8117cf0386c" TargetMode="External"/><Relationship Id="rId2" Type="http://schemas.openxmlformats.org/officeDocument/2006/relationships/hyperlink" Target="https://www.appsheet.com/Template/AppDef?appName=%E3%80%90%E6%97%A5%E9%89%84%E8%90%AC%E9%87%91%E5%B1%9E%E6%A7%98%E3%80%91%E3%83%A1%E3%83%BC%E3%82%AB%E3%83%BC%E5%8D%98%E4%BE%A1%E4%B8%80%E8%A6%A7%E8%A1%A8-78392533&amp;utm_source=share_app_link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Z1WH_7O61b_rd6X3LuPmy_T-B_uIm20GG0iaPwUEfKg/edit?gid=287703902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 fitToPage="1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4.43" defaultRowHeight="15.0"/>
  <cols>
    <col customWidth="1" min="1" max="1" width="21.86"/>
    <col customWidth="1" min="2" max="3" width="4.71"/>
    <col customWidth="1" min="4" max="4" width="5.0"/>
    <col customWidth="1" min="5" max="7" width="4.71"/>
    <col customWidth="1" min="8" max="8" width="5.14"/>
    <col customWidth="1" min="9" max="23" width="4.71"/>
    <col customWidth="1" min="24" max="24" width="6.57"/>
    <col customWidth="1" min="25" max="32" width="4.71"/>
    <col customWidth="1" min="33" max="33" width="7.57"/>
    <col customWidth="1" min="34" max="34" width="5.29"/>
    <col customWidth="1" min="35" max="76" width="4.71"/>
    <col customWidth="1" min="77" max="83" width="12.57"/>
  </cols>
  <sheetData>
    <row r="1" ht="15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3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4"/>
      <c r="BR1" s="1"/>
      <c r="BS1" s="1"/>
      <c r="BT1" s="1"/>
      <c r="BU1" s="1"/>
      <c r="BV1" s="1"/>
      <c r="BW1" s="1"/>
      <c r="BX1" s="1"/>
      <c r="BY1" s="5"/>
      <c r="BZ1" s="5"/>
      <c r="CA1" s="5"/>
      <c r="CB1" s="5"/>
      <c r="CC1" s="5"/>
      <c r="CD1" s="5"/>
      <c r="CE1" s="5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3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4"/>
      <c r="BR2" s="1"/>
      <c r="BS2" s="1"/>
      <c r="BT2" s="1"/>
      <c r="BU2" s="1"/>
      <c r="BV2" s="1"/>
      <c r="BW2" s="1"/>
      <c r="BX2" s="1"/>
      <c r="BY2" s="5"/>
      <c r="BZ2" s="5"/>
      <c r="CA2" s="5"/>
      <c r="CB2" s="5"/>
      <c r="CC2" s="5"/>
      <c r="CD2" s="5"/>
      <c r="CE2" s="5"/>
    </row>
    <row r="3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3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4"/>
      <c r="BR3" s="1"/>
      <c r="BS3" s="1"/>
      <c r="BT3" s="1"/>
      <c r="BU3" s="1"/>
      <c r="BV3" s="1"/>
      <c r="BW3" s="1"/>
      <c r="BX3" s="1"/>
      <c r="BY3" s="5"/>
      <c r="BZ3" s="5"/>
      <c r="CA3" s="5"/>
      <c r="CB3" s="5"/>
      <c r="CC3" s="5"/>
      <c r="CD3" s="5"/>
      <c r="CE3" s="5"/>
    </row>
    <row r="4" ht="15.75" customHeight="1">
      <c r="A4" s="6" t="s">
        <v>1</v>
      </c>
      <c r="B4" s="7" t="s">
        <v>2</v>
      </c>
      <c r="C4" s="8"/>
      <c r="D4" s="8"/>
      <c r="E4" s="8"/>
      <c r="F4" s="8"/>
      <c r="G4" s="8"/>
      <c r="H4" s="8"/>
      <c r="I4" s="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9" t="s">
        <v>3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10"/>
      <c r="BR4" s="6"/>
      <c r="BS4" s="6"/>
      <c r="BT4" s="6"/>
      <c r="BU4" s="6"/>
      <c r="BV4" s="6"/>
      <c r="BW4" s="6"/>
      <c r="BX4" s="6"/>
      <c r="BY4" s="5"/>
      <c r="BZ4" s="5"/>
      <c r="CA4" s="5"/>
      <c r="CB4" s="5"/>
      <c r="CC4" s="5"/>
      <c r="CD4" s="5"/>
      <c r="CE4" s="5"/>
    </row>
    <row r="5" ht="27.0" customHeight="1">
      <c r="A5" s="11" t="s">
        <v>4</v>
      </c>
      <c r="B5" s="12" t="s">
        <v>5</v>
      </c>
      <c r="C5" s="12" t="s">
        <v>5</v>
      </c>
      <c r="D5" s="12" t="s">
        <v>5</v>
      </c>
      <c r="E5" s="13" t="s">
        <v>6</v>
      </c>
      <c r="G5" s="14" t="s">
        <v>7</v>
      </c>
      <c r="H5" s="15"/>
      <c r="I5" s="16" t="s">
        <v>8</v>
      </c>
      <c r="J5" s="13" t="s">
        <v>9</v>
      </c>
      <c r="P5" s="17" t="s">
        <v>10</v>
      </c>
      <c r="R5" s="15"/>
      <c r="S5" s="18" t="s">
        <v>11</v>
      </c>
      <c r="T5" s="19" t="s">
        <v>12</v>
      </c>
      <c r="V5" s="20" t="s">
        <v>13</v>
      </c>
      <c r="W5" s="21" t="s">
        <v>14</v>
      </c>
      <c r="Y5" s="15"/>
      <c r="Z5" s="22" t="s">
        <v>0</v>
      </c>
      <c r="AC5" s="15"/>
      <c r="AD5" s="21" t="s">
        <v>15</v>
      </c>
      <c r="AF5" s="15"/>
      <c r="AG5" s="21" t="s">
        <v>16</v>
      </c>
      <c r="AL5" s="23" t="s">
        <v>17</v>
      </c>
      <c r="AM5" s="24" t="s">
        <v>18</v>
      </c>
      <c r="AN5" s="25" t="s">
        <v>19</v>
      </c>
      <c r="AO5" s="26" t="s">
        <v>20</v>
      </c>
      <c r="AP5" s="16" t="s">
        <v>21</v>
      </c>
      <c r="AQ5" s="16" t="s">
        <v>22</v>
      </c>
      <c r="AR5" s="27" t="s">
        <v>23</v>
      </c>
      <c r="AS5" s="26" t="s">
        <v>24</v>
      </c>
      <c r="AT5" s="24" t="s">
        <v>25</v>
      </c>
      <c r="AU5" s="13" t="s">
        <v>26</v>
      </c>
      <c r="AV5" s="15"/>
      <c r="AW5" s="27" t="s">
        <v>27</v>
      </c>
      <c r="AX5" s="18" t="s">
        <v>28</v>
      </c>
      <c r="AY5" s="15"/>
      <c r="AZ5" s="13" t="s">
        <v>29</v>
      </c>
      <c r="BA5" s="15"/>
      <c r="BB5" s="16" t="s">
        <v>30</v>
      </c>
      <c r="BC5" s="17" t="s">
        <v>31</v>
      </c>
      <c r="BE5" s="15"/>
      <c r="BF5" s="16" t="s">
        <v>32</v>
      </c>
      <c r="BG5" s="16" t="s">
        <v>33</v>
      </c>
      <c r="BH5" s="28" t="s">
        <v>34</v>
      </c>
      <c r="BI5" s="29" t="s">
        <v>35</v>
      </c>
      <c r="BJ5" s="17" t="s">
        <v>36</v>
      </c>
      <c r="BM5" s="30" t="s">
        <v>37</v>
      </c>
      <c r="BN5" s="31" t="s">
        <v>38</v>
      </c>
      <c r="BP5" s="15"/>
      <c r="BQ5" s="32" t="s">
        <v>39</v>
      </c>
      <c r="BR5" s="27" t="s">
        <v>40</v>
      </c>
      <c r="BS5" s="33" t="s">
        <v>41</v>
      </c>
      <c r="BT5" s="23" t="s">
        <v>42</v>
      </c>
      <c r="BV5" s="15"/>
      <c r="BW5" s="22" t="s">
        <v>43</v>
      </c>
      <c r="BX5" s="27" t="s">
        <v>44</v>
      </c>
      <c r="BY5" s="11"/>
      <c r="BZ5" s="11"/>
      <c r="CA5" s="11"/>
      <c r="CB5" s="11"/>
      <c r="CC5" s="11"/>
      <c r="CD5" s="11"/>
      <c r="CE5" s="11"/>
    </row>
    <row r="6" ht="39.75" customHeight="1">
      <c r="A6" s="11" t="s">
        <v>45</v>
      </c>
      <c r="B6" s="23" t="s">
        <v>46</v>
      </c>
      <c r="C6" s="22" t="s">
        <v>47</v>
      </c>
      <c r="D6" s="15"/>
      <c r="E6" s="11" t="s">
        <v>48</v>
      </c>
      <c r="G6" s="23" t="s">
        <v>49</v>
      </c>
      <c r="H6" s="34" t="s">
        <v>46</v>
      </c>
      <c r="I6" s="35" t="s">
        <v>50</v>
      </c>
      <c r="J6" s="22" t="s">
        <v>51</v>
      </c>
      <c r="K6" s="22" t="s">
        <v>47</v>
      </c>
      <c r="L6" s="22" t="s">
        <v>50</v>
      </c>
      <c r="N6" s="22" t="s">
        <v>49</v>
      </c>
      <c r="P6" s="23" t="s">
        <v>47</v>
      </c>
      <c r="R6" s="27" t="s">
        <v>52</v>
      </c>
      <c r="S6" s="22" t="s">
        <v>46</v>
      </c>
      <c r="T6" s="23" t="s">
        <v>50</v>
      </c>
      <c r="U6" s="22" t="s">
        <v>53</v>
      </c>
      <c r="V6" s="24" t="s">
        <v>49</v>
      </c>
      <c r="W6" s="22" t="s">
        <v>46</v>
      </c>
      <c r="X6" s="22" t="s">
        <v>48</v>
      </c>
      <c r="Y6" s="15"/>
      <c r="Z6" s="36" t="s">
        <v>54</v>
      </c>
      <c r="AA6" s="37" t="s">
        <v>55</v>
      </c>
      <c r="AB6" s="38" t="s">
        <v>56</v>
      </c>
      <c r="AC6" s="39" t="s">
        <v>57</v>
      </c>
      <c r="AD6" s="23" t="s">
        <v>58</v>
      </c>
      <c r="AF6" s="27" t="s">
        <v>46</v>
      </c>
      <c r="AG6" s="22" t="s">
        <v>59</v>
      </c>
      <c r="AI6" s="22" t="s">
        <v>60</v>
      </c>
      <c r="AL6" s="23" t="s">
        <v>17</v>
      </c>
      <c r="AM6" s="24" t="s">
        <v>48</v>
      </c>
      <c r="AN6" s="27" t="s">
        <v>61</v>
      </c>
      <c r="AO6" s="27" t="s">
        <v>50</v>
      </c>
      <c r="AP6" s="27" t="s">
        <v>50</v>
      </c>
      <c r="AQ6" s="27" t="s">
        <v>47</v>
      </c>
      <c r="AR6" s="27" t="s">
        <v>62</v>
      </c>
      <c r="AS6" s="22" t="s">
        <v>48</v>
      </c>
      <c r="AT6" s="23" t="s">
        <v>48</v>
      </c>
      <c r="AU6" s="23" t="s">
        <v>48</v>
      </c>
      <c r="AV6" s="27" t="s">
        <v>52</v>
      </c>
      <c r="AW6" s="27" t="s">
        <v>48</v>
      </c>
      <c r="AX6" s="22" t="s">
        <v>52</v>
      </c>
      <c r="AY6" s="22" t="s">
        <v>46</v>
      </c>
      <c r="AZ6" s="23" t="s">
        <v>63</v>
      </c>
      <c r="BA6" s="27" t="s">
        <v>50</v>
      </c>
      <c r="BB6" s="40" t="s">
        <v>48</v>
      </c>
      <c r="BC6" s="41" t="s">
        <v>50</v>
      </c>
      <c r="BD6" s="42" t="s">
        <v>64</v>
      </c>
      <c r="BE6" s="40" t="s">
        <v>65</v>
      </c>
      <c r="BF6" s="40" t="s">
        <v>50</v>
      </c>
      <c r="BG6" s="40" t="s">
        <v>66</v>
      </c>
      <c r="BH6" s="22" t="s">
        <v>48</v>
      </c>
      <c r="BJ6" s="23" t="s">
        <v>48</v>
      </c>
      <c r="BM6" s="15"/>
      <c r="BN6" s="22" t="s">
        <v>49</v>
      </c>
      <c r="BO6" s="22" t="s">
        <v>61</v>
      </c>
      <c r="BP6" s="27" t="s">
        <v>50</v>
      </c>
      <c r="BQ6" s="43" t="s">
        <v>48</v>
      </c>
      <c r="BR6" s="22" t="s">
        <v>47</v>
      </c>
      <c r="BS6" s="15"/>
      <c r="BT6" s="27" t="s">
        <v>67</v>
      </c>
      <c r="BU6" s="27" t="s">
        <v>68</v>
      </c>
      <c r="BV6" s="24" t="s">
        <v>61</v>
      </c>
      <c r="BW6" s="42" t="s">
        <v>69</v>
      </c>
      <c r="BX6" s="15"/>
      <c r="BY6" s="44"/>
      <c r="BZ6" s="44"/>
      <c r="CA6" s="44"/>
      <c r="CB6" s="44"/>
      <c r="CC6" s="44"/>
      <c r="CD6" s="44"/>
      <c r="CE6" s="44"/>
    </row>
    <row r="7" ht="79.5" customHeight="1">
      <c r="A7" s="45" t="s">
        <v>70</v>
      </c>
      <c r="B7" s="46"/>
      <c r="C7" s="45"/>
      <c r="D7" s="47" t="s">
        <v>71</v>
      </c>
      <c r="E7" s="46"/>
      <c r="F7" s="48"/>
      <c r="G7" s="49"/>
      <c r="H7" s="50"/>
      <c r="I7" s="51"/>
      <c r="J7" s="49"/>
      <c r="K7" s="49"/>
      <c r="L7" s="49"/>
      <c r="M7" s="49"/>
      <c r="N7" s="52"/>
      <c r="O7" s="52" t="s">
        <v>72</v>
      </c>
      <c r="P7" s="46" t="s">
        <v>73</v>
      </c>
      <c r="Q7" s="53"/>
      <c r="R7" s="48"/>
      <c r="S7" s="49"/>
      <c r="T7" s="46"/>
      <c r="U7" s="49" t="s">
        <v>74</v>
      </c>
      <c r="V7" s="54"/>
      <c r="W7" s="49"/>
      <c r="X7" s="49" t="s">
        <v>75</v>
      </c>
      <c r="Y7" s="48" t="s">
        <v>76</v>
      </c>
      <c r="Z7" s="47" t="s">
        <v>77</v>
      </c>
      <c r="AA7" s="55"/>
      <c r="AB7" s="47" t="s">
        <v>77</v>
      </c>
      <c r="AC7" s="47" t="s">
        <v>77</v>
      </c>
      <c r="AD7" s="46"/>
      <c r="AE7" s="49"/>
      <c r="AF7" s="48"/>
      <c r="AG7" s="49" t="s">
        <v>78</v>
      </c>
      <c r="AH7" s="49" t="s">
        <v>79</v>
      </c>
      <c r="AI7" s="49" t="s">
        <v>80</v>
      </c>
      <c r="AJ7" s="49" t="s">
        <v>81</v>
      </c>
      <c r="AK7" s="49"/>
      <c r="AL7" s="56" t="s">
        <v>82</v>
      </c>
      <c r="AM7" s="51"/>
      <c r="AN7" s="57" t="s">
        <v>82</v>
      </c>
      <c r="AO7" s="57" t="s">
        <v>83</v>
      </c>
      <c r="AP7" s="58" t="s">
        <v>84</v>
      </c>
      <c r="AQ7" s="59"/>
      <c r="AR7" s="60" t="s">
        <v>85</v>
      </c>
      <c r="AS7" s="61" t="s">
        <v>82</v>
      </c>
      <c r="AT7" s="62" t="s">
        <v>82</v>
      </c>
      <c r="AU7" s="62"/>
      <c r="AV7" s="63"/>
      <c r="AW7" s="63"/>
      <c r="AX7" s="49" t="s">
        <v>86</v>
      </c>
      <c r="AY7" s="45"/>
      <c r="AZ7" s="46"/>
      <c r="BA7" s="58"/>
      <c r="BB7" s="64"/>
      <c r="BC7" s="46"/>
      <c r="BD7" s="49"/>
      <c r="BE7" s="64"/>
      <c r="BF7" s="64"/>
      <c r="BG7" s="57"/>
      <c r="BH7" s="47"/>
      <c r="BI7" s="45"/>
      <c r="BJ7" s="65" t="s">
        <v>82</v>
      </c>
      <c r="BK7" s="47" t="s">
        <v>87</v>
      </c>
      <c r="BL7" s="47" t="s">
        <v>88</v>
      </c>
      <c r="BM7" s="64"/>
      <c r="BN7" s="49" t="s">
        <v>89</v>
      </c>
      <c r="BO7" s="49"/>
      <c r="BP7" s="48"/>
      <c r="BQ7" s="66"/>
      <c r="BR7" s="49"/>
      <c r="BS7" s="49"/>
      <c r="BT7" s="56" t="s">
        <v>90</v>
      </c>
      <c r="BU7" s="51" t="s">
        <v>91</v>
      </c>
      <c r="BV7" s="51" t="s">
        <v>92</v>
      </c>
      <c r="BW7" s="47"/>
      <c r="BX7" s="64"/>
      <c r="BY7" s="67"/>
      <c r="BZ7" s="67"/>
      <c r="CA7" s="67"/>
      <c r="CB7" s="67"/>
      <c r="CC7" s="67"/>
      <c r="CD7" s="67"/>
      <c r="CE7" s="67"/>
    </row>
    <row r="8" ht="15.75" customHeight="1">
      <c r="A8" s="6" t="s">
        <v>93</v>
      </c>
      <c r="B8" s="68"/>
      <c r="C8" s="6"/>
      <c r="D8" s="6"/>
      <c r="E8" s="68"/>
      <c r="F8" s="69"/>
      <c r="G8" s="6">
        <v>52.8</v>
      </c>
      <c r="H8" s="70"/>
      <c r="I8" s="71"/>
      <c r="J8" s="6"/>
      <c r="K8" s="6"/>
      <c r="L8" s="6"/>
      <c r="M8" s="6"/>
      <c r="N8" s="6"/>
      <c r="O8" s="6"/>
      <c r="P8" s="68"/>
      <c r="Q8" s="6"/>
      <c r="R8" s="69" t="s">
        <v>94</v>
      </c>
      <c r="S8" s="6"/>
      <c r="T8" s="68">
        <v>54.6</v>
      </c>
      <c r="U8" s="6">
        <v>57.0</v>
      </c>
      <c r="V8" s="71"/>
      <c r="W8" s="6">
        <v>54.2</v>
      </c>
      <c r="X8" s="72">
        <v>50.5</v>
      </c>
      <c r="Y8" s="69">
        <v>52.0</v>
      </c>
      <c r="Z8" s="6">
        <v>53.5</v>
      </c>
      <c r="AA8" s="70"/>
      <c r="AB8" s="6">
        <v>51.0</v>
      </c>
      <c r="AC8" s="69">
        <v>52.0</v>
      </c>
      <c r="AD8" s="6"/>
      <c r="AE8" s="6">
        <v>50.5</v>
      </c>
      <c r="AF8" s="69">
        <v>51.0</v>
      </c>
      <c r="AG8" s="6" t="s">
        <v>95</v>
      </c>
      <c r="AH8" s="6"/>
      <c r="AI8" s="6" t="s">
        <v>96</v>
      </c>
      <c r="AJ8" s="6" t="s">
        <v>97</v>
      </c>
      <c r="AK8" s="6"/>
      <c r="AL8" s="68"/>
      <c r="AM8" s="71"/>
      <c r="AN8" s="69"/>
      <c r="AO8" s="73">
        <v>54.0</v>
      </c>
      <c r="AP8" s="69"/>
      <c r="AQ8" s="74">
        <v>57.3</v>
      </c>
      <c r="AR8" s="75">
        <v>28.8</v>
      </c>
      <c r="AS8" s="76" t="s">
        <v>98</v>
      </c>
      <c r="AT8" s="77"/>
      <c r="AU8" s="77"/>
      <c r="AV8" s="74"/>
      <c r="AW8" s="74" t="s">
        <v>99</v>
      </c>
      <c r="AX8" s="6"/>
      <c r="AY8" s="6"/>
      <c r="AZ8" s="68"/>
      <c r="BA8" s="69">
        <v>53.0</v>
      </c>
      <c r="BB8" s="69"/>
      <c r="BC8" s="68"/>
      <c r="BD8" s="6">
        <v>53.5</v>
      </c>
      <c r="BE8" s="69"/>
      <c r="BF8" s="69"/>
      <c r="BG8" s="69"/>
      <c r="BH8" s="6">
        <v>52.3</v>
      </c>
      <c r="BI8" s="6">
        <v>52.5</v>
      </c>
      <c r="BJ8" s="68"/>
      <c r="BK8" s="6"/>
      <c r="BL8" s="6"/>
      <c r="BM8" s="69"/>
      <c r="BN8" s="6"/>
      <c r="BO8" s="6"/>
      <c r="BP8" s="69"/>
      <c r="BQ8" s="78"/>
      <c r="BR8" s="69"/>
      <c r="BS8" s="69"/>
      <c r="BT8" s="69"/>
      <c r="BU8" s="69"/>
      <c r="BV8" s="71"/>
      <c r="BW8" s="6" t="s">
        <v>100</v>
      </c>
      <c r="BX8" s="69" t="s">
        <v>100</v>
      </c>
      <c r="BY8" s="6"/>
      <c r="BZ8" s="6"/>
      <c r="CA8" s="6"/>
      <c r="CB8" s="6"/>
      <c r="CC8" s="6"/>
      <c r="CD8" s="6"/>
      <c r="CE8" s="6"/>
    </row>
    <row r="9" ht="15.75" customHeight="1">
      <c r="A9" s="5" t="s">
        <v>101</v>
      </c>
      <c r="B9" s="79">
        <v>54.4</v>
      </c>
      <c r="C9" s="5"/>
      <c r="D9" s="5"/>
      <c r="E9" s="79"/>
      <c r="F9" s="80"/>
      <c r="G9" s="5">
        <v>52.3</v>
      </c>
      <c r="H9" s="81"/>
      <c r="I9" s="82"/>
      <c r="J9" s="5"/>
      <c r="K9" s="5"/>
      <c r="L9" s="5"/>
      <c r="M9" s="5"/>
      <c r="N9" s="5"/>
      <c r="O9" s="5"/>
      <c r="P9" s="79"/>
      <c r="Q9" s="5"/>
      <c r="R9" s="80">
        <v>1.8</v>
      </c>
      <c r="S9" s="5"/>
      <c r="T9" s="79">
        <v>54.4</v>
      </c>
      <c r="U9" s="83">
        <v>56.8</v>
      </c>
      <c r="V9" s="82"/>
      <c r="W9" s="5">
        <v>53.7</v>
      </c>
      <c r="X9" s="72">
        <v>50.0</v>
      </c>
      <c r="Y9" s="80">
        <v>51.5</v>
      </c>
      <c r="Z9" s="5"/>
      <c r="AA9" s="81"/>
      <c r="AB9" s="5"/>
      <c r="AC9" s="80"/>
      <c r="AD9" s="5"/>
      <c r="AE9" s="5" t="s">
        <v>102</v>
      </c>
      <c r="AF9" s="80"/>
      <c r="AG9" s="5" t="s">
        <v>76</v>
      </c>
      <c r="AH9" s="5">
        <v>54.0</v>
      </c>
      <c r="AI9" s="5">
        <v>54.8</v>
      </c>
      <c r="AJ9" s="5">
        <v>51.9</v>
      </c>
      <c r="AK9" s="5"/>
      <c r="AL9" s="79"/>
      <c r="AM9" s="82"/>
      <c r="AN9" s="80"/>
      <c r="AO9" s="80"/>
      <c r="AP9" s="80"/>
      <c r="AQ9" s="84">
        <v>57.0</v>
      </c>
      <c r="AR9" s="85"/>
      <c r="AS9" s="86">
        <v>49.5</v>
      </c>
      <c r="AT9" s="87"/>
      <c r="AU9" s="87"/>
      <c r="AV9" s="84"/>
      <c r="AW9" s="84" t="s">
        <v>103</v>
      </c>
      <c r="AX9" s="5"/>
      <c r="AY9" s="5"/>
      <c r="AZ9" s="79"/>
      <c r="BA9" s="80" t="s">
        <v>104</v>
      </c>
      <c r="BB9" s="80"/>
      <c r="BC9" s="79"/>
      <c r="BD9" s="5"/>
      <c r="BE9" s="80"/>
      <c r="BF9" s="80"/>
      <c r="BG9" s="80"/>
      <c r="BH9" s="5"/>
      <c r="BI9" s="5"/>
      <c r="BJ9" s="79"/>
      <c r="BK9" s="5"/>
      <c r="BL9" s="5"/>
      <c r="BM9" s="80"/>
      <c r="BN9" s="5"/>
      <c r="BO9" s="5"/>
      <c r="BP9" s="80"/>
      <c r="BQ9" s="88"/>
      <c r="BR9" s="80"/>
      <c r="BS9" s="80"/>
      <c r="BT9" s="80"/>
      <c r="BU9" s="80"/>
      <c r="BV9" s="82"/>
      <c r="BW9" s="5"/>
      <c r="BX9" s="80"/>
      <c r="BY9" s="5"/>
      <c r="BZ9" s="5"/>
      <c r="CA9" s="5"/>
      <c r="CB9" s="5"/>
      <c r="CC9" s="5"/>
      <c r="CD9" s="5"/>
      <c r="CE9" s="5"/>
    </row>
    <row r="10" ht="15.75" customHeight="1">
      <c r="A10" s="6" t="s">
        <v>105</v>
      </c>
      <c r="B10" s="68"/>
      <c r="C10" s="6"/>
      <c r="D10" s="6"/>
      <c r="E10" s="68"/>
      <c r="F10" s="69"/>
      <c r="G10" s="6"/>
      <c r="H10" s="70"/>
      <c r="I10" s="71"/>
      <c r="J10" s="6"/>
      <c r="K10" s="89"/>
      <c r="L10" s="6"/>
      <c r="M10" s="6"/>
      <c r="N10" s="6"/>
      <c r="O10" s="6"/>
      <c r="P10" s="68"/>
      <c r="Q10" s="6"/>
      <c r="R10" s="6"/>
      <c r="S10" s="68"/>
      <c r="T10" s="68">
        <v>52.4</v>
      </c>
      <c r="U10" s="6">
        <v>54.8</v>
      </c>
      <c r="V10" s="71"/>
      <c r="W10" s="6"/>
      <c r="X10" s="6"/>
      <c r="Y10" s="69"/>
      <c r="Z10" s="6"/>
      <c r="AA10" s="70"/>
      <c r="AB10" s="6"/>
      <c r="AC10" s="69"/>
      <c r="AD10" s="6"/>
      <c r="AE10" s="6">
        <v>50.5</v>
      </c>
      <c r="AF10" s="69"/>
      <c r="AG10" s="6"/>
      <c r="AH10" s="6"/>
      <c r="AI10" s="6"/>
      <c r="AJ10" s="6" t="s">
        <v>106</v>
      </c>
      <c r="AK10" s="6"/>
      <c r="AL10" s="68"/>
      <c r="AM10" s="71"/>
      <c r="AN10" s="69"/>
      <c r="AO10" s="69"/>
      <c r="AP10" s="69"/>
      <c r="AQ10" s="74">
        <v>56.1</v>
      </c>
      <c r="AR10" s="75"/>
      <c r="AS10" s="76" t="s">
        <v>76</v>
      </c>
      <c r="AT10" s="77"/>
      <c r="AU10" s="77"/>
      <c r="AV10" s="74"/>
      <c r="AW10" s="74">
        <v>16.5</v>
      </c>
      <c r="AX10" s="6"/>
      <c r="AY10" s="6"/>
      <c r="AZ10" s="68"/>
      <c r="BA10" s="69"/>
      <c r="BB10" s="69"/>
      <c r="BC10" s="68"/>
      <c r="BD10" s="6"/>
      <c r="BE10" s="69"/>
      <c r="BF10" s="69"/>
      <c r="BG10" s="69"/>
      <c r="BH10" s="6"/>
      <c r="BI10" s="6"/>
      <c r="BJ10" s="68"/>
      <c r="BK10" s="6"/>
      <c r="BL10" s="6"/>
      <c r="BM10" s="69"/>
      <c r="BN10" s="6"/>
      <c r="BO10" s="6"/>
      <c r="BP10" s="69"/>
      <c r="BQ10" s="78"/>
      <c r="BR10" s="69"/>
      <c r="BS10" s="69"/>
      <c r="BT10" s="69"/>
      <c r="BU10" s="69"/>
      <c r="BV10" s="71"/>
      <c r="BW10" s="6" t="s">
        <v>107</v>
      </c>
      <c r="BX10" s="69"/>
      <c r="BY10" s="6"/>
      <c r="BZ10" s="6"/>
      <c r="CA10" s="6"/>
      <c r="CB10" s="6"/>
      <c r="CC10" s="6"/>
      <c r="CD10" s="6"/>
      <c r="CE10" s="6"/>
    </row>
    <row r="11" ht="15.75" customHeight="1">
      <c r="A11" s="5" t="s">
        <v>108</v>
      </c>
      <c r="B11" s="79">
        <v>54.4</v>
      </c>
      <c r="C11" s="5">
        <v>54.3</v>
      </c>
      <c r="D11" s="5"/>
      <c r="E11" s="79"/>
      <c r="F11" s="80"/>
      <c r="G11" s="5"/>
      <c r="H11" s="81"/>
      <c r="I11" s="82"/>
      <c r="J11" s="5"/>
      <c r="K11" s="5"/>
      <c r="L11" s="5"/>
      <c r="M11" s="5"/>
      <c r="N11" s="5"/>
      <c r="O11" s="5"/>
      <c r="P11" s="90"/>
      <c r="Q11" s="5"/>
      <c r="R11" s="80"/>
      <c r="S11" s="5"/>
      <c r="T11" s="79"/>
      <c r="U11" s="5"/>
      <c r="V11" s="82"/>
      <c r="W11" s="5"/>
      <c r="X11" s="5"/>
      <c r="Y11" s="80"/>
      <c r="Z11" s="5"/>
      <c r="AA11" s="81"/>
      <c r="AB11" s="5"/>
      <c r="AC11" s="80"/>
      <c r="AD11" s="5"/>
      <c r="AE11" s="5"/>
      <c r="AF11" s="80"/>
      <c r="AG11" s="5"/>
      <c r="AH11" s="5"/>
      <c r="AI11" s="5"/>
      <c r="AJ11" s="5">
        <v>52.7</v>
      </c>
      <c r="AK11" s="5"/>
      <c r="AL11" s="79"/>
      <c r="AM11" s="82"/>
      <c r="AN11" s="80"/>
      <c r="AO11" s="80"/>
      <c r="AP11" s="80"/>
      <c r="AQ11" s="84"/>
      <c r="AR11" s="85"/>
      <c r="AS11" s="86"/>
      <c r="AT11" s="87"/>
      <c r="AU11" s="87"/>
      <c r="AV11" s="84"/>
      <c r="AW11" s="84" t="s">
        <v>109</v>
      </c>
      <c r="AX11" s="5" t="s">
        <v>79</v>
      </c>
      <c r="AY11" s="5"/>
      <c r="AZ11" s="79"/>
      <c r="BA11" s="80"/>
      <c r="BB11" s="80"/>
      <c r="BC11" s="79"/>
      <c r="BD11" s="5"/>
      <c r="BE11" s="80"/>
      <c r="BF11" s="80"/>
      <c r="BG11" s="80">
        <v>52.0</v>
      </c>
      <c r="BH11" s="5"/>
      <c r="BI11" s="5"/>
      <c r="BJ11" s="79"/>
      <c r="BK11" s="5"/>
      <c r="BL11" s="5"/>
      <c r="BM11" s="80"/>
      <c r="BN11" s="5"/>
      <c r="BO11" s="5"/>
      <c r="BP11" s="80"/>
      <c r="BQ11" s="88"/>
      <c r="BR11" s="80"/>
      <c r="BS11" s="80"/>
      <c r="BT11" s="80"/>
      <c r="BU11" s="80"/>
      <c r="BV11" s="82"/>
      <c r="BW11" s="5" t="s">
        <v>110</v>
      </c>
      <c r="BX11" s="80"/>
      <c r="BY11" s="5"/>
      <c r="BZ11" s="5"/>
      <c r="CA11" s="5"/>
      <c r="CB11" s="5"/>
      <c r="CC11" s="5"/>
      <c r="CD11" s="5"/>
      <c r="CE11" s="5"/>
    </row>
    <row r="12" ht="15.75" customHeight="1">
      <c r="A12" s="6" t="s">
        <v>111</v>
      </c>
      <c r="B12" s="68">
        <v>52.0</v>
      </c>
      <c r="C12" s="6">
        <v>52.0</v>
      </c>
      <c r="D12" s="6"/>
      <c r="E12" s="68">
        <v>54.0</v>
      </c>
      <c r="F12" s="69"/>
      <c r="G12" s="6">
        <v>53.8</v>
      </c>
      <c r="H12" s="70"/>
      <c r="I12" s="71"/>
      <c r="J12" s="6">
        <v>54.5</v>
      </c>
      <c r="K12" s="6">
        <v>39.4</v>
      </c>
      <c r="L12" s="6">
        <v>53.7</v>
      </c>
      <c r="M12" s="6"/>
      <c r="N12" s="6">
        <v>38.8</v>
      </c>
      <c r="O12" s="6"/>
      <c r="P12" s="91">
        <v>55.5</v>
      </c>
      <c r="Q12" s="76">
        <v>53.5</v>
      </c>
      <c r="R12" s="74"/>
      <c r="S12" s="6">
        <v>52.6</v>
      </c>
      <c r="T12" s="68"/>
      <c r="U12" s="6"/>
      <c r="V12" s="71"/>
      <c r="W12" s="6">
        <v>49.2</v>
      </c>
      <c r="X12" s="6"/>
      <c r="Y12" s="69">
        <v>51.0</v>
      </c>
      <c r="Z12" s="6">
        <v>53.0</v>
      </c>
      <c r="AA12" s="70"/>
      <c r="AB12" s="6">
        <v>49.2</v>
      </c>
      <c r="AC12" s="69">
        <v>51.2</v>
      </c>
      <c r="AD12" s="6"/>
      <c r="AE12" s="89"/>
      <c r="AF12" s="89">
        <v>49.5</v>
      </c>
      <c r="AG12" s="68" t="s">
        <v>76</v>
      </c>
      <c r="AH12" s="6"/>
      <c r="AI12" s="6"/>
      <c r="AJ12" s="6"/>
      <c r="AK12" s="6"/>
      <c r="AL12" s="68"/>
      <c r="AM12" s="71"/>
      <c r="AN12" s="69"/>
      <c r="AO12" s="69"/>
      <c r="AP12" s="69"/>
      <c r="AQ12" s="74"/>
      <c r="AR12" s="75">
        <v>26.8</v>
      </c>
      <c r="AS12" s="76"/>
      <c r="AT12" s="77"/>
      <c r="AU12" s="77"/>
      <c r="AV12" s="74"/>
      <c r="AW12" s="74"/>
      <c r="AX12" s="6">
        <v>52.0</v>
      </c>
      <c r="AY12" s="6"/>
      <c r="AZ12" s="68"/>
      <c r="BA12" s="69"/>
      <c r="BB12" s="69"/>
      <c r="BC12" s="68"/>
      <c r="BD12" s="6"/>
      <c r="BE12" s="69"/>
      <c r="BF12" s="69"/>
      <c r="BG12" s="69"/>
      <c r="BH12" s="6">
        <v>51.5</v>
      </c>
      <c r="BI12" s="6"/>
      <c r="BJ12" s="68">
        <v>51.0</v>
      </c>
      <c r="BK12" s="72">
        <v>52.5</v>
      </c>
      <c r="BL12" s="6"/>
      <c r="BM12" s="69">
        <v>53.2</v>
      </c>
      <c r="BN12" s="6">
        <v>51.0</v>
      </c>
      <c r="BO12" s="6"/>
      <c r="BP12" s="69"/>
      <c r="BQ12" s="78"/>
      <c r="BR12" s="69"/>
      <c r="BS12" s="69"/>
      <c r="BT12" s="69"/>
      <c r="BU12" s="69"/>
      <c r="BV12" s="71"/>
      <c r="BW12" s="6"/>
      <c r="BX12" s="69"/>
      <c r="BY12" s="6"/>
      <c r="BZ12" s="6"/>
      <c r="CA12" s="6"/>
      <c r="CB12" s="6"/>
      <c r="CC12" s="6"/>
      <c r="CD12" s="6"/>
      <c r="CE12" s="6"/>
    </row>
    <row r="13" ht="15.75" customHeight="1">
      <c r="A13" s="5" t="s">
        <v>112</v>
      </c>
      <c r="B13" s="79"/>
      <c r="C13" s="5"/>
      <c r="D13" s="5"/>
      <c r="E13" s="79"/>
      <c r="F13" s="80"/>
      <c r="G13" s="5"/>
      <c r="H13" s="81"/>
      <c r="I13" s="82"/>
      <c r="J13" s="5">
        <v>53.0</v>
      </c>
      <c r="K13" s="5">
        <v>38.4</v>
      </c>
      <c r="L13" s="5"/>
      <c r="M13" s="5"/>
      <c r="N13" s="5">
        <v>45.7</v>
      </c>
      <c r="O13" s="5"/>
      <c r="P13" s="79"/>
      <c r="Q13" s="5"/>
      <c r="R13" s="80"/>
      <c r="S13" s="5"/>
      <c r="T13" s="79"/>
      <c r="U13" s="5"/>
      <c r="V13" s="82"/>
      <c r="W13" s="5"/>
      <c r="X13" s="5"/>
      <c r="Y13" s="80"/>
      <c r="Z13" s="5"/>
      <c r="AA13" s="81"/>
      <c r="AB13" s="5"/>
      <c r="AC13" s="80"/>
      <c r="AD13" s="5" t="s">
        <v>113</v>
      </c>
      <c r="AE13" s="5"/>
      <c r="AF13" s="5"/>
      <c r="AG13" s="79" t="s">
        <v>114</v>
      </c>
      <c r="AH13" s="5"/>
      <c r="AI13" s="5" t="s">
        <v>115</v>
      </c>
      <c r="AJ13" s="5"/>
      <c r="AK13" s="5"/>
      <c r="AL13" s="79"/>
      <c r="AM13" s="82"/>
      <c r="AN13" s="80"/>
      <c r="AO13" s="80"/>
      <c r="AP13" s="80"/>
      <c r="AQ13" s="84"/>
      <c r="AR13" s="85"/>
      <c r="AS13" s="86"/>
      <c r="AT13" s="87"/>
      <c r="AU13" s="87"/>
      <c r="AV13" s="84"/>
      <c r="AW13" s="84"/>
      <c r="AX13" s="5" t="s">
        <v>79</v>
      </c>
      <c r="AY13" s="5"/>
      <c r="AZ13" s="79"/>
      <c r="BA13" s="80"/>
      <c r="BB13" s="80"/>
      <c r="BC13" s="79"/>
      <c r="BD13" s="5"/>
      <c r="BE13" s="80"/>
      <c r="BF13" s="80"/>
      <c r="BG13" s="80"/>
      <c r="BH13" s="5"/>
      <c r="BI13" s="5"/>
      <c r="BJ13" s="79"/>
      <c r="BK13" s="5"/>
      <c r="BL13" s="5"/>
      <c r="BM13" s="80"/>
      <c r="BN13" s="5"/>
      <c r="BO13" s="5"/>
      <c r="BP13" s="80"/>
      <c r="BQ13" s="88"/>
      <c r="BR13" s="80"/>
      <c r="BS13" s="80"/>
      <c r="BT13" s="80"/>
      <c r="BU13" s="80"/>
      <c r="BV13" s="82"/>
      <c r="BW13" s="5"/>
      <c r="BX13" s="80"/>
      <c r="BY13" s="5"/>
      <c r="BZ13" s="5"/>
      <c r="CA13" s="5"/>
      <c r="CB13" s="5"/>
      <c r="CC13" s="5"/>
      <c r="CD13" s="5"/>
      <c r="CE13" s="5"/>
    </row>
    <row r="14" ht="15.75" customHeight="1">
      <c r="A14" s="6" t="s">
        <v>116</v>
      </c>
      <c r="B14" s="68">
        <v>47.3</v>
      </c>
      <c r="C14" s="6">
        <v>47.3</v>
      </c>
      <c r="D14" s="6"/>
      <c r="E14" s="68">
        <v>52.5</v>
      </c>
      <c r="F14" s="69"/>
      <c r="G14" s="6">
        <v>52.3</v>
      </c>
      <c r="H14" s="70"/>
      <c r="I14" s="71"/>
      <c r="J14" s="6">
        <v>51.0</v>
      </c>
      <c r="K14" s="6">
        <v>35.2</v>
      </c>
      <c r="L14" s="6"/>
      <c r="M14" s="6"/>
      <c r="N14" s="6">
        <v>43.5</v>
      </c>
      <c r="O14" s="6"/>
      <c r="P14" s="91">
        <v>54.5</v>
      </c>
      <c r="Q14" s="6">
        <v>51.5</v>
      </c>
      <c r="R14" s="69"/>
      <c r="S14" s="6">
        <v>51.6</v>
      </c>
      <c r="T14" s="68"/>
      <c r="U14" s="6"/>
      <c r="V14" s="71"/>
      <c r="W14" s="6">
        <v>48.7</v>
      </c>
      <c r="X14" s="6"/>
      <c r="Y14" s="69">
        <v>49.4</v>
      </c>
      <c r="Z14" s="6">
        <v>51.5</v>
      </c>
      <c r="AA14" s="70"/>
      <c r="AB14" s="6">
        <v>48.5</v>
      </c>
      <c r="AC14" s="69">
        <v>49.5</v>
      </c>
      <c r="AD14" s="6">
        <v>50.0</v>
      </c>
      <c r="AE14" s="6">
        <v>49.0</v>
      </c>
      <c r="AF14" s="69">
        <v>49.0</v>
      </c>
      <c r="AG14" s="6"/>
      <c r="AH14" s="6">
        <v>50.5</v>
      </c>
      <c r="AI14" s="6">
        <v>49.7</v>
      </c>
      <c r="AJ14" s="6" t="s">
        <v>97</v>
      </c>
      <c r="AK14" s="6"/>
      <c r="AL14" s="68"/>
      <c r="AM14" s="71"/>
      <c r="AN14" s="69">
        <v>43.0</v>
      </c>
      <c r="AO14" s="69"/>
      <c r="AP14" s="69" t="s">
        <v>117</v>
      </c>
      <c r="AQ14" s="74"/>
      <c r="AR14" s="75">
        <v>25.5</v>
      </c>
      <c r="AS14" s="76"/>
      <c r="AT14" s="77"/>
      <c r="AU14" s="77"/>
      <c r="AV14" s="74"/>
      <c r="AW14" s="74"/>
      <c r="AX14" s="6">
        <v>51.0</v>
      </c>
      <c r="AY14" s="6"/>
      <c r="AZ14" s="68">
        <v>49.5</v>
      </c>
      <c r="BA14" s="69"/>
      <c r="BB14" s="69">
        <v>49.5</v>
      </c>
      <c r="BC14" s="68"/>
      <c r="BD14" s="6">
        <v>49.5</v>
      </c>
      <c r="BE14" s="69"/>
      <c r="BF14" s="69"/>
      <c r="BG14" s="69"/>
      <c r="BH14" s="6">
        <v>50.5</v>
      </c>
      <c r="BI14" s="92"/>
      <c r="BJ14" s="68">
        <v>49.5</v>
      </c>
      <c r="BK14" s="72">
        <v>50.0</v>
      </c>
      <c r="BL14" s="6" t="s">
        <v>118</v>
      </c>
      <c r="BM14" s="69">
        <v>50.5</v>
      </c>
      <c r="BN14" s="6">
        <v>46.0</v>
      </c>
      <c r="BO14" s="6"/>
      <c r="BP14" s="69"/>
      <c r="BQ14" s="93">
        <v>33.0</v>
      </c>
      <c r="BR14" s="69"/>
      <c r="BS14" s="69"/>
      <c r="BT14" s="94">
        <v>32.0</v>
      </c>
      <c r="BU14" s="69"/>
      <c r="BV14" s="71"/>
      <c r="BW14" s="6"/>
      <c r="BX14" s="69"/>
      <c r="BY14" s="6"/>
      <c r="BZ14" s="6"/>
      <c r="CA14" s="6"/>
      <c r="CB14" s="6"/>
      <c r="CC14" s="6"/>
      <c r="CD14" s="6"/>
      <c r="CE14" s="6"/>
    </row>
    <row r="15" ht="15.75" customHeight="1">
      <c r="A15" s="5" t="s">
        <v>119</v>
      </c>
      <c r="B15" s="79">
        <v>43.3</v>
      </c>
      <c r="C15" s="5">
        <v>43.3</v>
      </c>
      <c r="D15" s="5" t="s">
        <v>120</v>
      </c>
      <c r="E15" s="79">
        <v>50.5</v>
      </c>
      <c r="F15" s="80"/>
      <c r="G15" s="5">
        <v>51.8</v>
      </c>
      <c r="H15" s="81"/>
      <c r="I15" s="82"/>
      <c r="J15" s="5">
        <v>50.5</v>
      </c>
      <c r="K15" s="5">
        <v>34.2</v>
      </c>
      <c r="L15" s="5"/>
      <c r="M15" s="83"/>
      <c r="N15" s="5">
        <v>42.5</v>
      </c>
      <c r="O15" s="5"/>
      <c r="P15" s="79"/>
      <c r="Q15" s="5">
        <v>51.0</v>
      </c>
      <c r="R15" s="80"/>
      <c r="S15" s="5">
        <v>50.6</v>
      </c>
      <c r="T15" s="79"/>
      <c r="U15" s="5"/>
      <c r="V15" s="82"/>
      <c r="W15" s="5">
        <v>47.7</v>
      </c>
      <c r="X15" s="5"/>
      <c r="Y15" s="80">
        <v>48.4</v>
      </c>
      <c r="Z15" s="5">
        <v>51.5</v>
      </c>
      <c r="AA15" s="81"/>
      <c r="AB15" s="5">
        <v>48.0</v>
      </c>
      <c r="AC15" s="80">
        <v>49.0</v>
      </c>
      <c r="AD15" s="5"/>
      <c r="AE15" s="5">
        <v>48.0</v>
      </c>
      <c r="AF15" s="80">
        <v>48.0</v>
      </c>
      <c r="AH15" s="5">
        <v>50.0</v>
      </c>
      <c r="AI15" s="5"/>
      <c r="AJ15" s="5">
        <v>47.4</v>
      </c>
      <c r="AK15" s="5"/>
      <c r="AL15" s="79"/>
      <c r="AM15" s="82"/>
      <c r="AN15" s="80"/>
      <c r="AO15" s="80"/>
      <c r="AP15" s="80"/>
      <c r="AQ15" s="84"/>
      <c r="AR15" s="80"/>
      <c r="AS15" s="86"/>
      <c r="AT15" s="87"/>
      <c r="AU15" s="87"/>
      <c r="AV15" s="84"/>
      <c r="AW15" s="84"/>
      <c r="AX15" s="5">
        <v>50.0</v>
      </c>
      <c r="AY15" s="5"/>
      <c r="AZ15" s="79"/>
      <c r="BA15" s="80"/>
      <c r="BB15" s="80"/>
      <c r="BC15" s="79"/>
      <c r="BD15" s="5"/>
      <c r="BE15" s="80"/>
      <c r="BF15" s="80"/>
      <c r="BG15" s="80"/>
      <c r="BH15" s="5">
        <v>49.0</v>
      </c>
      <c r="BI15" s="5"/>
      <c r="BJ15" s="79">
        <v>49.0</v>
      </c>
      <c r="BK15" s="72">
        <v>50.0</v>
      </c>
      <c r="BL15" s="72" t="s">
        <v>121</v>
      </c>
      <c r="BM15" s="80">
        <v>49.5</v>
      </c>
      <c r="BN15" s="5"/>
      <c r="BO15" s="5"/>
      <c r="BP15" s="80"/>
      <c r="BQ15" s="88"/>
      <c r="BR15" s="80"/>
      <c r="BS15" s="80"/>
      <c r="BT15" s="80"/>
      <c r="BU15" s="80"/>
      <c r="BV15" s="82"/>
      <c r="BW15" s="5"/>
      <c r="BX15" s="80"/>
      <c r="BY15" s="5"/>
      <c r="BZ15" s="5"/>
      <c r="CA15" s="5"/>
      <c r="CB15" s="5"/>
      <c r="CC15" s="5"/>
      <c r="CD15" s="5"/>
      <c r="CE15" s="5"/>
    </row>
    <row r="16" ht="15.75" customHeight="1">
      <c r="A16" s="6" t="s">
        <v>122</v>
      </c>
      <c r="B16" s="68">
        <v>36.8</v>
      </c>
      <c r="C16" s="6">
        <v>36.8</v>
      </c>
      <c r="D16" s="6" t="s">
        <v>123</v>
      </c>
      <c r="E16" s="68">
        <v>50.0</v>
      </c>
      <c r="F16" s="69"/>
      <c r="G16" s="6">
        <v>50.8</v>
      </c>
      <c r="H16" s="70"/>
      <c r="I16" s="71"/>
      <c r="J16" s="6">
        <v>50.0</v>
      </c>
      <c r="K16" s="6">
        <v>32.7</v>
      </c>
      <c r="L16" s="6"/>
      <c r="M16" s="6"/>
      <c r="N16" s="6">
        <v>41.5</v>
      </c>
      <c r="O16" s="6"/>
      <c r="P16" s="68"/>
      <c r="Q16" s="6">
        <v>50.5</v>
      </c>
      <c r="R16" s="69"/>
      <c r="S16" s="6">
        <v>48.6</v>
      </c>
      <c r="T16" s="68"/>
      <c r="U16" s="6">
        <v>1.0</v>
      </c>
      <c r="V16" s="71"/>
      <c r="W16" s="6"/>
      <c r="X16" s="6"/>
      <c r="Y16" s="69"/>
      <c r="Z16" s="6">
        <v>49.5</v>
      </c>
      <c r="AA16" s="70"/>
      <c r="AB16" s="6">
        <v>46.5</v>
      </c>
      <c r="AC16" s="69">
        <v>47.5</v>
      </c>
      <c r="AD16" s="6"/>
      <c r="AE16" s="6"/>
      <c r="AF16" s="69"/>
      <c r="AG16" s="6"/>
      <c r="AH16" s="6"/>
      <c r="AI16" s="6"/>
      <c r="AJ16" s="6" t="s">
        <v>106</v>
      </c>
      <c r="AK16" s="6"/>
      <c r="AL16" s="68"/>
      <c r="AM16" s="71"/>
      <c r="AN16" s="69"/>
      <c r="AO16" s="69"/>
      <c r="AP16" s="69" t="s">
        <v>124</v>
      </c>
      <c r="AQ16" s="74"/>
      <c r="AR16" s="69"/>
      <c r="AS16" s="76"/>
      <c r="AT16" s="77"/>
      <c r="AU16" s="77"/>
      <c r="AV16" s="74"/>
      <c r="AW16" s="74"/>
      <c r="AX16" s="6">
        <v>46.8</v>
      </c>
      <c r="AY16" s="6"/>
      <c r="AZ16" s="68"/>
      <c r="BA16" s="69"/>
      <c r="BB16" s="69"/>
      <c r="BC16" s="68"/>
      <c r="BD16" s="6"/>
      <c r="BE16" s="69"/>
      <c r="BF16" s="69"/>
      <c r="BG16" s="69"/>
      <c r="BH16" s="6"/>
      <c r="BI16" s="6"/>
      <c r="BJ16" s="68">
        <v>49.0</v>
      </c>
      <c r="BK16" s="72">
        <v>50.0</v>
      </c>
      <c r="BL16" s="72" t="s">
        <v>121</v>
      </c>
      <c r="BM16" s="69">
        <v>46.5</v>
      </c>
      <c r="BN16" s="6"/>
      <c r="BO16" s="6"/>
      <c r="BP16" s="69"/>
      <c r="BQ16" s="78"/>
      <c r="BR16" s="69"/>
      <c r="BS16" s="69"/>
      <c r="BT16" s="69"/>
      <c r="BU16" s="73" t="s">
        <v>125</v>
      </c>
      <c r="BV16" s="71"/>
      <c r="BW16" s="6"/>
      <c r="BX16" s="69"/>
      <c r="BY16" s="6"/>
      <c r="BZ16" s="6"/>
      <c r="CA16" s="6"/>
      <c r="CB16" s="6"/>
      <c r="CC16" s="6"/>
      <c r="CD16" s="6"/>
      <c r="CE16" s="6"/>
    </row>
    <row r="17" ht="15.75" customHeight="1">
      <c r="A17" s="5" t="s">
        <v>126</v>
      </c>
      <c r="B17" s="79"/>
      <c r="C17" s="5"/>
      <c r="D17" s="5" t="s">
        <v>127</v>
      </c>
      <c r="E17" s="79" t="s">
        <v>128</v>
      </c>
      <c r="F17" s="80"/>
      <c r="G17" s="5"/>
      <c r="H17" s="81"/>
      <c r="I17" s="82"/>
      <c r="J17" s="5">
        <v>0.0</v>
      </c>
      <c r="K17" s="5"/>
      <c r="L17" s="5"/>
      <c r="M17" s="5"/>
      <c r="N17" s="5"/>
      <c r="O17" s="5"/>
      <c r="P17" s="79"/>
      <c r="Q17" s="5"/>
      <c r="R17" s="80"/>
      <c r="S17" s="5">
        <v>46.1</v>
      </c>
      <c r="T17" s="79"/>
      <c r="U17" s="5"/>
      <c r="V17" s="82"/>
      <c r="W17" s="5">
        <v>44.3</v>
      </c>
      <c r="X17" s="5"/>
      <c r="Y17" s="80">
        <v>44.4</v>
      </c>
      <c r="Z17" s="5">
        <v>46.5</v>
      </c>
      <c r="AA17" s="81"/>
      <c r="AB17" s="5">
        <v>43.5</v>
      </c>
      <c r="AC17" s="80">
        <v>44.5</v>
      </c>
      <c r="AD17" s="5"/>
      <c r="AE17" s="5">
        <v>46.5</v>
      </c>
      <c r="AF17" s="80">
        <v>46.5</v>
      </c>
      <c r="AH17" s="5">
        <v>49.5</v>
      </c>
      <c r="AI17" s="5"/>
      <c r="AJ17" s="5">
        <v>48.2</v>
      </c>
      <c r="AK17" s="5"/>
      <c r="AL17" s="79"/>
      <c r="AM17" s="82"/>
      <c r="AN17" s="80"/>
      <c r="AO17" s="80"/>
      <c r="AP17" s="80"/>
      <c r="AQ17" s="84"/>
      <c r="AR17" s="80"/>
      <c r="AS17" s="86"/>
      <c r="AT17" s="87"/>
      <c r="AU17" s="87"/>
      <c r="AV17" s="84"/>
      <c r="AW17" s="84"/>
      <c r="AX17" s="5">
        <v>40.9</v>
      </c>
      <c r="AY17" s="5"/>
      <c r="AZ17" s="79"/>
      <c r="BA17" s="80"/>
      <c r="BB17" s="80" t="s">
        <v>124</v>
      </c>
      <c r="BC17" s="90"/>
      <c r="BD17" s="95"/>
      <c r="BE17" s="80"/>
      <c r="BF17" s="80"/>
      <c r="BG17" s="80"/>
      <c r="BH17" s="5"/>
      <c r="BI17" s="5"/>
      <c r="BJ17" s="79"/>
      <c r="BK17" s="5"/>
      <c r="BL17" s="5"/>
      <c r="BM17" s="80" t="s">
        <v>1</v>
      </c>
      <c r="BN17" s="5"/>
      <c r="BO17" s="5"/>
      <c r="BP17" s="80"/>
      <c r="BQ17" s="88"/>
      <c r="BR17" s="96"/>
      <c r="BS17" s="96"/>
      <c r="BT17" s="80"/>
      <c r="BU17" s="97">
        <v>36.5</v>
      </c>
      <c r="BV17" s="82" t="s">
        <v>129</v>
      </c>
      <c r="BW17" s="5"/>
      <c r="BX17" s="80"/>
      <c r="BY17" s="5"/>
      <c r="BZ17" s="5"/>
      <c r="CA17" s="5"/>
      <c r="CB17" s="5"/>
      <c r="CC17" s="5"/>
      <c r="CD17" s="5"/>
      <c r="CE17" s="5"/>
    </row>
    <row r="18" ht="15.75" customHeight="1">
      <c r="A18" s="6" t="s">
        <v>130</v>
      </c>
      <c r="B18" s="68">
        <v>55.3</v>
      </c>
      <c r="C18" s="6">
        <v>55.3</v>
      </c>
      <c r="D18" s="6">
        <v>52.3</v>
      </c>
      <c r="E18" s="68">
        <v>40.0</v>
      </c>
      <c r="F18" s="69"/>
      <c r="G18" s="6">
        <v>53.3</v>
      </c>
      <c r="H18" s="70"/>
      <c r="I18" s="71"/>
      <c r="J18" s="6">
        <v>37.5</v>
      </c>
      <c r="K18" s="6">
        <v>35.7</v>
      </c>
      <c r="L18" s="6"/>
      <c r="M18" s="6"/>
      <c r="N18" s="6">
        <v>37.3</v>
      </c>
      <c r="O18" s="6"/>
      <c r="P18" s="68"/>
      <c r="Q18" s="6"/>
      <c r="R18" s="69"/>
      <c r="S18" s="6"/>
      <c r="T18" s="68"/>
      <c r="U18" s="6">
        <v>55.0</v>
      </c>
      <c r="V18" s="71">
        <v>58.2</v>
      </c>
      <c r="W18" s="6">
        <v>52.5</v>
      </c>
      <c r="X18" s="6"/>
      <c r="Y18" s="69"/>
      <c r="Z18" s="6"/>
      <c r="AA18" s="70"/>
      <c r="AB18" s="6"/>
      <c r="AC18" s="69">
        <v>50.5</v>
      </c>
      <c r="AD18" s="6"/>
      <c r="AE18" s="6"/>
      <c r="AF18" s="69"/>
      <c r="AG18" s="6"/>
      <c r="AH18" s="6"/>
      <c r="AI18" s="6"/>
      <c r="AJ18" s="6"/>
      <c r="AK18" s="6"/>
      <c r="AL18" s="68"/>
      <c r="AM18" s="71"/>
      <c r="AN18" s="69"/>
      <c r="AO18" s="69"/>
      <c r="AP18" s="74"/>
      <c r="AQ18" s="74"/>
      <c r="AR18" s="69"/>
      <c r="AS18" s="76"/>
      <c r="AT18" s="77"/>
      <c r="AU18" s="77"/>
      <c r="AV18" s="74"/>
      <c r="AW18" s="74"/>
      <c r="AX18" s="6">
        <v>53.0</v>
      </c>
      <c r="AY18" s="6"/>
      <c r="AZ18" s="68"/>
      <c r="BA18" s="74"/>
      <c r="BB18" s="69" t="s">
        <v>76</v>
      </c>
      <c r="BC18" s="77"/>
      <c r="BD18" s="6">
        <v>52.5</v>
      </c>
      <c r="BE18" s="69"/>
      <c r="BF18" s="69"/>
      <c r="BG18" s="69"/>
      <c r="BH18" s="6"/>
      <c r="BI18" s="6">
        <v>53.5</v>
      </c>
      <c r="BJ18" s="68"/>
      <c r="BK18" s="6"/>
      <c r="BL18" s="6"/>
      <c r="BM18" s="69"/>
      <c r="BN18" s="6"/>
      <c r="BO18" s="6"/>
      <c r="BP18" s="69"/>
      <c r="BQ18" s="78"/>
      <c r="BR18" s="69"/>
      <c r="BS18" s="69"/>
      <c r="BT18" s="69"/>
      <c r="BU18" s="69"/>
      <c r="BV18" s="98">
        <v>39.0</v>
      </c>
      <c r="BW18" s="6"/>
      <c r="BX18" s="69"/>
      <c r="BY18" s="6"/>
      <c r="BZ18" s="6"/>
      <c r="CA18" s="6"/>
      <c r="CB18" s="6"/>
      <c r="CC18" s="6"/>
      <c r="CD18" s="6"/>
      <c r="CE18" s="6"/>
    </row>
    <row r="19" ht="15.75" customHeight="1">
      <c r="A19" s="5" t="s">
        <v>131</v>
      </c>
      <c r="B19" s="79">
        <v>54.3</v>
      </c>
      <c r="C19" s="5">
        <v>54.3</v>
      </c>
      <c r="D19" s="5" t="s">
        <v>132</v>
      </c>
      <c r="E19" s="79"/>
      <c r="F19" s="80"/>
      <c r="G19" s="5">
        <v>52.8</v>
      </c>
      <c r="H19" s="81"/>
      <c r="I19" s="82"/>
      <c r="J19" s="5">
        <v>37.0</v>
      </c>
      <c r="K19" s="5">
        <v>35.2</v>
      </c>
      <c r="L19" s="5"/>
      <c r="M19" s="5"/>
      <c r="N19" s="5">
        <v>36.8</v>
      </c>
      <c r="O19" s="5"/>
      <c r="P19" s="79"/>
      <c r="Q19" s="5"/>
      <c r="R19" s="80"/>
      <c r="S19" s="5"/>
      <c r="T19" s="79"/>
      <c r="U19" s="5">
        <v>54.0</v>
      </c>
      <c r="V19" s="82"/>
      <c r="W19" s="5">
        <v>51.5</v>
      </c>
      <c r="X19" s="5"/>
      <c r="Y19" s="80"/>
      <c r="Z19" s="5"/>
      <c r="AA19" s="81"/>
      <c r="AB19" s="5"/>
      <c r="AC19" s="80"/>
      <c r="AD19" s="5"/>
      <c r="AE19" s="5"/>
      <c r="AF19" s="80"/>
      <c r="AG19" s="5"/>
      <c r="AH19" s="5"/>
      <c r="AI19" s="5"/>
      <c r="AJ19" s="5"/>
      <c r="AK19" s="5"/>
      <c r="AL19" s="79"/>
      <c r="AM19" s="82"/>
      <c r="AN19" s="80"/>
      <c r="AO19" s="80"/>
      <c r="AP19" s="80"/>
      <c r="AQ19" s="84" t="s">
        <v>133</v>
      </c>
      <c r="AR19" s="80"/>
      <c r="AS19" s="86"/>
      <c r="AT19" s="87"/>
      <c r="AU19" s="87"/>
      <c r="AV19" s="84"/>
      <c r="AW19" s="84"/>
      <c r="AX19" s="5">
        <v>52.0</v>
      </c>
      <c r="AY19" s="5"/>
      <c r="AZ19" s="79"/>
      <c r="BA19" s="80"/>
      <c r="BB19" s="80">
        <v>0.8</v>
      </c>
      <c r="BC19" s="79"/>
      <c r="BD19" s="5"/>
      <c r="BE19" s="80"/>
      <c r="BF19" s="80"/>
      <c r="BG19" s="80"/>
      <c r="BH19" s="5"/>
      <c r="BI19" s="5"/>
      <c r="BJ19" s="79"/>
      <c r="BK19" s="5"/>
      <c r="BL19" s="5"/>
      <c r="BM19" s="80"/>
      <c r="BN19" s="5"/>
      <c r="BO19" s="5"/>
      <c r="BP19" s="80"/>
      <c r="BQ19" s="88"/>
      <c r="BR19" s="80"/>
      <c r="BS19" s="80"/>
      <c r="BT19" s="80"/>
      <c r="BU19" s="80"/>
      <c r="BV19" s="82"/>
      <c r="BW19" s="5"/>
      <c r="BX19" s="80"/>
      <c r="BY19" s="5"/>
      <c r="BZ19" s="5"/>
      <c r="CA19" s="5"/>
      <c r="CB19" s="5"/>
      <c r="CC19" s="5"/>
      <c r="CD19" s="5"/>
      <c r="CE19" s="5"/>
    </row>
    <row r="20" ht="15.75" customHeight="1">
      <c r="A20" s="6" t="s">
        <v>134</v>
      </c>
      <c r="B20" s="68"/>
      <c r="C20" s="6"/>
      <c r="D20" s="6" t="s">
        <v>135</v>
      </c>
      <c r="E20" s="68"/>
      <c r="F20" s="69"/>
      <c r="G20" s="6"/>
      <c r="H20" s="70"/>
      <c r="I20" s="71"/>
      <c r="J20" s="6"/>
      <c r="K20" s="6"/>
      <c r="L20" s="6"/>
      <c r="M20" s="6"/>
      <c r="N20" s="6"/>
      <c r="O20" s="6"/>
      <c r="P20" s="68"/>
      <c r="Q20" s="6"/>
      <c r="R20" s="69" t="s">
        <v>76</v>
      </c>
      <c r="S20" s="6"/>
      <c r="T20" s="68"/>
      <c r="U20" s="6" t="s">
        <v>136</v>
      </c>
      <c r="V20" s="71"/>
      <c r="W20" s="6"/>
      <c r="X20" s="6"/>
      <c r="Y20" s="69" t="s">
        <v>137</v>
      </c>
      <c r="Z20" s="6"/>
      <c r="AA20" s="70"/>
      <c r="AB20" s="6"/>
      <c r="AC20" s="69"/>
      <c r="AD20" s="6"/>
      <c r="AE20" s="6"/>
      <c r="AF20" s="69"/>
      <c r="AG20" s="6" t="s">
        <v>76</v>
      </c>
      <c r="AH20" s="6"/>
      <c r="AI20" s="6"/>
      <c r="AJ20" s="6"/>
      <c r="AK20" s="6"/>
      <c r="AL20" s="68" t="s">
        <v>138</v>
      </c>
      <c r="AM20" s="71" t="s">
        <v>139</v>
      </c>
      <c r="AN20" s="69"/>
      <c r="AO20" s="69"/>
      <c r="AP20" s="69"/>
      <c r="AQ20" s="74">
        <v>52.8</v>
      </c>
      <c r="AR20" s="69"/>
      <c r="AS20" s="76"/>
      <c r="AT20" s="77"/>
      <c r="AU20" s="77" t="s">
        <v>79</v>
      </c>
      <c r="AV20" s="74"/>
      <c r="AW20" s="74"/>
      <c r="AX20" s="6" t="s">
        <v>79</v>
      </c>
      <c r="AY20" s="6"/>
      <c r="AZ20" s="68"/>
      <c r="BA20" s="69"/>
      <c r="BB20" s="69" t="s">
        <v>140</v>
      </c>
      <c r="BC20" s="68"/>
      <c r="BD20" s="6"/>
      <c r="BE20" s="69"/>
      <c r="BF20" s="69"/>
      <c r="BG20" s="69"/>
      <c r="BH20" s="6"/>
      <c r="BI20" s="6"/>
      <c r="BJ20" s="68" t="s">
        <v>140</v>
      </c>
      <c r="BK20" s="6"/>
      <c r="BL20" s="6"/>
      <c r="BM20" s="69"/>
      <c r="BN20" s="6"/>
      <c r="BO20" s="6"/>
      <c r="BP20" s="69"/>
      <c r="BQ20" s="78"/>
      <c r="BR20" s="69"/>
      <c r="BS20" s="69"/>
      <c r="BT20" s="69"/>
      <c r="BU20" s="69"/>
      <c r="BV20" s="71"/>
      <c r="BW20" s="6"/>
      <c r="BX20" s="69"/>
      <c r="BY20" s="6"/>
      <c r="BZ20" s="6"/>
      <c r="CA20" s="6"/>
      <c r="CB20" s="6"/>
      <c r="CC20" s="6"/>
      <c r="CD20" s="6"/>
      <c r="CE20" s="6"/>
    </row>
    <row r="21" ht="15.75" customHeight="1">
      <c r="A21" s="5" t="s">
        <v>141</v>
      </c>
      <c r="B21" s="79"/>
      <c r="C21" s="5"/>
      <c r="D21" s="5">
        <v>54.3</v>
      </c>
      <c r="E21" s="79">
        <v>46.7</v>
      </c>
      <c r="F21" s="80"/>
      <c r="G21" s="5">
        <v>42.8</v>
      </c>
      <c r="H21" s="81"/>
      <c r="I21" s="82"/>
      <c r="J21" s="5">
        <v>37.0</v>
      </c>
      <c r="K21" s="5">
        <v>36.7</v>
      </c>
      <c r="L21" s="5"/>
      <c r="M21" s="5"/>
      <c r="N21" s="5"/>
      <c r="O21" s="5"/>
      <c r="P21" s="79"/>
      <c r="Q21" s="5"/>
      <c r="R21" s="80"/>
      <c r="S21" s="5"/>
      <c r="T21" s="79"/>
      <c r="U21" s="5">
        <v>51.7</v>
      </c>
      <c r="V21" s="82"/>
      <c r="W21" s="5"/>
      <c r="X21" s="5"/>
      <c r="Y21" s="80">
        <v>48.0</v>
      </c>
      <c r="Z21" s="5"/>
      <c r="AA21" s="81"/>
      <c r="AB21" s="5"/>
      <c r="AC21" s="80">
        <v>48.0</v>
      </c>
      <c r="AD21" s="5"/>
      <c r="AE21" s="5">
        <v>47.6</v>
      </c>
      <c r="AF21" s="80">
        <v>41.5</v>
      </c>
      <c r="AG21" s="83">
        <v>46.9</v>
      </c>
      <c r="AH21" s="83"/>
      <c r="AI21" s="5"/>
      <c r="AJ21" s="5"/>
      <c r="AK21" s="5"/>
      <c r="AL21" s="79">
        <v>48.0</v>
      </c>
      <c r="AM21" s="82">
        <v>45.5</v>
      </c>
      <c r="AN21" s="80"/>
      <c r="AO21" s="80"/>
      <c r="AP21" s="80"/>
      <c r="AQ21" s="84"/>
      <c r="AR21" s="80"/>
      <c r="AS21" s="86"/>
      <c r="AT21" s="87"/>
      <c r="AU21" s="79">
        <v>44.0</v>
      </c>
      <c r="AV21" s="80"/>
      <c r="AW21" s="84"/>
      <c r="AX21" s="5">
        <v>41.0</v>
      </c>
      <c r="AY21" s="5"/>
      <c r="AZ21" s="79"/>
      <c r="BA21" s="80"/>
      <c r="BB21" s="80" t="s">
        <v>94</v>
      </c>
      <c r="BC21" s="79"/>
      <c r="BD21" s="5"/>
      <c r="BE21" s="80"/>
      <c r="BF21" s="80"/>
      <c r="BG21" s="80"/>
      <c r="BH21" s="99"/>
      <c r="BI21" s="99"/>
      <c r="BJ21" s="79">
        <v>36.3</v>
      </c>
      <c r="BK21" s="5"/>
      <c r="BL21" s="5"/>
      <c r="BM21" s="80"/>
      <c r="BN21" s="5"/>
      <c r="BO21" s="5"/>
      <c r="BP21" s="80"/>
      <c r="BQ21" s="88"/>
      <c r="BR21" s="80"/>
      <c r="BS21" s="80"/>
      <c r="BT21" s="100" t="s">
        <v>142</v>
      </c>
      <c r="BU21" s="80"/>
      <c r="BV21" s="82"/>
      <c r="BW21" s="5"/>
      <c r="BX21" s="80"/>
      <c r="BY21" s="5"/>
      <c r="BZ21" s="5"/>
      <c r="CA21" s="5"/>
      <c r="CB21" s="5"/>
      <c r="CC21" s="5"/>
      <c r="CD21" s="5"/>
      <c r="CE21" s="5"/>
    </row>
    <row r="22" ht="15.75" customHeight="1">
      <c r="A22" s="6" t="s">
        <v>143</v>
      </c>
      <c r="B22" s="68"/>
      <c r="C22" s="6"/>
      <c r="D22" s="6"/>
      <c r="E22" s="68"/>
      <c r="F22" s="69"/>
      <c r="G22" s="6">
        <v>40.8</v>
      </c>
      <c r="H22" s="70"/>
      <c r="I22" s="71"/>
      <c r="J22" s="6">
        <v>37.0</v>
      </c>
      <c r="K22" s="6">
        <v>36.7</v>
      </c>
      <c r="L22" s="6"/>
      <c r="M22" s="6"/>
      <c r="N22" s="6"/>
      <c r="O22" s="6"/>
      <c r="P22" s="68"/>
      <c r="Q22" s="6"/>
      <c r="R22" s="69"/>
      <c r="S22" s="6"/>
      <c r="T22" s="68"/>
      <c r="U22" s="6"/>
      <c r="V22" s="71"/>
      <c r="W22" s="6"/>
      <c r="X22" s="6"/>
      <c r="Y22" s="69"/>
      <c r="Z22" s="6"/>
      <c r="AA22" s="70"/>
      <c r="AB22" s="6"/>
      <c r="AC22" s="69"/>
      <c r="AD22" s="6"/>
      <c r="AE22" s="6"/>
      <c r="AF22" s="69"/>
      <c r="AG22" s="6"/>
      <c r="AH22" s="6"/>
      <c r="AI22" s="6"/>
      <c r="AJ22" s="6"/>
      <c r="AK22" s="6"/>
      <c r="AL22" s="68" t="s">
        <v>140</v>
      </c>
      <c r="AM22" s="71" t="s">
        <v>144</v>
      </c>
      <c r="AN22" s="69"/>
      <c r="AO22" s="69"/>
      <c r="AP22" s="69"/>
      <c r="AQ22" s="74"/>
      <c r="AR22" s="69"/>
      <c r="AS22" s="76"/>
      <c r="AT22" s="77"/>
      <c r="AU22" s="77"/>
      <c r="AV22" s="74"/>
      <c r="AW22" s="74"/>
      <c r="AX22" s="6"/>
      <c r="AY22" s="6"/>
      <c r="AZ22" s="68"/>
      <c r="BA22" s="69"/>
      <c r="BB22" s="69">
        <v>2.2</v>
      </c>
      <c r="BC22" s="68"/>
      <c r="BD22" s="6"/>
      <c r="BE22" s="69"/>
      <c r="BF22" s="69"/>
      <c r="BG22" s="69"/>
      <c r="BH22" s="6"/>
      <c r="BI22" s="6"/>
      <c r="BJ22" s="68"/>
      <c r="BK22" s="6"/>
      <c r="BL22" s="6"/>
      <c r="BM22" s="69"/>
      <c r="BN22" s="6"/>
      <c r="BO22" s="6"/>
      <c r="BP22" s="69"/>
      <c r="BQ22" s="78"/>
      <c r="BR22" s="69"/>
      <c r="BS22" s="69"/>
      <c r="BT22" s="69"/>
      <c r="BU22" s="69"/>
      <c r="BV22" s="71"/>
      <c r="BW22" s="6"/>
      <c r="BX22" s="69"/>
      <c r="BY22" s="6"/>
      <c r="BZ22" s="6"/>
      <c r="CA22" s="6"/>
      <c r="CB22" s="6"/>
      <c r="CC22" s="6"/>
      <c r="CD22" s="6"/>
      <c r="CE22" s="6"/>
    </row>
    <row r="23" ht="15.75" customHeight="1">
      <c r="A23" s="101" t="s">
        <v>25</v>
      </c>
      <c r="B23" s="102"/>
      <c r="C23" s="103"/>
      <c r="D23" s="103"/>
      <c r="E23" s="102"/>
      <c r="F23" s="104"/>
      <c r="G23" s="103"/>
      <c r="H23" s="81"/>
      <c r="I23" s="105"/>
      <c r="J23" s="103"/>
      <c r="K23" s="103"/>
      <c r="L23" s="103"/>
      <c r="M23" s="103"/>
      <c r="N23" s="103"/>
      <c r="O23" s="103"/>
      <c r="P23" s="102"/>
      <c r="Q23" s="103"/>
      <c r="R23" s="104"/>
      <c r="S23" s="103"/>
      <c r="T23" s="102"/>
      <c r="U23" s="103"/>
      <c r="V23" s="105"/>
      <c r="W23" s="103"/>
      <c r="X23" s="103"/>
      <c r="Y23" s="104"/>
      <c r="Z23" s="103"/>
      <c r="AA23" s="81"/>
      <c r="AB23" s="103"/>
      <c r="AC23" s="104"/>
      <c r="AD23" s="103"/>
      <c r="AE23" s="103"/>
      <c r="AF23" s="104"/>
      <c r="AG23" s="103"/>
      <c r="AH23" s="103"/>
      <c r="AI23" s="103"/>
      <c r="AJ23" s="103"/>
      <c r="AK23" s="103"/>
      <c r="AL23" s="102"/>
      <c r="AM23" s="105"/>
      <c r="AN23" s="104"/>
      <c r="AO23" s="104"/>
      <c r="AP23" s="104"/>
      <c r="AQ23" s="106"/>
      <c r="AR23" s="104"/>
      <c r="AS23" s="107"/>
      <c r="AT23" s="108"/>
      <c r="AU23" s="108"/>
      <c r="AV23" s="106"/>
      <c r="AW23" s="106"/>
      <c r="AX23" s="103"/>
      <c r="AY23" s="103"/>
      <c r="AZ23" s="102"/>
      <c r="BA23" s="104"/>
      <c r="BB23" s="104"/>
      <c r="BC23" s="102"/>
      <c r="BD23" s="103"/>
      <c r="BE23" s="104"/>
      <c r="BF23" s="104"/>
      <c r="BG23" s="104"/>
      <c r="BH23" s="103"/>
      <c r="BI23" s="103"/>
      <c r="BJ23" s="102"/>
      <c r="BK23" s="103"/>
      <c r="BL23" s="103"/>
      <c r="BM23" s="104"/>
      <c r="BN23" s="103"/>
      <c r="BO23" s="103"/>
      <c r="BP23" s="104"/>
      <c r="BQ23" s="88"/>
      <c r="BR23" s="104"/>
      <c r="BS23" s="104"/>
      <c r="BT23" s="104"/>
      <c r="BU23" s="104"/>
      <c r="BV23" s="105"/>
      <c r="BW23" s="103"/>
      <c r="BX23" s="104"/>
      <c r="BY23" s="103"/>
      <c r="BZ23" s="103"/>
      <c r="CA23" s="103"/>
      <c r="CB23" s="103"/>
      <c r="CC23" s="103"/>
      <c r="CD23" s="103"/>
      <c r="CE23" s="103"/>
    </row>
    <row r="24" ht="15.75" customHeight="1">
      <c r="A24" s="5" t="s">
        <v>145</v>
      </c>
      <c r="B24" s="79"/>
      <c r="C24" s="5"/>
      <c r="D24" s="5"/>
      <c r="E24" s="79"/>
      <c r="F24" s="80"/>
      <c r="G24" s="5"/>
      <c r="H24" s="81"/>
      <c r="I24" s="82"/>
      <c r="J24" s="5">
        <v>39.5</v>
      </c>
      <c r="K24" s="5">
        <v>38.7</v>
      </c>
      <c r="L24" s="5"/>
      <c r="M24" s="5"/>
      <c r="N24" s="5"/>
      <c r="O24" s="5"/>
      <c r="P24" s="79"/>
      <c r="Q24" s="5"/>
      <c r="R24" s="80"/>
      <c r="S24" s="5"/>
      <c r="T24" s="79"/>
      <c r="U24" s="5"/>
      <c r="V24" s="82"/>
      <c r="W24" s="5">
        <v>52.5</v>
      </c>
      <c r="X24" s="5"/>
      <c r="Y24" s="80"/>
      <c r="Z24" s="5">
        <v>53.5</v>
      </c>
      <c r="AA24" s="81"/>
      <c r="AB24" s="5">
        <v>49.5</v>
      </c>
      <c r="AC24" s="80">
        <v>50.5</v>
      </c>
      <c r="AD24" s="5"/>
      <c r="AE24" s="5"/>
      <c r="AF24" s="80"/>
      <c r="AG24" s="5"/>
      <c r="AH24" s="5"/>
      <c r="AI24" s="5"/>
      <c r="AJ24" s="5"/>
      <c r="AK24" s="5"/>
      <c r="AL24" s="79">
        <v>48.5</v>
      </c>
      <c r="AM24" s="82">
        <v>40.0</v>
      </c>
      <c r="AN24" s="80"/>
      <c r="AO24" s="80"/>
      <c r="AP24" s="80"/>
      <c r="AQ24" s="84"/>
      <c r="AR24" s="80"/>
      <c r="AS24" s="86"/>
      <c r="AT24" s="87" t="s">
        <v>146</v>
      </c>
      <c r="AU24" s="87"/>
      <c r="AV24" s="84"/>
      <c r="AW24" s="84"/>
      <c r="AX24" s="5"/>
      <c r="AY24" s="5"/>
      <c r="AZ24" s="79"/>
      <c r="BA24" s="80"/>
      <c r="BB24" s="80"/>
      <c r="BC24" s="79" t="s">
        <v>147</v>
      </c>
      <c r="BD24" s="5"/>
      <c r="BE24" s="80"/>
      <c r="BF24" s="80"/>
      <c r="BG24" s="80"/>
      <c r="BH24" s="5"/>
      <c r="BI24" s="5"/>
      <c r="BJ24" s="79" t="s">
        <v>148</v>
      </c>
      <c r="BK24" s="5"/>
      <c r="BL24" s="5"/>
      <c r="BM24" s="80"/>
      <c r="BN24" s="5"/>
      <c r="BO24" s="5"/>
      <c r="BP24" s="80"/>
      <c r="BQ24" s="88"/>
      <c r="BR24" s="80"/>
      <c r="BS24" s="80"/>
      <c r="BT24" s="80"/>
      <c r="BU24" s="80"/>
      <c r="BV24" s="82"/>
      <c r="BW24" s="5"/>
      <c r="BX24" s="80"/>
      <c r="BY24" s="5"/>
      <c r="BZ24" s="5"/>
      <c r="CA24" s="5"/>
      <c r="CB24" s="5"/>
      <c r="CC24" s="5"/>
      <c r="CD24" s="5"/>
      <c r="CE24" s="5"/>
    </row>
    <row r="25" ht="15.75" customHeight="1">
      <c r="A25" s="6" t="s">
        <v>149</v>
      </c>
      <c r="B25" s="68"/>
      <c r="C25" s="6"/>
      <c r="D25" s="6"/>
      <c r="E25" s="109"/>
      <c r="F25" s="110"/>
      <c r="G25" s="6"/>
      <c r="H25" s="70"/>
      <c r="I25" s="71"/>
      <c r="J25" s="6">
        <v>38.8</v>
      </c>
      <c r="K25" s="6">
        <v>38.0</v>
      </c>
      <c r="L25" s="6"/>
      <c r="M25" s="6"/>
      <c r="N25" s="6"/>
      <c r="O25" s="6"/>
      <c r="P25" s="68"/>
      <c r="Q25" s="6"/>
      <c r="R25" s="69"/>
      <c r="S25" s="6"/>
      <c r="T25" s="68"/>
      <c r="U25" s="6"/>
      <c r="V25" s="71"/>
      <c r="W25" s="6"/>
      <c r="X25" s="6"/>
      <c r="Y25" s="69"/>
      <c r="Z25" s="6"/>
      <c r="AA25" s="70"/>
      <c r="AB25" s="6"/>
      <c r="AC25" s="69"/>
      <c r="AD25" s="6"/>
      <c r="AE25" s="6"/>
      <c r="AF25" s="69"/>
      <c r="AG25" s="111" t="s">
        <v>150</v>
      </c>
      <c r="AH25" s="111"/>
      <c r="AI25" s="6"/>
      <c r="AJ25" s="6"/>
      <c r="AK25" s="6"/>
      <c r="AL25" s="68"/>
      <c r="AM25" s="71"/>
      <c r="AN25" s="69"/>
      <c r="AO25" s="69"/>
      <c r="AP25" s="69"/>
      <c r="AQ25" s="74"/>
      <c r="AR25" s="69"/>
      <c r="AS25" s="76"/>
      <c r="AT25" s="77">
        <v>46.0</v>
      </c>
      <c r="AU25" s="112" t="s">
        <v>25</v>
      </c>
      <c r="AV25" s="113"/>
      <c r="AW25" s="74"/>
      <c r="AX25" s="6"/>
      <c r="AY25" s="6"/>
      <c r="AZ25" s="68"/>
      <c r="BA25" s="69"/>
      <c r="BB25" s="69"/>
      <c r="BC25" s="68"/>
      <c r="BD25" s="6"/>
      <c r="BE25" s="69"/>
      <c r="BF25" s="69"/>
      <c r="BG25" s="69"/>
      <c r="BH25" s="6"/>
      <c r="BI25" s="6"/>
      <c r="BJ25" s="114">
        <v>27.0</v>
      </c>
      <c r="BK25" s="92"/>
      <c r="BL25" s="92"/>
      <c r="BM25" s="69"/>
      <c r="BN25" s="6"/>
      <c r="BO25" s="6"/>
      <c r="BP25" s="69"/>
      <c r="BQ25" s="78"/>
      <c r="BR25" s="69"/>
      <c r="BS25" s="69"/>
      <c r="BT25" s="69"/>
      <c r="BU25" s="69"/>
      <c r="BV25" s="71"/>
      <c r="BW25" s="6"/>
      <c r="BX25" s="69"/>
      <c r="BY25" s="6"/>
      <c r="BZ25" s="6"/>
      <c r="CA25" s="6"/>
      <c r="CB25" s="6"/>
      <c r="CC25" s="6"/>
      <c r="CD25" s="6"/>
      <c r="CE25" s="6"/>
    </row>
    <row r="26" ht="15.75" customHeight="1">
      <c r="A26" s="5" t="s">
        <v>151</v>
      </c>
      <c r="B26" s="79"/>
      <c r="C26" s="5"/>
      <c r="D26" s="5"/>
      <c r="E26" s="79"/>
      <c r="F26" s="80"/>
      <c r="G26" s="5"/>
      <c r="H26" s="81"/>
      <c r="I26" s="82"/>
      <c r="J26" s="5">
        <v>37.4</v>
      </c>
      <c r="K26" s="5">
        <v>36.6</v>
      </c>
      <c r="L26" s="5"/>
      <c r="M26" s="5"/>
      <c r="N26" s="5"/>
      <c r="O26" s="5"/>
      <c r="P26" s="79"/>
      <c r="Q26" s="5"/>
      <c r="R26" s="80"/>
      <c r="S26" s="5"/>
      <c r="T26" s="79"/>
      <c r="U26" s="5"/>
      <c r="V26" s="82"/>
      <c r="W26" s="5"/>
      <c r="X26" s="5"/>
      <c r="Y26" s="80"/>
      <c r="Z26" s="5">
        <v>52.5</v>
      </c>
      <c r="AA26" s="81"/>
      <c r="AB26" s="5">
        <v>49.0</v>
      </c>
      <c r="AC26" s="80">
        <v>50.0</v>
      </c>
      <c r="AD26" s="5"/>
      <c r="AE26" s="5"/>
      <c r="AF26" s="80"/>
      <c r="AG26" s="111" t="s">
        <v>152</v>
      </c>
      <c r="AH26" s="111"/>
      <c r="AI26" s="5"/>
      <c r="AJ26" s="5"/>
      <c r="AK26" s="5"/>
      <c r="AL26" s="79"/>
      <c r="AM26" s="82"/>
      <c r="AN26" s="80"/>
      <c r="AO26" s="80"/>
      <c r="AP26" s="80"/>
      <c r="AQ26" s="84"/>
      <c r="AR26" s="80"/>
      <c r="AS26" s="86"/>
      <c r="AT26" s="87"/>
      <c r="AU26" s="87"/>
      <c r="AV26" s="84"/>
      <c r="AW26" s="84"/>
      <c r="AX26" s="5" t="s">
        <v>76</v>
      </c>
      <c r="AY26" s="5"/>
      <c r="AZ26" s="79"/>
      <c r="BA26" s="80"/>
      <c r="BB26" s="80"/>
      <c r="BC26" s="79"/>
      <c r="BD26" s="5"/>
      <c r="BE26" s="80"/>
      <c r="BF26" s="80"/>
      <c r="BG26" s="80"/>
      <c r="BH26" s="5"/>
      <c r="BI26" s="5"/>
      <c r="BJ26" s="79" t="s">
        <v>153</v>
      </c>
      <c r="BK26" s="5"/>
      <c r="BL26" s="5"/>
      <c r="BM26" s="80"/>
      <c r="BN26" s="5"/>
      <c r="BO26" s="5"/>
      <c r="BP26" s="80"/>
      <c r="BQ26" s="88"/>
      <c r="BR26" s="80"/>
      <c r="BS26" s="80"/>
      <c r="BT26" s="80"/>
      <c r="BU26" s="80"/>
      <c r="BV26" s="82"/>
      <c r="BW26" s="5"/>
      <c r="BX26" s="80"/>
      <c r="BY26" s="5"/>
      <c r="BZ26" s="5"/>
      <c r="CA26" s="5"/>
      <c r="CB26" s="5"/>
      <c r="CC26" s="5"/>
      <c r="CD26" s="5"/>
      <c r="CE26" s="5"/>
    </row>
    <row r="27" ht="15.75" customHeight="1">
      <c r="A27" s="6" t="s">
        <v>154</v>
      </c>
      <c r="B27" s="68"/>
      <c r="C27" s="6"/>
      <c r="D27" s="6"/>
      <c r="E27" s="68"/>
      <c r="F27" s="69"/>
      <c r="G27" s="6"/>
      <c r="H27" s="70"/>
      <c r="I27" s="71"/>
      <c r="J27" s="6">
        <v>40.5</v>
      </c>
      <c r="K27" s="6">
        <v>44.7</v>
      </c>
      <c r="L27" s="6">
        <v>51.0</v>
      </c>
      <c r="M27" s="6"/>
      <c r="N27" s="6"/>
      <c r="O27" s="6"/>
      <c r="P27" s="68"/>
      <c r="Q27" s="6">
        <v>53.7</v>
      </c>
      <c r="R27" s="69"/>
      <c r="S27" s="6"/>
      <c r="T27" s="68"/>
      <c r="U27" s="6"/>
      <c r="V27" s="71"/>
      <c r="W27" s="6"/>
      <c r="X27" s="6"/>
      <c r="Y27" s="69"/>
      <c r="Z27" s="6"/>
      <c r="AA27" s="70"/>
      <c r="AB27" s="6"/>
      <c r="AC27" s="69">
        <v>48.0</v>
      </c>
      <c r="AD27" s="6"/>
      <c r="AE27" s="6"/>
      <c r="AF27" s="69"/>
      <c r="AG27" s="111" t="s">
        <v>155</v>
      </c>
      <c r="AH27" s="111"/>
      <c r="AI27" s="6"/>
      <c r="AJ27" s="6"/>
      <c r="AK27" s="6"/>
      <c r="AL27" s="68"/>
      <c r="AM27" s="71"/>
      <c r="AN27" s="69"/>
      <c r="AO27" s="69"/>
      <c r="AP27" s="69"/>
      <c r="AQ27" s="74"/>
      <c r="AR27" s="69"/>
      <c r="AS27" s="76"/>
      <c r="AT27" s="77"/>
      <c r="AU27" s="77" t="s">
        <v>79</v>
      </c>
      <c r="AV27" s="74"/>
      <c r="AW27" s="74"/>
      <c r="AX27" s="6">
        <v>52.5</v>
      </c>
      <c r="AY27" s="6"/>
      <c r="AZ27" s="68"/>
      <c r="BA27" s="69"/>
      <c r="BB27" s="69"/>
      <c r="BC27" s="68"/>
      <c r="BD27" s="6"/>
      <c r="BE27" s="69"/>
      <c r="BF27" s="69"/>
      <c r="BG27" s="69"/>
      <c r="BH27" s="6"/>
      <c r="BI27" s="6"/>
      <c r="BJ27" s="68">
        <v>50.5</v>
      </c>
      <c r="BK27" s="6"/>
      <c r="BL27" s="6"/>
      <c r="BM27" s="69"/>
      <c r="BN27" s="6"/>
      <c r="BO27" s="6"/>
      <c r="BP27" s="69"/>
      <c r="BQ27" s="78"/>
      <c r="BR27" s="94">
        <v>33.2</v>
      </c>
      <c r="BS27" s="94">
        <v>33.2</v>
      </c>
      <c r="BT27" s="69"/>
      <c r="BU27" s="69"/>
      <c r="BV27" s="71"/>
      <c r="BW27" s="6"/>
      <c r="BX27" s="69"/>
      <c r="BY27" s="6"/>
      <c r="BZ27" s="6"/>
      <c r="CA27" s="6"/>
      <c r="CB27" s="6"/>
      <c r="CC27" s="6"/>
      <c r="CD27" s="6"/>
      <c r="CE27" s="6"/>
    </row>
    <row r="28" ht="15.75" customHeight="1">
      <c r="A28" s="5" t="s">
        <v>156</v>
      </c>
      <c r="B28" s="79"/>
      <c r="C28" s="5"/>
      <c r="D28" s="5"/>
      <c r="E28" s="79"/>
      <c r="F28" s="80"/>
      <c r="G28" s="5"/>
      <c r="H28" s="81"/>
      <c r="I28" s="82"/>
      <c r="J28" s="5">
        <v>38.0</v>
      </c>
      <c r="K28" s="5">
        <v>42.2</v>
      </c>
      <c r="L28" s="5">
        <v>44.7</v>
      </c>
      <c r="M28" s="5"/>
      <c r="N28" s="5"/>
      <c r="O28" s="5"/>
      <c r="P28" s="79"/>
      <c r="Q28" s="5"/>
      <c r="R28" s="80"/>
      <c r="S28" s="80"/>
      <c r="T28" s="79"/>
      <c r="U28" s="5"/>
      <c r="V28" s="82"/>
      <c r="W28" s="5"/>
      <c r="X28" s="5"/>
      <c r="Y28" s="80"/>
      <c r="Z28" s="5"/>
      <c r="AA28" s="81"/>
      <c r="AB28" s="5"/>
      <c r="AC28" s="80"/>
      <c r="AD28" s="5"/>
      <c r="AE28" s="5"/>
      <c r="AF28" s="80"/>
      <c r="AG28" s="111">
        <v>40.0</v>
      </c>
      <c r="AH28" s="111"/>
      <c r="AI28" s="5"/>
      <c r="AJ28" s="5"/>
      <c r="AK28" s="5"/>
      <c r="AL28" s="79"/>
      <c r="AM28" s="82"/>
      <c r="AN28" s="80"/>
      <c r="AO28" s="80"/>
      <c r="AP28" s="80"/>
      <c r="AQ28" s="84"/>
      <c r="AR28" s="80"/>
      <c r="AS28" s="86"/>
      <c r="AT28" s="87"/>
      <c r="AU28" s="87"/>
      <c r="AV28" s="84"/>
      <c r="AW28" s="84"/>
      <c r="AX28" s="5"/>
      <c r="AY28" s="5"/>
      <c r="AZ28" s="79"/>
      <c r="BA28" s="80"/>
      <c r="BB28" s="80"/>
      <c r="BC28" s="79"/>
      <c r="BD28" s="5"/>
      <c r="BE28" s="80"/>
      <c r="BF28" s="80"/>
      <c r="BG28" s="80"/>
      <c r="BH28" s="79"/>
      <c r="BI28" s="5"/>
      <c r="BJ28" s="79"/>
      <c r="BK28" s="5"/>
      <c r="BL28" s="5"/>
      <c r="BM28" s="80"/>
      <c r="BN28" s="5"/>
      <c r="BO28" s="5"/>
      <c r="BP28" s="80"/>
      <c r="BQ28" s="88"/>
      <c r="BR28" s="80"/>
      <c r="BS28" s="80"/>
      <c r="BT28" s="80"/>
      <c r="BU28" s="80"/>
      <c r="BV28" s="79"/>
      <c r="BW28" s="5"/>
      <c r="BX28" s="80"/>
      <c r="BY28" s="5"/>
      <c r="BZ28" s="5"/>
      <c r="CA28" s="5"/>
      <c r="CB28" s="5"/>
      <c r="CC28" s="5"/>
      <c r="CD28" s="5"/>
      <c r="CE28" s="5"/>
    </row>
    <row r="29" ht="15.75" customHeight="1">
      <c r="A29" s="115" t="s">
        <v>157</v>
      </c>
      <c r="B29" s="70"/>
      <c r="C29" s="70"/>
      <c r="D29" s="70"/>
      <c r="E29" s="116"/>
      <c r="F29" s="115"/>
      <c r="G29" s="70"/>
      <c r="H29" s="70"/>
      <c r="I29" s="116"/>
      <c r="J29" s="116"/>
      <c r="K29" s="70"/>
      <c r="L29" s="70"/>
      <c r="M29" s="70"/>
      <c r="N29" s="70"/>
      <c r="O29" s="115"/>
      <c r="P29" s="70"/>
      <c r="Q29" s="70"/>
      <c r="R29" s="115"/>
      <c r="S29" s="115"/>
      <c r="T29" s="116"/>
      <c r="U29" s="70"/>
      <c r="V29" s="117"/>
      <c r="W29" s="70"/>
      <c r="X29" s="70"/>
      <c r="Y29" s="115"/>
      <c r="Z29" s="70"/>
      <c r="AA29" s="70"/>
      <c r="AB29" s="70"/>
      <c r="AC29" s="115"/>
      <c r="AD29" s="70"/>
      <c r="AE29" s="70"/>
      <c r="AF29" s="115"/>
      <c r="AG29" s="70" t="s">
        <v>76</v>
      </c>
      <c r="AH29" s="70"/>
      <c r="AI29" s="70"/>
      <c r="AJ29" s="70"/>
      <c r="AK29" s="70"/>
      <c r="AL29" s="116"/>
      <c r="AM29" s="117"/>
      <c r="AN29" s="115"/>
      <c r="AO29" s="115"/>
      <c r="AP29" s="115"/>
      <c r="AQ29" s="118"/>
      <c r="AR29" s="115"/>
      <c r="AS29" s="119"/>
      <c r="AT29" s="120"/>
      <c r="AU29" s="120"/>
      <c r="AV29" s="118"/>
      <c r="AW29" s="118"/>
      <c r="AX29" s="70"/>
      <c r="AY29" s="70"/>
      <c r="AZ29" s="116"/>
      <c r="BA29" s="115"/>
      <c r="BB29" s="115"/>
      <c r="BC29" s="116"/>
      <c r="BD29" s="70"/>
      <c r="BE29" s="115"/>
      <c r="BF29" s="115"/>
      <c r="BG29" s="115"/>
      <c r="BH29" s="116"/>
      <c r="BI29" s="70"/>
      <c r="BJ29" s="116"/>
      <c r="BK29" s="70"/>
      <c r="BL29" s="70"/>
      <c r="BM29" s="115"/>
      <c r="BN29" s="70"/>
      <c r="BO29" s="70"/>
      <c r="BP29" s="115"/>
      <c r="BQ29" s="78"/>
      <c r="BR29" s="115"/>
      <c r="BS29" s="115"/>
      <c r="BT29" s="115"/>
      <c r="BU29" s="115"/>
      <c r="BV29" s="116"/>
      <c r="BW29" s="116"/>
      <c r="BX29" s="115"/>
      <c r="BY29" s="70"/>
      <c r="BZ29" s="70"/>
      <c r="CA29" s="70"/>
      <c r="CB29" s="70"/>
      <c r="CC29" s="70"/>
      <c r="CD29" s="70"/>
      <c r="CE29" s="70"/>
    </row>
    <row r="30" ht="15.75" customHeight="1">
      <c r="A30" s="121" t="s">
        <v>158</v>
      </c>
      <c r="B30" s="81"/>
      <c r="C30" s="81"/>
      <c r="D30" s="81"/>
      <c r="E30" s="122"/>
      <c r="F30" s="121"/>
      <c r="G30" s="81"/>
      <c r="H30" s="81"/>
      <c r="I30" s="122"/>
      <c r="J30" s="122"/>
      <c r="K30" s="81"/>
      <c r="L30" s="81"/>
      <c r="M30" s="81"/>
      <c r="N30" s="81"/>
      <c r="O30" s="121"/>
      <c r="P30" s="81"/>
      <c r="Q30" s="81"/>
      <c r="R30" s="121"/>
      <c r="S30" s="121"/>
      <c r="T30" s="81"/>
      <c r="U30" s="81"/>
      <c r="V30" s="123"/>
      <c r="W30" s="81"/>
      <c r="X30" s="81"/>
      <c r="Y30" s="121"/>
      <c r="Z30" s="81"/>
      <c r="AA30" s="81"/>
      <c r="AB30" s="81"/>
      <c r="AC30" s="121"/>
      <c r="AD30" s="81"/>
      <c r="AE30" s="81"/>
      <c r="AF30" s="121"/>
      <c r="AG30" s="81"/>
      <c r="AH30" s="81"/>
      <c r="AI30" s="81"/>
      <c r="AJ30" s="81"/>
      <c r="AK30" s="81"/>
      <c r="AL30" s="122"/>
      <c r="AM30" s="123"/>
      <c r="AN30" s="81"/>
      <c r="AO30" s="123"/>
      <c r="AP30" s="121"/>
      <c r="AQ30" s="124"/>
      <c r="AR30" s="121"/>
      <c r="AS30" s="125"/>
      <c r="AT30" s="126"/>
      <c r="AU30" s="126"/>
      <c r="AV30" s="124"/>
      <c r="AW30" s="124"/>
      <c r="AX30" s="81"/>
      <c r="AY30" s="81"/>
      <c r="AZ30" s="122"/>
      <c r="BA30" s="121"/>
      <c r="BB30" s="121"/>
      <c r="BC30" s="122"/>
      <c r="BD30" s="81"/>
      <c r="BE30" s="121"/>
      <c r="BF30" s="121"/>
      <c r="BG30" s="121"/>
      <c r="BH30" s="122"/>
      <c r="BI30" s="81"/>
      <c r="BJ30" s="122"/>
      <c r="BK30" s="81"/>
      <c r="BL30" s="81"/>
      <c r="BM30" s="121"/>
      <c r="BN30" s="81"/>
      <c r="BO30" s="81"/>
      <c r="BP30" s="121"/>
      <c r="BQ30" s="88"/>
      <c r="BR30" s="121"/>
      <c r="BS30" s="121"/>
      <c r="BT30" s="121"/>
      <c r="BU30" s="81"/>
      <c r="BV30" s="122"/>
      <c r="BW30" s="122"/>
      <c r="BX30" s="121"/>
      <c r="BY30" s="81"/>
      <c r="BZ30" s="81"/>
      <c r="CA30" s="81"/>
      <c r="CB30" s="81"/>
      <c r="CC30" s="81"/>
      <c r="CD30" s="81"/>
      <c r="CE30" s="81"/>
    </row>
    <row r="31" ht="15.75" customHeight="1">
      <c r="A31" s="127" t="s">
        <v>159</v>
      </c>
      <c r="B31" s="7" t="s">
        <v>160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6"/>
      <c r="BZ31" s="6"/>
      <c r="CA31" s="6"/>
      <c r="CB31" s="6"/>
      <c r="CC31" s="6"/>
      <c r="CD31" s="6"/>
      <c r="CE31" s="6"/>
    </row>
    <row r="32" ht="15.75" customHeight="1">
      <c r="A32" s="128"/>
      <c r="B32" s="7" t="s">
        <v>161</v>
      </c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6"/>
      <c r="BZ32" s="6"/>
      <c r="CA32" s="6"/>
      <c r="CB32" s="6"/>
      <c r="CC32" s="6"/>
      <c r="CD32" s="6"/>
      <c r="CE32" s="6"/>
    </row>
    <row r="33" ht="15.75" customHeight="1">
      <c r="A33" s="5" t="s">
        <v>162</v>
      </c>
      <c r="B33" s="5" t="s">
        <v>163</v>
      </c>
      <c r="BY33" s="5"/>
      <c r="BZ33" s="5"/>
      <c r="CA33" s="5"/>
      <c r="CB33" s="5"/>
      <c r="CC33" s="5"/>
      <c r="CD33" s="5"/>
      <c r="CE33" s="5"/>
    </row>
    <row r="34" ht="15.75" customHeight="1">
      <c r="A34" s="127" t="s">
        <v>164</v>
      </c>
      <c r="B34" s="7" t="s">
        <v>165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6"/>
      <c r="BZ34" s="6"/>
      <c r="CA34" s="6"/>
      <c r="CB34" s="6"/>
      <c r="CC34" s="6"/>
      <c r="CD34" s="6"/>
      <c r="CE34" s="6"/>
    </row>
    <row r="35" ht="15.75" customHeight="1">
      <c r="A35" s="128"/>
      <c r="B35" s="7" t="s">
        <v>166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6"/>
      <c r="BZ35" s="6"/>
      <c r="CA35" s="6"/>
      <c r="CB35" s="6"/>
      <c r="CC35" s="6"/>
      <c r="CD35" s="6"/>
      <c r="CE35" s="6"/>
    </row>
    <row r="36" ht="15.75" customHeight="1">
      <c r="A36" s="44" t="s">
        <v>167</v>
      </c>
      <c r="B36" s="5" t="s">
        <v>168</v>
      </c>
      <c r="BY36" s="5"/>
      <c r="BZ36" s="5"/>
      <c r="CA36" s="5"/>
      <c r="CB36" s="5"/>
      <c r="CC36" s="5"/>
      <c r="CD36" s="5"/>
      <c r="CE36" s="5"/>
    </row>
    <row r="37" ht="15.75" customHeight="1">
      <c r="B37" s="5" t="s">
        <v>169</v>
      </c>
      <c r="BY37" s="5"/>
      <c r="BZ37" s="5"/>
      <c r="CA37" s="5"/>
      <c r="CB37" s="5"/>
      <c r="CC37" s="5"/>
      <c r="CD37" s="5"/>
      <c r="CE37" s="5"/>
    </row>
    <row r="38" ht="15.75" customHeight="1">
      <c r="B38" s="5" t="s">
        <v>170</v>
      </c>
      <c r="BY38" s="5"/>
      <c r="BZ38" s="5"/>
      <c r="CA38" s="5"/>
      <c r="CB38" s="5"/>
      <c r="CC38" s="5"/>
      <c r="CD38" s="5"/>
      <c r="CE38" s="5"/>
    </row>
    <row r="39" ht="15.75" customHeight="1">
      <c r="A39" s="129" t="s">
        <v>171</v>
      </c>
      <c r="B39" s="130" t="s">
        <v>172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9"/>
      <c r="BZ39" s="89"/>
      <c r="CA39" s="89"/>
      <c r="CB39" s="89"/>
      <c r="CC39" s="89"/>
      <c r="CD39" s="89"/>
      <c r="CE39" s="89"/>
    </row>
    <row r="40" ht="15.75" customHeight="1">
      <c r="A40" s="128"/>
      <c r="B40" s="130" t="s">
        <v>173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9"/>
      <c r="BZ40" s="89"/>
      <c r="CA40" s="89"/>
      <c r="CB40" s="89"/>
      <c r="CC40" s="89"/>
      <c r="CD40" s="89"/>
      <c r="CE40" s="89"/>
    </row>
    <row r="41" ht="15.75" customHeight="1">
      <c r="A41" s="128"/>
      <c r="B41" s="130" t="s">
        <v>174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9"/>
      <c r="BZ41" s="89"/>
      <c r="CA41" s="89"/>
      <c r="CB41" s="89"/>
      <c r="CC41" s="89"/>
      <c r="CD41" s="89"/>
      <c r="CE41" s="89"/>
    </row>
    <row r="42" ht="15.75" customHeight="1">
      <c r="A42" s="128"/>
      <c r="B42" s="130" t="s">
        <v>175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5"/>
      <c r="BZ42" s="5"/>
      <c r="CA42" s="5"/>
      <c r="CB42" s="5"/>
      <c r="CC42" s="5"/>
      <c r="CD42" s="5"/>
      <c r="CE42" s="5"/>
    </row>
    <row r="43" ht="15.75" customHeight="1">
      <c r="A43" s="128"/>
      <c r="B43" s="130" t="s">
        <v>176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5"/>
      <c r="BZ43" s="5"/>
      <c r="CA43" s="5"/>
      <c r="CB43" s="5"/>
      <c r="CC43" s="5"/>
      <c r="CD43" s="5"/>
      <c r="CE43" s="5"/>
    </row>
    <row r="44" ht="15.75" customHeight="1">
      <c r="A44" s="128"/>
      <c r="B44" s="130" t="s">
        <v>177</v>
      </c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5"/>
      <c r="BZ44" s="5"/>
      <c r="CA44" s="5"/>
      <c r="CB44" s="5"/>
      <c r="CC44" s="5"/>
      <c r="CD44" s="5"/>
      <c r="CE44" s="5"/>
    </row>
    <row r="45" ht="15.75" customHeight="1">
      <c r="A45" s="128"/>
      <c r="B45" s="130" t="s">
        <v>178</v>
      </c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5"/>
      <c r="BZ45" s="5"/>
      <c r="CA45" s="5"/>
      <c r="CB45" s="5"/>
      <c r="CC45" s="5"/>
      <c r="CD45" s="5"/>
      <c r="CE45" s="5"/>
    </row>
    <row r="46" ht="15.75" customHeight="1">
      <c r="A46" s="128"/>
      <c r="B46" s="130" t="s">
        <v>179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5"/>
      <c r="BZ46" s="5"/>
      <c r="CA46" s="5"/>
      <c r="CB46" s="5"/>
      <c r="CC46" s="5"/>
      <c r="CD46" s="5"/>
      <c r="CE46" s="5"/>
    </row>
    <row r="47" ht="15.75" customHeight="1">
      <c r="A47" s="5" t="s">
        <v>180</v>
      </c>
      <c r="B47" s="5" t="s">
        <v>181</v>
      </c>
      <c r="BY47" s="5"/>
      <c r="BZ47" s="5"/>
      <c r="CA47" s="5"/>
      <c r="CB47" s="5"/>
      <c r="CC47" s="5"/>
      <c r="CD47" s="5"/>
      <c r="CE47" s="5"/>
    </row>
    <row r="48" ht="15.75" customHeight="1">
      <c r="A48" s="44" t="s">
        <v>182</v>
      </c>
      <c r="B48" s="5" t="s">
        <v>183</v>
      </c>
      <c r="BY48" s="5"/>
      <c r="BZ48" s="5"/>
      <c r="CA48" s="5"/>
      <c r="CB48" s="5"/>
      <c r="CC48" s="5"/>
      <c r="CD48" s="5"/>
      <c r="CE48" s="5"/>
    </row>
    <row r="49" ht="15.75" customHeight="1">
      <c r="A49" s="44" t="s">
        <v>184</v>
      </c>
      <c r="B49" s="5" t="s">
        <v>185</v>
      </c>
      <c r="BY49" s="5"/>
      <c r="BZ49" s="5"/>
      <c r="CA49" s="5"/>
      <c r="CB49" s="5"/>
      <c r="CC49" s="5"/>
      <c r="CD49" s="5"/>
      <c r="CE49" s="5"/>
    </row>
    <row r="50" ht="15.75" customHeight="1">
      <c r="A50" s="44" t="s">
        <v>186</v>
      </c>
      <c r="B50" s="5" t="s">
        <v>187</v>
      </c>
      <c r="BY50" s="5"/>
      <c r="BZ50" s="5"/>
      <c r="CA50" s="5"/>
      <c r="CB50" s="5"/>
      <c r="CC50" s="5"/>
      <c r="CD50" s="5"/>
      <c r="CE50" s="5"/>
    </row>
    <row r="51" ht="15.75" customHeight="1">
      <c r="A51" s="44" t="s">
        <v>188</v>
      </c>
      <c r="B51" s="5" t="s">
        <v>189</v>
      </c>
      <c r="BY51" s="5"/>
      <c r="BZ51" s="5"/>
      <c r="CA51" s="5"/>
      <c r="CB51" s="5"/>
      <c r="CC51" s="5"/>
      <c r="CD51" s="5"/>
      <c r="CE51" s="5"/>
    </row>
    <row r="52" ht="15.75" customHeight="1">
      <c r="B52" s="5" t="s">
        <v>190</v>
      </c>
      <c r="BY52" s="5"/>
      <c r="BZ52" s="5"/>
      <c r="CA52" s="5"/>
      <c r="CB52" s="5"/>
      <c r="CC52" s="5"/>
      <c r="CD52" s="5"/>
      <c r="CE52" s="5"/>
    </row>
    <row r="53" ht="15.75" customHeight="1">
      <c r="A53" s="131" t="s">
        <v>191</v>
      </c>
      <c r="B53" s="130" t="s">
        <v>192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5"/>
      <c r="BZ53" s="5"/>
      <c r="CA53" s="5"/>
      <c r="CB53" s="5"/>
      <c r="CC53" s="5"/>
      <c r="CD53" s="5"/>
      <c r="CE53" s="5"/>
    </row>
    <row r="54" ht="15.75" customHeight="1">
      <c r="A54" s="132" t="s">
        <v>193</v>
      </c>
      <c r="B54" s="133" t="s">
        <v>194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5"/>
      <c r="BZ54" s="5"/>
      <c r="CA54" s="5"/>
      <c r="CB54" s="5"/>
      <c r="CC54" s="5"/>
      <c r="CD54" s="5"/>
      <c r="CE54" s="5"/>
    </row>
    <row r="55" ht="15.75" customHeight="1">
      <c r="A55" s="129" t="s">
        <v>195</v>
      </c>
      <c r="B55" s="130" t="s">
        <v>196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5"/>
      <c r="BZ55" s="5"/>
      <c r="CA55" s="5"/>
      <c r="CB55" s="5"/>
      <c r="CC55" s="5"/>
      <c r="CD55" s="5"/>
      <c r="CE55" s="5"/>
    </row>
    <row r="56" ht="15.75" customHeight="1">
      <c r="A56" s="128"/>
      <c r="B56" s="130" t="s">
        <v>197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5"/>
      <c r="BZ56" s="5"/>
      <c r="CA56" s="5"/>
      <c r="CB56" s="5"/>
      <c r="CC56" s="5"/>
      <c r="CD56" s="5"/>
      <c r="CE56" s="5"/>
    </row>
    <row r="57" ht="15.75" customHeight="1">
      <c r="A57" s="134" t="s">
        <v>198</v>
      </c>
      <c r="B57" s="133" t="s">
        <v>199</v>
      </c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9"/>
      <c r="BZ57" s="89"/>
      <c r="CA57" s="89"/>
      <c r="CB57" s="89"/>
      <c r="CC57" s="89"/>
      <c r="CD57" s="89"/>
      <c r="CE57" s="89"/>
    </row>
    <row r="58" ht="15.75" customHeight="1">
      <c r="A58" s="128"/>
      <c r="B58" s="133" t="s">
        <v>200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9"/>
      <c r="BZ58" s="89"/>
      <c r="CA58" s="89"/>
      <c r="CB58" s="89"/>
      <c r="CC58" s="89"/>
      <c r="CD58" s="89"/>
      <c r="CE58" s="89"/>
    </row>
    <row r="59" ht="15.75" customHeight="1">
      <c r="A59" s="131" t="s">
        <v>201</v>
      </c>
      <c r="B59" s="130" t="s">
        <v>202</v>
      </c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5"/>
      <c r="BZ59" s="5"/>
      <c r="CA59" s="5"/>
      <c r="CB59" s="5"/>
      <c r="CC59" s="5"/>
      <c r="CD59" s="5"/>
      <c r="CE59" s="5"/>
    </row>
    <row r="60" ht="15.75" customHeight="1">
      <c r="A60" s="83" t="s">
        <v>203</v>
      </c>
      <c r="B60" s="133" t="s">
        <v>204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9"/>
      <c r="BZ60" s="89"/>
      <c r="CA60" s="89"/>
      <c r="CB60" s="89"/>
      <c r="CC60" s="89"/>
      <c r="CD60" s="89"/>
      <c r="CE60" s="89"/>
    </row>
    <row r="61" ht="15.75" customHeight="1">
      <c r="A61" s="131" t="s">
        <v>205</v>
      </c>
      <c r="B61" s="135" t="s">
        <v>206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5"/>
      <c r="BZ61" s="5"/>
      <c r="CA61" s="5"/>
      <c r="CB61" s="5"/>
      <c r="CC61" s="5"/>
      <c r="CD61" s="5"/>
      <c r="CE61" s="5"/>
    </row>
    <row r="62" ht="15.75" customHeight="1">
      <c r="A62" s="136" t="s">
        <v>207</v>
      </c>
      <c r="B62" s="137" t="s">
        <v>208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136"/>
      <c r="BW62" s="138"/>
      <c r="BX62" s="138"/>
      <c r="BY62" s="5"/>
      <c r="BZ62" s="5"/>
      <c r="CA62" s="5"/>
      <c r="CB62" s="5"/>
      <c r="CC62" s="5"/>
      <c r="CD62" s="5"/>
      <c r="CE62" s="5"/>
    </row>
    <row r="63" ht="15.75" customHeight="1">
      <c r="A63" s="139" t="s">
        <v>209</v>
      </c>
      <c r="B63" s="140" t="s">
        <v>210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141"/>
      <c r="BY63" s="5"/>
      <c r="BZ63" s="5"/>
      <c r="CA63" s="5"/>
      <c r="CB63" s="5"/>
      <c r="CC63" s="5"/>
      <c r="CD63" s="5"/>
      <c r="CE63" s="5"/>
    </row>
    <row r="64" ht="15.75" customHeight="1">
      <c r="A64" s="139" t="s">
        <v>211</v>
      </c>
      <c r="B64" s="140" t="s">
        <v>212</v>
      </c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141"/>
      <c r="BY64" s="5"/>
      <c r="BZ64" s="5"/>
      <c r="CA64" s="5"/>
      <c r="CB64" s="5"/>
      <c r="CC64" s="5"/>
      <c r="CD64" s="5"/>
      <c r="CE64" s="5"/>
    </row>
    <row r="65" ht="15.75" customHeight="1">
      <c r="A65" s="142" t="s">
        <v>211</v>
      </c>
      <c r="B65" s="143" t="s">
        <v>213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141"/>
      <c r="BX65" s="141"/>
      <c r="BY65" s="5"/>
      <c r="BZ65" s="5"/>
      <c r="CA65" s="5"/>
      <c r="CB65" s="5"/>
      <c r="CC65" s="5"/>
      <c r="CD65" s="5"/>
      <c r="CE65" s="5"/>
    </row>
    <row r="66" ht="15.75" customHeight="1">
      <c r="A66" s="142" t="s">
        <v>214</v>
      </c>
      <c r="B66" s="143" t="s">
        <v>215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141"/>
      <c r="BX66" s="141"/>
      <c r="BY66" s="5"/>
      <c r="BZ66" s="5"/>
      <c r="CA66" s="5"/>
      <c r="CB66" s="5"/>
      <c r="CC66" s="5"/>
      <c r="CD66" s="5"/>
      <c r="CE66" s="5"/>
    </row>
    <row r="67" ht="15.75" customHeight="1">
      <c r="A67" s="138" t="s">
        <v>216</v>
      </c>
      <c r="B67" s="144" t="s">
        <v>217</v>
      </c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5"/>
      <c r="BZ67" s="5"/>
      <c r="CA67" s="5"/>
      <c r="CB67" s="5"/>
      <c r="CC67" s="5"/>
      <c r="CD67" s="5"/>
      <c r="CE67" s="5"/>
    </row>
    <row r="68" ht="15.75" customHeight="1">
      <c r="A68" s="145" t="s">
        <v>218</v>
      </c>
      <c r="B68" s="146" t="s">
        <v>219</v>
      </c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5"/>
      <c r="BZ68" s="5"/>
      <c r="CA68" s="5"/>
      <c r="CB68" s="5"/>
      <c r="CC68" s="5"/>
      <c r="CD68" s="5"/>
      <c r="CE68" s="5"/>
    </row>
    <row r="69" ht="15.75" customHeight="1">
      <c r="A69" s="139" t="s">
        <v>220</v>
      </c>
      <c r="B69" s="140" t="s">
        <v>221</v>
      </c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141"/>
      <c r="BY69" s="5"/>
      <c r="BZ69" s="5"/>
      <c r="CA69" s="5"/>
      <c r="CB69" s="5"/>
      <c r="CC69" s="5"/>
      <c r="CD69" s="5"/>
      <c r="CE69" s="5"/>
    </row>
    <row r="70" ht="15.75" customHeight="1">
      <c r="A70" s="142" t="s">
        <v>222</v>
      </c>
      <c r="B70" s="143" t="s">
        <v>223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141"/>
      <c r="BX70" s="141"/>
      <c r="BY70" s="5"/>
      <c r="BZ70" s="5"/>
      <c r="CA70" s="5"/>
      <c r="CB70" s="5"/>
      <c r="CC70" s="5"/>
      <c r="CD70" s="5"/>
      <c r="CE70" s="5"/>
    </row>
    <row r="71" ht="15.75" customHeight="1">
      <c r="A71" s="138" t="s">
        <v>224</v>
      </c>
      <c r="B71" s="144" t="s">
        <v>225</v>
      </c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5"/>
      <c r="BZ71" s="5"/>
      <c r="CA71" s="5"/>
      <c r="CB71" s="5"/>
      <c r="CC71" s="5"/>
      <c r="CD71" s="5"/>
      <c r="CE71" s="5"/>
    </row>
    <row r="72" ht="15.75" customHeight="1">
      <c r="A72" s="139" t="s">
        <v>226</v>
      </c>
      <c r="B72" s="140" t="s">
        <v>227</v>
      </c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141"/>
      <c r="BY72" s="5"/>
      <c r="BZ72" s="5"/>
      <c r="CA72" s="5"/>
      <c r="CB72" s="5"/>
      <c r="CC72" s="5"/>
      <c r="CD72" s="5"/>
      <c r="CE72" s="5"/>
    </row>
    <row r="73" ht="15.75" customHeight="1">
      <c r="A73" s="139" t="s">
        <v>228</v>
      </c>
      <c r="B73" s="140" t="s">
        <v>229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141"/>
      <c r="BY73" s="5"/>
      <c r="BZ73" s="5"/>
      <c r="CA73" s="5"/>
      <c r="CB73" s="5"/>
      <c r="CC73" s="5"/>
      <c r="CD73" s="5"/>
      <c r="CE73" s="5"/>
    </row>
    <row r="74" ht="15.75" customHeight="1">
      <c r="A74" s="138" t="s">
        <v>230</v>
      </c>
      <c r="B74" s="144" t="s">
        <v>231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5"/>
      <c r="BZ74" s="5"/>
      <c r="CA74" s="5"/>
      <c r="CB74" s="5"/>
      <c r="CC74" s="5"/>
      <c r="CD74" s="5"/>
      <c r="CE74" s="5"/>
    </row>
    <row r="75" ht="15.75" customHeight="1">
      <c r="A75" s="139" t="s">
        <v>220</v>
      </c>
      <c r="B75" s="140" t="s">
        <v>232</v>
      </c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141"/>
      <c r="BY75" s="5"/>
      <c r="BZ75" s="5"/>
      <c r="CA75" s="5"/>
      <c r="CB75" s="5"/>
      <c r="CC75" s="5"/>
      <c r="CD75" s="5"/>
      <c r="CE75" s="5"/>
    </row>
    <row r="76" ht="15.75" customHeight="1">
      <c r="A76" s="142" t="s">
        <v>233</v>
      </c>
      <c r="B76" s="143" t="s">
        <v>234</v>
      </c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141"/>
      <c r="BX76" s="141"/>
      <c r="BY76" s="5"/>
      <c r="BZ76" s="5"/>
      <c r="CA76" s="5"/>
      <c r="CB76" s="5"/>
      <c r="CC76" s="5"/>
      <c r="CD76" s="5"/>
      <c r="CE76" s="5"/>
    </row>
    <row r="77" ht="15.75" customHeight="1">
      <c r="A77" s="139" t="s">
        <v>233</v>
      </c>
      <c r="B77" s="140" t="s">
        <v>232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141"/>
      <c r="BY77" s="5"/>
      <c r="BZ77" s="5"/>
      <c r="CA77" s="5"/>
      <c r="CB77" s="5"/>
      <c r="CC77" s="5"/>
      <c r="CD77" s="5"/>
      <c r="CE77" s="5"/>
    </row>
    <row r="78" ht="15.75" customHeight="1">
      <c r="A78" s="138" t="s">
        <v>233</v>
      </c>
      <c r="B78" s="144" t="s">
        <v>235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5"/>
      <c r="BZ78" s="5"/>
      <c r="CA78" s="5"/>
      <c r="CB78" s="5"/>
      <c r="CC78" s="5"/>
      <c r="CD78" s="5"/>
      <c r="CE78" s="5"/>
    </row>
    <row r="79" ht="15.75" customHeight="1">
      <c r="A79" s="139" t="s">
        <v>236</v>
      </c>
      <c r="B79" s="140" t="s">
        <v>237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141"/>
      <c r="BY79" s="5"/>
      <c r="BZ79" s="5"/>
      <c r="CA79" s="5"/>
      <c r="CB79" s="5"/>
      <c r="CC79" s="5"/>
      <c r="CD79" s="5"/>
      <c r="CE79" s="5"/>
    </row>
    <row r="80" ht="15.75" customHeight="1">
      <c r="A80" s="139" t="s">
        <v>238</v>
      </c>
      <c r="B80" s="140" t="s">
        <v>239</v>
      </c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147"/>
      <c r="BX80" s="147"/>
      <c r="BY80" s="5"/>
      <c r="BZ80" s="5"/>
      <c r="CA80" s="5"/>
      <c r="CB80" s="5"/>
      <c r="CC80" s="5"/>
      <c r="CD80" s="5"/>
      <c r="CE80" s="5"/>
    </row>
    <row r="81" ht="15.75" customHeight="1">
      <c r="A81" s="139" t="s">
        <v>240</v>
      </c>
      <c r="B81" s="140" t="s">
        <v>232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141"/>
      <c r="BY81" s="5"/>
      <c r="BZ81" s="5"/>
      <c r="CA81" s="5"/>
      <c r="CB81" s="5"/>
      <c r="CC81" s="5"/>
      <c r="CD81" s="5"/>
      <c r="CE81" s="5"/>
    </row>
    <row r="82" ht="15.75" customHeight="1">
      <c r="A82" s="139" t="s">
        <v>241</v>
      </c>
      <c r="B82" s="140" t="s">
        <v>242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5"/>
      <c r="BZ82" s="5"/>
      <c r="CA82" s="5"/>
      <c r="CB82" s="5"/>
      <c r="CC82" s="5"/>
      <c r="CD82" s="5"/>
      <c r="CE82" s="5"/>
    </row>
    <row r="83" ht="15.75" customHeight="1">
      <c r="A83" s="139" t="s">
        <v>243</v>
      </c>
      <c r="B83" s="140" t="s">
        <v>244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147"/>
      <c r="BX83" s="147"/>
      <c r="BY83" s="5"/>
      <c r="BZ83" s="5"/>
      <c r="CA83" s="5"/>
      <c r="CB83" s="5"/>
      <c r="CC83" s="5"/>
      <c r="CD83" s="5"/>
      <c r="CE83" s="5"/>
    </row>
    <row r="84" ht="15.75" customHeight="1">
      <c r="A84" s="142" t="s">
        <v>243</v>
      </c>
      <c r="B84" s="143" t="s">
        <v>245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141"/>
      <c r="BX84" s="141"/>
      <c r="BY84" s="5"/>
      <c r="BZ84" s="5"/>
      <c r="CA84" s="5"/>
      <c r="CB84" s="5"/>
      <c r="CC84" s="5"/>
      <c r="CD84" s="5"/>
      <c r="CE84" s="5"/>
    </row>
    <row r="85" ht="15.75" customHeight="1">
      <c r="A85" s="139" t="s">
        <v>246</v>
      </c>
      <c r="B85" s="140" t="s">
        <v>247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141"/>
      <c r="BY85" s="5"/>
      <c r="BZ85" s="5"/>
      <c r="CA85" s="5"/>
      <c r="CB85" s="5"/>
      <c r="CC85" s="5"/>
      <c r="CD85" s="5"/>
      <c r="CE85" s="5"/>
    </row>
    <row r="86" ht="15.75" customHeight="1">
      <c r="A86" s="142" t="s">
        <v>246</v>
      </c>
      <c r="B86" s="143" t="s">
        <v>248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141"/>
      <c r="BX86" s="141"/>
      <c r="BY86" s="5"/>
      <c r="BZ86" s="5"/>
      <c r="CA86" s="5"/>
      <c r="CB86" s="5"/>
      <c r="CC86" s="5"/>
      <c r="CD86" s="5"/>
      <c r="CE86" s="5"/>
    </row>
    <row r="87" ht="15.75" customHeight="1">
      <c r="A87" s="139" t="s">
        <v>249</v>
      </c>
      <c r="B87" s="140" t="s">
        <v>250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147"/>
      <c r="BX87" s="147"/>
      <c r="BY87" s="5"/>
      <c r="BZ87" s="5"/>
      <c r="CA87" s="5"/>
      <c r="CB87" s="5"/>
      <c r="CC87" s="5"/>
      <c r="CD87" s="5"/>
      <c r="CE87" s="5"/>
    </row>
    <row r="88" ht="15.75" customHeight="1">
      <c r="A88" s="142" t="s">
        <v>251</v>
      </c>
      <c r="B88" s="143" t="s">
        <v>252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141"/>
      <c r="BX88" s="141"/>
      <c r="BY88" s="5"/>
      <c r="BZ88" s="5"/>
      <c r="CA88" s="5"/>
      <c r="CB88" s="5"/>
      <c r="CC88" s="5"/>
      <c r="CD88" s="5"/>
      <c r="CE88" s="5"/>
    </row>
    <row r="89" ht="15.75" customHeight="1">
      <c r="A89" s="142" t="s">
        <v>251</v>
      </c>
      <c r="B89" s="143" t="s">
        <v>253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141"/>
      <c r="BX89" s="141"/>
      <c r="BY89" s="5"/>
      <c r="BZ89" s="5"/>
      <c r="CA89" s="5"/>
      <c r="CB89" s="5"/>
      <c r="CC89" s="5"/>
      <c r="CD89" s="5"/>
      <c r="CE89" s="5"/>
    </row>
    <row r="90" ht="15.75" customHeight="1">
      <c r="A90" s="139" t="s">
        <v>254</v>
      </c>
      <c r="B90" s="140" t="s">
        <v>232</v>
      </c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141"/>
      <c r="BY90" s="5"/>
      <c r="BZ90" s="5"/>
      <c r="CA90" s="5"/>
      <c r="CB90" s="5"/>
      <c r="CC90" s="5"/>
      <c r="CD90" s="5"/>
      <c r="CE90" s="5"/>
    </row>
    <row r="91" ht="15.75" customHeight="1">
      <c r="A91" s="139" t="s">
        <v>255</v>
      </c>
      <c r="B91" s="140" t="s">
        <v>256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141"/>
      <c r="BY91" s="5"/>
      <c r="BZ91" s="5"/>
      <c r="CA91" s="5"/>
      <c r="CB91" s="5"/>
      <c r="CC91" s="5"/>
      <c r="CD91" s="5"/>
      <c r="CE91" s="5"/>
    </row>
    <row r="92" ht="15.75" customHeight="1">
      <c r="A92" s="142" t="s">
        <v>257</v>
      </c>
      <c r="B92" s="143" t="s">
        <v>258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141"/>
      <c r="BX92" s="141"/>
      <c r="BY92" s="5"/>
      <c r="BZ92" s="5"/>
      <c r="CA92" s="5"/>
      <c r="CB92" s="5"/>
      <c r="CC92" s="5"/>
      <c r="CD92" s="5"/>
      <c r="CE92" s="5"/>
    </row>
    <row r="93" ht="15.75" customHeight="1">
      <c r="A93" s="139" t="s">
        <v>259</v>
      </c>
      <c r="B93" s="140" t="s">
        <v>237</v>
      </c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5"/>
      <c r="BZ93" s="5"/>
      <c r="CA93" s="5"/>
      <c r="CB93" s="5"/>
      <c r="CC93" s="5"/>
      <c r="CD93" s="5"/>
      <c r="CE93" s="5"/>
    </row>
    <row r="94" ht="15.75" customHeight="1">
      <c r="A94" s="148" t="s">
        <v>260</v>
      </c>
      <c r="B94" s="149" t="s">
        <v>261</v>
      </c>
      <c r="C94" s="150"/>
      <c r="D94" s="150"/>
      <c r="E94" s="150"/>
      <c r="F94" s="150"/>
      <c r="G94" s="150"/>
      <c r="H94" s="150"/>
      <c r="I94" s="150"/>
      <c r="J94" s="150"/>
      <c r="K94" s="150"/>
      <c r="L94" s="150"/>
      <c r="M94" s="150"/>
      <c r="N94" s="150"/>
      <c r="O94" s="150"/>
      <c r="P94" s="150"/>
      <c r="Q94" s="150"/>
      <c r="R94" s="150"/>
      <c r="S94" s="150"/>
      <c r="T94" s="150"/>
      <c r="U94" s="150"/>
      <c r="V94" s="150"/>
      <c r="W94" s="150"/>
      <c r="X94" s="150"/>
      <c r="Y94" s="150"/>
      <c r="Z94" s="150"/>
      <c r="AA94" s="150"/>
      <c r="AB94" s="150"/>
      <c r="AC94" s="150"/>
      <c r="AD94" s="150"/>
      <c r="AE94" s="150"/>
      <c r="AF94" s="150"/>
      <c r="AG94" s="150"/>
      <c r="AH94" s="150"/>
      <c r="AI94" s="150"/>
      <c r="AJ94" s="150"/>
      <c r="AK94" s="150"/>
      <c r="AL94" s="150"/>
      <c r="AM94" s="150"/>
      <c r="AN94" s="150"/>
      <c r="AO94" s="150"/>
      <c r="AP94" s="150"/>
      <c r="AQ94" s="150"/>
      <c r="AR94" s="150"/>
      <c r="AS94" s="150"/>
      <c r="AT94" s="150"/>
      <c r="AU94" s="150"/>
      <c r="AV94" s="150"/>
      <c r="AW94" s="150"/>
      <c r="AX94" s="150"/>
      <c r="AY94" s="150"/>
      <c r="AZ94" s="150"/>
      <c r="BA94" s="150"/>
      <c r="BB94" s="150"/>
      <c r="BC94" s="150"/>
      <c r="BD94" s="150"/>
      <c r="BE94" s="150"/>
      <c r="BF94" s="150"/>
      <c r="BG94" s="150"/>
      <c r="BH94" s="150"/>
      <c r="BI94" s="150"/>
      <c r="BJ94" s="150"/>
      <c r="BK94" s="150"/>
      <c r="BL94" s="150"/>
      <c r="BM94" s="150"/>
      <c r="BN94" s="150"/>
      <c r="BO94" s="150"/>
      <c r="BP94" s="150"/>
      <c r="BQ94" s="150"/>
      <c r="BR94" s="150"/>
      <c r="BS94" s="150"/>
      <c r="BT94" s="150"/>
      <c r="BU94" s="150"/>
      <c r="BV94" s="150"/>
      <c r="BW94" s="150"/>
      <c r="BX94" s="150"/>
      <c r="BY94" s="5"/>
      <c r="BZ94" s="5"/>
      <c r="CA94" s="5"/>
      <c r="CB94" s="5"/>
      <c r="CC94" s="5"/>
      <c r="CD94" s="5"/>
      <c r="CE94" s="5"/>
    </row>
    <row r="95" ht="15.75" customHeight="1">
      <c r="A95" s="128"/>
      <c r="B95" s="151"/>
      <c r="BY95" s="5"/>
      <c r="BZ95" s="5"/>
      <c r="CA95" s="5"/>
      <c r="CB95" s="5"/>
      <c r="CC95" s="5"/>
      <c r="CD95" s="5"/>
      <c r="CE95" s="5"/>
    </row>
    <row r="96" ht="15.75" customHeight="1">
      <c r="A96" s="139" t="s">
        <v>262</v>
      </c>
      <c r="B96" s="140" t="s">
        <v>263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141"/>
      <c r="BY96" s="5"/>
      <c r="BZ96" s="5"/>
      <c r="CA96" s="5"/>
      <c r="CB96" s="5"/>
      <c r="CC96" s="5"/>
      <c r="CD96" s="5"/>
      <c r="CE96" s="5"/>
    </row>
    <row r="97" ht="15.75" customHeight="1">
      <c r="A97" s="139" t="s">
        <v>264</v>
      </c>
      <c r="B97" s="140" t="s">
        <v>265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141"/>
      <c r="BY97" s="5"/>
      <c r="BZ97" s="5"/>
      <c r="CA97" s="5"/>
      <c r="CB97" s="5"/>
      <c r="CC97" s="5"/>
      <c r="CD97" s="5"/>
      <c r="CE97" s="5"/>
    </row>
    <row r="98" ht="15.75" customHeight="1">
      <c r="A98" s="139" t="s">
        <v>266</v>
      </c>
      <c r="B98" s="140" t="s">
        <v>267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5"/>
      <c r="BZ98" s="5"/>
      <c r="CA98" s="5"/>
      <c r="CB98" s="5"/>
      <c r="CC98" s="5"/>
      <c r="CD98" s="5"/>
      <c r="CE98" s="5"/>
    </row>
    <row r="99" ht="15.75" customHeight="1">
      <c r="A99" s="139" t="s">
        <v>268</v>
      </c>
      <c r="B99" s="140" t="s">
        <v>269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147"/>
      <c r="BX99" s="147"/>
      <c r="BY99" s="5"/>
      <c r="BZ99" s="5"/>
      <c r="CA99" s="5"/>
      <c r="CB99" s="5"/>
      <c r="CC99" s="5"/>
      <c r="CD99" s="5"/>
      <c r="CE99" s="5"/>
    </row>
    <row r="100" ht="15.75" customHeight="1">
      <c r="A100" s="139" t="s">
        <v>270</v>
      </c>
      <c r="B100" s="140" t="s">
        <v>271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141"/>
      <c r="BX100" s="141"/>
      <c r="BY100" s="5"/>
      <c r="BZ100" s="5"/>
      <c r="CA100" s="5"/>
      <c r="CB100" s="5"/>
      <c r="CC100" s="5"/>
      <c r="CD100" s="5"/>
      <c r="CE100" s="5"/>
    </row>
    <row r="101" ht="15.75" customHeight="1">
      <c r="A101" s="152" t="s">
        <v>272</v>
      </c>
      <c r="B101" s="140" t="s">
        <v>273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5"/>
      <c r="BZ101" s="5"/>
      <c r="CA101" s="5"/>
      <c r="CB101" s="5"/>
      <c r="CC101" s="5"/>
      <c r="CD101" s="5"/>
      <c r="CE101" s="5"/>
    </row>
    <row r="102" ht="15.75" customHeight="1">
      <c r="A102" s="128"/>
      <c r="B102" s="140" t="s">
        <v>274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141"/>
      <c r="BY102" s="5"/>
      <c r="BZ102" s="5"/>
      <c r="CA102" s="5"/>
      <c r="CB102" s="5"/>
      <c r="CC102" s="5"/>
      <c r="CD102" s="5"/>
      <c r="CE102" s="5"/>
    </row>
    <row r="103" ht="15.75" customHeight="1">
      <c r="A103" s="128"/>
      <c r="B103" s="140" t="s">
        <v>275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141"/>
      <c r="BY103" s="5"/>
      <c r="BZ103" s="5"/>
      <c r="CA103" s="5"/>
      <c r="CB103" s="5"/>
      <c r="CC103" s="5"/>
      <c r="CD103" s="5"/>
      <c r="CE103" s="5"/>
    </row>
    <row r="104" ht="15.75" customHeight="1">
      <c r="A104" s="139" t="s">
        <v>276</v>
      </c>
      <c r="B104" s="140" t="s">
        <v>277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141"/>
      <c r="BY104" s="5"/>
      <c r="BZ104" s="5"/>
      <c r="CA104" s="5"/>
      <c r="CB104" s="5"/>
      <c r="CC104" s="5"/>
      <c r="CD104" s="5"/>
      <c r="CE104" s="5"/>
    </row>
    <row r="105" ht="15.75" customHeight="1">
      <c r="A105" s="152" t="s">
        <v>278</v>
      </c>
      <c r="B105" s="140" t="s">
        <v>279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141"/>
      <c r="BY105" s="5"/>
      <c r="BZ105" s="5"/>
      <c r="CA105" s="5"/>
      <c r="CB105" s="5"/>
      <c r="CC105" s="5"/>
      <c r="CD105" s="5"/>
      <c r="CE105" s="5"/>
    </row>
    <row r="106" ht="15.75" customHeight="1">
      <c r="A106" s="128"/>
      <c r="B106" s="140" t="s">
        <v>280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141"/>
      <c r="BY106" s="5"/>
      <c r="BZ106" s="5"/>
      <c r="CA106" s="5"/>
      <c r="CB106" s="5"/>
      <c r="CC106" s="5"/>
      <c r="CD106" s="5"/>
      <c r="CE106" s="5"/>
    </row>
    <row r="107" ht="15.75" customHeight="1">
      <c r="A107" s="139" t="s">
        <v>281</v>
      </c>
      <c r="B107" s="140" t="s">
        <v>282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5"/>
      <c r="BZ107" s="5"/>
      <c r="CA107" s="5"/>
      <c r="CB107" s="5"/>
      <c r="CC107" s="5"/>
      <c r="CD107" s="5"/>
      <c r="CE107" s="5"/>
    </row>
    <row r="108" ht="15.75" customHeight="1">
      <c r="A108" s="139" t="s">
        <v>283</v>
      </c>
      <c r="B108" s="140" t="s">
        <v>284</v>
      </c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147"/>
      <c r="BX108" s="147"/>
      <c r="BY108" s="5"/>
      <c r="BZ108" s="5"/>
      <c r="CA108" s="5"/>
      <c r="CB108" s="5"/>
      <c r="CC108" s="5"/>
      <c r="CD108" s="5"/>
      <c r="CE108" s="5"/>
    </row>
    <row r="109" ht="15.75" customHeight="1">
      <c r="A109" s="142" t="s">
        <v>283</v>
      </c>
      <c r="B109" s="143" t="s">
        <v>285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5"/>
      <c r="BZ109" s="5"/>
      <c r="CA109" s="5"/>
      <c r="CB109" s="5"/>
      <c r="CC109" s="5"/>
      <c r="CD109" s="5"/>
      <c r="CE109" s="5"/>
    </row>
    <row r="110" ht="15.75" customHeight="1">
      <c r="A110" s="142" t="s">
        <v>286</v>
      </c>
      <c r="B110" s="137" t="s">
        <v>287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153"/>
      <c r="BW110" s="147"/>
      <c r="BX110" s="147"/>
      <c r="BY110" s="5"/>
      <c r="BZ110" s="5"/>
      <c r="CA110" s="5"/>
      <c r="CB110" s="5"/>
      <c r="CC110" s="5"/>
      <c r="CD110" s="5"/>
      <c r="CE110" s="5"/>
    </row>
    <row r="111" ht="15.75" customHeight="1">
      <c r="A111" s="138" t="s">
        <v>288</v>
      </c>
      <c r="B111" s="144" t="s">
        <v>289</v>
      </c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5"/>
      <c r="BZ111" s="5"/>
      <c r="CA111" s="5"/>
      <c r="CB111" s="5"/>
      <c r="CC111" s="5"/>
      <c r="CD111" s="5"/>
      <c r="CE111" s="5"/>
    </row>
    <row r="112" ht="15.75" customHeight="1">
      <c r="A112" s="139" t="s">
        <v>290</v>
      </c>
      <c r="B112" s="140" t="s">
        <v>284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147"/>
      <c r="BX112" s="147"/>
      <c r="BY112" s="5"/>
      <c r="BZ112" s="5"/>
      <c r="CA112" s="5"/>
      <c r="CB112" s="5"/>
      <c r="CC112" s="5"/>
      <c r="CD112" s="5"/>
      <c r="CE112" s="5"/>
    </row>
    <row r="113" ht="15.75" customHeight="1">
      <c r="A113" s="148" t="s">
        <v>291</v>
      </c>
      <c r="B113" s="149" t="s">
        <v>292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  <c r="M113" s="150"/>
      <c r="N113" s="150"/>
      <c r="O113" s="150"/>
      <c r="P113" s="150"/>
      <c r="Q113" s="150"/>
      <c r="R113" s="150"/>
      <c r="S113" s="150"/>
      <c r="T113" s="150"/>
      <c r="U113" s="150"/>
      <c r="V113" s="150"/>
      <c r="W113" s="150"/>
      <c r="X113" s="150"/>
      <c r="Y113" s="150"/>
      <c r="Z113" s="150"/>
      <c r="AA113" s="150"/>
      <c r="AB113" s="150"/>
      <c r="AC113" s="150"/>
      <c r="AD113" s="150"/>
      <c r="AE113" s="150"/>
      <c r="AF113" s="150"/>
      <c r="AG113" s="150"/>
      <c r="AH113" s="150"/>
      <c r="AI113" s="150"/>
      <c r="AJ113" s="150"/>
      <c r="AK113" s="150"/>
      <c r="AL113" s="150"/>
      <c r="AM113" s="150"/>
      <c r="AN113" s="150"/>
      <c r="AO113" s="150"/>
      <c r="AP113" s="150"/>
      <c r="AQ113" s="150"/>
      <c r="AR113" s="150"/>
      <c r="AS113" s="150"/>
      <c r="AT113" s="150"/>
      <c r="AU113" s="150"/>
      <c r="AV113" s="150"/>
      <c r="AW113" s="150"/>
      <c r="AX113" s="150"/>
      <c r="AY113" s="150"/>
      <c r="AZ113" s="150"/>
      <c r="BA113" s="150"/>
      <c r="BB113" s="150"/>
      <c r="BC113" s="150"/>
      <c r="BD113" s="150"/>
      <c r="BE113" s="150"/>
      <c r="BF113" s="150"/>
      <c r="BG113" s="150"/>
      <c r="BH113" s="150"/>
      <c r="BI113" s="150"/>
      <c r="BJ113" s="150"/>
      <c r="BK113" s="150"/>
      <c r="BL113" s="150"/>
      <c r="BM113" s="150"/>
      <c r="BN113" s="150"/>
      <c r="BO113" s="150"/>
      <c r="BP113" s="150"/>
      <c r="BQ113" s="150"/>
      <c r="BR113" s="150"/>
      <c r="BS113" s="150"/>
      <c r="BT113" s="150"/>
      <c r="BU113" s="150"/>
      <c r="BV113" s="150"/>
      <c r="BW113" s="150"/>
      <c r="BX113" s="150"/>
      <c r="BY113" s="5"/>
      <c r="BZ113" s="5"/>
      <c r="CA113" s="5"/>
      <c r="CB113" s="5"/>
      <c r="CC113" s="5"/>
      <c r="CD113" s="5"/>
      <c r="CE113" s="5"/>
    </row>
    <row r="114" ht="15.75" customHeight="1">
      <c r="A114" s="128"/>
      <c r="B114" s="151"/>
      <c r="BY114" s="5"/>
      <c r="BZ114" s="5"/>
      <c r="CA114" s="5"/>
      <c r="CB114" s="5"/>
      <c r="CC114" s="5"/>
      <c r="CD114" s="5"/>
      <c r="CE114" s="5"/>
    </row>
    <row r="115" ht="15.75" customHeight="1">
      <c r="A115" s="138" t="s">
        <v>293</v>
      </c>
      <c r="B115" s="144" t="s">
        <v>294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5"/>
      <c r="BZ115" s="5"/>
      <c r="CA115" s="5"/>
      <c r="CB115" s="5"/>
      <c r="CC115" s="5"/>
      <c r="CD115" s="5"/>
      <c r="CE115" s="5"/>
    </row>
    <row r="116" ht="15.75" customHeight="1">
      <c r="A116" s="142" t="s">
        <v>295</v>
      </c>
      <c r="B116" s="143" t="s">
        <v>296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5"/>
      <c r="BZ116" s="5"/>
      <c r="CA116" s="5"/>
      <c r="CB116" s="5"/>
      <c r="CC116" s="5"/>
      <c r="CD116" s="5"/>
      <c r="CE116" s="5"/>
    </row>
    <row r="117" ht="15.75" customHeight="1">
      <c r="A117" s="138" t="s">
        <v>297</v>
      </c>
      <c r="B117" s="144" t="s">
        <v>298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5"/>
      <c r="BZ117" s="5"/>
      <c r="CA117" s="5"/>
      <c r="CB117" s="5"/>
      <c r="CC117" s="5"/>
      <c r="CD117" s="5"/>
      <c r="CE117" s="5"/>
    </row>
    <row r="118" ht="15.75" customHeight="1">
      <c r="A118" s="139" t="s">
        <v>299</v>
      </c>
      <c r="B118" s="140" t="s">
        <v>300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147"/>
      <c r="BX118" s="147"/>
      <c r="BY118" s="5"/>
      <c r="BZ118" s="5"/>
      <c r="CA118" s="5"/>
      <c r="CB118" s="5"/>
      <c r="CC118" s="5"/>
      <c r="CD118" s="5"/>
      <c r="CE118" s="5"/>
    </row>
    <row r="119" ht="15.75" customHeight="1">
      <c r="A119" s="138" t="s">
        <v>301</v>
      </c>
      <c r="B119" s="144" t="s">
        <v>302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5"/>
      <c r="BZ119" s="5"/>
      <c r="CA119" s="5"/>
      <c r="CB119" s="5"/>
      <c r="CC119" s="5"/>
      <c r="CD119" s="5"/>
      <c r="CE119" s="5"/>
    </row>
    <row r="120" ht="15.75" customHeight="1">
      <c r="A120" s="142" t="s">
        <v>303</v>
      </c>
      <c r="B120" s="137" t="s">
        <v>304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153"/>
      <c r="BW120" s="153"/>
      <c r="BX120" s="153"/>
      <c r="BY120" s="5"/>
      <c r="BZ120" s="5"/>
      <c r="CA120" s="5"/>
      <c r="CB120" s="5"/>
      <c r="CC120" s="5"/>
      <c r="CD120" s="5"/>
      <c r="CE120" s="5"/>
    </row>
    <row r="121" ht="15.75" customHeight="1">
      <c r="A121" s="142" t="s">
        <v>305</v>
      </c>
      <c r="B121" s="143" t="s">
        <v>306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5"/>
      <c r="BZ121" s="5"/>
      <c r="CA121" s="5"/>
      <c r="CB121" s="5"/>
      <c r="CC121" s="5"/>
      <c r="CD121" s="5"/>
      <c r="CE121" s="5"/>
    </row>
    <row r="122" ht="15.75" customHeight="1">
      <c r="A122" s="142" t="s">
        <v>307</v>
      </c>
      <c r="B122" s="137" t="s">
        <v>308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153"/>
      <c r="BW122" s="147"/>
      <c r="BX122" s="147"/>
      <c r="BY122" s="5"/>
      <c r="BZ122" s="5"/>
      <c r="CA122" s="5"/>
      <c r="CB122" s="5"/>
      <c r="CC122" s="5"/>
      <c r="CD122" s="5"/>
      <c r="CE122" s="5"/>
    </row>
    <row r="123" ht="15.75" customHeight="1">
      <c r="A123" s="142" t="s">
        <v>309</v>
      </c>
      <c r="B123" s="143" t="s">
        <v>310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147"/>
      <c r="BX123" s="147"/>
      <c r="BY123" s="5"/>
      <c r="BZ123" s="5"/>
      <c r="CA123" s="5"/>
      <c r="CB123" s="5"/>
      <c r="CC123" s="5"/>
      <c r="CD123" s="5"/>
      <c r="CE123" s="5"/>
    </row>
    <row r="124" ht="15.75" customHeight="1">
      <c r="A124" s="142" t="s">
        <v>311</v>
      </c>
      <c r="B124" s="143" t="s">
        <v>312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147"/>
      <c r="BX124" s="147"/>
      <c r="BY124" s="5"/>
      <c r="BZ124" s="5"/>
      <c r="CA124" s="5"/>
      <c r="CB124" s="5"/>
      <c r="CC124" s="5"/>
      <c r="CD124" s="5"/>
      <c r="CE124" s="5"/>
    </row>
    <row r="125" ht="15.75" customHeight="1">
      <c r="A125" s="142" t="s">
        <v>313</v>
      </c>
      <c r="B125" s="143" t="s">
        <v>314</v>
      </c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5"/>
      <c r="BZ125" s="5"/>
      <c r="CA125" s="5"/>
      <c r="CB125" s="5"/>
      <c r="CC125" s="5"/>
      <c r="CD125" s="5"/>
      <c r="CE125" s="5"/>
    </row>
    <row r="126" ht="15.75" customHeight="1">
      <c r="A126" s="154" t="s">
        <v>315</v>
      </c>
      <c r="B126" s="143" t="s">
        <v>316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5"/>
      <c r="BZ126" s="5"/>
      <c r="CA126" s="5"/>
      <c r="CB126" s="5"/>
      <c r="CC126" s="5"/>
      <c r="CD126" s="5"/>
      <c r="CE126" s="5"/>
    </row>
    <row r="127" ht="15.75" customHeight="1">
      <c r="A127" s="128"/>
      <c r="B127" s="143" t="s">
        <v>317</v>
      </c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147"/>
      <c r="BX127" s="147"/>
      <c r="BY127" s="5"/>
      <c r="BZ127" s="5"/>
      <c r="CA127" s="5"/>
      <c r="CB127" s="5"/>
      <c r="CC127" s="5"/>
      <c r="CD127" s="5"/>
      <c r="CE127" s="5"/>
    </row>
    <row r="128" ht="15.75" customHeight="1">
      <c r="A128" s="128"/>
      <c r="B128" s="137" t="s">
        <v>318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153"/>
      <c r="BW128" s="147"/>
      <c r="BX128" s="147"/>
      <c r="BY128" s="5"/>
      <c r="BZ128" s="5"/>
      <c r="CA128" s="5"/>
      <c r="CB128" s="5"/>
      <c r="CC128" s="5"/>
      <c r="CD128" s="5"/>
      <c r="CE128" s="5"/>
    </row>
    <row r="129" ht="15.75" customHeight="1">
      <c r="A129" s="142" t="s">
        <v>319</v>
      </c>
      <c r="B129" s="137" t="s">
        <v>320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153"/>
      <c r="BW129" s="147"/>
      <c r="BX129" s="147"/>
      <c r="BY129" s="5"/>
      <c r="BZ129" s="5"/>
      <c r="CA129" s="5"/>
      <c r="CB129" s="5"/>
      <c r="CC129" s="5"/>
      <c r="CD129" s="5"/>
      <c r="CE129" s="5"/>
    </row>
    <row r="130" ht="15.75" customHeight="1">
      <c r="A130" s="138" t="s">
        <v>321</v>
      </c>
      <c r="B130" s="144" t="s">
        <v>322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5"/>
      <c r="BZ130" s="5"/>
      <c r="CA130" s="5"/>
      <c r="CB130" s="5"/>
      <c r="CC130" s="5"/>
      <c r="CD130" s="5"/>
      <c r="CE130" s="5"/>
    </row>
    <row r="131" ht="15.75" customHeight="1">
      <c r="A131" s="138" t="s">
        <v>323</v>
      </c>
      <c r="B131" s="144" t="s">
        <v>324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5"/>
      <c r="BZ131" s="5"/>
      <c r="CA131" s="5"/>
      <c r="CB131" s="5"/>
      <c r="CC131" s="5"/>
      <c r="CD131" s="5"/>
      <c r="CE131" s="5"/>
    </row>
    <row r="132" ht="15.75" customHeight="1">
      <c r="A132" s="138" t="s">
        <v>325</v>
      </c>
      <c r="B132" s="144" t="s">
        <v>326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5"/>
      <c r="BZ132" s="5"/>
      <c r="CA132" s="5"/>
      <c r="CB132" s="5"/>
      <c r="CC132" s="5"/>
      <c r="CD132" s="5"/>
      <c r="CE132" s="5"/>
    </row>
    <row r="133" ht="15.75" customHeight="1">
      <c r="A133" s="138" t="s">
        <v>327</v>
      </c>
      <c r="B133" s="144" t="s">
        <v>328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5"/>
      <c r="BZ133" s="5"/>
      <c r="CA133" s="5"/>
      <c r="CB133" s="5"/>
      <c r="CC133" s="5"/>
      <c r="CD133" s="5"/>
      <c r="CE133" s="5"/>
    </row>
    <row r="134" ht="15.75" customHeight="1">
      <c r="A134" s="139" t="s">
        <v>329</v>
      </c>
      <c r="B134" s="140" t="s">
        <v>330</v>
      </c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5"/>
      <c r="BZ134" s="5"/>
      <c r="CA134" s="5"/>
      <c r="CB134" s="5"/>
      <c r="CC134" s="5"/>
      <c r="CD134" s="5"/>
      <c r="CE134" s="5"/>
    </row>
    <row r="135" ht="15.75" customHeight="1">
      <c r="A135" s="139" t="s">
        <v>331</v>
      </c>
      <c r="B135" s="140" t="s">
        <v>332</v>
      </c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5"/>
      <c r="BZ135" s="5"/>
      <c r="CA135" s="5"/>
      <c r="CB135" s="5"/>
      <c r="CC135" s="5"/>
      <c r="CD135" s="5"/>
      <c r="CE135" s="5"/>
    </row>
    <row r="136" ht="15.75" customHeight="1">
      <c r="A136" s="139" t="s">
        <v>333</v>
      </c>
      <c r="B136" s="140" t="s">
        <v>334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5"/>
      <c r="BZ136" s="5"/>
      <c r="CA136" s="5"/>
      <c r="CB136" s="5"/>
      <c r="CC136" s="5"/>
      <c r="CD136" s="5"/>
      <c r="CE136" s="5"/>
    </row>
    <row r="137" ht="15.75" customHeight="1">
      <c r="A137" s="142" t="s">
        <v>335</v>
      </c>
      <c r="B137" s="143" t="s">
        <v>336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147"/>
      <c r="BX137" s="147"/>
      <c r="BY137" s="5"/>
      <c r="BZ137" s="5"/>
      <c r="CA137" s="5"/>
      <c r="CB137" s="5"/>
      <c r="CC137" s="5"/>
      <c r="CD137" s="5"/>
      <c r="CE137" s="5"/>
    </row>
    <row r="138" ht="15.75" customHeight="1">
      <c r="A138" s="142" t="s">
        <v>337</v>
      </c>
      <c r="B138" s="143" t="s">
        <v>338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5"/>
      <c r="BZ138" s="5"/>
      <c r="CA138" s="5"/>
      <c r="CB138" s="5"/>
      <c r="CC138" s="5"/>
      <c r="CD138" s="5"/>
      <c r="CE138" s="5"/>
    </row>
    <row r="139" ht="15.75" customHeight="1">
      <c r="A139" s="142" t="s">
        <v>339</v>
      </c>
      <c r="B139" s="143" t="s">
        <v>340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5"/>
      <c r="BZ139" s="5"/>
      <c r="CA139" s="5"/>
      <c r="CB139" s="5"/>
      <c r="CC139" s="5"/>
      <c r="CD139" s="5"/>
      <c r="CE139" s="5"/>
    </row>
    <row r="140" ht="15.75" customHeight="1">
      <c r="A140" s="142" t="s">
        <v>341</v>
      </c>
      <c r="B140" s="143" t="s">
        <v>342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147"/>
      <c r="BX140" s="147"/>
      <c r="BY140" s="5"/>
      <c r="BZ140" s="5"/>
      <c r="CA140" s="5"/>
      <c r="CB140" s="5"/>
      <c r="CC140" s="5"/>
      <c r="CD140" s="5"/>
      <c r="CE140" s="5"/>
    </row>
    <row r="141" ht="15.75" customHeight="1">
      <c r="A141" s="138" t="s">
        <v>343</v>
      </c>
      <c r="B141" s="144" t="s">
        <v>344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5"/>
      <c r="BZ141" s="5"/>
      <c r="CA141" s="5"/>
      <c r="CB141" s="5"/>
      <c r="CC141" s="5"/>
      <c r="CD141" s="5"/>
      <c r="CE141" s="5"/>
    </row>
    <row r="142" ht="15.75" customHeight="1">
      <c r="A142" s="142" t="s">
        <v>345</v>
      </c>
      <c r="B142" s="137" t="s">
        <v>346</v>
      </c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153"/>
      <c r="BW142" s="147"/>
      <c r="BX142" s="147"/>
      <c r="BY142" s="5"/>
      <c r="BZ142" s="5"/>
      <c r="CA142" s="5"/>
      <c r="CB142" s="5"/>
      <c r="CC142" s="5"/>
      <c r="CD142" s="5"/>
      <c r="CE142" s="5"/>
    </row>
    <row r="143" ht="15.75" customHeight="1">
      <c r="A143" s="142" t="s">
        <v>347</v>
      </c>
      <c r="B143" s="143" t="s">
        <v>348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147"/>
      <c r="BX143" s="147"/>
      <c r="BY143" s="5"/>
      <c r="BZ143" s="5"/>
      <c r="CA143" s="5"/>
      <c r="CB143" s="5"/>
      <c r="CC143" s="5"/>
      <c r="CD143" s="5"/>
      <c r="CE143" s="5"/>
    </row>
    <row r="144" ht="15.75" customHeight="1">
      <c r="A144" s="142" t="s">
        <v>349</v>
      </c>
      <c r="B144" s="143" t="s">
        <v>350</v>
      </c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5"/>
      <c r="BZ144" s="5"/>
      <c r="CA144" s="5"/>
      <c r="CB144" s="5"/>
      <c r="CC144" s="5"/>
      <c r="CD144" s="5"/>
      <c r="CE144" s="5"/>
    </row>
    <row r="145" ht="15.75" customHeight="1">
      <c r="A145" s="145" t="s">
        <v>351</v>
      </c>
      <c r="B145" s="155" t="s">
        <v>352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</row>
    <row r="146" ht="15.75" customHeight="1">
      <c r="A146" s="142" t="s">
        <v>353</v>
      </c>
      <c r="B146" s="143" t="s">
        <v>354</v>
      </c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5"/>
      <c r="BZ146" s="5"/>
      <c r="CA146" s="5"/>
      <c r="CB146" s="5"/>
      <c r="CC146" s="5"/>
      <c r="CD146" s="5"/>
      <c r="CE146" s="5"/>
    </row>
    <row r="147" ht="15.75" customHeight="1">
      <c r="A147" s="142" t="s">
        <v>355</v>
      </c>
      <c r="B147" s="143" t="s">
        <v>356</v>
      </c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5"/>
      <c r="BZ147" s="5"/>
      <c r="CA147" s="5"/>
      <c r="CB147" s="5"/>
      <c r="CC147" s="5"/>
      <c r="CD147" s="5"/>
      <c r="CE147" s="5"/>
    </row>
    <row r="148" ht="15.75" customHeight="1">
      <c r="A148" s="142" t="s">
        <v>357</v>
      </c>
      <c r="B148" s="143" t="s">
        <v>358</v>
      </c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5"/>
      <c r="BZ148" s="5"/>
      <c r="CA148" s="5"/>
      <c r="CB148" s="5"/>
      <c r="CC148" s="5"/>
      <c r="CD148" s="5"/>
      <c r="CE148" s="5"/>
    </row>
    <row r="149" ht="15.75" customHeight="1">
      <c r="A149" s="142" t="s">
        <v>359</v>
      </c>
      <c r="B149" s="143" t="s">
        <v>232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5"/>
      <c r="BZ149" s="5"/>
      <c r="CA149" s="5"/>
      <c r="CB149" s="5"/>
      <c r="CC149" s="5"/>
      <c r="CD149" s="5"/>
      <c r="CE149" s="5"/>
    </row>
    <row r="150" ht="15.75" customHeight="1">
      <c r="A150" s="138" t="s">
        <v>360</v>
      </c>
      <c r="B150" s="144" t="s">
        <v>361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5"/>
      <c r="BZ150" s="5"/>
      <c r="CA150" s="5"/>
      <c r="CB150" s="5"/>
      <c r="CC150" s="5"/>
      <c r="CD150" s="5"/>
      <c r="CE150" s="5"/>
    </row>
    <row r="151" ht="15.75" customHeight="1">
      <c r="A151" s="138" t="s">
        <v>362</v>
      </c>
      <c r="B151" s="144" t="s">
        <v>363</v>
      </c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5"/>
      <c r="BZ151" s="5"/>
      <c r="CA151" s="5"/>
      <c r="CB151" s="5"/>
      <c r="CC151" s="5"/>
      <c r="CD151" s="5"/>
      <c r="CE151" s="5"/>
    </row>
    <row r="152" ht="15.75" customHeight="1">
      <c r="A152" s="142" t="s">
        <v>364</v>
      </c>
      <c r="B152" s="143" t="s">
        <v>365</v>
      </c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5"/>
      <c r="BZ152" s="5"/>
      <c r="CA152" s="5"/>
      <c r="CB152" s="5"/>
      <c r="CC152" s="5"/>
      <c r="CD152" s="5"/>
      <c r="CE152" s="5"/>
    </row>
    <row r="153" ht="15.75" customHeight="1">
      <c r="A153" s="139" t="s">
        <v>364</v>
      </c>
      <c r="B153" s="140" t="s">
        <v>366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141"/>
      <c r="BY153" s="5"/>
      <c r="BZ153" s="5"/>
      <c r="CA153" s="5"/>
      <c r="CB153" s="5"/>
      <c r="CC153" s="5"/>
      <c r="CD153" s="5"/>
      <c r="CE153" s="5"/>
    </row>
    <row r="154" ht="15.75" customHeight="1">
      <c r="A154" s="142" t="s">
        <v>367</v>
      </c>
      <c r="B154" s="143" t="s">
        <v>368</v>
      </c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5"/>
      <c r="BZ154" s="5"/>
      <c r="CA154" s="5"/>
      <c r="CB154" s="5"/>
      <c r="CC154" s="5"/>
      <c r="CD154" s="5"/>
      <c r="CE154" s="5"/>
    </row>
    <row r="155" ht="15.75" customHeight="1">
      <c r="A155" s="145" t="s">
        <v>369</v>
      </c>
      <c r="B155" s="155" t="s">
        <v>370</v>
      </c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</row>
    <row r="156" ht="15.75" customHeight="1">
      <c r="A156" s="142" t="s">
        <v>371</v>
      </c>
      <c r="B156" s="143" t="s">
        <v>372</v>
      </c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147"/>
      <c r="BX156" s="147"/>
      <c r="BY156" s="5"/>
      <c r="BZ156" s="5"/>
      <c r="CA156" s="5"/>
      <c r="CB156" s="5"/>
      <c r="CC156" s="5"/>
      <c r="CD156" s="5"/>
      <c r="CE156" s="5"/>
    </row>
    <row r="157" ht="15.75" customHeight="1">
      <c r="A157" s="142" t="s">
        <v>373</v>
      </c>
      <c r="B157" s="143" t="s">
        <v>356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5"/>
      <c r="BZ157" s="5"/>
      <c r="CA157" s="5"/>
      <c r="CB157" s="5"/>
      <c r="CC157" s="5"/>
      <c r="CD157" s="5"/>
      <c r="CE157" s="5"/>
    </row>
    <row r="158" ht="15.75" customHeight="1">
      <c r="A158" s="139" t="s">
        <v>374</v>
      </c>
      <c r="B158" s="140" t="s">
        <v>375</v>
      </c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147"/>
      <c r="BX158" s="147"/>
      <c r="BY158" s="5"/>
      <c r="BZ158" s="5"/>
      <c r="CA158" s="5"/>
      <c r="CB158" s="5"/>
      <c r="CC158" s="5"/>
      <c r="CD158" s="5"/>
      <c r="CE158" s="5"/>
    </row>
    <row r="159" ht="15.75" customHeight="1">
      <c r="A159" s="139" t="s">
        <v>376</v>
      </c>
      <c r="B159" s="140" t="s">
        <v>377</v>
      </c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141"/>
      <c r="BY159" s="5"/>
      <c r="BZ159" s="5"/>
      <c r="CA159" s="5"/>
      <c r="CB159" s="5"/>
      <c r="CC159" s="5"/>
      <c r="CD159" s="5"/>
      <c r="CE159" s="5"/>
    </row>
    <row r="160" ht="15.75" customHeight="1">
      <c r="A160" s="139" t="s">
        <v>378</v>
      </c>
      <c r="B160" s="140" t="s">
        <v>232</v>
      </c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5"/>
      <c r="BZ160" s="5"/>
      <c r="CA160" s="5"/>
      <c r="CB160" s="5"/>
      <c r="CC160" s="5"/>
      <c r="CD160" s="5"/>
      <c r="CE160" s="5"/>
    </row>
    <row r="161" ht="15.75" customHeight="1">
      <c r="A161" s="138" t="s">
        <v>379</v>
      </c>
      <c r="B161" s="144" t="s">
        <v>380</v>
      </c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5"/>
      <c r="BZ161" s="5"/>
      <c r="CA161" s="5"/>
      <c r="CB161" s="5"/>
      <c r="CC161" s="5"/>
      <c r="CD161" s="5"/>
      <c r="CE161" s="5"/>
    </row>
    <row r="162" ht="15.75" customHeight="1">
      <c r="A162" s="142" t="s">
        <v>381</v>
      </c>
      <c r="B162" s="143" t="s">
        <v>382</v>
      </c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147"/>
      <c r="BX162" s="147"/>
      <c r="BY162" s="5"/>
      <c r="BZ162" s="5"/>
      <c r="CA162" s="5"/>
      <c r="CB162" s="5"/>
      <c r="CC162" s="5"/>
      <c r="CD162" s="5"/>
      <c r="CE162" s="5"/>
    </row>
    <row r="163" ht="15.75" customHeight="1">
      <c r="A163" s="139" t="s">
        <v>381</v>
      </c>
      <c r="B163" s="140" t="s">
        <v>383</v>
      </c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5"/>
      <c r="BZ163" s="5"/>
      <c r="CA163" s="5"/>
      <c r="CB163" s="5"/>
      <c r="CC163" s="5"/>
      <c r="CD163" s="5"/>
      <c r="CE163" s="5"/>
    </row>
    <row r="164" ht="15.75" customHeight="1">
      <c r="A164" s="142" t="s">
        <v>384</v>
      </c>
      <c r="B164" s="143" t="s">
        <v>385</v>
      </c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147"/>
      <c r="BX164" s="147"/>
      <c r="BY164" s="5"/>
      <c r="BZ164" s="5"/>
      <c r="CA164" s="5"/>
      <c r="CB164" s="5"/>
      <c r="CC164" s="5"/>
      <c r="CD164" s="5"/>
      <c r="CE164" s="5"/>
    </row>
    <row r="165" ht="15.75" customHeight="1">
      <c r="A165" s="139" t="s">
        <v>386</v>
      </c>
      <c r="B165" s="140" t="s">
        <v>387</v>
      </c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141"/>
      <c r="BY165" s="5"/>
      <c r="BZ165" s="5"/>
      <c r="CA165" s="5"/>
      <c r="CB165" s="5"/>
      <c r="CC165" s="5"/>
      <c r="CD165" s="5"/>
      <c r="CE165" s="5"/>
    </row>
    <row r="166" ht="15.75" customHeight="1">
      <c r="A166" s="138" t="s">
        <v>388</v>
      </c>
      <c r="B166" s="144" t="s">
        <v>389</v>
      </c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5"/>
      <c r="BZ166" s="5"/>
      <c r="CA166" s="5"/>
      <c r="CB166" s="5"/>
      <c r="CC166" s="5"/>
      <c r="CD166" s="5"/>
      <c r="CE166" s="5"/>
    </row>
    <row r="167" ht="15.75" customHeight="1">
      <c r="A167" s="138" t="s">
        <v>390</v>
      </c>
      <c r="B167" s="144" t="s">
        <v>391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5"/>
      <c r="BZ167" s="5"/>
      <c r="CA167" s="5"/>
      <c r="CB167" s="5"/>
      <c r="CC167" s="5"/>
      <c r="CD167" s="5"/>
      <c r="CE167" s="5"/>
    </row>
    <row r="168" ht="15.75" customHeight="1">
      <c r="A168" s="139" t="s">
        <v>392</v>
      </c>
      <c r="B168" s="140" t="s">
        <v>393</v>
      </c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141"/>
      <c r="BY168" s="5"/>
      <c r="BZ168" s="5"/>
      <c r="CA168" s="5"/>
      <c r="CB168" s="5"/>
      <c r="CC168" s="5"/>
      <c r="CD168" s="5"/>
      <c r="CE168" s="5"/>
    </row>
    <row r="169" ht="15.75" customHeight="1">
      <c r="A169" s="139" t="s">
        <v>394</v>
      </c>
      <c r="B169" s="140" t="s">
        <v>232</v>
      </c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5"/>
      <c r="BZ169" s="5"/>
      <c r="CA169" s="5"/>
      <c r="CB169" s="5"/>
      <c r="CC169" s="5"/>
      <c r="CD169" s="5"/>
      <c r="CE169" s="5"/>
    </row>
    <row r="170" ht="15.75" customHeight="1">
      <c r="A170" s="142" t="s">
        <v>395</v>
      </c>
      <c r="B170" s="143" t="s">
        <v>396</v>
      </c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5"/>
      <c r="BZ170" s="5"/>
      <c r="CA170" s="5"/>
      <c r="CB170" s="5"/>
      <c r="CC170" s="5"/>
      <c r="CD170" s="5"/>
      <c r="CE170" s="5"/>
    </row>
    <row r="171" ht="15.75" customHeight="1">
      <c r="A171" s="138" t="s">
        <v>397</v>
      </c>
      <c r="B171" s="144" t="s">
        <v>398</v>
      </c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5"/>
      <c r="BZ171" s="5"/>
      <c r="CA171" s="5"/>
      <c r="CB171" s="5"/>
      <c r="CC171" s="5"/>
      <c r="CD171" s="5"/>
      <c r="CE171" s="5"/>
    </row>
    <row r="172" ht="15.75" customHeight="1">
      <c r="A172" s="139" t="s">
        <v>399</v>
      </c>
      <c r="B172" s="140" t="s">
        <v>400</v>
      </c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5"/>
      <c r="BZ172" s="5"/>
      <c r="CA172" s="5"/>
      <c r="CB172" s="5"/>
      <c r="CC172" s="5"/>
      <c r="CD172" s="5"/>
      <c r="CE172" s="5"/>
    </row>
    <row r="173" ht="15.75" customHeight="1">
      <c r="A173" s="138" t="s">
        <v>401</v>
      </c>
      <c r="B173" s="144" t="s">
        <v>402</v>
      </c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5"/>
      <c r="BZ173" s="5"/>
      <c r="CA173" s="5"/>
      <c r="CB173" s="5"/>
      <c r="CC173" s="5"/>
      <c r="CD173" s="5"/>
      <c r="CE173" s="5"/>
    </row>
    <row r="174" ht="15.75" customHeight="1">
      <c r="A174" s="138" t="s">
        <v>403</v>
      </c>
      <c r="B174" s="144" t="s">
        <v>404</v>
      </c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5"/>
      <c r="BZ174" s="5"/>
      <c r="CA174" s="5"/>
      <c r="CB174" s="5"/>
      <c r="CC174" s="5"/>
      <c r="CD174" s="5"/>
      <c r="CE174" s="5"/>
    </row>
    <row r="175" ht="15.75" customHeight="1">
      <c r="A175" s="138" t="s">
        <v>405</v>
      </c>
      <c r="B175" s="144" t="s">
        <v>406</v>
      </c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5"/>
      <c r="BZ175" s="5"/>
      <c r="CA175" s="5"/>
      <c r="CB175" s="5"/>
      <c r="CC175" s="5"/>
      <c r="CD175" s="5"/>
      <c r="CE175" s="5"/>
    </row>
    <row r="176" ht="15.75" customHeight="1">
      <c r="A176" s="142" t="s">
        <v>407</v>
      </c>
      <c r="B176" s="143" t="s">
        <v>408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147"/>
      <c r="BX176" s="147"/>
      <c r="BY176" s="5"/>
      <c r="BZ176" s="5"/>
      <c r="CA176" s="5"/>
      <c r="CB176" s="5"/>
      <c r="CC176" s="5"/>
      <c r="CD176" s="5"/>
      <c r="CE176" s="5"/>
    </row>
    <row r="177" ht="15.75" customHeight="1">
      <c r="A177" s="142" t="s">
        <v>409</v>
      </c>
      <c r="B177" s="143" t="s">
        <v>410</v>
      </c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147"/>
      <c r="BX177" s="147"/>
      <c r="BY177" s="5"/>
      <c r="BZ177" s="5"/>
      <c r="CA177" s="5"/>
      <c r="CB177" s="5"/>
      <c r="CC177" s="5"/>
      <c r="CD177" s="5"/>
      <c r="CE177" s="5"/>
    </row>
    <row r="178" ht="15.75" customHeight="1">
      <c r="A178" s="142" t="s">
        <v>411</v>
      </c>
      <c r="B178" s="143" t="s">
        <v>412</v>
      </c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147"/>
      <c r="BX178" s="147"/>
      <c r="BY178" s="5"/>
      <c r="BZ178" s="5"/>
      <c r="CA178" s="5"/>
      <c r="CB178" s="5"/>
      <c r="CC178" s="5"/>
      <c r="CD178" s="5"/>
      <c r="CE178" s="5"/>
    </row>
    <row r="179" ht="15.75" customHeight="1">
      <c r="A179" s="156" t="s">
        <v>413</v>
      </c>
      <c r="B179" s="143" t="s">
        <v>414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147"/>
      <c r="BX179" s="147"/>
      <c r="BY179" s="5"/>
      <c r="BZ179" s="5"/>
      <c r="CA179" s="5"/>
      <c r="CB179" s="5"/>
      <c r="CC179" s="5"/>
      <c r="CD179" s="5"/>
      <c r="CE179" s="5"/>
    </row>
    <row r="180" ht="15.75" customHeight="1">
      <c r="A180" s="128"/>
      <c r="B180" s="137" t="s">
        <v>415</v>
      </c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147"/>
      <c r="BW180" s="147"/>
      <c r="BX180" s="147"/>
      <c r="BY180" s="5"/>
      <c r="BZ180" s="5"/>
      <c r="CA180" s="5"/>
      <c r="CB180" s="5"/>
      <c r="CC180" s="5"/>
      <c r="CD180" s="5"/>
      <c r="CE180" s="5"/>
    </row>
    <row r="181" ht="15.75" customHeight="1">
      <c r="A181" s="138" t="s">
        <v>416</v>
      </c>
      <c r="B181" s="144" t="s">
        <v>417</v>
      </c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5"/>
      <c r="BZ181" s="5"/>
      <c r="CA181" s="5"/>
      <c r="CB181" s="5"/>
      <c r="CC181" s="5"/>
      <c r="CD181" s="5"/>
      <c r="CE181" s="5"/>
    </row>
    <row r="182" ht="15.75" customHeight="1">
      <c r="A182" s="136" t="s">
        <v>418</v>
      </c>
      <c r="B182" s="143" t="s">
        <v>419</v>
      </c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153"/>
      <c r="BX182" s="157"/>
      <c r="BY182" s="5"/>
      <c r="BZ182" s="5"/>
      <c r="CA182" s="5"/>
      <c r="CB182" s="5"/>
      <c r="CC182" s="5"/>
      <c r="CD182" s="5"/>
      <c r="CE182" s="5"/>
    </row>
    <row r="183" ht="15.75" customHeight="1">
      <c r="A183" s="136" t="s">
        <v>420</v>
      </c>
      <c r="B183" s="143" t="s">
        <v>421</v>
      </c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153"/>
      <c r="BX183" s="157"/>
      <c r="BY183" s="5"/>
      <c r="BZ183" s="5"/>
      <c r="CA183" s="5"/>
      <c r="CB183" s="5"/>
      <c r="CC183" s="5"/>
      <c r="CD183" s="5"/>
      <c r="CE183" s="5"/>
    </row>
    <row r="184" ht="15.75" customHeight="1">
      <c r="A184" s="138" t="s">
        <v>422</v>
      </c>
      <c r="B184" s="144" t="s">
        <v>406</v>
      </c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5"/>
      <c r="BZ184" s="5"/>
      <c r="CA184" s="5"/>
      <c r="CB184" s="5"/>
      <c r="CC184" s="5"/>
      <c r="CD184" s="5"/>
      <c r="CE184" s="5"/>
    </row>
    <row r="185" ht="15.75" customHeight="1">
      <c r="A185" s="136" t="s">
        <v>423</v>
      </c>
      <c r="B185" s="137" t="s">
        <v>424</v>
      </c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5"/>
      <c r="BZ185" s="5"/>
      <c r="CA185" s="5"/>
      <c r="CB185" s="5"/>
      <c r="CC185" s="5"/>
      <c r="CD185" s="5"/>
      <c r="CE185" s="5"/>
    </row>
    <row r="186" ht="15.75" customHeight="1">
      <c r="A186" s="136" t="s">
        <v>425</v>
      </c>
      <c r="B186" s="143" t="s">
        <v>426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153"/>
      <c r="BX186" s="157"/>
      <c r="BY186" s="5"/>
      <c r="BZ186" s="5"/>
      <c r="CA186" s="5"/>
      <c r="CB186" s="5"/>
      <c r="CC186" s="5"/>
      <c r="CD186" s="5"/>
      <c r="CE186" s="5"/>
    </row>
    <row r="187" ht="15.75" customHeight="1">
      <c r="A187" s="136" t="s">
        <v>427</v>
      </c>
      <c r="B187" s="143" t="s">
        <v>428</v>
      </c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153"/>
      <c r="BX187" s="157"/>
      <c r="BY187" s="5"/>
      <c r="BZ187" s="5"/>
      <c r="CA187" s="5"/>
      <c r="CB187" s="5"/>
      <c r="CC187" s="5"/>
      <c r="CD187" s="5"/>
      <c r="CE187" s="5"/>
    </row>
    <row r="188" ht="15.75" customHeight="1">
      <c r="A188" s="142" t="s">
        <v>429</v>
      </c>
      <c r="B188" s="143" t="s">
        <v>430</v>
      </c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153"/>
      <c r="BX188" s="157"/>
      <c r="BY188" s="5"/>
      <c r="BZ188" s="5"/>
      <c r="CA188" s="5"/>
      <c r="CB188" s="5"/>
      <c r="CC188" s="5"/>
      <c r="CD188" s="5"/>
      <c r="CE188" s="5"/>
    </row>
    <row r="189" ht="15.75" customHeight="1">
      <c r="A189" s="156" t="s">
        <v>431</v>
      </c>
      <c r="B189" s="143" t="s">
        <v>432</v>
      </c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141"/>
      <c r="BX189" s="141"/>
      <c r="BY189" s="5"/>
      <c r="BZ189" s="5"/>
      <c r="CA189" s="5"/>
      <c r="CB189" s="5"/>
      <c r="CC189" s="5"/>
      <c r="CD189" s="5"/>
      <c r="CE189" s="5"/>
    </row>
    <row r="190" ht="15.75" customHeight="1">
      <c r="A190" s="128"/>
      <c r="B190" s="137" t="s">
        <v>433</v>
      </c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141"/>
      <c r="BW190" s="141"/>
      <c r="BX190" s="141"/>
      <c r="BY190" s="5"/>
      <c r="BZ190" s="5"/>
      <c r="CA190" s="5"/>
      <c r="CB190" s="5"/>
      <c r="CC190" s="5"/>
      <c r="CD190" s="5"/>
      <c r="CE190" s="5"/>
    </row>
    <row r="191" ht="15.75" customHeight="1">
      <c r="A191" s="139" t="s">
        <v>434</v>
      </c>
      <c r="B191" s="140" t="s">
        <v>435</v>
      </c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5"/>
      <c r="BZ191" s="5"/>
      <c r="CA191" s="5"/>
      <c r="CB191" s="5"/>
      <c r="CC191" s="5"/>
      <c r="CD191" s="5"/>
      <c r="CE191" s="5"/>
    </row>
    <row r="192" ht="15.75" customHeight="1">
      <c r="A192" s="142" t="s">
        <v>436</v>
      </c>
      <c r="B192" s="143" t="s">
        <v>437</v>
      </c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153"/>
      <c r="BX192" s="157"/>
      <c r="BY192" s="5"/>
      <c r="BZ192" s="5"/>
      <c r="CA192" s="5"/>
      <c r="CB192" s="5"/>
      <c r="CC192" s="5"/>
      <c r="CD192" s="5"/>
      <c r="CE192" s="5"/>
    </row>
    <row r="193" ht="15.75" customHeight="1">
      <c r="A193" s="138" t="s">
        <v>438</v>
      </c>
      <c r="B193" s="144" t="s">
        <v>439</v>
      </c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5"/>
      <c r="BZ193" s="5"/>
      <c r="CA193" s="5"/>
      <c r="CB193" s="5"/>
      <c r="CC193" s="5"/>
      <c r="CD193" s="5"/>
      <c r="CE193" s="5"/>
    </row>
    <row r="194" ht="15.75" customHeight="1">
      <c r="A194" s="138" t="s">
        <v>440</v>
      </c>
      <c r="B194" s="144" t="s">
        <v>441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5"/>
      <c r="BZ194" s="5"/>
      <c r="CA194" s="5"/>
      <c r="CB194" s="5"/>
      <c r="CC194" s="5"/>
      <c r="CD194" s="5"/>
      <c r="CE194" s="5"/>
    </row>
    <row r="195" ht="15.75" customHeight="1">
      <c r="A195" s="139" t="s">
        <v>442</v>
      </c>
      <c r="B195" s="140" t="s">
        <v>443</v>
      </c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5"/>
      <c r="BZ195" s="5"/>
      <c r="CA195" s="5"/>
      <c r="CB195" s="5"/>
      <c r="CC195" s="5"/>
      <c r="CD195" s="5"/>
      <c r="CE195" s="5"/>
    </row>
    <row r="196" ht="15.75" customHeight="1">
      <c r="A196" s="139" t="s">
        <v>444</v>
      </c>
      <c r="B196" s="140" t="s">
        <v>445</v>
      </c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5"/>
      <c r="BZ196" s="5"/>
      <c r="CA196" s="5"/>
      <c r="CB196" s="5"/>
      <c r="CC196" s="5"/>
      <c r="CD196" s="5"/>
      <c r="CE196" s="5"/>
    </row>
    <row r="197" ht="15.75" customHeight="1">
      <c r="A197" s="136" t="s">
        <v>446</v>
      </c>
      <c r="B197" s="143" t="s">
        <v>447</v>
      </c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153"/>
      <c r="BX197" s="157"/>
      <c r="BY197" s="5"/>
      <c r="BZ197" s="5"/>
      <c r="CA197" s="5"/>
      <c r="CB197" s="5"/>
      <c r="CC197" s="5"/>
      <c r="CD197" s="5"/>
      <c r="CE197" s="5"/>
    </row>
    <row r="198" ht="15.75" customHeight="1">
      <c r="A198" s="139" t="s">
        <v>446</v>
      </c>
      <c r="B198" s="140" t="s">
        <v>448</v>
      </c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5"/>
      <c r="BZ198" s="5"/>
      <c r="CA198" s="5"/>
      <c r="CB198" s="5"/>
      <c r="CC198" s="5"/>
      <c r="CD198" s="5"/>
      <c r="CE198" s="5"/>
    </row>
    <row r="199" ht="15.75" customHeight="1">
      <c r="A199" s="5"/>
      <c r="B199" s="5"/>
      <c r="C199" s="5"/>
      <c r="D199" s="5"/>
      <c r="E199" s="5"/>
      <c r="F199" s="5"/>
      <c r="G199" s="5"/>
      <c r="H199" s="81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81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4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</row>
    <row r="200" ht="15.75" customHeight="1">
      <c r="A200" s="5"/>
      <c r="B200" s="5"/>
      <c r="C200" s="5"/>
      <c r="D200" s="5"/>
      <c r="E200" s="5"/>
      <c r="F200" s="5"/>
      <c r="G200" s="5"/>
      <c r="H200" s="81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81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4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</row>
    <row r="201" ht="15.75" customHeight="1">
      <c r="A201" s="5"/>
      <c r="B201" s="5"/>
      <c r="C201" s="5"/>
      <c r="D201" s="5"/>
      <c r="E201" s="5"/>
      <c r="F201" s="5"/>
      <c r="G201" s="5"/>
      <c r="H201" s="81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81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4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</row>
    <row r="202" ht="15.75" customHeight="1">
      <c r="A202" s="5"/>
      <c r="B202" s="5"/>
      <c r="C202" s="5"/>
      <c r="D202" s="5"/>
      <c r="E202" s="5"/>
      <c r="F202" s="5"/>
      <c r="G202" s="5"/>
      <c r="H202" s="81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81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</row>
    <row r="203" ht="15.75" customHeight="1">
      <c r="A203" s="5"/>
      <c r="B203" s="5"/>
      <c r="C203" s="5"/>
      <c r="D203" s="5"/>
      <c r="E203" s="5"/>
      <c r="F203" s="5"/>
      <c r="G203" s="5"/>
      <c r="H203" s="81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81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4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</row>
    <row r="204" ht="15.75" customHeight="1">
      <c r="A204" s="5"/>
      <c r="B204" s="5"/>
      <c r="C204" s="5"/>
      <c r="D204" s="5"/>
      <c r="E204" s="5"/>
      <c r="F204" s="5"/>
      <c r="G204" s="5"/>
      <c r="H204" s="8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81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4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</row>
    <row r="205" ht="15.75" customHeight="1">
      <c r="A205" s="5"/>
      <c r="B205" s="5"/>
      <c r="C205" s="5"/>
      <c r="D205" s="5"/>
      <c r="E205" s="5"/>
      <c r="F205" s="5"/>
      <c r="G205" s="5"/>
      <c r="H205" s="81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81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4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</row>
    <row r="206" ht="15.75" customHeight="1">
      <c r="A206" s="5"/>
      <c r="B206" s="5"/>
      <c r="C206" s="5"/>
      <c r="D206" s="5"/>
      <c r="E206" s="5"/>
      <c r="F206" s="5"/>
      <c r="G206" s="5"/>
      <c r="H206" s="81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81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4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</row>
    <row r="207" ht="15.75" customHeight="1">
      <c r="A207" s="5"/>
      <c r="B207" s="5"/>
      <c r="C207" s="5"/>
      <c r="D207" s="5"/>
      <c r="E207" s="5"/>
      <c r="F207" s="5"/>
      <c r="G207" s="5"/>
      <c r="H207" s="81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81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4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</row>
    <row r="208" ht="15.75" customHeight="1">
      <c r="A208" s="5"/>
      <c r="B208" s="5"/>
      <c r="C208" s="5"/>
      <c r="D208" s="5"/>
      <c r="E208" s="5"/>
      <c r="F208" s="5"/>
      <c r="G208" s="5"/>
      <c r="H208" s="81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81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4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</row>
    <row r="209" ht="15.75" customHeight="1">
      <c r="A209" s="5"/>
      <c r="B209" s="5"/>
      <c r="C209" s="5"/>
      <c r="D209" s="5"/>
      <c r="E209" s="5"/>
      <c r="F209" s="5"/>
      <c r="G209" s="5"/>
      <c r="H209" s="81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81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4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</row>
    <row r="210" ht="15.75" customHeight="1">
      <c r="A210" s="5"/>
      <c r="B210" s="5"/>
      <c r="C210" s="5"/>
      <c r="D210" s="5"/>
      <c r="E210" s="5"/>
      <c r="F210" s="5"/>
      <c r="G210" s="5"/>
      <c r="H210" s="81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81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4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</row>
    <row r="211" ht="15.75" customHeight="1">
      <c r="A211" s="5"/>
      <c r="B211" s="5"/>
      <c r="C211" s="5"/>
      <c r="D211" s="5"/>
      <c r="E211" s="5"/>
      <c r="F211" s="5"/>
      <c r="G211" s="5"/>
      <c r="H211" s="81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81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4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</row>
    <row r="212" ht="15.75" customHeight="1">
      <c r="A212" s="5"/>
      <c r="B212" s="5"/>
      <c r="C212" s="5"/>
      <c r="D212" s="5"/>
      <c r="E212" s="5"/>
      <c r="F212" s="5"/>
      <c r="G212" s="5"/>
      <c r="H212" s="81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81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4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</row>
    <row r="213" ht="15.75" customHeight="1">
      <c r="A213" s="5"/>
      <c r="B213" s="5"/>
      <c r="C213" s="5"/>
      <c r="D213" s="5"/>
      <c r="E213" s="5"/>
      <c r="F213" s="5"/>
      <c r="G213" s="5"/>
      <c r="H213" s="81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81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4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</row>
    <row r="214" ht="15.75" customHeight="1">
      <c r="A214" s="5"/>
      <c r="B214" s="5"/>
      <c r="C214" s="5"/>
      <c r="D214" s="5"/>
      <c r="E214" s="5"/>
      <c r="F214" s="5"/>
      <c r="G214" s="5"/>
      <c r="H214" s="81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81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4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</row>
    <row r="215" ht="15.75" customHeight="1">
      <c r="A215" s="5"/>
      <c r="B215" s="5"/>
      <c r="C215" s="5"/>
      <c r="D215" s="5"/>
      <c r="E215" s="5"/>
      <c r="F215" s="5"/>
      <c r="G215" s="5"/>
      <c r="H215" s="81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81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4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</row>
    <row r="216" ht="15.75" customHeight="1">
      <c r="A216" s="5"/>
      <c r="B216" s="5"/>
      <c r="C216" s="5"/>
      <c r="D216" s="5"/>
      <c r="E216" s="5"/>
      <c r="F216" s="5"/>
      <c r="G216" s="5"/>
      <c r="H216" s="81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81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4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</row>
    <row r="217" ht="15.75" customHeight="1">
      <c r="A217" s="5"/>
      <c r="B217" s="5"/>
      <c r="C217" s="5"/>
      <c r="D217" s="5"/>
      <c r="E217" s="5"/>
      <c r="F217" s="5"/>
      <c r="G217" s="5"/>
      <c r="H217" s="81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81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4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</row>
    <row r="218" ht="15.75" customHeight="1">
      <c r="A218" s="5"/>
      <c r="B218" s="5"/>
      <c r="C218" s="5"/>
      <c r="D218" s="5"/>
      <c r="E218" s="5"/>
      <c r="F218" s="5"/>
      <c r="G218" s="5"/>
      <c r="H218" s="81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81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4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</row>
    <row r="219" ht="15.75" customHeight="1">
      <c r="A219" s="5"/>
      <c r="B219" s="5"/>
      <c r="C219" s="5"/>
      <c r="D219" s="5"/>
      <c r="E219" s="5"/>
      <c r="F219" s="5"/>
      <c r="G219" s="5"/>
      <c r="H219" s="81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81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4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</row>
    <row r="220" ht="15.75" customHeight="1">
      <c r="A220" s="5"/>
      <c r="B220" s="5"/>
      <c r="C220" s="5"/>
      <c r="D220" s="5"/>
      <c r="E220" s="5"/>
      <c r="F220" s="5"/>
      <c r="G220" s="5"/>
      <c r="H220" s="81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81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4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</row>
    <row r="221" ht="15.75" customHeight="1">
      <c r="A221" s="5"/>
      <c r="B221" s="5"/>
      <c r="C221" s="5"/>
      <c r="D221" s="5"/>
      <c r="E221" s="5"/>
      <c r="F221" s="5"/>
      <c r="G221" s="5"/>
      <c r="H221" s="81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81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4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</row>
    <row r="222" ht="15.75" customHeight="1">
      <c r="A222" s="5"/>
      <c r="B222" s="5"/>
      <c r="C222" s="5"/>
      <c r="D222" s="5"/>
      <c r="E222" s="5"/>
      <c r="F222" s="5"/>
      <c r="G222" s="5"/>
      <c r="H222" s="81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81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4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</row>
    <row r="223" ht="15.75" customHeight="1">
      <c r="A223" s="5"/>
      <c r="B223" s="5"/>
      <c r="C223" s="5"/>
      <c r="D223" s="5"/>
      <c r="E223" s="5"/>
      <c r="F223" s="5"/>
      <c r="G223" s="5"/>
      <c r="H223" s="81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81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4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</row>
    <row r="224" ht="15.75" customHeight="1">
      <c r="A224" s="5"/>
      <c r="B224" s="5"/>
      <c r="C224" s="5"/>
      <c r="D224" s="5"/>
      <c r="E224" s="5"/>
      <c r="F224" s="5"/>
      <c r="G224" s="5"/>
      <c r="H224" s="81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81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4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</row>
    <row r="225" ht="15.75" customHeight="1">
      <c r="A225" s="5"/>
      <c r="B225" s="5"/>
      <c r="C225" s="5"/>
      <c r="D225" s="5"/>
      <c r="E225" s="5"/>
      <c r="F225" s="5"/>
      <c r="G225" s="5"/>
      <c r="H225" s="81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81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4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</row>
    <row r="226" ht="15.75" customHeight="1">
      <c r="A226" s="5"/>
      <c r="B226" s="5"/>
      <c r="C226" s="5"/>
      <c r="D226" s="5"/>
      <c r="E226" s="5"/>
      <c r="F226" s="5"/>
      <c r="G226" s="5"/>
      <c r="H226" s="81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81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4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</row>
    <row r="227" ht="15.75" customHeight="1">
      <c r="A227" s="5"/>
      <c r="B227" s="5"/>
      <c r="C227" s="5"/>
      <c r="D227" s="5"/>
      <c r="E227" s="5"/>
      <c r="F227" s="5"/>
      <c r="G227" s="5"/>
      <c r="H227" s="81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81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4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</row>
    <row r="228" ht="15.75" customHeight="1">
      <c r="A228" s="5"/>
      <c r="B228" s="5"/>
      <c r="C228" s="5"/>
      <c r="D228" s="5"/>
      <c r="E228" s="5"/>
      <c r="F228" s="5"/>
      <c r="G228" s="5"/>
      <c r="H228" s="81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81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4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</row>
    <row r="229" ht="15.75" customHeight="1">
      <c r="A229" s="5"/>
      <c r="B229" s="5"/>
      <c r="C229" s="5"/>
      <c r="D229" s="5"/>
      <c r="E229" s="5"/>
      <c r="F229" s="5"/>
      <c r="G229" s="5"/>
      <c r="H229" s="81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81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4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</row>
    <row r="230" ht="15.75" customHeight="1">
      <c r="A230" s="5"/>
      <c r="B230" s="5"/>
      <c r="C230" s="5"/>
      <c r="D230" s="5"/>
      <c r="E230" s="5"/>
      <c r="F230" s="5"/>
      <c r="G230" s="5"/>
      <c r="H230" s="81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81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4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</row>
    <row r="231" ht="15.75" customHeight="1">
      <c r="A231" s="5"/>
      <c r="B231" s="5"/>
      <c r="C231" s="5"/>
      <c r="D231" s="5"/>
      <c r="E231" s="5"/>
      <c r="F231" s="5"/>
      <c r="G231" s="5"/>
      <c r="H231" s="81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81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4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</row>
    <row r="232" ht="15.75" customHeight="1">
      <c r="A232" s="5"/>
      <c r="B232" s="5"/>
      <c r="C232" s="5"/>
      <c r="D232" s="5"/>
      <c r="E232" s="5"/>
      <c r="F232" s="5"/>
      <c r="G232" s="5"/>
      <c r="H232" s="81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81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4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</row>
    <row r="233" ht="15.75" customHeight="1">
      <c r="A233" s="5"/>
      <c r="B233" s="5"/>
      <c r="C233" s="5"/>
      <c r="D233" s="5"/>
      <c r="E233" s="5"/>
      <c r="F233" s="5"/>
      <c r="G233" s="5"/>
      <c r="H233" s="81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81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4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</row>
    <row r="234" ht="15.75" customHeight="1">
      <c r="A234" s="5"/>
      <c r="B234" s="5"/>
      <c r="C234" s="5"/>
      <c r="D234" s="5"/>
      <c r="E234" s="5"/>
      <c r="F234" s="5"/>
      <c r="G234" s="5"/>
      <c r="H234" s="81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81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4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</row>
    <row r="235" ht="15.75" customHeight="1">
      <c r="A235" s="5"/>
      <c r="B235" s="5"/>
      <c r="C235" s="5"/>
      <c r="D235" s="5"/>
      <c r="E235" s="5"/>
      <c r="F235" s="5"/>
      <c r="G235" s="5"/>
      <c r="H235" s="81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81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4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</row>
    <row r="236" ht="15.75" customHeight="1">
      <c r="A236" s="5"/>
      <c r="B236" s="5"/>
      <c r="C236" s="5"/>
      <c r="D236" s="5"/>
      <c r="E236" s="5"/>
      <c r="F236" s="5"/>
      <c r="G236" s="5"/>
      <c r="H236" s="81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81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4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</row>
    <row r="237" ht="15.75" customHeight="1">
      <c r="A237" s="5"/>
      <c r="B237" s="5"/>
      <c r="C237" s="5"/>
      <c r="D237" s="5"/>
      <c r="E237" s="5"/>
      <c r="F237" s="5"/>
      <c r="G237" s="5"/>
      <c r="H237" s="81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81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4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</row>
    <row r="238" ht="15.75" customHeight="1">
      <c r="A238" s="5"/>
      <c r="B238" s="5"/>
      <c r="C238" s="5"/>
      <c r="D238" s="5"/>
      <c r="E238" s="5"/>
      <c r="F238" s="5"/>
      <c r="G238" s="5"/>
      <c r="H238" s="81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81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4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</row>
    <row r="239" ht="15.75" customHeight="1">
      <c r="A239" s="5"/>
      <c r="B239" s="5"/>
      <c r="C239" s="5"/>
      <c r="D239" s="5"/>
      <c r="E239" s="5"/>
      <c r="F239" s="5"/>
      <c r="G239" s="5"/>
      <c r="H239" s="81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81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4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</row>
    <row r="240" ht="15.75" customHeight="1">
      <c r="A240" s="5"/>
      <c r="B240" s="5"/>
      <c r="C240" s="5"/>
      <c r="D240" s="5"/>
      <c r="E240" s="5"/>
      <c r="F240" s="5"/>
      <c r="G240" s="5"/>
      <c r="H240" s="81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81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4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</row>
    <row r="241" ht="15.75" customHeight="1">
      <c r="A241" s="5"/>
      <c r="B241" s="5"/>
      <c r="C241" s="5"/>
      <c r="D241" s="5"/>
      <c r="E241" s="5"/>
      <c r="F241" s="5"/>
      <c r="G241" s="5"/>
      <c r="H241" s="81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81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4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</row>
    <row r="242" ht="15.75" customHeight="1">
      <c r="A242" s="5"/>
      <c r="B242" s="5"/>
      <c r="C242" s="5"/>
      <c r="D242" s="5"/>
      <c r="E242" s="5"/>
      <c r="F242" s="5"/>
      <c r="G242" s="5"/>
      <c r="H242" s="81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81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</row>
    <row r="243" ht="15.75" customHeight="1">
      <c r="A243" s="5"/>
      <c r="B243" s="5"/>
      <c r="C243" s="5"/>
      <c r="D243" s="5"/>
      <c r="E243" s="5"/>
      <c r="F243" s="5"/>
      <c r="G243" s="5"/>
      <c r="H243" s="81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81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4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</row>
    <row r="244" ht="15.75" customHeight="1">
      <c r="A244" s="5"/>
      <c r="B244" s="5"/>
      <c r="C244" s="5"/>
      <c r="D244" s="5"/>
      <c r="E244" s="5"/>
      <c r="F244" s="5"/>
      <c r="G244" s="5"/>
      <c r="H244" s="81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81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4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</row>
    <row r="245" ht="15.75" customHeight="1">
      <c r="A245" s="5"/>
      <c r="B245" s="5"/>
      <c r="C245" s="5"/>
      <c r="D245" s="5"/>
      <c r="E245" s="5"/>
      <c r="F245" s="5"/>
      <c r="G245" s="5"/>
      <c r="H245" s="81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81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4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</row>
    <row r="246" ht="15.75" customHeight="1">
      <c r="A246" s="5"/>
      <c r="B246" s="5"/>
      <c r="C246" s="5"/>
      <c r="D246" s="5"/>
      <c r="E246" s="5"/>
      <c r="F246" s="5"/>
      <c r="G246" s="5"/>
      <c r="H246" s="81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81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4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</row>
    <row r="247" ht="15.75" customHeight="1">
      <c r="A247" s="5"/>
      <c r="B247" s="5"/>
      <c r="C247" s="5"/>
      <c r="D247" s="5"/>
      <c r="E247" s="5"/>
      <c r="F247" s="5"/>
      <c r="G247" s="5"/>
      <c r="H247" s="81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81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4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</row>
    <row r="248" ht="15.75" customHeight="1">
      <c r="A248" s="5"/>
      <c r="B248" s="5"/>
      <c r="C248" s="5"/>
      <c r="D248" s="5"/>
      <c r="E248" s="5"/>
      <c r="F248" s="5"/>
      <c r="G248" s="5"/>
      <c r="H248" s="81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81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4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</row>
    <row r="249" ht="15.75" customHeight="1">
      <c r="A249" s="5"/>
      <c r="B249" s="5"/>
      <c r="C249" s="5"/>
      <c r="D249" s="5"/>
      <c r="E249" s="5"/>
      <c r="F249" s="5"/>
      <c r="G249" s="5"/>
      <c r="H249" s="81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81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4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</row>
    <row r="250" ht="15.75" customHeight="1">
      <c r="A250" s="5"/>
      <c r="B250" s="5"/>
      <c r="C250" s="5"/>
      <c r="D250" s="5"/>
      <c r="E250" s="5"/>
      <c r="F250" s="5"/>
      <c r="G250" s="5"/>
      <c r="H250" s="81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81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4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</row>
    <row r="251" ht="15.75" customHeight="1">
      <c r="A251" s="5"/>
      <c r="B251" s="5"/>
      <c r="C251" s="5"/>
      <c r="D251" s="5"/>
      <c r="E251" s="5"/>
      <c r="F251" s="5"/>
      <c r="G251" s="5"/>
      <c r="H251" s="81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81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4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</row>
    <row r="252" ht="15.75" customHeight="1">
      <c r="A252" s="5"/>
      <c r="B252" s="5"/>
      <c r="C252" s="5"/>
      <c r="D252" s="5"/>
      <c r="E252" s="5"/>
      <c r="F252" s="5"/>
      <c r="G252" s="5"/>
      <c r="H252" s="81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81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4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</row>
    <row r="253" ht="15.75" customHeight="1">
      <c r="A253" s="5"/>
      <c r="B253" s="5"/>
      <c r="C253" s="5"/>
      <c r="D253" s="5"/>
      <c r="E253" s="5"/>
      <c r="F253" s="5"/>
      <c r="G253" s="5"/>
      <c r="H253" s="81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81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4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</row>
    <row r="254" ht="15.75" customHeight="1">
      <c r="A254" s="5"/>
      <c r="B254" s="5"/>
      <c r="C254" s="5"/>
      <c r="D254" s="5"/>
      <c r="E254" s="5"/>
      <c r="F254" s="5"/>
      <c r="G254" s="5"/>
      <c r="H254" s="81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81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4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</row>
    <row r="255" ht="15.75" customHeight="1">
      <c r="A255" s="5"/>
      <c r="B255" s="5"/>
      <c r="C255" s="5"/>
      <c r="D255" s="5"/>
      <c r="E255" s="5"/>
      <c r="F255" s="5"/>
      <c r="G255" s="5"/>
      <c r="H255" s="81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81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4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</row>
    <row r="256" ht="15.75" customHeight="1">
      <c r="A256" s="5"/>
      <c r="B256" s="5"/>
      <c r="C256" s="5"/>
      <c r="D256" s="5"/>
      <c r="E256" s="5"/>
      <c r="F256" s="5"/>
      <c r="G256" s="5"/>
      <c r="H256" s="81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81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4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</row>
    <row r="257" ht="15.75" customHeight="1">
      <c r="A257" s="5"/>
      <c r="B257" s="5"/>
      <c r="C257" s="5"/>
      <c r="D257" s="5"/>
      <c r="E257" s="5"/>
      <c r="F257" s="5"/>
      <c r="G257" s="5"/>
      <c r="H257" s="81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81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4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</row>
    <row r="258" ht="15.75" customHeight="1">
      <c r="A258" s="5"/>
      <c r="B258" s="5"/>
      <c r="C258" s="5"/>
      <c r="D258" s="5"/>
      <c r="E258" s="5"/>
      <c r="F258" s="5"/>
      <c r="G258" s="5"/>
      <c r="H258" s="81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81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4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</row>
    <row r="259" ht="15.75" customHeight="1">
      <c r="A259" s="5"/>
      <c r="B259" s="5"/>
      <c r="C259" s="5"/>
      <c r="D259" s="5"/>
      <c r="E259" s="5"/>
      <c r="F259" s="5"/>
      <c r="G259" s="5"/>
      <c r="H259" s="81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81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  <c r="BH259" s="5"/>
      <c r="BI259" s="5"/>
      <c r="BJ259" s="5"/>
      <c r="BK259" s="5"/>
      <c r="BL259" s="5"/>
      <c r="BM259" s="5"/>
      <c r="BN259" s="5"/>
      <c r="BO259" s="5"/>
      <c r="BP259" s="5"/>
      <c r="BQ259" s="4"/>
      <c r="BR259" s="5"/>
      <c r="BS259" s="5"/>
      <c r="BT259" s="5"/>
      <c r="BU259" s="5"/>
      <c r="BV259" s="5"/>
      <c r="BW259" s="5"/>
      <c r="BX259" s="5"/>
      <c r="BY259" s="5"/>
      <c r="BZ259" s="5"/>
      <c r="CA259" s="5"/>
      <c r="CB259" s="5"/>
      <c r="CC259" s="5"/>
      <c r="CD259" s="5"/>
      <c r="CE259" s="5"/>
    </row>
    <row r="260" ht="15.75" customHeight="1">
      <c r="A260" s="5"/>
      <c r="B260" s="5"/>
      <c r="C260" s="5"/>
      <c r="D260" s="5"/>
      <c r="E260" s="5"/>
      <c r="F260" s="5"/>
      <c r="G260" s="5"/>
      <c r="H260" s="81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81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  <c r="BH260" s="5"/>
      <c r="BI260" s="5"/>
      <c r="BJ260" s="5"/>
      <c r="BK260" s="5"/>
      <c r="BL260" s="5"/>
      <c r="BM260" s="5"/>
      <c r="BN260" s="5"/>
      <c r="BO260" s="5"/>
      <c r="BP260" s="5"/>
      <c r="BQ260" s="4"/>
      <c r="BR260" s="5"/>
      <c r="BS260" s="5"/>
      <c r="BT260" s="5"/>
      <c r="BU260" s="5"/>
      <c r="BV260" s="5"/>
      <c r="BW260" s="5"/>
      <c r="BX260" s="5"/>
      <c r="BY260" s="5"/>
      <c r="BZ260" s="5"/>
      <c r="CA260" s="5"/>
      <c r="CB260" s="5"/>
      <c r="CC260" s="5"/>
      <c r="CD260" s="5"/>
      <c r="CE260" s="5"/>
    </row>
    <row r="261" ht="15.75" customHeight="1">
      <c r="A261" s="5"/>
      <c r="B261" s="5"/>
      <c r="C261" s="5"/>
      <c r="D261" s="5"/>
      <c r="E261" s="5"/>
      <c r="F261" s="5"/>
      <c r="G261" s="5"/>
      <c r="H261" s="81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81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  <c r="BH261" s="5"/>
      <c r="BI261" s="5"/>
      <c r="BJ261" s="5"/>
      <c r="BK261" s="5"/>
      <c r="BL261" s="5"/>
      <c r="BM261" s="5"/>
      <c r="BN261" s="5"/>
      <c r="BO261" s="5"/>
      <c r="BP261" s="5"/>
      <c r="BQ261" s="4"/>
      <c r="BR261" s="5"/>
      <c r="BS261" s="5"/>
      <c r="BT261" s="5"/>
      <c r="BU261" s="5"/>
      <c r="BV261" s="5"/>
      <c r="BW261" s="5"/>
      <c r="BX261" s="5"/>
      <c r="BY261" s="5"/>
      <c r="BZ261" s="5"/>
      <c r="CA261" s="5"/>
      <c r="CB261" s="5"/>
      <c r="CC261" s="5"/>
      <c r="CD261" s="5"/>
      <c r="CE261" s="5"/>
    </row>
    <row r="262" ht="15.75" customHeight="1">
      <c r="A262" s="5"/>
      <c r="B262" s="5"/>
      <c r="C262" s="5"/>
      <c r="D262" s="5"/>
      <c r="E262" s="5"/>
      <c r="F262" s="5"/>
      <c r="G262" s="5"/>
      <c r="H262" s="81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81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4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</row>
    <row r="263" ht="15.75" customHeight="1">
      <c r="A263" s="5"/>
      <c r="B263" s="5"/>
      <c r="C263" s="5"/>
      <c r="D263" s="5"/>
      <c r="E263" s="5"/>
      <c r="F263" s="5"/>
      <c r="G263" s="5"/>
      <c r="H263" s="81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81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4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</row>
    <row r="264" ht="15.75" customHeight="1">
      <c r="A264" s="5"/>
      <c r="B264" s="5"/>
      <c r="C264" s="5"/>
      <c r="D264" s="5"/>
      <c r="E264" s="5"/>
      <c r="F264" s="5"/>
      <c r="G264" s="5"/>
      <c r="H264" s="81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81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  <c r="BH264" s="5"/>
      <c r="BI264" s="5"/>
      <c r="BJ264" s="5"/>
      <c r="BK264" s="5"/>
      <c r="BL264" s="5"/>
      <c r="BM264" s="5"/>
      <c r="BN264" s="5"/>
      <c r="BO264" s="5"/>
      <c r="BP264" s="5"/>
      <c r="BQ264" s="4"/>
      <c r="BR264" s="5"/>
      <c r="BS264" s="5"/>
      <c r="BT264" s="5"/>
      <c r="BU264" s="5"/>
      <c r="BV264" s="5"/>
      <c r="BW264" s="5"/>
      <c r="BX264" s="5"/>
      <c r="BY264" s="5"/>
      <c r="BZ264" s="5"/>
      <c r="CA264" s="5"/>
      <c r="CB264" s="5"/>
      <c r="CC264" s="5"/>
      <c r="CD264" s="5"/>
      <c r="CE264" s="5"/>
    </row>
    <row r="265" ht="15.75" customHeight="1">
      <c r="A265" s="5"/>
      <c r="B265" s="5"/>
      <c r="C265" s="5"/>
      <c r="D265" s="5"/>
      <c r="E265" s="5"/>
      <c r="F265" s="5"/>
      <c r="G265" s="5"/>
      <c r="H265" s="81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81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5"/>
      <c r="BK265" s="5"/>
      <c r="BL265" s="5"/>
      <c r="BM265" s="5"/>
      <c r="BN265" s="5"/>
      <c r="BO265" s="5"/>
      <c r="BP265" s="5"/>
      <c r="BQ265" s="4"/>
      <c r="BR265" s="5"/>
      <c r="BS265" s="5"/>
      <c r="BT265" s="5"/>
      <c r="BU265" s="5"/>
      <c r="BV265" s="5"/>
      <c r="BW265" s="5"/>
      <c r="BX265" s="5"/>
      <c r="BY265" s="5"/>
      <c r="BZ265" s="5"/>
      <c r="CA265" s="5"/>
      <c r="CB265" s="5"/>
      <c r="CC265" s="5"/>
      <c r="CD265" s="5"/>
      <c r="CE265" s="5"/>
    </row>
    <row r="266" ht="15.75" customHeight="1">
      <c r="A266" s="5"/>
      <c r="B266" s="5"/>
      <c r="C266" s="5"/>
      <c r="D266" s="5"/>
      <c r="E266" s="5"/>
      <c r="F266" s="5"/>
      <c r="G266" s="5"/>
      <c r="H266" s="81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81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  <c r="BH266" s="5"/>
      <c r="BI266" s="5"/>
      <c r="BJ266" s="5"/>
      <c r="BK266" s="5"/>
      <c r="BL266" s="5"/>
      <c r="BM266" s="5"/>
      <c r="BN266" s="5"/>
      <c r="BO266" s="5"/>
      <c r="BP266" s="5"/>
      <c r="BQ266" s="4"/>
      <c r="BR266" s="5"/>
      <c r="BS266" s="5"/>
      <c r="BT266" s="5"/>
      <c r="BU266" s="5"/>
      <c r="BV266" s="5"/>
      <c r="BW266" s="5"/>
      <c r="BX266" s="5"/>
      <c r="BY266" s="5"/>
      <c r="BZ266" s="5"/>
      <c r="CA266" s="5"/>
      <c r="CB266" s="5"/>
      <c r="CC266" s="5"/>
      <c r="CD266" s="5"/>
      <c r="CE266" s="5"/>
    </row>
    <row r="267" ht="15.75" customHeight="1">
      <c r="A267" s="5"/>
      <c r="B267" s="5"/>
      <c r="C267" s="5"/>
      <c r="D267" s="5"/>
      <c r="E267" s="5"/>
      <c r="F267" s="5"/>
      <c r="G267" s="5"/>
      <c r="H267" s="81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81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4"/>
      <c r="BR267" s="5"/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</row>
    <row r="268" ht="15.75" customHeight="1">
      <c r="A268" s="5"/>
      <c r="B268" s="5"/>
      <c r="C268" s="5"/>
      <c r="D268" s="5"/>
      <c r="E268" s="5"/>
      <c r="F268" s="5"/>
      <c r="G268" s="5"/>
      <c r="H268" s="81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81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  <c r="BH268" s="5"/>
      <c r="BI268" s="5"/>
      <c r="BJ268" s="5"/>
      <c r="BK268" s="5"/>
      <c r="BL268" s="5"/>
      <c r="BM268" s="5"/>
      <c r="BN268" s="5"/>
      <c r="BO268" s="5"/>
      <c r="BP268" s="5"/>
      <c r="BQ268" s="4"/>
      <c r="BR268" s="5"/>
      <c r="BS268" s="5"/>
      <c r="BT268" s="5"/>
      <c r="BU268" s="5"/>
      <c r="BV268" s="5"/>
      <c r="BW268" s="5"/>
      <c r="BX268" s="5"/>
      <c r="BY268" s="5"/>
      <c r="BZ268" s="5"/>
      <c r="CA268" s="5"/>
      <c r="CB268" s="5"/>
      <c r="CC268" s="5"/>
      <c r="CD268" s="5"/>
      <c r="CE268" s="5"/>
    </row>
    <row r="269" ht="15.75" customHeight="1">
      <c r="A269" s="5"/>
      <c r="B269" s="5"/>
      <c r="C269" s="5"/>
      <c r="D269" s="5"/>
      <c r="E269" s="5"/>
      <c r="F269" s="5"/>
      <c r="G269" s="5"/>
      <c r="H269" s="81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81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  <c r="BH269" s="5"/>
      <c r="BI269" s="5"/>
      <c r="BJ269" s="5"/>
      <c r="BK269" s="5"/>
      <c r="BL269" s="5"/>
      <c r="BM269" s="5"/>
      <c r="BN269" s="5"/>
      <c r="BO269" s="5"/>
      <c r="BP269" s="5"/>
      <c r="BQ269" s="4"/>
      <c r="BR269" s="5"/>
      <c r="BS269" s="5"/>
      <c r="BT269" s="5"/>
      <c r="BU269" s="5"/>
      <c r="BV269" s="5"/>
      <c r="BW269" s="5"/>
      <c r="BX269" s="5"/>
      <c r="BY269" s="5"/>
      <c r="BZ269" s="5"/>
      <c r="CA269" s="5"/>
      <c r="CB269" s="5"/>
      <c r="CC269" s="5"/>
      <c r="CD269" s="5"/>
      <c r="CE269" s="5"/>
    </row>
    <row r="270" ht="15.75" customHeight="1">
      <c r="A270" s="5"/>
      <c r="B270" s="5"/>
      <c r="C270" s="5"/>
      <c r="D270" s="5"/>
      <c r="E270" s="5"/>
      <c r="F270" s="5"/>
      <c r="G270" s="5"/>
      <c r="H270" s="81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81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4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</row>
    <row r="271" ht="15.75" customHeight="1">
      <c r="A271" s="5"/>
      <c r="B271" s="5"/>
      <c r="C271" s="5"/>
      <c r="D271" s="5"/>
      <c r="E271" s="5"/>
      <c r="F271" s="5"/>
      <c r="G271" s="5"/>
      <c r="H271" s="81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81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  <c r="BH271" s="5"/>
      <c r="BI271" s="5"/>
      <c r="BJ271" s="5"/>
      <c r="BK271" s="5"/>
      <c r="BL271" s="5"/>
      <c r="BM271" s="5"/>
      <c r="BN271" s="5"/>
      <c r="BO271" s="5"/>
      <c r="BP271" s="5"/>
      <c r="BQ271" s="4"/>
      <c r="BR271" s="5"/>
      <c r="BS271" s="5"/>
      <c r="BT271" s="5"/>
      <c r="BU271" s="5"/>
      <c r="BV271" s="5"/>
      <c r="BW271" s="5"/>
      <c r="BX271" s="5"/>
      <c r="BY271" s="5"/>
      <c r="BZ271" s="5"/>
      <c r="CA271" s="5"/>
      <c r="CB271" s="5"/>
      <c r="CC271" s="5"/>
      <c r="CD271" s="5"/>
      <c r="CE271" s="5"/>
    </row>
    <row r="272" ht="15.75" customHeight="1">
      <c r="A272" s="5"/>
      <c r="B272" s="5"/>
      <c r="C272" s="5"/>
      <c r="D272" s="5"/>
      <c r="E272" s="5"/>
      <c r="F272" s="5"/>
      <c r="G272" s="5"/>
      <c r="H272" s="81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81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5"/>
      <c r="BK272" s="5"/>
      <c r="BL272" s="5"/>
      <c r="BM272" s="5"/>
      <c r="BN272" s="5"/>
      <c r="BO272" s="5"/>
      <c r="BP272" s="5"/>
      <c r="BQ272" s="4"/>
      <c r="BR272" s="5"/>
      <c r="BS272" s="5"/>
      <c r="BT272" s="5"/>
      <c r="BU272" s="5"/>
      <c r="BV272" s="5"/>
      <c r="BW272" s="5"/>
      <c r="BX272" s="5"/>
      <c r="BY272" s="5"/>
      <c r="BZ272" s="5"/>
      <c r="CA272" s="5"/>
      <c r="CB272" s="5"/>
      <c r="CC272" s="5"/>
      <c r="CD272" s="5"/>
      <c r="CE272" s="5"/>
    </row>
    <row r="273" ht="15.75" customHeight="1">
      <c r="A273" s="5"/>
      <c r="B273" s="5"/>
      <c r="C273" s="5"/>
      <c r="D273" s="5"/>
      <c r="E273" s="5"/>
      <c r="F273" s="5"/>
      <c r="G273" s="5"/>
      <c r="H273" s="81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81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4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</row>
    <row r="274" ht="15.75" customHeight="1">
      <c r="A274" s="5"/>
      <c r="B274" s="5"/>
      <c r="C274" s="5"/>
      <c r="D274" s="5"/>
      <c r="E274" s="5"/>
      <c r="F274" s="5"/>
      <c r="G274" s="5"/>
      <c r="H274" s="81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81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4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</row>
    <row r="275" ht="15.75" customHeight="1">
      <c r="A275" s="5"/>
      <c r="B275" s="5"/>
      <c r="C275" s="5"/>
      <c r="D275" s="5"/>
      <c r="E275" s="5"/>
      <c r="F275" s="5"/>
      <c r="G275" s="5"/>
      <c r="H275" s="81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81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5"/>
      <c r="BK275" s="5"/>
      <c r="BL275" s="5"/>
      <c r="BM275" s="5"/>
      <c r="BN275" s="5"/>
      <c r="BO275" s="5"/>
      <c r="BP275" s="5"/>
      <c r="BQ275" s="4"/>
      <c r="BR275" s="5"/>
      <c r="BS275" s="5"/>
      <c r="BT275" s="5"/>
      <c r="BU275" s="5"/>
      <c r="BV275" s="5"/>
      <c r="BW275" s="5"/>
      <c r="BX275" s="5"/>
      <c r="BY275" s="5"/>
      <c r="BZ275" s="5"/>
      <c r="CA275" s="5"/>
      <c r="CB275" s="5"/>
      <c r="CC275" s="5"/>
      <c r="CD275" s="5"/>
      <c r="CE275" s="5"/>
    </row>
    <row r="276" ht="15.75" customHeight="1">
      <c r="A276" s="5"/>
      <c r="B276" s="5"/>
      <c r="C276" s="5"/>
      <c r="D276" s="5"/>
      <c r="E276" s="5"/>
      <c r="F276" s="5"/>
      <c r="G276" s="5"/>
      <c r="H276" s="81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81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  <c r="BH276" s="5"/>
      <c r="BI276" s="5"/>
      <c r="BJ276" s="5"/>
      <c r="BK276" s="5"/>
      <c r="BL276" s="5"/>
      <c r="BM276" s="5"/>
      <c r="BN276" s="5"/>
      <c r="BO276" s="5"/>
      <c r="BP276" s="5"/>
      <c r="BQ276" s="4"/>
      <c r="BR276" s="5"/>
      <c r="BS276" s="5"/>
      <c r="BT276" s="5"/>
      <c r="BU276" s="5"/>
      <c r="BV276" s="5"/>
      <c r="BW276" s="5"/>
      <c r="BX276" s="5"/>
      <c r="BY276" s="5"/>
      <c r="BZ276" s="5"/>
      <c r="CA276" s="5"/>
      <c r="CB276" s="5"/>
      <c r="CC276" s="5"/>
      <c r="CD276" s="5"/>
      <c r="CE276" s="5"/>
    </row>
    <row r="277" ht="15.75" customHeight="1">
      <c r="A277" s="5"/>
      <c r="B277" s="5"/>
      <c r="C277" s="5"/>
      <c r="D277" s="5"/>
      <c r="E277" s="5"/>
      <c r="F277" s="5"/>
      <c r="G277" s="5"/>
      <c r="H277" s="81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81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5"/>
      <c r="BK277" s="5"/>
      <c r="BL277" s="5"/>
      <c r="BM277" s="5"/>
      <c r="BN277" s="5"/>
      <c r="BO277" s="5"/>
      <c r="BP277" s="5"/>
      <c r="BQ277" s="4"/>
      <c r="BR277" s="5"/>
      <c r="BS277" s="5"/>
      <c r="BT277" s="5"/>
      <c r="BU277" s="5"/>
      <c r="BV277" s="5"/>
      <c r="BW277" s="5"/>
      <c r="BX277" s="5"/>
      <c r="BY277" s="5"/>
      <c r="BZ277" s="5"/>
      <c r="CA277" s="5"/>
      <c r="CB277" s="5"/>
      <c r="CC277" s="5"/>
      <c r="CD277" s="5"/>
      <c r="CE277" s="5"/>
    </row>
    <row r="278" ht="15.75" customHeight="1">
      <c r="A278" s="5"/>
      <c r="B278" s="5"/>
      <c r="C278" s="5"/>
      <c r="D278" s="5"/>
      <c r="E278" s="5"/>
      <c r="F278" s="5"/>
      <c r="G278" s="5"/>
      <c r="H278" s="81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81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  <c r="BH278" s="5"/>
      <c r="BI278" s="5"/>
      <c r="BJ278" s="5"/>
      <c r="BK278" s="5"/>
      <c r="BL278" s="5"/>
      <c r="BM278" s="5"/>
      <c r="BN278" s="5"/>
      <c r="BO278" s="5"/>
      <c r="BP278" s="5"/>
      <c r="BQ278" s="4"/>
      <c r="BR278" s="5"/>
      <c r="BS278" s="5"/>
      <c r="BT278" s="5"/>
      <c r="BU278" s="5"/>
      <c r="BV278" s="5"/>
      <c r="BW278" s="5"/>
      <c r="BX278" s="5"/>
      <c r="BY278" s="5"/>
      <c r="BZ278" s="5"/>
      <c r="CA278" s="5"/>
      <c r="CB278" s="5"/>
      <c r="CC278" s="5"/>
      <c r="CD278" s="5"/>
      <c r="CE278" s="5"/>
    </row>
    <row r="279" ht="15.75" customHeight="1">
      <c r="A279" s="5"/>
      <c r="B279" s="5"/>
      <c r="C279" s="5"/>
      <c r="D279" s="5"/>
      <c r="E279" s="5"/>
      <c r="F279" s="5"/>
      <c r="G279" s="5"/>
      <c r="H279" s="81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81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  <c r="BH279" s="5"/>
      <c r="BI279" s="5"/>
      <c r="BJ279" s="5"/>
      <c r="BK279" s="5"/>
      <c r="BL279" s="5"/>
      <c r="BM279" s="5"/>
      <c r="BN279" s="5"/>
      <c r="BO279" s="5"/>
      <c r="BP279" s="5"/>
      <c r="BQ279" s="4"/>
      <c r="BR279" s="5"/>
      <c r="BS279" s="5"/>
      <c r="BT279" s="5"/>
      <c r="BU279" s="5"/>
      <c r="BV279" s="5"/>
      <c r="BW279" s="5"/>
      <c r="BX279" s="5"/>
      <c r="BY279" s="5"/>
      <c r="BZ279" s="5"/>
      <c r="CA279" s="5"/>
      <c r="CB279" s="5"/>
      <c r="CC279" s="5"/>
      <c r="CD279" s="5"/>
      <c r="CE279" s="5"/>
    </row>
    <row r="280" ht="15.75" customHeight="1">
      <c r="A280" s="5"/>
      <c r="B280" s="5"/>
      <c r="C280" s="5"/>
      <c r="D280" s="5"/>
      <c r="E280" s="5"/>
      <c r="F280" s="5"/>
      <c r="G280" s="5"/>
      <c r="H280" s="81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81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5"/>
      <c r="BK280" s="5"/>
      <c r="BL280" s="5"/>
      <c r="BM280" s="5"/>
      <c r="BN280" s="5"/>
      <c r="BO280" s="5"/>
      <c r="BP280" s="5"/>
      <c r="BQ280" s="4"/>
      <c r="BR280" s="5"/>
      <c r="BS280" s="5"/>
      <c r="BT280" s="5"/>
      <c r="BU280" s="5"/>
      <c r="BV280" s="5"/>
      <c r="BW280" s="5"/>
      <c r="BX280" s="5"/>
      <c r="BY280" s="5"/>
      <c r="BZ280" s="5"/>
      <c r="CA280" s="5"/>
      <c r="CB280" s="5"/>
      <c r="CC280" s="5"/>
      <c r="CD280" s="5"/>
      <c r="CE280" s="5"/>
    </row>
    <row r="281" ht="15.75" customHeight="1">
      <c r="A281" s="5"/>
      <c r="B281" s="5"/>
      <c r="C281" s="5"/>
      <c r="D281" s="5"/>
      <c r="E281" s="5"/>
      <c r="F281" s="5"/>
      <c r="G281" s="5"/>
      <c r="H281" s="81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81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  <c r="BH281" s="5"/>
      <c r="BI281" s="5"/>
      <c r="BJ281" s="5"/>
      <c r="BK281" s="5"/>
      <c r="BL281" s="5"/>
      <c r="BM281" s="5"/>
      <c r="BN281" s="5"/>
      <c r="BO281" s="5"/>
      <c r="BP281" s="5"/>
      <c r="BQ281" s="4"/>
      <c r="BR281" s="5"/>
      <c r="BS281" s="5"/>
      <c r="BT281" s="5"/>
      <c r="BU281" s="5"/>
      <c r="BV281" s="5"/>
      <c r="BW281" s="5"/>
      <c r="BX281" s="5"/>
      <c r="BY281" s="5"/>
      <c r="BZ281" s="5"/>
      <c r="CA281" s="5"/>
      <c r="CB281" s="5"/>
      <c r="CC281" s="5"/>
      <c r="CD281" s="5"/>
      <c r="CE281" s="5"/>
    </row>
    <row r="282" ht="15.75" customHeight="1">
      <c r="A282" s="5"/>
      <c r="B282" s="5"/>
      <c r="C282" s="5"/>
      <c r="D282" s="5"/>
      <c r="E282" s="5"/>
      <c r="F282" s="5"/>
      <c r="G282" s="5"/>
      <c r="H282" s="81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81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5"/>
      <c r="BK282" s="5"/>
      <c r="BL282" s="5"/>
      <c r="BM282" s="5"/>
      <c r="BN282" s="5"/>
      <c r="BO282" s="5"/>
      <c r="BP282" s="5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5"/>
    </row>
    <row r="283" ht="15.75" customHeight="1">
      <c r="A283" s="5"/>
      <c r="B283" s="5"/>
      <c r="C283" s="5"/>
      <c r="D283" s="5"/>
      <c r="E283" s="5"/>
      <c r="F283" s="5"/>
      <c r="G283" s="5"/>
      <c r="H283" s="81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81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4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</row>
    <row r="284" ht="15.75" customHeight="1">
      <c r="A284" s="5"/>
      <c r="B284" s="5"/>
      <c r="C284" s="5"/>
      <c r="D284" s="5"/>
      <c r="E284" s="5"/>
      <c r="F284" s="5"/>
      <c r="G284" s="5"/>
      <c r="H284" s="81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81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4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</row>
    <row r="285" ht="15.75" customHeight="1">
      <c r="A285" s="5"/>
      <c r="B285" s="5"/>
      <c r="C285" s="5"/>
      <c r="D285" s="5"/>
      <c r="E285" s="5"/>
      <c r="F285" s="5"/>
      <c r="G285" s="5"/>
      <c r="H285" s="81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81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4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</row>
    <row r="286" ht="15.75" customHeight="1">
      <c r="A286" s="5"/>
      <c r="B286" s="5"/>
      <c r="C286" s="5"/>
      <c r="D286" s="5"/>
      <c r="E286" s="5"/>
      <c r="F286" s="5"/>
      <c r="G286" s="5"/>
      <c r="H286" s="81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81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  <c r="BH286" s="5"/>
      <c r="BI286" s="5"/>
      <c r="BJ286" s="5"/>
      <c r="BK286" s="5"/>
      <c r="BL286" s="5"/>
      <c r="BM286" s="5"/>
      <c r="BN286" s="5"/>
      <c r="BO286" s="5"/>
      <c r="BP286" s="5"/>
      <c r="BQ286" s="4"/>
      <c r="BR286" s="5"/>
      <c r="BS286" s="5"/>
      <c r="BT286" s="5"/>
      <c r="BU286" s="5"/>
      <c r="BV286" s="5"/>
      <c r="BW286" s="5"/>
      <c r="BX286" s="5"/>
      <c r="BY286" s="5"/>
      <c r="BZ286" s="5"/>
      <c r="CA286" s="5"/>
      <c r="CB286" s="5"/>
      <c r="CC286" s="5"/>
      <c r="CD286" s="5"/>
      <c r="CE286" s="5"/>
    </row>
    <row r="287" ht="15.75" customHeight="1">
      <c r="A287" s="5"/>
      <c r="B287" s="5"/>
      <c r="C287" s="5"/>
      <c r="D287" s="5"/>
      <c r="E287" s="5"/>
      <c r="F287" s="5"/>
      <c r="G287" s="5"/>
      <c r="H287" s="81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81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  <c r="BH287" s="5"/>
      <c r="BI287" s="5"/>
      <c r="BJ287" s="5"/>
      <c r="BK287" s="5"/>
      <c r="BL287" s="5"/>
      <c r="BM287" s="5"/>
      <c r="BN287" s="5"/>
      <c r="BO287" s="5"/>
      <c r="BP287" s="5"/>
      <c r="BQ287" s="4"/>
      <c r="BR287" s="5"/>
      <c r="BS287" s="5"/>
      <c r="BT287" s="5"/>
      <c r="BU287" s="5"/>
      <c r="BV287" s="5"/>
      <c r="BW287" s="5"/>
      <c r="BX287" s="5"/>
      <c r="BY287" s="5"/>
      <c r="BZ287" s="5"/>
      <c r="CA287" s="5"/>
      <c r="CB287" s="5"/>
      <c r="CC287" s="5"/>
      <c r="CD287" s="5"/>
      <c r="CE287" s="5"/>
    </row>
    <row r="288" ht="15.75" customHeight="1">
      <c r="A288" s="5"/>
      <c r="B288" s="5"/>
      <c r="C288" s="5"/>
      <c r="D288" s="5"/>
      <c r="E288" s="5"/>
      <c r="F288" s="5"/>
      <c r="G288" s="5"/>
      <c r="H288" s="81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81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5"/>
      <c r="BK288" s="5"/>
      <c r="BL288" s="5"/>
      <c r="BM288" s="5"/>
      <c r="BN288" s="5"/>
      <c r="BO288" s="5"/>
      <c r="BP288" s="5"/>
      <c r="BQ288" s="4"/>
      <c r="BR288" s="5"/>
      <c r="BS288" s="5"/>
      <c r="BT288" s="5"/>
      <c r="BU288" s="5"/>
      <c r="BV288" s="5"/>
      <c r="BW288" s="5"/>
      <c r="BX288" s="5"/>
      <c r="BY288" s="5"/>
      <c r="BZ288" s="5"/>
      <c r="CA288" s="5"/>
      <c r="CB288" s="5"/>
      <c r="CC288" s="5"/>
      <c r="CD288" s="5"/>
      <c r="CE288" s="5"/>
    </row>
    <row r="289" ht="15.75" customHeight="1">
      <c r="A289" s="5"/>
      <c r="B289" s="5"/>
      <c r="C289" s="5"/>
      <c r="D289" s="5"/>
      <c r="E289" s="5"/>
      <c r="F289" s="5"/>
      <c r="G289" s="5"/>
      <c r="H289" s="81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81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5"/>
      <c r="BI289" s="5"/>
      <c r="BJ289" s="5"/>
      <c r="BK289" s="5"/>
      <c r="BL289" s="5"/>
      <c r="BM289" s="5"/>
      <c r="BN289" s="5"/>
      <c r="BO289" s="5"/>
      <c r="BP289" s="5"/>
      <c r="BQ289" s="4"/>
      <c r="BR289" s="5"/>
      <c r="BS289" s="5"/>
      <c r="BT289" s="5"/>
      <c r="BU289" s="5"/>
      <c r="BV289" s="5"/>
      <c r="BW289" s="5"/>
      <c r="BX289" s="5"/>
      <c r="BY289" s="5"/>
      <c r="BZ289" s="5"/>
      <c r="CA289" s="5"/>
      <c r="CB289" s="5"/>
      <c r="CC289" s="5"/>
      <c r="CD289" s="5"/>
      <c r="CE289" s="5"/>
    </row>
    <row r="290" ht="15.75" customHeight="1">
      <c r="A290" s="5"/>
      <c r="B290" s="5"/>
      <c r="C290" s="5"/>
      <c r="D290" s="5"/>
      <c r="E290" s="5"/>
      <c r="F290" s="5"/>
      <c r="G290" s="5"/>
      <c r="H290" s="81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81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5"/>
      <c r="BK290" s="5"/>
      <c r="BL290" s="5"/>
      <c r="BM290" s="5"/>
      <c r="BN290" s="5"/>
      <c r="BO290" s="5"/>
      <c r="BP290" s="5"/>
      <c r="BQ290" s="4"/>
      <c r="BR290" s="5"/>
      <c r="BS290" s="5"/>
      <c r="BT290" s="5"/>
      <c r="BU290" s="5"/>
      <c r="BV290" s="5"/>
      <c r="BW290" s="5"/>
      <c r="BX290" s="5"/>
      <c r="BY290" s="5"/>
      <c r="BZ290" s="5"/>
      <c r="CA290" s="5"/>
      <c r="CB290" s="5"/>
      <c r="CC290" s="5"/>
      <c r="CD290" s="5"/>
      <c r="CE290" s="5"/>
    </row>
    <row r="291" ht="15.75" customHeight="1">
      <c r="A291" s="5"/>
      <c r="B291" s="5"/>
      <c r="C291" s="5"/>
      <c r="D291" s="5"/>
      <c r="E291" s="5"/>
      <c r="F291" s="5"/>
      <c r="G291" s="5"/>
      <c r="H291" s="81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81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5"/>
      <c r="BK291" s="5"/>
      <c r="BL291" s="5"/>
      <c r="BM291" s="5"/>
      <c r="BN291" s="5"/>
      <c r="BO291" s="5"/>
      <c r="BP291" s="5"/>
      <c r="BQ291" s="4"/>
      <c r="BR291" s="5"/>
      <c r="BS291" s="5"/>
      <c r="BT291" s="5"/>
      <c r="BU291" s="5"/>
      <c r="BV291" s="5"/>
      <c r="BW291" s="5"/>
      <c r="BX291" s="5"/>
      <c r="BY291" s="5"/>
      <c r="BZ291" s="5"/>
      <c r="CA291" s="5"/>
      <c r="CB291" s="5"/>
      <c r="CC291" s="5"/>
      <c r="CD291" s="5"/>
      <c r="CE291" s="5"/>
    </row>
    <row r="292" ht="15.75" customHeight="1">
      <c r="A292" s="5"/>
      <c r="B292" s="5"/>
      <c r="C292" s="5"/>
      <c r="D292" s="5"/>
      <c r="E292" s="5"/>
      <c r="F292" s="5"/>
      <c r="G292" s="5"/>
      <c r="H292" s="81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81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  <c r="BH292" s="5"/>
      <c r="BI292" s="5"/>
      <c r="BJ292" s="5"/>
      <c r="BK292" s="5"/>
      <c r="BL292" s="5"/>
      <c r="BM292" s="5"/>
      <c r="BN292" s="5"/>
      <c r="BO292" s="5"/>
      <c r="BP292" s="5"/>
      <c r="BQ292" s="4"/>
      <c r="BR292" s="5"/>
      <c r="BS292" s="5"/>
      <c r="BT292" s="5"/>
      <c r="BU292" s="5"/>
      <c r="BV292" s="5"/>
      <c r="BW292" s="5"/>
      <c r="BX292" s="5"/>
      <c r="BY292" s="5"/>
      <c r="BZ292" s="5"/>
      <c r="CA292" s="5"/>
      <c r="CB292" s="5"/>
      <c r="CC292" s="5"/>
      <c r="CD292" s="5"/>
      <c r="CE292" s="5"/>
    </row>
    <row r="293" ht="15.75" customHeight="1">
      <c r="A293" s="5"/>
      <c r="B293" s="5"/>
      <c r="C293" s="5"/>
      <c r="D293" s="5"/>
      <c r="E293" s="5"/>
      <c r="F293" s="5"/>
      <c r="G293" s="5"/>
      <c r="H293" s="81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81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  <c r="BH293" s="5"/>
      <c r="BI293" s="5"/>
      <c r="BJ293" s="5"/>
      <c r="BK293" s="5"/>
      <c r="BL293" s="5"/>
      <c r="BM293" s="5"/>
      <c r="BN293" s="5"/>
      <c r="BO293" s="5"/>
      <c r="BP293" s="5"/>
      <c r="BQ293" s="4"/>
      <c r="BR293" s="5"/>
      <c r="BS293" s="5"/>
      <c r="BT293" s="5"/>
      <c r="BU293" s="5"/>
      <c r="BV293" s="5"/>
      <c r="BW293" s="5"/>
      <c r="BX293" s="5"/>
      <c r="BY293" s="5"/>
      <c r="BZ293" s="5"/>
      <c r="CA293" s="5"/>
      <c r="CB293" s="5"/>
      <c r="CC293" s="5"/>
      <c r="CD293" s="5"/>
      <c r="CE293" s="5"/>
    </row>
    <row r="294" ht="15.75" customHeight="1">
      <c r="A294" s="5"/>
      <c r="B294" s="5"/>
      <c r="C294" s="5"/>
      <c r="D294" s="5"/>
      <c r="E294" s="5"/>
      <c r="F294" s="5"/>
      <c r="G294" s="5"/>
      <c r="H294" s="81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81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4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</row>
    <row r="295" ht="15.75" customHeight="1">
      <c r="A295" s="5"/>
      <c r="B295" s="5"/>
      <c r="C295" s="5"/>
      <c r="D295" s="5"/>
      <c r="E295" s="5"/>
      <c r="F295" s="5"/>
      <c r="G295" s="5"/>
      <c r="H295" s="81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81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4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</row>
    <row r="296" ht="15.75" customHeight="1">
      <c r="A296" s="5"/>
      <c r="B296" s="5"/>
      <c r="C296" s="5"/>
      <c r="D296" s="5"/>
      <c r="E296" s="5"/>
      <c r="F296" s="5"/>
      <c r="G296" s="5"/>
      <c r="H296" s="81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81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4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</row>
    <row r="297" ht="15.75" customHeight="1">
      <c r="A297" s="5"/>
      <c r="B297" s="5"/>
      <c r="C297" s="5"/>
      <c r="D297" s="5"/>
      <c r="E297" s="5"/>
      <c r="F297" s="5"/>
      <c r="G297" s="5"/>
      <c r="H297" s="81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81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5"/>
      <c r="BK297" s="5"/>
      <c r="BL297" s="5"/>
      <c r="BM297" s="5"/>
      <c r="BN297" s="5"/>
      <c r="BO297" s="5"/>
      <c r="BP297" s="5"/>
      <c r="BQ297" s="4"/>
      <c r="BR297" s="5"/>
      <c r="BS297" s="5"/>
      <c r="BT297" s="5"/>
      <c r="BU297" s="5"/>
      <c r="BV297" s="5"/>
      <c r="BW297" s="5"/>
      <c r="BX297" s="5"/>
      <c r="BY297" s="5"/>
      <c r="BZ297" s="5"/>
      <c r="CA297" s="5"/>
      <c r="CB297" s="5"/>
      <c r="CC297" s="5"/>
      <c r="CD297" s="5"/>
      <c r="CE297" s="5"/>
    </row>
    <row r="298" ht="15.75" customHeight="1">
      <c r="A298" s="5"/>
      <c r="B298" s="5"/>
      <c r="C298" s="5"/>
      <c r="D298" s="5"/>
      <c r="E298" s="5"/>
      <c r="F298" s="5"/>
      <c r="G298" s="5"/>
      <c r="H298" s="81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81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5"/>
      <c r="BK298" s="5"/>
      <c r="BL298" s="5"/>
      <c r="BM298" s="5"/>
      <c r="BN298" s="5"/>
      <c r="BO298" s="5"/>
      <c r="BP298" s="5"/>
      <c r="BQ298" s="4"/>
      <c r="BR298" s="5"/>
      <c r="BS298" s="5"/>
      <c r="BT298" s="5"/>
      <c r="BU298" s="5"/>
      <c r="BV298" s="5"/>
      <c r="BW298" s="5"/>
      <c r="BX298" s="5"/>
      <c r="BY298" s="5"/>
      <c r="BZ298" s="5"/>
      <c r="CA298" s="5"/>
      <c r="CB298" s="5"/>
      <c r="CC298" s="5"/>
      <c r="CD298" s="5"/>
      <c r="CE298" s="5"/>
    </row>
    <row r="299" ht="15.75" customHeight="1">
      <c r="A299" s="5"/>
      <c r="B299" s="5"/>
      <c r="C299" s="5"/>
      <c r="D299" s="5"/>
      <c r="E299" s="5"/>
      <c r="F299" s="5"/>
      <c r="G299" s="5"/>
      <c r="H299" s="81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81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  <c r="BH299" s="5"/>
      <c r="BI299" s="5"/>
      <c r="BJ299" s="5"/>
      <c r="BK299" s="5"/>
      <c r="BL299" s="5"/>
      <c r="BM299" s="5"/>
      <c r="BN299" s="5"/>
      <c r="BO299" s="5"/>
      <c r="BP299" s="5"/>
      <c r="BQ299" s="4"/>
      <c r="BR299" s="5"/>
      <c r="BS299" s="5"/>
      <c r="BT299" s="5"/>
      <c r="BU299" s="5"/>
      <c r="BV299" s="5"/>
      <c r="BW299" s="5"/>
      <c r="BX299" s="5"/>
      <c r="BY299" s="5"/>
      <c r="BZ299" s="5"/>
      <c r="CA299" s="5"/>
      <c r="CB299" s="5"/>
      <c r="CC299" s="5"/>
      <c r="CD299" s="5"/>
      <c r="CE299" s="5"/>
    </row>
    <row r="300" ht="15.75" customHeight="1">
      <c r="A300" s="5"/>
      <c r="B300" s="5"/>
      <c r="C300" s="5"/>
      <c r="D300" s="5"/>
      <c r="E300" s="5"/>
      <c r="F300" s="5"/>
      <c r="G300" s="5"/>
      <c r="H300" s="81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81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  <c r="BH300" s="5"/>
      <c r="BI300" s="5"/>
      <c r="BJ300" s="5"/>
      <c r="BK300" s="5"/>
      <c r="BL300" s="5"/>
      <c r="BM300" s="5"/>
      <c r="BN300" s="5"/>
      <c r="BO300" s="5"/>
      <c r="BP300" s="5"/>
      <c r="BQ300" s="4"/>
      <c r="BR300" s="5"/>
      <c r="BS300" s="5"/>
      <c r="BT300" s="5"/>
      <c r="BU300" s="5"/>
      <c r="BV300" s="5"/>
      <c r="BW300" s="5"/>
      <c r="BX300" s="5"/>
      <c r="BY300" s="5"/>
      <c r="BZ300" s="5"/>
      <c r="CA300" s="5"/>
      <c r="CB300" s="5"/>
      <c r="CC300" s="5"/>
      <c r="CD300" s="5"/>
      <c r="CE300" s="5"/>
    </row>
    <row r="301" ht="15.75" customHeight="1">
      <c r="A301" s="5"/>
      <c r="B301" s="5"/>
      <c r="C301" s="5"/>
      <c r="D301" s="5"/>
      <c r="E301" s="5"/>
      <c r="F301" s="5"/>
      <c r="G301" s="5"/>
      <c r="H301" s="81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81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4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</row>
    <row r="302" ht="15.75" customHeight="1">
      <c r="A302" s="5"/>
      <c r="B302" s="5"/>
      <c r="C302" s="5"/>
      <c r="D302" s="5"/>
      <c r="E302" s="5"/>
      <c r="F302" s="5"/>
      <c r="G302" s="5"/>
      <c r="H302" s="81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81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5"/>
      <c r="BK302" s="5"/>
      <c r="BL302" s="5"/>
      <c r="BM302" s="5"/>
      <c r="BN302" s="5"/>
      <c r="BO302" s="5"/>
      <c r="BP302" s="5"/>
      <c r="BQ302" s="4"/>
      <c r="BR302" s="5"/>
      <c r="BS302" s="5"/>
      <c r="BT302" s="5"/>
      <c r="BU302" s="5"/>
      <c r="BV302" s="5"/>
      <c r="BW302" s="5"/>
      <c r="BX302" s="5"/>
      <c r="BY302" s="5"/>
      <c r="BZ302" s="5"/>
      <c r="CA302" s="5"/>
      <c r="CB302" s="5"/>
      <c r="CC302" s="5"/>
      <c r="CD302" s="5"/>
      <c r="CE302" s="5"/>
    </row>
    <row r="303" ht="15.75" customHeight="1">
      <c r="A303" s="5"/>
      <c r="B303" s="5"/>
      <c r="C303" s="5"/>
      <c r="D303" s="5"/>
      <c r="E303" s="5"/>
      <c r="F303" s="5"/>
      <c r="G303" s="5"/>
      <c r="H303" s="81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81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4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</row>
    <row r="304" ht="15.75" customHeight="1">
      <c r="A304" s="5"/>
      <c r="B304" s="5"/>
      <c r="C304" s="5"/>
      <c r="D304" s="5"/>
      <c r="E304" s="5"/>
      <c r="F304" s="5"/>
      <c r="G304" s="5"/>
      <c r="H304" s="81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81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4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</row>
    <row r="305" ht="15.75" customHeight="1">
      <c r="A305" s="5"/>
      <c r="B305" s="5"/>
      <c r="C305" s="5"/>
      <c r="D305" s="5"/>
      <c r="E305" s="5"/>
      <c r="F305" s="5"/>
      <c r="G305" s="5"/>
      <c r="H305" s="81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81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4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</row>
    <row r="306" ht="15.75" customHeight="1">
      <c r="A306" s="5"/>
      <c r="B306" s="5"/>
      <c r="C306" s="5"/>
      <c r="D306" s="5"/>
      <c r="E306" s="5"/>
      <c r="F306" s="5"/>
      <c r="G306" s="5"/>
      <c r="H306" s="81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81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4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</row>
    <row r="307" ht="15.75" customHeight="1">
      <c r="A307" s="5"/>
      <c r="B307" s="5"/>
      <c r="C307" s="5"/>
      <c r="D307" s="5"/>
      <c r="E307" s="5"/>
      <c r="F307" s="5"/>
      <c r="G307" s="5"/>
      <c r="H307" s="81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81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4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</row>
    <row r="308" ht="15.75" customHeight="1">
      <c r="A308" s="5"/>
      <c r="B308" s="5"/>
      <c r="C308" s="5"/>
      <c r="D308" s="5"/>
      <c r="E308" s="5"/>
      <c r="F308" s="5"/>
      <c r="G308" s="5"/>
      <c r="H308" s="81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81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4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</row>
    <row r="309" ht="15.75" customHeight="1">
      <c r="A309" s="5"/>
      <c r="B309" s="5"/>
      <c r="C309" s="5"/>
      <c r="D309" s="5"/>
      <c r="E309" s="5"/>
      <c r="F309" s="5"/>
      <c r="G309" s="5"/>
      <c r="H309" s="81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81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4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</row>
    <row r="310" ht="15.75" customHeight="1">
      <c r="A310" s="5"/>
      <c r="B310" s="5"/>
      <c r="C310" s="5"/>
      <c r="D310" s="5"/>
      <c r="E310" s="5"/>
      <c r="F310" s="5"/>
      <c r="G310" s="5"/>
      <c r="H310" s="81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81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4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</row>
    <row r="311" ht="15.75" customHeight="1">
      <c r="A311" s="5"/>
      <c r="B311" s="5"/>
      <c r="C311" s="5"/>
      <c r="D311" s="5"/>
      <c r="E311" s="5"/>
      <c r="F311" s="5"/>
      <c r="G311" s="5"/>
      <c r="H311" s="81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81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4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</row>
    <row r="312" ht="15.75" customHeight="1">
      <c r="A312" s="5"/>
      <c r="B312" s="5"/>
      <c r="C312" s="5"/>
      <c r="D312" s="5"/>
      <c r="E312" s="5"/>
      <c r="F312" s="5"/>
      <c r="G312" s="5"/>
      <c r="H312" s="81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81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4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</row>
    <row r="313" ht="15.75" customHeight="1">
      <c r="A313" s="5"/>
      <c r="B313" s="5"/>
      <c r="C313" s="5"/>
      <c r="D313" s="5"/>
      <c r="E313" s="5"/>
      <c r="F313" s="5"/>
      <c r="G313" s="5"/>
      <c r="H313" s="81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81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4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</row>
    <row r="314" ht="15.75" customHeight="1">
      <c r="A314" s="5"/>
      <c r="B314" s="5"/>
      <c r="C314" s="5"/>
      <c r="D314" s="5"/>
      <c r="E314" s="5"/>
      <c r="F314" s="5"/>
      <c r="G314" s="5"/>
      <c r="H314" s="81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81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4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</row>
    <row r="315" ht="15.75" customHeight="1">
      <c r="A315" s="5"/>
      <c r="B315" s="5"/>
      <c r="C315" s="5"/>
      <c r="D315" s="5"/>
      <c r="E315" s="5"/>
      <c r="F315" s="5"/>
      <c r="G315" s="5"/>
      <c r="H315" s="81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81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4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</row>
    <row r="316" ht="15.75" customHeight="1">
      <c r="A316" s="5"/>
      <c r="B316" s="5"/>
      <c r="C316" s="5"/>
      <c r="D316" s="5"/>
      <c r="E316" s="5"/>
      <c r="F316" s="5"/>
      <c r="G316" s="5"/>
      <c r="H316" s="81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81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4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</row>
    <row r="317" ht="15.75" customHeight="1">
      <c r="A317" s="5"/>
      <c r="B317" s="5"/>
      <c r="C317" s="5"/>
      <c r="D317" s="5"/>
      <c r="E317" s="5"/>
      <c r="F317" s="5"/>
      <c r="G317" s="5"/>
      <c r="H317" s="81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81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4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</row>
    <row r="318" ht="15.75" customHeight="1">
      <c r="A318" s="5"/>
      <c r="B318" s="5"/>
      <c r="C318" s="5"/>
      <c r="D318" s="5"/>
      <c r="E318" s="5"/>
      <c r="F318" s="5"/>
      <c r="G318" s="5"/>
      <c r="H318" s="81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81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4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</row>
    <row r="319" ht="15.75" customHeight="1">
      <c r="A319" s="5"/>
      <c r="B319" s="5"/>
      <c r="C319" s="5"/>
      <c r="D319" s="5"/>
      <c r="E319" s="5"/>
      <c r="F319" s="5"/>
      <c r="G319" s="5"/>
      <c r="H319" s="81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81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4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</row>
    <row r="320" ht="15.75" customHeight="1">
      <c r="A320" s="5"/>
      <c r="B320" s="5"/>
      <c r="C320" s="5"/>
      <c r="D320" s="5"/>
      <c r="E320" s="5"/>
      <c r="F320" s="5"/>
      <c r="G320" s="5"/>
      <c r="H320" s="81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81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4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</row>
    <row r="321" ht="15.75" customHeight="1">
      <c r="A321" s="5"/>
      <c r="B321" s="5"/>
      <c r="C321" s="5"/>
      <c r="D321" s="5"/>
      <c r="E321" s="5"/>
      <c r="F321" s="5"/>
      <c r="G321" s="5"/>
      <c r="H321" s="81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81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4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</row>
    <row r="322" ht="15.75" customHeight="1">
      <c r="A322" s="5"/>
      <c r="B322" s="5"/>
      <c r="C322" s="5"/>
      <c r="D322" s="5"/>
      <c r="E322" s="5"/>
      <c r="F322" s="5"/>
      <c r="G322" s="5"/>
      <c r="H322" s="81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81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</row>
    <row r="323" ht="15.75" customHeight="1">
      <c r="A323" s="5"/>
      <c r="B323" s="5"/>
      <c r="C323" s="5"/>
      <c r="D323" s="5"/>
      <c r="E323" s="5"/>
      <c r="F323" s="5"/>
      <c r="G323" s="5"/>
      <c r="H323" s="81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81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4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</row>
    <row r="324" ht="15.75" customHeight="1">
      <c r="A324" s="5"/>
      <c r="B324" s="5"/>
      <c r="C324" s="5"/>
      <c r="D324" s="5"/>
      <c r="E324" s="5"/>
      <c r="F324" s="5"/>
      <c r="G324" s="5"/>
      <c r="H324" s="81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81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4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</row>
    <row r="325" ht="15.75" customHeight="1">
      <c r="A325" s="5"/>
      <c r="B325" s="5"/>
      <c r="C325" s="5"/>
      <c r="D325" s="5"/>
      <c r="E325" s="5"/>
      <c r="F325" s="5"/>
      <c r="G325" s="5"/>
      <c r="H325" s="81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81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4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</row>
    <row r="326" ht="15.75" customHeight="1">
      <c r="A326" s="5"/>
      <c r="B326" s="5"/>
      <c r="C326" s="5"/>
      <c r="D326" s="5"/>
      <c r="E326" s="5"/>
      <c r="F326" s="5"/>
      <c r="G326" s="5"/>
      <c r="H326" s="81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81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4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</row>
    <row r="327" ht="15.75" customHeight="1">
      <c r="A327" s="5"/>
      <c r="B327" s="5"/>
      <c r="C327" s="5"/>
      <c r="D327" s="5"/>
      <c r="E327" s="5"/>
      <c r="F327" s="5"/>
      <c r="G327" s="5"/>
      <c r="H327" s="81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81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4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</row>
    <row r="328" ht="15.75" customHeight="1">
      <c r="A328" s="5"/>
      <c r="B328" s="5"/>
      <c r="C328" s="5"/>
      <c r="D328" s="5"/>
      <c r="E328" s="5"/>
      <c r="F328" s="5"/>
      <c r="G328" s="5"/>
      <c r="H328" s="81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81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4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</row>
    <row r="329" ht="15.75" customHeight="1">
      <c r="A329" s="5"/>
      <c r="B329" s="5"/>
      <c r="C329" s="5"/>
      <c r="D329" s="5"/>
      <c r="E329" s="5"/>
      <c r="F329" s="5"/>
      <c r="G329" s="5"/>
      <c r="H329" s="81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81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4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</row>
    <row r="330" ht="15.75" customHeight="1">
      <c r="A330" s="5"/>
      <c r="B330" s="5"/>
      <c r="C330" s="5"/>
      <c r="D330" s="5"/>
      <c r="E330" s="5"/>
      <c r="F330" s="5"/>
      <c r="G330" s="5"/>
      <c r="H330" s="81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81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4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</row>
    <row r="331" ht="15.75" customHeight="1">
      <c r="A331" s="5"/>
      <c r="B331" s="5"/>
      <c r="C331" s="5"/>
      <c r="D331" s="5"/>
      <c r="E331" s="5"/>
      <c r="F331" s="5"/>
      <c r="G331" s="5"/>
      <c r="H331" s="81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81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4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</row>
    <row r="332" ht="15.75" customHeight="1">
      <c r="A332" s="5"/>
      <c r="B332" s="5"/>
      <c r="C332" s="5"/>
      <c r="D332" s="5"/>
      <c r="E332" s="5"/>
      <c r="F332" s="5"/>
      <c r="G332" s="5"/>
      <c r="H332" s="81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81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4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</row>
    <row r="333" ht="15.75" customHeight="1">
      <c r="A333" s="5"/>
      <c r="B333" s="5"/>
      <c r="C333" s="5"/>
      <c r="D333" s="5"/>
      <c r="E333" s="5"/>
      <c r="F333" s="5"/>
      <c r="G333" s="5"/>
      <c r="H333" s="81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81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4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</row>
    <row r="334" ht="15.75" customHeight="1">
      <c r="A334" s="5"/>
      <c r="B334" s="5"/>
      <c r="C334" s="5"/>
      <c r="D334" s="5"/>
      <c r="E334" s="5"/>
      <c r="F334" s="5"/>
      <c r="G334" s="5"/>
      <c r="H334" s="81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81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4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</row>
    <row r="335" ht="15.75" customHeight="1">
      <c r="A335" s="5"/>
      <c r="B335" s="5"/>
      <c r="C335" s="5"/>
      <c r="D335" s="5"/>
      <c r="E335" s="5"/>
      <c r="F335" s="5"/>
      <c r="G335" s="5"/>
      <c r="H335" s="81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81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4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</row>
    <row r="336" ht="15.75" customHeight="1">
      <c r="A336" s="5"/>
      <c r="B336" s="5"/>
      <c r="C336" s="5"/>
      <c r="D336" s="5"/>
      <c r="E336" s="5"/>
      <c r="F336" s="5"/>
      <c r="G336" s="5"/>
      <c r="H336" s="81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81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4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</row>
    <row r="337" ht="15.75" customHeight="1">
      <c r="A337" s="5"/>
      <c r="B337" s="5"/>
      <c r="C337" s="5"/>
      <c r="D337" s="5"/>
      <c r="E337" s="5"/>
      <c r="F337" s="5"/>
      <c r="G337" s="5"/>
      <c r="H337" s="81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81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4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</row>
    <row r="338" ht="15.75" customHeight="1">
      <c r="A338" s="5"/>
      <c r="B338" s="5"/>
      <c r="C338" s="5"/>
      <c r="D338" s="5"/>
      <c r="E338" s="5"/>
      <c r="F338" s="5"/>
      <c r="G338" s="5"/>
      <c r="H338" s="81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81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4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</row>
    <row r="339" ht="15.75" customHeight="1">
      <c r="A339" s="5"/>
      <c r="B339" s="5"/>
      <c r="C339" s="5"/>
      <c r="D339" s="5"/>
      <c r="E339" s="5"/>
      <c r="F339" s="5"/>
      <c r="G339" s="5"/>
      <c r="H339" s="81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81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4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</row>
    <row r="340" ht="15.75" customHeight="1">
      <c r="A340" s="5"/>
      <c r="B340" s="5"/>
      <c r="C340" s="5"/>
      <c r="D340" s="5"/>
      <c r="E340" s="5"/>
      <c r="F340" s="5"/>
      <c r="G340" s="5"/>
      <c r="H340" s="81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81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4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</row>
    <row r="341" ht="15.75" customHeight="1">
      <c r="A341" s="5"/>
      <c r="B341" s="5"/>
      <c r="C341" s="5"/>
      <c r="D341" s="5"/>
      <c r="E341" s="5"/>
      <c r="F341" s="5"/>
      <c r="G341" s="5"/>
      <c r="H341" s="81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81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4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</row>
    <row r="342" ht="15.75" customHeight="1">
      <c r="A342" s="5"/>
      <c r="B342" s="5"/>
      <c r="C342" s="5"/>
      <c r="D342" s="5"/>
      <c r="E342" s="5"/>
      <c r="F342" s="5"/>
      <c r="G342" s="5"/>
      <c r="H342" s="81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81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4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</row>
    <row r="343" ht="15.75" customHeight="1">
      <c r="A343" s="5"/>
      <c r="B343" s="5"/>
      <c r="C343" s="5"/>
      <c r="D343" s="5"/>
      <c r="E343" s="5"/>
      <c r="F343" s="5"/>
      <c r="G343" s="5"/>
      <c r="H343" s="81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81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4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</row>
    <row r="344" ht="15.75" customHeight="1">
      <c r="A344" s="5"/>
      <c r="B344" s="5"/>
      <c r="C344" s="5"/>
      <c r="D344" s="5"/>
      <c r="E344" s="5"/>
      <c r="F344" s="5"/>
      <c r="G344" s="5"/>
      <c r="H344" s="81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81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4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</row>
    <row r="345" ht="15.75" customHeight="1">
      <c r="A345" s="5"/>
      <c r="B345" s="5"/>
      <c r="C345" s="5"/>
      <c r="D345" s="5"/>
      <c r="E345" s="5"/>
      <c r="F345" s="5"/>
      <c r="G345" s="5"/>
      <c r="H345" s="81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81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4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</row>
    <row r="346" ht="15.75" customHeight="1">
      <c r="A346" s="5"/>
      <c r="B346" s="5"/>
      <c r="C346" s="5"/>
      <c r="D346" s="5"/>
      <c r="E346" s="5"/>
      <c r="F346" s="5"/>
      <c r="G346" s="5"/>
      <c r="H346" s="81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81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4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</row>
    <row r="347" ht="15.75" customHeight="1">
      <c r="A347" s="5"/>
      <c r="B347" s="5"/>
      <c r="C347" s="5"/>
      <c r="D347" s="5"/>
      <c r="E347" s="5"/>
      <c r="F347" s="5"/>
      <c r="G347" s="5"/>
      <c r="H347" s="81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81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4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</row>
    <row r="348" ht="15.75" customHeight="1">
      <c r="A348" s="5"/>
      <c r="B348" s="5"/>
      <c r="C348" s="5"/>
      <c r="D348" s="5"/>
      <c r="E348" s="5"/>
      <c r="F348" s="5"/>
      <c r="G348" s="5"/>
      <c r="H348" s="81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81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4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</row>
    <row r="349" ht="15.75" customHeight="1">
      <c r="A349" s="5"/>
      <c r="B349" s="5"/>
      <c r="C349" s="5"/>
      <c r="D349" s="5"/>
      <c r="E349" s="5"/>
      <c r="F349" s="5"/>
      <c r="G349" s="5"/>
      <c r="H349" s="81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81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4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</row>
    <row r="350" ht="15.75" customHeight="1">
      <c r="A350" s="5"/>
      <c r="B350" s="5"/>
      <c r="C350" s="5"/>
      <c r="D350" s="5"/>
      <c r="E350" s="5"/>
      <c r="F350" s="5"/>
      <c r="G350" s="5"/>
      <c r="H350" s="81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81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4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</row>
    <row r="351" ht="15.75" customHeight="1">
      <c r="A351" s="5"/>
      <c r="B351" s="5"/>
      <c r="C351" s="5"/>
      <c r="D351" s="5"/>
      <c r="E351" s="5"/>
      <c r="F351" s="5"/>
      <c r="G351" s="5"/>
      <c r="H351" s="81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81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4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</row>
    <row r="352" ht="15.75" customHeight="1">
      <c r="A352" s="5"/>
      <c r="B352" s="5"/>
      <c r="C352" s="5"/>
      <c r="D352" s="5"/>
      <c r="E352" s="5"/>
      <c r="F352" s="5"/>
      <c r="G352" s="5"/>
      <c r="H352" s="81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81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4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</row>
    <row r="353" ht="15.75" customHeight="1">
      <c r="A353" s="5"/>
      <c r="B353" s="5"/>
      <c r="C353" s="5"/>
      <c r="D353" s="5"/>
      <c r="E353" s="5"/>
      <c r="F353" s="5"/>
      <c r="G353" s="5"/>
      <c r="H353" s="81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81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4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</row>
    <row r="354" ht="15.75" customHeight="1">
      <c r="A354" s="5"/>
      <c r="B354" s="5"/>
      <c r="C354" s="5"/>
      <c r="D354" s="5"/>
      <c r="E354" s="5"/>
      <c r="F354" s="5"/>
      <c r="G354" s="5"/>
      <c r="H354" s="81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81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4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</row>
    <row r="355" ht="15.75" customHeight="1">
      <c r="A355" s="5"/>
      <c r="B355" s="5"/>
      <c r="C355" s="5"/>
      <c r="D355" s="5"/>
      <c r="E355" s="5"/>
      <c r="F355" s="5"/>
      <c r="G355" s="5"/>
      <c r="H355" s="81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81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4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</row>
    <row r="356" ht="15.75" customHeight="1">
      <c r="A356" s="5"/>
      <c r="B356" s="5"/>
      <c r="C356" s="5"/>
      <c r="D356" s="5"/>
      <c r="E356" s="5"/>
      <c r="F356" s="5"/>
      <c r="G356" s="5"/>
      <c r="H356" s="81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81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4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</row>
    <row r="357" ht="15.75" customHeight="1">
      <c r="A357" s="5"/>
      <c r="B357" s="5"/>
      <c r="C357" s="5"/>
      <c r="D357" s="5"/>
      <c r="E357" s="5"/>
      <c r="F357" s="5"/>
      <c r="G357" s="5"/>
      <c r="H357" s="81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81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4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</row>
    <row r="358" ht="15.75" customHeight="1">
      <c r="A358" s="5"/>
      <c r="B358" s="5"/>
      <c r="C358" s="5"/>
      <c r="D358" s="5"/>
      <c r="E358" s="5"/>
      <c r="F358" s="5"/>
      <c r="G358" s="5"/>
      <c r="H358" s="81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81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4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</row>
    <row r="359" ht="15.75" customHeight="1">
      <c r="A359" s="5"/>
      <c r="B359" s="5"/>
      <c r="C359" s="5"/>
      <c r="D359" s="5"/>
      <c r="E359" s="5"/>
      <c r="F359" s="5"/>
      <c r="G359" s="5"/>
      <c r="H359" s="81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81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4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</row>
    <row r="360" ht="15.75" customHeight="1">
      <c r="A360" s="5"/>
      <c r="B360" s="5"/>
      <c r="C360" s="5"/>
      <c r="D360" s="5"/>
      <c r="E360" s="5"/>
      <c r="F360" s="5"/>
      <c r="G360" s="5"/>
      <c r="H360" s="81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81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4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</row>
    <row r="361" ht="15.75" customHeight="1">
      <c r="A361" s="5"/>
      <c r="B361" s="5"/>
      <c r="C361" s="5"/>
      <c r="D361" s="5"/>
      <c r="E361" s="5"/>
      <c r="F361" s="5"/>
      <c r="G361" s="5"/>
      <c r="H361" s="81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81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4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</row>
    <row r="362" ht="15.75" customHeight="1">
      <c r="A362" s="5"/>
      <c r="B362" s="5"/>
      <c r="C362" s="5"/>
      <c r="D362" s="5"/>
      <c r="E362" s="5"/>
      <c r="F362" s="5"/>
      <c r="G362" s="5"/>
      <c r="H362" s="81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81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</row>
    <row r="363" ht="15.75" customHeight="1">
      <c r="A363" s="5"/>
      <c r="B363" s="5"/>
      <c r="C363" s="5"/>
      <c r="D363" s="5"/>
      <c r="E363" s="5"/>
      <c r="F363" s="5"/>
      <c r="G363" s="5"/>
      <c r="H363" s="81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81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4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</row>
    <row r="364" ht="15.75" customHeight="1">
      <c r="A364" s="5"/>
      <c r="B364" s="5"/>
      <c r="C364" s="5"/>
      <c r="D364" s="5"/>
      <c r="E364" s="5"/>
      <c r="F364" s="5"/>
      <c r="G364" s="5"/>
      <c r="H364" s="81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81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4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</row>
    <row r="365" ht="15.75" customHeight="1">
      <c r="A365" s="5"/>
      <c r="B365" s="5"/>
      <c r="C365" s="5"/>
      <c r="D365" s="5"/>
      <c r="E365" s="5"/>
      <c r="F365" s="5"/>
      <c r="G365" s="5"/>
      <c r="H365" s="81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81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4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</row>
    <row r="366" ht="15.75" customHeight="1">
      <c r="A366" s="5"/>
      <c r="B366" s="5"/>
      <c r="C366" s="5"/>
      <c r="D366" s="5"/>
      <c r="E366" s="5"/>
      <c r="F366" s="5"/>
      <c r="G366" s="5"/>
      <c r="H366" s="81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81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4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</row>
    <row r="367" ht="15.75" customHeight="1">
      <c r="A367" s="5"/>
      <c r="B367" s="5"/>
      <c r="C367" s="5"/>
      <c r="D367" s="5"/>
      <c r="E367" s="5"/>
      <c r="F367" s="5"/>
      <c r="G367" s="5"/>
      <c r="H367" s="81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81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4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</row>
    <row r="368" ht="15.75" customHeight="1">
      <c r="A368" s="5"/>
      <c r="B368" s="5"/>
      <c r="C368" s="5"/>
      <c r="D368" s="5"/>
      <c r="E368" s="5"/>
      <c r="F368" s="5"/>
      <c r="G368" s="5"/>
      <c r="H368" s="81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81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4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</row>
    <row r="369" ht="15.75" customHeight="1">
      <c r="A369" s="5"/>
      <c r="B369" s="5"/>
      <c r="C369" s="5"/>
      <c r="D369" s="5"/>
      <c r="E369" s="5"/>
      <c r="F369" s="5"/>
      <c r="G369" s="5"/>
      <c r="H369" s="81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81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4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</row>
    <row r="370" ht="15.75" customHeight="1">
      <c r="A370" s="5"/>
      <c r="B370" s="5"/>
      <c r="C370" s="5"/>
      <c r="D370" s="5"/>
      <c r="E370" s="5"/>
      <c r="F370" s="5"/>
      <c r="G370" s="5"/>
      <c r="H370" s="81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81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4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</row>
    <row r="371" ht="15.75" customHeight="1">
      <c r="A371" s="5"/>
      <c r="B371" s="5"/>
      <c r="C371" s="5"/>
      <c r="D371" s="5"/>
      <c r="E371" s="5"/>
      <c r="F371" s="5"/>
      <c r="G371" s="5"/>
      <c r="H371" s="81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81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4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</row>
    <row r="372" ht="15.75" customHeight="1">
      <c r="A372" s="5"/>
      <c r="B372" s="5"/>
      <c r="C372" s="5"/>
      <c r="D372" s="5"/>
      <c r="E372" s="5"/>
      <c r="F372" s="5"/>
      <c r="G372" s="5"/>
      <c r="H372" s="81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81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4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</row>
    <row r="373" ht="15.75" customHeight="1">
      <c r="A373" s="5"/>
      <c r="B373" s="5"/>
      <c r="C373" s="5"/>
      <c r="D373" s="5"/>
      <c r="E373" s="5"/>
      <c r="F373" s="5"/>
      <c r="G373" s="5"/>
      <c r="H373" s="81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81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4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</row>
    <row r="374" ht="15.75" customHeight="1">
      <c r="A374" s="5"/>
      <c r="B374" s="5"/>
      <c r="C374" s="5"/>
      <c r="D374" s="5"/>
      <c r="E374" s="5"/>
      <c r="F374" s="5"/>
      <c r="G374" s="5"/>
      <c r="H374" s="81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81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4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</row>
    <row r="375" ht="15.75" customHeight="1">
      <c r="A375" s="5"/>
      <c r="B375" s="5"/>
      <c r="C375" s="5"/>
      <c r="D375" s="5"/>
      <c r="E375" s="5"/>
      <c r="F375" s="5"/>
      <c r="G375" s="5"/>
      <c r="H375" s="81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81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4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</row>
    <row r="376" ht="15.75" customHeight="1">
      <c r="A376" s="5"/>
      <c r="B376" s="5"/>
      <c r="C376" s="5"/>
      <c r="D376" s="5"/>
      <c r="E376" s="5"/>
      <c r="F376" s="5"/>
      <c r="G376" s="5"/>
      <c r="H376" s="81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81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4"/>
      <c r="BR376" s="5"/>
      <c r="BS376" s="5"/>
      <c r="BT376" s="5"/>
      <c r="BU376" s="5"/>
      <c r="BV376" s="5"/>
      <c r="BW376" s="5"/>
      <c r="BX376" s="5"/>
      <c r="BY376" s="5"/>
      <c r="BZ376" s="5"/>
      <c r="CA376" s="5"/>
      <c r="CB376" s="5"/>
      <c r="CC376" s="5"/>
      <c r="CD376" s="5"/>
      <c r="CE376" s="5"/>
    </row>
    <row r="377" ht="15.75" customHeight="1">
      <c r="A377" s="5"/>
      <c r="B377" s="5"/>
      <c r="C377" s="5"/>
      <c r="D377" s="5"/>
      <c r="E377" s="5"/>
      <c r="F377" s="5"/>
      <c r="G377" s="5"/>
      <c r="H377" s="81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81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4"/>
      <c r="BR377" s="5"/>
      <c r="BS377" s="5"/>
      <c r="BT377" s="5"/>
      <c r="BU377" s="5"/>
      <c r="BV377" s="5"/>
      <c r="BW377" s="5"/>
      <c r="BX377" s="5"/>
      <c r="BY377" s="5"/>
      <c r="BZ377" s="5"/>
      <c r="CA377" s="5"/>
      <c r="CB377" s="5"/>
      <c r="CC377" s="5"/>
      <c r="CD377" s="5"/>
      <c r="CE377" s="5"/>
    </row>
    <row r="378" ht="15.75" customHeight="1">
      <c r="A378" s="5"/>
      <c r="B378" s="5"/>
      <c r="C378" s="5"/>
      <c r="D378" s="5"/>
      <c r="E378" s="5"/>
      <c r="F378" s="5"/>
      <c r="G378" s="5"/>
      <c r="H378" s="81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81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4"/>
      <c r="BR378" s="5"/>
      <c r="BS378" s="5"/>
      <c r="BT378" s="5"/>
      <c r="BU378" s="5"/>
      <c r="BV378" s="5"/>
      <c r="BW378" s="5"/>
      <c r="BX378" s="5"/>
      <c r="BY378" s="5"/>
      <c r="BZ378" s="5"/>
      <c r="CA378" s="5"/>
      <c r="CB378" s="5"/>
      <c r="CC378" s="5"/>
      <c r="CD378" s="5"/>
      <c r="CE378" s="5"/>
    </row>
    <row r="379" ht="15.75" customHeight="1">
      <c r="A379" s="5"/>
      <c r="B379" s="5"/>
      <c r="C379" s="5"/>
      <c r="D379" s="5"/>
      <c r="E379" s="5"/>
      <c r="F379" s="5"/>
      <c r="G379" s="5"/>
      <c r="H379" s="81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81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4"/>
      <c r="BR379" s="5"/>
      <c r="BS379" s="5"/>
      <c r="BT379" s="5"/>
      <c r="BU379" s="5"/>
      <c r="BV379" s="5"/>
      <c r="BW379" s="5"/>
      <c r="BX379" s="5"/>
      <c r="BY379" s="5"/>
      <c r="BZ379" s="5"/>
      <c r="CA379" s="5"/>
      <c r="CB379" s="5"/>
      <c r="CC379" s="5"/>
      <c r="CD379" s="5"/>
      <c r="CE379" s="5"/>
    </row>
    <row r="380" ht="15.75" customHeight="1">
      <c r="A380" s="5"/>
      <c r="B380" s="5"/>
      <c r="C380" s="5"/>
      <c r="D380" s="5"/>
      <c r="E380" s="5"/>
      <c r="F380" s="5"/>
      <c r="G380" s="5"/>
      <c r="H380" s="81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81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4"/>
      <c r="BR380" s="5"/>
      <c r="BS380" s="5"/>
      <c r="BT380" s="5"/>
      <c r="BU380" s="5"/>
      <c r="BV380" s="5"/>
      <c r="BW380" s="5"/>
      <c r="BX380" s="5"/>
      <c r="BY380" s="5"/>
      <c r="BZ380" s="5"/>
      <c r="CA380" s="5"/>
      <c r="CB380" s="5"/>
      <c r="CC380" s="5"/>
      <c r="CD380" s="5"/>
      <c r="CE380" s="5"/>
    </row>
    <row r="381" ht="15.75" customHeight="1">
      <c r="A381" s="5"/>
      <c r="B381" s="5"/>
      <c r="C381" s="5"/>
      <c r="D381" s="5"/>
      <c r="E381" s="5"/>
      <c r="F381" s="5"/>
      <c r="G381" s="5"/>
      <c r="H381" s="81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81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4"/>
      <c r="BR381" s="5"/>
      <c r="BS381" s="5"/>
      <c r="BT381" s="5"/>
      <c r="BU381" s="5"/>
      <c r="BV381" s="5"/>
      <c r="BW381" s="5"/>
      <c r="BX381" s="5"/>
      <c r="BY381" s="5"/>
      <c r="BZ381" s="5"/>
      <c r="CA381" s="5"/>
      <c r="CB381" s="5"/>
      <c r="CC381" s="5"/>
      <c r="CD381" s="5"/>
      <c r="CE381" s="5"/>
    </row>
    <row r="382" ht="15.75" customHeight="1">
      <c r="A382" s="5"/>
      <c r="B382" s="5"/>
      <c r="C382" s="5"/>
      <c r="D382" s="5"/>
      <c r="E382" s="5"/>
      <c r="F382" s="5"/>
      <c r="G382" s="5"/>
      <c r="H382" s="81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81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4"/>
      <c r="BR382" s="5"/>
      <c r="BS382" s="5"/>
      <c r="BT382" s="5"/>
      <c r="BU382" s="5"/>
      <c r="BV382" s="5"/>
      <c r="BW382" s="5"/>
      <c r="BX382" s="5"/>
      <c r="BY382" s="5"/>
      <c r="BZ382" s="5"/>
      <c r="CA382" s="5"/>
      <c r="CB382" s="5"/>
      <c r="CC382" s="5"/>
      <c r="CD382" s="5"/>
      <c r="CE382" s="5"/>
    </row>
    <row r="383" ht="15.75" customHeight="1">
      <c r="A383" s="5"/>
      <c r="B383" s="5"/>
      <c r="C383" s="5"/>
      <c r="D383" s="5"/>
      <c r="E383" s="5"/>
      <c r="F383" s="5"/>
      <c r="G383" s="5"/>
      <c r="H383" s="81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81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4"/>
      <c r="BR383" s="5"/>
      <c r="BS383" s="5"/>
      <c r="BT383" s="5"/>
      <c r="BU383" s="5"/>
      <c r="BV383" s="5"/>
      <c r="BW383" s="5"/>
      <c r="BX383" s="5"/>
      <c r="BY383" s="5"/>
      <c r="BZ383" s="5"/>
      <c r="CA383" s="5"/>
      <c r="CB383" s="5"/>
      <c r="CC383" s="5"/>
      <c r="CD383" s="5"/>
      <c r="CE383" s="5"/>
    </row>
    <row r="384" ht="15.75" customHeight="1">
      <c r="A384" s="5"/>
      <c r="B384" s="5"/>
      <c r="C384" s="5"/>
      <c r="D384" s="5"/>
      <c r="E384" s="5"/>
      <c r="F384" s="5"/>
      <c r="G384" s="5"/>
      <c r="H384" s="81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81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4"/>
      <c r="BR384" s="5"/>
      <c r="BS384" s="5"/>
      <c r="BT384" s="5"/>
      <c r="BU384" s="5"/>
      <c r="BV384" s="5"/>
      <c r="BW384" s="5"/>
      <c r="BX384" s="5"/>
      <c r="BY384" s="5"/>
      <c r="BZ384" s="5"/>
      <c r="CA384" s="5"/>
      <c r="CB384" s="5"/>
      <c r="CC384" s="5"/>
      <c r="CD384" s="5"/>
      <c r="CE384" s="5"/>
    </row>
    <row r="385" ht="15.75" customHeight="1">
      <c r="A385" s="5"/>
      <c r="B385" s="5"/>
      <c r="C385" s="5"/>
      <c r="D385" s="5"/>
      <c r="E385" s="5"/>
      <c r="F385" s="5"/>
      <c r="G385" s="5"/>
      <c r="H385" s="81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81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4"/>
      <c r="BR385" s="5"/>
      <c r="BS385" s="5"/>
      <c r="BT385" s="5"/>
      <c r="BU385" s="5"/>
      <c r="BV385" s="5"/>
      <c r="BW385" s="5"/>
      <c r="BX385" s="5"/>
      <c r="BY385" s="5"/>
      <c r="BZ385" s="5"/>
      <c r="CA385" s="5"/>
      <c r="CB385" s="5"/>
      <c r="CC385" s="5"/>
      <c r="CD385" s="5"/>
      <c r="CE385" s="5"/>
    </row>
    <row r="386" ht="15.75" customHeight="1">
      <c r="A386" s="5"/>
      <c r="B386" s="5"/>
      <c r="C386" s="5"/>
      <c r="D386" s="5"/>
      <c r="E386" s="5"/>
      <c r="F386" s="5"/>
      <c r="G386" s="5"/>
      <c r="H386" s="81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81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4"/>
      <c r="BR386" s="5"/>
      <c r="BS386" s="5"/>
      <c r="BT386" s="5"/>
      <c r="BU386" s="5"/>
      <c r="BV386" s="5"/>
      <c r="BW386" s="5"/>
      <c r="BX386" s="5"/>
      <c r="BY386" s="5"/>
      <c r="BZ386" s="5"/>
      <c r="CA386" s="5"/>
      <c r="CB386" s="5"/>
      <c r="CC386" s="5"/>
      <c r="CD386" s="5"/>
      <c r="CE386" s="5"/>
    </row>
    <row r="387" ht="15.75" customHeight="1">
      <c r="A387" s="5"/>
      <c r="B387" s="5"/>
      <c r="C387" s="5"/>
      <c r="D387" s="5"/>
      <c r="E387" s="5"/>
      <c r="F387" s="5"/>
      <c r="G387" s="5"/>
      <c r="H387" s="81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81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4"/>
      <c r="BR387" s="5"/>
      <c r="BS387" s="5"/>
      <c r="BT387" s="5"/>
      <c r="BU387" s="5"/>
      <c r="BV387" s="5"/>
      <c r="BW387" s="5"/>
      <c r="BX387" s="5"/>
      <c r="BY387" s="5"/>
      <c r="BZ387" s="5"/>
      <c r="CA387" s="5"/>
      <c r="CB387" s="5"/>
      <c r="CC387" s="5"/>
      <c r="CD387" s="5"/>
      <c r="CE387" s="5"/>
    </row>
    <row r="388" ht="15.75" customHeight="1">
      <c r="A388" s="5"/>
      <c r="B388" s="5"/>
      <c r="C388" s="5"/>
      <c r="D388" s="5"/>
      <c r="E388" s="5"/>
      <c r="F388" s="5"/>
      <c r="G388" s="5"/>
      <c r="H388" s="81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81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4"/>
      <c r="BR388" s="5"/>
      <c r="BS388" s="5"/>
      <c r="BT388" s="5"/>
      <c r="BU388" s="5"/>
      <c r="BV388" s="5"/>
      <c r="BW388" s="5"/>
      <c r="BX388" s="5"/>
      <c r="BY388" s="5"/>
      <c r="BZ388" s="5"/>
      <c r="CA388" s="5"/>
      <c r="CB388" s="5"/>
      <c r="CC388" s="5"/>
      <c r="CD388" s="5"/>
      <c r="CE388" s="5"/>
    </row>
    <row r="389" ht="15.75" customHeight="1">
      <c r="A389" s="5"/>
      <c r="B389" s="5"/>
      <c r="C389" s="5"/>
      <c r="D389" s="5"/>
      <c r="E389" s="5"/>
      <c r="F389" s="5"/>
      <c r="G389" s="5"/>
      <c r="H389" s="81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81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4"/>
      <c r="BR389" s="5"/>
      <c r="BS389" s="5"/>
      <c r="BT389" s="5"/>
      <c r="BU389" s="5"/>
      <c r="BV389" s="5"/>
      <c r="BW389" s="5"/>
      <c r="BX389" s="5"/>
      <c r="BY389" s="5"/>
      <c r="BZ389" s="5"/>
      <c r="CA389" s="5"/>
      <c r="CB389" s="5"/>
      <c r="CC389" s="5"/>
      <c r="CD389" s="5"/>
      <c r="CE389" s="5"/>
    </row>
    <row r="390" ht="15.75" customHeight="1">
      <c r="A390" s="5"/>
      <c r="B390" s="5"/>
      <c r="C390" s="5"/>
      <c r="D390" s="5"/>
      <c r="E390" s="5"/>
      <c r="F390" s="5"/>
      <c r="G390" s="5"/>
      <c r="H390" s="81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81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4"/>
      <c r="BR390" s="5"/>
      <c r="BS390" s="5"/>
      <c r="BT390" s="5"/>
      <c r="BU390" s="5"/>
      <c r="BV390" s="5"/>
      <c r="BW390" s="5"/>
      <c r="BX390" s="5"/>
      <c r="BY390" s="5"/>
      <c r="BZ390" s="5"/>
      <c r="CA390" s="5"/>
      <c r="CB390" s="5"/>
      <c r="CC390" s="5"/>
      <c r="CD390" s="5"/>
      <c r="CE390" s="5"/>
    </row>
    <row r="391" ht="15.75" customHeight="1">
      <c r="A391" s="5"/>
      <c r="B391" s="5"/>
      <c r="C391" s="5"/>
      <c r="D391" s="5"/>
      <c r="E391" s="5"/>
      <c r="F391" s="5"/>
      <c r="G391" s="5"/>
      <c r="H391" s="81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81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4"/>
      <c r="BR391" s="5"/>
      <c r="BS391" s="5"/>
      <c r="BT391" s="5"/>
      <c r="BU391" s="5"/>
      <c r="BV391" s="5"/>
      <c r="BW391" s="5"/>
      <c r="BX391" s="5"/>
      <c r="BY391" s="5"/>
      <c r="BZ391" s="5"/>
      <c r="CA391" s="5"/>
      <c r="CB391" s="5"/>
      <c r="CC391" s="5"/>
      <c r="CD391" s="5"/>
      <c r="CE391" s="5"/>
    </row>
    <row r="392" ht="15.75" customHeight="1">
      <c r="A392" s="5"/>
      <c r="B392" s="5"/>
      <c r="C392" s="5"/>
      <c r="D392" s="5"/>
      <c r="E392" s="5"/>
      <c r="F392" s="5"/>
      <c r="G392" s="5"/>
      <c r="H392" s="81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81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4"/>
      <c r="BR392" s="5"/>
      <c r="BS392" s="5"/>
      <c r="BT392" s="5"/>
      <c r="BU392" s="5"/>
      <c r="BV392" s="5"/>
      <c r="BW392" s="5"/>
      <c r="BX392" s="5"/>
      <c r="BY392" s="5"/>
      <c r="BZ392" s="5"/>
      <c r="CA392" s="5"/>
      <c r="CB392" s="5"/>
      <c r="CC392" s="5"/>
      <c r="CD392" s="5"/>
      <c r="CE392" s="5"/>
    </row>
    <row r="393" ht="15.75" customHeight="1">
      <c r="A393" s="5"/>
      <c r="B393" s="5"/>
      <c r="C393" s="5"/>
      <c r="D393" s="5"/>
      <c r="E393" s="5"/>
      <c r="F393" s="5"/>
      <c r="G393" s="5"/>
      <c r="H393" s="81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81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4"/>
      <c r="BR393" s="5"/>
      <c r="BS393" s="5"/>
      <c r="BT393" s="5"/>
      <c r="BU393" s="5"/>
      <c r="BV393" s="5"/>
      <c r="BW393" s="5"/>
      <c r="BX393" s="5"/>
      <c r="BY393" s="5"/>
      <c r="BZ393" s="5"/>
      <c r="CA393" s="5"/>
      <c r="CB393" s="5"/>
      <c r="CC393" s="5"/>
      <c r="CD393" s="5"/>
      <c r="CE393" s="5"/>
    </row>
    <row r="394" ht="15.75" customHeight="1">
      <c r="A394" s="5"/>
      <c r="B394" s="5"/>
      <c r="C394" s="5"/>
      <c r="D394" s="5"/>
      <c r="E394" s="5"/>
      <c r="F394" s="5"/>
      <c r="G394" s="5"/>
      <c r="H394" s="81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81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4"/>
      <c r="BR394" s="5"/>
      <c r="BS394" s="5"/>
      <c r="BT394" s="5"/>
      <c r="BU394" s="5"/>
      <c r="BV394" s="5"/>
      <c r="BW394" s="5"/>
      <c r="BX394" s="5"/>
      <c r="BY394" s="5"/>
      <c r="BZ394" s="5"/>
      <c r="CA394" s="5"/>
      <c r="CB394" s="5"/>
      <c r="CC394" s="5"/>
      <c r="CD394" s="5"/>
      <c r="CE394" s="5"/>
    </row>
    <row r="395" ht="15.75" customHeight="1">
      <c r="A395" s="5"/>
      <c r="B395" s="5"/>
      <c r="C395" s="5"/>
      <c r="D395" s="5"/>
      <c r="E395" s="5"/>
      <c r="F395" s="5"/>
      <c r="G395" s="5"/>
      <c r="H395" s="81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81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4"/>
      <c r="BR395" s="5"/>
      <c r="BS395" s="5"/>
      <c r="BT395" s="5"/>
      <c r="BU395" s="5"/>
      <c r="BV395" s="5"/>
      <c r="BW395" s="5"/>
      <c r="BX395" s="5"/>
      <c r="BY395" s="5"/>
      <c r="BZ395" s="5"/>
      <c r="CA395" s="5"/>
      <c r="CB395" s="5"/>
      <c r="CC395" s="5"/>
      <c r="CD395" s="5"/>
      <c r="CE395" s="5"/>
    </row>
    <row r="396" ht="15.75" customHeight="1">
      <c r="A396" s="5"/>
      <c r="B396" s="5"/>
      <c r="C396" s="5"/>
      <c r="D396" s="5"/>
      <c r="E396" s="5"/>
      <c r="F396" s="5"/>
      <c r="G396" s="5"/>
      <c r="H396" s="81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81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4"/>
      <c r="BR396" s="5"/>
      <c r="BS396" s="5"/>
      <c r="BT396" s="5"/>
      <c r="BU396" s="5"/>
      <c r="BV396" s="5"/>
      <c r="BW396" s="5"/>
      <c r="BX396" s="5"/>
      <c r="BY396" s="5"/>
      <c r="BZ396" s="5"/>
      <c r="CA396" s="5"/>
      <c r="CB396" s="5"/>
      <c r="CC396" s="5"/>
      <c r="CD396" s="5"/>
      <c r="CE396" s="5"/>
    </row>
    <row r="397" ht="15.75" customHeight="1">
      <c r="A397" s="5"/>
      <c r="B397" s="5"/>
      <c r="C397" s="5"/>
      <c r="D397" s="5"/>
      <c r="E397" s="5"/>
      <c r="F397" s="5"/>
      <c r="G397" s="5"/>
      <c r="H397" s="81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81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4"/>
      <c r="BR397" s="5"/>
      <c r="BS397" s="5"/>
      <c r="BT397" s="5"/>
      <c r="BU397" s="5"/>
      <c r="BV397" s="5"/>
      <c r="BW397" s="5"/>
      <c r="BX397" s="5"/>
      <c r="BY397" s="5"/>
      <c r="BZ397" s="5"/>
      <c r="CA397" s="5"/>
      <c r="CB397" s="5"/>
      <c r="CC397" s="5"/>
      <c r="CD397" s="5"/>
      <c r="CE397" s="5"/>
    </row>
    <row r="398" ht="15.75" customHeight="1">
      <c r="A398" s="5"/>
      <c r="B398" s="5"/>
      <c r="C398" s="5"/>
      <c r="D398" s="5"/>
      <c r="E398" s="5"/>
      <c r="F398" s="5"/>
      <c r="G398" s="5"/>
      <c r="H398" s="81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81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4"/>
      <c r="BR398" s="5"/>
      <c r="BS398" s="5"/>
      <c r="BT398" s="5"/>
      <c r="BU398" s="5"/>
      <c r="BV398" s="5"/>
      <c r="BW398" s="5"/>
      <c r="BX398" s="5"/>
      <c r="BY398" s="5"/>
      <c r="BZ398" s="5"/>
      <c r="CA398" s="5"/>
      <c r="CB398" s="5"/>
      <c r="CC398" s="5"/>
      <c r="CD398" s="5"/>
      <c r="CE398" s="5"/>
    </row>
  </sheetData>
  <mergeCells count="211">
    <mergeCell ref="BJ5:BL5"/>
    <mergeCell ref="BN5:BP5"/>
    <mergeCell ref="BT5:BV5"/>
    <mergeCell ref="BH6:BI6"/>
    <mergeCell ref="BJ6:BM6"/>
    <mergeCell ref="BR6:BS6"/>
    <mergeCell ref="BW6:BX6"/>
    <mergeCell ref="Z5:AC5"/>
    <mergeCell ref="AD5:AF5"/>
    <mergeCell ref="AG5:AK5"/>
    <mergeCell ref="AU5:AV5"/>
    <mergeCell ref="AX5:AY5"/>
    <mergeCell ref="AZ5:BA5"/>
    <mergeCell ref="BC5:BE5"/>
    <mergeCell ref="AG6:AH6"/>
    <mergeCell ref="AI6:AK6"/>
    <mergeCell ref="AU25:AV25"/>
    <mergeCell ref="C6:D6"/>
    <mergeCell ref="E6:F6"/>
    <mergeCell ref="L6:M6"/>
    <mergeCell ref="N6:O6"/>
    <mergeCell ref="P6:Q6"/>
    <mergeCell ref="X6:Y6"/>
    <mergeCell ref="AD6:AE6"/>
    <mergeCell ref="B4:I4"/>
    <mergeCell ref="E5:F5"/>
    <mergeCell ref="G5:H5"/>
    <mergeCell ref="J5:O5"/>
    <mergeCell ref="P5:R5"/>
    <mergeCell ref="T5:U5"/>
    <mergeCell ref="W5:Y5"/>
    <mergeCell ref="B35:BX35"/>
    <mergeCell ref="B36:BX36"/>
    <mergeCell ref="B37:BX37"/>
    <mergeCell ref="B38:BX38"/>
    <mergeCell ref="B52:BX52"/>
    <mergeCell ref="B53:BX53"/>
    <mergeCell ref="B54:BX54"/>
    <mergeCell ref="A55:A56"/>
    <mergeCell ref="B55:BX55"/>
    <mergeCell ref="B56:BX56"/>
    <mergeCell ref="A57:A58"/>
    <mergeCell ref="B57:BX57"/>
    <mergeCell ref="B58:BX58"/>
    <mergeCell ref="B59:BX59"/>
    <mergeCell ref="B60:BX60"/>
    <mergeCell ref="B61:BX61"/>
    <mergeCell ref="B62:BU62"/>
    <mergeCell ref="B63:BW63"/>
    <mergeCell ref="A36:A38"/>
    <mergeCell ref="B39:BX39"/>
    <mergeCell ref="B40:BX40"/>
    <mergeCell ref="B41:BX41"/>
    <mergeCell ref="B42:BX42"/>
    <mergeCell ref="B43:BX43"/>
    <mergeCell ref="B44:BX44"/>
    <mergeCell ref="B45:BX45"/>
    <mergeCell ref="A31:A32"/>
    <mergeCell ref="B31:BX31"/>
    <mergeCell ref="B32:BX32"/>
    <mergeCell ref="B33:BX33"/>
    <mergeCell ref="A34:A35"/>
    <mergeCell ref="B34:BX34"/>
    <mergeCell ref="A39:A46"/>
    <mergeCell ref="B46:BX46"/>
    <mergeCell ref="B47:BX47"/>
    <mergeCell ref="B48:BX48"/>
    <mergeCell ref="B49:BX49"/>
    <mergeCell ref="B50:BX50"/>
    <mergeCell ref="A51:A52"/>
    <mergeCell ref="B51:BX51"/>
    <mergeCell ref="B64:BW64"/>
    <mergeCell ref="B65:BV65"/>
    <mergeCell ref="B66:BV66"/>
    <mergeCell ref="B67:BX67"/>
    <mergeCell ref="B68:BX68"/>
    <mergeCell ref="B69:BW69"/>
    <mergeCell ref="B70:BV70"/>
    <mergeCell ref="B71:BX71"/>
    <mergeCell ref="B72:BW72"/>
    <mergeCell ref="B73:BW73"/>
    <mergeCell ref="B74:BX74"/>
    <mergeCell ref="B75:BW75"/>
    <mergeCell ref="B76:BV76"/>
    <mergeCell ref="B77:BW77"/>
    <mergeCell ref="B78:BX78"/>
    <mergeCell ref="B79:BW79"/>
    <mergeCell ref="B80:BV80"/>
    <mergeCell ref="B81:BW81"/>
    <mergeCell ref="B82:BX82"/>
    <mergeCell ref="B83:BV83"/>
    <mergeCell ref="B84:BV84"/>
    <mergeCell ref="B85:BW85"/>
    <mergeCell ref="B86:BV86"/>
    <mergeCell ref="B87:BV87"/>
    <mergeCell ref="B88:BV88"/>
    <mergeCell ref="B89:BV89"/>
    <mergeCell ref="B90:BW90"/>
    <mergeCell ref="B91:BW91"/>
    <mergeCell ref="B92:BV92"/>
    <mergeCell ref="B93:BX93"/>
    <mergeCell ref="A94:A95"/>
    <mergeCell ref="B94:BX95"/>
    <mergeCell ref="B96:BW96"/>
    <mergeCell ref="B97:BW97"/>
    <mergeCell ref="B98:BX98"/>
    <mergeCell ref="B104:BW104"/>
    <mergeCell ref="B105:BW105"/>
    <mergeCell ref="B99:BV99"/>
    <mergeCell ref="B100:BV100"/>
    <mergeCell ref="A101:A103"/>
    <mergeCell ref="B101:BX101"/>
    <mergeCell ref="B102:BW102"/>
    <mergeCell ref="B103:BW103"/>
    <mergeCell ref="A105:A106"/>
    <mergeCell ref="B106:BW106"/>
    <mergeCell ref="B107:BX107"/>
    <mergeCell ref="B108:BV108"/>
    <mergeCell ref="B109:BX109"/>
    <mergeCell ref="B110:BU110"/>
    <mergeCell ref="B111:BX111"/>
    <mergeCell ref="B112:BV112"/>
    <mergeCell ref="B156:BV156"/>
    <mergeCell ref="B157:BX157"/>
    <mergeCell ref="B158:BV158"/>
    <mergeCell ref="B159:BW159"/>
    <mergeCell ref="B160:BX160"/>
    <mergeCell ref="B161:BX161"/>
    <mergeCell ref="B162:BV162"/>
    <mergeCell ref="B163:BX163"/>
    <mergeCell ref="B164:BV164"/>
    <mergeCell ref="B165:BW165"/>
    <mergeCell ref="B166:BX166"/>
    <mergeCell ref="B167:BX167"/>
    <mergeCell ref="B168:BW168"/>
    <mergeCell ref="B169:BX169"/>
    <mergeCell ref="B170:BX170"/>
    <mergeCell ref="B171:BX171"/>
    <mergeCell ref="B172:BX172"/>
    <mergeCell ref="B173:BX173"/>
    <mergeCell ref="B174:BX174"/>
    <mergeCell ref="B175:BX175"/>
    <mergeCell ref="B176:BV176"/>
    <mergeCell ref="B177:BV177"/>
    <mergeCell ref="B178:BV178"/>
    <mergeCell ref="A179:A180"/>
    <mergeCell ref="B179:BV179"/>
    <mergeCell ref="B180:BU180"/>
    <mergeCell ref="B181:BX181"/>
    <mergeCell ref="B182:BV182"/>
    <mergeCell ref="B189:BV189"/>
    <mergeCell ref="B190:BU190"/>
    <mergeCell ref="B191:BX191"/>
    <mergeCell ref="B192:BV192"/>
    <mergeCell ref="B193:BX193"/>
    <mergeCell ref="B194:BX194"/>
    <mergeCell ref="B195:BX195"/>
    <mergeCell ref="B196:BX196"/>
    <mergeCell ref="B197:BV197"/>
    <mergeCell ref="B198:BX198"/>
    <mergeCell ref="B183:BV183"/>
    <mergeCell ref="B184:BX184"/>
    <mergeCell ref="B185:BX185"/>
    <mergeCell ref="B186:BV186"/>
    <mergeCell ref="B187:BV187"/>
    <mergeCell ref="B188:BV188"/>
    <mergeCell ref="A189:A190"/>
    <mergeCell ref="A113:A114"/>
    <mergeCell ref="B113:BX114"/>
    <mergeCell ref="B115:BX115"/>
    <mergeCell ref="B116:BX116"/>
    <mergeCell ref="B117:BX117"/>
    <mergeCell ref="B118:BV118"/>
    <mergeCell ref="B119:BX119"/>
    <mergeCell ref="B126:BX126"/>
    <mergeCell ref="B127:BV127"/>
    <mergeCell ref="B120:BU120"/>
    <mergeCell ref="B121:BX121"/>
    <mergeCell ref="B122:BU122"/>
    <mergeCell ref="B123:BV123"/>
    <mergeCell ref="B124:BV124"/>
    <mergeCell ref="B125:BX125"/>
    <mergeCell ref="A126:A128"/>
    <mergeCell ref="B128:BU128"/>
    <mergeCell ref="B129:BU129"/>
    <mergeCell ref="B130:BX130"/>
    <mergeCell ref="B131:BX131"/>
    <mergeCell ref="B132:BX132"/>
    <mergeCell ref="B133:BX133"/>
    <mergeCell ref="B134:BX134"/>
    <mergeCell ref="B135:BX135"/>
    <mergeCell ref="B136:BX136"/>
    <mergeCell ref="B137:BV137"/>
    <mergeCell ref="B138:BX138"/>
    <mergeCell ref="B139:BX139"/>
    <mergeCell ref="B140:BV140"/>
    <mergeCell ref="B141:BX141"/>
    <mergeCell ref="B142:BU142"/>
    <mergeCell ref="B143:BV143"/>
    <mergeCell ref="B144:BX144"/>
    <mergeCell ref="B145:BS145"/>
    <mergeCell ref="B146:BX146"/>
    <mergeCell ref="B147:BX147"/>
    <mergeCell ref="B148:BX148"/>
    <mergeCell ref="B149:BX149"/>
    <mergeCell ref="B150:BX150"/>
    <mergeCell ref="B151:BX151"/>
    <mergeCell ref="B152:BX152"/>
    <mergeCell ref="B153:BW153"/>
    <mergeCell ref="B154:BX154"/>
    <mergeCell ref="B155:BS15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 outlineLevelRow="1"/>
  <cols>
    <col customWidth="1" min="1" max="1" width="20.29"/>
    <col customWidth="1" min="2" max="77" width="5.43"/>
  </cols>
  <sheetData>
    <row r="1" hidden="1" outlineLevel="1">
      <c r="A1" s="158"/>
      <c r="B1" s="159" t="s">
        <v>449</v>
      </c>
      <c r="C1" s="159" t="s">
        <v>450</v>
      </c>
      <c r="D1" s="159" t="s">
        <v>451</v>
      </c>
      <c r="E1" s="159" t="s">
        <v>452</v>
      </c>
      <c r="F1" s="159" t="s">
        <v>453</v>
      </c>
      <c r="G1" s="159" t="s">
        <v>454</v>
      </c>
      <c r="H1" s="159" t="s">
        <v>455</v>
      </c>
      <c r="I1" s="159" t="s">
        <v>456</v>
      </c>
      <c r="J1" s="159" t="s">
        <v>457</v>
      </c>
      <c r="K1" s="159" t="s">
        <v>458</v>
      </c>
      <c r="L1" s="159" t="s">
        <v>459</v>
      </c>
      <c r="M1" s="160" t="s">
        <v>460</v>
      </c>
      <c r="N1" s="160" t="s">
        <v>461</v>
      </c>
      <c r="O1" s="159" t="s">
        <v>462</v>
      </c>
      <c r="P1" s="159" t="s">
        <v>463</v>
      </c>
      <c r="Q1" s="159" t="s">
        <v>464</v>
      </c>
      <c r="R1" s="159" t="s">
        <v>465</v>
      </c>
      <c r="S1" s="159" t="s">
        <v>466</v>
      </c>
      <c r="T1" s="159" t="s">
        <v>467</v>
      </c>
      <c r="U1" s="159" t="s">
        <v>468</v>
      </c>
      <c r="V1" s="159" t="s">
        <v>469</v>
      </c>
      <c r="W1" s="159" t="s">
        <v>470</v>
      </c>
      <c r="X1" s="159" t="s">
        <v>471</v>
      </c>
      <c r="Y1" s="159" t="s">
        <v>472</v>
      </c>
      <c r="Z1" s="159" t="s">
        <v>473</v>
      </c>
      <c r="AA1" s="159" t="s">
        <v>474</v>
      </c>
      <c r="AB1" s="159" t="s">
        <v>475</v>
      </c>
      <c r="AC1" s="159" t="s">
        <v>476</v>
      </c>
      <c r="AD1" s="159" t="s">
        <v>477</v>
      </c>
      <c r="AE1" s="159" t="s">
        <v>478</v>
      </c>
      <c r="AF1" s="159" t="s">
        <v>479</v>
      </c>
      <c r="AG1" s="159" t="s">
        <v>480</v>
      </c>
      <c r="AH1" s="159" t="s">
        <v>481</v>
      </c>
      <c r="AI1" s="159" t="s">
        <v>482</v>
      </c>
      <c r="AJ1" s="159" t="s">
        <v>483</v>
      </c>
      <c r="AK1" s="159" t="s">
        <v>484</v>
      </c>
      <c r="AL1" s="159" t="s">
        <v>485</v>
      </c>
      <c r="AM1" s="159" t="s">
        <v>486</v>
      </c>
      <c r="AN1" s="159" t="s">
        <v>487</v>
      </c>
      <c r="AO1" s="159" t="s">
        <v>488</v>
      </c>
      <c r="AP1" s="159" t="s">
        <v>489</v>
      </c>
      <c r="AQ1" s="159" t="s">
        <v>490</v>
      </c>
      <c r="AR1" s="159" t="s">
        <v>491</v>
      </c>
      <c r="AS1" s="159" t="s">
        <v>492</v>
      </c>
      <c r="AT1" s="159" t="s">
        <v>493</v>
      </c>
      <c r="AU1" s="159" t="s">
        <v>494</v>
      </c>
      <c r="AV1" s="159" t="s">
        <v>495</v>
      </c>
      <c r="AW1" s="159" t="s">
        <v>496</v>
      </c>
      <c r="AX1" s="159" t="s">
        <v>497</v>
      </c>
      <c r="AY1" s="159" t="s">
        <v>498</v>
      </c>
      <c r="AZ1" s="159" t="s">
        <v>499</v>
      </c>
      <c r="BA1" s="159" t="s">
        <v>500</v>
      </c>
      <c r="BB1" s="159" t="s">
        <v>501</v>
      </c>
      <c r="BC1" s="159" t="s">
        <v>502</v>
      </c>
      <c r="BD1" s="159" t="s">
        <v>503</v>
      </c>
      <c r="BE1" s="159" t="s">
        <v>504</v>
      </c>
      <c r="BF1" s="159" t="s">
        <v>505</v>
      </c>
      <c r="BG1" s="159" t="s">
        <v>506</v>
      </c>
      <c r="BH1" s="159" t="s">
        <v>507</v>
      </c>
      <c r="BI1" s="159" t="s">
        <v>508</v>
      </c>
      <c r="BJ1" s="159" t="s">
        <v>509</v>
      </c>
      <c r="BK1" s="159" t="s">
        <v>510</v>
      </c>
      <c r="BL1" s="159" t="s">
        <v>511</v>
      </c>
      <c r="BM1" s="159" t="s">
        <v>512</v>
      </c>
      <c r="BN1" s="159" t="s">
        <v>513</v>
      </c>
      <c r="BO1" s="159" t="s">
        <v>514</v>
      </c>
      <c r="BP1" s="159" t="s">
        <v>515</v>
      </c>
      <c r="BQ1" s="159" t="s">
        <v>516</v>
      </c>
      <c r="BR1" s="159" t="s">
        <v>517</v>
      </c>
      <c r="BS1" s="159" t="s">
        <v>518</v>
      </c>
      <c r="BT1" s="159" t="s">
        <v>519</v>
      </c>
      <c r="BU1" s="159" t="s">
        <v>520</v>
      </c>
      <c r="BV1" s="159" t="s">
        <v>521</v>
      </c>
      <c r="BW1" s="159" t="s">
        <v>522</v>
      </c>
      <c r="BX1" s="159" t="s">
        <v>523</v>
      </c>
      <c r="BY1" s="159" t="s">
        <v>524</v>
      </c>
      <c r="BZ1" s="161"/>
      <c r="CA1" s="161"/>
      <c r="CB1" s="161"/>
      <c r="CC1" s="161"/>
      <c r="CD1" s="161"/>
      <c r="CE1" s="161"/>
      <c r="CF1" s="161"/>
      <c r="CG1" s="161"/>
    </row>
    <row r="2" ht="15.75" customHeight="1" collapsed="1">
      <c r="A2" s="162" t="s">
        <v>525</v>
      </c>
      <c r="B2" s="163" t="s">
        <v>526</v>
      </c>
      <c r="AM2" s="164" t="s">
        <v>527</v>
      </c>
      <c r="AV2" s="165" t="s">
        <v>528</v>
      </c>
      <c r="BL2" s="166" t="s">
        <v>529</v>
      </c>
      <c r="BZ2" s="161"/>
      <c r="CA2" s="161"/>
      <c r="CB2" s="161"/>
      <c r="CC2" s="161"/>
      <c r="CD2" s="161"/>
      <c r="CE2" s="161"/>
      <c r="CF2" s="161"/>
      <c r="CG2" s="161"/>
    </row>
    <row r="3" ht="48.75" customHeight="1">
      <c r="A3" s="167" t="s">
        <v>530</v>
      </c>
      <c r="B3" s="168" t="s">
        <v>531</v>
      </c>
      <c r="C3" s="169" t="s">
        <v>5</v>
      </c>
      <c r="F3" s="15"/>
      <c r="G3" s="168" t="s">
        <v>6</v>
      </c>
      <c r="H3" s="170" t="s">
        <v>7</v>
      </c>
      <c r="I3" s="15"/>
      <c r="J3" s="171" t="s">
        <v>8</v>
      </c>
      <c r="K3" s="168" t="s">
        <v>9</v>
      </c>
      <c r="P3" s="169" t="s">
        <v>10</v>
      </c>
      <c r="S3" s="15"/>
      <c r="T3" s="172" t="s">
        <v>13</v>
      </c>
      <c r="U3" s="171" t="s">
        <v>22</v>
      </c>
      <c r="V3" s="169" t="s">
        <v>36</v>
      </c>
      <c r="X3" s="15"/>
      <c r="Y3" s="168" t="s">
        <v>29</v>
      </c>
      <c r="Z3" s="15"/>
      <c r="AA3" s="168" t="s">
        <v>30</v>
      </c>
      <c r="AB3" s="15"/>
      <c r="AC3" s="169" t="s">
        <v>31</v>
      </c>
      <c r="AE3" s="15"/>
      <c r="AF3" s="168" t="s">
        <v>32</v>
      </c>
      <c r="AH3" s="15"/>
      <c r="AI3" s="173" t="s">
        <v>34</v>
      </c>
      <c r="AJ3" s="168" t="s">
        <v>26</v>
      </c>
      <c r="AK3" s="15"/>
      <c r="AL3" s="171" t="s">
        <v>33</v>
      </c>
      <c r="AM3" s="174" t="s">
        <v>532</v>
      </c>
      <c r="AN3" s="175" t="s">
        <v>533</v>
      </c>
      <c r="AO3" s="176" t="s">
        <v>11</v>
      </c>
      <c r="AP3" s="175" t="s">
        <v>534</v>
      </c>
      <c r="AQ3" s="177" t="s">
        <v>12</v>
      </c>
      <c r="AT3" s="177" t="s">
        <v>28</v>
      </c>
      <c r="AU3" s="15"/>
      <c r="AV3" s="178" t="s">
        <v>535</v>
      </c>
      <c r="AW3" s="178" t="s">
        <v>536</v>
      </c>
      <c r="AX3" s="179" t="s">
        <v>14</v>
      </c>
      <c r="AY3" s="15"/>
      <c r="AZ3" s="178" t="s">
        <v>15</v>
      </c>
      <c r="BA3" s="15"/>
      <c r="BB3" s="178" t="s">
        <v>537</v>
      </c>
      <c r="BF3" s="180" t="s">
        <v>20</v>
      </c>
      <c r="BG3" s="181" t="s">
        <v>19</v>
      </c>
      <c r="BH3" s="179" t="s">
        <v>17</v>
      </c>
      <c r="BJ3" s="182" t="s">
        <v>35</v>
      </c>
      <c r="BK3" s="183" t="s">
        <v>37</v>
      </c>
      <c r="BL3" s="184" t="s">
        <v>24</v>
      </c>
      <c r="BM3" s="185" t="s">
        <v>25</v>
      </c>
      <c r="BN3" s="185" t="s">
        <v>18</v>
      </c>
      <c r="BO3" s="184" t="s">
        <v>21</v>
      </c>
      <c r="BP3" s="186" t="s">
        <v>38</v>
      </c>
      <c r="BR3" s="15"/>
      <c r="BS3" s="184" t="s">
        <v>23</v>
      </c>
      <c r="BT3" s="187" t="s">
        <v>39</v>
      </c>
      <c r="BU3" s="188" t="s">
        <v>42</v>
      </c>
      <c r="BW3" s="15"/>
      <c r="BX3" s="189" t="s">
        <v>43</v>
      </c>
      <c r="BY3" s="184" t="s">
        <v>44</v>
      </c>
      <c r="BZ3" s="190"/>
      <c r="CA3" s="190"/>
      <c r="CB3" s="190"/>
      <c r="CC3" s="190"/>
      <c r="CD3" s="190"/>
      <c r="CE3" s="190"/>
      <c r="CF3" s="190"/>
      <c r="CG3" s="190"/>
    </row>
    <row r="4">
      <c r="A4" s="167" t="s">
        <v>538</v>
      </c>
      <c r="B4" s="168" t="s">
        <v>77</v>
      </c>
      <c r="C4" s="169" t="s">
        <v>46</v>
      </c>
      <c r="D4" s="168" t="s">
        <v>47</v>
      </c>
      <c r="F4" s="15"/>
      <c r="G4" s="168" t="s">
        <v>48</v>
      </c>
      <c r="H4" s="169" t="s">
        <v>49</v>
      </c>
      <c r="I4" s="168" t="s">
        <v>46</v>
      </c>
      <c r="J4" s="191" t="s">
        <v>50</v>
      </c>
      <c r="K4" s="168" t="s">
        <v>51</v>
      </c>
      <c r="L4" s="168" t="s">
        <v>47</v>
      </c>
      <c r="M4" s="168" t="s">
        <v>50</v>
      </c>
      <c r="N4" s="168" t="s">
        <v>49</v>
      </c>
      <c r="O4" s="192" t="s">
        <v>48</v>
      </c>
      <c r="P4" s="169" t="s">
        <v>47</v>
      </c>
      <c r="Q4" s="168" t="s">
        <v>46</v>
      </c>
      <c r="R4" s="192" t="s">
        <v>539</v>
      </c>
      <c r="S4" s="171" t="s">
        <v>52</v>
      </c>
      <c r="T4" s="172" t="s">
        <v>49</v>
      </c>
      <c r="U4" s="171" t="s">
        <v>47</v>
      </c>
      <c r="V4" s="169" t="s">
        <v>48</v>
      </c>
      <c r="W4" s="193"/>
      <c r="X4" s="193"/>
      <c r="Y4" s="169" t="s">
        <v>63</v>
      </c>
      <c r="Z4" s="168" t="s">
        <v>50</v>
      </c>
      <c r="AA4" s="194" t="s">
        <v>52</v>
      </c>
      <c r="AB4" s="195" t="s">
        <v>48</v>
      </c>
      <c r="AC4" s="196" t="s">
        <v>50</v>
      </c>
      <c r="AD4" s="196" t="s">
        <v>47</v>
      </c>
      <c r="AE4" s="196" t="s">
        <v>64</v>
      </c>
      <c r="AF4" s="197" t="s">
        <v>50</v>
      </c>
      <c r="AG4" s="196" t="s">
        <v>52</v>
      </c>
      <c r="AH4" s="195" t="s">
        <v>540</v>
      </c>
      <c r="AI4" s="171" t="s">
        <v>48</v>
      </c>
      <c r="AJ4" s="169" t="s">
        <v>48</v>
      </c>
      <c r="AK4" s="171" t="s">
        <v>52</v>
      </c>
      <c r="AL4" s="195" t="s">
        <v>66</v>
      </c>
      <c r="AM4" s="174" t="s">
        <v>77</v>
      </c>
      <c r="AN4" s="174" t="s">
        <v>77</v>
      </c>
      <c r="AO4" s="176" t="s">
        <v>46</v>
      </c>
      <c r="AP4" s="175" t="s">
        <v>46</v>
      </c>
      <c r="AQ4" s="177" t="s">
        <v>50</v>
      </c>
      <c r="AR4" s="176" t="s">
        <v>53</v>
      </c>
      <c r="AS4" s="198" t="s">
        <v>541</v>
      </c>
      <c r="AT4" s="177" t="s">
        <v>52</v>
      </c>
      <c r="AU4" s="176" t="s">
        <v>46</v>
      </c>
      <c r="AV4" s="199" t="s">
        <v>77</v>
      </c>
      <c r="AW4" s="200" t="s">
        <v>77</v>
      </c>
      <c r="AX4" s="179" t="s">
        <v>46</v>
      </c>
      <c r="AY4" s="201" t="s">
        <v>48</v>
      </c>
      <c r="AZ4" s="179" t="s">
        <v>58</v>
      </c>
      <c r="BA4" s="201" t="s">
        <v>46</v>
      </c>
      <c r="BB4" s="178" t="s">
        <v>59</v>
      </c>
      <c r="BC4" s="178" t="s">
        <v>60</v>
      </c>
      <c r="BF4" s="180" t="s">
        <v>50</v>
      </c>
      <c r="BG4" s="201" t="s">
        <v>61</v>
      </c>
      <c r="BH4" s="179" t="s">
        <v>17</v>
      </c>
      <c r="BJ4" s="180" t="s">
        <v>48</v>
      </c>
      <c r="BK4" s="202"/>
      <c r="BL4" s="189" t="s">
        <v>48</v>
      </c>
      <c r="BM4" s="185" t="s">
        <v>48</v>
      </c>
      <c r="BN4" s="185" t="s">
        <v>48</v>
      </c>
      <c r="BO4" s="184" t="s">
        <v>50</v>
      </c>
      <c r="BP4" s="189" t="s">
        <v>49</v>
      </c>
      <c r="BQ4" s="189" t="s">
        <v>61</v>
      </c>
      <c r="BR4" s="184" t="s">
        <v>50</v>
      </c>
      <c r="BS4" s="184" t="s">
        <v>62</v>
      </c>
      <c r="BT4" s="203" t="s">
        <v>48</v>
      </c>
      <c r="BU4" s="184" t="s">
        <v>67</v>
      </c>
      <c r="BV4" s="184" t="s">
        <v>68</v>
      </c>
      <c r="BW4" s="185" t="s">
        <v>61</v>
      </c>
      <c r="BX4" s="204" t="s">
        <v>69</v>
      </c>
      <c r="BY4" s="15"/>
      <c r="BZ4" s="190"/>
      <c r="CA4" s="190"/>
      <c r="CB4" s="190"/>
      <c r="CC4" s="190"/>
      <c r="CD4" s="190"/>
      <c r="CE4" s="190"/>
      <c r="CF4" s="190"/>
      <c r="CG4" s="190"/>
    </row>
    <row r="5" ht="47.25" customHeight="1">
      <c r="A5" s="205" t="s">
        <v>542</v>
      </c>
      <c r="B5" s="206"/>
      <c r="C5" s="207"/>
      <c r="D5" s="206"/>
      <c r="E5" s="208" t="s">
        <v>543</v>
      </c>
      <c r="F5" s="209" t="s">
        <v>544</v>
      </c>
      <c r="G5" s="210"/>
      <c r="H5" s="206"/>
      <c r="I5" s="206"/>
      <c r="J5" s="211" t="s">
        <v>545</v>
      </c>
      <c r="K5" s="206"/>
      <c r="L5" s="206"/>
      <c r="M5" s="206"/>
      <c r="N5" s="206"/>
      <c r="O5" s="212" t="s">
        <v>84</v>
      </c>
      <c r="P5" s="207"/>
      <c r="Q5" s="209"/>
      <c r="R5" s="213" t="s">
        <v>546</v>
      </c>
      <c r="S5" s="214" t="s">
        <v>547</v>
      </c>
      <c r="T5" s="210"/>
      <c r="U5" s="215"/>
      <c r="V5" s="216" t="s">
        <v>82</v>
      </c>
      <c r="W5" s="206"/>
      <c r="X5" s="209" t="s">
        <v>88</v>
      </c>
      <c r="Y5" s="217" t="s">
        <v>548</v>
      </c>
      <c r="Z5" s="206"/>
      <c r="AA5" s="218"/>
      <c r="AB5" s="214" t="s">
        <v>549</v>
      </c>
      <c r="AC5" s="206"/>
      <c r="AD5" s="219" t="s">
        <v>550</v>
      </c>
      <c r="AE5" s="206"/>
      <c r="AF5" s="207"/>
      <c r="AG5" s="206"/>
      <c r="AH5" s="215"/>
      <c r="AI5" s="215"/>
      <c r="AJ5" s="207"/>
      <c r="AK5" s="220" t="s">
        <v>551</v>
      </c>
      <c r="AL5" s="215"/>
      <c r="AM5" s="210"/>
      <c r="AN5" s="210"/>
      <c r="AO5" s="206"/>
      <c r="AP5" s="210"/>
      <c r="AQ5" s="207"/>
      <c r="AR5" s="213" t="s">
        <v>552</v>
      </c>
      <c r="AS5" s="213" t="s">
        <v>553</v>
      </c>
      <c r="AT5" s="217" t="s">
        <v>554</v>
      </c>
      <c r="AU5" s="206"/>
      <c r="AV5" s="221" t="s">
        <v>555</v>
      </c>
      <c r="AW5" s="222" t="s">
        <v>556</v>
      </c>
      <c r="AX5" s="223" t="s">
        <v>557</v>
      </c>
      <c r="AY5" s="214" t="s">
        <v>558</v>
      </c>
      <c r="AZ5" s="206"/>
      <c r="BA5" s="224" t="s">
        <v>559</v>
      </c>
      <c r="BB5" s="209" t="s">
        <v>79</v>
      </c>
      <c r="BC5" s="209" t="s">
        <v>80</v>
      </c>
      <c r="BD5" s="209" t="s">
        <v>560</v>
      </c>
      <c r="BE5" s="209" t="s">
        <v>561</v>
      </c>
      <c r="BF5" s="225"/>
      <c r="BG5" s="226" t="s">
        <v>82</v>
      </c>
      <c r="BH5" s="218" t="s">
        <v>562</v>
      </c>
      <c r="BI5" s="214" t="s">
        <v>563</v>
      </c>
      <c r="BJ5" s="210"/>
      <c r="BK5" s="215"/>
      <c r="BL5" s="227" t="s">
        <v>82</v>
      </c>
      <c r="BM5" s="228" t="s">
        <v>82</v>
      </c>
      <c r="BN5" s="210"/>
      <c r="BO5" s="220" t="s">
        <v>84</v>
      </c>
      <c r="BP5" s="209" t="s">
        <v>89</v>
      </c>
      <c r="BQ5" s="206"/>
      <c r="BR5" s="215"/>
      <c r="BS5" s="229" t="s">
        <v>85</v>
      </c>
      <c r="BT5" s="215"/>
      <c r="BU5" s="230" t="s">
        <v>90</v>
      </c>
      <c r="BV5" s="231" t="s">
        <v>91</v>
      </c>
      <c r="BW5" s="231" t="s">
        <v>92</v>
      </c>
      <c r="BX5" s="206"/>
      <c r="BY5" s="215"/>
      <c r="BZ5" s="232"/>
      <c r="CA5" s="232"/>
      <c r="CB5" s="232"/>
      <c r="CC5" s="232"/>
      <c r="CD5" s="232"/>
      <c r="CE5" s="232"/>
      <c r="CF5" s="232"/>
      <c r="CG5" s="232"/>
    </row>
    <row r="6">
      <c r="A6" s="233" t="s">
        <v>564</v>
      </c>
      <c r="B6" s="234"/>
      <c r="C6" s="235"/>
      <c r="D6" s="236" t="s">
        <v>565</v>
      </c>
      <c r="E6" s="234"/>
      <c r="F6" s="234"/>
      <c r="G6" s="237" t="s">
        <v>566</v>
      </c>
      <c r="H6" s="234"/>
      <c r="I6" s="234"/>
      <c r="J6" s="238"/>
      <c r="K6" s="234"/>
      <c r="L6" s="234"/>
      <c r="M6" s="239" t="s">
        <v>566</v>
      </c>
      <c r="N6" s="234"/>
      <c r="O6" s="234"/>
      <c r="P6" s="240" t="s">
        <v>566</v>
      </c>
      <c r="Q6" s="234"/>
      <c r="R6" s="234"/>
      <c r="S6" s="241"/>
      <c r="T6" s="238"/>
      <c r="U6" s="241"/>
      <c r="V6" s="242"/>
      <c r="W6" s="234"/>
      <c r="X6" s="234"/>
      <c r="Y6" s="235"/>
      <c r="Z6" s="243" t="s">
        <v>566</v>
      </c>
      <c r="AA6" s="234"/>
      <c r="AB6" s="234"/>
      <c r="AC6" s="235"/>
      <c r="AD6" s="234"/>
      <c r="AE6" s="234"/>
      <c r="AF6" s="235"/>
      <c r="AG6" s="234"/>
      <c r="AH6" s="241"/>
      <c r="AI6" s="234"/>
      <c r="AJ6" s="235"/>
      <c r="AK6" s="241"/>
      <c r="AL6" s="234"/>
      <c r="AM6" s="238"/>
      <c r="AN6" s="238"/>
      <c r="AO6" s="234"/>
      <c r="AP6" s="238"/>
      <c r="AQ6" s="235"/>
      <c r="AR6" s="236" t="s">
        <v>566</v>
      </c>
      <c r="AS6" s="236"/>
      <c r="AT6" s="235"/>
      <c r="AU6" s="234"/>
      <c r="AV6" s="235"/>
      <c r="AW6" s="241"/>
      <c r="AX6" s="242">
        <v>57.5</v>
      </c>
      <c r="AY6" s="241"/>
      <c r="AZ6" s="235"/>
      <c r="BA6" s="241"/>
      <c r="BB6" s="234"/>
      <c r="BC6" s="236" t="s">
        <v>567</v>
      </c>
      <c r="BD6" s="234"/>
      <c r="BE6" s="234"/>
      <c r="BF6" s="237" t="s">
        <v>568</v>
      </c>
      <c r="BG6" s="241"/>
      <c r="BH6" s="235"/>
      <c r="BI6" s="234"/>
      <c r="BJ6" s="238"/>
      <c r="BK6" s="241"/>
      <c r="BL6" s="234"/>
      <c r="BM6" s="238"/>
      <c r="BN6" s="234"/>
      <c r="BO6" s="238"/>
      <c r="BP6" s="234"/>
      <c r="BQ6" s="234"/>
      <c r="BR6" s="241"/>
      <c r="BS6" s="241"/>
      <c r="BT6" s="241"/>
      <c r="BU6" s="241"/>
      <c r="BV6" s="241"/>
      <c r="BW6" s="238"/>
      <c r="BX6" s="234"/>
      <c r="BY6" s="241"/>
      <c r="BZ6" s="232"/>
      <c r="CA6" s="232"/>
      <c r="CB6" s="232"/>
      <c r="CC6" s="232"/>
      <c r="CD6" s="232"/>
      <c r="CE6" s="232"/>
      <c r="CF6" s="232"/>
      <c r="CG6" s="232"/>
    </row>
    <row r="7">
      <c r="B7" s="234"/>
      <c r="C7" s="235"/>
      <c r="D7" s="236" t="s">
        <v>569</v>
      </c>
      <c r="E7" s="234"/>
      <c r="F7" s="234"/>
      <c r="G7" s="237"/>
      <c r="H7" s="234"/>
      <c r="I7" s="234"/>
      <c r="J7" s="238"/>
      <c r="K7" s="234"/>
      <c r="L7" s="234"/>
      <c r="M7" s="236"/>
      <c r="N7" s="234"/>
      <c r="O7" s="234"/>
      <c r="P7" s="244">
        <v>59.0</v>
      </c>
      <c r="Q7" s="234"/>
      <c r="R7" s="234"/>
      <c r="S7" s="241"/>
      <c r="T7" s="238"/>
      <c r="U7" s="241"/>
      <c r="V7" s="235"/>
      <c r="W7" s="234"/>
      <c r="X7" s="234"/>
      <c r="Y7" s="235"/>
      <c r="Z7" s="243" t="s">
        <v>570</v>
      </c>
      <c r="AA7" s="234"/>
      <c r="AB7" s="234"/>
      <c r="AC7" s="235"/>
      <c r="AD7" s="234"/>
      <c r="AE7" s="234"/>
      <c r="AF7" s="235"/>
      <c r="AG7" s="234"/>
      <c r="AH7" s="241"/>
      <c r="AI7" s="234"/>
      <c r="AJ7" s="235"/>
      <c r="AK7" s="241"/>
      <c r="AL7" s="234"/>
      <c r="AM7" s="238"/>
      <c r="AN7" s="238"/>
      <c r="AO7" s="234"/>
      <c r="AP7" s="238"/>
      <c r="AQ7" s="235"/>
      <c r="AR7" s="236"/>
      <c r="AS7" s="236"/>
      <c r="AT7" s="235"/>
      <c r="AU7" s="234"/>
      <c r="AV7" s="235"/>
      <c r="AW7" s="241"/>
      <c r="AX7" s="242">
        <v>57.0</v>
      </c>
      <c r="AY7" s="241"/>
      <c r="AZ7" s="235"/>
      <c r="BA7" s="241"/>
      <c r="BB7" s="234"/>
      <c r="BC7" s="236" t="s">
        <v>568</v>
      </c>
      <c r="BD7" s="234"/>
      <c r="BE7" s="234"/>
      <c r="BF7" s="237"/>
      <c r="BG7" s="241"/>
      <c r="BH7" s="235"/>
      <c r="BI7" s="234"/>
      <c r="BJ7" s="238"/>
      <c r="BK7" s="241"/>
      <c r="BL7" s="234"/>
      <c r="BM7" s="238"/>
      <c r="BN7" s="234"/>
      <c r="BO7" s="238"/>
      <c r="BP7" s="234"/>
      <c r="BQ7" s="234"/>
      <c r="BR7" s="241"/>
      <c r="BS7" s="241"/>
      <c r="BT7" s="241"/>
      <c r="BU7" s="241"/>
      <c r="BV7" s="241"/>
      <c r="BW7" s="238"/>
      <c r="BX7" s="234"/>
      <c r="BY7" s="241"/>
      <c r="BZ7" s="232"/>
      <c r="CA7" s="232"/>
      <c r="CB7" s="232"/>
      <c r="CC7" s="232"/>
      <c r="CD7" s="232"/>
      <c r="CE7" s="232"/>
      <c r="CF7" s="232"/>
      <c r="CG7" s="232"/>
    </row>
    <row r="8">
      <c r="B8" s="234"/>
      <c r="C8" s="235"/>
      <c r="D8" s="236"/>
      <c r="E8" s="234"/>
      <c r="F8" s="234"/>
      <c r="G8" s="237"/>
      <c r="H8" s="234"/>
      <c r="I8" s="234"/>
      <c r="J8" s="238"/>
      <c r="K8" s="234"/>
      <c r="L8" s="234"/>
      <c r="M8" s="236"/>
      <c r="N8" s="234"/>
      <c r="O8" s="234"/>
      <c r="P8" s="244">
        <v>58.0</v>
      </c>
      <c r="Q8" s="234"/>
      <c r="R8" s="234"/>
      <c r="S8" s="241"/>
      <c r="T8" s="238"/>
      <c r="U8" s="241"/>
      <c r="V8" s="235"/>
      <c r="W8" s="234"/>
      <c r="X8" s="234"/>
      <c r="Y8" s="235"/>
      <c r="Z8" s="243"/>
      <c r="AA8" s="234"/>
      <c r="AB8" s="234"/>
      <c r="AC8" s="235"/>
      <c r="AD8" s="234"/>
      <c r="AE8" s="234"/>
      <c r="AF8" s="235"/>
      <c r="AG8" s="234"/>
      <c r="AH8" s="241"/>
      <c r="AI8" s="234"/>
      <c r="AJ8" s="235"/>
      <c r="AK8" s="241"/>
      <c r="AL8" s="234"/>
      <c r="AM8" s="238"/>
      <c r="AN8" s="238"/>
      <c r="AO8" s="234"/>
      <c r="AP8" s="238"/>
      <c r="AQ8" s="235"/>
      <c r="AR8" s="234"/>
      <c r="AS8" s="234"/>
      <c r="AT8" s="235"/>
      <c r="AU8" s="234"/>
      <c r="AV8" s="235"/>
      <c r="AW8" s="241"/>
      <c r="AX8" s="242">
        <v>52.5</v>
      </c>
      <c r="AY8" s="241"/>
      <c r="AZ8" s="235"/>
      <c r="BA8" s="241"/>
      <c r="BB8" s="234"/>
      <c r="BC8" s="236"/>
      <c r="BD8" s="234"/>
      <c r="BE8" s="234"/>
      <c r="BF8" s="238"/>
      <c r="BG8" s="241"/>
      <c r="BH8" s="235"/>
      <c r="BI8" s="234"/>
      <c r="BJ8" s="238"/>
      <c r="BK8" s="241"/>
      <c r="BL8" s="234"/>
      <c r="BM8" s="238"/>
      <c r="BN8" s="234"/>
      <c r="BO8" s="238"/>
      <c r="BP8" s="234"/>
      <c r="BQ8" s="234"/>
      <c r="BR8" s="241"/>
      <c r="BS8" s="241"/>
      <c r="BT8" s="241"/>
      <c r="BU8" s="241"/>
      <c r="BV8" s="241"/>
      <c r="BW8" s="238"/>
      <c r="BX8" s="234"/>
      <c r="BY8" s="241"/>
      <c r="BZ8" s="232"/>
      <c r="CA8" s="232"/>
      <c r="CB8" s="232"/>
      <c r="CC8" s="232"/>
      <c r="CD8" s="232"/>
      <c r="CE8" s="232"/>
      <c r="CF8" s="232"/>
      <c r="CG8" s="232"/>
    </row>
    <row r="9" ht="15.0" customHeight="1">
      <c r="B9" s="234"/>
      <c r="C9" s="235"/>
      <c r="D9" s="234"/>
      <c r="E9" s="234"/>
      <c r="F9" s="234"/>
      <c r="G9" s="237"/>
      <c r="H9" s="234"/>
      <c r="I9" s="234"/>
      <c r="J9" s="238"/>
      <c r="K9" s="234"/>
      <c r="L9" s="234"/>
      <c r="M9" s="236"/>
      <c r="N9" s="234"/>
      <c r="O9" s="234"/>
      <c r="P9" s="244">
        <v>55.0</v>
      </c>
      <c r="Q9" s="234"/>
      <c r="R9" s="234"/>
      <c r="S9" s="241"/>
      <c r="T9" s="238"/>
      <c r="U9" s="241"/>
      <c r="V9" s="235"/>
      <c r="W9" s="234"/>
      <c r="X9" s="234"/>
      <c r="Y9" s="235"/>
      <c r="Z9" s="241"/>
      <c r="AA9" s="234"/>
      <c r="AB9" s="234"/>
      <c r="AC9" s="235"/>
      <c r="AD9" s="234"/>
      <c r="AE9" s="234"/>
      <c r="AF9" s="235"/>
      <c r="AG9" s="234"/>
      <c r="AH9" s="241"/>
      <c r="AI9" s="234"/>
      <c r="AJ9" s="235"/>
      <c r="AK9" s="241"/>
      <c r="AL9" s="234"/>
      <c r="AM9" s="238"/>
      <c r="AN9" s="238"/>
      <c r="AO9" s="234"/>
      <c r="AP9" s="238"/>
      <c r="AQ9" s="235"/>
      <c r="AR9" s="234"/>
      <c r="AS9" s="234"/>
      <c r="AT9" s="235"/>
      <c r="AU9" s="234"/>
      <c r="AV9" s="235"/>
      <c r="AW9" s="241"/>
      <c r="AX9" s="242">
        <v>52.0</v>
      </c>
      <c r="AY9" s="241"/>
      <c r="AZ9" s="235"/>
      <c r="BA9" s="241"/>
      <c r="BB9" s="234"/>
      <c r="BC9" s="234"/>
      <c r="BD9" s="234"/>
      <c r="BE9" s="234"/>
      <c r="BF9" s="238"/>
      <c r="BG9" s="241"/>
      <c r="BH9" s="235"/>
      <c r="BI9" s="234"/>
      <c r="BJ9" s="238"/>
      <c r="BK9" s="241"/>
      <c r="BL9" s="234"/>
      <c r="BM9" s="238"/>
      <c r="BN9" s="234"/>
      <c r="BO9" s="238"/>
      <c r="BP9" s="234"/>
      <c r="BQ9" s="234"/>
      <c r="BR9" s="241"/>
      <c r="BS9" s="241"/>
      <c r="BT9" s="241"/>
      <c r="BU9" s="241"/>
      <c r="BV9" s="241"/>
      <c r="BW9" s="238"/>
      <c r="BX9" s="234"/>
      <c r="BY9" s="241"/>
      <c r="BZ9" s="232"/>
      <c r="CA9" s="232"/>
      <c r="CB9" s="232"/>
      <c r="CC9" s="232"/>
      <c r="CD9" s="232"/>
      <c r="CE9" s="232"/>
      <c r="CF9" s="232"/>
      <c r="CG9" s="232"/>
    </row>
    <row r="10">
      <c r="B10" s="234"/>
      <c r="C10" s="235"/>
      <c r="D10" s="234"/>
      <c r="E10" s="234"/>
      <c r="F10" s="234"/>
      <c r="G10" s="237"/>
      <c r="H10" s="234"/>
      <c r="I10" s="234"/>
      <c r="J10" s="238"/>
      <c r="K10" s="234"/>
      <c r="L10" s="234"/>
      <c r="M10" s="236"/>
      <c r="N10" s="234"/>
      <c r="O10" s="234"/>
      <c r="P10" s="235"/>
      <c r="Q10" s="234"/>
      <c r="R10" s="234"/>
      <c r="S10" s="241"/>
      <c r="T10" s="238"/>
      <c r="U10" s="241"/>
      <c r="V10" s="235"/>
      <c r="W10" s="234"/>
      <c r="X10" s="234"/>
      <c r="Y10" s="235"/>
      <c r="Z10" s="241"/>
      <c r="AA10" s="234"/>
      <c r="AB10" s="234"/>
      <c r="AC10" s="235"/>
      <c r="AD10" s="234"/>
      <c r="AE10" s="234"/>
      <c r="AF10" s="235"/>
      <c r="AG10" s="234"/>
      <c r="AH10" s="241"/>
      <c r="AI10" s="234"/>
      <c r="AJ10" s="235"/>
      <c r="AK10" s="241"/>
      <c r="AL10" s="234"/>
      <c r="AM10" s="238"/>
      <c r="AN10" s="238"/>
      <c r="AO10" s="234"/>
      <c r="AP10" s="238"/>
      <c r="AQ10" s="235"/>
      <c r="AR10" s="234"/>
      <c r="AS10" s="234"/>
      <c r="AT10" s="235"/>
      <c r="AU10" s="234"/>
      <c r="AV10" s="235"/>
      <c r="AW10" s="241"/>
      <c r="AX10" s="242">
        <v>51.0</v>
      </c>
      <c r="AY10" s="241"/>
      <c r="AZ10" s="235"/>
      <c r="BA10" s="241"/>
      <c r="BB10" s="234"/>
      <c r="BC10" s="234"/>
      <c r="BD10" s="234"/>
      <c r="BE10" s="234"/>
      <c r="BF10" s="238"/>
      <c r="BG10" s="241"/>
      <c r="BH10" s="235"/>
      <c r="BI10" s="234"/>
      <c r="BJ10" s="238"/>
      <c r="BK10" s="241"/>
      <c r="BL10" s="234"/>
      <c r="BM10" s="238"/>
      <c r="BN10" s="234"/>
      <c r="BO10" s="238"/>
      <c r="BP10" s="234"/>
      <c r="BQ10" s="234"/>
      <c r="BR10" s="241"/>
      <c r="BS10" s="241"/>
      <c r="BT10" s="241"/>
      <c r="BU10" s="241"/>
      <c r="BV10" s="241"/>
      <c r="BW10" s="238"/>
      <c r="BX10" s="234"/>
      <c r="BY10" s="241"/>
      <c r="BZ10" s="232"/>
      <c r="CA10" s="232"/>
      <c r="CB10" s="232"/>
      <c r="CC10" s="232"/>
      <c r="CD10" s="232"/>
      <c r="CE10" s="232"/>
      <c r="CF10" s="232"/>
      <c r="CG10" s="232"/>
    </row>
    <row r="11">
      <c r="A11" s="245" t="s">
        <v>571</v>
      </c>
      <c r="B11" s="246">
        <f>IF(MAXIFS('単価履歴'!$H:$H,'単価履歴'!$E:$E,B$1,'単価履歴'!$F:$F,$A11,'単価履歴'!$O:$O,
MAXIFS('単価履歴'!$O:$O,'単価履歴'!$E:$E,B$1,'単価履歴'!$F:$F,$A11))=0,"",
MAXIFS('単価履歴'!$H:$H,'単価履歴'!$E:$E,B$1,'単価履歴'!$F:$F,$A11,'単価履歴'!$O:$O,
MAXIFS('単価履歴'!$O:$O,'単価履歴'!$E:$E,B$1,'単価履歴'!$F:$F,$A11)))</f>
        <v>55.5</v>
      </c>
      <c r="C11" s="247"/>
      <c r="D11" s="246">
        <f>IF(MAXIFS('単価履歴'!$H:$H,'単価履歴'!$E:$E,D$1,'単価履歴'!$F:$F,$A11,'単価履歴'!$O:$O,
MAXIFS('単価履歴'!$O:$O,'単価履歴'!$E:$E,D$1,'単価履歴'!$F:$F,$A11))=0,"",
MAXIFS('単価履歴'!$H:$H,'単価履歴'!$E:$E,D$1,'単価履歴'!$F:$F,$A11,'単価履歴'!$O:$O,
MAXIFS('単価履歴'!$O:$O,'単価履歴'!$E:$E,D$1,'単価履歴'!$F:$F,$A11)))</f>
        <v>57.3</v>
      </c>
      <c r="E11" s="246"/>
      <c r="F11" s="246"/>
      <c r="G11" s="248"/>
      <c r="H11" s="246">
        <f>IF(MAXIFS('単価履歴'!$H:$H,'単価履歴'!$E:$E,H$1,'単価履歴'!$F:$F,$A11,'単価履歴'!$O:$O,
MAXIFS('単価履歴'!$O:$O,'単価履歴'!$E:$E,H$1,'単価履歴'!$F:$F,$A11))=0,"",
MAXIFS('単価履歴'!$H:$H,'単価履歴'!$E:$E,H$1,'単価履歴'!$F:$F,$A11,'単価履歴'!$O:$O,
MAXIFS('単価履歴'!$O:$O,'単価履歴'!$E:$E,H$1,'単価履歴'!$F:$F,$A11)))</f>
        <v>55.8</v>
      </c>
      <c r="I11" s="249"/>
      <c r="J11" s="248"/>
      <c r="K11" s="249"/>
      <c r="L11" s="249"/>
      <c r="M11" s="249"/>
      <c r="N11" s="249"/>
      <c r="O11" s="250" t="str">
        <f>IF(MAXIFS('単価履歴'!$H:$H,'単価履歴'!$E:$E,O$1,'単価履歴'!$F:$F,$A11,'単価履歴'!$O:$O,
MAXIFS('単価履歴'!$O:$O,'単価履歴'!$E:$E,O$1,'単価履歴'!$F:$F,$A11))=0,"",
MAXIFS('単価履歴'!$H:$H,'単価履歴'!$E:$E,O$1,'単価履歴'!$F:$F,$A11,'単価履歴'!$O:$O,
MAXIFS('単価履歴'!$O:$O,'単価履歴'!$E:$E,O$1,'単価履歴'!$F:$F,$A11)))</f>
        <v/>
      </c>
      <c r="P11" s="251" t="str">
        <f>IF(MAXIFS('単価履歴'!$H:$H,'単価履歴'!$E:$E,P$1,'単価履歴'!$F:$F,$A11,'単価履歴'!$O:$O,
MAXIFS('単価履歴'!$O:$O,'単価履歴'!$E:$E,P$1,'単価履歴'!$F:$F,$A11))=0,"",
MAXIFS('単価履歴'!$H:$H,'単価履歴'!$E:$E,P$1,'単価履歴'!$F:$F,$A11,'単価履歴'!$O:$O,
MAXIFS('単価履歴'!$O:$O,'単価履歴'!$E:$E,P$1,'単価履歴'!$F:$F,$A11)))</f>
        <v/>
      </c>
      <c r="Q11" s="249" t="str">
        <f>IF(MAXIFS('単価履歴'!$H:$H,'単価履歴'!$E:$E,Q$1,'単価履歴'!$F:$F,$A11,'単価履歴'!$O:$O,
MAXIFS('単価履歴'!$O:$O,'単価履歴'!$E:$E,Q$1,'単価履歴'!$F:$F,$A11))=0,"",
MAXIFS('単価履歴'!$H:$H,'単価履歴'!$E:$E,Q$1,'単価履歴'!$F:$F,$A11,'単価履歴'!$O:$O,
MAXIFS('単価履歴'!$O:$O,'単価履歴'!$E:$E,Q$1,'単価履歴'!$F:$F,$A11)))</f>
        <v/>
      </c>
      <c r="R11" s="249" t="str">
        <f>IF(MAXIFS('単価履歴'!$H:$H,'単価履歴'!$E:$E,R$1,'単価履歴'!$F:$F,$A11,'単価履歴'!$O:$O,
MAXIFS('単価履歴'!$O:$O,'単価履歴'!$E:$E,R$1,'単価履歴'!$F:$F,$A11))=0,"",
MAXIFS('単価履歴'!$H:$H,'単価履歴'!$E:$E,R$1,'単価履歴'!$F:$F,$A11,'単価履歴'!$O:$O,
MAXIFS('単価履歴'!$O:$O,'単価履歴'!$E:$E,R$1,'単価履歴'!$F:$F,$A11)))</f>
        <v/>
      </c>
      <c r="S11" s="252" t="str">
        <f>IF(MAXIFS('単価履歴'!$H:$H,'単価履歴'!$E:$E,S$1,'単価履歴'!$F:$F,$A11,'単価履歴'!$O:$O,
MAXIFS('単価履歴'!$O:$O,'単価履歴'!$E:$E,S$1,'単価履歴'!$F:$F,$A11))=0,"",
MAXIFS('単価履歴'!$H:$H,'単価履歴'!$E:$E,S$1,'単価履歴'!$F:$F,$A11,'単価履歴'!$O:$O,
MAXIFS('単価履歴'!$O:$O,'単価履歴'!$E:$E,S$1,'単価履歴'!$F:$F,$A11)))</f>
        <v/>
      </c>
      <c r="T11" s="248" t="str">
        <f>IF(MAXIFS('単価履歴'!$H:$H,'単価履歴'!$E:$E,T$1,'単価履歴'!$F:$F,$A11,'単価履歴'!$O:$O,
MAXIFS('単価履歴'!$O:$O,'単価履歴'!$E:$E,T$1,'単価履歴'!$F:$F,$A11))=0,"",
MAXIFS('単価履歴'!$H:$H,'単価履歴'!$E:$E,T$1,'単価履歴'!$F:$F,$A11,'単価履歴'!$O:$O,
MAXIFS('単価履歴'!$O:$O,'単価履歴'!$E:$E,T$1,'単価履歴'!$F:$F,$A11)))</f>
        <v/>
      </c>
      <c r="U11" s="253">
        <f>IF(MAXIFS('単価履歴'!$H:$H,'単価履歴'!$E:$E,U$1,'単価履歴'!$F:$F,$A11,'単価履歴'!$O:$O,
MAXIFS('単価履歴'!$O:$O,'単価履歴'!$E:$E,U$1,'単価履歴'!$F:$F,$A11))=0,"",
MAXIFS('単価履歴'!$H:$H,'単価履歴'!$E:$E,U$1,'単価履歴'!$F:$F,$A11,'単価履歴'!$O:$O,
MAXIFS('単価履歴'!$O:$O,'単価履歴'!$E:$E,U$1,'単価履歴'!$F:$F,$A11)))</f>
        <v>58.8</v>
      </c>
      <c r="V11" s="251" t="str">
        <f>IF(MAXIFS('単価履歴'!$H:$H,'単価履歴'!$E:$E,V$1,'単価履歴'!$F:$F,$A11,'単価履歴'!$O:$O,
MAXIFS('単価履歴'!$O:$O,'単価履歴'!$E:$E,V$1,'単価履歴'!$F:$F,$A11))=0,"",
MAXIFS('単価履歴'!$H:$H,'単価履歴'!$E:$E,V$1,'単価履歴'!$F:$F,$A11,'単価履歴'!$O:$O,
MAXIFS('単価履歴'!$O:$O,'単価履歴'!$E:$E,V$1,'単価履歴'!$F:$F,$A11)))</f>
        <v/>
      </c>
      <c r="W11" s="249" t="str">
        <f>IF(MAXIFS('単価履歴'!$H:$H,'単価履歴'!$E:$E,W$1,'単価履歴'!$F:$F,$A11,'単価履歴'!$O:$O,
MAXIFS('単価履歴'!$O:$O,'単価履歴'!$E:$E,W$1,'単価履歴'!$F:$F,$A11))=0,"",
MAXIFS('単価履歴'!$H:$H,'単価履歴'!$E:$E,W$1,'単価履歴'!$F:$F,$A11,'単価履歴'!$O:$O,
MAXIFS('単価履歴'!$O:$O,'単価履歴'!$E:$E,W$1,'単価履歴'!$F:$F,$A11)))</f>
        <v/>
      </c>
      <c r="X11" s="249" t="str">
        <f>IF(MAXIFS('単価履歴'!$H:$H,'単価履歴'!$E:$E,X$1,'単価履歴'!$F:$F,$A11,'単価履歴'!$O:$O,
MAXIFS('単価履歴'!$O:$O,'単価履歴'!$E:$E,X$1,'単価履歴'!$F:$F,$A11))=0,"",
MAXIFS('単価履歴'!$H:$H,'単価履歴'!$E:$E,X$1,'単価履歴'!$F:$F,$A11,'単価履歴'!$O:$O,
MAXIFS('単価履歴'!$O:$O,'単価履歴'!$E:$E,X$1,'単価履歴'!$F:$F,$A11)))</f>
        <v/>
      </c>
      <c r="Y11" s="254">
        <f>IF(MAXIFS('単価履歴'!$H:$H,'単価履歴'!$E:$E,Y$1,'単価履歴'!$F:$F,$A11,'単価履歴'!$O:$O,
MAXIFS('単価履歴'!$O:$O,'単価履歴'!$E:$E,Y$1,'単価履歴'!$F:$F,$A11))=0,"",
MAXIFS('単価履歴'!$H:$H,'単価履歴'!$E:$E,Y$1,'単価履歴'!$F:$F,$A11,'単価履歴'!$O:$O,
MAXIFS('単価履歴'!$O:$O,'単価履歴'!$E:$E,Y$1,'単価履歴'!$F:$F,$A11)))</f>
        <v>48.5</v>
      </c>
      <c r="Z11" s="255"/>
      <c r="AA11" s="249">
        <f>IF(MAXIFS('単価履歴'!$H:$H,'単価履歴'!$E:$E,AA$1,'単価履歴'!$F:$F,$A11,'単価履歴'!$O:$O,
MAXIFS('単価履歴'!$O:$O,'単価履歴'!$E:$E,AA$1,'単価履歴'!$F:$F,$A11))=0,"",
MAXIFS('単価履歴'!$H:$H,'単価履歴'!$E:$E,AA$1,'単価履歴'!$F:$F,$A11,'単価履歴'!$O:$O,
MAXIFS('単価履歴'!$O:$O,'単価履歴'!$E:$E,AA$1,'単価履歴'!$F:$F,$A11)))</f>
        <v>53</v>
      </c>
      <c r="AB11" s="249" t="str">
        <f>IF(MAXIFS('単価履歴'!$H:$H,'単価履歴'!$E:$E,AB$1,'単価履歴'!$F:$F,$A11,'単価履歴'!$O:$O,
MAXIFS('単価履歴'!$O:$O,'単価履歴'!$E:$E,AB$1,'単価履歴'!$F:$F,$A11))=0,"",
MAXIFS('単価履歴'!$H:$H,'単価履歴'!$E:$E,AB$1,'単価履歴'!$F:$F,$A11,'単価履歴'!$O:$O,
MAXIFS('単価履歴'!$O:$O,'単価履歴'!$E:$E,AB$1,'単価履歴'!$F:$F,$A11)))</f>
        <v/>
      </c>
      <c r="AC11" s="251" t="str">
        <f>IF(MAXIFS('単価履歴'!$H:$H,'単価履歴'!$E:$E,AC$1,'単価履歴'!$F:$F,$A11,'単価履歴'!$O:$O,
MAXIFS('単価履歴'!$O:$O,'単価履歴'!$E:$E,AC$1,'単価履歴'!$F:$F,$A11))=0,"",
MAXIFS('単価履歴'!$H:$H,'単価履歴'!$E:$E,AC$1,'単価履歴'!$F:$F,$A11,'単価履歴'!$O:$O,
MAXIFS('単価履歴'!$O:$O,'単価履歴'!$E:$E,AC$1,'単価履歴'!$F:$F,$A11)))</f>
        <v/>
      </c>
      <c r="AD11" s="249" t="str">
        <f>IF(MAXIFS('単価履歴'!$H:$H,'単価履歴'!$E:$E,AD$1,'単価履歴'!$F:$F,$A11,'単価履歴'!$O:$O,
MAXIFS('単価履歴'!$O:$O,'単価履歴'!$E:$E,AD$1,'単価履歴'!$F:$F,$A11))=0,"",
MAXIFS('単価履歴'!$H:$H,'単価履歴'!$E:$E,AD$1,'単価履歴'!$F:$F,$A11,'単価履歴'!$O:$O,
MAXIFS('単価履歴'!$O:$O,'単価履歴'!$E:$E,AD$1,'単価履歴'!$F:$F,$A11)))</f>
        <v/>
      </c>
      <c r="AE11" s="256">
        <f>IF(MAXIFS('単価履歴'!$H:$H,'単価履歴'!$E:$E,AE$1,'単価履歴'!$F:$F,$A11,'単価履歴'!$O:$O,
MAXIFS('単価履歴'!$O:$O,'単価履歴'!$E:$E,AE$1,'単価履歴'!$F:$F,$A11))=0,"",
MAXIFS('単価履歴'!$H:$H,'単価履歴'!$E:$E,AE$1,'単価履歴'!$F:$F,$A11,'単価履歴'!$O:$O,
MAXIFS('単価履歴'!$O:$O,'単価履歴'!$E:$E,AE$1,'単価履歴'!$F:$F,$A11)))</f>
        <v>47</v>
      </c>
      <c r="AF11" s="247">
        <f>IF(MAXIFS('単価履歴'!$H:$H,'単価履歴'!$E:$E,AF$1,'単価履歴'!$F:$F,$A11,'単価履歴'!$O:$O,
MAXIFS('単価履歴'!$O:$O,'単価履歴'!$E:$E,AF$1,'単価履歴'!$F:$F,$A11))=0,"",
MAXIFS('単価履歴'!$H:$H,'単価履歴'!$E:$E,AF$1,'単価履歴'!$F:$F,$A11,'単価履歴'!$O:$O,
MAXIFS('単価履歴'!$O:$O,'単価履歴'!$E:$E,AF$1,'単価履歴'!$F:$F,$A11)))</f>
        <v>45</v>
      </c>
      <c r="AG11" s="246" t="str">
        <f>IF(MAXIFS('単価履歴'!$H:$H,'単価履歴'!$E:$E,AG$1,'単価履歴'!$F:$F,$A11,'単価履歴'!$O:$O,
MAXIFS('単価履歴'!$O:$O,'単価履歴'!$E:$E,AG$1,'単価履歴'!$F:$F,$A11))=0,"",
MAXIFS('単価履歴'!$H:$H,'単価履歴'!$E:$E,AG$1,'単価履歴'!$F:$F,$A11,'単価履歴'!$O:$O,
MAXIFS('単価履歴'!$O:$O,'単価履歴'!$E:$E,AG$1,'単価履歴'!$F:$F,$A11)))</f>
        <v/>
      </c>
      <c r="AH11" s="252" t="str">
        <f>IF(MAXIFS('単価履歴'!$H:$H,'単価履歴'!$E:$E,AH$1,'単価履歴'!$F:$F,$A11,'単価履歴'!$O:$O,
MAXIFS('単価履歴'!$O:$O,'単価履歴'!$E:$E,AH$1,'単価履歴'!$F:$F,$A11))=0,"",
MAXIFS('単価履歴'!$H:$H,'単価履歴'!$E:$E,AH$1,'単価履歴'!$F:$F,$A11,'単価履歴'!$O:$O,
MAXIFS('単価履歴'!$O:$O,'単価履歴'!$E:$E,AH$1,'単価履歴'!$F:$F,$A11)))</f>
        <v/>
      </c>
      <c r="AI11" s="249" t="str">
        <f>IF(MAXIFS('単価履歴'!$H:$H,'単価履歴'!$E:$E,AI$1,'単価履歴'!$F:$F,$A11,'単価履歴'!$O:$O,
MAXIFS('単価履歴'!$O:$O,'単価履歴'!$E:$E,AI$1,'単価履歴'!$F:$F,$A11))=0,"",
MAXIFS('単価履歴'!$H:$H,'単価履歴'!$E:$E,AI$1,'単価履歴'!$F:$F,$A11,'単価履歴'!$O:$O,
MAXIFS('単価履歴'!$O:$O,'単価履歴'!$E:$E,AI$1,'単価履歴'!$F:$F,$A11)))</f>
        <v/>
      </c>
      <c r="AJ11" s="251" t="str">
        <f>IF(MAXIFS('単価履歴'!$H:$H,'単価履歴'!$E:$E,AJ$1,'単価履歴'!$F:$F,$A11,'単価履歴'!$O:$O,
MAXIFS('単価履歴'!$O:$O,'単価履歴'!$E:$E,AJ$1,'単価履歴'!$F:$F,$A11))=0,"",
MAXIFS('単価履歴'!$H:$H,'単価履歴'!$E:$E,AJ$1,'単価履歴'!$F:$F,$A11,'単価履歴'!$O:$O,
MAXIFS('単価履歴'!$O:$O,'単価履歴'!$E:$E,AJ$1,'単価履歴'!$F:$F,$A11)))</f>
        <v/>
      </c>
      <c r="AK11" s="252" t="str">
        <f>IF(MAXIFS('単価履歴'!$H:$H,'単価履歴'!$E:$E,AK$1,'単価履歴'!$F:$F,$A11,'単価履歴'!$O:$O,
MAXIFS('単価履歴'!$O:$O,'単価履歴'!$E:$E,AK$1,'単価履歴'!$F:$F,$A11))=0,"",
MAXIFS('単価履歴'!$H:$H,'単価履歴'!$E:$E,AK$1,'単価履歴'!$F:$F,$A11,'単価履歴'!$O:$O,
MAXIFS('単価履歴'!$O:$O,'単価履歴'!$E:$E,AK$1,'単価履歴'!$F:$F,$A11)))</f>
        <v/>
      </c>
      <c r="AL11" s="249" t="str">
        <f>IF(MAXIFS('単価履歴'!$H:$H,'単価履歴'!$E:$E,AL$1,'単価履歴'!$F:$F,$A11,'単価履歴'!$O:$O,
MAXIFS('単価履歴'!$O:$O,'単価履歴'!$E:$E,AL$1,'単価履歴'!$F:$F,$A11))=0,"",
MAXIFS('単価履歴'!$H:$H,'単価履歴'!$E:$E,AL$1,'単価履歴'!$F:$F,$A11,'単価履歴'!$O:$O,
MAXIFS('単価履歴'!$O:$O,'単価履歴'!$E:$E,AL$1,'単価履歴'!$F:$F,$A11)))</f>
        <v/>
      </c>
      <c r="AM11" s="257">
        <f>IF(MAXIFS('単価履歴'!$H:$H,'単価履歴'!$E:$E,AM$1,'単価履歴'!$F:$F,$A11,'単価履歴'!$O:$O,
MAXIFS('単価履歴'!$O:$O,'単価履歴'!$E:$E,AM$1,'単価履歴'!$F:$F,$A11))=0,"",
MAXIFS('単価履歴'!$H:$H,'単価履歴'!$E:$E,AM$1,'単価履歴'!$F:$F,$A11,'単価履歴'!$O:$O,
MAXIFS('単価履歴'!$O:$O,'単価履歴'!$E:$E,AM$1,'単価履歴'!$F:$F,$A11)))</f>
        <v>55</v>
      </c>
      <c r="AN11" s="257" t="str">
        <f>IF(MAXIFS('単価履歴'!$H:$H,'単価履歴'!$E:$E,AN$1,'単価履歴'!$F:$F,$A11,'単価履歴'!$O:$O,
MAXIFS('単価履歴'!$O:$O,'単価履歴'!$E:$E,AN$1,'単価履歴'!$F:$F,$A11))=0,"",
MAXIFS('単価履歴'!$H:$H,'単価履歴'!$E:$E,AN$1,'単価履歴'!$F:$F,$A11,'単価履歴'!$O:$O,
MAXIFS('単価履歴'!$O:$O,'単価履歴'!$E:$E,AN$1,'単価履歴'!$F:$F,$A11)))</f>
        <v/>
      </c>
      <c r="AO11" s="249" t="str">
        <f>IF(MAXIFS('単価履歴'!$H:$H,'単価履歴'!$E:$E,AO$1,'単価履歴'!$F:$F,$A11,'単価履歴'!$O:$O,
MAXIFS('単価履歴'!$O:$O,'単価履歴'!$E:$E,AO$1,'単価履歴'!$F:$F,$A11))=0,"",
MAXIFS('単価履歴'!$H:$H,'単価履歴'!$E:$E,AO$1,'単価履歴'!$F:$F,$A11,'単価履歴'!$O:$O,
MAXIFS('単価履歴'!$O:$O,'単価履歴'!$E:$E,AO$1,'単価履歴'!$F:$F,$A11)))</f>
        <v/>
      </c>
      <c r="AP11" s="251" t="str">
        <f>IF(MAXIFS('単価履歴'!$H:$H,'単価履歴'!$E:$E,AP$1,'単価履歴'!$F:$F,$A11,'単価履歴'!$O:$O,
MAXIFS('単価履歴'!$O:$O,'単価履歴'!$E:$E,AP$1,'単価履歴'!$F:$F,$A11))=0,"",
MAXIFS('単価履歴'!$H:$H,'単価履歴'!$E:$E,AP$1,'単価履歴'!$F:$F,$A11,'単価履歴'!$O:$O,
MAXIFS('単価履歴'!$O:$O,'単価履歴'!$E:$E,AP$1,'単価履歴'!$F:$F,$A11)))</f>
        <v/>
      </c>
      <c r="AQ11" s="247">
        <f>IF(MAXIFS('単価履歴'!$H:$H,'単価履歴'!$E:$E,AQ$1,'単価履歴'!$F:$F,$A11,'単価履歴'!$O:$O,
MAXIFS('単価履歴'!$O:$O,'単価履歴'!$E:$E,AQ$1,'単価履歴'!$F:$F,$A11))=0,"",
MAXIFS('単価履歴'!$H:$H,'単価履歴'!$E:$E,AQ$1,'単価履歴'!$F:$F,$A11,'単価履歴'!$O:$O,
MAXIFS('単価履歴'!$O:$O,'単価履歴'!$E:$E,AQ$1,'単価履歴'!$F:$F,$A11)))</f>
        <v>56.1</v>
      </c>
      <c r="AR11" s="246">
        <f>IF(MAXIFS('単価履歴'!$H:$H,'単価履歴'!$E:$E,AR$1,'単価履歴'!$F:$F,$A11,'単価履歴'!$O:$O,
MAXIFS('単価履歴'!$O:$O,'単価履歴'!$E:$E,AR$1,'単価履歴'!$F:$F,$A11))=0,"",
MAXIFS('単価履歴'!$H:$H,'単価履歴'!$E:$E,AR$1,'単価履歴'!$F:$F,$A11,'単価履歴'!$O:$O,
MAXIFS('単価履歴'!$O:$O,'単価履歴'!$E:$E,AR$1,'単価履歴'!$F:$F,$A11)))</f>
        <v>59</v>
      </c>
      <c r="AS11" s="246">
        <f>IF(MAXIFS('単価履歴'!$H:$H,'単価履歴'!$E:$E,AS$1,'単価履歴'!$F:$F,$A11,'単価履歴'!$O:$O,
MAXIFS('単価履歴'!$O:$O,'単価履歴'!$E:$E,AS$1,'単価履歴'!$F:$F,$A11))=0,"",
MAXIFS('単価履歴'!$H:$H,'単価履歴'!$E:$E,AS$1,'単価履歴'!$F:$F,$A11,'単価履歴'!$O:$O,
MAXIFS('単価履歴'!$O:$O,'単価履歴'!$E:$E,AS$1,'単価履歴'!$F:$F,$A11)))</f>
        <v>59.2</v>
      </c>
      <c r="AT11" s="251" t="str">
        <f>IF(MAXIFS('単価履歴'!$H:$H,'単価履歴'!$E:$E,AT$1,'単価履歴'!$F:$F,$A11,'単価履歴'!$O:$O,
MAXIFS('単価履歴'!$O:$O,'単価履歴'!$E:$E,AT$1,'単価履歴'!$F:$F,$A11))=0,"",
MAXIFS('単価履歴'!$H:$H,'単価履歴'!$E:$E,AT$1,'単価履歴'!$F:$F,$A11,'単価履歴'!$O:$O,
MAXIFS('単価履歴'!$O:$O,'単価履歴'!$E:$E,AT$1,'単価履歴'!$F:$F,$A11)))</f>
        <v/>
      </c>
      <c r="AU11" s="249" t="str">
        <f>IF(MAXIFS('単価履歴'!$H:$H,'単価履歴'!$E:$E,AU$1,'単価履歴'!$F:$F,$A11,'単価履歴'!$O:$O,
MAXIFS('単価履歴'!$O:$O,'単価履歴'!$E:$E,AU$1,'単価履歴'!$F:$F,$A11))=0,"",
MAXIFS('単価履歴'!$H:$H,'単価履歴'!$E:$E,AU$1,'単価履歴'!$F:$F,$A11,'単価履歴'!$O:$O,
MAXIFS('単価履歴'!$O:$O,'単価履歴'!$E:$E,AU$1,'単価履歴'!$F:$F,$A11)))</f>
        <v/>
      </c>
      <c r="AV11" s="247">
        <f>IF(MAXIFS('単価履歴'!$H:$H,'単価履歴'!$E:$E,AV$1,'単価履歴'!$F:$F,$A11,'単価履歴'!$O:$O,
MAXIFS('単価履歴'!$O:$O,'単価履歴'!$E:$E,AV$1,'単価履歴'!$F:$F,$A11))=0,"",
MAXIFS('単価履歴'!$H:$H,'単価履歴'!$E:$E,AV$1,'単価履歴'!$F:$F,$A11,'単価履歴'!$O:$O,
MAXIFS('単価履歴'!$O:$O,'単価履歴'!$E:$E,AV$1,'単価履歴'!$F:$F,$A11)))</f>
        <v>55.5</v>
      </c>
      <c r="AW11" s="258">
        <f>IF(MAXIFS('単価履歴'!$H:$H,'単価履歴'!$E:$E,AW$1,'単価履歴'!$F:$F,$A11,'単価履歴'!$O:$O,
MAXIFS('単価履歴'!$O:$O,'単価履歴'!$E:$E,AW$1,'単価履歴'!$F:$F,$A11))=0,"",
MAXIFS('単価履歴'!$H:$H,'単価履歴'!$E:$E,AW$1,'単価履歴'!$F:$F,$A11,'単価履歴'!$O:$O,
MAXIFS('単価履歴'!$O:$O,'単価履歴'!$E:$E,AW$1,'単価履歴'!$F:$F,$A11)))</f>
        <v>56.5</v>
      </c>
      <c r="AX11" s="247">
        <f>IF(MAXIFS('単価履歴'!$H:$H,'単価履歴'!$E:$E,AX$1,'単価履歴'!$F:$F,$A11,'単価履歴'!$O:$O,
MAXIFS('単価履歴'!$O:$O,'単価履歴'!$E:$E,AX$1,'単価履歴'!$F:$F,$A11))=0,"",
MAXIFS('単価履歴'!$H:$H,'単価履歴'!$E:$E,AX$1,'単価履歴'!$F:$F,$A11,'単価履歴'!$O:$O,
MAXIFS('単価履歴'!$O:$O,'単価履歴'!$E:$E,AX$1,'単価履歴'!$F:$F,$A11)))</f>
        <v>55.7</v>
      </c>
      <c r="AY11" s="258">
        <f>IF(MAXIFS('単価履歴'!$H:$H,'単価履歴'!$E:$E,AY$1,'単価履歴'!$F:$F,$A11,'単価履歴'!$O:$O,
MAXIFS('単価履歴'!$O:$O,'単価履歴'!$E:$E,AY$1,'単価履歴'!$F:$F,$A11))=0,"",
MAXIFS('単価履歴'!$H:$H,'単価履歴'!$E:$E,AY$1,'単価履歴'!$F:$F,$A11,'単価履歴'!$O:$O,
MAXIFS('単価履歴'!$O:$O,'単価履歴'!$E:$E,AY$1,'単価履歴'!$F:$F,$A11)))</f>
        <v>53</v>
      </c>
      <c r="AZ11" s="247">
        <f>IF(MAXIFS('単価履歴'!$H:$H,'単価履歴'!$E:$E,AZ$1,'単価履歴'!$F:$F,$A11,'単価履歴'!$O:$O,
MAXIFS('単価履歴'!$O:$O,'単価履歴'!$E:$E,AZ$1,'単価履歴'!$F:$F,$A11))=0,"",
MAXIFS('単価履歴'!$H:$H,'単価履歴'!$E:$E,AZ$1,'単価履歴'!$F:$F,$A11,'単価履歴'!$O:$O,
MAXIFS('単価履歴'!$O:$O,'単価履歴'!$E:$E,AZ$1,'単価履歴'!$F:$F,$A11)))</f>
        <v>53</v>
      </c>
      <c r="BA11" s="258">
        <f>IF(MAXIFS('単価履歴'!$H:$H,'単価履歴'!$E:$E,BA$1,'単価履歴'!$F:$F,$A11,'単価履歴'!$O:$O,
MAXIFS('単価履歴'!$O:$O,'単価履歴'!$E:$E,BA$1,'単価履歴'!$F:$F,$A11))=0,"",
MAXIFS('単価履歴'!$H:$H,'単価履歴'!$E:$E,BA$1,'単価履歴'!$F:$F,$A11,'単価履歴'!$O:$O,
MAXIFS('単価履歴'!$O:$O,'単価履歴'!$E:$E,BA$1,'単価履歴'!$F:$F,$A11)))</f>
        <v>53</v>
      </c>
      <c r="BB11" s="246">
        <f>IF(MAXIFS('単価履歴'!$H:$H,'単価履歴'!$E:$E,BB$1,'単価履歴'!$F:$F,$A11,'単価履歴'!$O:$O,
MAXIFS('単価履歴'!$O:$O,'単価履歴'!$E:$E,BB$1,'単価履歴'!$F:$F,$A11))=0,"",
MAXIFS('単価履歴'!$H:$H,'単価履歴'!$E:$E,BB$1,'単価履歴'!$F:$F,$A11,'単価履歴'!$O:$O,
MAXIFS('単価履歴'!$O:$O,'単価履歴'!$E:$E,BB$1,'単価履歴'!$F:$F,$A11)))</f>
        <v>56</v>
      </c>
      <c r="BC11" s="256">
        <f>IF(MAXIFS('単価履歴'!$H:$H,'単価履歴'!$E:$E,BC$1,'単価履歴'!$F:$F,$A11,'単価履歴'!$O:$O,
MAXIFS('単価履歴'!$O:$O,'単価履歴'!$E:$E,BC$1,'単価履歴'!$F:$F,$A11))=0,"",
MAXIFS('単価履歴'!$H:$H,'単価履歴'!$E:$E,BC$1,'単価履歴'!$F:$F,$A11,'単価履歴'!$O:$O,
MAXIFS('単価履歴'!$O:$O,'単価履歴'!$E:$E,BC$1,'単価履歴'!$F:$F,$A11)))</f>
        <v>55.3</v>
      </c>
      <c r="BD11" s="246">
        <f>IF(MAXIFS('単価履歴'!$H:$H,'単価履歴'!$E:$E,BD$1,'単価履歴'!$F:$F,$A11,'単価履歴'!$O:$O,
MAXIFS('単価履歴'!$O:$O,'単価履歴'!$E:$E,BD$1,'単価履歴'!$F:$F,$A11))=0,"",
MAXIFS('単価履歴'!$H:$H,'単価履歴'!$E:$E,BD$1,'単価履歴'!$F:$F,$A11,'単価履歴'!$O:$O,
MAXIFS('単価履歴'!$O:$O,'単価履歴'!$E:$E,BD$1,'単価履歴'!$F:$F,$A11)))</f>
        <v>53</v>
      </c>
      <c r="BE11" s="246">
        <f>IF(MAXIFS('単価履歴'!$H:$H,'単価履歴'!$E:$E,BE$1,'単価履歴'!$F:$F,$A11,'単価履歴'!$O:$O,
MAXIFS('単価履歴'!$O:$O,'単価履歴'!$E:$E,BE$1,'単価履歴'!$F:$F,$A11))=0,"",
MAXIFS('単価履歴'!$H:$H,'単価履歴'!$E:$E,BE$1,'単価履歴'!$F:$F,$A11,'単価履歴'!$O:$O,
MAXIFS('単価履歴'!$O:$O,'単価履歴'!$E:$E,BE$1,'単価履歴'!$F:$F,$A11)))</f>
        <v>53.8</v>
      </c>
      <c r="BF11" s="257" t="str">
        <f>IF(MAXIFS('単価履歴'!$H:$H,'単価履歴'!$E:$E,BF$1,'単価履歴'!$F:$F,$A11,'単価履歴'!$O:$O,
MAXIFS('単価履歴'!$O:$O,'単価履歴'!$E:$E,BF$1,'単価履歴'!$F:$F,$A11))=0,"",
MAXIFS('単価履歴'!$H:$H,'単価履歴'!$E:$E,BF$1,'単価履歴'!$F:$F,$A11,'単価履歴'!$O:$O,
MAXIFS('単価履歴'!$O:$O,'単価履歴'!$E:$E,BF$1,'単価履歴'!$F:$F,$A11)))</f>
        <v/>
      </c>
      <c r="BG11" s="252" t="str">
        <f>IF(MAXIFS('単価履歴'!$H:$H,'単価履歴'!$E:$E,BG$1,'単価履歴'!$F:$F,$A11,'単価履歴'!$O:$O,
MAXIFS('単価履歴'!$O:$O,'単価履歴'!$E:$E,BG$1,'単価履歴'!$F:$F,$A11))=0,"",
MAXIFS('単価履歴'!$H:$H,'単価履歴'!$E:$E,BG$1,'単価履歴'!$F:$F,$A11,'単価履歴'!$O:$O,
MAXIFS('単価履歴'!$O:$O,'単価履歴'!$E:$E,BG$1,'単価履歴'!$F:$F,$A11)))</f>
        <v/>
      </c>
      <c r="BH11" s="251" t="str">
        <f>IF(MAXIFS('単価履歴'!$H:$H,'単価履歴'!$E:$E,BH$1,'単価履歴'!$F:$F,$A11,'単価履歴'!$O:$O,
MAXIFS('単価履歴'!$O:$O,'単価履歴'!$E:$E,BH$1,'単価履歴'!$F:$F,$A11))=0,"",
MAXIFS('単価履歴'!$H:$H,'単価履歴'!$E:$E,BH$1,'単価履歴'!$F:$F,$A11,'単価履歴'!$O:$O,
MAXIFS('単価履歴'!$O:$O,'単価履歴'!$E:$E,BH$1,'単価履歴'!$F:$F,$A11)))</f>
        <v/>
      </c>
      <c r="BI11" s="249" t="str">
        <f>IF(MAXIFS('単価履歴'!$H:$H,'単価履歴'!$E:$E,BI$1,'単価履歴'!$F:$F,$A11,'単価履歴'!$O:$O,
MAXIFS('単価履歴'!$O:$O,'単価履歴'!$E:$E,BI$1,'単価履歴'!$F:$F,$A11))=0,"",
MAXIFS('単価履歴'!$H:$H,'単価履歴'!$E:$E,BI$1,'単価履歴'!$F:$F,$A11,'単価履歴'!$O:$O,
MAXIFS('単価履歴'!$O:$O,'単価履歴'!$E:$E,BI$1,'単価履歴'!$F:$F,$A11)))</f>
        <v/>
      </c>
      <c r="BJ11" s="248" t="str">
        <f>IF(MAXIFS('単価履歴'!$H:$H,'単価履歴'!$E:$E,BJ$1,'単価履歴'!$F:$F,$A11,'単価履歴'!$O:$O,
MAXIFS('単価履歴'!$O:$O,'単価履歴'!$E:$E,BJ$1,'単価履歴'!$F:$F,$A11))=0,"",
MAXIFS('単価履歴'!$H:$H,'単価履歴'!$E:$E,BJ$1,'単価履歴'!$F:$F,$A11,'単価履歴'!$O:$O,
MAXIFS('単価履歴'!$O:$O,'単価履歴'!$E:$E,BJ$1,'単価履歴'!$F:$F,$A11)))</f>
        <v/>
      </c>
      <c r="BK11" s="252" t="str">
        <f>IF(MAXIFS('単価履歴'!$H:$H,'単価履歴'!$E:$E,BK$1,'単価履歴'!$F:$F,$A11,'単価履歴'!$O:$O,
MAXIFS('単価履歴'!$O:$O,'単価履歴'!$E:$E,BK$1,'単価履歴'!$F:$F,$A11))=0,"",
MAXIFS('単価履歴'!$H:$H,'単価履歴'!$E:$E,BK$1,'単価履歴'!$F:$F,$A11,'単価履歴'!$O:$O,
MAXIFS('単価履歴'!$O:$O,'単価履歴'!$E:$E,BK$1,'単価履歴'!$F:$F,$A11)))</f>
        <v/>
      </c>
      <c r="BL11" s="259">
        <f>IF(MAXIFS('単価履歴'!$H:$H,'単価履歴'!$E:$E,BL$1,'単価履歴'!$F:$F,$A11,'単価履歴'!$O:$O,
MAXIFS('単価履歴'!$O:$O,'単価履歴'!$E:$E,BL$1,'単価履歴'!$F:$F,$A11))=0,"",
MAXIFS('単価履歴'!$H:$H,'単価履歴'!$E:$E,BL$1,'単価履歴'!$F:$F,$A11,'単価履歴'!$O:$O,
MAXIFS('単価履歴'!$O:$O,'単価履歴'!$E:$E,BL$1,'単価履歴'!$F:$F,$A11)))</f>
        <v>39</v>
      </c>
      <c r="BM11" s="248" t="str">
        <f>IF(MAXIFS('単価履歴'!$H:$H,'単価履歴'!$E:$E,BM$1,'単価履歴'!$F:$F,$A11,'単価履歴'!$O:$O,
MAXIFS('単価履歴'!$O:$O,'単価履歴'!$E:$E,BM$1,'単価履歴'!$F:$F,$A11))=0,"",
MAXIFS('単価履歴'!$H:$H,'単価履歴'!$E:$E,BM$1,'単価履歴'!$F:$F,$A11,'単価履歴'!$O:$O,
MAXIFS('単価履歴'!$O:$O,'単価履歴'!$E:$E,BM$1,'単価履歴'!$F:$F,$A11)))</f>
        <v/>
      </c>
      <c r="BN11" s="249" t="str">
        <f>IF(MAXIFS('単価履歴'!$H:$H,'単価履歴'!$E:$E,BN$1,'単価履歴'!$F:$F,$A11,'単価履歴'!$O:$O,
MAXIFS('単価履歴'!$O:$O,'単価履歴'!$E:$E,BN$1,'単価履歴'!$F:$F,$A11))=0,"",
MAXIFS('単価履歴'!$H:$H,'単価履歴'!$E:$E,BN$1,'単価履歴'!$F:$F,$A11,'単価履歴'!$O:$O,
MAXIFS('単価履歴'!$O:$O,'単価履歴'!$E:$E,BN$1,'単価履歴'!$F:$F,$A11)))</f>
        <v/>
      </c>
      <c r="BO11" s="248" t="str">
        <f>IF(MAXIFS('単価履歴'!$H:$H,'単価履歴'!$E:$E,BO$1,'単価履歴'!$F:$F,$A11,'単価履歴'!$O:$O,
MAXIFS('単価履歴'!$O:$O,'単価履歴'!$E:$E,BO$1,'単価履歴'!$F:$F,$A11))=0,"",
MAXIFS('単価履歴'!$H:$H,'単価履歴'!$E:$E,BO$1,'単価履歴'!$F:$F,$A11,'単価履歴'!$O:$O,
MAXIFS('単価履歴'!$O:$O,'単価履歴'!$E:$E,BO$1,'単価履歴'!$F:$F,$A11)))</f>
        <v/>
      </c>
      <c r="BP11" s="249" t="str">
        <f>IF(MAXIFS('単価履歴'!$H:$H,'単価履歴'!$E:$E,BP$1,'単価履歴'!$F:$F,$A11,'単価履歴'!$O:$O,
MAXIFS('単価履歴'!$O:$O,'単価履歴'!$E:$E,BP$1,'単価履歴'!$F:$F,$A11))=0,"",
MAXIFS('単価履歴'!$H:$H,'単価履歴'!$E:$E,BP$1,'単価履歴'!$F:$F,$A11,'単価履歴'!$O:$O,
MAXIFS('単価履歴'!$O:$O,'単価履歴'!$E:$E,BP$1,'単価履歴'!$F:$F,$A11)))</f>
        <v/>
      </c>
      <c r="BQ11" s="249" t="str">
        <f>IF(MAXIFS('単価履歴'!$H:$H,'単価履歴'!$E:$E,BQ$1,'単価履歴'!$F:$F,$A11,'単価履歴'!$O:$O,
MAXIFS('単価履歴'!$O:$O,'単価履歴'!$E:$E,BQ$1,'単価履歴'!$F:$F,$A11))=0,"",
MAXIFS('単価履歴'!$H:$H,'単価履歴'!$E:$E,BQ$1,'単価履歴'!$F:$F,$A11,'単価履歴'!$O:$O,
MAXIFS('単価履歴'!$O:$O,'単価履歴'!$E:$E,BQ$1,'単価履歴'!$F:$F,$A11)))</f>
        <v/>
      </c>
      <c r="BR11" s="252" t="str">
        <f>IF(MAXIFS('単価履歴'!$H:$H,'単価履歴'!$E:$E,BR$1,'単価履歴'!$F:$F,$A11,'単価履歴'!$O:$O,
MAXIFS('単価履歴'!$O:$O,'単価履歴'!$E:$E,BR$1,'単価履歴'!$F:$F,$A11))=0,"",
MAXIFS('単価履歴'!$H:$H,'単価履歴'!$E:$E,BR$1,'単価履歴'!$F:$F,$A11,'単価履歴'!$O:$O,
MAXIFS('単価履歴'!$O:$O,'単価履歴'!$E:$E,BR$1,'単価履歴'!$F:$F,$A11)))</f>
        <v/>
      </c>
      <c r="BS11" s="260">
        <f>IF(MAXIFS('単価履歴'!$H:$H,'単価履歴'!$E:$E,BS$1,'単価履歴'!$F:$F,$A11,'単価履歴'!$O:$O,
MAXIFS('単価履歴'!$O:$O,'単価履歴'!$E:$E,BS$1,'単価履歴'!$F:$F,$A11))=0,"",
MAXIFS('単価履歴'!$H:$H,'単価履歴'!$E:$E,BS$1,'単価履歴'!$F:$F,$A11,'単価履歴'!$O:$O,
MAXIFS('単価履歴'!$O:$O,'単価履歴'!$E:$E,BS$1,'単価履歴'!$F:$F,$A11)))</f>
        <v>28.8</v>
      </c>
      <c r="BT11" s="252" t="str">
        <f>IF(MAXIFS('単価履歴'!$H:$H,'単価履歴'!$E:$E,BT$1,'単価履歴'!$F:$F,$A11,'単価履歴'!$O:$O,
MAXIFS('単価履歴'!$O:$O,'単価履歴'!$E:$E,BT$1,'単価履歴'!$F:$F,$A11))=0,"",
MAXIFS('単価履歴'!$H:$H,'単価履歴'!$E:$E,BT$1,'単価履歴'!$F:$F,$A11,'単価履歴'!$O:$O,
MAXIFS('単価履歴'!$O:$O,'単価履歴'!$E:$E,BT$1,'単価履歴'!$F:$F,$A11)))</f>
        <v/>
      </c>
      <c r="BU11" s="252" t="str">
        <f>IF(MAXIFS('単価履歴'!$H:$H,'単価履歴'!$E:$E,BU$1,'単価履歴'!$F:$F,$A11,'単価履歴'!$O:$O,
MAXIFS('単価履歴'!$O:$O,'単価履歴'!$E:$E,BU$1,'単価履歴'!$F:$F,$A11))=0,"",
MAXIFS('単価履歴'!$H:$H,'単価履歴'!$E:$E,BU$1,'単価履歴'!$F:$F,$A11,'単価履歴'!$O:$O,
MAXIFS('単価履歴'!$O:$O,'単価履歴'!$E:$E,BU$1,'単価履歴'!$F:$F,$A11)))</f>
        <v/>
      </c>
      <c r="BV11" s="252" t="str">
        <f>IF(MAXIFS('単価履歴'!$H:$H,'単価履歴'!$E:$E,BV$1,'単価履歴'!$F:$F,$A11,'単価履歴'!$O:$O,
MAXIFS('単価履歴'!$O:$O,'単価履歴'!$E:$E,BV$1,'単価履歴'!$F:$F,$A11))=0,"",
MAXIFS('単価履歴'!$H:$H,'単価履歴'!$E:$E,BV$1,'単価履歴'!$F:$F,$A11,'単価履歴'!$O:$O,
MAXIFS('単価履歴'!$O:$O,'単価履歴'!$E:$E,BV$1,'単価履歴'!$F:$F,$A11)))</f>
        <v/>
      </c>
      <c r="BW11" s="248" t="str">
        <f>IF(MAXIFS('単価履歴'!$H:$H,'単価履歴'!$E:$E,BW$1,'単価履歴'!$F:$F,$A11,'単価履歴'!$O:$O,
MAXIFS('単価履歴'!$O:$O,'単価履歴'!$E:$E,BW$1,'単価履歴'!$F:$F,$A11))=0,"",
MAXIFS('単価履歴'!$H:$H,'単価履歴'!$E:$E,BW$1,'単価履歴'!$F:$F,$A11,'単価履歴'!$O:$O,
MAXIFS('単価履歴'!$O:$O,'単価履歴'!$E:$E,BW$1,'単価履歴'!$F:$F,$A11)))</f>
        <v/>
      </c>
      <c r="BX11" s="249" t="str">
        <f>IF(MAXIFS('単価履歴'!$H:$H,'単価履歴'!$E:$E,BX$1,'単価履歴'!$F:$F,$A11,'単価履歴'!$O:$O,
MAXIFS('単価履歴'!$O:$O,'単価履歴'!$E:$E,BX$1,'単価履歴'!$F:$F,$A11))=0,"",
MAXIFS('単価履歴'!$H:$H,'単価履歴'!$E:$E,BX$1,'単価履歴'!$F:$F,$A11,'単価履歴'!$O:$O,
MAXIFS('単価履歴'!$O:$O,'単価履歴'!$E:$E,BX$1,'単価履歴'!$F:$F,$A11)))</f>
        <v/>
      </c>
      <c r="BY11" s="252" t="str">
        <f>IF(MAXIFS('単価履歴'!$H:$H,'単価履歴'!$E:$E,BY$1,'単価履歴'!$F:$F,$A11,'単価履歴'!$O:$O,
MAXIFS('単価履歴'!$O:$O,'単価履歴'!$E:$E,BY$1,'単価履歴'!$F:$F,$A11))=0,"",
MAXIFS('単価履歴'!$H:$H,'単価履歴'!$E:$E,BY$1,'単価履歴'!$F:$F,$A11,'単価履歴'!$O:$O,
MAXIFS('単価履歴'!$O:$O,'単価履歴'!$E:$E,BY$1,'単価履歴'!$F:$F,$A11)))</f>
        <v/>
      </c>
      <c r="BZ11" s="249"/>
      <c r="CA11" s="249"/>
      <c r="CB11" s="249"/>
      <c r="CC11" s="249"/>
      <c r="CD11" s="249"/>
      <c r="CE11" s="249"/>
      <c r="CF11" s="249"/>
      <c r="CG11" s="249"/>
    </row>
    <row r="12">
      <c r="A12" s="261" t="s">
        <v>101</v>
      </c>
      <c r="B12" s="246"/>
      <c r="C12" s="262">
        <f>IF(MAXIFS('単価履歴'!$H:$H,'単価履歴'!$E:$E,C$1,'単価履歴'!$F:$F,$A12,'単価履歴'!$O:$O,
MAXIFS('単価履歴'!$O:$O,'単価履歴'!$E:$E,C$1,'単価履歴'!$F:$F,$A12))=0,"",
MAXIFS('単価履歴'!$H:$H,'単価履歴'!$E:$E,C$1,'単価履歴'!$F:$F,$A12,'単価履歴'!$O:$O,
MAXIFS('単価履歴'!$O:$O,'単価履歴'!$E:$E,C$1,'単価履歴'!$F:$F,$A12)))</f>
        <v>57.4</v>
      </c>
      <c r="D12" s="256">
        <f>IF(MAXIFS('単価履歴'!$H:$H,'単価履歴'!$E:$E,D$1,'単価履歴'!$F:$F,$A12,'単価履歴'!$O:$O,
MAXIFS('単価履歴'!$O:$O,'単価履歴'!$E:$E,D$1,'単価履歴'!$F:$F,$A12))=0,"",
MAXIFS('単価履歴'!$H:$H,'単価履歴'!$E:$E,D$1,'単価履歴'!$F:$F,$A12,'単価履歴'!$O:$O,
MAXIFS('単価履歴'!$O:$O,'単価履歴'!$E:$E,D$1,'単価履歴'!$F:$F,$A12)))</f>
        <v>57.3</v>
      </c>
      <c r="E12" s="256"/>
      <c r="F12" s="256"/>
      <c r="G12" s="263"/>
      <c r="H12" s="250">
        <f>IF(MAXIFS('単価履歴'!$H:$H,'単価履歴'!$E:$E,H$1,'単価履歴'!$F:$F,$A12,'単価履歴'!$O:$O,
MAXIFS('単価履歴'!$O:$O,'単価履歴'!$E:$E,H$1,'単価履歴'!$F:$F,$A12))=0,"",
MAXIFS('単価履歴'!$H:$H,'単価履歴'!$E:$E,H$1,'単価履歴'!$F:$F,$A12,'単価履歴'!$O:$O,
MAXIFS('単価履歴'!$O:$O,'単価履歴'!$E:$E,H$1,'単価履歴'!$F:$F,$A12)))</f>
        <v>55.3</v>
      </c>
      <c r="I12" s="256"/>
      <c r="J12" s="263"/>
      <c r="K12" s="256"/>
      <c r="L12" s="256"/>
      <c r="M12" s="256"/>
      <c r="N12" s="256"/>
      <c r="O12" s="250" t="str">
        <f>IF(MAXIFS('単価履歴'!$H:$H,'単価履歴'!$E:$E,O$1,'単価履歴'!$F:$F,$A12,'単価履歴'!$O:$O,
MAXIFS('単価履歴'!$O:$O,'単価履歴'!$E:$E,O$1,'単価履歴'!$F:$F,$A12))=0,"",
MAXIFS('単価履歴'!$H:$H,'単価履歴'!$E:$E,O$1,'単価履歴'!$F:$F,$A12,'単価履歴'!$O:$O,
MAXIFS('単価履歴'!$O:$O,'単価履歴'!$E:$E,O$1,'単価履歴'!$F:$F,$A12)))</f>
        <v/>
      </c>
      <c r="P12" s="254" t="str">
        <f>IF(MAXIFS('単価履歴'!$H:$H,'単価履歴'!$E:$E,P$1,'単価履歴'!$F:$F,$A12,'単価履歴'!$O:$O,
MAXIFS('単価履歴'!$O:$O,'単価履歴'!$E:$E,P$1,'単価履歴'!$F:$F,$A12))=0,"",
MAXIFS('単価履歴'!$H:$H,'単価履歴'!$E:$E,P$1,'単価履歴'!$F:$F,$A12,'単価履歴'!$O:$O,
MAXIFS('単価履歴'!$O:$O,'単価履歴'!$E:$E,P$1,'単価履歴'!$F:$F,$A12)))</f>
        <v/>
      </c>
      <c r="Q12" s="256" t="str">
        <f>IF(MAXIFS('単価履歴'!$H:$H,'単価履歴'!$E:$E,Q$1,'単価履歴'!$F:$F,$A12,'単価履歴'!$O:$O,
MAXIFS('単価履歴'!$O:$O,'単価履歴'!$E:$E,Q$1,'単価履歴'!$F:$F,$A12))=0,"",
MAXIFS('単価履歴'!$H:$H,'単価履歴'!$E:$E,Q$1,'単価履歴'!$F:$F,$A12,'単価履歴'!$O:$O,
MAXIFS('単価履歴'!$O:$O,'単価履歴'!$E:$E,Q$1,'単価履歴'!$F:$F,$A12)))</f>
        <v/>
      </c>
      <c r="R12" s="256" t="str">
        <f>IF(MAXIFS('単価履歴'!$H:$H,'単価履歴'!$E:$E,R$1,'単価履歴'!$F:$F,$A12,'単価履歴'!$O:$O,
MAXIFS('単価履歴'!$O:$O,'単価履歴'!$E:$E,R$1,'単価履歴'!$F:$F,$A12))=0,"",
MAXIFS('単価履歴'!$H:$H,'単価履歴'!$E:$E,R$1,'単価履歴'!$F:$F,$A12,'単価履歴'!$O:$O,
MAXIFS('単価履歴'!$O:$O,'単価履歴'!$E:$E,R$1,'単価履歴'!$F:$F,$A12)))</f>
        <v/>
      </c>
      <c r="S12" s="264" t="str">
        <f>IF(MAXIFS('単価履歴'!$H:$H,'単価履歴'!$E:$E,S$1,'単価履歴'!$F:$F,$A12,'単価履歴'!$O:$O,
MAXIFS('単価履歴'!$O:$O,'単価履歴'!$E:$E,S$1,'単価履歴'!$F:$F,$A12))=0,"",
MAXIFS('単価履歴'!$H:$H,'単価履歴'!$E:$E,S$1,'単価履歴'!$F:$F,$A12,'単価履歴'!$O:$O,
MAXIFS('単価履歴'!$O:$O,'単価履歴'!$E:$E,S$1,'単価履歴'!$F:$F,$A12)))</f>
        <v/>
      </c>
      <c r="T12" s="263" t="str">
        <f>IF(MAXIFS('単価履歴'!$H:$H,'単価履歴'!$E:$E,T$1,'単価履歴'!$F:$F,$A12,'単価履歴'!$O:$O,
MAXIFS('単価履歴'!$O:$O,'単価履歴'!$E:$E,T$1,'単価履歴'!$F:$F,$A12))=0,"",
MAXIFS('単価履歴'!$H:$H,'単価履歴'!$E:$E,T$1,'単価履歴'!$F:$F,$A12,'単価履歴'!$O:$O,
MAXIFS('単価履歴'!$O:$O,'単価履歴'!$E:$E,T$1,'単価履歴'!$F:$F,$A12)))</f>
        <v/>
      </c>
      <c r="U12" s="265">
        <f>IF(MAXIFS('単価履歴'!$H:$H,'単価履歴'!$E:$E,U$1,'単価履歴'!$F:$F,$A12,'単価履歴'!$O:$O,
MAXIFS('単価履歴'!$O:$O,'単価履歴'!$E:$E,U$1,'単価履歴'!$F:$F,$A12))=0,"",
MAXIFS('単価履歴'!$H:$H,'単価履歴'!$E:$E,U$1,'単価履歴'!$F:$F,$A12,'単価履歴'!$O:$O,
MAXIFS('単価履歴'!$O:$O,'単価履歴'!$E:$E,U$1,'単価履歴'!$F:$F,$A12)))</f>
        <v>58.5</v>
      </c>
      <c r="V12" s="254" t="str">
        <f>IF(MAXIFS('単価履歴'!$H:$H,'単価履歴'!$E:$E,V$1,'単価履歴'!$F:$F,$A12,'単価履歴'!$O:$O,
MAXIFS('単価履歴'!$O:$O,'単価履歴'!$E:$E,V$1,'単価履歴'!$F:$F,$A12))=0,"",
MAXIFS('単価履歴'!$H:$H,'単価履歴'!$E:$E,V$1,'単価履歴'!$F:$F,$A12,'単価履歴'!$O:$O,
MAXIFS('単価履歴'!$O:$O,'単価履歴'!$E:$E,V$1,'単価履歴'!$F:$F,$A12)))</f>
        <v/>
      </c>
      <c r="W12" s="256" t="str">
        <f>IF(MAXIFS('単価履歴'!$H:$H,'単価履歴'!$E:$E,W$1,'単価履歴'!$F:$F,$A12,'単価履歴'!$O:$O,
MAXIFS('単価履歴'!$O:$O,'単価履歴'!$E:$E,W$1,'単価履歴'!$F:$F,$A12))=0,"",
MAXIFS('単価履歴'!$H:$H,'単価履歴'!$E:$E,W$1,'単価履歴'!$F:$F,$A12,'単価履歴'!$O:$O,
MAXIFS('単価履歴'!$O:$O,'単価履歴'!$E:$E,W$1,'単価履歴'!$F:$F,$A12)))</f>
        <v/>
      </c>
      <c r="X12" s="256" t="str">
        <f>IF(MAXIFS('単価履歴'!$H:$H,'単価履歴'!$E:$E,X$1,'単価履歴'!$F:$F,$A12,'単価履歴'!$O:$O,
MAXIFS('単価履歴'!$O:$O,'単価履歴'!$E:$E,X$1,'単価履歴'!$F:$F,$A12))=0,"",
MAXIFS('単価履歴'!$H:$H,'単価履歴'!$E:$E,X$1,'単価履歴'!$F:$F,$A12,'単価履歴'!$O:$O,
MAXIFS('単価履歴'!$O:$O,'単価履歴'!$E:$E,X$1,'単価履歴'!$F:$F,$A12)))</f>
        <v/>
      </c>
      <c r="Y12" s="254" t="str">
        <f>IF(MAXIFS('単価履歴'!$H:$H,'単価履歴'!$E:$E,Y$1,'単価履歴'!$F:$F,$A12,'単価履歴'!$O:$O,
MAXIFS('単価履歴'!$O:$O,'単価履歴'!$E:$E,Y$1,'単価履歴'!$F:$F,$A12))=0,"",
MAXIFS('単価履歴'!$H:$H,'単価履歴'!$E:$E,Y$1,'単価履歴'!$F:$F,$A12,'単価履歴'!$O:$O,
MAXIFS('単価履歴'!$O:$O,'単価履歴'!$E:$E,Y$1,'単価履歴'!$F:$F,$A12)))</f>
        <v/>
      </c>
      <c r="Z12" s="264" t="str">
        <f>IF(MAXIFS('単価履歴'!$H:$H,'単価履歴'!$E:$E,Z$1,'単価履歴'!$F:$F,$A12,'単価履歴'!$O:$O,
MAXIFS('単価履歴'!$O:$O,'単価履歴'!$E:$E,Z$1,'単価履歴'!$F:$F,$A12))=0,"",
MAXIFS('単価履歴'!$H:$H,'単価履歴'!$E:$E,Z$1,'単価履歴'!$F:$F,$A12,'単価履歴'!$O:$O,
MAXIFS('単価履歴'!$O:$O,'単価履歴'!$E:$E,Z$1,'単価履歴'!$F:$F,$A12)))</f>
        <v/>
      </c>
      <c r="AA12" s="256" t="str">
        <f>IF(MAXIFS('単価履歴'!$H:$H,'単価履歴'!$E:$E,AA$1,'単価履歴'!$F:$F,$A12,'単価履歴'!$O:$O,
MAXIFS('単価履歴'!$O:$O,'単価履歴'!$E:$E,AA$1,'単価履歴'!$F:$F,$A12))=0,"",
MAXIFS('単価履歴'!$H:$H,'単価履歴'!$E:$E,AA$1,'単価履歴'!$F:$F,$A12,'単価履歴'!$O:$O,
MAXIFS('単価履歴'!$O:$O,'単価履歴'!$E:$E,AA$1,'単価履歴'!$F:$F,$A12)))</f>
        <v/>
      </c>
      <c r="AB12" s="256" t="str">
        <f>IF(MAXIFS('単価履歴'!$H:$H,'単価履歴'!$E:$E,AB$1,'単価履歴'!$F:$F,$A12,'単価履歴'!$O:$O,
MAXIFS('単価履歴'!$O:$O,'単価履歴'!$E:$E,AB$1,'単価履歴'!$F:$F,$A12))=0,"",
MAXIFS('単価履歴'!$H:$H,'単価履歴'!$E:$E,AB$1,'単価履歴'!$F:$F,$A12,'単価履歴'!$O:$O,
MAXIFS('単価履歴'!$O:$O,'単価履歴'!$E:$E,AB$1,'単価履歴'!$F:$F,$A12)))</f>
        <v/>
      </c>
      <c r="AC12" s="254" t="str">
        <f>IF(MAXIFS('単価履歴'!$H:$H,'単価履歴'!$E:$E,AC$1,'単価履歴'!$F:$F,$A12,'単価履歴'!$O:$O,
MAXIFS('単価履歴'!$O:$O,'単価履歴'!$E:$E,AC$1,'単価履歴'!$F:$F,$A12))=0,"",
MAXIFS('単価履歴'!$H:$H,'単価履歴'!$E:$E,AC$1,'単価履歴'!$F:$F,$A12,'単価履歴'!$O:$O,
MAXIFS('単価履歴'!$O:$O,'単価履歴'!$E:$E,AC$1,'単価履歴'!$F:$F,$A12)))</f>
        <v/>
      </c>
      <c r="AD12" s="256" t="str">
        <f>IF(MAXIFS('単価履歴'!$H:$H,'単価履歴'!$E:$E,AD$1,'単価履歴'!$F:$F,$A12,'単価履歴'!$O:$O,
MAXIFS('単価履歴'!$O:$O,'単価履歴'!$E:$E,AD$1,'単価履歴'!$F:$F,$A12))=0,"",
MAXIFS('単価履歴'!$H:$H,'単価履歴'!$E:$E,AD$1,'単価履歴'!$F:$F,$A12,'単価履歴'!$O:$O,
MAXIFS('単価履歴'!$O:$O,'単価履歴'!$E:$E,AD$1,'単価履歴'!$F:$F,$A12)))</f>
        <v/>
      </c>
      <c r="AE12" s="256" t="str">
        <f>IF(MAXIFS('単価履歴'!$H:$H,'単価履歴'!$E:$E,AE$1,'単価履歴'!$F:$F,$A12,'単価履歴'!$O:$O,
MAXIFS('単価履歴'!$O:$O,'単価履歴'!$E:$E,AE$1,'単価履歴'!$F:$F,$A12))=0,"",
MAXIFS('単価履歴'!$H:$H,'単価履歴'!$E:$E,AE$1,'単価履歴'!$F:$F,$A12,'単価履歴'!$O:$O,
MAXIFS('単価履歴'!$O:$O,'単価履歴'!$E:$E,AE$1,'単価履歴'!$F:$F,$A12)))</f>
        <v/>
      </c>
      <c r="AF12" s="254" t="str">
        <f>IF(MAXIFS('単価履歴'!$H:$H,'単価履歴'!$E:$E,AF$1,'単価履歴'!$F:$F,$A12,'単価履歴'!$O:$O,
MAXIFS('単価履歴'!$O:$O,'単価履歴'!$E:$E,AF$1,'単価履歴'!$F:$F,$A12))=0,"",
MAXIFS('単価履歴'!$H:$H,'単価履歴'!$E:$E,AF$1,'単価履歴'!$F:$F,$A12,'単価履歴'!$O:$O,
MAXIFS('単価履歴'!$O:$O,'単価履歴'!$E:$E,AF$1,'単価履歴'!$F:$F,$A12)))</f>
        <v/>
      </c>
      <c r="AG12" s="256" t="str">
        <f>IF(MAXIFS('単価履歴'!$H:$H,'単価履歴'!$E:$E,AG$1,'単価履歴'!$F:$F,$A12,'単価履歴'!$O:$O,
MAXIFS('単価履歴'!$O:$O,'単価履歴'!$E:$E,AG$1,'単価履歴'!$F:$F,$A12))=0,"",
MAXIFS('単価履歴'!$H:$H,'単価履歴'!$E:$E,AG$1,'単価履歴'!$F:$F,$A12,'単価履歴'!$O:$O,
MAXIFS('単価履歴'!$O:$O,'単価履歴'!$E:$E,AG$1,'単価履歴'!$F:$F,$A12)))</f>
        <v/>
      </c>
      <c r="AH12" s="264" t="str">
        <f>IF(MAXIFS('単価履歴'!$H:$H,'単価履歴'!$E:$E,AH$1,'単価履歴'!$F:$F,$A12,'単価履歴'!$O:$O,
MAXIFS('単価履歴'!$O:$O,'単価履歴'!$E:$E,AH$1,'単価履歴'!$F:$F,$A12))=0,"",
MAXIFS('単価履歴'!$H:$H,'単価履歴'!$E:$E,AH$1,'単価履歴'!$F:$F,$A12,'単価履歴'!$O:$O,
MAXIFS('単価履歴'!$O:$O,'単価履歴'!$E:$E,AH$1,'単価履歴'!$F:$F,$A12)))</f>
        <v/>
      </c>
      <c r="AI12" s="256" t="str">
        <f>IF(MAXIFS('単価履歴'!$H:$H,'単価履歴'!$E:$E,AI$1,'単価履歴'!$F:$F,$A12,'単価履歴'!$O:$O,
MAXIFS('単価履歴'!$O:$O,'単価履歴'!$E:$E,AI$1,'単価履歴'!$F:$F,$A12))=0,"",
MAXIFS('単価履歴'!$H:$H,'単価履歴'!$E:$E,AI$1,'単価履歴'!$F:$F,$A12,'単価履歴'!$O:$O,
MAXIFS('単価履歴'!$O:$O,'単価履歴'!$E:$E,AI$1,'単価履歴'!$F:$F,$A12)))</f>
        <v/>
      </c>
      <c r="AJ12" s="254" t="str">
        <f>IF(MAXIFS('単価履歴'!$H:$H,'単価履歴'!$E:$E,AJ$1,'単価履歴'!$F:$F,$A12,'単価履歴'!$O:$O,
MAXIFS('単価履歴'!$O:$O,'単価履歴'!$E:$E,AJ$1,'単価履歴'!$F:$F,$A12))=0,"",
MAXIFS('単価履歴'!$H:$H,'単価履歴'!$E:$E,AJ$1,'単価履歴'!$F:$F,$A12,'単価履歴'!$O:$O,
MAXIFS('単価履歴'!$O:$O,'単価履歴'!$E:$E,AJ$1,'単価履歴'!$F:$F,$A12)))</f>
        <v/>
      </c>
      <c r="AK12" s="264" t="str">
        <f>IF(MAXIFS('単価履歴'!$H:$H,'単価履歴'!$E:$E,AK$1,'単価履歴'!$F:$F,$A12,'単価履歴'!$O:$O,
MAXIFS('単価履歴'!$O:$O,'単価履歴'!$E:$E,AK$1,'単価履歴'!$F:$F,$A12))=0,"",
MAXIFS('単価履歴'!$H:$H,'単価履歴'!$E:$E,AK$1,'単価履歴'!$F:$F,$A12,'単価履歴'!$O:$O,
MAXIFS('単価履歴'!$O:$O,'単価履歴'!$E:$E,AK$1,'単価履歴'!$F:$F,$A12)))</f>
        <v/>
      </c>
      <c r="AL12" s="256" t="str">
        <f>IF(MAXIFS('単価履歴'!$H:$H,'単価履歴'!$E:$E,AL$1,'単価履歴'!$F:$F,$A12,'単価履歴'!$O:$O,
MAXIFS('単価履歴'!$O:$O,'単価履歴'!$E:$E,AL$1,'単価履歴'!$F:$F,$A12))=0,"",
MAXIFS('単価履歴'!$H:$H,'単価履歴'!$E:$E,AL$1,'単価履歴'!$F:$F,$A12,'単価履歴'!$O:$O,
MAXIFS('単価履歴'!$O:$O,'単価履歴'!$E:$E,AL$1,'単価履歴'!$F:$F,$A12)))</f>
        <v/>
      </c>
      <c r="AM12" s="263" t="str">
        <f>IF(MAXIFS('単価履歴'!$H:$H,'単価履歴'!$E:$E,AM$1,'単価履歴'!$F:$F,$A12,'単価履歴'!$O:$O,
MAXIFS('単価履歴'!$O:$O,'単価履歴'!$E:$E,AM$1,'単価履歴'!$F:$F,$A12))=0,"",
MAXIFS('単価履歴'!$H:$H,'単価履歴'!$E:$E,AM$1,'単価履歴'!$F:$F,$A12,'単価履歴'!$O:$O,
MAXIFS('単価履歴'!$O:$O,'単価履歴'!$E:$E,AM$1,'単価履歴'!$F:$F,$A12)))</f>
        <v/>
      </c>
      <c r="AN12" s="263" t="str">
        <f>IF(MAXIFS('単価履歴'!$H:$H,'単価履歴'!$E:$E,AN$1,'単価履歴'!$F:$F,$A12,'単価履歴'!$O:$O,
MAXIFS('単価履歴'!$O:$O,'単価履歴'!$E:$E,AN$1,'単価履歴'!$F:$F,$A12))=0,"",
MAXIFS('単価履歴'!$H:$H,'単価履歴'!$E:$E,AN$1,'単価履歴'!$F:$F,$A12,'単価履歴'!$O:$O,
MAXIFS('単価履歴'!$O:$O,'単価履歴'!$E:$E,AN$1,'単価履歴'!$F:$F,$A12)))</f>
        <v/>
      </c>
      <c r="AO12" s="256" t="str">
        <f>IF(MAXIFS('単価履歴'!$H:$H,'単価履歴'!$E:$E,AO$1,'単価履歴'!$F:$F,$A12,'単価履歴'!$O:$O,
MAXIFS('単価履歴'!$O:$O,'単価履歴'!$E:$E,AO$1,'単価履歴'!$F:$F,$A12))=0,"",
MAXIFS('単価履歴'!$H:$H,'単価履歴'!$E:$E,AO$1,'単価履歴'!$F:$F,$A12,'単価履歴'!$O:$O,
MAXIFS('単価履歴'!$O:$O,'単価履歴'!$E:$E,AO$1,'単価履歴'!$F:$F,$A12)))</f>
        <v/>
      </c>
      <c r="AP12" s="254" t="str">
        <f>IF(MAXIFS('単価履歴'!$H:$H,'単価履歴'!$E:$E,AP$1,'単価履歴'!$F:$F,$A12,'単価履歴'!$O:$O,
MAXIFS('単価履歴'!$O:$O,'単価履歴'!$E:$E,AP$1,'単価履歴'!$F:$F,$A12))=0,"",
MAXIFS('単価履歴'!$H:$H,'単価履歴'!$E:$E,AP$1,'単価履歴'!$F:$F,$A12,'単価履歴'!$O:$O,
MAXIFS('単価履歴'!$O:$O,'単価履歴'!$E:$E,AP$1,'単価履歴'!$F:$F,$A12)))</f>
        <v/>
      </c>
      <c r="AQ12" s="262">
        <f>IF(MAXIFS('単価履歴'!$H:$H,'単価履歴'!$E:$E,AQ$1,'単価履歴'!$F:$F,$A12,'単価履歴'!$O:$O,
MAXIFS('単価履歴'!$O:$O,'単価履歴'!$E:$E,AQ$1,'単価履歴'!$F:$F,$A12))=0,"",
MAXIFS('単価履歴'!$H:$H,'単価履歴'!$E:$E,AQ$1,'単価履歴'!$F:$F,$A12,'単価履歴'!$O:$O,
MAXIFS('単価履歴'!$O:$O,'単価履歴'!$E:$E,AQ$1,'単価履歴'!$F:$F,$A12)))</f>
        <v>55.9</v>
      </c>
      <c r="AR12" s="250">
        <f>IF(MAXIFS('単価履歴'!$H:$H,'単価履歴'!$E:$E,AR$1,'単価履歴'!$F:$F,$A12,'単価履歴'!$O:$O,
MAXIFS('単価履歴'!$O:$O,'単価履歴'!$E:$E,AR$1,'単価履歴'!$F:$F,$A12))=0,"",
MAXIFS('単価履歴'!$H:$H,'単価履歴'!$E:$E,AR$1,'単価履歴'!$F:$F,$A12,'単価履歴'!$O:$O,
MAXIFS('単価履歴'!$O:$O,'単価履歴'!$E:$E,AR$1,'単価履歴'!$F:$F,$A12)))</f>
        <v>58.8</v>
      </c>
      <c r="AS12" s="250">
        <f>IF(MAXIFS('単価履歴'!$H:$H,'単価履歴'!$E:$E,AS$1,'単価履歴'!$F:$F,$A12,'単価履歴'!$O:$O,
MAXIFS('単価履歴'!$O:$O,'単価履歴'!$E:$E,AS$1,'単価履歴'!$F:$F,$A12))=0,"",
MAXIFS('単価履歴'!$H:$H,'単価履歴'!$E:$E,AS$1,'単価履歴'!$F:$F,$A12,'単価履歴'!$O:$O,
MAXIFS('単価履歴'!$O:$O,'単価履歴'!$E:$E,AS$1,'単価履歴'!$F:$F,$A12)))</f>
        <v>59</v>
      </c>
      <c r="AT12" s="254" t="str">
        <f>IF(MAXIFS('単価履歴'!$H:$H,'単価履歴'!$E:$E,AT$1,'単価履歴'!$F:$F,$A12,'単価履歴'!$O:$O,
MAXIFS('単価履歴'!$O:$O,'単価履歴'!$E:$E,AT$1,'単価履歴'!$F:$F,$A12))=0,"",
MAXIFS('単価履歴'!$H:$H,'単価履歴'!$E:$E,AT$1,'単価履歴'!$F:$F,$A12,'単価履歴'!$O:$O,
MAXIFS('単価履歴'!$O:$O,'単価履歴'!$E:$E,AT$1,'単価履歴'!$F:$F,$A12)))</f>
        <v/>
      </c>
      <c r="AU12" s="256" t="str">
        <f>IF(MAXIFS('単価履歴'!$H:$H,'単価履歴'!$E:$E,AU$1,'単価履歴'!$F:$F,$A12,'単価履歴'!$O:$O,
MAXIFS('単価履歴'!$O:$O,'単価履歴'!$E:$E,AU$1,'単価履歴'!$F:$F,$A12))=0,"",
MAXIFS('単価履歴'!$H:$H,'単価履歴'!$E:$E,AU$1,'単価履歴'!$F:$F,$A12,'単価履歴'!$O:$O,
MAXIFS('単価履歴'!$O:$O,'単価履歴'!$E:$E,AU$1,'単価履歴'!$F:$F,$A12)))</f>
        <v/>
      </c>
      <c r="AV12" s="254" t="str">
        <f>IF(MAXIFS('単価履歴'!$H:$H,'単価履歴'!$E:$E,AV$1,'単価履歴'!$F:$F,$A12,'単価履歴'!$O:$O,
MAXIFS('単価履歴'!$O:$O,'単価履歴'!$E:$E,AV$1,'単価履歴'!$F:$F,$A12))=0,"",
MAXIFS('単価履歴'!$H:$H,'単価履歴'!$E:$E,AV$1,'単価履歴'!$F:$F,$A12,'単価履歴'!$O:$O,
MAXIFS('単価履歴'!$O:$O,'単価履歴'!$E:$E,AV$1,'単価履歴'!$F:$F,$A12)))</f>
        <v/>
      </c>
      <c r="AW12" s="264" t="str">
        <f>IF(MAXIFS('単価履歴'!$H:$H,'単価履歴'!$E:$E,AW$1,'単価履歴'!$F:$F,$A12,'単価履歴'!$O:$O,
MAXIFS('単価履歴'!$O:$O,'単価履歴'!$E:$E,AW$1,'単価履歴'!$F:$F,$A12))=0,"",
MAXIFS('単価履歴'!$H:$H,'単価履歴'!$E:$E,AW$1,'単価履歴'!$F:$F,$A12,'単価履歴'!$O:$O,
MAXIFS('単価履歴'!$O:$O,'単価履歴'!$E:$E,AW$1,'単価履歴'!$F:$F,$A12)))</f>
        <v/>
      </c>
      <c r="AX12" s="262">
        <f>IF(MAXIFS('単価履歴'!$H:$H,'単価履歴'!$E:$E,AX$1,'単価履歴'!$F:$F,$A12,'単価履歴'!$O:$O,
MAXIFS('単価履歴'!$O:$O,'単価履歴'!$E:$E,AX$1,'単価履歴'!$F:$F,$A12))=0,"",
MAXIFS('単価履歴'!$H:$H,'単価履歴'!$E:$E,AX$1,'単価履歴'!$F:$F,$A12,'単価履歴'!$O:$O,
MAXIFS('単価履歴'!$O:$O,'単価履歴'!$E:$E,AX$1,'単価履歴'!$F:$F,$A12)))</f>
        <v>55.2</v>
      </c>
      <c r="AY12" s="266">
        <f>IF(MAXIFS('単価履歴'!$H:$H,'単価履歴'!$E:$E,AY$1,'単価履歴'!$F:$F,$A12,'単価履歴'!$O:$O,
MAXIFS('単価履歴'!$O:$O,'単価履歴'!$E:$E,AY$1,'単価履歴'!$F:$F,$A12))=0,"",
MAXIFS('単価履歴'!$H:$H,'単価履歴'!$E:$E,AY$1,'単価履歴'!$F:$F,$A12,'単価履歴'!$O:$O,
MAXIFS('単価履歴'!$O:$O,'単価履歴'!$E:$E,AY$1,'単価履歴'!$F:$F,$A12)))</f>
        <v>52.5</v>
      </c>
      <c r="AZ12" s="254" t="str">
        <f>IF(MAXIFS('単価履歴'!$H:$H,'単価履歴'!$E:$E,AZ$1,'単価履歴'!$F:$F,$A12,'単価履歴'!$O:$O,
MAXIFS('単価履歴'!$O:$O,'単価履歴'!$E:$E,AZ$1,'単価履歴'!$F:$F,$A12))=0,"",
MAXIFS('単価履歴'!$H:$H,'単価履歴'!$E:$E,AZ$1,'単価履歴'!$F:$F,$A12,'単価履歴'!$O:$O,
MAXIFS('単価履歴'!$O:$O,'単価履歴'!$E:$E,AZ$1,'単価履歴'!$F:$F,$A12)))</f>
        <v/>
      </c>
      <c r="BA12" s="264" t="str">
        <f>IF(MAXIFS('単価履歴'!$H:$H,'単価履歴'!$E:$E,BA$1,'単価履歴'!$F:$F,$A12,'単価履歴'!$O:$O,
MAXIFS('単価履歴'!$O:$O,'単価履歴'!$E:$E,BA$1,'単価履歴'!$F:$F,$A12))=0,"",
MAXIFS('単価履歴'!$H:$H,'単価履歴'!$E:$E,BA$1,'単価履歴'!$F:$F,$A12,'単価履歴'!$O:$O,
MAXIFS('単価履歴'!$O:$O,'単価履歴'!$E:$E,BA$1,'単価履歴'!$F:$F,$A12)))</f>
        <v/>
      </c>
      <c r="BB12" s="256" t="str">
        <f>IF(MAXIFS('単価履歴'!$H:$H,'単価履歴'!$E:$E,BB$1,'単価履歴'!$F:$F,$A12,'単価履歴'!$O:$O,
MAXIFS('単価履歴'!$O:$O,'単価履歴'!$E:$E,BB$1,'単価履歴'!$F:$F,$A12))=0,"",
MAXIFS('単価履歴'!$H:$H,'単価履歴'!$E:$E,BB$1,'単価履歴'!$F:$F,$A12,'単価履歴'!$O:$O,
MAXIFS('単価履歴'!$O:$O,'単価履歴'!$E:$E,BB$1,'単価履歴'!$F:$F,$A12)))</f>
        <v/>
      </c>
      <c r="BC12" s="256" t="str">
        <f>IF(MAXIFS('単価履歴'!$H:$H,'単価履歴'!$E:$E,BC$1,'単価履歴'!$F:$F,$A12,'単価履歴'!$O:$O,
MAXIFS('単価履歴'!$O:$O,'単価履歴'!$E:$E,BC$1,'単価履歴'!$F:$F,$A12))=0,"",
MAXIFS('単価履歴'!$H:$H,'単価履歴'!$E:$E,BC$1,'単価履歴'!$F:$F,$A12,'単価履歴'!$O:$O,
MAXIFS('単価履歴'!$O:$O,'単価履歴'!$E:$E,BC$1,'単価履歴'!$F:$F,$A12)))</f>
        <v/>
      </c>
      <c r="BD12" s="256" t="str">
        <f>IF(MAXIFS('単価履歴'!$H:$H,'単価履歴'!$E:$E,BD$1,'単価履歴'!$F:$F,$A12,'単価履歴'!$O:$O,
MAXIFS('単価履歴'!$O:$O,'単価履歴'!$E:$E,BD$1,'単価履歴'!$F:$F,$A12))=0,"",
MAXIFS('単価履歴'!$H:$H,'単価履歴'!$E:$E,BD$1,'単価履歴'!$F:$F,$A12,'単価履歴'!$O:$O,
MAXIFS('単価履歴'!$O:$O,'単価履歴'!$E:$E,BD$1,'単価履歴'!$F:$F,$A12)))</f>
        <v/>
      </c>
      <c r="BE12" s="256" t="str">
        <f>IF(MAXIFS('単価履歴'!$H:$H,'単価履歴'!$E:$E,BE$1,'単価履歴'!$F:$F,$A12,'単価履歴'!$O:$O,
MAXIFS('単価履歴'!$O:$O,'単価履歴'!$E:$E,BE$1,'単価履歴'!$F:$F,$A12))=0,"",
MAXIFS('単価履歴'!$H:$H,'単価履歴'!$E:$E,BE$1,'単価履歴'!$F:$F,$A12,'単価履歴'!$O:$O,
MAXIFS('単価履歴'!$O:$O,'単価履歴'!$E:$E,BE$1,'単価履歴'!$F:$F,$A12)))</f>
        <v/>
      </c>
      <c r="BF12" s="263" t="str">
        <f>IF(MAXIFS('単価履歴'!$H:$H,'単価履歴'!$E:$E,BF$1,'単価履歴'!$F:$F,$A12,'単価履歴'!$O:$O,
MAXIFS('単価履歴'!$O:$O,'単価履歴'!$E:$E,BF$1,'単価履歴'!$F:$F,$A12))=0,"",
MAXIFS('単価履歴'!$H:$H,'単価履歴'!$E:$E,BF$1,'単価履歴'!$F:$F,$A12,'単価履歴'!$O:$O,
MAXIFS('単価履歴'!$O:$O,'単価履歴'!$E:$E,BF$1,'単価履歴'!$F:$F,$A12)))</f>
        <v/>
      </c>
      <c r="BG12" s="264" t="str">
        <f>IF(MAXIFS('単価履歴'!$H:$H,'単価履歴'!$E:$E,BG$1,'単価履歴'!$F:$F,$A12,'単価履歴'!$O:$O,
MAXIFS('単価履歴'!$O:$O,'単価履歴'!$E:$E,BG$1,'単価履歴'!$F:$F,$A12))=0,"",
MAXIFS('単価履歴'!$H:$H,'単価履歴'!$E:$E,BG$1,'単価履歴'!$F:$F,$A12,'単価履歴'!$O:$O,
MAXIFS('単価履歴'!$O:$O,'単価履歴'!$E:$E,BG$1,'単価履歴'!$F:$F,$A12)))</f>
        <v/>
      </c>
      <c r="BH12" s="254" t="str">
        <f>IF(MAXIFS('単価履歴'!$H:$H,'単価履歴'!$E:$E,BH$1,'単価履歴'!$F:$F,$A12,'単価履歴'!$O:$O,
MAXIFS('単価履歴'!$O:$O,'単価履歴'!$E:$E,BH$1,'単価履歴'!$F:$F,$A12))=0,"",
MAXIFS('単価履歴'!$H:$H,'単価履歴'!$E:$E,BH$1,'単価履歴'!$F:$F,$A12,'単価履歴'!$O:$O,
MAXIFS('単価履歴'!$O:$O,'単価履歴'!$E:$E,BH$1,'単価履歴'!$F:$F,$A12)))</f>
        <v/>
      </c>
      <c r="BI12" s="256" t="str">
        <f>IF(MAXIFS('単価履歴'!$H:$H,'単価履歴'!$E:$E,BI$1,'単価履歴'!$F:$F,$A12,'単価履歴'!$O:$O,
MAXIFS('単価履歴'!$O:$O,'単価履歴'!$E:$E,BI$1,'単価履歴'!$F:$F,$A12))=0,"",
MAXIFS('単価履歴'!$H:$H,'単価履歴'!$E:$E,BI$1,'単価履歴'!$F:$F,$A12,'単価履歴'!$O:$O,
MAXIFS('単価履歴'!$O:$O,'単価履歴'!$E:$E,BI$1,'単価履歴'!$F:$F,$A12)))</f>
        <v/>
      </c>
      <c r="BJ12" s="263" t="str">
        <f>IF(MAXIFS('単価履歴'!$H:$H,'単価履歴'!$E:$E,BJ$1,'単価履歴'!$F:$F,$A12,'単価履歴'!$O:$O,
MAXIFS('単価履歴'!$O:$O,'単価履歴'!$E:$E,BJ$1,'単価履歴'!$F:$F,$A12))=0,"",
MAXIFS('単価履歴'!$H:$H,'単価履歴'!$E:$E,BJ$1,'単価履歴'!$F:$F,$A12,'単価履歴'!$O:$O,
MAXIFS('単価履歴'!$O:$O,'単価履歴'!$E:$E,BJ$1,'単価履歴'!$F:$F,$A12)))</f>
        <v/>
      </c>
      <c r="BK12" s="264" t="str">
        <f>IF(MAXIFS('単価履歴'!$H:$H,'単価履歴'!$E:$E,BK$1,'単価履歴'!$F:$F,$A12,'単価履歴'!$O:$O,
MAXIFS('単価履歴'!$O:$O,'単価履歴'!$E:$E,BK$1,'単価履歴'!$F:$F,$A12))=0,"",
MAXIFS('単価履歴'!$H:$H,'単価履歴'!$E:$E,BK$1,'単価履歴'!$F:$F,$A12,'単価履歴'!$O:$O,
MAXIFS('単価履歴'!$O:$O,'単価履歴'!$E:$E,BK$1,'単価履歴'!$F:$F,$A12)))</f>
        <v/>
      </c>
      <c r="BL12" s="256" t="str">
        <f>IF(MAXIFS('単価履歴'!$H:$H,'単価履歴'!$E:$E,BL$1,'単価履歴'!$F:$F,$A12,'単価履歴'!$O:$O,
MAXIFS('単価履歴'!$O:$O,'単価履歴'!$E:$E,BL$1,'単価履歴'!$F:$F,$A12))=0,"",
MAXIFS('単価履歴'!$H:$H,'単価履歴'!$E:$E,BL$1,'単価履歴'!$F:$F,$A12,'単価履歴'!$O:$O,
MAXIFS('単価履歴'!$O:$O,'単価履歴'!$E:$E,BL$1,'単価履歴'!$F:$F,$A12)))</f>
        <v/>
      </c>
      <c r="BM12" s="263" t="str">
        <f>IF(MAXIFS('単価履歴'!$H:$H,'単価履歴'!$E:$E,BM$1,'単価履歴'!$F:$F,$A12,'単価履歴'!$O:$O,
MAXIFS('単価履歴'!$O:$O,'単価履歴'!$E:$E,BM$1,'単価履歴'!$F:$F,$A12))=0,"",
MAXIFS('単価履歴'!$H:$H,'単価履歴'!$E:$E,BM$1,'単価履歴'!$F:$F,$A12,'単価履歴'!$O:$O,
MAXIFS('単価履歴'!$O:$O,'単価履歴'!$E:$E,BM$1,'単価履歴'!$F:$F,$A12)))</f>
        <v/>
      </c>
      <c r="BN12" s="256" t="str">
        <f>IF(MAXIFS('単価履歴'!$H:$H,'単価履歴'!$E:$E,BN$1,'単価履歴'!$F:$F,$A12,'単価履歴'!$O:$O,
MAXIFS('単価履歴'!$O:$O,'単価履歴'!$E:$E,BN$1,'単価履歴'!$F:$F,$A12))=0,"",
MAXIFS('単価履歴'!$H:$H,'単価履歴'!$E:$E,BN$1,'単価履歴'!$F:$F,$A12,'単価履歴'!$O:$O,
MAXIFS('単価履歴'!$O:$O,'単価履歴'!$E:$E,BN$1,'単価履歴'!$F:$F,$A12)))</f>
        <v/>
      </c>
      <c r="BO12" s="263" t="str">
        <f>IF(MAXIFS('単価履歴'!$H:$H,'単価履歴'!$E:$E,BO$1,'単価履歴'!$F:$F,$A12,'単価履歴'!$O:$O,
MAXIFS('単価履歴'!$O:$O,'単価履歴'!$E:$E,BO$1,'単価履歴'!$F:$F,$A12))=0,"",
MAXIFS('単価履歴'!$H:$H,'単価履歴'!$E:$E,BO$1,'単価履歴'!$F:$F,$A12,'単価履歴'!$O:$O,
MAXIFS('単価履歴'!$O:$O,'単価履歴'!$E:$E,BO$1,'単価履歴'!$F:$F,$A12)))</f>
        <v/>
      </c>
      <c r="BP12" s="256" t="str">
        <f>IF(MAXIFS('単価履歴'!$H:$H,'単価履歴'!$E:$E,BP$1,'単価履歴'!$F:$F,$A12,'単価履歴'!$O:$O,
MAXIFS('単価履歴'!$O:$O,'単価履歴'!$E:$E,BP$1,'単価履歴'!$F:$F,$A12))=0,"",
MAXIFS('単価履歴'!$H:$H,'単価履歴'!$E:$E,BP$1,'単価履歴'!$F:$F,$A12,'単価履歴'!$O:$O,
MAXIFS('単価履歴'!$O:$O,'単価履歴'!$E:$E,BP$1,'単価履歴'!$F:$F,$A12)))</f>
        <v/>
      </c>
      <c r="BQ12" s="256" t="str">
        <f>IF(MAXIFS('単価履歴'!$H:$H,'単価履歴'!$E:$E,BQ$1,'単価履歴'!$F:$F,$A12,'単価履歴'!$O:$O,
MAXIFS('単価履歴'!$O:$O,'単価履歴'!$E:$E,BQ$1,'単価履歴'!$F:$F,$A12))=0,"",
MAXIFS('単価履歴'!$H:$H,'単価履歴'!$E:$E,BQ$1,'単価履歴'!$F:$F,$A12,'単価履歴'!$O:$O,
MAXIFS('単価履歴'!$O:$O,'単価履歴'!$E:$E,BQ$1,'単価履歴'!$F:$F,$A12)))</f>
        <v/>
      </c>
      <c r="BR12" s="264" t="str">
        <f>IF(MAXIFS('単価履歴'!$H:$H,'単価履歴'!$E:$E,BR$1,'単価履歴'!$F:$F,$A12,'単価履歴'!$O:$O,
MAXIFS('単価履歴'!$O:$O,'単価履歴'!$E:$E,BR$1,'単価履歴'!$F:$F,$A12))=0,"",
MAXIFS('単価履歴'!$H:$H,'単価履歴'!$E:$E,BR$1,'単価履歴'!$F:$F,$A12,'単価履歴'!$O:$O,
MAXIFS('単価履歴'!$O:$O,'単価履歴'!$E:$E,BR$1,'単価履歴'!$F:$F,$A12)))</f>
        <v/>
      </c>
      <c r="BS12" s="264" t="str">
        <f>IF(MAXIFS('単価履歴'!$H:$H,'単価履歴'!$E:$E,BS$1,'単価履歴'!$F:$F,$A12,'単価履歴'!$O:$O,
MAXIFS('単価履歴'!$O:$O,'単価履歴'!$E:$E,BS$1,'単価履歴'!$F:$F,$A12))=0,"",
MAXIFS('単価履歴'!$H:$H,'単価履歴'!$E:$E,BS$1,'単価履歴'!$F:$F,$A12,'単価履歴'!$O:$O,
MAXIFS('単価履歴'!$O:$O,'単価履歴'!$E:$E,BS$1,'単価履歴'!$F:$F,$A12)))</f>
        <v/>
      </c>
      <c r="BT12" s="264" t="str">
        <f>IF(MAXIFS('単価履歴'!$H:$H,'単価履歴'!$E:$E,BT$1,'単価履歴'!$F:$F,$A12,'単価履歴'!$O:$O,
MAXIFS('単価履歴'!$O:$O,'単価履歴'!$E:$E,BT$1,'単価履歴'!$F:$F,$A12))=0,"",
MAXIFS('単価履歴'!$H:$H,'単価履歴'!$E:$E,BT$1,'単価履歴'!$F:$F,$A12,'単価履歴'!$O:$O,
MAXIFS('単価履歴'!$O:$O,'単価履歴'!$E:$E,BT$1,'単価履歴'!$F:$F,$A12)))</f>
        <v/>
      </c>
      <c r="BU12" s="264" t="str">
        <f>IF(MAXIFS('単価履歴'!$H:$H,'単価履歴'!$E:$E,BU$1,'単価履歴'!$F:$F,$A12,'単価履歴'!$O:$O,
MAXIFS('単価履歴'!$O:$O,'単価履歴'!$E:$E,BU$1,'単価履歴'!$F:$F,$A12))=0,"",
MAXIFS('単価履歴'!$H:$H,'単価履歴'!$E:$E,BU$1,'単価履歴'!$F:$F,$A12,'単価履歴'!$O:$O,
MAXIFS('単価履歴'!$O:$O,'単価履歴'!$E:$E,BU$1,'単価履歴'!$F:$F,$A12)))</f>
        <v/>
      </c>
      <c r="BV12" s="264" t="str">
        <f>IF(MAXIFS('単価履歴'!$H:$H,'単価履歴'!$E:$E,BV$1,'単価履歴'!$F:$F,$A12,'単価履歴'!$O:$O,
MAXIFS('単価履歴'!$O:$O,'単価履歴'!$E:$E,BV$1,'単価履歴'!$F:$F,$A12))=0,"",
MAXIFS('単価履歴'!$H:$H,'単価履歴'!$E:$E,BV$1,'単価履歴'!$F:$F,$A12,'単価履歴'!$O:$O,
MAXIFS('単価履歴'!$O:$O,'単価履歴'!$E:$E,BV$1,'単価履歴'!$F:$F,$A12)))</f>
        <v/>
      </c>
      <c r="BW12" s="263" t="str">
        <f>IF(MAXIFS('単価履歴'!$H:$H,'単価履歴'!$E:$E,BW$1,'単価履歴'!$F:$F,$A12,'単価履歴'!$O:$O,
MAXIFS('単価履歴'!$O:$O,'単価履歴'!$E:$E,BW$1,'単価履歴'!$F:$F,$A12))=0,"",
MAXIFS('単価履歴'!$H:$H,'単価履歴'!$E:$E,BW$1,'単価履歴'!$F:$F,$A12,'単価履歴'!$O:$O,
MAXIFS('単価履歴'!$O:$O,'単価履歴'!$E:$E,BW$1,'単価履歴'!$F:$F,$A12)))</f>
        <v/>
      </c>
      <c r="BX12" s="256" t="str">
        <f>IF(MAXIFS('単価履歴'!$H:$H,'単価履歴'!$E:$E,BX$1,'単価履歴'!$F:$F,$A12,'単価履歴'!$O:$O,
MAXIFS('単価履歴'!$O:$O,'単価履歴'!$E:$E,BX$1,'単価履歴'!$F:$F,$A12))=0,"",
MAXIFS('単価履歴'!$H:$H,'単価履歴'!$E:$E,BX$1,'単価履歴'!$F:$F,$A12,'単価履歴'!$O:$O,
MAXIFS('単価履歴'!$O:$O,'単価履歴'!$E:$E,BX$1,'単価履歴'!$F:$F,$A12)))</f>
        <v/>
      </c>
      <c r="BY12" s="264" t="str">
        <f>IF(MAXIFS('単価履歴'!$H:$H,'単価履歴'!$E:$E,BY$1,'単価履歴'!$F:$F,$A12,'単価履歴'!$O:$O,
MAXIFS('単価履歴'!$O:$O,'単価履歴'!$E:$E,BY$1,'単価履歴'!$F:$F,$A12))=0,"",
MAXIFS('単価履歴'!$H:$H,'単価履歴'!$E:$E,BY$1,'単価履歴'!$F:$F,$A12,'単価履歴'!$O:$O,
MAXIFS('単価履歴'!$O:$O,'単価履歴'!$E:$E,BY$1,'単価履歴'!$F:$F,$A12)))</f>
        <v/>
      </c>
      <c r="BZ12" s="256"/>
      <c r="CA12" s="256"/>
      <c r="CB12" s="256"/>
      <c r="CC12" s="256"/>
      <c r="CD12" s="256"/>
      <c r="CE12" s="256"/>
      <c r="CF12" s="256"/>
      <c r="CG12" s="256"/>
    </row>
    <row r="13">
      <c r="A13" s="267" t="s">
        <v>105</v>
      </c>
      <c r="B13" s="246"/>
      <c r="C13" s="251"/>
      <c r="D13" s="249" t="str">
        <f>IF(MAXIFS('単価履歴'!$H:$H,'単価履歴'!$E:$E,D$1,'単価履歴'!$F:$F,$A13,'単価履歴'!$O:$O,
MAXIFS('単価履歴'!$O:$O,'単価履歴'!$E:$E,D$1,'単価履歴'!$F:$F,$A13))=0,"",
MAXIFS('単価履歴'!$H:$H,'単価履歴'!$E:$E,D$1,'単価履歴'!$F:$F,$A13,'単価履歴'!$O:$O,
MAXIFS('単価履歴'!$O:$O,'単価履歴'!$E:$E,D$1,'単価履歴'!$F:$F,$A13)))</f>
        <v/>
      </c>
      <c r="E13" s="249"/>
      <c r="F13" s="249"/>
      <c r="G13" s="248"/>
      <c r="H13" s="249"/>
      <c r="I13" s="249"/>
      <c r="J13" s="248"/>
      <c r="K13" s="249"/>
      <c r="L13" s="249"/>
      <c r="M13" s="249"/>
      <c r="N13" s="249"/>
      <c r="O13" s="250" t="str">
        <f>IF(MAXIFS('単価履歴'!$H:$H,'単価履歴'!$E:$E,O$1,'単価履歴'!$F:$F,$A13,'単価履歴'!$O:$O,
MAXIFS('単価履歴'!$O:$O,'単価履歴'!$E:$E,O$1,'単価履歴'!$F:$F,$A13))=0,"",
MAXIFS('単価履歴'!$H:$H,'単価履歴'!$E:$E,O$1,'単価履歴'!$F:$F,$A13,'単価履歴'!$O:$O,
MAXIFS('単価履歴'!$O:$O,'単価履歴'!$E:$E,O$1,'単価履歴'!$F:$F,$A13)))</f>
        <v/>
      </c>
      <c r="P13" s="251" t="str">
        <f>IF(MAXIFS('単価履歴'!$H:$H,'単価履歴'!$E:$E,P$1,'単価履歴'!$F:$F,$A13,'単価履歴'!$O:$O,
MAXIFS('単価履歴'!$O:$O,'単価履歴'!$E:$E,P$1,'単価履歴'!$F:$F,$A13))=0,"",
MAXIFS('単価履歴'!$H:$H,'単価履歴'!$E:$E,P$1,'単価履歴'!$F:$F,$A13,'単価履歴'!$O:$O,
MAXIFS('単価履歴'!$O:$O,'単価履歴'!$E:$E,P$1,'単価履歴'!$F:$F,$A13)))</f>
        <v/>
      </c>
      <c r="Q13" s="249" t="str">
        <f>IF(MAXIFS('単価履歴'!$H:$H,'単価履歴'!$E:$E,Q$1,'単価履歴'!$F:$F,$A13,'単価履歴'!$O:$O,
MAXIFS('単価履歴'!$O:$O,'単価履歴'!$E:$E,Q$1,'単価履歴'!$F:$F,$A13))=0,"",
MAXIFS('単価履歴'!$H:$H,'単価履歴'!$E:$E,Q$1,'単価履歴'!$F:$F,$A13,'単価履歴'!$O:$O,
MAXIFS('単価履歴'!$O:$O,'単価履歴'!$E:$E,Q$1,'単価履歴'!$F:$F,$A13)))</f>
        <v/>
      </c>
      <c r="R13" s="249" t="str">
        <f>IF(MAXIFS('単価履歴'!$H:$H,'単価履歴'!$E:$E,R$1,'単価履歴'!$F:$F,$A13,'単価履歴'!$O:$O,
MAXIFS('単価履歴'!$O:$O,'単価履歴'!$E:$E,R$1,'単価履歴'!$F:$F,$A13))=0,"",
MAXIFS('単価履歴'!$H:$H,'単価履歴'!$E:$E,R$1,'単価履歴'!$F:$F,$A13,'単価履歴'!$O:$O,
MAXIFS('単価履歴'!$O:$O,'単価履歴'!$E:$E,R$1,'単価履歴'!$F:$F,$A13)))</f>
        <v/>
      </c>
      <c r="S13" s="249" t="str">
        <f>IF(MAXIFS('単価履歴'!$H:$H,'単価履歴'!$E:$E,S$1,'単価履歴'!$F:$F,$A13,'単価履歴'!$O:$O,
MAXIFS('単価履歴'!$O:$O,'単価履歴'!$E:$E,S$1,'単価履歴'!$F:$F,$A13))=0,"",
MAXIFS('単価履歴'!$H:$H,'単価履歴'!$E:$E,S$1,'単価履歴'!$F:$F,$A13,'単価履歴'!$O:$O,
MAXIFS('単価履歴'!$O:$O,'単価履歴'!$E:$E,S$1,'単価履歴'!$F:$F,$A13)))</f>
        <v/>
      </c>
      <c r="T13" s="248" t="str">
        <f>IF(MAXIFS('単価履歴'!$H:$H,'単価履歴'!$E:$E,T$1,'単価履歴'!$F:$F,$A13,'単価履歴'!$O:$O,
MAXIFS('単価履歴'!$O:$O,'単価履歴'!$E:$E,T$1,'単価履歴'!$F:$F,$A13))=0,"",
MAXIFS('単価履歴'!$H:$H,'単価履歴'!$E:$E,T$1,'単価履歴'!$F:$F,$A13,'単価履歴'!$O:$O,
MAXIFS('単価履歴'!$O:$O,'単価履歴'!$E:$E,T$1,'単価履歴'!$F:$F,$A13)))</f>
        <v/>
      </c>
      <c r="U13" s="253">
        <f>IF(MAXIFS('単価履歴'!$H:$H,'単価履歴'!$E:$E,U$1,'単価履歴'!$F:$F,$A13,'単価履歴'!$O:$O,
MAXIFS('単価履歴'!$O:$O,'単価履歴'!$E:$E,U$1,'単価履歴'!$F:$F,$A13))=0,"",
MAXIFS('単価履歴'!$H:$H,'単価履歴'!$E:$E,U$1,'単価履歴'!$F:$F,$A13,'単価履歴'!$O:$O,
MAXIFS('単価履歴'!$O:$O,'単価履歴'!$E:$E,U$1,'単価履歴'!$F:$F,$A13)))</f>
        <v>57.6</v>
      </c>
      <c r="V13" s="251" t="str">
        <f>IF(MAXIFS('単価履歴'!$H:$H,'単価履歴'!$E:$E,V$1,'単価履歴'!$F:$F,$A13,'単価履歴'!$O:$O,
MAXIFS('単価履歴'!$O:$O,'単価履歴'!$E:$E,V$1,'単価履歴'!$F:$F,$A13))=0,"",
MAXIFS('単価履歴'!$H:$H,'単価履歴'!$E:$E,V$1,'単価履歴'!$F:$F,$A13,'単価履歴'!$O:$O,
MAXIFS('単価履歴'!$O:$O,'単価履歴'!$E:$E,V$1,'単価履歴'!$F:$F,$A13)))</f>
        <v/>
      </c>
      <c r="W13" s="249" t="str">
        <f>IF(MAXIFS('単価履歴'!$H:$H,'単価履歴'!$E:$E,W$1,'単価履歴'!$F:$F,$A13,'単価履歴'!$O:$O,
MAXIFS('単価履歴'!$O:$O,'単価履歴'!$E:$E,W$1,'単価履歴'!$F:$F,$A13))=0,"",
MAXIFS('単価履歴'!$H:$H,'単価履歴'!$E:$E,W$1,'単価履歴'!$F:$F,$A13,'単価履歴'!$O:$O,
MAXIFS('単価履歴'!$O:$O,'単価履歴'!$E:$E,W$1,'単価履歴'!$F:$F,$A13)))</f>
        <v/>
      </c>
      <c r="X13" s="249" t="str">
        <f>IF(MAXIFS('単価履歴'!$H:$H,'単価履歴'!$E:$E,X$1,'単価履歴'!$F:$F,$A13,'単価履歴'!$O:$O,
MAXIFS('単価履歴'!$O:$O,'単価履歴'!$E:$E,X$1,'単価履歴'!$F:$F,$A13))=0,"",
MAXIFS('単価履歴'!$H:$H,'単価履歴'!$E:$E,X$1,'単価履歴'!$F:$F,$A13,'単価履歴'!$O:$O,
MAXIFS('単価履歴'!$O:$O,'単価履歴'!$E:$E,X$1,'単価履歴'!$F:$F,$A13)))</f>
        <v/>
      </c>
      <c r="Y13" s="251" t="str">
        <f>IF(MAXIFS('単価履歴'!$H:$H,'単価履歴'!$E:$E,Y$1,'単価履歴'!$F:$F,$A13,'単価履歴'!$O:$O,
MAXIFS('単価履歴'!$O:$O,'単価履歴'!$E:$E,Y$1,'単価履歴'!$F:$F,$A13))=0,"",
MAXIFS('単価履歴'!$H:$H,'単価履歴'!$E:$E,Y$1,'単価履歴'!$F:$F,$A13,'単価履歴'!$O:$O,
MAXIFS('単価履歴'!$O:$O,'単価履歴'!$E:$E,Y$1,'単価履歴'!$F:$F,$A13)))</f>
        <v/>
      </c>
      <c r="Z13" s="252" t="str">
        <f>IF(MAXIFS('単価履歴'!$H:$H,'単価履歴'!$E:$E,Z$1,'単価履歴'!$F:$F,$A13,'単価履歴'!$O:$O,
MAXIFS('単価履歴'!$O:$O,'単価履歴'!$E:$E,Z$1,'単価履歴'!$F:$F,$A13))=0,"",
MAXIFS('単価履歴'!$H:$H,'単価履歴'!$E:$E,Z$1,'単価履歴'!$F:$F,$A13,'単価履歴'!$O:$O,
MAXIFS('単価履歴'!$O:$O,'単価履歴'!$E:$E,Z$1,'単価履歴'!$F:$F,$A13)))</f>
        <v/>
      </c>
      <c r="AA13" s="249" t="str">
        <f>IF(MAXIFS('単価履歴'!$H:$H,'単価履歴'!$E:$E,AA$1,'単価履歴'!$F:$F,$A13,'単価履歴'!$O:$O,
MAXIFS('単価履歴'!$O:$O,'単価履歴'!$E:$E,AA$1,'単価履歴'!$F:$F,$A13))=0,"",
MAXIFS('単価履歴'!$H:$H,'単価履歴'!$E:$E,AA$1,'単価履歴'!$F:$F,$A13,'単価履歴'!$O:$O,
MAXIFS('単価履歴'!$O:$O,'単価履歴'!$E:$E,AA$1,'単価履歴'!$F:$F,$A13)))</f>
        <v/>
      </c>
      <c r="AB13" s="249" t="str">
        <f>IF(MAXIFS('単価履歴'!$H:$H,'単価履歴'!$E:$E,AB$1,'単価履歴'!$F:$F,$A13,'単価履歴'!$O:$O,
MAXIFS('単価履歴'!$O:$O,'単価履歴'!$E:$E,AB$1,'単価履歴'!$F:$F,$A13))=0,"",
MAXIFS('単価履歴'!$H:$H,'単価履歴'!$E:$E,AB$1,'単価履歴'!$F:$F,$A13,'単価履歴'!$O:$O,
MAXIFS('単価履歴'!$O:$O,'単価履歴'!$E:$E,AB$1,'単価履歴'!$F:$F,$A13)))</f>
        <v/>
      </c>
      <c r="AC13" s="251" t="str">
        <f>IF(MAXIFS('単価履歴'!$H:$H,'単価履歴'!$E:$E,AC$1,'単価履歴'!$F:$F,$A13,'単価履歴'!$O:$O,
MAXIFS('単価履歴'!$O:$O,'単価履歴'!$E:$E,AC$1,'単価履歴'!$F:$F,$A13))=0,"",
MAXIFS('単価履歴'!$H:$H,'単価履歴'!$E:$E,AC$1,'単価履歴'!$F:$F,$A13,'単価履歴'!$O:$O,
MAXIFS('単価履歴'!$O:$O,'単価履歴'!$E:$E,AC$1,'単価履歴'!$F:$F,$A13)))</f>
        <v/>
      </c>
      <c r="AD13" s="249" t="str">
        <f>IF(MAXIFS('単価履歴'!$H:$H,'単価履歴'!$E:$E,AD$1,'単価履歴'!$F:$F,$A13,'単価履歴'!$O:$O,
MAXIFS('単価履歴'!$O:$O,'単価履歴'!$E:$E,AD$1,'単価履歴'!$F:$F,$A13))=0,"",
MAXIFS('単価履歴'!$H:$H,'単価履歴'!$E:$E,AD$1,'単価履歴'!$F:$F,$A13,'単価履歴'!$O:$O,
MAXIFS('単価履歴'!$O:$O,'単価履歴'!$E:$E,AD$1,'単価履歴'!$F:$F,$A13)))</f>
        <v/>
      </c>
      <c r="AE13" s="249" t="str">
        <f>IF(MAXIFS('単価履歴'!$H:$H,'単価履歴'!$E:$E,AE$1,'単価履歴'!$F:$F,$A13,'単価履歴'!$O:$O,
MAXIFS('単価履歴'!$O:$O,'単価履歴'!$E:$E,AE$1,'単価履歴'!$F:$F,$A13))=0,"",
MAXIFS('単価履歴'!$H:$H,'単価履歴'!$E:$E,AE$1,'単価履歴'!$F:$F,$A13,'単価履歴'!$O:$O,
MAXIFS('単価履歴'!$O:$O,'単価履歴'!$E:$E,AE$1,'単価履歴'!$F:$F,$A13)))</f>
        <v/>
      </c>
      <c r="AF13" s="251" t="str">
        <f>IF(MAXIFS('単価履歴'!$H:$H,'単価履歴'!$E:$E,AF$1,'単価履歴'!$F:$F,$A13,'単価履歴'!$O:$O,
MAXIFS('単価履歴'!$O:$O,'単価履歴'!$E:$E,AF$1,'単価履歴'!$F:$F,$A13))=0,"",
MAXIFS('単価履歴'!$H:$H,'単価履歴'!$E:$E,AF$1,'単価履歴'!$F:$F,$A13,'単価履歴'!$O:$O,
MAXIFS('単価履歴'!$O:$O,'単価履歴'!$E:$E,AF$1,'単価履歴'!$F:$F,$A13)))</f>
        <v/>
      </c>
      <c r="AG13" s="249" t="str">
        <f>IF(MAXIFS('単価履歴'!$H:$H,'単価履歴'!$E:$E,AG$1,'単価履歴'!$F:$F,$A13,'単価履歴'!$O:$O,
MAXIFS('単価履歴'!$O:$O,'単価履歴'!$E:$E,AG$1,'単価履歴'!$F:$F,$A13))=0,"",
MAXIFS('単価履歴'!$H:$H,'単価履歴'!$E:$E,AG$1,'単価履歴'!$F:$F,$A13,'単価履歴'!$O:$O,
MAXIFS('単価履歴'!$O:$O,'単価履歴'!$E:$E,AG$1,'単価履歴'!$F:$F,$A13)))</f>
        <v/>
      </c>
      <c r="AH13" s="252" t="str">
        <f>IF(MAXIFS('単価履歴'!$H:$H,'単価履歴'!$E:$E,AH$1,'単価履歴'!$F:$F,$A13,'単価履歴'!$O:$O,
MAXIFS('単価履歴'!$O:$O,'単価履歴'!$E:$E,AH$1,'単価履歴'!$F:$F,$A13))=0,"",
MAXIFS('単価履歴'!$H:$H,'単価履歴'!$E:$E,AH$1,'単価履歴'!$F:$F,$A13,'単価履歴'!$O:$O,
MAXIFS('単価履歴'!$O:$O,'単価履歴'!$E:$E,AH$1,'単価履歴'!$F:$F,$A13)))</f>
        <v/>
      </c>
      <c r="AI13" s="249" t="str">
        <f>IF(MAXIFS('単価履歴'!$H:$H,'単価履歴'!$E:$E,AI$1,'単価履歴'!$F:$F,$A13,'単価履歴'!$O:$O,
MAXIFS('単価履歴'!$O:$O,'単価履歴'!$E:$E,AI$1,'単価履歴'!$F:$F,$A13))=0,"",
MAXIFS('単価履歴'!$H:$H,'単価履歴'!$E:$E,AI$1,'単価履歴'!$F:$F,$A13,'単価履歴'!$O:$O,
MAXIFS('単価履歴'!$O:$O,'単価履歴'!$E:$E,AI$1,'単価履歴'!$F:$F,$A13)))</f>
        <v/>
      </c>
      <c r="AJ13" s="251" t="str">
        <f>IF(MAXIFS('単価履歴'!$H:$H,'単価履歴'!$E:$E,AJ$1,'単価履歴'!$F:$F,$A13,'単価履歴'!$O:$O,
MAXIFS('単価履歴'!$O:$O,'単価履歴'!$E:$E,AJ$1,'単価履歴'!$F:$F,$A13))=0,"",
MAXIFS('単価履歴'!$H:$H,'単価履歴'!$E:$E,AJ$1,'単価履歴'!$F:$F,$A13,'単価履歴'!$O:$O,
MAXIFS('単価履歴'!$O:$O,'単価履歴'!$E:$E,AJ$1,'単価履歴'!$F:$F,$A13)))</f>
        <v/>
      </c>
      <c r="AK13" s="252" t="str">
        <f>IF(MAXIFS('単価履歴'!$H:$H,'単価履歴'!$E:$E,AK$1,'単価履歴'!$F:$F,$A13,'単価履歴'!$O:$O,
MAXIFS('単価履歴'!$O:$O,'単価履歴'!$E:$E,AK$1,'単価履歴'!$F:$F,$A13))=0,"",
MAXIFS('単価履歴'!$H:$H,'単価履歴'!$E:$E,AK$1,'単価履歴'!$F:$F,$A13,'単価履歴'!$O:$O,
MAXIFS('単価履歴'!$O:$O,'単価履歴'!$E:$E,AK$1,'単価履歴'!$F:$F,$A13)))</f>
        <v/>
      </c>
      <c r="AL13" s="249" t="str">
        <f>IF(MAXIFS('単価履歴'!$H:$H,'単価履歴'!$E:$E,AL$1,'単価履歴'!$F:$F,$A13,'単価履歴'!$O:$O,
MAXIFS('単価履歴'!$O:$O,'単価履歴'!$E:$E,AL$1,'単価履歴'!$F:$F,$A13))=0,"",
MAXIFS('単価履歴'!$H:$H,'単価履歴'!$E:$E,AL$1,'単価履歴'!$F:$F,$A13,'単価履歴'!$O:$O,
MAXIFS('単価履歴'!$O:$O,'単価履歴'!$E:$E,AL$1,'単価履歴'!$F:$F,$A13)))</f>
        <v/>
      </c>
      <c r="AM13" s="248" t="str">
        <f>IF(MAXIFS('単価履歴'!$H:$H,'単価履歴'!$E:$E,AM$1,'単価履歴'!$F:$F,$A13,'単価履歴'!$O:$O,
MAXIFS('単価履歴'!$O:$O,'単価履歴'!$E:$E,AM$1,'単価履歴'!$F:$F,$A13))=0,"",
MAXIFS('単価履歴'!$H:$H,'単価履歴'!$E:$E,AM$1,'単価履歴'!$F:$F,$A13,'単価履歴'!$O:$O,
MAXIFS('単価履歴'!$O:$O,'単価履歴'!$E:$E,AM$1,'単価履歴'!$F:$F,$A13)))</f>
        <v/>
      </c>
      <c r="AN13" s="248" t="str">
        <f>IF(MAXIFS('単価履歴'!$H:$H,'単価履歴'!$E:$E,AN$1,'単価履歴'!$F:$F,$A13,'単価履歴'!$O:$O,
MAXIFS('単価履歴'!$O:$O,'単価履歴'!$E:$E,AN$1,'単価履歴'!$F:$F,$A13))=0,"",
MAXIFS('単価履歴'!$H:$H,'単価履歴'!$E:$E,AN$1,'単価履歴'!$F:$F,$A13,'単価履歴'!$O:$O,
MAXIFS('単価履歴'!$O:$O,'単価履歴'!$E:$E,AN$1,'単価履歴'!$F:$F,$A13)))</f>
        <v/>
      </c>
      <c r="AO13" s="251" t="str">
        <f>IF(MAXIFS('単価履歴'!$H:$H,'単価履歴'!$E:$E,AO$1,'単価履歴'!$F:$F,$A13,'単価履歴'!$O:$O,
MAXIFS('単価履歴'!$O:$O,'単価履歴'!$E:$E,AO$1,'単価履歴'!$F:$F,$A13))=0,"",
MAXIFS('単価履歴'!$H:$H,'単価履歴'!$E:$E,AO$1,'単価履歴'!$F:$F,$A13,'単価履歴'!$O:$O,
MAXIFS('単価履歴'!$O:$O,'単価履歴'!$E:$E,AO$1,'単価履歴'!$F:$F,$A13)))</f>
        <v/>
      </c>
      <c r="AP13" s="251" t="str">
        <f>IF(MAXIFS('単価履歴'!$H:$H,'単価履歴'!$E:$E,AP$1,'単価履歴'!$F:$F,$A13,'単価履歴'!$O:$O,
MAXIFS('単価履歴'!$O:$O,'単価履歴'!$E:$E,AP$1,'単価履歴'!$F:$F,$A13))=0,"",
MAXIFS('単価履歴'!$H:$H,'単価履歴'!$E:$E,AP$1,'単価履歴'!$F:$F,$A13,'単価履歴'!$O:$O,
MAXIFS('単価履歴'!$O:$O,'単価履歴'!$E:$E,AP$1,'単価履歴'!$F:$F,$A13)))</f>
        <v/>
      </c>
      <c r="AQ13" s="247">
        <f>IF(MAXIFS('単価履歴'!$H:$H,'単価履歴'!$E:$E,AQ$1,'単価履歴'!$F:$F,$A13,'単価履歴'!$O:$O,
MAXIFS('単価履歴'!$O:$O,'単価履歴'!$E:$E,AQ$1,'単価履歴'!$F:$F,$A13))=0,"",
MAXIFS('単価履歴'!$H:$H,'単価履歴'!$E:$E,AQ$1,'単価履歴'!$F:$F,$A13,'単価履歴'!$O:$O,
MAXIFS('単価履歴'!$O:$O,'単価履歴'!$E:$E,AQ$1,'単価履歴'!$F:$F,$A13)))</f>
        <v>53.9</v>
      </c>
      <c r="AR13" s="246">
        <f>IF(MAXIFS('単価履歴'!$H:$H,'単価履歴'!$E:$E,AR$1,'単価履歴'!$F:$F,$A13,'単価履歴'!$O:$O,
MAXIFS('単価履歴'!$O:$O,'単価履歴'!$E:$E,AR$1,'単価履歴'!$F:$F,$A13))=0,"",
MAXIFS('単価履歴'!$H:$H,'単価履歴'!$E:$E,AR$1,'単価履歴'!$F:$F,$A13,'単価履歴'!$O:$O,
MAXIFS('単価履歴'!$O:$O,'単価履歴'!$E:$E,AR$1,'単価履歴'!$F:$F,$A13)))</f>
        <v>56.8</v>
      </c>
      <c r="AS13" s="246">
        <f>IF(MAXIFS('単価履歴'!$H:$H,'単価履歴'!$E:$E,AS$1,'単価履歴'!$F:$F,$A13,'単価履歴'!$O:$O,
MAXIFS('単価履歴'!$O:$O,'単価履歴'!$E:$E,AS$1,'単価履歴'!$F:$F,$A13))=0,"",
MAXIFS('単価履歴'!$H:$H,'単価履歴'!$E:$E,AS$1,'単価履歴'!$F:$F,$A13,'単価履歴'!$O:$O,
MAXIFS('単価履歴'!$O:$O,'単価履歴'!$E:$E,AS$1,'単価履歴'!$F:$F,$A13)))</f>
        <v>57</v>
      </c>
      <c r="AT13" s="251" t="str">
        <f>IF(MAXIFS('単価履歴'!$H:$H,'単価履歴'!$E:$E,AT$1,'単価履歴'!$F:$F,$A13,'単価履歴'!$O:$O,
MAXIFS('単価履歴'!$O:$O,'単価履歴'!$E:$E,AT$1,'単価履歴'!$F:$F,$A13))=0,"",
MAXIFS('単価履歴'!$H:$H,'単価履歴'!$E:$E,AT$1,'単価履歴'!$F:$F,$A13,'単価履歴'!$O:$O,
MAXIFS('単価履歴'!$O:$O,'単価履歴'!$E:$E,AT$1,'単価履歴'!$F:$F,$A13)))</f>
        <v/>
      </c>
      <c r="AU13" s="249" t="str">
        <f>IF(MAXIFS('単価履歴'!$H:$H,'単価履歴'!$E:$E,AU$1,'単価履歴'!$F:$F,$A13,'単価履歴'!$O:$O,
MAXIFS('単価履歴'!$O:$O,'単価履歴'!$E:$E,AU$1,'単価履歴'!$F:$F,$A13))=0,"",
MAXIFS('単価履歴'!$H:$H,'単価履歴'!$E:$E,AU$1,'単価履歴'!$F:$F,$A13,'単価履歴'!$O:$O,
MAXIFS('単価履歴'!$O:$O,'単価履歴'!$E:$E,AU$1,'単価履歴'!$F:$F,$A13)))</f>
        <v/>
      </c>
      <c r="AV13" s="251" t="str">
        <f>IF(MAXIFS('単価履歴'!$H:$H,'単価履歴'!$E:$E,AV$1,'単価履歴'!$F:$F,$A13,'単価履歴'!$O:$O,
MAXIFS('単価履歴'!$O:$O,'単価履歴'!$E:$E,AV$1,'単価履歴'!$F:$F,$A13))=0,"",
MAXIFS('単価履歴'!$H:$H,'単価履歴'!$E:$E,AV$1,'単価履歴'!$F:$F,$A13,'単価履歴'!$O:$O,
MAXIFS('単価履歴'!$O:$O,'単価履歴'!$E:$E,AV$1,'単価履歴'!$F:$F,$A13)))</f>
        <v/>
      </c>
      <c r="AW13" s="252" t="str">
        <f>IF(MAXIFS('単価履歴'!$H:$H,'単価履歴'!$E:$E,AW$1,'単価履歴'!$F:$F,$A13,'単価履歴'!$O:$O,
MAXIFS('単価履歴'!$O:$O,'単価履歴'!$E:$E,AW$1,'単価履歴'!$F:$F,$A13))=0,"",
MAXIFS('単価履歴'!$H:$H,'単価履歴'!$E:$E,AW$1,'単価履歴'!$F:$F,$A13,'単価履歴'!$O:$O,
MAXIFS('単価履歴'!$O:$O,'単価履歴'!$E:$E,AW$1,'単価履歴'!$F:$F,$A13)))</f>
        <v/>
      </c>
      <c r="AX13" s="251" t="str">
        <f>IF(MAXIFS('単価履歴'!$H:$H,'単価履歴'!$E:$E,AX$1,'単価履歴'!$F:$F,$A13,'単価履歴'!$O:$O,
MAXIFS('単価履歴'!$O:$O,'単価履歴'!$E:$E,AX$1,'単価履歴'!$F:$F,$A13))=0,"",
MAXIFS('単価履歴'!$H:$H,'単価履歴'!$E:$E,AX$1,'単価履歴'!$F:$F,$A13,'単価履歴'!$O:$O,
MAXIFS('単価履歴'!$O:$O,'単価履歴'!$E:$E,AX$1,'単価履歴'!$F:$F,$A13)))</f>
        <v/>
      </c>
      <c r="AY13" s="252" t="str">
        <f>IF(MAXIFS('単価履歴'!$H:$H,'単価履歴'!$E:$E,AY$1,'単価履歴'!$F:$F,$A13,'単価履歴'!$O:$O,
MAXIFS('単価履歴'!$O:$O,'単価履歴'!$E:$E,AY$1,'単価履歴'!$F:$F,$A13))=0,"",
MAXIFS('単価履歴'!$H:$H,'単価履歴'!$E:$E,AY$1,'単価履歴'!$F:$F,$A13,'単価履歴'!$O:$O,
MAXIFS('単価履歴'!$O:$O,'単価履歴'!$E:$E,AY$1,'単価履歴'!$F:$F,$A13)))</f>
        <v/>
      </c>
      <c r="AZ13" s="251" t="str">
        <f>IF(MAXIFS('単価履歴'!$H:$H,'単価履歴'!$E:$E,AZ$1,'単価履歴'!$F:$F,$A13,'単価履歴'!$O:$O,
MAXIFS('単価履歴'!$O:$O,'単価履歴'!$E:$E,AZ$1,'単価履歴'!$F:$F,$A13))=0,"",
MAXIFS('単価履歴'!$H:$H,'単価履歴'!$E:$E,AZ$1,'単価履歴'!$F:$F,$A13,'単価履歴'!$O:$O,
MAXIFS('単価履歴'!$O:$O,'単価履歴'!$E:$E,AZ$1,'単価履歴'!$F:$F,$A13)))</f>
        <v/>
      </c>
      <c r="BA13" s="252" t="str">
        <f>IF(MAXIFS('単価履歴'!$H:$H,'単価履歴'!$E:$E,BA$1,'単価履歴'!$F:$F,$A13,'単価履歴'!$O:$O,
MAXIFS('単価履歴'!$O:$O,'単価履歴'!$E:$E,BA$1,'単価履歴'!$F:$F,$A13))=0,"",
MAXIFS('単価履歴'!$H:$H,'単価履歴'!$E:$E,BA$1,'単価履歴'!$F:$F,$A13,'単価履歴'!$O:$O,
MAXIFS('単価履歴'!$O:$O,'単価履歴'!$E:$E,BA$1,'単価履歴'!$F:$F,$A13)))</f>
        <v/>
      </c>
      <c r="BB13" s="249" t="str">
        <f>IF(MAXIFS('単価履歴'!$H:$H,'単価履歴'!$E:$E,BB$1,'単価履歴'!$F:$F,$A13,'単価履歴'!$O:$O,
MAXIFS('単価履歴'!$O:$O,'単価履歴'!$E:$E,BB$1,'単価履歴'!$F:$F,$A13))=0,"",
MAXIFS('単価履歴'!$H:$H,'単価履歴'!$E:$E,BB$1,'単価履歴'!$F:$F,$A13,'単価履歴'!$O:$O,
MAXIFS('単価履歴'!$O:$O,'単価履歴'!$E:$E,BB$1,'単価履歴'!$F:$F,$A13)))</f>
        <v/>
      </c>
      <c r="BC13" s="249" t="str">
        <f>IF(MAXIFS('単価履歴'!$H:$H,'単価履歴'!$E:$E,BC$1,'単価履歴'!$F:$F,$A13,'単価履歴'!$O:$O,
MAXIFS('単価履歴'!$O:$O,'単価履歴'!$E:$E,BC$1,'単価履歴'!$F:$F,$A13))=0,"",
MAXIFS('単価履歴'!$H:$H,'単価履歴'!$E:$E,BC$1,'単価履歴'!$F:$F,$A13,'単価履歴'!$O:$O,
MAXIFS('単価履歴'!$O:$O,'単価履歴'!$E:$E,BC$1,'単価履歴'!$F:$F,$A13)))</f>
        <v/>
      </c>
      <c r="BD13" s="249" t="str">
        <f>IF(MAXIFS('単価履歴'!$H:$H,'単価履歴'!$E:$E,BD$1,'単価履歴'!$F:$F,$A13,'単価履歴'!$O:$O,
MAXIFS('単価履歴'!$O:$O,'単価履歴'!$E:$E,BD$1,'単価履歴'!$F:$F,$A13))=0,"",
MAXIFS('単価履歴'!$H:$H,'単価履歴'!$E:$E,BD$1,'単価履歴'!$F:$F,$A13,'単価履歴'!$O:$O,
MAXIFS('単価履歴'!$O:$O,'単価履歴'!$E:$E,BD$1,'単価履歴'!$F:$F,$A13)))</f>
        <v/>
      </c>
      <c r="BE13" s="249" t="str">
        <f>IF(MAXIFS('単価履歴'!$H:$H,'単価履歴'!$E:$E,BE$1,'単価履歴'!$F:$F,$A13,'単価履歴'!$O:$O,
MAXIFS('単価履歴'!$O:$O,'単価履歴'!$E:$E,BE$1,'単価履歴'!$F:$F,$A13))=0,"",
MAXIFS('単価履歴'!$H:$H,'単価履歴'!$E:$E,BE$1,'単価履歴'!$F:$F,$A13,'単価履歴'!$O:$O,
MAXIFS('単価履歴'!$O:$O,'単価履歴'!$E:$E,BE$1,'単価履歴'!$F:$F,$A13)))</f>
        <v/>
      </c>
      <c r="BF13" s="248" t="str">
        <f>IF(MAXIFS('単価履歴'!$H:$H,'単価履歴'!$E:$E,BF$1,'単価履歴'!$F:$F,$A13,'単価履歴'!$O:$O,
MAXIFS('単価履歴'!$O:$O,'単価履歴'!$E:$E,BF$1,'単価履歴'!$F:$F,$A13))=0,"",
MAXIFS('単価履歴'!$H:$H,'単価履歴'!$E:$E,BF$1,'単価履歴'!$F:$F,$A13,'単価履歴'!$O:$O,
MAXIFS('単価履歴'!$O:$O,'単価履歴'!$E:$E,BF$1,'単価履歴'!$F:$F,$A13)))</f>
        <v/>
      </c>
      <c r="BG13" s="252" t="str">
        <f>IF(MAXIFS('単価履歴'!$H:$H,'単価履歴'!$E:$E,BG$1,'単価履歴'!$F:$F,$A13,'単価履歴'!$O:$O,
MAXIFS('単価履歴'!$O:$O,'単価履歴'!$E:$E,BG$1,'単価履歴'!$F:$F,$A13))=0,"",
MAXIFS('単価履歴'!$H:$H,'単価履歴'!$E:$E,BG$1,'単価履歴'!$F:$F,$A13,'単価履歴'!$O:$O,
MAXIFS('単価履歴'!$O:$O,'単価履歴'!$E:$E,BG$1,'単価履歴'!$F:$F,$A13)))</f>
        <v/>
      </c>
      <c r="BH13" s="251" t="str">
        <f>IF(MAXIFS('単価履歴'!$H:$H,'単価履歴'!$E:$E,BH$1,'単価履歴'!$F:$F,$A13,'単価履歴'!$O:$O,
MAXIFS('単価履歴'!$O:$O,'単価履歴'!$E:$E,BH$1,'単価履歴'!$F:$F,$A13))=0,"",
MAXIFS('単価履歴'!$H:$H,'単価履歴'!$E:$E,BH$1,'単価履歴'!$F:$F,$A13,'単価履歴'!$O:$O,
MAXIFS('単価履歴'!$O:$O,'単価履歴'!$E:$E,BH$1,'単価履歴'!$F:$F,$A13)))</f>
        <v/>
      </c>
      <c r="BI13" s="249" t="str">
        <f>IF(MAXIFS('単価履歴'!$H:$H,'単価履歴'!$E:$E,BI$1,'単価履歴'!$F:$F,$A13,'単価履歴'!$O:$O,
MAXIFS('単価履歴'!$O:$O,'単価履歴'!$E:$E,BI$1,'単価履歴'!$F:$F,$A13))=0,"",
MAXIFS('単価履歴'!$H:$H,'単価履歴'!$E:$E,BI$1,'単価履歴'!$F:$F,$A13,'単価履歴'!$O:$O,
MAXIFS('単価履歴'!$O:$O,'単価履歴'!$E:$E,BI$1,'単価履歴'!$F:$F,$A13)))</f>
        <v/>
      </c>
      <c r="BJ13" s="248" t="str">
        <f>IF(MAXIFS('単価履歴'!$H:$H,'単価履歴'!$E:$E,BJ$1,'単価履歴'!$F:$F,$A13,'単価履歴'!$O:$O,
MAXIFS('単価履歴'!$O:$O,'単価履歴'!$E:$E,BJ$1,'単価履歴'!$F:$F,$A13))=0,"",
MAXIFS('単価履歴'!$H:$H,'単価履歴'!$E:$E,BJ$1,'単価履歴'!$F:$F,$A13,'単価履歴'!$O:$O,
MAXIFS('単価履歴'!$O:$O,'単価履歴'!$E:$E,BJ$1,'単価履歴'!$F:$F,$A13)))</f>
        <v/>
      </c>
      <c r="BK13" s="252" t="str">
        <f>IF(MAXIFS('単価履歴'!$H:$H,'単価履歴'!$E:$E,BK$1,'単価履歴'!$F:$F,$A13,'単価履歴'!$O:$O,
MAXIFS('単価履歴'!$O:$O,'単価履歴'!$E:$E,BK$1,'単価履歴'!$F:$F,$A13))=0,"",
MAXIFS('単価履歴'!$H:$H,'単価履歴'!$E:$E,BK$1,'単価履歴'!$F:$F,$A13,'単価履歴'!$O:$O,
MAXIFS('単価履歴'!$O:$O,'単価履歴'!$E:$E,BK$1,'単価履歴'!$F:$F,$A13)))</f>
        <v/>
      </c>
      <c r="BL13" s="249" t="str">
        <f>IF(MAXIFS('単価履歴'!$H:$H,'単価履歴'!$E:$E,BL$1,'単価履歴'!$F:$F,$A13,'単価履歴'!$O:$O,
MAXIFS('単価履歴'!$O:$O,'単価履歴'!$E:$E,BL$1,'単価履歴'!$F:$F,$A13))=0,"",
MAXIFS('単価履歴'!$H:$H,'単価履歴'!$E:$E,BL$1,'単価履歴'!$F:$F,$A13,'単価履歴'!$O:$O,
MAXIFS('単価履歴'!$O:$O,'単価履歴'!$E:$E,BL$1,'単価履歴'!$F:$F,$A13)))</f>
        <v/>
      </c>
      <c r="BM13" s="248" t="str">
        <f>IF(MAXIFS('単価履歴'!$H:$H,'単価履歴'!$E:$E,BM$1,'単価履歴'!$F:$F,$A13,'単価履歴'!$O:$O,
MAXIFS('単価履歴'!$O:$O,'単価履歴'!$E:$E,BM$1,'単価履歴'!$F:$F,$A13))=0,"",
MAXIFS('単価履歴'!$H:$H,'単価履歴'!$E:$E,BM$1,'単価履歴'!$F:$F,$A13,'単価履歴'!$O:$O,
MAXIFS('単価履歴'!$O:$O,'単価履歴'!$E:$E,BM$1,'単価履歴'!$F:$F,$A13)))</f>
        <v/>
      </c>
      <c r="BN13" s="249" t="str">
        <f>IF(MAXIFS('単価履歴'!$H:$H,'単価履歴'!$E:$E,BN$1,'単価履歴'!$F:$F,$A13,'単価履歴'!$O:$O,
MAXIFS('単価履歴'!$O:$O,'単価履歴'!$E:$E,BN$1,'単価履歴'!$F:$F,$A13))=0,"",
MAXIFS('単価履歴'!$H:$H,'単価履歴'!$E:$E,BN$1,'単価履歴'!$F:$F,$A13,'単価履歴'!$O:$O,
MAXIFS('単価履歴'!$O:$O,'単価履歴'!$E:$E,BN$1,'単価履歴'!$F:$F,$A13)))</f>
        <v/>
      </c>
      <c r="BO13" s="248" t="str">
        <f>IF(MAXIFS('単価履歴'!$H:$H,'単価履歴'!$E:$E,BO$1,'単価履歴'!$F:$F,$A13,'単価履歴'!$O:$O,
MAXIFS('単価履歴'!$O:$O,'単価履歴'!$E:$E,BO$1,'単価履歴'!$F:$F,$A13))=0,"",
MAXIFS('単価履歴'!$H:$H,'単価履歴'!$E:$E,BO$1,'単価履歴'!$F:$F,$A13,'単価履歴'!$O:$O,
MAXIFS('単価履歴'!$O:$O,'単価履歴'!$E:$E,BO$1,'単価履歴'!$F:$F,$A13)))</f>
        <v/>
      </c>
      <c r="BP13" s="249" t="str">
        <f>IF(MAXIFS('単価履歴'!$H:$H,'単価履歴'!$E:$E,BP$1,'単価履歴'!$F:$F,$A13,'単価履歴'!$O:$O,
MAXIFS('単価履歴'!$O:$O,'単価履歴'!$E:$E,BP$1,'単価履歴'!$F:$F,$A13))=0,"",
MAXIFS('単価履歴'!$H:$H,'単価履歴'!$E:$E,BP$1,'単価履歴'!$F:$F,$A13,'単価履歴'!$O:$O,
MAXIFS('単価履歴'!$O:$O,'単価履歴'!$E:$E,BP$1,'単価履歴'!$F:$F,$A13)))</f>
        <v/>
      </c>
      <c r="BQ13" s="249" t="str">
        <f>IF(MAXIFS('単価履歴'!$H:$H,'単価履歴'!$E:$E,BQ$1,'単価履歴'!$F:$F,$A13,'単価履歴'!$O:$O,
MAXIFS('単価履歴'!$O:$O,'単価履歴'!$E:$E,BQ$1,'単価履歴'!$F:$F,$A13))=0,"",
MAXIFS('単価履歴'!$H:$H,'単価履歴'!$E:$E,BQ$1,'単価履歴'!$F:$F,$A13,'単価履歴'!$O:$O,
MAXIFS('単価履歴'!$O:$O,'単価履歴'!$E:$E,BQ$1,'単価履歴'!$F:$F,$A13)))</f>
        <v/>
      </c>
      <c r="BR13" s="252" t="str">
        <f>IF(MAXIFS('単価履歴'!$H:$H,'単価履歴'!$E:$E,BR$1,'単価履歴'!$F:$F,$A13,'単価履歴'!$O:$O,
MAXIFS('単価履歴'!$O:$O,'単価履歴'!$E:$E,BR$1,'単価履歴'!$F:$F,$A13))=0,"",
MAXIFS('単価履歴'!$H:$H,'単価履歴'!$E:$E,BR$1,'単価履歴'!$F:$F,$A13,'単価履歴'!$O:$O,
MAXIFS('単価履歴'!$O:$O,'単価履歴'!$E:$E,BR$1,'単価履歴'!$F:$F,$A13)))</f>
        <v/>
      </c>
      <c r="BS13" s="252" t="str">
        <f>IF(MAXIFS('単価履歴'!$H:$H,'単価履歴'!$E:$E,BS$1,'単価履歴'!$F:$F,$A13,'単価履歴'!$O:$O,
MAXIFS('単価履歴'!$O:$O,'単価履歴'!$E:$E,BS$1,'単価履歴'!$F:$F,$A13))=0,"",
MAXIFS('単価履歴'!$H:$H,'単価履歴'!$E:$E,BS$1,'単価履歴'!$F:$F,$A13,'単価履歴'!$O:$O,
MAXIFS('単価履歴'!$O:$O,'単価履歴'!$E:$E,BS$1,'単価履歴'!$F:$F,$A13)))</f>
        <v/>
      </c>
      <c r="BT13" s="252" t="str">
        <f>IF(MAXIFS('単価履歴'!$H:$H,'単価履歴'!$E:$E,BT$1,'単価履歴'!$F:$F,$A13,'単価履歴'!$O:$O,
MAXIFS('単価履歴'!$O:$O,'単価履歴'!$E:$E,BT$1,'単価履歴'!$F:$F,$A13))=0,"",
MAXIFS('単価履歴'!$H:$H,'単価履歴'!$E:$E,BT$1,'単価履歴'!$F:$F,$A13,'単価履歴'!$O:$O,
MAXIFS('単価履歴'!$O:$O,'単価履歴'!$E:$E,BT$1,'単価履歴'!$F:$F,$A13)))</f>
        <v/>
      </c>
      <c r="BU13" s="252" t="str">
        <f>IF(MAXIFS('単価履歴'!$H:$H,'単価履歴'!$E:$E,BU$1,'単価履歴'!$F:$F,$A13,'単価履歴'!$O:$O,
MAXIFS('単価履歴'!$O:$O,'単価履歴'!$E:$E,BU$1,'単価履歴'!$F:$F,$A13))=0,"",
MAXIFS('単価履歴'!$H:$H,'単価履歴'!$E:$E,BU$1,'単価履歴'!$F:$F,$A13,'単価履歴'!$O:$O,
MAXIFS('単価履歴'!$O:$O,'単価履歴'!$E:$E,BU$1,'単価履歴'!$F:$F,$A13)))</f>
        <v/>
      </c>
      <c r="BV13" s="252" t="str">
        <f>IF(MAXIFS('単価履歴'!$H:$H,'単価履歴'!$E:$E,BV$1,'単価履歴'!$F:$F,$A13,'単価履歴'!$O:$O,
MAXIFS('単価履歴'!$O:$O,'単価履歴'!$E:$E,BV$1,'単価履歴'!$F:$F,$A13))=0,"",
MAXIFS('単価履歴'!$H:$H,'単価履歴'!$E:$E,BV$1,'単価履歴'!$F:$F,$A13,'単価履歴'!$O:$O,
MAXIFS('単価履歴'!$O:$O,'単価履歴'!$E:$E,BV$1,'単価履歴'!$F:$F,$A13)))</f>
        <v/>
      </c>
      <c r="BW13" s="248" t="str">
        <f>IF(MAXIFS('単価履歴'!$H:$H,'単価履歴'!$E:$E,BW$1,'単価履歴'!$F:$F,$A13,'単価履歴'!$O:$O,
MAXIFS('単価履歴'!$O:$O,'単価履歴'!$E:$E,BW$1,'単価履歴'!$F:$F,$A13))=0,"",
MAXIFS('単価履歴'!$H:$H,'単価履歴'!$E:$E,BW$1,'単価履歴'!$F:$F,$A13,'単価履歴'!$O:$O,
MAXIFS('単価履歴'!$O:$O,'単価履歴'!$E:$E,BW$1,'単価履歴'!$F:$F,$A13)))</f>
        <v/>
      </c>
      <c r="BX13" s="249" t="str">
        <f>IF(MAXIFS('単価履歴'!$H:$H,'単価履歴'!$E:$E,BX$1,'単価履歴'!$F:$F,$A13,'単価履歴'!$O:$O,
MAXIFS('単価履歴'!$O:$O,'単価履歴'!$E:$E,BX$1,'単価履歴'!$F:$F,$A13))=0,"",
MAXIFS('単価履歴'!$H:$H,'単価履歴'!$E:$E,BX$1,'単価履歴'!$F:$F,$A13,'単価履歴'!$O:$O,
MAXIFS('単価履歴'!$O:$O,'単価履歴'!$E:$E,BX$1,'単価履歴'!$F:$F,$A13)))</f>
        <v/>
      </c>
      <c r="BY13" s="252" t="str">
        <f>IF(MAXIFS('単価履歴'!$H:$H,'単価履歴'!$E:$E,BY$1,'単価履歴'!$F:$F,$A13,'単価履歴'!$O:$O,
MAXIFS('単価履歴'!$O:$O,'単価履歴'!$E:$E,BY$1,'単価履歴'!$F:$F,$A13))=0,"",
MAXIFS('単価履歴'!$H:$H,'単価履歴'!$E:$E,BY$1,'単価履歴'!$F:$F,$A13,'単価履歴'!$O:$O,
MAXIFS('単価履歴'!$O:$O,'単価履歴'!$E:$E,BY$1,'単価履歴'!$F:$F,$A13)))</f>
        <v/>
      </c>
      <c r="BZ13" s="249"/>
      <c r="CA13" s="249"/>
      <c r="CB13" s="249"/>
      <c r="CC13" s="249"/>
      <c r="CD13" s="249"/>
      <c r="CE13" s="249"/>
      <c r="CF13" s="249"/>
      <c r="CG13" s="249"/>
    </row>
    <row r="14">
      <c r="A14" s="261" t="s">
        <v>111</v>
      </c>
      <c r="B14" s="246">
        <f>IF(MAXIFS('単価履歴'!$H:$H,'単価履歴'!$E:$E,B$1,'単価履歴'!$F:$F,$A14,'単価履歴'!$O:$O,
MAXIFS('単価履歴'!$O:$O,'単価履歴'!$E:$E,B$1,'単価履歴'!$F:$F,$A14))=0,"",
MAXIFS('単価履歴'!$H:$H,'単価履歴'!$E:$E,B$1,'単価履歴'!$F:$F,$A14,'単価履歴'!$O:$O,
MAXIFS('単価履歴'!$O:$O,'単価履歴'!$E:$E,B$1,'単価履歴'!$F:$F,$A14)))</f>
        <v>55</v>
      </c>
      <c r="C14" s="262">
        <f>IF(MAXIFS('単価履歴'!$H:$H,'単価履歴'!$E:$E,C$1,'単価履歴'!$F:$F,$A14,'単価履歴'!$O:$O,
MAXIFS('単価履歴'!$O:$O,'単価履歴'!$E:$E,C$1,'単価履歴'!$F:$F,$A14))=0,"",
MAXIFS('単価履歴'!$H:$H,'単価履歴'!$E:$E,C$1,'単価履歴'!$F:$F,$A14,'単価履歴'!$O:$O,
MAXIFS('単価履歴'!$O:$O,'単価履歴'!$E:$E,C$1,'単価履歴'!$F:$F,$A14)))</f>
        <v>55.3</v>
      </c>
      <c r="D14" s="250">
        <f>IF(MAXIFS('単価履歴'!$H:$H,'単価履歴'!$E:$E,D$1,'単価履歴'!$F:$F,$A14,'単価履歴'!$O:$O,
MAXIFS('単価履歴'!$O:$O,'単価履歴'!$E:$E,D$1,'単価履歴'!$F:$F,$A14))=0,"",
MAXIFS('単価履歴'!$H:$H,'単価履歴'!$E:$E,D$1,'単価履歴'!$F:$F,$A14,'単価履歴'!$O:$O,
MAXIFS('単価履歴'!$O:$O,'単価履歴'!$E:$E,D$1,'単価履歴'!$F:$F,$A14)))</f>
        <v>55.3</v>
      </c>
      <c r="E14" s="250"/>
      <c r="F14" s="250"/>
      <c r="G14" s="268">
        <f>IF(MAXIFS('単価履歴'!$H:$H,'単価履歴'!$E:$E,G$1,'単価履歴'!$F:$F,$A14,'単価履歴'!$O:$O,
MAXIFS('単価履歴'!$O:$O,'単価履歴'!$E:$E,G$1,'単価履歴'!$F:$F,$A14))=0,"",
MAXIFS('単価履歴'!$H:$H,'単価履歴'!$E:$E,G$1,'単価履歴'!$F:$F,$A14,'単価履歴'!$O:$O,
MAXIFS('単価履歴'!$O:$O,'単価履歴'!$E:$E,G$1,'単価履歴'!$F:$F,$A14)))</f>
        <v>55.5</v>
      </c>
      <c r="H14" s="250">
        <f>IF(MAXIFS('単価履歴'!$H:$H,'単価履歴'!$E:$E,H$1,'単価履歴'!$F:$F,$A14,'単価履歴'!$O:$O,
MAXIFS('単価履歴'!$O:$O,'単価履歴'!$E:$E,H$1,'単価履歴'!$F:$F,$A14))=0,"",
MAXIFS('単価履歴'!$H:$H,'単価履歴'!$E:$E,H$1,'単価履歴'!$F:$F,$A14,'単価履歴'!$O:$O,
MAXIFS('単価履歴'!$O:$O,'単価履歴'!$E:$E,H$1,'単価履歴'!$F:$F,$A14)))</f>
        <v>55.8</v>
      </c>
      <c r="I14" s="256"/>
      <c r="J14" s="263"/>
      <c r="K14" s="250">
        <f>IF(MAXIFS('単価履歴'!$H:$H,'単価履歴'!$E:$E,K$1,'単価履歴'!$F:$F,$A14,'単価履歴'!$O:$O,
MAXIFS('単価履歴'!$O:$O,'単価履歴'!$E:$E,K$1,'単価履歴'!$F:$F,$A14))=0,"",
MAXIFS('単価履歴'!$H:$H,'単価履歴'!$E:$E,K$1,'単価履歴'!$F:$F,$A14,'単価履歴'!$O:$O,
MAXIFS('単価履歴'!$O:$O,'単価履歴'!$E:$E,K$1,'単価履歴'!$F:$F,$A14)))</f>
        <v>54</v>
      </c>
      <c r="L14" s="250">
        <f>IF(MAXIFS('単価履歴'!$H:$H,'単価履歴'!$E:$E,L$1,'単価履歴'!$F:$F,$A14,'単価履歴'!$O:$O,
MAXIFS('単価履歴'!$O:$O,'単価履歴'!$E:$E,L$1,'単価履歴'!$F:$F,$A14))=0,"",
MAXIFS('単価履歴'!$H:$H,'単価履歴'!$E:$E,L$1,'単価履歴'!$F:$F,$A14,'単価履歴'!$O:$O,
MAXIFS('単価履歴'!$O:$O,'単価履歴'!$E:$E,L$1,'単価履歴'!$F:$F,$A14)))</f>
        <v>39.4</v>
      </c>
      <c r="M14" s="269">
        <f>IF(MAXIFS('単価履歴'!$H:$H,'単価履歴'!$E:$E,M$1,'単価履歴'!$F:$F,$A14,'単価履歴'!$O:$O,
MAXIFS('単価履歴'!$O:$O,'単価履歴'!$E:$E,M$1,'単価履歴'!$F:$F,$A14))=0,"",
MAXIFS('単価履歴'!$H:$H,'単価履歴'!$E:$E,M$1,'単価履歴'!$F:$F,$A14,'単価履歴'!$O:$O,
MAXIFS('単価履歴'!$O:$O,'単価履歴'!$E:$E,M$1,'単価履歴'!$F:$F,$A14)))</f>
        <v>56.2</v>
      </c>
      <c r="N14" s="250">
        <f>IF(MAXIFS('単価履歴'!$H:$H,'単価履歴'!$E:$E,N$1,'単価履歴'!$F:$F,$A14,'単価履歴'!$O:$O,
MAXIFS('単価履歴'!$O:$O,'単価履歴'!$E:$E,N$1,'単価履歴'!$F:$F,$A14))=0,"",
MAXIFS('単価履歴'!$H:$H,'単価履歴'!$E:$E,N$1,'単価履歴'!$F:$F,$A14,'単価履歴'!$O:$O,
MAXIFS('単価履歴'!$O:$O,'単価履歴'!$E:$E,N$1,'単価履歴'!$F:$F,$A14)))</f>
        <v>38.3</v>
      </c>
      <c r="O14" s="250" t="str">
        <f>IF(MAXIFS('単価履歴'!$H:$H,'単価履歴'!$E:$E,O$1,'単価履歴'!$F:$F,$A14,'単価履歴'!$O:$O,
MAXIFS('単価履歴'!$O:$O,'単価履歴'!$E:$E,O$1,'単価履歴'!$F:$F,$A14))=0,"",
MAXIFS('単価履歴'!$H:$H,'単価履歴'!$E:$E,O$1,'単価履歴'!$F:$F,$A14,'単価履歴'!$O:$O,
MAXIFS('単価履歴'!$O:$O,'単価履歴'!$E:$E,O$1,'単価履歴'!$F:$F,$A14)))</f>
        <v/>
      </c>
      <c r="P14" s="270">
        <f>IF(MAXIFS('単価履歴'!$H:$H,'単価履歴'!$E:$E,P$1,'単価履歴'!$F:$F,$A14,'単価履歴'!$O:$O,
MAXIFS('単価履歴'!$O:$O,'単価履歴'!$E:$E,P$1,'単価履歴'!$F:$F,$A14))=0,"",
MAXIFS('単価履歴'!$H:$H,'単価履歴'!$E:$E,P$1,'単価履歴'!$F:$F,$A14,'単価履歴'!$O:$O,
MAXIFS('単価履歴'!$O:$O,'単価履歴'!$E:$E,P$1,'単価履歴'!$F:$F,$A14)))</f>
        <v>58.5</v>
      </c>
      <c r="Q14" s="271" t="str">
        <f>IF(MAXIFS('単価履歴'!$H:$H,'単価履歴'!$E:$E,Q$1,'単価履歴'!$F:$F,$A14,'単価履歴'!$O:$O,
MAXIFS('単価履歴'!$O:$O,'単価履歴'!$E:$E,Q$1,'単価履歴'!$F:$F,$A14))=0,"",
MAXIFS('単価履歴'!$H:$H,'単価履歴'!$E:$E,Q$1,'単価履歴'!$F:$F,$A14,'単価履歴'!$O:$O,
MAXIFS('単価履歴'!$O:$O,'単価履歴'!$E:$E,Q$1,'単価履歴'!$F:$F,$A14)))</f>
        <v/>
      </c>
      <c r="R14" s="271">
        <f>IF(MAXIFS('単価履歴'!$H:$H,'単価履歴'!$E:$E,R$1,'単価履歴'!$F:$F,$A14,'単価履歴'!$O:$O,
MAXIFS('単価履歴'!$O:$O,'単価履歴'!$E:$E,R$1,'単価履歴'!$F:$F,$A14))=0,"",
MAXIFS('単価履歴'!$H:$H,'単価履歴'!$E:$E,R$1,'単価履歴'!$F:$F,$A14,'単価履歴'!$O:$O,
MAXIFS('単価履歴'!$O:$O,'単価履歴'!$E:$E,R$1,'単価履歴'!$F:$F,$A14)))</f>
        <v>58.2</v>
      </c>
      <c r="S14" s="264" t="str">
        <f>IF(MAXIFS('単価履歴'!$H:$H,'単価履歴'!$E:$E,S$1,'単価履歴'!$F:$F,$A14,'単価履歴'!$O:$O,
MAXIFS('単価履歴'!$O:$O,'単価履歴'!$E:$E,S$1,'単価履歴'!$F:$F,$A14))=0,"",
MAXIFS('単価履歴'!$H:$H,'単価履歴'!$E:$E,S$1,'単価履歴'!$F:$F,$A14,'単価履歴'!$O:$O,
MAXIFS('単価履歴'!$O:$O,'単価履歴'!$E:$E,S$1,'単価履歴'!$F:$F,$A14)))</f>
        <v/>
      </c>
      <c r="T14" s="263" t="str">
        <f>IF(MAXIFS('単価履歴'!$H:$H,'単価履歴'!$E:$E,T$1,'単価履歴'!$F:$F,$A14,'単価履歴'!$O:$O,
MAXIFS('単価履歴'!$O:$O,'単価履歴'!$E:$E,T$1,'単価履歴'!$F:$F,$A14))=0,"",
MAXIFS('単価履歴'!$H:$H,'単価履歴'!$E:$E,T$1,'単価履歴'!$F:$F,$A14,'単価履歴'!$O:$O,
MAXIFS('単価履歴'!$O:$O,'単価履歴'!$E:$E,T$1,'単価履歴'!$F:$F,$A14)))</f>
        <v/>
      </c>
      <c r="U14" s="264" t="str">
        <f>IF(MAXIFS('単価履歴'!$H:$H,'単価履歴'!$E:$E,U$1,'単価履歴'!$F:$F,$A14,'単価履歴'!$O:$O,
MAXIFS('単価履歴'!$O:$O,'単価履歴'!$E:$E,U$1,'単価履歴'!$F:$F,$A14))=0,"",
MAXIFS('単価履歴'!$H:$H,'単価履歴'!$E:$E,U$1,'単価履歴'!$F:$F,$A14,'単価履歴'!$O:$O,
MAXIFS('単価履歴'!$O:$O,'単価履歴'!$E:$E,U$1,'単価履歴'!$F:$F,$A14)))</f>
        <v/>
      </c>
      <c r="V14" s="251">
        <f>IF(MAXIFS('単価履歴'!$H:$H,'単価履歴'!$E:$E,V$1,'単価履歴'!$F:$F,$A14,'単価履歴'!$O:$O,
MAXIFS('単価履歴'!$O:$O,'単価履歴'!$E:$E,V$1,'単価履歴'!$F:$F,$A14))=0,"",
MAXIFS('単価履歴'!$H:$H,'単価履歴'!$E:$E,V$1,'単価履歴'!$F:$F,$A14,'単価履歴'!$O:$O,
MAXIFS('単価履歴'!$O:$O,'単価履歴'!$E:$E,V$1,'単価履歴'!$F:$F,$A14)))</f>
        <v>52.5</v>
      </c>
      <c r="W14" s="250" t="str">
        <f>IF(MAXIFS('単価履歴'!$H:$H,'単価履歴'!$E:$E,W$1,'単価履歴'!$F:$F,$A14,'単価履歴'!$O:$O,
MAXIFS('単価履歴'!$O:$O,'単価履歴'!$E:$E,W$1,'単価履歴'!$F:$F,$A14))=0,"",
MAXIFS('単価履歴'!$H:$H,'単価履歴'!$E:$E,W$1,'単価履歴'!$F:$F,$A14,'単価履歴'!$O:$O,
MAXIFS('単価履歴'!$O:$O,'単価履歴'!$E:$E,W$1,'単価履歴'!$F:$F,$A14)))</f>
        <v/>
      </c>
      <c r="X14" s="256" t="str">
        <f>IF(MAXIFS('単価履歴'!$H:$H,'単価履歴'!$E:$E,X$1,'単価履歴'!$F:$F,$A14,'単価履歴'!$O:$O,
MAXIFS('単価履歴'!$O:$O,'単価履歴'!$E:$E,X$1,'単価履歴'!$F:$F,$A14))=0,"",
MAXIFS('単価履歴'!$H:$H,'単価履歴'!$E:$E,X$1,'単価履歴'!$F:$F,$A14,'単価履歴'!$O:$O,
MAXIFS('単価履歴'!$O:$O,'単価履歴'!$E:$E,X$1,'単価履歴'!$F:$F,$A14)))</f>
        <v/>
      </c>
      <c r="Y14" s="254">
        <f>IF(MAXIFS('単価履歴'!$H:$H,'単価履歴'!$E:$E,Y$1,'単価履歴'!$F:$F,$A14,'単価履歴'!$O:$O,
MAXIFS('単価履歴'!$O:$O,'単価履歴'!$E:$E,Y$1,'単価履歴'!$F:$F,$A14))=0,"",
MAXIFS('単価履歴'!$H:$H,'単価履歴'!$E:$E,Y$1,'単価履歴'!$F:$F,$A14,'単価履歴'!$O:$O,
MAXIFS('単価履歴'!$O:$O,'単価履歴'!$E:$E,Y$1,'単価履歴'!$F:$F,$A14)))</f>
        <v>42</v>
      </c>
      <c r="Z14" s="264" t="str">
        <f>IF(MAXIFS('単価履歴'!$H:$H,'単価履歴'!$E:$E,Z$1,'単価履歴'!$F:$F,$A14,'単価履歴'!$O:$O,
MAXIFS('単価履歴'!$O:$O,'単価履歴'!$E:$E,Z$1,'単価履歴'!$F:$F,$A14))=0,"",
MAXIFS('単価履歴'!$H:$H,'単価履歴'!$E:$E,Z$1,'単価履歴'!$F:$F,$A14,'単価履歴'!$O:$O,
MAXIFS('単価履歴'!$O:$O,'単価履歴'!$E:$E,Z$1,'単価履歴'!$F:$F,$A14)))</f>
        <v/>
      </c>
      <c r="AA14" s="256" t="str">
        <f>IF(MAXIFS('単価履歴'!$H:$H,'単価履歴'!$E:$E,AA$1,'単価履歴'!$F:$F,$A14,'単価履歴'!$O:$O,
MAXIFS('単価履歴'!$O:$O,'単価履歴'!$E:$E,AA$1,'単価履歴'!$F:$F,$A14))=0,"",
MAXIFS('単価履歴'!$H:$H,'単価履歴'!$E:$E,AA$1,'単価履歴'!$F:$F,$A14,'単価履歴'!$O:$O,
MAXIFS('単価履歴'!$O:$O,'単価履歴'!$E:$E,AA$1,'単価履歴'!$F:$F,$A14)))</f>
        <v/>
      </c>
      <c r="AB14" s="256" t="str">
        <f>IF(MAXIFS('単価履歴'!$H:$H,'単価履歴'!$E:$E,AB$1,'単価履歴'!$F:$F,$A14,'単価履歴'!$O:$O,
MAXIFS('単価履歴'!$O:$O,'単価履歴'!$E:$E,AB$1,'単価履歴'!$F:$F,$A14))=0,"",
MAXIFS('単価履歴'!$H:$H,'単価履歴'!$E:$E,AB$1,'単価履歴'!$F:$F,$A14,'単価履歴'!$O:$O,
MAXIFS('単価履歴'!$O:$O,'単価履歴'!$E:$E,AB$1,'単価履歴'!$F:$F,$A14)))</f>
        <v/>
      </c>
      <c r="AC14" s="254" t="str">
        <f>IF(MAXIFS('単価履歴'!$H:$H,'単価履歴'!$E:$E,AC$1,'単価履歴'!$F:$F,$A14,'単価履歴'!$O:$O,
MAXIFS('単価履歴'!$O:$O,'単価履歴'!$E:$E,AC$1,'単価履歴'!$F:$F,$A14))=0,"",
MAXIFS('単価履歴'!$H:$H,'単価履歴'!$E:$E,AC$1,'単価履歴'!$F:$F,$A14,'単価履歴'!$O:$O,
MAXIFS('単価履歴'!$O:$O,'単価履歴'!$E:$E,AC$1,'単価履歴'!$F:$F,$A14)))</f>
        <v/>
      </c>
      <c r="AD14" s="256" t="str">
        <f>IF(MAXIFS('単価履歴'!$H:$H,'単価履歴'!$E:$E,AD$1,'単価履歴'!$F:$F,$A14,'単価履歴'!$O:$O,
MAXIFS('単価履歴'!$O:$O,'単価履歴'!$E:$E,AD$1,'単価履歴'!$F:$F,$A14))=0,"",
MAXIFS('単価履歴'!$H:$H,'単価履歴'!$E:$E,AD$1,'単価履歴'!$F:$F,$A14,'単価履歴'!$O:$O,
MAXIFS('単価履歴'!$O:$O,'単価履歴'!$E:$E,AD$1,'単価履歴'!$F:$F,$A14)))</f>
        <v/>
      </c>
      <c r="AE14" s="256" t="str">
        <f>IF(MAXIFS('単価履歴'!$H:$H,'単価履歴'!$E:$E,AE$1,'単価履歴'!$F:$F,$A14,'単価履歴'!$O:$O,
MAXIFS('単価履歴'!$O:$O,'単価履歴'!$E:$E,AE$1,'単価履歴'!$F:$F,$A14))=0,"",
MAXIFS('単価履歴'!$H:$H,'単価履歴'!$E:$E,AE$1,'単価履歴'!$F:$F,$A14,'単価履歴'!$O:$O,
MAXIFS('単価履歴'!$O:$O,'単価履歴'!$E:$E,AE$1,'単価履歴'!$F:$F,$A14)))</f>
        <v/>
      </c>
      <c r="AF14" s="254" t="str">
        <f>IF(MAXIFS('単価履歴'!$H:$H,'単価履歴'!$E:$E,AF$1,'単価履歴'!$F:$F,$A14,'単価履歴'!$O:$O,
MAXIFS('単価履歴'!$O:$O,'単価履歴'!$E:$E,AF$1,'単価履歴'!$F:$F,$A14))=0,"",
MAXIFS('単価履歴'!$H:$H,'単価履歴'!$E:$E,AF$1,'単価履歴'!$F:$F,$A14,'単価履歴'!$O:$O,
MAXIFS('単価履歴'!$O:$O,'単価履歴'!$E:$E,AF$1,'単価履歴'!$F:$F,$A14)))</f>
        <v/>
      </c>
      <c r="AG14" s="256" t="str">
        <f>IF(MAXIFS('単価履歴'!$H:$H,'単価履歴'!$E:$E,AG$1,'単価履歴'!$F:$F,$A14,'単価履歴'!$O:$O,
MAXIFS('単価履歴'!$O:$O,'単価履歴'!$E:$E,AG$1,'単価履歴'!$F:$F,$A14))=0,"",
MAXIFS('単価履歴'!$H:$H,'単価履歴'!$E:$E,AG$1,'単価履歴'!$F:$F,$A14,'単価履歴'!$O:$O,
MAXIFS('単価履歴'!$O:$O,'単価履歴'!$E:$E,AG$1,'単価履歴'!$F:$F,$A14)))</f>
        <v/>
      </c>
      <c r="AH14" s="264" t="str">
        <f>IF(MAXIFS('単価履歴'!$H:$H,'単価履歴'!$E:$E,AH$1,'単価履歴'!$F:$F,$A14,'単価履歴'!$O:$O,
MAXIFS('単価履歴'!$O:$O,'単価履歴'!$E:$E,AH$1,'単価履歴'!$F:$F,$A14))=0,"",
MAXIFS('単価履歴'!$H:$H,'単価履歴'!$E:$E,AH$1,'単価履歴'!$F:$F,$A14,'単価履歴'!$O:$O,
MAXIFS('単価履歴'!$O:$O,'単価履歴'!$E:$E,AH$1,'単価履歴'!$F:$F,$A14)))</f>
        <v/>
      </c>
      <c r="AI14" s="256" t="str">
        <f>IF(MAXIFS('単価履歴'!$H:$H,'単価履歴'!$E:$E,AI$1,'単価履歴'!$F:$F,$A14,'単価履歴'!$O:$O,
MAXIFS('単価履歴'!$O:$O,'単価履歴'!$E:$E,AI$1,'単価履歴'!$F:$F,$A14))=0,"",
MAXIFS('単価履歴'!$H:$H,'単価履歴'!$E:$E,AI$1,'単価履歴'!$F:$F,$A14,'単価履歴'!$O:$O,
MAXIFS('単価履歴'!$O:$O,'単価履歴'!$E:$E,AI$1,'単価履歴'!$F:$F,$A14)))</f>
        <v/>
      </c>
      <c r="AJ14" s="254" t="str">
        <f>IF(MAXIFS('単価履歴'!$H:$H,'単価履歴'!$E:$E,AJ$1,'単価履歴'!$F:$F,$A14,'単価履歴'!$O:$O,
MAXIFS('単価履歴'!$O:$O,'単価履歴'!$E:$E,AJ$1,'単価履歴'!$F:$F,$A14))=0,"",
MAXIFS('単価履歴'!$H:$H,'単価履歴'!$E:$E,AJ$1,'単価履歴'!$F:$F,$A14,'単価履歴'!$O:$O,
MAXIFS('単価履歴'!$O:$O,'単価履歴'!$E:$E,AJ$1,'単価履歴'!$F:$F,$A14)))</f>
        <v/>
      </c>
      <c r="AK14" s="264" t="str">
        <f>IF(MAXIFS('単価履歴'!$H:$H,'単価履歴'!$E:$E,AK$1,'単価履歴'!$F:$F,$A14,'単価履歴'!$O:$O,
MAXIFS('単価履歴'!$O:$O,'単価履歴'!$E:$E,AK$1,'単価履歴'!$F:$F,$A14))=0,"",
MAXIFS('単価履歴'!$H:$H,'単価履歴'!$E:$E,AK$1,'単価履歴'!$F:$F,$A14,'単価履歴'!$O:$O,
MAXIFS('単価履歴'!$O:$O,'単価履歴'!$E:$E,AK$1,'単価履歴'!$F:$F,$A14)))</f>
        <v/>
      </c>
      <c r="AL14" s="256" t="str">
        <f>IF(MAXIFS('単価履歴'!$H:$H,'単価履歴'!$E:$E,AL$1,'単価履歴'!$F:$F,$A14,'単価履歴'!$O:$O,
MAXIFS('単価履歴'!$O:$O,'単価履歴'!$E:$E,AL$1,'単価履歴'!$F:$F,$A14))=0,"",
MAXIFS('単価履歴'!$H:$H,'単価履歴'!$E:$E,AL$1,'単価履歴'!$F:$F,$A14,'単価履歴'!$O:$O,
MAXIFS('単価履歴'!$O:$O,'単価履歴'!$E:$E,AL$1,'単価履歴'!$F:$F,$A14)))</f>
        <v/>
      </c>
      <c r="AM14" s="268">
        <f>IF(MAXIFS('単価履歴'!$H:$H,'単価履歴'!$E:$E,AM$1,'単価履歴'!$F:$F,$A14,'単価履歴'!$O:$O,
MAXIFS('単価履歴'!$O:$O,'単価履歴'!$E:$E,AM$1,'単価履歴'!$F:$F,$A14))=0,"",
MAXIFS('単価履歴'!$H:$H,'単価履歴'!$E:$E,AM$1,'単価履歴'!$F:$F,$A14,'単価履歴'!$O:$O,
MAXIFS('単価履歴'!$O:$O,'単価履歴'!$E:$E,AM$1,'単価履歴'!$F:$F,$A14)))</f>
        <v>54.5</v>
      </c>
      <c r="AN14" s="268" t="str">
        <f>IF(MAXIFS('単価履歴'!$H:$H,'単価履歴'!$E:$E,AN$1,'単価履歴'!$F:$F,$A14,'単価履歴'!$O:$O,
MAXIFS('単価履歴'!$O:$O,'単価履歴'!$E:$E,AN$1,'単価履歴'!$F:$F,$A14))=0,"",
MAXIFS('単価履歴'!$H:$H,'単価履歴'!$E:$E,AN$1,'単価履歴'!$F:$F,$A14,'単価履歴'!$O:$O,
MAXIFS('単価履歴'!$O:$O,'単価履歴'!$E:$E,AN$1,'単価履歴'!$F:$F,$A14)))</f>
        <v/>
      </c>
      <c r="AO14" s="251">
        <f>IF(MAXIFS('単価履歴'!$H:$H,'単価履歴'!$E:$E,AO$1,'単価履歴'!$F:$F,$A14,'単価履歴'!$O:$O,
MAXIFS('単価履歴'!$O:$O,'単価履歴'!$E:$E,AO$1,'単価履歴'!$F:$F,$A14))=0,"",
MAXIFS('単価履歴'!$H:$H,'単価履歴'!$E:$E,AO$1,'単価履歴'!$F:$F,$A14,'単価履歴'!$O:$O,
MAXIFS('単価履歴'!$O:$O,'単価履歴'!$E:$E,AO$1,'単価履歴'!$F:$F,$A14)))</f>
        <v>56.1</v>
      </c>
      <c r="AP14" s="251" t="str">
        <f>IF(MAXIFS('単価履歴'!$H:$H,'単価履歴'!$E:$E,AP$1,'単価履歴'!$F:$F,$A14,'単価履歴'!$O:$O,
MAXIFS('単価履歴'!$O:$O,'単価履歴'!$E:$E,AP$1,'単価履歴'!$F:$F,$A14))=0,"",
MAXIFS('単価履歴'!$H:$H,'単価履歴'!$E:$E,AP$1,'単価履歴'!$F:$F,$A14,'単価履歴'!$O:$O,
MAXIFS('単価履歴'!$O:$O,'単価履歴'!$E:$E,AP$1,'単価履歴'!$F:$F,$A14)))</f>
        <v/>
      </c>
      <c r="AQ14" s="254" t="str">
        <f>IF(MAXIFS('単価履歴'!$H:$H,'単価履歴'!$E:$E,AQ$1,'単価履歴'!$F:$F,$A14,'単価履歴'!$O:$O,
MAXIFS('単価履歴'!$O:$O,'単価履歴'!$E:$E,AQ$1,'単価履歴'!$F:$F,$A14))=0,"",
MAXIFS('単価履歴'!$H:$H,'単価履歴'!$E:$E,AQ$1,'単価履歴'!$F:$F,$A14,'単価履歴'!$O:$O,
MAXIFS('単価履歴'!$O:$O,'単価履歴'!$E:$E,AQ$1,'単価履歴'!$F:$F,$A14)))</f>
        <v/>
      </c>
      <c r="AR14" s="256" t="str">
        <f>IF(MAXIFS('単価履歴'!$H:$H,'単価履歴'!$E:$E,AR$1,'単価履歴'!$F:$F,$A14,'単価履歴'!$O:$O,
MAXIFS('単価履歴'!$O:$O,'単価履歴'!$E:$E,AR$1,'単価履歴'!$F:$F,$A14))=0,"",
MAXIFS('単価履歴'!$H:$H,'単価履歴'!$E:$E,AR$1,'単価履歴'!$F:$F,$A14,'単価履歴'!$O:$O,
MAXIFS('単価履歴'!$O:$O,'単価履歴'!$E:$E,AR$1,'単価履歴'!$F:$F,$A14)))</f>
        <v/>
      </c>
      <c r="AS14" s="256" t="str">
        <f>IF(MAXIFS('単価履歴'!$H:$H,'単価履歴'!$E:$E,AS$1,'単価履歴'!$F:$F,$A14,'単価履歴'!$O:$O,
MAXIFS('単価履歴'!$O:$O,'単価履歴'!$E:$E,AS$1,'単価履歴'!$F:$F,$A14))=0,"",
MAXIFS('単価履歴'!$H:$H,'単価履歴'!$E:$E,AS$1,'単価履歴'!$F:$F,$A14,'単価履歴'!$O:$O,
MAXIFS('単価履歴'!$O:$O,'単価履歴'!$E:$E,AS$1,'単価履歴'!$F:$F,$A14)))</f>
        <v/>
      </c>
      <c r="AT14" s="262">
        <f>IF(MAXIFS('単価履歴'!$H:$H,'単価履歴'!$E:$E,AT$1,'単価履歴'!$F:$F,$A14,'単価履歴'!$O:$O,
MAXIFS('単価履歴'!$O:$O,'単価履歴'!$E:$E,AT$1,'単価履歴'!$F:$F,$A14))=0,"",
MAXIFS('単価履歴'!$H:$H,'単価履歴'!$E:$E,AT$1,'単価履歴'!$F:$F,$A14,'単価履歴'!$O:$O,
MAXIFS('単価履歴'!$O:$O,'単価履歴'!$E:$E,AT$1,'単価履歴'!$F:$F,$A14)))</f>
        <v>54</v>
      </c>
      <c r="AU14" s="256" t="str">
        <f>IF(MAXIFS('単価履歴'!$H:$H,'単価履歴'!$E:$E,AU$1,'単価履歴'!$F:$F,$A14,'単価履歴'!$O:$O,
MAXIFS('単価履歴'!$O:$O,'単価履歴'!$E:$E,AU$1,'単価履歴'!$F:$F,$A14))=0,"",
MAXIFS('単価履歴'!$H:$H,'単価履歴'!$E:$E,AU$1,'単価履歴'!$F:$F,$A14,'単価履歴'!$O:$O,
MAXIFS('単価履歴'!$O:$O,'単価履歴'!$E:$E,AU$1,'単価履歴'!$F:$F,$A14)))</f>
        <v/>
      </c>
      <c r="AV14" s="262">
        <f>IF(MAXIFS('単価履歴'!$H:$H,'単価履歴'!$E:$E,AV$1,'単価履歴'!$F:$F,$A14,'単価履歴'!$O:$O,
MAXIFS('単価履歴'!$O:$O,'単価履歴'!$E:$E,AV$1,'単価履歴'!$F:$F,$A14))=0,"",
MAXIFS('単価履歴'!$H:$H,'単価履歴'!$E:$E,AV$1,'単価履歴'!$F:$F,$A14,'単価履歴'!$O:$O,
MAXIFS('単価履歴'!$O:$O,'単価履歴'!$E:$E,AV$1,'単価履歴'!$F:$F,$A14)))</f>
        <v>55</v>
      </c>
      <c r="AW14" s="266">
        <f>IF(MAXIFS('単価履歴'!$H:$H,'単価履歴'!$E:$E,AW$1,'単価履歴'!$F:$F,$A14,'単価履歴'!$O:$O,
MAXIFS('単価履歴'!$O:$O,'単価履歴'!$E:$E,AW$1,'単価履歴'!$F:$F,$A14))=0,"",
MAXIFS('単価履歴'!$H:$H,'単価履歴'!$E:$E,AW$1,'単価履歴'!$F:$F,$A14,'単価履歴'!$O:$O,
MAXIFS('単価履歴'!$O:$O,'単価履歴'!$E:$E,AW$1,'単価履歴'!$F:$F,$A14)))</f>
        <v>56</v>
      </c>
      <c r="AX14" s="262">
        <f>IF(MAXIFS('単価履歴'!$H:$H,'単価履歴'!$E:$E,AX$1,'単価履歴'!$F:$F,$A14,'単価履歴'!$O:$O,
MAXIFS('単価履歴'!$O:$O,'単価履歴'!$E:$E,AX$1,'単価履歴'!$F:$F,$A14))=0,"",
MAXIFS('単価履歴'!$H:$H,'単価履歴'!$E:$E,AX$1,'単価履歴'!$F:$F,$A14,'単価履歴'!$O:$O,
MAXIFS('単価履歴'!$O:$O,'単価履歴'!$E:$E,AX$1,'単価履歴'!$F:$F,$A14)))</f>
        <v>50.7</v>
      </c>
      <c r="AY14" s="266">
        <f>IF(MAXIFS('単価履歴'!$H:$H,'単価履歴'!$E:$E,AY$1,'単価履歴'!$F:$F,$A14,'単価履歴'!$O:$O,
MAXIFS('単価履歴'!$O:$O,'単価履歴'!$E:$E,AY$1,'単価履歴'!$F:$F,$A14))=0,"",
MAXIFS('単価履歴'!$H:$H,'単価履歴'!$E:$E,AY$1,'単価履歴'!$F:$F,$A14,'単価履歴'!$O:$O,
MAXIFS('単価履歴'!$O:$O,'単価履歴'!$E:$E,AY$1,'単価履歴'!$F:$F,$A14)))</f>
        <v>52</v>
      </c>
      <c r="AZ14" s="254" t="str">
        <f>IF(MAXIFS('単価履歴'!$H:$H,'単価履歴'!$E:$E,AZ$1,'単価履歴'!$F:$F,$A14,'単価履歴'!$O:$O,
MAXIFS('単価履歴'!$O:$O,'単価履歴'!$E:$E,AZ$1,'単価履歴'!$F:$F,$A14))=0,"",
MAXIFS('単価履歴'!$H:$H,'単価履歴'!$E:$E,AZ$1,'単価履歴'!$F:$F,$A14,'単価履歴'!$O:$O,
MAXIFS('単価履歴'!$O:$O,'単価履歴'!$E:$E,AZ$1,'単価履歴'!$F:$F,$A14)))</f>
        <v/>
      </c>
      <c r="BA14" s="266">
        <f>IF(MAXIFS('単価履歴'!$H:$H,'単価履歴'!$E:$E,BA$1,'単価履歴'!$F:$F,$A14,'単価履歴'!$O:$O,
MAXIFS('単価履歴'!$O:$O,'単価履歴'!$E:$E,BA$1,'単価履歴'!$F:$F,$A14))=0,"",
MAXIFS('単価履歴'!$H:$H,'単価履歴'!$E:$E,BA$1,'単価履歴'!$F:$F,$A14,'単価履歴'!$O:$O,
MAXIFS('単価履歴'!$O:$O,'単価履歴'!$E:$E,BA$1,'単価履歴'!$F:$F,$A14)))</f>
        <v>51</v>
      </c>
      <c r="BB14" s="256" t="str">
        <f>IF(MAXIFS('単価履歴'!$H:$H,'単価履歴'!$E:$E,BB$1,'単価履歴'!$F:$F,$A14,'単価履歴'!$O:$O,
MAXIFS('単価履歴'!$O:$O,'単価履歴'!$E:$E,BB$1,'単価履歴'!$F:$F,$A14))=0,"",
MAXIFS('単価履歴'!$H:$H,'単価履歴'!$E:$E,BB$1,'単価履歴'!$F:$F,$A14,'単価履歴'!$O:$O,
MAXIFS('単価履歴'!$O:$O,'単価履歴'!$E:$E,BB$1,'単価履歴'!$F:$F,$A14)))</f>
        <v/>
      </c>
      <c r="BC14" s="256" t="str">
        <f>IF(MAXIFS('単価履歴'!$H:$H,'単価履歴'!$E:$E,BC$1,'単価履歴'!$F:$F,$A14,'単価履歴'!$O:$O,
MAXIFS('単価履歴'!$O:$O,'単価履歴'!$E:$E,BC$1,'単価履歴'!$F:$F,$A14))=0,"",
MAXIFS('単価履歴'!$H:$H,'単価履歴'!$E:$E,BC$1,'単価履歴'!$F:$F,$A14,'単価履歴'!$O:$O,
MAXIFS('単価履歴'!$O:$O,'単価履歴'!$E:$E,BC$1,'単価履歴'!$F:$F,$A14)))</f>
        <v/>
      </c>
      <c r="BD14" s="256" t="str">
        <f>IF(MAXIFS('単価履歴'!$H:$H,'単価履歴'!$E:$E,BD$1,'単価履歴'!$F:$F,$A14,'単価履歴'!$O:$O,
MAXIFS('単価履歴'!$O:$O,'単価履歴'!$E:$E,BD$1,'単価履歴'!$F:$F,$A14))=0,"",
MAXIFS('単価履歴'!$H:$H,'単価履歴'!$E:$E,BD$1,'単価履歴'!$F:$F,$A14,'単価履歴'!$O:$O,
MAXIFS('単価履歴'!$O:$O,'単価履歴'!$E:$E,BD$1,'単価履歴'!$F:$F,$A14)))</f>
        <v/>
      </c>
      <c r="BE14" s="256" t="str">
        <f>IF(MAXIFS('単価履歴'!$H:$H,'単価履歴'!$E:$E,BE$1,'単価履歴'!$F:$F,$A14,'単価履歴'!$O:$O,
MAXIFS('単価履歴'!$O:$O,'単価履歴'!$E:$E,BE$1,'単価履歴'!$F:$F,$A14))=0,"",
MAXIFS('単価履歴'!$H:$H,'単価履歴'!$E:$E,BE$1,'単価履歴'!$F:$F,$A14,'単価履歴'!$O:$O,
MAXIFS('単価履歴'!$O:$O,'単価履歴'!$E:$E,BE$1,'単価履歴'!$F:$F,$A14)))</f>
        <v/>
      </c>
      <c r="BF14" s="263" t="str">
        <f>IF(MAXIFS('単価履歴'!$H:$H,'単価履歴'!$E:$E,BF$1,'単価履歴'!$F:$F,$A14,'単価履歴'!$O:$O,
MAXIFS('単価履歴'!$O:$O,'単価履歴'!$E:$E,BF$1,'単価履歴'!$F:$F,$A14))=0,"",
MAXIFS('単価履歴'!$H:$H,'単価履歴'!$E:$E,BF$1,'単価履歴'!$F:$F,$A14,'単価履歴'!$O:$O,
MAXIFS('単価履歴'!$O:$O,'単価履歴'!$E:$E,BF$1,'単価履歴'!$F:$F,$A14)))</f>
        <v/>
      </c>
      <c r="BG14" s="264" t="str">
        <f>IF(MAXIFS('単価履歴'!$H:$H,'単価履歴'!$E:$E,BG$1,'単価履歴'!$F:$F,$A14,'単価履歴'!$O:$O,
MAXIFS('単価履歴'!$O:$O,'単価履歴'!$E:$E,BG$1,'単価履歴'!$F:$F,$A14))=0,"",
MAXIFS('単価履歴'!$H:$H,'単価履歴'!$E:$E,BG$1,'単価履歴'!$F:$F,$A14,'単価履歴'!$O:$O,
MAXIFS('単価履歴'!$O:$O,'単価履歴'!$E:$E,BG$1,'単価履歴'!$F:$F,$A14)))</f>
        <v/>
      </c>
      <c r="BH14" s="254" t="str">
        <f>IF(MAXIFS('単価履歴'!$H:$H,'単価履歴'!$E:$E,BH$1,'単価履歴'!$F:$F,$A14,'単価履歴'!$O:$O,
MAXIFS('単価履歴'!$O:$O,'単価履歴'!$E:$E,BH$1,'単価履歴'!$F:$F,$A14))=0,"",
MAXIFS('単価履歴'!$H:$H,'単価履歴'!$E:$E,BH$1,'単価履歴'!$F:$F,$A14,'単価履歴'!$O:$O,
MAXIFS('単価履歴'!$O:$O,'単価履歴'!$E:$E,BH$1,'単価履歴'!$F:$F,$A14)))</f>
        <v/>
      </c>
      <c r="BI14" s="256" t="str">
        <f>IF(MAXIFS('単価履歴'!$H:$H,'単価履歴'!$E:$E,BI$1,'単価履歴'!$F:$F,$A14,'単価履歴'!$O:$O,
MAXIFS('単価履歴'!$O:$O,'単価履歴'!$E:$E,BI$1,'単価履歴'!$F:$F,$A14))=0,"",
MAXIFS('単価履歴'!$H:$H,'単価履歴'!$E:$E,BI$1,'単価履歴'!$F:$F,$A14,'単価履歴'!$O:$O,
MAXIFS('単価履歴'!$O:$O,'単価履歴'!$E:$E,BI$1,'単価履歴'!$F:$F,$A14)))</f>
        <v/>
      </c>
      <c r="BJ14" s="263" t="str">
        <f>IF(MAXIFS('単価履歴'!$H:$H,'単価履歴'!$E:$E,BJ$1,'単価履歴'!$F:$F,$A14,'単価履歴'!$O:$O,
MAXIFS('単価履歴'!$O:$O,'単価履歴'!$E:$E,BJ$1,'単価履歴'!$F:$F,$A14))=0,"",
MAXIFS('単価履歴'!$H:$H,'単価履歴'!$E:$E,BJ$1,'単価履歴'!$F:$F,$A14,'単価履歴'!$O:$O,
MAXIFS('単価履歴'!$O:$O,'単価履歴'!$E:$E,BJ$1,'単価履歴'!$F:$F,$A14)))</f>
        <v/>
      </c>
      <c r="BK14" s="266">
        <f>IF(MAXIFS('単価履歴'!$H:$H,'単価履歴'!$E:$E,BK$1,'単価履歴'!$F:$F,$A14,'単価履歴'!$O:$O,
MAXIFS('単価履歴'!$O:$O,'単価履歴'!$E:$E,BK$1,'単価履歴'!$F:$F,$A14))=0,"",
MAXIFS('単価履歴'!$H:$H,'単価履歴'!$E:$E,BK$1,'単価履歴'!$F:$F,$A14,'単価履歴'!$O:$O,
MAXIFS('単価履歴'!$O:$O,'単価履歴'!$E:$E,BK$1,'単価履歴'!$F:$F,$A14)))</f>
        <v>54.7</v>
      </c>
      <c r="BL14" s="256" t="str">
        <f>IF(MAXIFS('単価履歴'!$H:$H,'単価履歴'!$E:$E,BL$1,'単価履歴'!$F:$F,$A14,'単価履歴'!$O:$O,
MAXIFS('単価履歴'!$O:$O,'単価履歴'!$E:$E,BL$1,'単価履歴'!$F:$F,$A14))=0,"",
MAXIFS('単価履歴'!$H:$H,'単価履歴'!$E:$E,BL$1,'単価履歴'!$F:$F,$A14,'単価履歴'!$O:$O,
MAXIFS('単価履歴'!$O:$O,'単価履歴'!$E:$E,BL$1,'単価履歴'!$F:$F,$A14)))</f>
        <v/>
      </c>
      <c r="BM14" s="263" t="str">
        <f>IF(MAXIFS('単価履歴'!$H:$H,'単価履歴'!$E:$E,BM$1,'単価履歴'!$F:$F,$A14,'単価履歴'!$O:$O,
MAXIFS('単価履歴'!$O:$O,'単価履歴'!$E:$E,BM$1,'単価履歴'!$F:$F,$A14))=0,"",
MAXIFS('単価履歴'!$H:$H,'単価履歴'!$E:$E,BM$1,'単価履歴'!$F:$F,$A14,'単価履歴'!$O:$O,
MAXIFS('単価履歴'!$O:$O,'単価履歴'!$E:$E,BM$1,'単価履歴'!$F:$F,$A14)))</f>
        <v/>
      </c>
      <c r="BN14" s="256" t="str">
        <f>IF(MAXIFS('単価履歴'!$H:$H,'単価履歴'!$E:$E,BN$1,'単価履歴'!$F:$F,$A14,'単価履歴'!$O:$O,
MAXIFS('単価履歴'!$O:$O,'単価履歴'!$E:$E,BN$1,'単価履歴'!$F:$F,$A14))=0,"",
MAXIFS('単価履歴'!$H:$H,'単価履歴'!$E:$E,BN$1,'単価履歴'!$F:$F,$A14,'単価履歴'!$O:$O,
MAXIFS('単価履歴'!$O:$O,'単価履歴'!$E:$E,BN$1,'単価履歴'!$F:$F,$A14)))</f>
        <v/>
      </c>
      <c r="BO14" s="263" t="str">
        <f>IF(MAXIFS('単価履歴'!$H:$H,'単価履歴'!$E:$E,BO$1,'単価履歴'!$F:$F,$A14,'単価履歴'!$O:$O,
MAXIFS('単価履歴'!$O:$O,'単価履歴'!$E:$E,BO$1,'単価履歴'!$F:$F,$A14))=0,"",
MAXIFS('単価履歴'!$H:$H,'単価履歴'!$E:$E,BO$1,'単価履歴'!$F:$F,$A14,'単価履歴'!$O:$O,
MAXIFS('単価履歴'!$O:$O,'単価履歴'!$E:$E,BO$1,'単価履歴'!$F:$F,$A14)))</f>
        <v/>
      </c>
      <c r="BP14" s="250">
        <f>IF(MAXIFS('単価履歴'!$H:$H,'単価履歴'!$E:$E,BP$1,'単価履歴'!$F:$F,$A14,'単価履歴'!$O:$O,
MAXIFS('単価履歴'!$O:$O,'単価履歴'!$E:$E,BP$1,'単価履歴'!$F:$F,$A14))=0,"",
MAXIFS('単価履歴'!$H:$H,'単価履歴'!$E:$E,BP$1,'単価履歴'!$F:$F,$A14,'単価履歴'!$O:$O,
MAXIFS('単価履歴'!$O:$O,'単価履歴'!$E:$E,BP$1,'単価履歴'!$F:$F,$A14)))</f>
        <v>51</v>
      </c>
      <c r="BQ14" s="256" t="str">
        <f>IF(MAXIFS('単価履歴'!$H:$H,'単価履歴'!$E:$E,BQ$1,'単価履歴'!$F:$F,$A14,'単価履歴'!$O:$O,
MAXIFS('単価履歴'!$O:$O,'単価履歴'!$E:$E,BQ$1,'単価履歴'!$F:$F,$A14))=0,"",
MAXIFS('単価履歴'!$H:$H,'単価履歴'!$E:$E,BQ$1,'単価履歴'!$F:$F,$A14,'単価履歴'!$O:$O,
MAXIFS('単価履歴'!$O:$O,'単価履歴'!$E:$E,BQ$1,'単価履歴'!$F:$F,$A14)))</f>
        <v/>
      </c>
      <c r="BR14" s="264" t="str">
        <f>IF(MAXIFS('単価履歴'!$H:$H,'単価履歴'!$E:$E,BR$1,'単価履歴'!$F:$F,$A14,'単価履歴'!$O:$O,
MAXIFS('単価履歴'!$O:$O,'単価履歴'!$E:$E,BR$1,'単価履歴'!$F:$F,$A14))=0,"",
MAXIFS('単価履歴'!$H:$H,'単価履歴'!$E:$E,BR$1,'単価履歴'!$F:$F,$A14,'単価履歴'!$O:$O,
MAXIFS('単価履歴'!$O:$O,'単価履歴'!$E:$E,BR$1,'単価履歴'!$F:$F,$A14)))</f>
        <v/>
      </c>
      <c r="BS14" s="272">
        <f>IF(MAXIFS('単価履歴'!$H:$H,'単価履歴'!$E:$E,BS$1,'単価履歴'!$F:$F,$A14,'単価履歴'!$O:$O,
MAXIFS('単価履歴'!$O:$O,'単価履歴'!$E:$E,BS$1,'単価履歴'!$F:$F,$A14))=0,"",
MAXIFS('単価履歴'!$H:$H,'単価履歴'!$E:$E,BS$1,'単価履歴'!$F:$F,$A14,'単価履歴'!$O:$O,
MAXIFS('単価履歴'!$O:$O,'単価履歴'!$E:$E,BS$1,'単価履歴'!$F:$F,$A14)))</f>
        <v>26.8</v>
      </c>
      <c r="BT14" s="264" t="str">
        <f>IF(MAXIFS('単価履歴'!$H:$H,'単価履歴'!$E:$E,BT$1,'単価履歴'!$F:$F,$A14,'単価履歴'!$O:$O,
MAXIFS('単価履歴'!$O:$O,'単価履歴'!$E:$E,BT$1,'単価履歴'!$F:$F,$A14))=0,"",
MAXIFS('単価履歴'!$H:$H,'単価履歴'!$E:$E,BT$1,'単価履歴'!$F:$F,$A14,'単価履歴'!$O:$O,
MAXIFS('単価履歴'!$O:$O,'単価履歴'!$E:$E,BT$1,'単価履歴'!$F:$F,$A14)))</f>
        <v/>
      </c>
      <c r="BU14" s="264" t="str">
        <f>IF(MAXIFS('単価履歴'!$H:$H,'単価履歴'!$E:$E,BU$1,'単価履歴'!$F:$F,$A14,'単価履歴'!$O:$O,
MAXIFS('単価履歴'!$O:$O,'単価履歴'!$E:$E,BU$1,'単価履歴'!$F:$F,$A14))=0,"",
MAXIFS('単価履歴'!$H:$H,'単価履歴'!$E:$E,BU$1,'単価履歴'!$F:$F,$A14,'単価履歴'!$O:$O,
MAXIFS('単価履歴'!$O:$O,'単価履歴'!$E:$E,BU$1,'単価履歴'!$F:$F,$A14)))</f>
        <v/>
      </c>
      <c r="BV14" s="264" t="str">
        <f>IF(MAXIFS('単価履歴'!$H:$H,'単価履歴'!$E:$E,BV$1,'単価履歴'!$F:$F,$A14,'単価履歴'!$O:$O,
MAXIFS('単価履歴'!$O:$O,'単価履歴'!$E:$E,BV$1,'単価履歴'!$F:$F,$A14))=0,"",
MAXIFS('単価履歴'!$H:$H,'単価履歴'!$E:$E,BV$1,'単価履歴'!$F:$F,$A14,'単価履歴'!$O:$O,
MAXIFS('単価履歴'!$O:$O,'単価履歴'!$E:$E,BV$1,'単価履歴'!$F:$F,$A14)))</f>
        <v/>
      </c>
      <c r="BW14" s="263" t="str">
        <f>IF(MAXIFS('単価履歴'!$H:$H,'単価履歴'!$E:$E,BW$1,'単価履歴'!$F:$F,$A14,'単価履歴'!$O:$O,
MAXIFS('単価履歴'!$O:$O,'単価履歴'!$E:$E,BW$1,'単価履歴'!$F:$F,$A14))=0,"",
MAXIFS('単価履歴'!$H:$H,'単価履歴'!$E:$E,BW$1,'単価履歴'!$F:$F,$A14,'単価履歴'!$O:$O,
MAXIFS('単価履歴'!$O:$O,'単価履歴'!$E:$E,BW$1,'単価履歴'!$F:$F,$A14)))</f>
        <v/>
      </c>
      <c r="BX14" s="256" t="str">
        <f>IF(MAXIFS('単価履歴'!$H:$H,'単価履歴'!$E:$E,BX$1,'単価履歴'!$F:$F,$A14,'単価履歴'!$O:$O,
MAXIFS('単価履歴'!$O:$O,'単価履歴'!$E:$E,BX$1,'単価履歴'!$F:$F,$A14))=0,"",
MAXIFS('単価履歴'!$H:$H,'単価履歴'!$E:$E,BX$1,'単価履歴'!$F:$F,$A14,'単価履歴'!$O:$O,
MAXIFS('単価履歴'!$O:$O,'単価履歴'!$E:$E,BX$1,'単価履歴'!$F:$F,$A14)))</f>
        <v/>
      </c>
      <c r="BY14" s="264" t="str">
        <f>IF(MAXIFS('単価履歴'!$H:$H,'単価履歴'!$E:$E,BY$1,'単価履歴'!$F:$F,$A14,'単価履歴'!$O:$O,
MAXIFS('単価履歴'!$O:$O,'単価履歴'!$E:$E,BY$1,'単価履歴'!$F:$F,$A14))=0,"",
MAXIFS('単価履歴'!$H:$H,'単価履歴'!$E:$E,BY$1,'単価履歴'!$F:$F,$A14,'単価履歴'!$O:$O,
MAXIFS('単価履歴'!$O:$O,'単価履歴'!$E:$E,BY$1,'単価履歴'!$F:$F,$A14)))</f>
        <v/>
      </c>
      <c r="BZ14" s="256"/>
      <c r="CA14" s="256"/>
      <c r="CB14" s="256"/>
      <c r="CC14" s="256"/>
      <c r="CD14" s="256"/>
      <c r="CE14" s="256"/>
      <c r="CF14" s="256"/>
      <c r="CG14" s="256"/>
    </row>
    <row r="15">
      <c r="A15" s="245" t="s">
        <v>572</v>
      </c>
      <c r="B15" s="246"/>
      <c r="C15" s="251"/>
      <c r="D15" s="249" t="str">
        <f>IF(MAXIFS('単価履歴'!$H:$H,'単価履歴'!$E:$E,D$1,'単価履歴'!$F:$F,$A15,'単価履歴'!$O:$O,
MAXIFS('単価履歴'!$O:$O,'単価履歴'!$E:$E,D$1,'単価履歴'!$F:$F,$A15))=0,"",
MAXIFS('単価履歴'!$H:$H,'単価履歴'!$E:$E,D$1,'単価履歴'!$F:$F,$A15,'単価履歴'!$O:$O,
MAXIFS('単価履歴'!$O:$O,'単価履歴'!$E:$E,D$1,'単価履歴'!$F:$F,$A15)))</f>
        <v/>
      </c>
      <c r="E15" s="249"/>
      <c r="F15" s="249"/>
      <c r="G15" s="257">
        <f>IF(MAXIFS('単価履歴'!$H:$H,'単価履歴'!$E:$E,G$1,'単価履歴'!$F:$F,$A15,'単価履歴'!$O:$O,
MAXIFS('単価履歴'!$O:$O,'単価履歴'!$E:$E,G$1,'単価履歴'!$F:$F,$A15))=0,"",
MAXIFS('単価履歴'!$H:$H,'単価履歴'!$E:$E,G$1,'単価履歴'!$F:$F,$A15,'単価履歴'!$O:$O,
MAXIFS('単価履歴'!$O:$O,'単価履歴'!$E:$E,G$1,'単価履歴'!$F:$F,$A15)))</f>
        <v>52.7</v>
      </c>
      <c r="H15" s="249"/>
      <c r="I15" s="249"/>
      <c r="J15" s="248"/>
      <c r="K15" s="250">
        <f>IF(MAXIFS('単価履歴'!$H:$H,'単価履歴'!$E:$E,K$1,'単価履歴'!$F:$F,$A15,'単価履歴'!$O:$O,
MAXIFS('単価履歴'!$O:$O,'単価履歴'!$E:$E,K$1,'単価履歴'!$F:$F,$A15))=0,"",
MAXIFS('単価履歴'!$H:$H,'単価履歴'!$E:$E,K$1,'単価履歴'!$F:$F,$A15,'単価履歴'!$O:$O,
MAXIFS('単価履歴'!$O:$O,'単価履歴'!$E:$E,K$1,'単価履歴'!$F:$F,$A15)))</f>
        <v>53</v>
      </c>
      <c r="L15" s="250">
        <f>IF(MAXIFS('単価履歴'!$H:$H,'単価履歴'!$E:$E,L$1,'単価履歴'!$F:$F,$A15,'単価履歴'!$O:$O,
MAXIFS('単価履歴'!$O:$O,'単価履歴'!$E:$E,L$1,'単価履歴'!$F:$F,$A15))=0,"",
MAXIFS('単価履歴'!$H:$H,'単価履歴'!$E:$E,L$1,'単価履歴'!$F:$F,$A15,'単価履歴'!$O:$O,
MAXIFS('単価履歴'!$O:$O,'単価履歴'!$E:$E,L$1,'単価履歴'!$F:$F,$A15)))</f>
        <v>38.4</v>
      </c>
      <c r="M15" s="273"/>
      <c r="N15" s="250">
        <f>IF(MAXIFS('単価履歴'!$H:$H,'単価履歴'!$E:$E,N$1,'単価履歴'!$F:$F,$A15,'単価履歴'!$O:$O,
MAXIFS('単価履歴'!$O:$O,'単価履歴'!$E:$E,N$1,'単価履歴'!$F:$F,$A15))=0,"",
MAXIFS('単価履歴'!$H:$H,'単価履歴'!$E:$E,N$1,'単価履歴'!$F:$F,$A15,'単価履歴'!$O:$O,
MAXIFS('単価履歴'!$O:$O,'単価履歴'!$E:$E,N$1,'単価履歴'!$F:$F,$A15)))</f>
        <v>45.7</v>
      </c>
      <c r="O15" s="250" t="str">
        <f>IF(MAXIFS('単価履歴'!$H:$H,'単価履歴'!$E:$E,O$1,'単価履歴'!$F:$F,$A15,'単価履歴'!$O:$O,
MAXIFS('単価履歴'!$O:$O,'単価履歴'!$E:$E,O$1,'単価履歴'!$F:$F,$A15))=0,"",
MAXIFS('単価履歴'!$H:$H,'単価履歴'!$E:$E,O$1,'単価履歴'!$F:$F,$A15,'単価履歴'!$O:$O,
MAXIFS('単価履歴'!$O:$O,'単価履歴'!$E:$E,O$1,'単価履歴'!$F:$F,$A15)))</f>
        <v/>
      </c>
      <c r="P15" s="251" t="str">
        <f>IF(MAXIFS('単価履歴'!$H:$H,'単価履歴'!$E:$E,P$1,'単価履歴'!$F:$F,$A15,'単価履歴'!$O:$O,
MAXIFS('単価履歴'!$O:$O,'単価履歴'!$E:$E,P$1,'単価履歴'!$F:$F,$A15))=0,"",
MAXIFS('単価履歴'!$H:$H,'単価履歴'!$E:$E,P$1,'単価履歴'!$F:$F,$A15,'単価履歴'!$O:$O,
MAXIFS('単価履歴'!$O:$O,'単価履歴'!$E:$E,P$1,'単価履歴'!$F:$F,$A15)))</f>
        <v/>
      </c>
      <c r="Q15" s="249" t="str">
        <f>IF(MAXIFS('単価履歴'!$H:$H,'単価履歴'!$E:$E,Q$1,'単価履歴'!$F:$F,$A15,'単価履歴'!$O:$O,
MAXIFS('単価履歴'!$O:$O,'単価履歴'!$E:$E,Q$1,'単価履歴'!$F:$F,$A15))=0,"",
MAXIFS('単価履歴'!$H:$H,'単価履歴'!$E:$E,Q$1,'単価履歴'!$F:$F,$A15,'単価履歴'!$O:$O,
MAXIFS('単価履歴'!$O:$O,'単価履歴'!$E:$E,Q$1,'単価履歴'!$F:$F,$A15)))</f>
        <v/>
      </c>
      <c r="R15" s="249" t="str">
        <f>IF(MAXIFS('単価履歴'!$H:$H,'単価履歴'!$E:$E,R$1,'単価履歴'!$F:$F,$A15,'単価履歴'!$O:$O,
MAXIFS('単価履歴'!$O:$O,'単価履歴'!$E:$E,R$1,'単価履歴'!$F:$F,$A15))=0,"",
MAXIFS('単価履歴'!$H:$H,'単価履歴'!$E:$E,R$1,'単価履歴'!$F:$F,$A15,'単価履歴'!$O:$O,
MAXIFS('単価履歴'!$O:$O,'単価履歴'!$E:$E,R$1,'単価履歴'!$F:$F,$A15)))</f>
        <v/>
      </c>
      <c r="S15" s="252" t="str">
        <f>IF(MAXIFS('単価履歴'!$H:$H,'単価履歴'!$E:$E,S$1,'単価履歴'!$F:$F,$A15,'単価履歴'!$O:$O,
MAXIFS('単価履歴'!$O:$O,'単価履歴'!$E:$E,S$1,'単価履歴'!$F:$F,$A15))=0,"",
MAXIFS('単価履歴'!$H:$H,'単価履歴'!$E:$E,S$1,'単価履歴'!$F:$F,$A15,'単価履歴'!$O:$O,
MAXIFS('単価履歴'!$O:$O,'単価履歴'!$E:$E,S$1,'単価履歴'!$F:$F,$A15)))</f>
        <v/>
      </c>
      <c r="T15" s="248" t="str">
        <f>IF(MAXIFS('単価履歴'!$H:$H,'単価履歴'!$E:$E,T$1,'単価履歴'!$F:$F,$A15,'単価履歴'!$O:$O,
MAXIFS('単価履歴'!$O:$O,'単価履歴'!$E:$E,T$1,'単価履歴'!$F:$F,$A15))=0,"",
MAXIFS('単価履歴'!$H:$H,'単価履歴'!$E:$E,T$1,'単価履歴'!$F:$F,$A15,'単価履歴'!$O:$O,
MAXIFS('単価履歴'!$O:$O,'単価履歴'!$E:$E,T$1,'単価履歴'!$F:$F,$A15)))</f>
        <v/>
      </c>
      <c r="U15" s="252" t="str">
        <f>IF(MAXIFS('単価履歴'!$H:$H,'単価履歴'!$E:$E,U$1,'単価履歴'!$F:$F,$A15,'単価履歴'!$O:$O,
MAXIFS('単価履歴'!$O:$O,'単価履歴'!$E:$E,U$1,'単価履歴'!$F:$F,$A15))=0,"",
MAXIFS('単価履歴'!$H:$H,'単価履歴'!$E:$E,U$1,'単価履歴'!$F:$F,$A15,'単価履歴'!$O:$O,
MAXIFS('単価履歴'!$O:$O,'単価履歴'!$E:$E,U$1,'単価履歴'!$F:$F,$A15)))</f>
        <v/>
      </c>
      <c r="V15" s="251" t="str">
        <f>IF(MAXIFS('単価履歴'!$H:$H,'単価履歴'!$E:$E,V$1,'単価履歴'!$F:$F,$A15,'単価履歴'!$O:$O,
MAXIFS('単価履歴'!$O:$O,'単価履歴'!$E:$E,V$1,'単価履歴'!$F:$F,$A15))=0,"",
MAXIFS('単価履歴'!$H:$H,'単価履歴'!$E:$E,V$1,'単価履歴'!$F:$F,$A15,'単価履歴'!$O:$O,
MAXIFS('単価履歴'!$O:$O,'単価履歴'!$E:$E,V$1,'単価履歴'!$F:$F,$A15)))</f>
        <v/>
      </c>
      <c r="W15" s="249" t="str">
        <f>IF(MAXIFS('単価履歴'!$H:$H,'単価履歴'!$E:$E,W$1,'単価履歴'!$F:$F,$A15,'単価履歴'!$O:$O,
MAXIFS('単価履歴'!$O:$O,'単価履歴'!$E:$E,W$1,'単価履歴'!$F:$F,$A15))=0,"",
MAXIFS('単価履歴'!$H:$H,'単価履歴'!$E:$E,W$1,'単価履歴'!$F:$F,$A15,'単価履歴'!$O:$O,
MAXIFS('単価履歴'!$O:$O,'単価履歴'!$E:$E,W$1,'単価履歴'!$F:$F,$A15)))</f>
        <v/>
      </c>
      <c r="X15" s="249" t="str">
        <f>IF(MAXIFS('単価履歴'!$H:$H,'単価履歴'!$E:$E,X$1,'単価履歴'!$F:$F,$A15,'単価履歴'!$O:$O,
MAXIFS('単価履歴'!$O:$O,'単価履歴'!$E:$E,X$1,'単価履歴'!$F:$F,$A15))=0,"",
MAXIFS('単価履歴'!$H:$H,'単価履歴'!$E:$E,X$1,'単価履歴'!$F:$F,$A15,'単価履歴'!$O:$O,
MAXIFS('単価履歴'!$O:$O,'単価履歴'!$E:$E,X$1,'単価履歴'!$F:$F,$A15)))</f>
        <v/>
      </c>
      <c r="Y15" s="251" t="str">
        <f>IF(MAXIFS('単価履歴'!$H:$H,'単価履歴'!$E:$E,Y$1,'単価履歴'!$F:$F,$A15,'単価履歴'!$O:$O,
MAXIFS('単価履歴'!$O:$O,'単価履歴'!$E:$E,Y$1,'単価履歴'!$F:$F,$A15))=0,"",
MAXIFS('単価履歴'!$H:$H,'単価履歴'!$E:$E,Y$1,'単価履歴'!$F:$F,$A15,'単価履歴'!$O:$O,
MAXIFS('単価履歴'!$O:$O,'単価履歴'!$E:$E,Y$1,'単価履歴'!$F:$F,$A15)))</f>
        <v/>
      </c>
      <c r="Z15" s="252" t="str">
        <f>IF(MAXIFS('単価履歴'!$H:$H,'単価履歴'!$E:$E,Z$1,'単価履歴'!$F:$F,$A15,'単価履歴'!$O:$O,
MAXIFS('単価履歴'!$O:$O,'単価履歴'!$E:$E,Z$1,'単価履歴'!$F:$F,$A15))=0,"",
MAXIFS('単価履歴'!$H:$H,'単価履歴'!$E:$E,Z$1,'単価履歴'!$F:$F,$A15,'単価履歴'!$O:$O,
MAXIFS('単価履歴'!$O:$O,'単価履歴'!$E:$E,Z$1,'単価履歴'!$F:$F,$A15)))</f>
        <v/>
      </c>
      <c r="AA15" s="249" t="str">
        <f>IF(MAXIFS('単価履歴'!$H:$H,'単価履歴'!$E:$E,AA$1,'単価履歴'!$F:$F,$A15,'単価履歴'!$O:$O,
MAXIFS('単価履歴'!$O:$O,'単価履歴'!$E:$E,AA$1,'単価履歴'!$F:$F,$A15))=0,"",
MAXIFS('単価履歴'!$H:$H,'単価履歴'!$E:$E,AA$1,'単価履歴'!$F:$F,$A15,'単価履歴'!$O:$O,
MAXIFS('単価履歴'!$O:$O,'単価履歴'!$E:$E,AA$1,'単価履歴'!$F:$F,$A15)))</f>
        <v/>
      </c>
      <c r="AB15" s="249" t="str">
        <f>IF(MAXIFS('単価履歴'!$H:$H,'単価履歴'!$E:$E,AB$1,'単価履歴'!$F:$F,$A15,'単価履歴'!$O:$O,
MAXIFS('単価履歴'!$O:$O,'単価履歴'!$E:$E,AB$1,'単価履歴'!$F:$F,$A15))=0,"",
MAXIFS('単価履歴'!$H:$H,'単価履歴'!$E:$E,AB$1,'単価履歴'!$F:$F,$A15,'単価履歴'!$O:$O,
MAXIFS('単価履歴'!$O:$O,'単価履歴'!$E:$E,AB$1,'単価履歴'!$F:$F,$A15)))</f>
        <v/>
      </c>
      <c r="AC15" s="251" t="str">
        <f>IF(MAXIFS('単価履歴'!$H:$H,'単価履歴'!$E:$E,AC$1,'単価履歴'!$F:$F,$A15,'単価履歴'!$O:$O,
MAXIFS('単価履歴'!$O:$O,'単価履歴'!$E:$E,AC$1,'単価履歴'!$F:$F,$A15))=0,"",
MAXIFS('単価履歴'!$H:$H,'単価履歴'!$E:$E,AC$1,'単価履歴'!$F:$F,$A15,'単価履歴'!$O:$O,
MAXIFS('単価履歴'!$O:$O,'単価履歴'!$E:$E,AC$1,'単価履歴'!$F:$F,$A15)))</f>
        <v/>
      </c>
      <c r="AD15" s="249" t="str">
        <f>IF(MAXIFS('単価履歴'!$H:$H,'単価履歴'!$E:$E,AD$1,'単価履歴'!$F:$F,$A15,'単価履歴'!$O:$O,
MAXIFS('単価履歴'!$O:$O,'単価履歴'!$E:$E,AD$1,'単価履歴'!$F:$F,$A15))=0,"",
MAXIFS('単価履歴'!$H:$H,'単価履歴'!$E:$E,AD$1,'単価履歴'!$F:$F,$A15,'単価履歴'!$O:$O,
MAXIFS('単価履歴'!$O:$O,'単価履歴'!$E:$E,AD$1,'単価履歴'!$F:$F,$A15)))</f>
        <v/>
      </c>
      <c r="AE15" s="249" t="str">
        <f>IF(MAXIFS('単価履歴'!$H:$H,'単価履歴'!$E:$E,AE$1,'単価履歴'!$F:$F,$A15,'単価履歴'!$O:$O,
MAXIFS('単価履歴'!$O:$O,'単価履歴'!$E:$E,AE$1,'単価履歴'!$F:$F,$A15))=0,"",
MAXIFS('単価履歴'!$H:$H,'単価履歴'!$E:$E,AE$1,'単価履歴'!$F:$F,$A15,'単価履歴'!$O:$O,
MAXIFS('単価履歴'!$O:$O,'単価履歴'!$E:$E,AE$1,'単価履歴'!$F:$F,$A15)))</f>
        <v/>
      </c>
      <c r="AF15" s="251" t="str">
        <f>IF(MAXIFS('単価履歴'!$H:$H,'単価履歴'!$E:$E,AF$1,'単価履歴'!$F:$F,$A15,'単価履歴'!$O:$O,
MAXIFS('単価履歴'!$O:$O,'単価履歴'!$E:$E,AF$1,'単価履歴'!$F:$F,$A15))=0,"",
MAXIFS('単価履歴'!$H:$H,'単価履歴'!$E:$E,AF$1,'単価履歴'!$F:$F,$A15,'単価履歴'!$O:$O,
MAXIFS('単価履歴'!$O:$O,'単価履歴'!$E:$E,AF$1,'単価履歴'!$F:$F,$A15)))</f>
        <v/>
      </c>
      <c r="AG15" s="249" t="str">
        <f>IF(MAXIFS('単価履歴'!$H:$H,'単価履歴'!$E:$E,AG$1,'単価履歴'!$F:$F,$A15,'単価履歴'!$O:$O,
MAXIFS('単価履歴'!$O:$O,'単価履歴'!$E:$E,AG$1,'単価履歴'!$F:$F,$A15))=0,"",
MAXIFS('単価履歴'!$H:$H,'単価履歴'!$E:$E,AG$1,'単価履歴'!$F:$F,$A15,'単価履歴'!$O:$O,
MAXIFS('単価履歴'!$O:$O,'単価履歴'!$E:$E,AG$1,'単価履歴'!$F:$F,$A15)))</f>
        <v/>
      </c>
      <c r="AH15" s="252" t="str">
        <f>IF(MAXIFS('単価履歴'!$H:$H,'単価履歴'!$E:$E,AH$1,'単価履歴'!$F:$F,$A15,'単価履歴'!$O:$O,
MAXIFS('単価履歴'!$O:$O,'単価履歴'!$E:$E,AH$1,'単価履歴'!$F:$F,$A15))=0,"",
MAXIFS('単価履歴'!$H:$H,'単価履歴'!$E:$E,AH$1,'単価履歴'!$F:$F,$A15,'単価履歴'!$O:$O,
MAXIFS('単価履歴'!$O:$O,'単価履歴'!$E:$E,AH$1,'単価履歴'!$F:$F,$A15)))</f>
        <v/>
      </c>
      <c r="AI15" s="249" t="str">
        <f>IF(MAXIFS('単価履歴'!$H:$H,'単価履歴'!$E:$E,AI$1,'単価履歴'!$F:$F,$A15,'単価履歴'!$O:$O,
MAXIFS('単価履歴'!$O:$O,'単価履歴'!$E:$E,AI$1,'単価履歴'!$F:$F,$A15))=0,"",
MAXIFS('単価履歴'!$H:$H,'単価履歴'!$E:$E,AI$1,'単価履歴'!$F:$F,$A15,'単価履歴'!$O:$O,
MAXIFS('単価履歴'!$O:$O,'単価履歴'!$E:$E,AI$1,'単価履歴'!$F:$F,$A15)))</f>
        <v/>
      </c>
      <c r="AJ15" s="251" t="str">
        <f>IF(MAXIFS('単価履歴'!$H:$H,'単価履歴'!$E:$E,AJ$1,'単価履歴'!$F:$F,$A15,'単価履歴'!$O:$O,
MAXIFS('単価履歴'!$O:$O,'単価履歴'!$E:$E,AJ$1,'単価履歴'!$F:$F,$A15))=0,"",
MAXIFS('単価履歴'!$H:$H,'単価履歴'!$E:$E,AJ$1,'単価履歴'!$F:$F,$A15,'単価履歴'!$O:$O,
MAXIFS('単価履歴'!$O:$O,'単価履歴'!$E:$E,AJ$1,'単価履歴'!$F:$F,$A15)))</f>
        <v/>
      </c>
      <c r="AK15" s="252" t="str">
        <f>IF(MAXIFS('単価履歴'!$H:$H,'単価履歴'!$E:$E,AK$1,'単価履歴'!$F:$F,$A15,'単価履歴'!$O:$O,
MAXIFS('単価履歴'!$O:$O,'単価履歴'!$E:$E,AK$1,'単価履歴'!$F:$F,$A15))=0,"",
MAXIFS('単価履歴'!$H:$H,'単価履歴'!$E:$E,AK$1,'単価履歴'!$F:$F,$A15,'単価履歴'!$O:$O,
MAXIFS('単価履歴'!$O:$O,'単価履歴'!$E:$E,AK$1,'単価履歴'!$F:$F,$A15)))</f>
        <v/>
      </c>
      <c r="AL15" s="249" t="str">
        <f>IF(MAXIFS('単価履歴'!$H:$H,'単価履歴'!$E:$E,AL$1,'単価履歴'!$F:$F,$A15,'単価履歴'!$O:$O,
MAXIFS('単価履歴'!$O:$O,'単価履歴'!$E:$E,AL$1,'単価履歴'!$F:$F,$A15))=0,"",
MAXIFS('単価履歴'!$H:$H,'単価履歴'!$E:$E,AL$1,'単価履歴'!$F:$F,$A15,'単価履歴'!$O:$O,
MAXIFS('単価履歴'!$O:$O,'単価履歴'!$E:$E,AL$1,'単価履歴'!$F:$F,$A15)))</f>
        <v/>
      </c>
      <c r="AM15" s="248" t="str">
        <f>IF(MAXIFS('単価履歴'!$H:$H,'単価履歴'!$E:$E,AM$1,'単価履歴'!$F:$F,$A15,'単価履歴'!$O:$O,
MAXIFS('単価履歴'!$O:$O,'単価履歴'!$E:$E,AM$1,'単価履歴'!$F:$F,$A15))=0,"",
MAXIFS('単価履歴'!$H:$H,'単価履歴'!$E:$E,AM$1,'単価履歴'!$F:$F,$A15,'単価履歴'!$O:$O,
MAXIFS('単価履歴'!$O:$O,'単価履歴'!$E:$E,AM$1,'単価履歴'!$F:$F,$A15)))</f>
        <v/>
      </c>
      <c r="AN15" s="248" t="str">
        <f>IF(MAXIFS('単価履歴'!$H:$H,'単価履歴'!$E:$E,AN$1,'単価履歴'!$F:$F,$A15,'単価履歴'!$O:$O,
MAXIFS('単価履歴'!$O:$O,'単価履歴'!$E:$E,AN$1,'単価履歴'!$F:$F,$A15))=0,"",
MAXIFS('単価履歴'!$H:$H,'単価履歴'!$E:$E,AN$1,'単価履歴'!$F:$F,$A15,'単価履歴'!$O:$O,
MAXIFS('単価履歴'!$O:$O,'単価履歴'!$E:$E,AN$1,'単価履歴'!$F:$F,$A15)))</f>
        <v/>
      </c>
      <c r="AO15" s="249" t="str">
        <f>IF(MAXIFS('単価履歴'!$H:$H,'単価履歴'!$E:$E,AO$1,'単価履歴'!$F:$F,$A15,'単価履歴'!$O:$O,
MAXIFS('単価履歴'!$O:$O,'単価履歴'!$E:$E,AO$1,'単価履歴'!$F:$F,$A15))=0,"",
MAXIFS('単価履歴'!$H:$H,'単価履歴'!$E:$E,AO$1,'単価履歴'!$F:$F,$A15,'単価履歴'!$O:$O,
MAXIFS('単価履歴'!$O:$O,'単価履歴'!$E:$E,AO$1,'単価履歴'!$F:$F,$A15)))</f>
        <v/>
      </c>
      <c r="AP15" s="251" t="str">
        <f>IF(MAXIFS('単価履歴'!$H:$H,'単価履歴'!$E:$E,AP$1,'単価履歴'!$F:$F,$A15,'単価履歴'!$O:$O,
MAXIFS('単価履歴'!$O:$O,'単価履歴'!$E:$E,AP$1,'単価履歴'!$F:$F,$A15))=0,"",
MAXIFS('単価履歴'!$H:$H,'単価履歴'!$E:$E,AP$1,'単価履歴'!$F:$F,$A15,'単価履歴'!$O:$O,
MAXIFS('単価履歴'!$O:$O,'単価履歴'!$E:$E,AP$1,'単価履歴'!$F:$F,$A15)))</f>
        <v/>
      </c>
      <c r="AQ15" s="251" t="str">
        <f>IF(MAXIFS('単価履歴'!$H:$H,'単価履歴'!$E:$E,AQ$1,'単価履歴'!$F:$F,$A15,'単価履歴'!$O:$O,
MAXIFS('単価履歴'!$O:$O,'単価履歴'!$E:$E,AQ$1,'単価履歴'!$F:$F,$A15))=0,"",
MAXIFS('単価履歴'!$H:$H,'単価履歴'!$E:$E,AQ$1,'単価履歴'!$F:$F,$A15,'単価履歴'!$O:$O,
MAXIFS('単価履歴'!$O:$O,'単価履歴'!$E:$E,AQ$1,'単価履歴'!$F:$F,$A15)))</f>
        <v/>
      </c>
      <c r="AR15" s="249" t="str">
        <f>IF(MAXIFS('単価履歴'!$H:$H,'単価履歴'!$E:$E,AR$1,'単価履歴'!$F:$F,$A15,'単価履歴'!$O:$O,
MAXIFS('単価履歴'!$O:$O,'単価履歴'!$E:$E,AR$1,'単価履歴'!$F:$F,$A15))=0,"",
MAXIFS('単価履歴'!$H:$H,'単価履歴'!$E:$E,AR$1,'単価履歴'!$F:$F,$A15,'単価履歴'!$O:$O,
MAXIFS('単価履歴'!$O:$O,'単価履歴'!$E:$E,AR$1,'単価履歴'!$F:$F,$A15)))</f>
        <v/>
      </c>
      <c r="AS15" s="249" t="str">
        <f>IF(MAXIFS('単価履歴'!$H:$H,'単価履歴'!$E:$E,AS$1,'単価履歴'!$F:$F,$A15,'単価履歴'!$O:$O,
MAXIFS('単価履歴'!$O:$O,'単価履歴'!$E:$E,AS$1,'単価履歴'!$F:$F,$A15))=0,"",
MAXIFS('単価履歴'!$H:$H,'単価履歴'!$E:$E,AS$1,'単価履歴'!$F:$F,$A15,'単価履歴'!$O:$O,
MAXIFS('単価履歴'!$O:$O,'単価履歴'!$E:$E,AS$1,'単価履歴'!$F:$F,$A15)))</f>
        <v/>
      </c>
      <c r="AT15" s="251" t="str">
        <f>IF(MAXIFS('単価履歴'!$H:$H,'単価履歴'!$E:$E,AT$1,'単価履歴'!$F:$F,$A15,'単価履歴'!$O:$O,
MAXIFS('単価履歴'!$O:$O,'単価履歴'!$E:$E,AT$1,'単価履歴'!$F:$F,$A15))=0,"",
MAXIFS('単価履歴'!$H:$H,'単価履歴'!$E:$E,AT$1,'単価履歴'!$F:$F,$A15,'単価履歴'!$O:$O,
MAXIFS('単価履歴'!$O:$O,'単価履歴'!$E:$E,AT$1,'単価履歴'!$F:$F,$A15)))</f>
        <v/>
      </c>
      <c r="AU15" s="249" t="str">
        <f>IF(MAXIFS('単価履歴'!$H:$H,'単価履歴'!$E:$E,AU$1,'単価履歴'!$F:$F,$A15,'単価履歴'!$O:$O,
MAXIFS('単価履歴'!$O:$O,'単価履歴'!$E:$E,AU$1,'単価履歴'!$F:$F,$A15))=0,"",
MAXIFS('単価履歴'!$H:$H,'単価履歴'!$E:$E,AU$1,'単価履歴'!$F:$F,$A15,'単価履歴'!$O:$O,
MAXIFS('単価履歴'!$O:$O,'単価履歴'!$E:$E,AU$1,'単価履歴'!$F:$F,$A15)))</f>
        <v/>
      </c>
      <c r="AV15" s="251" t="str">
        <f>IF(MAXIFS('単価履歴'!$H:$H,'単価履歴'!$E:$E,AV$1,'単価履歴'!$F:$F,$A15,'単価履歴'!$O:$O,
MAXIFS('単価履歴'!$O:$O,'単価履歴'!$E:$E,AV$1,'単価履歴'!$F:$F,$A15))=0,"",
MAXIFS('単価履歴'!$H:$H,'単価履歴'!$E:$E,AV$1,'単価履歴'!$F:$F,$A15,'単価履歴'!$O:$O,
MAXIFS('単価履歴'!$O:$O,'単価履歴'!$E:$E,AV$1,'単価履歴'!$F:$F,$A15)))</f>
        <v/>
      </c>
      <c r="AW15" s="252" t="str">
        <f>IF(MAXIFS('単価履歴'!$H:$H,'単価履歴'!$E:$E,AW$1,'単価履歴'!$F:$F,$A15,'単価履歴'!$O:$O,
MAXIFS('単価履歴'!$O:$O,'単価履歴'!$E:$E,AW$1,'単価履歴'!$F:$F,$A15))=0,"",
MAXIFS('単価履歴'!$H:$H,'単価履歴'!$E:$E,AW$1,'単価履歴'!$F:$F,$A15,'単価履歴'!$O:$O,
MAXIFS('単価履歴'!$O:$O,'単価履歴'!$E:$E,AW$1,'単価履歴'!$F:$F,$A15)))</f>
        <v/>
      </c>
      <c r="AX15" s="251" t="str">
        <f>IF(MAXIFS('単価履歴'!$H:$H,'単価履歴'!$E:$E,AX$1,'単価履歴'!$F:$F,$A15,'単価履歴'!$O:$O,
MAXIFS('単価履歴'!$O:$O,'単価履歴'!$E:$E,AX$1,'単価履歴'!$F:$F,$A15))=0,"",
MAXIFS('単価履歴'!$H:$H,'単価履歴'!$E:$E,AX$1,'単価履歴'!$F:$F,$A15,'単価履歴'!$O:$O,
MAXIFS('単価履歴'!$O:$O,'単価履歴'!$E:$E,AX$1,'単価履歴'!$F:$F,$A15)))</f>
        <v/>
      </c>
      <c r="AY15" s="252" t="str">
        <f>IF(MAXIFS('単価履歴'!$H:$H,'単価履歴'!$E:$E,AY$1,'単価履歴'!$F:$F,$A15,'単価履歴'!$O:$O,
MAXIFS('単価履歴'!$O:$O,'単価履歴'!$E:$E,AY$1,'単価履歴'!$F:$F,$A15))=0,"",
MAXIFS('単価履歴'!$H:$H,'単価履歴'!$E:$E,AY$1,'単価履歴'!$F:$F,$A15,'単価履歴'!$O:$O,
MAXIFS('単価履歴'!$O:$O,'単価履歴'!$E:$E,AY$1,'単価履歴'!$F:$F,$A15)))</f>
        <v/>
      </c>
      <c r="AZ15" s="247">
        <f>IF(MAXIFS('単価履歴'!$H:$H,'単価履歴'!$E:$E,AZ$1,'単価履歴'!$F:$F,$A15,'単価履歴'!$O:$O,
MAXIFS('単価履歴'!$O:$O,'単価履歴'!$E:$E,AZ$1,'単価履歴'!$F:$F,$A15))=0,"",
MAXIFS('単価履歴'!$H:$H,'単価履歴'!$E:$E,AZ$1,'単価履歴'!$F:$F,$A15,'単価履歴'!$O:$O,
MAXIFS('単価履歴'!$O:$O,'単価履歴'!$E:$E,AZ$1,'単価履歴'!$F:$F,$A15)))</f>
        <v>52</v>
      </c>
      <c r="BA15" s="252">
        <f>IF(MAXIFS('単価履歴'!$H:$H,'単価履歴'!$E:$E,BA$1,'単価履歴'!$F:$F,$A15,'単価履歴'!$O:$O,
MAXIFS('単価履歴'!$O:$O,'単価履歴'!$E:$E,BA$1,'単価履歴'!$F:$F,$A15))=0,"",
MAXIFS('単価履歴'!$H:$H,'単価履歴'!$E:$E,BA$1,'単価履歴'!$F:$F,$A15,'単価履歴'!$O:$O,
MAXIFS('単価履歴'!$O:$O,'単価履歴'!$E:$E,BA$1,'単価履歴'!$F:$F,$A15)))</f>
        <v>2.5</v>
      </c>
      <c r="BB15" s="249" t="str">
        <f>IF(MAXIFS('単価履歴'!$H:$H,'単価履歴'!$E:$E,BB$1,'単価履歴'!$F:$F,$A15,'単価履歴'!$O:$O,
MAXIFS('単価履歴'!$O:$O,'単価履歴'!$E:$E,BB$1,'単価履歴'!$F:$F,$A15))=0,"",
MAXIFS('単価履歴'!$H:$H,'単価履歴'!$E:$E,BB$1,'単価履歴'!$F:$F,$A15,'単価履歴'!$O:$O,
MAXIFS('単価履歴'!$O:$O,'単価履歴'!$E:$E,BB$1,'単価履歴'!$F:$F,$A15)))</f>
        <v/>
      </c>
      <c r="BC15" s="249" t="str">
        <f>IF(MAXIFS('単価履歴'!$H:$H,'単価履歴'!$E:$E,BC$1,'単価履歴'!$F:$F,$A15,'単価履歴'!$O:$O,
MAXIFS('単価履歴'!$O:$O,'単価履歴'!$E:$E,BC$1,'単価履歴'!$F:$F,$A15))=0,"",
MAXIFS('単価履歴'!$H:$H,'単価履歴'!$E:$E,BC$1,'単価履歴'!$F:$F,$A15,'単価履歴'!$O:$O,
MAXIFS('単価履歴'!$O:$O,'単価履歴'!$E:$E,BC$1,'単価履歴'!$F:$F,$A15)))</f>
        <v/>
      </c>
      <c r="BD15" s="249" t="str">
        <f>IF(MAXIFS('単価履歴'!$H:$H,'単価履歴'!$E:$E,BD$1,'単価履歴'!$F:$F,$A15,'単価履歴'!$O:$O,
MAXIFS('単価履歴'!$O:$O,'単価履歴'!$E:$E,BD$1,'単価履歴'!$F:$F,$A15))=0,"",
MAXIFS('単価履歴'!$H:$H,'単価履歴'!$E:$E,BD$1,'単価履歴'!$F:$F,$A15,'単価履歴'!$O:$O,
MAXIFS('単価履歴'!$O:$O,'単価履歴'!$E:$E,BD$1,'単価履歴'!$F:$F,$A15)))</f>
        <v/>
      </c>
      <c r="BE15" s="249" t="str">
        <f>IF(MAXIFS('単価履歴'!$H:$H,'単価履歴'!$E:$E,BE$1,'単価履歴'!$F:$F,$A15,'単価履歴'!$O:$O,
MAXIFS('単価履歴'!$O:$O,'単価履歴'!$E:$E,BE$1,'単価履歴'!$F:$F,$A15))=0,"",
MAXIFS('単価履歴'!$H:$H,'単価履歴'!$E:$E,BE$1,'単価履歴'!$F:$F,$A15,'単価履歴'!$O:$O,
MAXIFS('単価履歴'!$O:$O,'単価履歴'!$E:$E,BE$1,'単価履歴'!$F:$F,$A15)))</f>
        <v/>
      </c>
      <c r="BF15" s="248" t="str">
        <f>IF(MAXIFS('単価履歴'!$H:$H,'単価履歴'!$E:$E,BF$1,'単価履歴'!$F:$F,$A15,'単価履歴'!$O:$O,
MAXIFS('単価履歴'!$O:$O,'単価履歴'!$E:$E,BF$1,'単価履歴'!$F:$F,$A15))=0,"",
MAXIFS('単価履歴'!$H:$H,'単価履歴'!$E:$E,BF$1,'単価履歴'!$F:$F,$A15,'単価履歴'!$O:$O,
MAXIFS('単価履歴'!$O:$O,'単価履歴'!$E:$E,BF$1,'単価履歴'!$F:$F,$A15)))</f>
        <v/>
      </c>
      <c r="BG15" s="252" t="str">
        <f>IF(MAXIFS('単価履歴'!$H:$H,'単価履歴'!$E:$E,BG$1,'単価履歴'!$F:$F,$A15,'単価履歴'!$O:$O,
MAXIFS('単価履歴'!$O:$O,'単価履歴'!$E:$E,BG$1,'単価履歴'!$F:$F,$A15))=0,"",
MAXIFS('単価履歴'!$H:$H,'単価履歴'!$E:$E,BG$1,'単価履歴'!$F:$F,$A15,'単価履歴'!$O:$O,
MAXIFS('単価履歴'!$O:$O,'単価履歴'!$E:$E,BG$1,'単価履歴'!$F:$F,$A15)))</f>
        <v/>
      </c>
      <c r="BH15" s="251" t="str">
        <f>IF(MAXIFS('単価履歴'!$H:$H,'単価履歴'!$E:$E,BH$1,'単価履歴'!$F:$F,$A15,'単価履歴'!$O:$O,
MAXIFS('単価履歴'!$O:$O,'単価履歴'!$E:$E,BH$1,'単価履歴'!$F:$F,$A15))=0,"",
MAXIFS('単価履歴'!$H:$H,'単価履歴'!$E:$E,BH$1,'単価履歴'!$F:$F,$A15,'単価履歴'!$O:$O,
MAXIFS('単価履歴'!$O:$O,'単価履歴'!$E:$E,BH$1,'単価履歴'!$F:$F,$A15)))</f>
        <v/>
      </c>
      <c r="BI15" s="249" t="str">
        <f>IF(MAXIFS('単価履歴'!$H:$H,'単価履歴'!$E:$E,BI$1,'単価履歴'!$F:$F,$A15,'単価履歴'!$O:$O,
MAXIFS('単価履歴'!$O:$O,'単価履歴'!$E:$E,BI$1,'単価履歴'!$F:$F,$A15))=0,"",
MAXIFS('単価履歴'!$H:$H,'単価履歴'!$E:$E,BI$1,'単価履歴'!$F:$F,$A15,'単価履歴'!$O:$O,
MAXIFS('単価履歴'!$O:$O,'単価履歴'!$E:$E,BI$1,'単価履歴'!$F:$F,$A15)))</f>
        <v/>
      </c>
      <c r="BJ15" s="248" t="str">
        <f>IF(MAXIFS('単価履歴'!$H:$H,'単価履歴'!$E:$E,BJ$1,'単価履歴'!$F:$F,$A15,'単価履歴'!$O:$O,
MAXIFS('単価履歴'!$O:$O,'単価履歴'!$E:$E,BJ$1,'単価履歴'!$F:$F,$A15))=0,"",
MAXIFS('単価履歴'!$H:$H,'単価履歴'!$E:$E,BJ$1,'単価履歴'!$F:$F,$A15,'単価履歴'!$O:$O,
MAXIFS('単価履歴'!$O:$O,'単価履歴'!$E:$E,BJ$1,'単価履歴'!$F:$F,$A15)))</f>
        <v/>
      </c>
      <c r="BK15" s="252" t="str">
        <f>IF(MAXIFS('単価履歴'!$H:$H,'単価履歴'!$E:$E,BK$1,'単価履歴'!$F:$F,$A15,'単価履歴'!$O:$O,
MAXIFS('単価履歴'!$O:$O,'単価履歴'!$E:$E,BK$1,'単価履歴'!$F:$F,$A15))=0,"",
MAXIFS('単価履歴'!$H:$H,'単価履歴'!$E:$E,BK$1,'単価履歴'!$F:$F,$A15,'単価履歴'!$O:$O,
MAXIFS('単価履歴'!$O:$O,'単価履歴'!$E:$E,BK$1,'単価履歴'!$F:$F,$A15)))</f>
        <v/>
      </c>
      <c r="BL15" s="249" t="str">
        <f>IF(MAXIFS('単価履歴'!$H:$H,'単価履歴'!$E:$E,BL$1,'単価履歴'!$F:$F,$A15,'単価履歴'!$O:$O,
MAXIFS('単価履歴'!$O:$O,'単価履歴'!$E:$E,BL$1,'単価履歴'!$F:$F,$A15))=0,"",
MAXIFS('単価履歴'!$H:$H,'単価履歴'!$E:$E,BL$1,'単価履歴'!$F:$F,$A15,'単価履歴'!$O:$O,
MAXIFS('単価履歴'!$O:$O,'単価履歴'!$E:$E,BL$1,'単価履歴'!$F:$F,$A15)))</f>
        <v/>
      </c>
      <c r="BM15" s="248" t="str">
        <f>IF(MAXIFS('単価履歴'!$H:$H,'単価履歴'!$E:$E,BM$1,'単価履歴'!$F:$F,$A15,'単価履歴'!$O:$O,
MAXIFS('単価履歴'!$O:$O,'単価履歴'!$E:$E,BM$1,'単価履歴'!$F:$F,$A15))=0,"",
MAXIFS('単価履歴'!$H:$H,'単価履歴'!$E:$E,BM$1,'単価履歴'!$F:$F,$A15,'単価履歴'!$O:$O,
MAXIFS('単価履歴'!$O:$O,'単価履歴'!$E:$E,BM$1,'単価履歴'!$F:$F,$A15)))</f>
        <v/>
      </c>
      <c r="BN15" s="249" t="str">
        <f>IF(MAXIFS('単価履歴'!$H:$H,'単価履歴'!$E:$E,BN$1,'単価履歴'!$F:$F,$A15,'単価履歴'!$O:$O,
MAXIFS('単価履歴'!$O:$O,'単価履歴'!$E:$E,BN$1,'単価履歴'!$F:$F,$A15))=0,"",
MAXIFS('単価履歴'!$H:$H,'単価履歴'!$E:$E,BN$1,'単価履歴'!$F:$F,$A15,'単価履歴'!$O:$O,
MAXIFS('単価履歴'!$O:$O,'単価履歴'!$E:$E,BN$1,'単価履歴'!$F:$F,$A15)))</f>
        <v/>
      </c>
      <c r="BO15" s="248" t="str">
        <f>IF(MAXIFS('単価履歴'!$H:$H,'単価履歴'!$E:$E,BO$1,'単価履歴'!$F:$F,$A15,'単価履歴'!$O:$O,
MAXIFS('単価履歴'!$O:$O,'単価履歴'!$E:$E,BO$1,'単価履歴'!$F:$F,$A15))=0,"",
MAXIFS('単価履歴'!$H:$H,'単価履歴'!$E:$E,BO$1,'単価履歴'!$F:$F,$A15,'単価履歴'!$O:$O,
MAXIFS('単価履歴'!$O:$O,'単価履歴'!$E:$E,BO$1,'単価履歴'!$F:$F,$A15)))</f>
        <v/>
      </c>
      <c r="BP15" s="249" t="str">
        <f>IF(MAXIFS('単価履歴'!$H:$H,'単価履歴'!$E:$E,BP$1,'単価履歴'!$F:$F,$A15,'単価履歴'!$O:$O,
MAXIFS('単価履歴'!$O:$O,'単価履歴'!$E:$E,BP$1,'単価履歴'!$F:$F,$A15))=0,"",
MAXIFS('単価履歴'!$H:$H,'単価履歴'!$E:$E,BP$1,'単価履歴'!$F:$F,$A15,'単価履歴'!$O:$O,
MAXIFS('単価履歴'!$O:$O,'単価履歴'!$E:$E,BP$1,'単価履歴'!$F:$F,$A15)))</f>
        <v/>
      </c>
      <c r="BQ15" s="249" t="str">
        <f>IF(MAXIFS('単価履歴'!$H:$H,'単価履歴'!$E:$E,BQ$1,'単価履歴'!$F:$F,$A15,'単価履歴'!$O:$O,
MAXIFS('単価履歴'!$O:$O,'単価履歴'!$E:$E,BQ$1,'単価履歴'!$F:$F,$A15))=0,"",
MAXIFS('単価履歴'!$H:$H,'単価履歴'!$E:$E,BQ$1,'単価履歴'!$F:$F,$A15,'単価履歴'!$O:$O,
MAXIFS('単価履歴'!$O:$O,'単価履歴'!$E:$E,BQ$1,'単価履歴'!$F:$F,$A15)))</f>
        <v/>
      </c>
      <c r="BR15" s="252" t="str">
        <f>IF(MAXIFS('単価履歴'!$H:$H,'単価履歴'!$E:$E,BR$1,'単価履歴'!$F:$F,$A15,'単価履歴'!$O:$O,
MAXIFS('単価履歴'!$O:$O,'単価履歴'!$E:$E,BR$1,'単価履歴'!$F:$F,$A15))=0,"",
MAXIFS('単価履歴'!$H:$H,'単価履歴'!$E:$E,BR$1,'単価履歴'!$F:$F,$A15,'単価履歴'!$O:$O,
MAXIFS('単価履歴'!$O:$O,'単価履歴'!$E:$E,BR$1,'単価履歴'!$F:$F,$A15)))</f>
        <v/>
      </c>
      <c r="BS15" s="252" t="str">
        <f>IF(MAXIFS('単価履歴'!$H:$H,'単価履歴'!$E:$E,BS$1,'単価履歴'!$F:$F,$A15,'単価履歴'!$O:$O,
MAXIFS('単価履歴'!$O:$O,'単価履歴'!$E:$E,BS$1,'単価履歴'!$F:$F,$A15))=0,"",
MAXIFS('単価履歴'!$H:$H,'単価履歴'!$E:$E,BS$1,'単価履歴'!$F:$F,$A15,'単価履歴'!$O:$O,
MAXIFS('単価履歴'!$O:$O,'単価履歴'!$E:$E,BS$1,'単価履歴'!$F:$F,$A15)))</f>
        <v/>
      </c>
      <c r="BT15" s="252" t="str">
        <f>IF(MAXIFS('単価履歴'!$H:$H,'単価履歴'!$E:$E,BT$1,'単価履歴'!$F:$F,$A15,'単価履歴'!$O:$O,
MAXIFS('単価履歴'!$O:$O,'単価履歴'!$E:$E,BT$1,'単価履歴'!$F:$F,$A15))=0,"",
MAXIFS('単価履歴'!$H:$H,'単価履歴'!$E:$E,BT$1,'単価履歴'!$F:$F,$A15,'単価履歴'!$O:$O,
MAXIFS('単価履歴'!$O:$O,'単価履歴'!$E:$E,BT$1,'単価履歴'!$F:$F,$A15)))</f>
        <v/>
      </c>
      <c r="BU15" s="252" t="str">
        <f>IF(MAXIFS('単価履歴'!$H:$H,'単価履歴'!$E:$E,BU$1,'単価履歴'!$F:$F,$A15,'単価履歴'!$O:$O,
MAXIFS('単価履歴'!$O:$O,'単価履歴'!$E:$E,BU$1,'単価履歴'!$F:$F,$A15))=0,"",
MAXIFS('単価履歴'!$H:$H,'単価履歴'!$E:$E,BU$1,'単価履歴'!$F:$F,$A15,'単価履歴'!$O:$O,
MAXIFS('単価履歴'!$O:$O,'単価履歴'!$E:$E,BU$1,'単価履歴'!$F:$F,$A15)))</f>
        <v/>
      </c>
      <c r="BV15" s="252" t="str">
        <f>IF(MAXIFS('単価履歴'!$H:$H,'単価履歴'!$E:$E,BV$1,'単価履歴'!$F:$F,$A15,'単価履歴'!$O:$O,
MAXIFS('単価履歴'!$O:$O,'単価履歴'!$E:$E,BV$1,'単価履歴'!$F:$F,$A15))=0,"",
MAXIFS('単価履歴'!$H:$H,'単価履歴'!$E:$E,BV$1,'単価履歴'!$F:$F,$A15,'単価履歴'!$O:$O,
MAXIFS('単価履歴'!$O:$O,'単価履歴'!$E:$E,BV$1,'単価履歴'!$F:$F,$A15)))</f>
        <v/>
      </c>
      <c r="BW15" s="248" t="str">
        <f>IF(MAXIFS('単価履歴'!$H:$H,'単価履歴'!$E:$E,BW$1,'単価履歴'!$F:$F,$A15,'単価履歴'!$O:$O,
MAXIFS('単価履歴'!$O:$O,'単価履歴'!$E:$E,BW$1,'単価履歴'!$F:$F,$A15))=0,"",
MAXIFS('単価履歴'!$H:$H,'単価履歴'!$E:$E,BW$1,'単価履歴'!$F:$F,$A15,'単価履歴'!$O:$O,
MAXIFS('単価履歴'!$O:$O,'単価履歴'!$E:$E,BW$1,'単価履歴'!$F:$F,$A15)))</f>
        <v/>
      </c>
      <c r="BX15" s="249" t="str">
        <f>IF(MAXIFS('単価履歴'!$H:$H,'単価履歴'!$E:$E,BX$1,'単価履歴'!$F:$F,$A15,'単価履歴'!$O:$O,
MAXIFS('単価履歴'!$O:$O,'単価履歴'!$E:$E,BX$1,'単価履歴'!$F:$F,$A15))=0,"",
MAXIFS('単価履歴'!$H:$H,'単価履歴'!$E:$E,BX$1,'単価履歴'!$F:$F,$A15,'単価履歴'!$O:$O,
MAXIFS('単価履歴'!$O:$O,'単価履歴'!$E:$E,BX$1,'単価履歴'!$F:$F,$A15)))</f>
        <v/>
      </c>
      <c r="BY15" s="252" t="str">
        <f>IF(MAXIFS('単価履歴'!$H:$H,'単価履歴'!$E:$E,BY$1,'単価履歴'!$F:$F,$A15,'単価履歴'!$O:$O,
MAXIFS('単価履歴'!$O:$O,'単価履歴'!$E:$E,BY$1,'単価履歴'!$F:$F,$A15))=0,"",
MAXIFS('単価履歴'!$H:$H,'単価履歴'!$E:$E,BY$1,'単価履歴'!$F:$F,$A15,'単価履歴'!$O:$O,
MAXIFS('単価履歴'!$O:$O,'単価履歴'!$E:$E,BY$1,'単価履歴'!$F:$F,$A15)))</f>
        <v/>
      </c>
      <c r="BZ15" s="249"/>
      <c r="CA15" s="249"/>
      <c r="CB15" s="249"/>
      <c r="CC15" s="249"/>
      <c r="CD15" s="249"/>
      <c r="CE15" s="249"/>
      <c r="CF15" s="249"/>
      <c r="CG15" s="249"/>
    </row>
    <row r="16">
      <c r="A16" s="261" t="s">
        <v>116</v>
      </c>
      <c r="B16" s="246">
        <f>IF(MAXIFS('単価履歴'!$H:$H,'単価履歴'!$E:$E,B$1,'単価履歴'!$F:$F,$A16,'単価履歴'!$O:$O,
MAXIFS('単価履歴'!$O:$O,'単価履歴'!$E:$E,B$1,'単価履歴'!$F:$F,$A16))=0,"",
MAXIFS('単価履歴'!$H:$H,'単価履歴'!$E:$E,B$1,'単価履歴'!$F:$F,$A16,'単価履歴'!$O:$O,
MAXIFS('単価履歴'!$O:$O,'単価履歴'!$E:$E,B$1,'単価履歴'!$F:$F,$A16)))</f>
        <v>53</v>
      </c>
      <c r="C16" s="262">
        <f>IF(MAXIFS('単価履歴'!$H:$H,'単価履歴'!$E:$E,C$1,'単価履歴'!$F:$F,$A16,'単価履歴'!$O:$O,
MAXIFS('単価履歴'!$O:$O,'単価履歴'!$E:$E,C$1,'単価履歴'!$F:$F,$A16))=0,"",
MAXIFS('単価履歴'!$H:$H,'単価履歴'!$E:$E,C$1,'単価履歴'!$F:$F,$A16,'単価履歴'!$O:$O,
MAXIFS('単価履歴'!$O:$O,'単価履歴'!$E:$E,C$1,'単価履歴'!$F:$F,$A16)))</f>
        <v>52.5</v>
      </c>
      <c r="D16" s="250">
        <f>IF(MAXIFS('単価履歴'!$H:$H,'単価履歴'!$E:$E,D$1,'単価履歴'!$F:$F,$A16,'単価履歴'!$O:$O,
MAXIFS('単価履歴'!$O:$O,'単価履歴'!$E:$E,D$1,'単価履歴'!$F:$F,$A16))=0,"",
MAXIFS('単価履歴'!$H:$H,'単価履歴'!$E:$E,D$1,'単価履歴'!$F:$F,$A16,'単価履歴'!$O:$O,
MAXIFS('単価履歴'!$O:$O,'単価履歴'!$E:$E,D$1,'単価履歴'!$F:$F,$A16)))</f>
        <v>49.3</v>
      </c>
      <c r="E16" s="250"/>
      <c r="F16" s="250"/>
      <c r="G16" s="268">
        <f>IF(MAXIFS('単価履歴'!$H:$H,'単価履歴'!$E:$E,G$1,'単価履歴'!$F:$F,$A16,'単価履歴'!$O:$O,
MAXIFS('単価履歴'!$O:$O,'単価履歴'!$E:$E,G$1,'単価履歴'!$F:$F,$A16))=0,"",
MAXIFS('単価履歴'!$H:$H,'単価履歴'!$E:$E,G$1,'単価履歴'!$F:$F,$A16,'単価履歴'!$O:$O,
MAXIFS('単価履歴'!$O:$O,'単価履歴'!$E:$E,G$1,'単価履歴'!$F:$F,$A16)))</f>
        <v>54.5</v>
      </c>
      <c r="H16" s="250">
        <f>IF(MAXIFS('単価履歴'!$H:$H,'単価履歴'!$E:$E,H$1,'単価履歴'!$F:$F,$A16,'単価履歴'!$O:$O,
MAXIFS('単価履歴'!$O:$O,'単価履歴'!$E:$E,H$1,'単価履歴'!$F:$F,$A16))=0,"",
MAXIFS('単価履歴'!$H:$H,'単価履歴'!$E:$E,H$1,'単価履歴'!$F:$F,$A16,'単価履歴'!$O:$O,
MAXIFS('単価履歴'!$O:$O,'単価履歴'!$E:$E,H$1,'単価履歴'!$F:$F,$A16)))</f>
        <v>53.8</v>
      </c>
      <c r="I16" s="256"/>
      <c r="J16" s="263"/>
      <c r="K16" s="274">
        <f>IF(MAXIFS('単価履歴'!$H:$H,'単価履歴'!$E:$E,K$1,'単価履歴'!$F:$F,$A16,'単価履歴'!$O:$O,
MAXIFS('単価履歴'!$O:$O,'単価履歴'!$E:$E,K$1,'単価履歴'!$F:$F,$A16))=0,"",
MAXIFS('単価履歴'!$H:$H,'単価履歴'!$E:$E,K$1,'単価履歴'!$F:$F,$A16,'単価履歴'!$O:$O,
MAXIFS('単価履歴'!$O:$O,'単価履歴'!$E:$E,K$1,'単価履歴'!$F:$F,$A16)))</f>
        <v>51</v>
      </c>
      <c r="L16" s="250">
        <f>IF(MAXIFS('単価履歴'!$H:$H,'単価履歴'!$E:$E,L$1,'単価履歴'!$F:$F,$A16,'単価履歴'!$O:$O,
MAXIFS('単価履歴'!$O:$O,'単価履歴'!$E:$E,L$1,'単価履歴'!$F:$F,$A16))=0,"",
MAXIFS('単価履歴'!$H:$H,'単価履歴'!$E:$E,L$1,'単価履歴'!$F:$F,$A16,'単価履歴'!$O:$O,
MAXIFS('単価履歴'!$O:$O,'単価履歴'!$E:$E,L$1,'単価履歴'!$F:$F,$A16)))</f>
        <v>35.2</v>
      </c>
      <c r="M16" s="269">
        <f>IF(MAXIFS('単価履歴'!$H:$H,'単価履歴'!$E:$E,M$1,'単価履歴'!$F:$F,$A16,'単価履歴'!$O:$O,
MAXIFS('単価履歴'!$O:$O,'単価履歴'!$E:$E,M$1,'単価履歴'!$F:$F,$A16))=0,"",
MAXIFS('単価履歴'!$H:$H,'単価履歴'!$E:$E,M$1,'単価履歴'!$F:$F,$A16,'単価履歴'!$O:$O,
MAXIFS('単価履歴'!$O:$O,'単価履歴'!$E:$E,M$1,'単価履歴'!$F:$F,$A16)))</f>
        <v>53.7</v>
      </c>
      <c r="N16" s="250">
        <f>IF(MAXIFS('単価履歴'!$H:$H,'単価履歴'!$E:$E,N$1,'単価履歴'!$F:$F,$A16,'単価履歴'!$O:$O,
MAXIFS('単価履歴'!$O:$O,'単価履歴'!$E:$E,N$1,'単価履歴'!$F:$F,$A16))=0,"",
MAXIFS('単価履歴'!$H:$H,'単価履歴'!$E:$E,N$1,'単価履歴'!$F:$F,$A16,'単価履歴'!$O:$O,
MAXIFS('単価履歴'!$O:$O,'単価履歴'!$E:$E,N$1,'単価履歴'!$F:$F,$A16)))</f>
        <v>43.5</v>
      </c>
      <c r="O16" s="250">
        <f>IF(MAXIFS('単価履歴'!$H:$H,'単価履歴'!$E:$E,O$1,'単価履歴'!$F:$F,$A16,'単価履歴'!$O:$O,
MAXIFS('単価履歴'!$O:$O,'単価履歴'!$E:$E,O$1,'単価履歴'!$F:$F,$A16))=0,"",
MAXIFS('単価履歴'!$H:$H,'単価履歴'!$E:$E,O$1,'単価履歴'!$F:$F,$A16,'単価履歴'!$O:$O,
MAXIFS('単価履歴'!$O:$O,'単価履歴'!$E:$E,O$1,'単価履歴'!$F:$F,$A16)))</f>
        <v>53.7</v>
      </c>
      <c r="P16" s="262">
        <f>IF(MAXIFS('単価履歴'!$H:$H,'単価履歴'!$E:$E,P$1,'単価履歴'!$F:$F,$A16,'単価履歴'!$O:$O,
MAXIFS('単価履歴'!$O:$O,'単価履歴'!$E:$E,P$1,'単価履歴'!$F:$F,$A16))=0,"",
MAXIFS('単価履歴'!$H:$H,'単価履歴'!$E:$E,P$1,'単価履歴'!$F:$F,$A16,'単価履歴'!$O:$O,
MAXIFS('単価履歴'!$O:$O,'単価履歴'!$E:$E,P$1,'単価履歴'!$F:$F,$A16)))</f>
        <v>56.5</v>
      </c>
      <c r="Q16" s="250" t="str">
        <f>IF(MAXIFS('単価履歴'!$H:$H,'単価履歴'!$E:$E,Q$1,'単価履歴'!$F:$F,$A16,'単価履歴'!$O:$O,
MAXIFS('単価履歴'!$O:$O,'単価履歴'!$E:$E,Q$1,'単価履歴'!$F:$F,$A16))=0,"",
MAXIFS('単価履歴'!$H:$H,'単価履歴'!$E:$E,Q$1,'単価履歴'!$F:$F,$A16,'単価履歴'!$O:$O,
MAXIFS('単価履歴'!$O:$O,'単価履歴'!$E:$E,Q$1,'単価履歴'!$F:$F,$A16)))</f>
        <v/>
      </c>
      <c r="R16" s="250">
        <f>IF(MAXIFS('単価履歴'!$H:$H,'単価履歴'!$E:$E,R$1,'単価履歴'!$F:$F,$A16,'単価履歴'!$O:$O,
MAXIFS('単価履歴'!$O:$O,'単価履歴'!$E:$E,R$1,'単価履歴'!$F:$F,$A16))=0,"",
MAXIFS('単価履歴'!$H:$H,'単価履歴'!$E:$E,R$1,'単価履歴'!$F:$F,$A16,'単価履歴'!$O:$O,
MAXIFS('単価履歴'!$O:$O,'単価履歴'!$E:$E,R$1,'単価履歴'!$F:$F,$A16)))</f>
        <v>56.2</v>
      </c>
      <c r="S16" s="264" t="str">
        <f>IF(MAXIFS('単価履歴'!$H:$H,'単価履歴'!$E:$E,S$1,'単価履歴'!$F:$F,$A16,'単価履歴'!$O:$O,
MAXIFS('単価履歴'!$O:$O,'単価履歴'!$E:$E,S$1,'単価履歴'!$F:$F,$A16))=0,"",
MAXIFS('単価履歴'!$H:$H,'単価履歴'!$E:$E,S$1,'単価履歴'!$F:$F,$A16,'単価履歴'!$O:$O,
MAXIFS('単価履歴'!$O:$O,'単価履歴'!$E:$E,S$1,'単価履歴'!$F:$F,$A16)))</f>
        <v/>
      </c>
      <c r="T16" s="263" t="str">
        <f>IF(MAXIFS('単価履歴'!$H:$H,'単価履歴'!$E:$E,T$1,'単価履歴'!$F:$F,$A16,'単価履歴'!$O:$O,
MAXIFS('単価履歴'!$O:$O,'単価履歴'!$E:$E,T$1,'単価履歴'!$F:$F,$A16))=0,"",
MAXIFS('単価履歴'!$H:$H,'単価履歴'!$E:$E,T$1,'単価履歴'!$F:$F,$A16,'単価履歴'!$O:$O,
MAXIFS('単価履歴'!$O:$O,'単価履歴'!$E:$E,T$1,'単価履歴'!$F:$F,$A16)))</f>
        <v/>
      </c>
      <c r="U16" s="264" t="str">
        <f>IF(MAXIFS('単価履歴'!$H:$H,'単価履歴'!$E:$E,U$1,'単価履歴'!$F:$F,$A16,'単価履歴'!$O:$O,
MAXIFS('単価履歴'!$O:$O,'単価履歴'!$E:$E,U$1,'単価履歴'!$F:$F,$A16))=0,"",
MAXIFS('単価履歴'!$H:$H,'単価履歴'!$E:$E,U$1,'単価履歴'!$F:$F,$A16,'単価履歴'!$O:$O,
MAXIFS('単価履歴'!$O:$O,'単価履歴'!$E:$E,U$1,'単価履歴'!$F:$F,$A16)))</f>
        <v/>
      </c>
      <c r="V16" s="251">
        <f>IF(MAXIFS('単価履歴'!$H:$H,'単価履歴'!$E:$E,V$1,'単価履歴'!$F:$F,$A16,'単価履歴'!$O:$O,
MAXIFS('単価履歴'!$O:$O,'単価履歴'!$E:$E,V$1,'単価履歴'!$F:$F,$A16))=0,"",
MAXIFS('単価履歴'!$H:$H,'単価履歴'!$E:$E,V$1,'単価履歴'!$F:$F,$A16,'単価履歴'!$O:$O,
MAXIFS('単価履歴'!$O:$O,'単価履歴'!$E:$E,V$1,'単価履歴'!$F:$F,$A16)))</f>
        <v>51</v>
      </c>
      <c r="W16" s="250" t="str">
        <f>IF(MAXIFS('単価履歴'!$H:$H,'単価履歴'!$E:$E,W$1,'単価履歴'!$F:$F,$A16,'単価履歴'!$O:$O,
MAXIFS('単価履歴'!$O:$O,'単価履歴'!$E:$E,W$1,'単価履歴'!$F:$F,$A16))=0,"",
MAXIFS('単価履歴'!$H:$H,'単価履歴'!$E:$E,W$1,'単価履歴'!$F:$F,$A16,'単価履歴'!$O:$O,
MAXIFS('単価履歴'!$O:$O,'単価履歴'!$E:$E,W$1,'単価履歴'!$F:$F,$A16)))</f>
        <v/>
      </c>
      <c r="X16" s="256" t="str">
        <f>IF(MAXIFS('単価履歴'!$H:$H,'単価履歴'!$E:$E,X$1,'単価履歴'!$F:$F,$A16,'単価履歴'!$O:$O,
MAXIFS('単価履歴'!$O:$O,'単価履歴'!$E:$E,X$1,'単価履歴'!$F:$F,$A16))=0,"",
MAXIFS('単価履歴'!$H:$H,'単価履歴'!$E:$E,X$1,'単価履歴'!$F:$F,$A16,'単価履歴'!$O:$O,
MAXIFS('単価履歴'!$O:$O,'単価履歴'!$E:$E,X$1,'単価履歴'!$F:$F,$A16)))</f>
        <v/>
      </c>
      <c r="Y16" s="251">
        <f>IF(MAXIFS('単価履歴'!$H:$H,'単価履歴'!$E:$E,Y$1,'単価履歴'!$F:$F,$A16,'単価履歴'!$O:$O,
MAXIFS('単価履歴'!$O:$O,'単価履歴'!$E:$E,Y$1,'単価履歴'!$F:$F,$A16))=0,"",
MAXIFS('単価履歴'!$H:$H,'単価履歴'!$E:$E,Y$1,'単価履歴'!$F:$F,$A16,'単価履歴'!$O:$O,
MAXIFS('単価履歴'!$O:$O,'単価履歴'!$E:$E,Y$1,'単価履歴'!$F:$F,$A16)))</f>
        <v>41</v>
      </c>
      <c r="Z16" s="264" t="str">
        <f>IF(MAXIFS('単価履歴'!$H:$H,'単価履歴'!$E:$E,Z$1,'単価履歴'!$F:$F,$A16,'単価履歴'!$O:$O,
MAXIFS('単価履歴'!$O:$O,'単価履歴'!$E:$E,Z$1,'単価履歴'!$F:$F,$A16))=0,"",
MAXIFS('単価履歴'!$H:$H,'単価履歴'!$E:$E,Z$1,'単価履歴'!$F:$F,$A16,'単価履歴'!$O:$O,
MAXIFS('単価履歴'!$O:$O,'単価履歴'!$E:$E,Z$1,'単価履歴'!$F:$F,$A16)))</f>
        <v/>
      </c>
      <c r="AA16" s="256" t="str">
        <f>IF(MAXIFS('単価履歴'!$H:$H,'単価履歴'!$E:$E,AA$1,'単価履歴'!$F:$F,$A16,'単価履歴'!$O:$O,
MAXIFS('単価履歴'!$O:$O,'単価履歴'!$E:$E,AA$1,'単価履歴'!$F:$F,$A16))=0,"",
MAXIFS('単価履歴'!$H:$H,'単価履歴'!$E:$E,AA$1,'単価履歴'!$F:$F,$A16,'単価履歴'!$O:$O,
MAXIFS('単価履歴'!$O:$O,'単価履歴'!$E:$E,AA$1,'単価履歴'!$F:$F,$A16)))</f>
        <v/>
      </c>
      <c r="AB16" s="256" t="str">
        <f>IF(MAXIFS('単価履歴'!$H:$H,'単価履歴'!$E:$E,AB$1,'単価履歴'!$F:$F,$A16,'単価履歴'!$O:$O,
MAXIFS('単価履歴'!$O:$O,'単価履歴'!$E:$E,AB$1,'単価履歴'!$F:$F,$A16))=0,"",
MAXIFS('単価履歴'!$H:$H,'単価履歴'!$E:$E,AB$1,'単価履歴'!$F:$F,$A16,'単価履歴'!$O:$O,
MAXIFS('単価履歴'!$O:$O,'単価履歴'!$E:$E,AB$1,'単価履歴'!$F:$F,$A16)))</f>
        <v/>
      </c>
      <c r="AC16" s="254" t="str">
        <f>IF(MAXIFS('単価履歴'!$H:$H,'単価履歴'!$E:$E,AC$1,'単価履歴'!$F:$F,$A16,'単価履歴'!$O:$O,
MAXIFS('単価履歴'!$O:$O,'単価履歴'!$E:$E,AC$1,'単価履歴'!$F:$F,$A16))=0,"",
MAXIFS('単価履歴'!$H:$H,'単価履歴'!$E:$E,AC$1,'単価履歴'!$F:$F,$A16,'単価履歴'!$O:$O,
MAXIFS('単価履歴'!$O:$O,'単価履歴'!$E:$E,AC$1,'単価履歴'!$F:$F,$A16)))</f>
        <v/>
      </c>
      <c r="AD16" s="256" t="str">
        <f>IF(MAXIFS('単価履歴'!$H:$H,'単価履歴'!$E:$E,AD$1,'単価履歴'!$F:$F,$A16,'単価履歴'!$O:$O,
MAXIFS('単価履歴'!$O:$O,'単価履歴'!$E:$E,AD$1,'単価履歴'!$F:$F,$A16))=0,"",
MAXIFS('単価履歴'!$H:$H,'単価履歴'!$E:$E,AD$1,'単価履歴'!$F:$F,$A16,'単価履歴'!$O:$O,
MAXIFS('単価履歴'!$O:$O,'単価履歴'!$E:$E,AD$1,'単価履歴'!$F:$F,$A16)))</f>
        <v/>
      </c>
      <c r="AE16" s="274">
        <f>IF(MAXIFS('単価履歴'!$H:$H,'単価履歴'!$E:$E,AE$1,'単価履歴'!$F:$F,$A16,'単価履歴'!$O:$O,
MAXIFS('単価履歴'!$O:$O,'単価履歴'!$E:$E,AE$1,'単価履歴'!$F:$F,$A16))=0,"",
MAXIFS('単価履歴'!$H:$H,'単価履歴'!$E:$E,AE$1,'単価履歴'!$F:$F,$A16,'単価履歴'!$O:$O,
MAXIFS('単価履歴'!$O:$O,'単価履歴'!$E:$E,AE$1,'単価履歴'!$F:$F,$A16)))</f>
        <v>48.7</v>
      </c>
      <c r="AF16" s="254" t="str">
        <f>IF(MAXIFS('単価履歴'!$H:$H,'単価履歴'!$E:$E,AF$1,'単価履歴'!$F:$F,$A16,'単価履歴'!$O:$O,
MAXIFS('単価履歴'!$O:$O,'単価履歴'!$E:$E,AF$1,'単価履歴'!$F:$F,$A16))=0,"",
MAXIFS('単価履歴'!$H:$H,'単価履歴'!$E:$E,AF$1,'単価履歴'!$F:$F,$A16,'単価履歴'!$O:$O,
MAXIFS('単価履歴'!$O:$O,'単価履歴'!$E:$E,AF$1,'単価履歴'!$F:$F,$A16)))</f>
        <v/>
      </c>
      <c r="AG16" s="256">
        <f>IF(MAXIFS('単価履歴'!$H:$H,'単価履歴'!$E:$E,AG$1,'単価履歴'!$F:$F,$A16,'単価履歴'!$O:$O,
MAXIFS('単価履歴'!$O:$O,'単価履歴'!$E:$E,AG$1,'単価履歴'!$F:$F,$A16))=0,"",
MAXIFS('単価履歴'!$H:$H,'単価履歴'!$E:$E,AG$1,'単価履歴'!$F:$F,$A16,'単価履歴'!$O:$O,
MAXIFS('単価履歴'!$O:$O,'単価履歴'!$E:$E,AG$1,'単価履歴'!$F:$F,$A16)))</f>
        <v>53.5</v>
      </c>
      <c r="AH16" s="264" t="str">
        <f>IF(MAXIFS('単価履歴'!$H:$H,'単価履歴'!$E:$E,AH$1,'単価履歴'!$F:$F,$A16,'単価履歴'!$O:$O,
MAXIFS('単価履歴'!$O:$O,'単価履歴'!$E:$E,AH$1,'単価履歴'!$F:$F,$A16))=0,"",
MAXIFS('単価履歴'!$H:$H,'単価履歴'!$E:$E,AH$1,'単価履歴'!$F:$F,$A16,'単価履歴'!$O:$O,
MAXIFS('単価履歴'!$O:$O,'単価履歴'!$E:$E,AH$1,'単価履歴'!$F:$F,$A16)))</f>
        <v/>
      </c>
      <c r="AI16" s="256" t="str">
        <f>IF(MAXIFS('単価履歴'!$H:$H,'単価履歴'!$E:$E,AI$1,'単価履歴'!$F:$F,$A16,'単価履歴'!$O:$O,
MAXIFS('単価履歴'!$O:$O,'単価履歴'!$E:$E,AI$1,'単価履歴'!$F:$F,$A16))=0,"",
MAXIFS('単価履歴'!$H:$H,'単価履歴'!$E:$E,AI$1,'単価履歴'!$F:$F,$A16,'単価履歴'!$O:$O,
MAXIFS('単価履歴'!$O:$O,'単価履歴'!$E:$E,AI$1,'単価履歴'!$F:$F,$A16)))</f>
        <v/>
      </c>
      <c r="AJ16" s="254" t="str">
        <f>IF(MAXIFS('単価履歴'!$H:$H,'単価履歴'!$E:$E,AJ$1,'単価履歴'!$F:$F,$A16,'単価履歴'!$O:$O,
MAXIFS('単価履歴'!$O:$O,'単価履歴'!$E:$E,AJ$1,'単価履歴'!$F:$F,$A16))=0,"",
MAXIFS('単価履歴'!$H:$H,'単価履歴'!$E:$E,AJ$1,'単価履歴'!$F:$F,$A16,'単価履歴'!$O:$O,
MAXIFS('単価履歴'!$O:$O,'単価履歴'!$E:$E,AJ$1,'単価履歴'!$F:$F,$A16)))</f>
        <v/>
      </c>
      <c r="AK16" s="264" t="str">
        <f>IF(MAXIFS('単価履歴'!$H:$H,'単価履歴'!$E:$E,AK$1,'単価履歴'!$F:$F,$A16,'単価履歴'!$O:$O,
MAXIFS('単価履歴'!$O:$O,'単価履歴'!$E:$E,AK$1,'単価履歴'!$F:$F,$A16))=0,"",
MAXIFS('単価履歴'!$H:$H,'単価履歴'!$E:$E,AK$1,'単価履歴'!$F:$F,$A16,'単価履歴'!$O:$O,
MAXIFS('単価履歴'!$O:$O,'単価履歴'!$E:$E,AK$1,'単価履歴'!$F:$F,$A16)))</f>
        <v/>
      </c>
      <c r="AL16" s="256" t="str">
        <f>IF(MAXIFS('単価履歴'!$H:$H,'単価履歴'!$E:$E,AL$1,'単価履歴'!$F:$F,$A16,'単価履歴'!$O:$O,
MAXIFS('単価履歴'!$O:$O,'単価履歴'!$E:$E,AL$1,'単価履歴'!$F:$F,$A16))=0,"",
MAXIFS('単価履歴'!$H:$H,'単価履歴'!$E:$E,AL$1,'単価履歴'!$F:$F,$A16,'単価履歴'!$O:$O,
MAXIFS('単価履歴'!$O:$O,'単価履歴'!$E:$E,AL$1,'単価履歴'!$F:$F,$A16)))</f>
        <v/>
      </c>
      <c r="AM16" s="268">
        <f>IF(MAXIFS('単価履歴'!$H:$H,'単価履歴'!$E:$E,AM$1,'単価履歴'!$F:$F,$A16,'単価履歴'!$O:$O,
MAXIFS('単価履歴'!$O:$O,'単価履歴'!$E:$E,AM$1,'単価履歴'!$F:$F,$A16))=0,"",
MAXIFS('単価履歴'!$H:$H,'単価履歴'!$E:$E,AM$1,'単価履歴'!$F:$F,$A16,'単価履歴'!$O:$O,
MAXIFS('単価履歴'!$O:$O,'単価履歴'!$E:$E,AM$1,'単価履歴'!$F:$F,$A16)))</f>
        <v>53</v>
      </c>
      <c r="AN16" s="268" t="str">
        <f>IF(MAXIFS('単価履歴'!$H:$H,'単価履歴'!$E:$E,AN$1,'単価履歴'!$F:$F,$A16,'単価履歴'!$O:$O,
MAXIFS('単価履歴'!$O:$O,'単価履歴'!$E:$E,AN$1,'単価履歴'!$F:$F,$A16))=0,"",
MAXIFS('単価履歴'!$H:$H,'単価履歴'!$E:$E,AN$1,'単価履歴'!$F:$F,$A16,'単価履歴'!$O:$O,
MAXIFS('単価履歴'!$O:$O,'単価履歴'!$E:$E,AN$1,'単価履歴'!$F:$F,$A16)))</f>
        <v/>
      </c>
      <c r="AO16" s="250">
        <f>IF(MAXIFS('単価履歴'!$H:$H,'単価履歴'!$E:$E,AO$1,'単価履歴'!$F:$F,$A16,'単価履歴'!$O:$O,
MAXIFS('単価履歴'!$O:$O,'単価履歴'!$E:$E,AO$1,'単価履歴'!$F:$F,$A16))=0,"",
MAXIFS('単価履歴'!$H:$H,'単価履歴'!$E:$E,AO$1,'単価履歴'!$F:$F,$A16,'単価履歴'!$O:$O,
MAXIFS('単価履歴'!$O:$O,'単価履歴'!$E:$E,AO$1,'単価履歴'!$F:$F,$A16)))</f>
        <v>54.6</v>
      </c>
      <c r="AP16" s="262" t="str">
        <f>IF(MAXIFS('単価履歴'!$H:$H,'単価履歴'!$E:$E,AP$1,'単価履歴'!$F:$F,$A16,'単価履歴'!$O:$O,
MAXIFS('単価履歴'!$O:$O,'単価履歴'!$E:$E,AP$1,'単価履歴'!$F:$F,$A16))=0,"",
MAXIFS('単価履歴'!$H:$H,'単価履歴'!$E:$E,AP$1,'単価履歴'!$F:$F,$A16,'単価履歴'!$O:$O,
MAXIFS('単価履歴'!$O:$O,'単価履歴'!$E:$E,AP$1,'単価履歴'!$F:$F,$A16)))</f>
        <v/>
      </c>
      <c r="AQ16" s="254" t="str">
        <f>IF(MAXIFS('単価履歴'!$H:$H,'単価履歴'!$E:$E,AQ$1,'単価履歴'!$F:$F,$A16,'単価履歴'!$O:$O,
MAXIFS('単価履歴'!$O:$O,'単価履歴'!$E:$E,AQ$1,'単価履歴'!$F:$F,$A16))=0,"",
MAXIFS('単価履歴'!$H:$H,'単価履歴'!$E:$E,AQ$1,'単価履歴'!$F:$F,$A16,'単価履歴'!$O:$O,
MAXIFS('単価履歴'!$O:$O,'単価履歴'!$E:$E,AQ$1,'単価履歴'!$F:$F,$A16)))</f>
        <v/>
      </c>
      <c r="AR16" s="256" t="str">
        <f>IF(MAXIFS('単価履歴'!$H:$H,'単価履歴'!$E:$E,AR$1,'単価履歴'!$F:$F,$A16,'単価履歴'!$O:$O,
MAXIFS('単価履歴'!$O:$O,'単価履歴'!$E:$E,AR$1,'単価履歴'!$F:$F,$A16))=0,"",
MAXIFS('単価履歴'!$H:$H,'単価履歴'!$E:$E,AR$1,'単価履歴'!$F:$F,$A16,'単価履歴'!$O:$O,
MAXIFS('単価履歴'!$O:$O,'単価履歴'!$E:$E,AR$1,'単価履歴'!$F:$F,$A16)))</f>
        <v/>
      </c>
      <c r="AS16" s="256" t="str">
        <f>IF(MAXIFS('単価履歴'!$H:$H,'単価履歴'!$E:$E,AS$1,'単価履歴'!$F:$F,$A16,'単価履歴'!$O:$O,
MAXIFS('単価履歴'!$O:$O,'単価履歴'!$E:$E,AS$1,'単価履歴'!$F:$F,$A16))=0,"",
MAXIFS('単価履歴'!$H:$H,'単価履歴'!$E:$E,AS$1,'単価履歴'!$F:$F,$A16,'単価履歴'!$O:$O,
MAXIFS('単価履歴'!$O:$O,'単価履歴'!$E:$E,AS$1,'単価履歴'!$F:$F,$A16)))</f>
        <v/>
      </c>
      <c r="AT16" s="262">
        <f>IF(MAXIFS('単価履歴'!$H:$H,'単価履歴'!$E:$E,AT$1,'単価履歴'!$F:$F,$A16,'単価履歴'!$O:$O,
MAXIFS('単価履歴'!$O:$O,'単価履歴'!$E:$E,AT$1,'単価履歴'!$F:$F,$A16))=0,"",
MAXIFS('単価履歴'!$H:$H,'単価履歴'!$E:$E,AT$1,'単価履歴'!$F:$F,$A16,'単価履歴'!$O:$O,
MAXIFS('単価履歴'!$O:$O,'単価履歴'!$E:$E,AT$1,'単価履歴'!$F:$F,$A16)))</f>
        <v>54</v>
      </c>
      <c r="AU16" s="256" t="str">
        <f>IF(MAXIFS('単価履歴'!$H:$H,'単価履歴'!$E:$E,AU$1,'単価履歴'!$F:$F,$A16,'単価履歴'!$O:$O,
MAXIFS('単価履歴'!$O:$O,'単価履歴'!$E:$E,AU$1,'単価履歴'!$F:$F,$A16))=0,"",
MAXIFS('単価履歴'!$H:$H,'単価履歴'!$E:$E,AU$1,'単価履歴'!$F:$F,$A16,'単価履歴'!$O:$O,
MAXIFS('単価履歴'!$O:$O,'単価履歴'!$E:$E,AU$1,'単価履歴'!$F:$F,$A16)))</f>
        <v/>
      </c>
      <c r="AV16" s="262">
        <f>IF(MAXIFS('単価履歴'!$H:$H,'単価履歴'!$E:$E,AV$1,'単価履歴'!$F:$F,$A16,'単価履歴'!$O:$O,
MAXIFS('単価履歴'!$O:$O,'単価履歴'!$E:$E,AV$1,'単価履歴'!$F:$F,$A16))=0,"",
MAXIFS('単価履歴'!$H:$H,'単価履歴'!$E:$E,AV$1,'単価履歴'!$F:$F,$A16,'単価履歴'!$O:$O,
MAXIFS('単価履歴'!$O:$O,'単価履歴'!$E:$E,AV$1,'単価履歴'!$F:$F,$A16)))</f>
        <v>53</v>
      </c>
      <c r="AW16" s="266">
        <f>IF(MAXIFS('単価履歴'!$H:$H,'単価履歴'!$E:$E,AW$1,'単価履歴'!$F:$F,$A16,'単価履歴'!$O:$O,
MAXIFS('単価履歴'!$O:$O,'単価履歴'!$E:$E,AW$1,'単価履歴'!$F:$F,$A16))=0,"",
MAXIFS('単価履歴'!$H:$H,'単価履歴'!$E:$E,AW$1,'単価履歴'!$F:$F,$A16,'単価履歴'!$O:$O,
MAXIFS('単価履歴'!$O:$O,'単価履歴'!$E:$E,AW$1,'単価履歴'!$F:$F,$A16)))</f>
        <v>53</v>
      </c>
      <c r="AX16" s="262">
        <f>IF(MAXIFS('単価履歴'!$H:$H,'単価履歴'!$E:$E,AX$1,'単価履歴'!$F:$F,$A16,'単価履歴'!$O:$O,
MAXIFS('単価履歴'!$O:$O,'単価履歴'!$E:$E,AX$1,'単価履歴'!$F:$F,$A16))=0,"",
MAXIFS('単価履歴'!$H:$H,'単価履歴'!$E:$E,AX$1,'単価履歴'!$F:$F,$A16,'単価履歴'!$O:$O,
MAXIFS('単価履歴'!$O:$O,'単価履歴'!$E:$E,AX$1,'単価履歴'!$F:$F,$A16)))</f>
        <v>50.2</v>
      </c>
      <c r="AY16" s="266">
        <f>IF(MAXIFS('単価履歴'!$H:$H,'単価履歴'!$E:$E,AY$1,'単価履歴'!$F:$F,$A16,'単価履歴'!$O:$O,
MAXIFS('単価履歴'!$O:$O,'単価履歴'!$E:$E,AY$1,'単価履歴'!$F:$F,$A16))=0,"",
MAXIFS('単価履歴'!$H:$H,'単価履歴'!$E:$E,AY$1,'単価履歴'!$F:$F,$A16,'単価履歴'!$O:$O,
MAXIFS('単価履歴'!$O:$O,'単価履歴'!$E:$E,AY$1,'単価履歴'!$F:$F,$A16)))</f>
        <v>50.4</v>
      </c>
      <c r="AZ16" s="262">
        <f>IF(MAXIFS('単価履歴'!$H:$H,'単価履歴'!$E:$E,AZ$1,'単価履歴'!$F:$F,$A16,'単価履歴'!$O:$O,
MAXIFS('単価履歴'!$O:$O,'単価履歴'!$E:$E,AZ$1,'単価履歴'!$F:$F,$A16))=0,"",
MAXIFS('単価履歴'!$H:$H,'単価履歴'!$E:$E,AZ$1,'単価履歴'!$F:$F,$A16,'単価履歴'!$O:$O,
MAXIFS('単価履歴'!$O:$O,'単価履歴'!$E:$E,AZ$1,'単価履歴'!$F:$F,$A16)))</f>
        <v>51</v>
      </c>
      <c r="BA16" s="266">
        <f>IF(MAXIFS('単価履歴'!$H:$H,'単価履歴'!$E:$E,BA$1,'単価履歴'!$F:$F,$A16,'単価履歴'!$O:$O,
MAXIFS('単価履歴'!$O:$O,'単価履歴'!$E:$E,BA$1,'単価履歴'!$F:$F,$A16))=0,"",
MAXIFS('単価履歴'!$H:$H,'単価履歴'!$E:$E,BA$1,'単価履歴'!$F:$F,$A16,'単価履歴'!$O:$O,
MAXIFS('単価履歴'!$O:$O,'単価履歴'!$E:$E,BA$1,'単価履歴'!$F:$F,$A16)))</f>
        <v>50.5</v>
      </c>
      <c r="BB16" s="256"/>
      <c r="BC16" s="249">
        <f>IF(MAXIFS('単価履歴'!$H:$H,'単価履歴'!$E:$E,BC$1,'単価履歴'!$F:$F,$A16,'単価履歴'!$O:$O,
MAXIFS('単価履歴'!$O:$O,'単価履歴'!$E:$E,BC$1,'単価履歴'!$F:$F,$A16))=0,"",
MAXIFS('単価履歴'!$H:$H,'単価履歴'!$E:$E,BC$1,'単価履歴'!$F:$F,$A16,'単価履歴'!$O:$O,
MAXIFS('単価履歴'!$O:$O,'単価履歴'!$E:$E,BC$1,'単価履歴'!$F:$F,$A16)))</f>
        <v>52.2</v>
      </c>
      <c r="BD16" s="250">
        <f>IF(MAXIFS('単価履歴'!$H:$H,'単価履歴'!$E:$E,BD$1,'単価履歴'!$F:$F,$A16,'単価履歴'!$O:$O,
MAXIFS('単価履歴'!$O:$O,'単価履歴'!$E:$E,BD$1,'単価履歴'!$F:$F,$A16))=0,"",
MAXIFS('単価履歴'!$H:$H,'単価履歴'!$E:$E,BD$1,'単価履歴'!$F:$F,$A16,'単価履歴'!$O:$O,
MAXIFS('単価履歴'!$O:$O,'単価履歴'!$E:$E,BD$1,'単価履歴'!$F:$F,$A16)))</f>
        <v>49.9</v>
      </c>
      <c r="BE16" s="250">
        <f>IF(MAXIFS('単価履歴'!$H:$H,'単価履歴'!$E:$E,BE$1,'単価履歴'!$F:$F,$A16,'単価履歴'!$O:$O,
MAXIFS('単価履歴'!$O:$O,'単価履歴'!$E:$E,BE$1,'単価履歴'!$F:$F,$A16))=0,"",
MAXIFS('単価履歴'!$H:$H,'単価履歴'!$E:$E,BE$1,'単価履歴'!$F:$F,$A16,'単価履歴'!$O:$O,
MAXIFS('単価履歴'!$O:$O,'単価履歴'!$E:$E,BE$1,'単価履歴'!$F:$F,$A16)))</f>
        <v>50.7</v>
      </c>
      <c r="BF16" s="263" t="str">
        <f>IF(MAXIFS('単価履歴'!$H:$H,'単価履歴'!$E:$E,BF$1,'単価履歴'!$F:$F,$A16,'単価履歴'!$O:$O,
MAXIFS('単価履歴'!$O:$O,'単価履歴'!$E:$E,BF$1,'単価履歴'!$F:$F,$A16))=0,"",
MAXIFS('単価履歴'!$H:$H,'単価履歴'!$E:$E,BF$1,'単価履歴'!$F:$F,$A16,'単価履歴'!$O:$O,
MAXIFS('単価履歴'!$O:$O,'単価履歴'!$E:$E,BF$1,'単価履歴'!$F:$F,$A16)))</f>
        <v/>
      </c>
      <c r="BG16" s="266">
        <f>IF(MAXIFS('単価履歴'!$H:$H,'単価履歴'!$E:$E,BG$1,'単価履歴'!$F:$F,$A16,'単価履歴'!$O:$O,
MAXIFS('単価履歴'!$O:$O,'単価履歴'!$E:$E,BG$1,'単価履歴'!$F:$F,$A16))=0,"",
MAXIFS('単価履歴'!$H:$H,'単価履歴'!$E:$E,BG$1,'単価履歴'!$F:$F,$A16,'単価履歴'!$O:$O,
MAXIFS('単価履歴'!$O:$O,'単価履歴'!$E:$E,BG$1,'単価履歴'!$F:$F,$A16)))</f>
        <v>47</v>
      </c>
      <c r="BH16" s="254" t="str">
        <f>IF(MAXIFS('単価履歴'!$H:$H,'単価履歴'!$E:$E,BH$1,'単価履歴'!$F:$F,$A16,'単価履歴'!$O:$O,
MAXIFS('単価履歴'!$O:$O,'単価履歴'!$E:$E,BH$1,'単価履歴'!$F:$F,$A16))=0,"",
MAXIFS('単価履歴'!$H:$H,'単価履歴'!$E:$E,BH$1,'単価履歴'!$F:$F,$A16,'単価履歴'!$O:$O,
MAXIFS('単価履歴'!$O:$O,'単価履歴'!$E:$E,BH$1,'単価履歴'!$F:$F,$A16)))</f>
        <v/>
      </c>
      <c r="BI16" s="256" t="str">
        <f>IF(MAXIFS('単価履歴'!$H:$H,'単価履歴'!$E:$E,BI$1,'単価履歴'!$F:$F,$A16,'単価履歴'!$O:$O,
MAXIFS('単価履歴'!$O:$O,'単価履歴'!$E:$E,BI$1,'単価履歴'!$F:$F,$A16))=0,"",
MAXIFS('単価履歴'!$H:$H,'単価履歴'!$E:$E,BI$1,'単価履歴'!$F:$F,$A16,'単価履歴'!$O:$O,
MAXIFS('単価履歴'!$O:$O,'単価履歴'!$E:$E,BI$1,'単価履歴'!$F:$F,$A16)))</f>
        <v/>
      </c>
      <c r="BJ16" s="263" t="str">
        <f>IF(MAXIFS('単価履歴'!$H:$H,'単価履歴'!$E:$E,BJ$1,'単価履歴'!$F:$F,$A16,'単価履歴'!$O:$O,
MAXIFS('単価履歴'!$O:$O,'単価履歴'!$E:$E,BJ$1,'単価履歴'!$F:$F,$A16))=0,"",
MAXIFS('単価履歴'!$H:$H,'単価履歴'!$E:$E,BJ$1,'単価履歴'!$F:$F,$A16,'単価履歴'!$O:$O,
MAXIFS('単価履歴'!$O:$O,'単価履歴'!$E:$E,BJ$1,'単価履歴'!$F:$F,$A16)))</f>
        <v/>
      </c>
      <c r="BK16" s="266">
        <f>IF(MAXIFS('単価履歴'!$H:$H,'単価履歴'!$E:$E,BK$1,'単価履歴'!$F:$F,$A16,'単価履歴'!$O:$O,
MAXIFS('単価履歴'!$O:$O,'単価履歴'!$E:$E,BK$1,'単価履歴'!$F:$F,$A16))=0,"",
MAXIFS('単価履歴'!$H:$H,'単価履歴'!$E:$E,BK$1,'単価履歴'!$F:$F,$A16,'単価履歴'!$O:$O,
MAXIFS('単価履歴'!$O:$O,'単価履歴'!$E:$E,BK$1,'単価履歴'!$F:$F,$A16)))</f>
        <v>52</v>
      </c>
      <c r="BL16" s="256" t="str">
        <f>IF(MAXIFS('単価履歴'!$H:$H,'単価履歴'!$E:$E,BL$1,'単価履歴'!$F:$F,$A16,'単価履歴'!$O:$O,
MAXIFS('単価履歴'!$O:$O,'単価履歴'!$E:$E,BL$1,'単価履歴'!$F:$F,$A16))=0,"",
MAXIFS('単価履歴'!$H:$H,'単価履歴'!$E:$E,BL$1,'単価履歴'!$F:$F,$A16,'単価履歴'!$O:$O,
MAXIFS('単価履歴'!$O:$O,'単価履歴'!$E:$E,BL$1,'単価履歴'!$F:$F,$A16)))</f>
        <v/>
      </c>
      <c r="BM16" s="263" t="str">
        <f>IF(MAXIFS('単価履歴'!$H:$H,'単価履歴'!$E:$E,BM$1,'単価履歴'!$F:$F,$A16,'単価履歴'!$O:$O,
MAXIFS('単価履歴'!$O:$O,'単価履歴'!$E:$E,BM$1,'単価履歴'!$F:$F,$A16))=0,"",
MAXIFS('単価履歴'!$H:$H,'単価履歴'!$E:$E,BM$1,'単価履歴'!$F:$F,$A16,'単価履歴'!$O:$O,
MAXIFS('単価履歴'!$O:$O,'単価履歴'!$E:$E,BM$1,'単価履歴'!$F:$F,$A16)))</f>
        <v/>
      </c>
      <c r="BN16" s="256" t="str">
        <f>IF(MAXIFS('単価履歴'!$H:$H,'単価履歴'!$E:$E,BN$1,'単価履歴'!$F:$F,$A16,'単価履歴'!$O:$O,
MAXIFS('単価履歴'!$O:$O,'単価履歴'!$E:$E,BN$1,'単価履歴'!$F:$F,$A16))=0,"",
MAXIFS('単価履歴'!$H:$H,'単価履歴'!$E:$E,BN$1,'単価履歴'!$F:$F,$A16,'単価履歴'!$O:$O,
MAXIFS('単価履歴'!$O:$O,'単価履歴'!$E:$E,BN$1,'単価履歴'!$F:$F,$A16)))</f>
        <v/>
      </c>
      <c r="BO16" s="263" t="str">
        <f>IF(MAXIFS('単価履歴'!$H:$H,'単価履歴'!$E:$E,BO$1,'単価履歴'!$F:$F,$A16,'単価履歴'!$O:$O,
MAXIFS('単価履歴'!$O:$O,'単価履歴'!$E:$E,BO$1,'単価履歴'!$F:$F,$A16))=0,"",
MAXIFS('単価履歴'!$H:$H,'単価履歴'!$E:$E,BO$1,'単価履歴'!$F:$F,$A16,'単価履歴'!$O:$O,
MAXIFS('単価履歴'!$O:$O,'単価履歴'!$E:$E,BO$1,'単価履歴'!$F:$F,$A16)))</f>
        <v/>
      </c>
      <c r="BP16" s="250">
        <f>IF(MAXIFS('単価履歴'!$H:$H,'単価履歴'!$E:$E,BP$1,'単価履歴'!$F:$F,$A16,'単価履歴'!$O:$O,
MAXIFS('単価履歴'!$O:$O,'単価履歴'!$E:$E,BP$1,'単価履歴'!$F:$F,$A16))=0,"",
MAXIFS('単価履歴'!$H:$H,'単価履歴'!$E:$E,BP$1,'単価履歴'!$F:$F,$A16,'単価履歴'!$O:$O,
MAXIFS('単価履歴'!$O:$O,'単価履歴'!$E:$E,BP$1,'単価履歴'!$F:$F,$A16)))</f>
        <v>46</v>
      </c>
      <c r="BQ16" s="256" t="str">
        <f>IF(MAXIFS('単価履歴'!$H:$H,'単価履歴'!$E:$E,BQ$1,'単価履歴'!$F:$F,$A16,'単価履歴'!$O:$O,
MAXIFS('単価履歴'!$O:$O,'単価履歴'!$E:$E,BQ$1,'単価履歴'!$F:$F,$A16))=0,"",
MAXIFS('単価履歴'!$H:$H,'単価履歴'!$E:$E,BQ$1,'単価履歴'!$F:$F,$A16,'単価履歴'!$O:$O,
MAXIFS('単価履歴'!$O:$O,'単価履歴'!$E:$E,BQ$1,'単価履歴'!$F:$F,$A16)))</f>
        <v/>
      </c>
      <c r="BR16" s="264" t="str">
        <f>IF(MAXIFS('単価履歴'!$H:$H,'単価履歴'!$E:$E,BR$1,'単価履歴'!$F:$F,$A16,'単価履歴'!$O:$O,
MAXIFS('単価履歴'!$O:$O,'単価履歴'!$E:$E,BR$1,'単価履歴'!$F:$F,$A16))=0,"",
MAXIFS('単価履歴'!$H:$H,'単価履歴'!$E:$E,BR$1,'単価履歴'!$F:$F,$A16,'単価履歴'!$O:$O,
MAXIFS('単価履歴'!$O:$O,'単価履歴'!$E:$E,BR$1,'単価履歴'!$F:$F,$A16)))</f>
        <v/>
      </c>
      <c r="BS16" s="272">
        <f>IF(MAXIFS('単価履歴'!$H:$H,'単価履歴'!$E:$E,BS$1,'単価履歴'!$F:$F,$A16,'単価履歴'!$O:$O,
MAXIFS('単価履歴'!$O:$O,'単価履歴'!$E:$E,BS$1,'単価履歴'!$F:$F,$A16))=0,"",
MAXIFS('単価履歴'!$H:$H,'単価履歴'!$E:$E,BS$1,'単価履歴'!$F:$F,$A16,'単価履歴'!$O:$O,
MAXIFS('単価履歴'!$O:$O,'単価履歴'!$E:$E,BS$1,'単価履歴'!$F:$F,$A16)))</f>
        <v>25.5</v>
      </c>
      <c r="BT16" s="264" t="str">
        <f>IF(MAXIFS('単価履歴'!$H:$H,'単価履歴'!$E:$E,BT$1,'単価履歴'!$F:$F,$A16,'単価履歴'!$O:$O,
MAXIFS('単価履歴'!$O:$O,'単価履歴'!$E:$E,BT$1,'単価履歴'!$F:$F,$A16))=0,"",
MAXIFS('単価履歴'!$H:$H,'単価履歴'!$E:$E,BT$1,'単価履歴'!$F:$F,$A16,'単価履歴'!$O:$O,
MAXIFS('単価履歴'!$O:$O,'単価履歴'!$E:$E,BT$1,'単価履歴'!$F:$F,$A16)))</f>
        <v/>
      </c>
      <c r="BU16" s="264" t="str">
        <f>IF(MAXIFS('単価履歴'!$H:$H,'単価履歴'!$E:$E,BU$1,'単価履歴'!$F:$F,$A16,'単価履歴'!$O:$O,
MAXIFS('単価履歴'!$O:$O,'単価履歴'!$E:$E,BU$1,'単価履歴'!$F:$F,$A16))=0,"",
MAXIFS('単価履歴'!$H:$H,'単価履歴'!$E:$E,BU$1,'単価履歴'!$F:$F,$A16,'単価履歴'!$O:$O,
MAXIFS('単価履歴'!$O:$O,'単価履歴'!$E:$E,BU$1,'単価履歴'!$F:$F,$A16)))</f>
        <v/>
      </c>
      <c r="BV16" s="264" t="str">
        <f>IF(MAXIFS('単価履歴'!$H:$H,'単価履歴'!$E:$E,BV$1,'単価履歴'!$F:$F,$A16,'単価履歴'!$O:$O,
MAXIFS('単価履歴'!$O:$O,'単価履歴'!$E:$E,BV$1,'単価履歴'!$F:$F,$A16))=0,"",
MAXIFS('単価履歴'!$H:$H,'単価履歴'!$E:$E,BV$1,'単価履歴'!$F:$F,$A16,'単価履歴'!$O:$O,
MAXIFS('単価履歴'!$O:$O,'単価履歴'!$E:$E,BV$1,'単価履歴'!$F:$F,$A16)))</f>
        <v/>
      </c>
      <c r="BW16" s="263" t="str">
        <f>IF(MAXIFS('単価履歴'!$H:$H,'単価履歴'!$E:$E,BW$1,'単価履歴'!$F:$F,$A16,'単価履歴'!$O:$O,
MAXIFS('単価履歴'!$O:$O,'単価履歴'!$E:$E,BW$1,'単価履歴'!$F:$F,$A16))=0,"",
MAXIFS('単価履歴'!$H:$H,'単価履歴'!$E:$E,BW$1,'単価履歴'!$F:$F,$A16,'単価履歴'!$O:$O,
MAXIFS('単価履歴'!$O:$O,'単価履歴'!$E:$E,BW$1,'単価履歴'!$F:$F,$A16)))</f>
        <v/>
      </c>
      <c r="BX16" s="256" t="str">
        <f>IF(MAXIFS('単価履歴'!$H:$H,'単価履歴'!$E:$E,BX$1,'単価履歴'!$F:$F,$A16,'単価履歴'!$O:$O,
MAXIFS('単価履歴'!$O:$O,'単価履歴'!$E:$E,BX$1,'単価履歴'!$F:$F,$A16))=0,"",
MAXIFS('単価履歴'!$H:$H,'単価履歴'!$E:$E,BX$1,'単価履歴'!$F:$F,$A16,'単価履歴'!$O:$O,
MAXIFS('単価履歴'!$O:$O,'単価履歴'!$E:$E,BX$1,'単価履歴'!$F:$F,$A16)))</f>
        <v/>
      </c>
      <c r="BY16" s="264" t="str">
        <f>IF(MAXIFS('単価履歴'!$H:$H,'単価履歴'!$E:$E,BY$1,'単価履歴'!$F:$F,$A16,'単価履歴'!$O:$O,
MAXIFS('単価履歴'!$O:$O,'単価履歴'!$E:$E,BY$1,'単価履歴'!$F:$F,$A16))=0,"",
MAXIFS('単価履歴'!$H:$H,'単価履歴'!$E:$E,BY$1,'単価履歴'!$F:$F,$A16,'単価履歴'!$O:$O,
MAXIFS('単価履歴'!$O:$O,'単価履歴'!$E:$E,BY$1,'単価履歴'!$F:$F,$A16)))</f>
        <v/>
      </c>
      <c r="BZ16" s="256"/>
      <c r="CA16" s="256"/>
      <c r="CB16" s="256"/>
      <c r="CC16" s="256"/>
      <c r="CD16" s="256"/>
      <c r="CE16" s="256"/>
      <c r="CF16" s="256"/>
      <c r="CG16" s="256"/>
    </row>
    <row r="17">
      <c r="A17" s="267" t="s">
        <v>119</v>
      </c>
      <c r="B17" s="246">
        <f>IF(MAXIFS('単価履歴'!$H:$H,'単価履歴'!$E:$E,B$1,'単価履歴'!$F:$F,$A17,'単価履歴'!$O:$O,
MAXIFS('単価履歴'!$O:$O,'単価履歴'!$E:$E,B$1,'単価履歴'!$F:$F,$A17))=0,"",
MAXIFS('単価履歴'!$H:$H,'単価履歴'!$E:$E,B$1,'単価履歴'!$F:$F,$A17,'単価履歴'!$O:$O,
MAXIFS('単価履歴'!$O:$O,'単価履歴'!$E:$E,B$1,'単価履歴'!$F:$F,$A17)))</f>
        <v>53</v>
      </c>
      <c r="C17" s="247">
        <f>IF(MAXIFS('単価履歴'!$H:$H,'単価履歴'!$E:$E,C$1,'単価履歴'!$F:$F,$A17,'単価履歴'!$O:$O,
MAXIFS('単価履歴'!$O:$O,'単価履歴'!$E:$E,C$1,'単価履歴'!$F:$F,$A17))=0,"",
MAXIFS('単価履歴'!$H:$H,'単価履歴'!$E:$E,C$1,'単価履歴'!$F:$F,$A17,'単価履歴'!$O:$O,
MAXIFS('単価履歴'!$O:$O,'単価履歴'!$E:$E,C$1,'単価履歴'!$F:$F,$A17)))</f>
        <v>51.5</v>
      </c>
      <c r="D17" s="246">
        <f>IF(MAXIFS('単価履歴'!$H:$H,'単価履歴'!$E:$E,D$1,'単価履歴'!$F:$F,$A17,'単価履歴'!$O:$O,
MAXIFS('単価履歴'!$O:$O,'単価履歴'!$E:$E,D$1,'単価履歴'!$F:$F,$A17))=0,"",
MAXIFS('単価履歴'!$H:$H,'単価履歴'!$E:$E,D$1,'単価履歴'!$F:$F,$A17,'単価履歴'!$O:$O,
MAXIFS('単価履歴'!$O:$O,'単価履歴'!$E:$E,D$1,'単価履歴'!$F:$F,$A17)))</f>
        <v>45.3</v>
      </c>
      <c r="E17" s="246"/>
      <c r="F17" s="246"/>
      <c r="G17" s="257">
        <f>IF(MAXIFS('単価履歴'!$H:$H,'単価履歴'!$E:$E,G$1,'単価履歴'!$F:$F,$A17,'単価履歴'!$O:$O,
MAXIFS('単価履歴'!$O:$O,'単価履歴'!$E:$E,G$1,'単価履歴'!$F:$F,$A17))=0,"",
MAXIFS('単価履歴'!$H:$H,'単価履歴'!$E:$E,G$1,'単価履歴'!$F:$F,$A17,'単価履歴'!$O:$O,
MAXIFS('単価履歴'!$O:$O,'単価履歴'!$E:$E,G$1,'単価履歴'!$F:$F,$A17)))</f>
        <v>54</v>
      </c>
      <c r="H17" s="246">
        <f>IF(MAXIFS('単価履歴'!$H:$H,'単価履歴'!$E:$E,H$1,'単価履歴'!$F:$F,$A17,'単価履歴'!$O:$O,
MAXIFS('単価履歴'!$O:$O,'単価履歴'!$E:$E,H$1,'単価履歴'!$F:$F,$A17))=0,"",
MAXIFS('単価履歴'!$H:$H,'単価履歴'!$E:$E,H$1,'単価履歴'!$F:$F,$A17,'単価履歴'!$O:$O,
MAXIFS('単価履歴'!$O:$O,'単価履歴'!$E:$E,H$1,'単価履歴'!$F:$F,$A17)))</f>
        <v>53.3</v>
      </c>
      <c r="I17" s="249"/>
      <c r="J17" s="248"/>
      <c r="K17" s="250">
        <f>IF(MAXIFS('単価履歴'!$H:$H,'単価履歴'!$E:$E,K$1,'単価履歴'!$F:$F,$A17,'単価履歴'!$O:$O,
MAXIFS('単価履歴'!$O:$O,'単価履歴'!$E:$E,K$1,'単価履歴'!$F:$F,$A17))=0,"",
MAXIFS('単価履歴'!$H:$H,'単価履歴'!$E:$E,K$1,'単価履歴'!$F:$F,$A17,'単価履歴'!$O:$O,
MAXIFS('単価履歴'!$O:$O,'単価履歴'!$E:$E,K$1,'単価履歴'!$F:$F,$A17)))</f>
        <v>50.5</v>
      </c>
      <c r="L17" s="250">
        <f>IF(MAXIFS('単価履歴'!$H:$H,'単価履歴'!$E:$E,L$1,'単価履歴'!$F:$F,$A17,'単価履歴'!$O:$O,
MAXIFS('単価履歴'!$O:$O,'単価履歴'!$E:$E,L$1,'単価履歴'!$F:$F,$A17))=0,"",
MAXIFS('単価履歴'!$H:$H,'単価履歴'!$E:$E,L$1,'単価履歴'!$F:$F,$A17,'単価履歴'!$O:$O,
MAXIFS('単価履歴'!$O:$O,'単価履歴'!$E:$E,L$1,'単価履歴'!$F:$F,$A17)))</f>
        <v>34.2</v>
      </c>
      <c r="M17" s="273">
        <f>IF(MAXIFS('単価履歴'!$H:$H,'単価履歴'!$E:$E,M$1,'単価履歴'!$F:$F,$A17,'単価履歴'!$O:$O,
MAXIFS('単価履歴'!$O:$O,'単価履歴'!$E:$E,M$1,'単価履歴'!$F:$F,$A17))=0,"",
MAXIFS('単価履歴'!$H:$H,'単価履歴'!$E:$E,M$1,'単価履歴'!$F:$F,$A17,'単価履歴'!$O:$O,
MAXIFS('単価履歴'!$O:$O,'単価履歴'!$E:$E,M$1,'単価履歴'!$F:$F,$A17)))</f>
        <v>50.7</v>
      </c>
      <c r="N17" s="250">
        <f>IF(MAXIFS('単価履歴'!$H:$H,'単価履歴'!$E:$E,N$1,'単価履歴'!$F:$F,$A17,'単価履歴'!$O:$O,
MAXIFS('単価履歴'!$O:$O,'単価履歴'!$E:$E,N$1,'単価履歴'!$F:$F,$A17))=0,"",
MAXIFS('単価履歴'!$H:$H,'単価履歴'!$E:$E,N$1,'単価履歴'!$F:$F,$A17,'単価履歴'!$O:$O,
MAXIFS('単価履歴'!$O:$O,'単価履歴'!$E:$E,N$1,'単価履歴'!$F:$F,$A17)))</f>
        <v>42.5</v>
      </c>
      <c r="O17" s="250">
        <f>IF(MAXIFS('単価履歴'!$H:$H,'単価履歴'!$E:$E,O$1,'単価履歴'!$F:$F,$A17,'単価履歴'!$O:$O,
MAXIFS('単価履歴'!$O:$O,'単価履歴'!$E:$E,O$1,'単価履歴'!$F:$F,$A17))=0,"",
MAXIFS('単価履歴'!$H:$H,'単価履歴'!$E:$E,O$1,'単価履歴'!$F:$F,$A17,'単価履歴'!$O:$O,
MAXIFS('単価履歴'!$O:$O,'単価履歴'!$E:$E,O$1,'単価履歴'!$F:$F,$A17)))</f>
        <v>53.2</v>
      </c>
      <c r="P17" s="247">
        <f>IF(MAXIFS('単価履歴'!$H:$H,'単価履歴'!$E:$E,P$1,'単価履歴'!$F:$F,$A17,'単価履歴'!$O:$O,
MAXIFS('単価履歴'!$O:$O,'単価履歴'!$E:$E,P$1,'単価履歴'!$F:$F,$A17))=0,"",
MAXIFS('単価履歴'!$H:$H,'単価履歴'!$E:$E,P$1,'単価履歴'!$F:$F,$A17,'単価履歴'!$O:$O,
MAXIFS('単価履歴'!$O:$O,'単価履歴'!$E:$E,P$1,'単価履歴'!$F:$F,$A17)))</f>
        <v>54.5</v>
      </c>
      <c r="Q17" s="246" t="str">
        <f>IF(MAXIFS('単価履歴'!$H:$H,'単価履歴'!$E:$E,Q$1,'単価履歴'!$F:$F,$A17,'単価履歴'!$O:$O,
MAXIFS('単価履歴'!$O:$O,'単価履歴'!$E:$E,Q$1,'単価履歴'!$F:$F,$A17))=0,"",
MAXIFS('単価履歴'!$H:$H,'単価履歴'!$E:$E,Q$1,'単価履歴'!$F:$F,$A17,'単価履歴'!$O:$O,
MAXIFS('単価履歴'!$O:$O,'単価履歴'!$E:$E,Q$1,'単価履歴'!$F:$F,$A17)))</f>
        <v/>
      </c>
      <c r="R17" s="246">
        <f>IF(MAXIFS('単価履歴'!$H:$H,'単価履歴'!$E:$E,R$1,'単価履歴'!$F:$F,$A17,'単価履歴'!$O:$O,
MAXIFS('単価履歴'!$O:$O,'単価履歴'!$E:$E,R$1,'単価履歴'!$F:$F,$A17))=0,"",
MAXIFS('単価履歴'!$H:$H,'単価履歴'!$E:$E,R$1,'単価履歴'!$F:$F,$A17,'単価履歴'!$O:$O,
MAXIFS('単価履歴'!$O:$O,'単価履歴'!$E:$E,R$1,'単価履歴'!$F:$F,$A17)))</f>
        <v>54.2</v>
      </c>
      <c r="S17" s="252" t="str">
        <f>IF(MAXIFS('単価履歴'!$H:$H,'単価履歴'!$E:$E,S$1,'単価履歴'!$F:$F,$A17,'単価履歴'!$O:$O,
MAXIFS('単価履歴'!$O:$O,'単価履歴'!$E:$E,S$1,'単価履歴'!$F:$F,$A17))=0,"",
MAXIFS('単価履歴'!$H:$H,'単価履歴'!$E:$E,S$1,'単価履歴'!$F:$F,$A17,'単価履歴'!$O:$O,
MAXIFS('単価履歴'!$O:$O,'単価履歴'!$E:$E,S$1,'単価履歴'!$F:$F,$A17)))</f>
        <v/>
      </c>
      <c r="T17" s="248" t="str">
        <f>IF(MAXIFS('単価履歴'!$H:$H,'単価履歴'!$E:$E,T$1,'単価履歴'!$F:$F,$A17,'単価履歴'!$O:$O,
MAXIFS('単価履歴'!$O:$O,'単価履歴'!$E:$E,T$1,'単価履歴'!$F:$F,$A17))=0,"",
MAXIFS('単価履歴'!$H:$H,'単価履歴'!$E:$E,T$1,'単価履歴'!$F:$F,$A17,'単価履歴'!$O:$O,
MAXIFS('単価履歴'!$O:$O,'単価履歴'!$E:$E,T$1,'単価履歴'!$F:$F,$A17)))</f>
        <v/>
      </c>
      <c r="U17" s="252" t="str">
        <f>IF(MAXIFS('単価履歴'!$H:$H,'単価履歴'!$E:$E,U$1,'単価履歴'!$F:$F,$A17,'単価履歴'!$O:$O,
MAXIFS('単価履歴'!$O:$O,'単価履歴'!$E:$E,U$1,'単価履歴'!$F:$F,$A17))=0,"",
MAXIFS('単価履歴'!$H:$H,'単価履歴'!$E:$E,U$1,'単価履歴'!$F:$F,$A17,'単価履歴'!$O:$O,
MAXIFS('単価履歴'!$O:$O,'単価履歴'!$E:$E,U$1,'単価履歴'!$F:$F,$A17)))</f>
        <v/>
      </c>
      <c r="V17" s="251">
        <f>IF(MAXIFS('単価履歴'!$H:$H,'単価履歴'!$E:$E,V$1,'単価履歴'!$F:$F,$A17,'単価履歴'!$O:$O,
MAXIFS('単価履歴'!$O:$O,'単価履歴'!$E:$E,V$1,'単価履歴'!$F:$F,$A17))=0,"",
MAXIFS('単価履歴'!$H:$H,'単価履歴'!$E:$E,V$1,'単価履歴'!$F:$F,$A17,'単価履歴'!$O:$O,
MAXIFS('単価履歴'!$O:$O,'単価履歴'!$E:$E,V$1,'単価履歴'!$F:$F,$A17)))</f>
        <v>51</v>
      </c>
      <c r="W17" s="246" t="str">
        <f>IF(MAXIFS('単価履歴'!$H:$H,'単価履歴'!$E:$E,W$1,'単価履歴'!$F:$F,$A17,'単価履歴'!$O:$O,
MAXIFS('単価履歴'!$O:$O,'単価履歴'!$E:$E,W$1,'単価履歴'!$F:$F,$A17))=0,"",
MAXIFS('単価履歴'!$H:$H,'単価履歴'!$E:$E,W$1,'単価履歴'!$F:$F,$A17,'単価履歴'!$O:$O,
MAXIFS('単価履歴'!$O:$O,'単価履歴'!$E:$E,W$1,'単価履歴'!$F:$F,$A17)))</f>
        <v/>
      </c>
      <c r="X17" s="249" t="str">
        <f>IF(MAXIFS('単価履歴'!$H:$H,'単価履歴'!$E:$E,X$1,'単価履歴'!$F:$F,$A17,'単価履歴'!$O:$O,
MAXIFS('単価履歴'!$O:$O,'単価履歴'!$E:$E,X$1,'単価履歴'!$F:$F,$A17))=0,"",
MAXIFS('単価履歴'!$H:$H,'単価履歴'!$E:$E,X$1,'単価履歴'!$F:$F,$A17,'単価履歴'!$O:$O,
MAXIFS('単価履歴'!$O:$O,'単価履歴'!$E:$E,X$1,'単価履歴'!$F:$F,$A17)))</f>
        <v/>
      </c>
      <c r="Y17" s="251">
        <f>IF(MAXIFS('単価履歴'!$H:$H,'単価履歴'!$E:$E,Y$1,'単価履歴'!$F:$F,$A17,'単価履歴'!$O:$O,
MAXIFS('単価履歴'!$O:$O,'単価履歴'!$E:$E,Y$1,'単価履歴'!$F:$F,$A17))=0,"",
MAXIFS('単価履歴'!$H:$H,'単価履歴'!$E:$E,Y$1,'単価履歴'!$F:$F,$A17,'単価履歴'!$O:$O,
MAXIFS('単価履歴'!$O:$O,'単価履歴'!$E:$E,Y$1,'単価履歴'!$F:$F,$A17)))</f>
        <v>40</v>
      </c>
      <c r="Z17" s="252" t="str">
        <f>IF(MAXIFS('単価履歴'!$H:$H,'単価履歴'!$E:$E,Z$1,'単価履歴'!$F:$F,$A17,'単価履歴'!$O:$O,
MAXIFS('単価履歴'!$O:$O,'単価履歴'!$E:$E,Z$1,'単価履歴'!$F:$F,$A17))=0,"",
MAXIFS('単価履歴'!$H:$H,'単価履歴'!$E:$E,Z$1,'単価履歴'!$F:$F,$A17,'単価履歴'!$O:$O,
MAXIFS('単価履歴'!$O:$O,'単価履歴'!$E:$E,Z$1,'単価履歴'!$F:$F,$A17)))</f>
        <v/>
      </c>
      <c r="AA17" s="249" t="str">
        <f>IF(MAXIFS('単価履歴'!$H:$H,'単価履歴'!$E:$E,AA$1,'単価履歴'!$F:$F,$A17,'単価履歴'!$O:$O,
MAXIFS('単価履歴'!$O:$O,'単価履歴'!$E:$E,AA$1,'単価履歴'!$F:$F,$A17))=0,"",
MAXIFS('単価履歴'!$H:$H,'単価履歴'!$E:$E,AA$1,'単価履歴'!$F:$F,$A17,'単価履歴'!$O:$O,
MAXIFS('単価履歴'!$O:$O,'単価履歴'!$E:$E,AA$1,'単価履歴'!$F:$F,$A17)))</f>
        <v/>
      </c>
      <c r="AB17" s="249" t="str">
        <f>IF(MAXIFS('単価履歴'!$H:$H,'単価履歴'!$E:$E,AB$1,'単価履歴'!$F:$F,$A17,'単価履歴'!$O:$O,
MAXIFS('単価履歴'!$O:$O,'単価履歴'!$E:$E,AB$1,'単価履歴'!$F:$F,$A17))=0,"",
MAXIFS('単価履歴'!$H:$H,'単価履歴'!$E:$E,AB$1,'単価履歴'!$F:$F,$A17,'単価履歴'!$O:$O,
MAXIFS('単価履歴'!$O:$O,'単価履歴'!$E:$E,AB$1,'単価履歴'!$F:$F,$A17)))</f>
        <v/>
      </c>
      <c r="AC17" s="251" t="str">
        <f>IF(MAXIFS('単価履歴'!$H:$H,'単価履歴'!$E:$E,AC$1,'単価履歴'!$F:$F,$A17,'単価履歴'!$O:$O,
MAXIFS('単価履歴'!$O:$O,'単価履歴'!$E:$E,AC$1,'単価履歴'!$F:$F,$A17))=0,"",
MAXIFS('単価履歴'!$H:$H,'単価履歴'!$E:$E,AC$1,'単価履歴'!$F:$F,$A17,'単価履歴'!$O:$O,
MAXIFS('単価履歴'!$O:$O,'単価履歴'!$E:$E,AC$1,'単価履歴'!$F:$F,$A17)))</f>
        <v/>
      </c>
      <c r="AD17" s="249" t="str">
        <f>IF(MAXIFS('単価履歴'!$H:$H,'単価履歴'!$E:$E,AD$1,'単価履歴'!$F:$F,$A17,'単価履歴'!$O:$O,
MAXIFS('単価履歴'!$O:$O,'単価履歴'!$E:$E,AD$1,'単価履歴'!$F:$F,$A17))=0,"",
MAXIFS('単価履歴'!$H:$H,'単価履歴'!$E:$E,AD$1,'単価履歴'!$F:$F,$A17,'単価履歴'!$O:$O,
MAXIFS('単価履歴'!$O:$O,'単価履歴'!$E:$E,AD$1,'単価履歴'!$F:$F,$A17)))</f>
        <v/>
      </c>
      <c r="AE17" s="249" t="str">
        <f>IF(MAXIFS('単価履歴'!$H:$H,'単価履歴'!$E:$E,AE$1,'単価履歴'!$F:$F,$A17,'単価履歴'!$O:$O,
MAXIFS('単価履歴'!$O:$O,'単価履歴'!$E:$E,AE$1,'単価履歴'!$F:$F,$A17))=0,"",
MAXIFS('単価履歴'!$H:$H,'単価履歴'!$E:$E,AE$1,'単価履歴'!$F:$F,$A17,'単価履歴'!$O:$O,
MAXIFS('単価履歴'!$O:$O,'単価履歴'!$E:$E,AE$1,'単価履歴'!$F:$F,$A17)))</f>
        <v/>
      </c>
      <c r="AF17" s="251" t="str">
        <f>IF(MAXIFS('単価履歴'!$H:$H,'単価履歴'!$E:$E,AF$1,'単価履歴'!$F:$F,$A17,'単価履歴'!$O:$O,
MAXIFS('単価履歴'!$O:$O,'単価履歴'!$E:$E,AF$1,'単価履歴'!$F:$F,$A17))=0,"",
MAXIFS('単価履歴'!$H:$H,'単価履歴'!$E:$E,AF$1,'単価履歴'!$F:$F,$A17,'単価履歴'!$O:$O,
MAXIFS('単価履歴'!$O:$O,'単価履歴'!$E:$E,AF$1,'単価履歴'!$F:$F,$A17)))</f>
        <v/>
      </c>
      <c r="AG17" s="249" t="str">
        <f>IF(MAXIFS('単価履歴'!$H:$H,'単価履歴'!$E:$E,AG$1,'単価履歴'!$F:$F,$A17,'単価履歴'!$O:$O,
MAXIFS('単価履歴'!$O:$O,'単価履歴'!$E:$E,AG$1,'単価履歴'!$F:$F,$A17))=0,"",
MAXIFS('単価履歴'!$H:$H,'単価履歴'!$E:$E,AG$1,'単価履歴'!$F:$F,$A17,'単価履歴'!$O:$O,
MAXIFS('単価履歴'!$O:$O,'単価履歴'!$E:$E,AG$1,'単価履歴'!$F:$F,$A17)))</f>
        <v/>
      </c>
      <c r="AH17" s="252" t="str">
        <f>IF(MAXIFS('単価履歴'!$H:$H,'単価履歴'!$E:$E,AH$1,'単価履歴'!$F:$F,$A17,'単価履歴'!$O:$O,
MAXIFS('単価履歴'!$O:$O,'単価履歴'!$E:$E,AH$1,'単価履歴'!$F:$F,$A17))=0,"",
MAXIFS('単価履歴'!$H:$H,'単価履歴'!$E:$E,AH$1,'単価履歴'!$F:$F,$A17,'単価履歴'!$O:$O,
MAXIFS('単価履歴'!$O:$O,'単価履歴'!$E:$E,AH$1,'単価履歴'!$F:$F,$A17)))</f>
        <v/>
      </c>
      <c r="AI17" s="249" t="str">
        <f>IF(MAXIFS('単価履歴'!$H:$H,'単価履歴'!$E:$E,AI$1,'単価履歴'!$F:$F,$A17,'単価履歴'!$O:$O,
MAXIFS('単価履歴'!$O:$O,'単価履歴'!$E:$E,AI$1,'単価履歴'!$F:$F,$A17))=0,"",
MAXIFS('単価履歴'!$H:$H,'単価履歴'!$E:$E,AI$1,'単価履歴'!$F:$F,$A17,'単価履歴'!$O:$O,
MAXIFS('単価履歴'!$O:$O,'単価履歴'!$E:$E,AI$1,'単価履歴'!$F:$F,$A17)))</f>
        <v/>
      </c>
      <c r="AJ17" s="251" t="str">
        <f>IF(MAXIFS('単価履歴'!$H:$H,'単価履歴'!$E:$E,AJ$1,'単価履歴'!$F:$F,$A17,'単価履歴'!$O:$O,
MAXIFS('単価履歴'!$O:$O,'単価履歴'!$E:$E,AJ$1,'単価履歴'!$F:$F,$A17))=0,"",
MAXIFS('単価履歴'!$H:$H,'単価履歴'!$E:$E,AJ$1,'単価履歴'!$F:$F,$A17,'単価履歴'!$O:$O,
MAXIFS('単価履歴'!$O:$O,'単価履歴'!$E:$E,AJ$1,'単価履歴'!$F:$F,$A17)))</f>
        <v/>
      </c>
      <c r="AK17" s="252" t="str">
        <f>IF(MAXIFS('単価履歴'!$H:$H,'単価履歴'!$E:$E,AK$1,'単価履歴'!$F:$F,$A17,'単価履歴'!$O:$O,
MAXIFS('単価履歴'!$O:$O,'単価履歴'!$E:$E,AK$1,'単価履歴'!$F:$F,$A17))=0,"",
MAXIFS('単価履歴'!$H:$H,'単価履歴'!$E:$E,AK$1,'単価履歴'!$F:$F,$A17,'単価履歴'!$O:$O,
MAXIFS('単価履歴'!$O:$O,'単価履歴'!$E:$E,AK$1,'単価履歴'!$F:$F,$A17)))</f>
        <v/>
      </c>
      <c r="AL17" s="249" t="str">
        <f>IF(MAXIFS('単価履歴'!$H:$H,'単価履歴'!$E:$E,AL$1,'単価履歴'!$F:$F,$A17,'単価履歴'!$O:$O,
MAXIFS('単価履歴'!$O:$O,'単価履歴'!$E:$E,AL$1,'単価履歴'!$F:$F,$A17))=0,"",
MAXIFS('単価履歴'!$H:$H,'単価履歴'!$E:$E,AL$1,'単価履歴'!$F:$F,$A17,'単価履歴'!$O:$O,
MAXIFS('単価履歴'!$O:$O,'単価履歴'!$E:$E,AL$1,'単価履歴'!$F:$F,$A17)))</f>
        <v/>
      </c>
      <c r="AM17" s="257">
        <f>IF(MAXIFS('単価履歴'!$H:$H,'単価履歴'!$E:$E,AM$1,'単価履歴'!$F:$F,$A17,'単価履歴'!$O:$O,
MAXIFS('単価履歴'!$O:$O,'単価履歴'!$E:$E,AM$1,'単価履歴'!$F:$F,$A17))=0,"",
MAXIFS('単価履歴'!$H:$H,'単価履歴'!$E:$E,AM$1,'単価履歴'!$F:$F,$A17,'単価履歴'!$O:$O,
MAXIFS('単価履歴'!$O:$O,'単価履歴'!$E:$E,AM$1,'単価履歴'!$F:$F,$A17)))</f>
        <v>53</v>
      </c>
      <c r="AN17" s="257" t="str">
        <f>IF(MAXIFS('単価履歴'!$H:$H,'単価履歴'!$E:$E,AN$1,'単価履歴'!$F:$F,$A17,'単価履歴'!$O:$O,
MAXIFS('単価履歴'!$O:$O,'単価履歴'!$E:$E,AN$1,'単価履歴'!$F:$F,$A17))=0,"",
MAXIFS('単価履歴'!$H:$H,'単価履歴'!$E:$E,AN$1,'単価履歴'!$F:$F,$A17,'単価履歴'!$O:$O,
MAXIFS('単価履歴'!$O:$O,'単価履歴'!$E:$E,AN$1,'単価履歴'!$F:$F,$A17)))</f>
        <v/>
      </c>
      <c r="AO17" s="246">
        <f>IF(MAXIFS('単価履歴'!$H:$H,'単価履歴'!$E:$E,AO$1,'単価履歴'!$F:$F,$A17,'単価履歴'!$O:$O,
MAXIFS('単価履歴'!$O:$O,'単価履歴'!$E:$E,AO$1,'単価履歴'!$F:$F,$A17))=0,"",
MAXIFS('単価履歴'!$H:$H,'単価履歴'!$E:$E,AO$1,'単価履歴'!$F:$F,$A17,'単価履歴'!$O:$O,
MAXIFS('単価履歴'!$O:$O,'単価履歴'!$E:$E,AO$1,'単価履歴'!$F:$F,$A17)))</f>
        <v>54.1</v>
      </c>
      <c r="AP17" s="247" t="str">
        <f>IF(MAXIFS('単価履歴'!$H:$H,'単価履歴'!$E:$E,AP$1,'単価履歴'!$F:$F,$A17,'単価履歴'!$O:$O,
MAXIFS('単価履歴'!$O:$O,'単価履歴'!$E:$E,AP$1,'単価履歴'!$F:$F,$A17))=0,"",
MAXIFS('単価履歴'!$H:$H,'単価履歴'!$E:$E,AP$1,'単価履歴'!$F:$F,$A17,'単価履歴'!$O:$O,
MAXIFS('単価履歴'!$O:$O,'単価履歴'!$E:$E,AP$1,'単価履歴'!$F:$F,$A17)))</f>
        <v/>
      </c>
      <c r="AQ17" s="251" t="str">
        <f>IF(MAXIFS('単価履歴'!$H:$H,'単価履歴'!$E:$E,AQ$1,'単価履歴'!$F:$F,$A17,'単価履歴'!$O:$O,
MAXIFS('単価履歴'!$O:$O,'単価履歴'!$E:$E,AQ$1,'単価履歴'!$F:$F,$A17))=0,"",
MAXIFS('単価履歴'!$H:$H,'単価履歴'!$E:$E,AQ$1,'単価履歴'!$F:$F,$A17,'単価履歴'!$O:$O,
MAXIFS('単価履歴'!$O:$O,'単価履歴'!$E:$E,AQ$1,'単価履歴'!$F:$F,$A17)))</f>
        <v/>
      </c>
      <c r="AR17" s="249" t="str">
        <f>IF(MAXIFS('単価履歴'!$H:$H,'単価履歴'!$E:$E,AR$1,'単価履歴'!$F:$F,$A17,'単価履歴'!$O:$O,
MAXIFS('単価履歴'!$O:$O,'単価履歴'!$E:$E,AR$1,'単価履歴'!$F:$F,$A17))=0,"",
MAXIFS('単価履歴'!$H:$H,'単価履歴'!$E:$E,AR$1,'単価履歴'!$F:$F,$A17,'単価履歴'!$O:$O,
MAXIFS('単価履歴'!$O:$O,'単価履歴'!$E:$E,AR$1,'単価履歴'!$F:$F,$A17)))</f>
        <v/>
      </c>
      <c r="AS17" s="249" t="str">
        <f>IF(MAXIFS('単価履歴'!$H:$H,'単価履歴'!$E:$E,AS$1,'単価履歴'!$F:$F,$A17,'単価履歴'!$O:$O,
MAXIFS('単価履歴'!$O:$O,'単価履歴'!$E:$E,AS$1,'単価履歴'!$F:$F,$A17))=0,"",
MAXIFS('単価履歴'!$H:$H,'単価履歴'!$E:$E,AS$1,'単価履歴'!$F:$F,$A17,'単価履歴'!$O:$O,
MAXIFS('単価履歴'!$O:$O,'単価履歴'!$E:$E,AS$1,'単価履歴'!$F:$F,$A17)))</f>
        <v/>
      </c>
      <c r="AT17" s="262">
        <f>IF(MAXIFS('単価履歴'!$H:$H,'単価履歴'!$E:$E,AT$1,'単価履歴'!$F:$F,$A17,'単価履歴'!$O:$O,
MAXIFS('単価履歴'!$O:$O,'単価履歴'!$E:$E,AT$1,'単価履歴'!$F:$F,$A17))=0,"",
MAXIFS('単価履歴'!$H:$H,'単価履歴'!$E:$E,AT$1,'単価履歴'!$F:$F,$A17,'単価履歴'!$O:$O,
MAXIFS('単価履歴'!$O:$O,'単価履歴'!$E:$E,AT$1,'単価履歴'!$F:$F,$A17)))</f>
        <v>53</v>
      </c>
      <c r="AU17" s="249" t="str">
        <f>IF(MAXIFS('単価履歴'!$H:$H,'単価履歴'!$E:$E,AU$1,'単価履歴'!$F:$F,$A17,'単価履歴'!$O:$O,
MAXIFS('単価履歴'!$O:$O,'単価履歴'!$E:$E,AU$1,'単価履歴'!$F:$F,$A17))=0,"",
MAXIFS('単価履歴'!$H:$H,'単価履歴'!$E:$E,AU$1,'単価履歴'!$F:$F,$A17,'単価履歴'!$O:$O,
MAXIFS('単価履歴'!$O:$O,'単価履歴'!$E:$E,AU$1,'単価履歴'!$F:$F,$A17)))</f>
        <v/>
      </c>
      <c r="AV17" s="247">
        <f>IF(MAXIFS('単価履歴'!$H:$H,'単価履歴'!$E:$E,AV$1,'単価履歴'!$F:$F,$A17,'単価履歴'!$O:$O,
MAXIFS('単価履歴'!$O:$O,'単価履歴'!$E:$E,AV$1,'単価履歴'!$F:$F,$A17))=0,"",
MAXIFS('単価履歴'!$H:$H,'単価履歴'!$E:$E,AV$1,'単価履歴'!$F:$F,$A17,'単価履歴'!$O:$O,
MAXIFS('単価履歴'!$O:$O,'単価履歴'!$E:$E,AV$1,'単価履歴'!$F:$F,$A17)))</f>
        <v>53</v>
      </c>
      <c r="AW17" s="258">
        <f>IF(MAXIFS('単価履歴'!$H:$H,'単価履歴'!$E:$E,AW$1,'単価履歴'!$F:$F,$A17,'単価履歴'!$O:$O,
MAXIFS('単価履歴'!$O:$O,'単価履歴'!$E:$E,AW$1,'単価履歴'!$F:$F,$A17))=0,"",
MAXIFS('単価履歴'!$H:$H,'単価履歴'!$E:$E,AW$1,'単価履歴'!$F:$F,$A17,'単価履歴'!$O:$O,
MAXIFS('単価履歴'!$O:$O,'単価履歴'!$E:$E,AW$1,'単価履歴'!$F:$F,$A17)))</f>
        <v>53</v>
      </c>
      <c r="AX17" s="247">
        <f>IF(MAXIFS('単価履歴'!$H:$H,'単価履歴'!$E:$E,AX$1,'単価履歴'!$F:$F,$A17,'単価履歴'!$O:$O,
MAXIFS('単価履歴'!$O:$O,'単価履歴'!$E:$E,AX$1,'単価履歴'!$F:$F,$A17))=0,"",
MAXIFS('単価履歴'!$H:$H,'単価履歴'!$E:$E,AX$1,'単価履歴'!$F:$F,$A17,'単価履歴'!$O:$O,
MAXIFS('単価履歴'!$O:$O,'単価履歴'!$E:$E,AX$1,'単価履歴'!$F:$F,$A17)))</f>
        <v>49.2</v>
      </c>
      <c r="AY17" s="258">
        <f>IF(MAXIFS('単価履歴'!$H:$H,'単価履歴'!$E:$E,AY$1,'単価履歴'!$F:$F,$A17,'単価履歴'!$O:$O,
MAXIFS('単価履歴'!$O:$O,'単価履歴'!$E:$E,AY$1,'単価履歴'!$F:$F,$A17))=0,"",
MAXIFS('単価履歴'!$H:$H,'単価履歴'!$E:$E,AY$1,'単価履歴'!$F:$F,$A17,'単価履歴'!$O:$O,
MAXIFS('単価履歴'!$O:$O,'単価履歴'!$E:$E,AY$1,'単価履歴'!$F:$F,$A17)))</f>
        <v>49.4</v>
      </c>
      <c r="AZ17" s="246">
        <f>IF(MAXIFS('単価履歴'!$H:$H,'単価履歴'!$E:$E,AZ$1,'単価履歴'!$F:$F,$A17,'単価履歴'!$O:$O,
MAXIFS('単価履歴'!$O:$O,'単価履歴'!$E:$E,AZ$1,'単価履歴'!$F:$F,$A17))=0,"",
MAXIFS('単価履歴'!$H:$H,'単価履歴'!$E:$E,AZ$1,'単価履歴'!$F:$F,$A17,'単価履歴'!$O:$O,
MAXIFS('単価履歴'!$O:$O,'単価履歴'!$E:$E,AZ$1,'単価履歴'!$F:$F,$A17)))</f>
        <v>50</v>
      </c>
      <c r="BA17" s="258">
        <f>IF(MAXIFS('単価履歴'!$H:$H,'単価履歴'!$E:$E,BA$1,'単価履歴'!$F:$F,$A17,'単価履歴'!$O:$O,
MAXIFS('単価履歴'!$O:$O,'単価履歴'!$E:$E,BA$1,'単価履歴'!$F:$F,$A17))=0,"",
MAXIFS('単価履歴'!$H:$H,'単価履歴'!$E:$E,BA$1,'単価履歴'!$F:$F,$A17,'単価履歴'!$O:$O,
MAXIFS('単価履歴'!$O:$O,'単価履歴'!$E:$E,BA$1,'単価履歴'!$F:$F,$A17)))</f>
        <v>49.5</v>
      </c>
      <c r="BB17" s="249"/>
      <c r="BC17" s="249" t="str">
        <f>IF(MAXIFS('単価履歴'!$H:$H,'単価履歴'!$E:$E,BC$1,'単価履歴'!$F:$F,$A17,'単価履歴'!$O:$O,
MAXIFS('単価履歴'!$O:$O,'単価履歴'!$E:$E,BC$1,'単価履歴'!$F:$F,$A17))=0,"",
MAXIFS('単価履歴'!$H:$H,'単価履歴'!$E:$E,BC$1,'単価履歴'!$F:$F,$A17,'単価履歴'!$O:$O,
MAXIFS('単価履歴'!$O:$O,'単価履歴'!$E:$E,BC$1,'単価履歴'!$F:$F,$A17)))</f>
        <v/>
      </c>
      <c r="BD17" s="249" t="str">
        <f>IF(MAXIFS('単価履歴'!$H:$H,'単価履歴'!$E:$E,BD$1,'単価履歴'!$F:$F,$A17,'単価履歴'!$O:$O,
MAXIFS('単価履歴'!$O:$O,'単価履歴'!$E:$E,BD$1,'単価履歴'!$F:$F,$A17))=0,"",
MAXIFS('単価履歴'!$H:$H,'単価履歴'!$E:$E,BD$1,'単価履歴'!$F:$F,$A17,'単価履歴'!$O:$O,
MAXIFS('単価履歴'!$O:$O,'単価履歴'!$E:$E,BD$1,'単価履歴'!$F:$F,$A17)))</f>
        <v/>
      </c>
      <c r="BE17" s="249" t="str">
        <f>IF(MAXIFS('単価履歴'!$H:$H,'単価履歴'!$E:$E,BE$1,'単価履歴'!$F:$F,$A17,'単価履歴'!$O:$O,
MAXIFS('単価履歴'!$O:$O,'単価履歴'!$E:$E,BE$1,'単価履歴'!$F:$F,$A17))=0,"",
MAXIFS('単価履歴'!$H:$H,'単価履歴'!$E:$E,BE$1,'単価履歴'!$F:$F,$A17,'単価履歴'!$O:$O,
MAXIFS('単価履歴'!$O:$O,'単価履歴'!$E:$E,BE$1,'単価履歴'!$F:$F,$A17)))</f>
        <v/>
      </c>
      <c r="BF17" s="248" t="str">
        <f>IF(MAXIFS('単価履歴'!$H:$H,'単価履歴'!$E:$E,BF$1,'単価履歴'!$F:$F,$A17,'単価履歴'!$O:$O,
MAXIFS('単価履歴'!$O:$O,'単価履歴'!$E:$E,BF$1,'単価履歴'!$F:$F,$A17))=0,"",
MAXIFS('単価履歴'!$H:$H,'単価履歴'!$E:$E,BF$1,'単価履歴'!$F:$F,$A17,'単価履歴'!$O:$O,
MAXIFS('単価履歴'!$O:$O,'単価履歴'!$E:$E,BF$1,'単価履歴'!$F:$F,$A17)))</f>
        <v/>
      </c>
      <c r="BG17" s="249" t="str">
        <f>IF(MAXIFS('単価履歴'!$H:$H,'単価履歴'!$E:$E,BG$1,'単価履歴'!$F:$F,$A17,'単価履歴'!$O:$O,
MAXIFS('単価履歴'!$O:$O,'単価履歴'!$E:$E,BG$1,'単価履歴'!$F:$F,$A17))=0,"",
MAXIFS('単価履歴'!$H:$H,'単価履歴'!$E:$E,BG$1,'単価履歴'!$F:$F,$A17,'単価履歴'!$O:$O,
MAXIFS('単価履歴'!$O:$O,'単価履歴'!$E:$E,BG$1,'単価履歴'!$F:$F,$A17)))</f>
        <v/>
      </c>
      <c r="BH17" s="251" t="str">
        <f>IF(MAXIFS('単価履歴'!$H:$H,'単価履歴'!$E:$E,BH$1,'単価履歴'!$F:$F,$A17,'単価履歴'!$O:$O,
MAXIFS('単価履歴'!$O:$O,'単価履歴'!$E:$E,BH$1,'単価履歴'!$F:$F,$A17))=0,"",
MAXIFS('単価履歴'!$H:$H,'単価履歴'!$E:$E,BH$1,'単価履歴'!$F:$F,$A17,'単価履歴'!$O:$O,
MAXIFS('単価履歴'!$O:$O,'単価履歴'!$E:$E,BH$1,'単価履歴'!$F:$F,$A17)))</f>
        <v/>
      </c>
      <c r="BI17" s="249" t="str">
        <f>IF(MAXIFS('単価履歴'!$H:$H,'単価履歴'!$E:$E,BI$1,'単価履歴'!$F:$F,$A17,'単価履歴'!$O:$O,
MAXIFS('単価履歴'!$O:$O,'単価履歴'!$E:$E,BI$1,'単価履歴'!$F:$F,$A17))=0,"",
MAXIFS('単価履歴'!$H:$H,'単価履歴'!$E:$E,BI$1,'単価履歴'!$F:$F,$A17,'単価履歴'!$O:$O,
MAXIFS('単価履歴'!$O:$O,'単価履歴'!$E:$E,BI$1,'単価履歴'!$F:$F,$A17)))</f>
        <v/>
      </c>
      <c r="BJ17" s="248" t="str">
        <f>IF(MAXIFS('単価履歴'!$H:$H,'単価履歴'!$E:$E,BJ$1,'単価履歴'!$F:$F,$A17,'単価履歴'!$O:$O,
MAXIFS('単価履歴'!$O:$O,'単価履歴'!$E:$E,BJ$1,'単価履歴'!$F:$F,$A17))=0,"",
MAXIFS('単価履歴'!$H:$H,'単価履歴'!$E:$E,BJ$1,'単価履歴'!$F:$F,$A17,'単価履歴'!$O:$O,
MAXIFS('単価履歴'!$O:$O,'単価履歴'!$E:$E,BJ$1,'単価履歴'!$F:$F,$A17)))</f>
        <v/>
      </c>
      <c r="BK17" s="258">
        <f>IF(MAXIFS('単価履歴'!$H:$H,'単価履歴'!$E:$E,BK$1,'単価履歴'!$F:$F,$A17,'単価履歴'!$O:$O,
MAXIFS('単価履歴'!$O:$O,'単価履歴'!$E:$E,BK$1,'単価履歴'!$F:$F,$A17))=0,"",
MAXIFS('単価履歴'!$H:$H,'単価履歴'!$E:$E,BK$1,'単価履歴'!$F:$F,$A17,'単価履歴'!$O:$O,
MAXIFS('単価履歴'!$O:$O,'単価履歴'!$E:$E,BK$1,'単価履歴'!$F:$F,$A17)))</f>
        <v>51</v>
      </c>
      <c r="BL17" s="249" t="str">
        <f>IF(MAXIFS('単価履歴'!$H:$H,'単価履歴'!$E:$E,BL$1,'単価履歴'!$F:$F,$A17,'単価履歴'!$O:$O,
MAXIFS('単価履歴'!$O:$O,'単価履歴'!$E:$E,BL$1,'単価履歴'!$F:$F,$A17))=0,"",
MAXIFS('単価履歴'!$H:$H,'単価履歴'!$E:$E,BL$1,'単価履歴'!$F:$F,$A17,'単価履歴'!$O:$O,
MAXIFS('単価履歴'!$O:$O,'単価履歴'!$E:$E,BL$1,'単価履歴'!$F:$F,$A17)))</f>
        <v/>
      </c>
      <c r="BM17" s="248" t="str">
        <f>IF(MAXIFS('単価履歴'!$H:$H,'単価履歴'!$E:$E,BM$1,'単価履歴'!$F:$F,$A17,'単価履歴'!$O:$O,
MAXIFS('単価履歴'!$O:$O,'単価履歴'!$E:$E,BM$1,'単価履歴'!$F:$F,$A17))=0,"",
MAXIFS('単価履歴'!$H:$H,'単価履歴'!$E:$E,BM$1,'単価履歴'!$F:$F,$A17,'単価履歴'!$O:$O,
MAXIFS('単価履歴'!$O:$O,'単価履歴'!$E:$E,BM$1,'単価履歴'!$F:$F,$A17)))</f>
        <v/>
      </c>
      <c r="BN17" s="249" t="str">
        <f>IF(MAXIFS('単価履歴'!$H:$H,'単価履歴'!$E:$E,BN$1,'単価履歴'!$F:$F,$A17,'単価履歴'!$O:$O,
MAXIFS('単価履歴'!$O:$O,'単価履歴'!$E:$E,BN$1,'単価履歴'!$F:$F,$A17))=0,"",
MAXIFS('単価履歴'!$H:$H,'単価履歴'!$E:$E,BN$1,'単価履歴'!$F:$F,$A17,'単価履歴'!$O:$O,
MAXIFS('単価履歴'!$O:$O,'単価履歴'!$E:$E,BN$1,'単価履歴'!$F:$F,$A17)))</f>
        <v/>
      </c>
      <c r="BO17" s="248" t="str">
        <f>IF(MAXIFS('単価履歴'!$H:$H,'単価履歴'!$E:$E,BO$1,'単価履歴'!$F:$F,$A17,'単価履歴'!$O:$O,
MAXIFS('単価履歴'!$O:$O,'単価履歴'!$E:$E,BO$1,'単価履歴'!$F:$F,$A17))=0,"",
MAXIFS('単価履歴'!$H:$H,'単価履歴'!$E:$E,BO$1,'単価履歴'!$F:$F,$A17,'単価履歴'!$O:$O,
MAXIFS('単価履歴'!$O:$O,'単価履歴'!$E:$E,BO$1,'単価履歴'!$F:$F,$A17)))</f>
        <v/>
      </c>
      <c r="BP17" s="249" t="str">
        <f>IF(MAXIFS('単価履歴'!$H:$H,'単価履歴'!$E:$E,BP$1,'単価履歴'!$F:$F,$A17,'単価履歴'!$O:$O,
MAXIFS('単価履歴'!$O:$O,'単価履歴'!$E:$E,BP$1,'単価履歴'!$F:$F,$A17))=0,"",
MAXIFS('単価履歴'!$H:$H,'単価履歴'!$E:$E,BP$1,'単価履歴'!$F:$F,$A17,'単価履歴'!$O:$O,
MAXIFS('単価履歴'!$O:$O,'単価履歴'!$E:$E,BP$1,'単価履歴'!$F:$F,$A17)))</f>
        <v/>
      </c>
      <c r="BQ17" s="249" t="str">
        <f>IF(MAXIFS('単価履歴'!$H:$H,'単価履歴'!$E:$E,BQ$1,'単価履歴'!$F:$F,$A17,'単価履歴'!$O:$O,
MAXIFS('単価履歴'!$O:$O,'単価履歴'!$E:$E,BQ$1,'単価履歴'!$F:$F,$A17))=0,"",
MAXIFS('単価履歴'!$H:$H,'単価履歴'!$E:$E,BQ$1,'単価履歴'!$F:$F,$A17,'単価履歴'!$O:$O,
MAXIFS('単価履歴'!$O:$O,'単価履歴'!$E:$E,BQ$1,'単価履歴'!$F:$F,$A17)))</f>
        <v/>
      </c>
      <c r="BR17" s="252" t="str">
        <f>IF(MAXIFS('単価履歴'!$H:$H,'単価履歴'!$E:$E,BR$1,'単価履歴'!$F:$F,$A17,'単価履歴'!$O:$O,
MAXIFS('単価履歴'!$O:$O,'単価履歴'!$E:$E,BR$1,'単価履歴'!$F:$F,$A17))=0,"",
MAXIFS('単価履歴'!$H:$H,'単価履歴'!$E:$E,BR$1,'単価履歴'!$F:$F,$A17,'単価履歴'!$O:$O,
MAXIFS('単価履歴'!$O:$O,'単価履歴'!$E:$E,BR$1,'単価履歴'!$F:$F,$A17)))</f>
        <v/>
      </c>
      <c r="BS17" s="252" t="str">
        <f>IF(MAXIFS('単価履歴'!$H:$H,'単価履歴'!$E:$E,BS$1,'単価履歴'!$F:$F,$A17,'単価履歴'!$O:$O,
MAXIFS('単価履歴'!$O:$O,'単価履歴'!$E:$E,BS$1,'単価履歴'!$F:$F,$A17))=0,"",
MAXIFS('単価履歴'!$H:$H,'単価履歴'!$E:$E,BS$1,'単価履歴'!$F:$F,$A17,'単価履歴'!$O:$O,
MAXIFS('単価履歴'!$O:$O,'単価履歴'!$E:$E,BS$1,'単価履歴'!$F:$F,$A17)))</f>
        <v/>
      </c>
      <c r="BT17" s="252" t="str">
        <f>IF(MAXIFS('単価履歴'!$H:$H,'単価履歴'!$E:$E,BT$1,'単価履歴'!$F:$F,$A17,'単価履歴'!$O:$O,
MAXIFS('単価履歴'!$O:$O,'単価履歴'!$E:$E,BT$1,'単価履歴'!$F:$F,$A17))=0,"",
MAXIFS('単価履歴'!$H:$H,'単価履歴'!$E:$E,BT$1,'単価履歴'!$F:$F,$A17,'単価履歴'!$O:$O,
MAXIFS('単価履歴'!$O:$O,'単価履歴'!$E:$E,BT$1,'単価履歴'!$F:$F,$A17)))</f>
        <v/>
      </c>
      <c r="BU17" s="252" t="str">
        <f>IF(MAXIFS('単価履歴'!$H:$H,'単価履歴'!$E:$E,BU$1,'単価履歴'!$F:$F,$A17,'単価履歴'!$O:$O,
MAXIFS('単価履歴'!$O:$O,'単価履歴'!$E:$E,BU$1,'単価履歴'!$F:$F,$A17))=0,"",
MAXIFS('単価履歴'!$H:$H,'単価履歴'!$E:$E,BU$1,'単価履歴'!$F:$F,$A17,'単価履歴'!$O:$O,
MAXIFS('単価履歴'!$O:$O,'単価履歴'!$E:$E,BU$1,'単価履歴'!$F:$F,$A17)))</f>
        <v/>
      </c>
      <c r="BV17" s="252" t="str">
        <f>IF(MAXIFS('単価履歴'!$H:$H,'単価履歴'!$E:$E,BV$1,'単価履歴'!$F:$F,$A17,'単価履歴'!$O:$O,
MAXIFS('単価履歴'!$O:$O,'単価履歴'!$E:$E,BV$1,'単価履歴'!$F:$F,$A17))=0,"",
MAXIFS('単価履歴'!$H:$H,'単価履歴'!$E:$E,BV$1,'単価履歴'!$F:$F,$A17,'単価履歴'!$O:$O,
MAXIFS('単価履歴'!$O:$O,'単価履歴'!$E:$E,BV$1,'単価履歴'!$F:$F,$A17)))</f>
        <v/>
      </c>
      <c r="BW17" s="248" t="str">
        <f>IF(MAXIFS('単価履歴'!$H:$H,'単価履歴'!$E:$E,BW$1,'単価履歴'!$F:$F,$A17,'単価履歴'!$O:$O,
MAXIFS('単価履歴'!$O:$O,'単価履歴'!$E:$E,BW$1,'単価履歴'!$F:$F,$A17))=0,"",
MAXIFS('単価履歴'!$H:$H,'単価履歴'!$E:$E,BW$1,'単価履歴'!$F:$F,$A17,'単価履歴'!$O:$O,
MAXIFS('単価履歴'!$O:$O,'単価履歴'!$E:$E,BW$1,'単価履歴'!$F:$F,$A17)))</f>
        <v/>
      </c>
      <c r="BX17" s="249" t="str">
        <f>IF(MAXIFS('単価履歴'!$H:$H,'単価履歴'!$E:$E,BX$1,'単価履歴'!$F:$F,$A17,'単価履歴'!$O:$O,
MAXIFS('単価履歴'!$O:$O,'単価履歴'!$E:$E,BX$1,'単価履歴'!$F:$F,$A17))=0,"",
MAXIFS('単価履歴'!$H:$H,'単価履歴'!$E:$E,BX$1,'単価履歴'!$F:$F,$A17,'単価履歴'!$O:$O,
MAXIFS('単価履歴'!$O:$O,'単価履歴'!$E:$E,BX$1,'単価履歴'!$F:$F,$A17)))</f>
        <v/>
      </c>
      <c r="BY17" s="252" t="str">
        <f>IF(MAXIFS('単価履歴'!$H:$H,'単価履歴'!$E:$E,BY$1,'単価履歴'!$F:$F,$A17,'単価履歴'!$O:$O,
MAXIFS('単価履歴'!$O:$O,'単価履歴'!$E:$E,BY$1,'単価履歴'!$F:$F,$A17))=0,"",
MAXIFS('単価履歴'!$H:$H,'単価履歴'!$E:$E,BY$1,'単価履歴'!$F:$F,$A17,'単価履歴'!$O:$O,
MAXIFS('単価履歴'!$O:$O,'単価履歴'!$E:$E,BY$1,'単価履歴'!$F:$F,$A17)))</f>
        <v/>
      </c>
      <c r="BZ17" s="249"/>
      <c r="CA17" s="249"/>
      <c r="CB17" s="249"/>
      <c r="CC17" s="249"/>
      <c r="CD17" s="249"/>
      <c r="CE17" s="249"/>
      <c r="CF17" s="249"/>
      <c r="CG17" s="249"/>
    </row>
    <row r="18">
      <c r="A18" s="261" t="s">
        <v>122</v>
      </c>
      <c r="B18" s="246">
        <f>IF(MAXIFS('単価履歴'!$H:$H,'単価履歴'!$E:$E,B$1,'単価履歴'!$F:$F,$A18,'単価履歴'!$O:$O,
MAXIFS('単価履歴'!$O:$O,'単価履歴'!$E:$E,B$1,'単価履歴'!$F:$F,$A18))=0,"",
MAXIFS('単価履歴'!$H:$H,'単価履歴'!$E:$E,B$1,'単価履歴'!$F:$F,$A18,'単価履歴'!$O:$O,
MAXIFS('単価履歴'!$O:$O,'単価履歴'!$E:$E,B$1,'単価履歴'!$F:$F,$A18)))</f>
        <v>52.5</v>
      </c>
      <c r="C18" s="262">
        <f>IF(MAXIFS('単価履歴'!$H:$H,'単価履歴'!$E:$E,C$1,'単価履歴'!$F:$F,$A18,'単価履歴'!$O:$O,
MAXIFS('単価履歴'!$O:$O,'単価履歴'!$E:$E,C$1,'単価履歴'!$F:$F,$A18))=0,"",
MAXIFS('単価履歴'!$H:$H,'単価履歴'!$E:$E,C$1,'単価履歴'!$F:$F,$A18,'単価履歴'!$O:$O,
MAXIFS('単価履歴'!$O:$O,'単価履歴'!$E:$E,C$1,'単価履歴'!$F:$F,$A18)))</f>
        <v>51</v>
      </c>
      <c r="D18" s="250">
        <f>IF(MAXIFS('単価履歴'!$H:$H,'単価履歴'!$E:$E,D$1,'単価履歴'!$F:$F,$A18,'単価履歴'!$O:$O,
MAXIFS('単価履歴'!$O:$O,'単価履歴'!$E:$E,D$1,'単価履歴'!$F:$F,$A18))=0,"",
MAXIFS('単価履歴'!$H:$H,'単価履歴'!$E:$E,D$1,'単価履歴'!$F:$F,$A18,'単価履歴'!$O:$O,
MAXIFS('単価履歴'!$O:$O,'単価履歴'!$E:$E,D$1,'単価履歴'!$F:$F,$A18)))</f>
        <v>38.8</v>
      </c>
      <c r="E18" s="250"/>
      <c r="F18" s="250"/>
      <c r="G18" s="268">
        <f>IF(MAXIFS('単価履歴'!$H:$H,'単価履歴'!$E:$E,G$1,'単価履歴'!$F:$F,$A18,'単価履歴'!$O:$O,
MAXIFS('単価履歴'!$O:$O,'単価履歴'!$E:$E,G$1,'単価履歴'!$F:$F,$A18))=0,"",
MAXIFS('単価履歴'!$H:$H,'単価履歴'!$E:$E,G$1,'単価履歴'!$F:$F,$A18,'単価履歴'!$O:$O,
MAXIFS('単価履歴'!$O:$O,'単価履歴'!$E:$E,G$1,'単価履歴'!$F:$F,$A18)))</f>
        <v>53.5</v>
      </c>
      <c r="H18" s="250">
        <f>IF(MAXIFS('単価履歴'!$H:$H,'単価履歴'!$E:$E,H$1,'単価履歴'!$F:$F,$A18,'単価履歴'!$O:$O,
MAXIFS('単価履歴'!$O:$O,'単価履歴'!$E:$E,H$1,'単価履歴'!$F:$F,$A18))=0,"",
MAXIFS('単価履歴'!$H:$H,'単価履歴'!$E:$E,H$1,'単価履歴'!$F:$F,$A18,'単価履歴'!$O:$O,
MAXIFS('単価履歴'!$O:$O,'単価履歴'!$E:$E,H$1,'単価履歴'!$F:$F,$A18)))</f>
        <v>52.3</v>
      </c>
      <c r="I18" s="256"/>
      <c r="J18" s="263"/>
      <c r="K18" s="250">
        <f>IF(MAXIFS('単価履歴'!$H:$H,'単価履歴'!$E:$E,K$1,'単価履歴'!$F:$F,$A18,'単価履歴'!$O:$O,
MAXIFS('単価履歴'!$O:$O,'単価履歴'!$E:$E,K$1,'単価履歴'!$F:$F,$A18))=0,"",
MAXIFS('単価履歴'!$H:$H,'単価履歴'!$E:$E,K$1,'単価履歴'!$F:$F,$A18,'単価履歴'!$O:$O,
MAXIFS('単価履歴'!$O:$O,'単価履歴'!$E:$E,K$1,'単価履歴'!$F:$F,$A18)))</f>
        <v>50</v>
      </c>
      <c r="L18" s="250">
        <f>IF(MAXIFS('単価履歴'!$H:$H,'単価履歴'!$E:$E,L$1,'単価履歴'!$F:$F,$A18,'単価履歴'!$O:$O,
MAXIFS('単価履歴'!$O:$O,'単価履歴'!$E:$E,L$1,'単価履歴'!$F:$F,$A18))=0,"",
MAXIFS('単価履歴'!$H:$H,'単価履歴'!$E:$E,L$1,'単価履歴'!$F:$F,$A18,'単価履歴'!$O:$O,
MAXIFS('単価履歴'!$O:$O,'単価履歴'!$E:$E,L$1,'単価履歴'!$F:$F,$A18)))</f>
        <v>32.7</v>
      </c>
      <c r="M18" s="269">
        <f>IF(MAXIFS('単価履歴'!$H:$H,'単価履歴'!$E:$E,M$1,'単価履歴'!$F:$F,$A18,'単価履歴'!$O:$O,
MAXIFS('単価履歴'!$O:$O,'単価履歴'!$E:$E,M$1,'単価履歴'!$F:$F,$A18))=0,"",
MAXIFS('単価履歴'!$H:$H,'単価履歴'!$E:$E,M$1,'単価履歴'!$F:$F,$A18,'単価履歴'!$O:$O,
MAXIFS('単価履歴'!$O:$O,'単価履歴'!$E:$E,M$1,'単価履歴'!$F:$F,$A18)))</f>
        <v>49.7</v>
      </c>
      <c r="N18" s="250">
        <f>IF(MAXIFS('単価履歴'!$H:$H,'単価履歴'!$E:$E,N$1,'単価履歴'!$F:$F,$A18,'単価履歴'!$O:$O,
MAXIFS('単価履歴'!$O:$O,'単価履歴'!$E:$E,N$1,'単価履歴'!$F:$F,$A18))=0,"",
MAXIFS('単価履歴'!$H:$H,'単価履歴'!$E:$E,N$1,'単価履歴'!$F:$F,$A18,'単価履歴'!$O:$O,
MAXIFS('単価履歴'!$O:$O,'単価履歴'!$E:$E,N$1,'単価履歴'!$F:$F,$A18)))</f>
        <v>41.5</v>
      </c>
      <c r="O18" s="250">
        <f>IF(MAXIFS('単価履歴'!$H:$H,'単価履歴'!$E:$E,O$1,'単価履歴'!$F:$F,$A18,'単価履歴'!$O:$O,
MAXIFS('単価履歴'!$O:$O,'単価履歴'!$E:$E,O$1,'単価履歴'!$F:$F,$A18))=0,"",
MAXIFS('単価履歴'!$H:$H,'単価履歴'!$E:$E,O$1,'単価履歴'!$F:$F,$A18,'単価履歴'!$O:$O,
MAXIFS('単価履歴'!$O:$O,'単価履歴'!$E:$E,O$1,'単価履歴'!$F:$F,$A18)))</f>
        <v>52.7</v>
      </c>
      <c r="P18" s="262">
        <f>IF(MAXIFS('単価履歴'!$H:$H,'単価履歴'!$E:$E,P$1,'単価履歴'!$F:$F,$A18,'単価履歴'!$O:$O,
MAXIFS('単価履歴'!$O:$O,'単価履歴'!$E:$E,P$1,'単価履歴'!$F:$F,$A18))=0,"",
MAXIFS('単価履歴'!$H:$H,'単価履歴'!$E:$E,P$1,'単価履歴'!$F:$F,$A18,'単価履歴'!$O:$O,
MAXIFS('単価履歴'!$O:$O,'単価履歴'!$E:$E,P$1,'単価履歴'!$F:$F,$A18)))</f>
        <v>50</v>
      </c>
      <c r="Q18" s="250" t="str">
        <f>IF(MAXIFS('単価履歴'!$H:$H,'単価履歴'!$E:$E,Q$1,'単価履歴'!$F:$F,$A18,'単価履歴'!$O:$O,
MAXIFS('単価履歴'!$O:$O,'単価履歴'!$E:$E,Q$1,'単価履歴'!$F:$F,$A18))=0,"",
MAXIFS('単価履歴'!$H:$H,'単価履歴'!$E:$E,Q$1,'単価履歴'!$F:$F,$A18,'単価履歴'!$O:$O,
MAXIFS('単価履歴'!$O:$O,'単価履歴'!$E:$E,Q$1,'単価履歴'!$F:$F,$A18)))</f>
        <v/>
      </c>
      <c r="R18" s="250" t="str">
        <f>IF(MAXIFS('単価履歴'!$H:$H,'単価履歴'!$E:$E,R$1,'単価履歴'!$F:$F,$A18,'単価履歴'!$O:$O,
MAXIFS('単価履歴'!$O:$O,'単価履歴'!$E:$E,R$1,'単価履歴'!$F:$F,$A18))=0,"",
MAXIFS('単価履歴'!$H:$H,'単価履歴'!$E:$E,R$1,'単価履歴'!$F:$F,$A18,'単価履歴'!$O:$O,
MAXIFS('単価履歴'!$O:$O,'単価履歴'!$E:$E,R$1,'単価履歴'!$F:$F,$A18)))</f>
        <v/>
      </c>
      <c r="S18" s="264" t="str">
        <f>IF(MAXIFS('単価履歴'!$H:$H,'単価履歴'!$E:$E,S$1,'単価履歴'!$F:$F,$A18,'単価履歴'!$O:$O,
MAXIFS('単価履歴'!$O:$O,'単価履歴'!$E:$E,S$1,'単価履歴'!$F:$F,$A18))=0,"",
MAXIFS('単価履歴'!$H:$H,'単価履歴'!$E:$E,S$1,'単価履歴'!$F:$F,$A18,'単価履歴'!$O:$O,
MAXIFS('単価履歴'!$O:$O,'単価履歴'!$E:$E,S$1,'単価履歴'!$F:$F,$A18)))</f>
        <v/>
      </c>
      <c r="T18" s="263" t="str">
        <f>IF(MAXIFS('単価履歴'!$H:$H,'単価履歴'!$E:$E,T$1,'単価履歴'!$F:$F,$A18,'単価履歴'!$O:$O,
MAXIFS('単価履歴'!$O:$O,'単価履歴'!$E:$E,T$1,'単価履歴'!$F:$F,$A18))=0,"",
MAXIFS('単価履歴'!$H:$H,'単価履歴'!$E:$E,T$1,'単価履歴'!$F:$F,$A18,'単価履歴'!$O:$O,
MAXIFS('単価履歴'!$O:$O,'単価履歴'!$E:$E,T$1,'単価履歴'!$F:$F,$A18)))</f>
        <v/>
      </c>
      <c r="U18" s="264" t="str">
        <f>IF(MAXIFS('単価履歴'!$H:$H,'単価履歴'!$E:$E,U$1,'単価履歴'!$F:$F,$A18,'単価履歴'!$O:$O,
MAXIFS('単価履歴'!$O:$O,'単価履歴'!$E:$E,U$1,'単価履歴'!$F:$F,$A18))=0,"",
MAXIFS('単価履歴'!$H:$H,'単価履歴'!$E:$E,U$1,'単価履歴'!$F:$F,$A18,'単価履歴'!$O:$O,
MAXIFS('単価履歴'!$O:$O,'単価履歴'!$E:$E,U$1,'単価履歴'!$F:$F,$A18)))</f>
        <v/>
      </c>
      <c r="V18" s="251">
        <f>IF(MAXIFS('単価履歴'!$H:$H,'単価履歴'!$E:$E,V$1,'単価履歴'!$F:$F,$A18,'単価履歴'!$O:$O,
MAXIFS('単価履歴'!$O:$O,'単価履歴'!$E:$E,V$1,'単価履歴'!$F:$F,$A18))=0,"",
MAXIFS('単価履歴'!$H:$H,'単価履歴'!$E:$E,V$1,'単価履歴'!$F:$F,$A18,'単価履歴'!$O:$O,
MAXIFS('単価履歴'!$O:$O,'単価履歴'!$E:$E,V$1,'単価履歴'!$F:$F,$A18)))</f>
        <v>51</v>
      </c>
      <c r="W18" s="250" t="str">
        <f>IF(MAXIFS('単価履歴'!$H:$H,'単価履歴'!$E:$E,W$1,'単価履歴'!$F:$F,$A18,'単価履歴'!$O:$O,
MAXIFS('単価履歴'!$O:$O,'単価履歴'!$E:$E,W$1,'単価履歴'!$F:$F,$A18))=0,"",
MAXIFS('単価履歴'!$H:$H,'単価履歴'!$E:$E,W$1,'単価履歴'!$F:$F,$A18,'単価履歴'!$O:$O,
MAXIFS('単価履歴'!$O:$O,'単価履歴'!$E:$E,W$1,'単価履歴'!$F:$F,$A18)))</f>
        <v/>
      </c>
      <c r="X18" s="256" t="str">
        <f>IF(MAXIFS('単価履歴'!$H:$H,'単価履歴'!$E:$E,X$1,'単価履歴'!$F:$F,$A18,'単価履歴'!$O:$O,
MAXIFS('単価履歴'!$O:$O,'単価履歴'!$E:$E,X$1,'単価履歴'!$F:$F,$A18))=0,"",
MAXIFS('単価履歴'!$H:$H,'単価履歴'!$E:$E,X$1,'単価履歴'!$F:$F,$A18,'単価履歴'!$O:$O,
MAXIFS('単価履歴'!$O:$O,'単価履歴'!$E:$E,X$1,'単価履歴'!$F:$F,$A18)))</f>
        <v/>
      </c>
      <c r="Y18" s="254">
        <f>IF(MAXIFS('単価履歴'!$H:$H,'単価履歴'!$E:$E,Y$1,'単価履歴'!$F:$F,$A18,'単価履歴'!$O:$O,
MAXIFS('単価履歴'!$O:$O,'単価履歴'!$E:$E,Y$1,'単価履歴'!$F:$F,$A18))=0,"",
MAXIFS('単価履歴'!$H:$H,'単価履歴'!$E:$E,Y$1,'単価履歴'!$F:$F,$A18,'単価履歴'!$O:$O,
MAXIFS('単価履歴'!$O:$O,'単価履歴'!$E:$E,Y$1,'単価履歴'!$F:$F,$A18)))</f>
        <v>39</v>
      </c>
      <c r="Z18" s="264" t="str">
        <f>IF(MAXIFS('単価履歴'!$H:$H,'単価履歴'!$E:$E,Z$1,'単価履歴'!$F:$F,$A18,'単価履歴'!$O:$O,
MAXIFS('単価履歴'!$O:$O,'単価履歴'!$E:$E,Z$1,'単価履歴'!$F:$F,$A18))=0,"",
MAXIFS('単価履歴'!$H:$H,'単価履歴'!$E:$E,Z$1,'単価履歴'!$F:$F,$A18,'単価履歴'!$O:$O,
MAXIFS('単価履歴'!$O:$O,'単価履歴'!$E:$E,Z$1,'単価履歴'!$F:$F,$A18)))</f>
        <v/>
      </c>
      <c r="AA18" s="256" t="str">
        <f>IF(MAXIFS('単価履歴'!$H:$H,'単価履歴'!$E:$E,AA$1,'単価履歴'!$F:$F,$A18,'単価履歴'!$O:$O,
MAXIFS('単価履歴'!$O:$O,'単価履歴'!$E:$E,AA$1,'単価履歴'!$F:$F,$A18))=0,"",
MAXIFS('単価履歴'!$H:$H,'単価履歴'!$E:$E,AA$1,'単価履歴'!$F:$F,$A18,'単価履歴'!$O:$O,
MAXIFS('単価履歴'!$O:$O,'単価履歴'!$E:$E,AA$1,'単価履歴'!$F:$F,$A18)))</f>
        <v/>
      </c>
      <c r="AB18" s="256" t="str">
        <f>IF(MAXIFS('単価履歴'!$H:$H,'単価履歴'!$E:$E,AB$1,'単価履歴'!$F:$F,$A18,'単価履歴'!$O:$O,
MAXIFS('単価履歴'!$O:$O,'単価履歴'!$E:$E,AB$1,'単価履歴'!$F:$F,$A18))=0,"",
MAXIFS('単価履歴'!$H:$H,'単価履歴'!$E:$E,AB$1,'単価履歴'!$F:$F,$A18,'単価履歴'!$O:$O,
MAXIFS('単価履歴'!$O:$O,'単価履歴'!$E:$E,AB$1,'単価履歴'!$F:$F,$A18)))</f>
        <v/>
      </c>
      <c r="AC18" s="254" t="str">
        <f>IF(MAXIFS('単価履歴'!$H:$H,'単価履歴'!$E:$E,AC$1,'単価履歴'!$F:$F,$A18,'単価履歴'!$O:$O,
MAXIFS('単価履歴'!$O:$O,'単価履歴'!$E:$E,AC$1,'単価履歴'!$F:$F,$A18))=0,"",
MAXIFS('単価履歴'!$H:$H,'単価履歴'!$E:$E,AC$1,'単価履歴'!$F:$F,$A18,'単価履歴'!$O:$O,
MAXIFS('単価履歴'!$O:$O,'単価履歴'!$E:$E,AC$1,'単価履歴'!$F:$F,$A18)))</f>
        <v/>
      </c>
      <c r="AD18" s="256" t="str">
        <f>IF(MAXIFS('単価履歴'!$H:$H,'単価履歴'!$E:$E,AD$1,'単価履歴'!$F:$F,$A18,'単価履歴'!$O:$O,
MAXIFS('単価履歴'!$O:$O,'単価履歴'!$E:$E,AD$1,'単価履歴'!$F:$F,$A18))=0,"",
MAXIFS('単価履歴'!$H:$H,'単価履歴'!$E:$E,AD$1,'単価履歴'!$F:$F,$A18,'単価履歴'!$O:$O,
MAXIFS('単価履歴'!$O:$O,'単価履歴'!$E:$E,AD$1,'単価履歴'!$F:$F,$A18)))</f>
        <v/>
      </c>
      <c r="AE18" s="256" t="str">
        <f>IF(MAXIFS('単価履歴'!$H:$H,'単価履歴'!$E:$E,AE$1,'単価履歴'!$F:$F,$A18,'単価履歴'!$O:$O,
MAXIFS('単価履歴'!$O:$O,'単価履歴'!$E:$E,AE$1,'単価履歴'!$F:$F,$A18))=0,"",
MAXIFS('単価履歴'!$H:$H,'単価履歴'!$E:$E,AE$1,'単価履歴'!$F:$F,$A18,'単価履歴'!$O:$O,
MAXIFS('単価履歴'!$O:$O,'単価履歴'!$E:$E,AE$1,'単価履歴'!$F:$F,$A18)))</f>
        <v/>
      </c>
      <c r="AF18" s="254" t="str">
        <f>IF(MAXIFS('単価履歴'!$H:$H,'単価履歴'!$E:$E,AF$1,'単価履歴'!$F:$F,$A18,'単価履歴'!$O:$O,
MAXIFS('単価履歴'!$O:$O,'単価履歴'!$E:$E,AF$1,'単価履歴'!$F:$F,$A18))=0,"",
MAXIFS('単価履歴'!$H:$H,'単価履歴'!$E:$E,AF$1,'単価履歴'!$F:$F,$A18,'単価履歴'!$O:$O,
MAXIFS('単価履歴'!$O:$O,'単価履歴'!$E:$E,AF$1,'単価履歴'!$F:$F,$A18)))</f>
        <v/>
      </c>
      <c r="AG18" s="256" t="str">
        <f>IF(MAXIFS('単価履歴'!$H:$H,'単価履歴'!$E:$E,AG$1,'単価履歴'!$F:$F,$A18,'単価履歴'!$O:$O,
MAXIFS('単価履歴'!$O:$O,'単価履歴'!$E:$E,AG$1,'単価履歴'!$F:$F,$A18))=0,"",
MAXIFS('単価履歴'!$H:$H,'単価履歴'!$E:$E,AG$1,'単価履歴'!$F:$F,$A18,'単価履歴'!$O:$O,
MAXIFS('単価履歴'!$O:$O,'単価履歴'!$E:$E,AG$1,'単価履歴'!$F:$F,$A18)))</f>
        <v/>
      </c>
      <c r="AH18" s="264" t="str">
        <f>IF(MAXIFS('単価履歴'!$H:$H,'単価履歴'!$E:$E,AH$1,'単価履歴'!$F:$F,$A18,'単価履歴'!$O:$O,
MAXIFS('単価履歴'!$O:$O,'単価履歴'!$E:$E,AH$1,'単価履歴'!$F:$F,$A18))=0,"",
MAXIFS('単価履歴'!$H:$H,'単価履歴'!$E:$E,AH$1,'単価履歴'!$F:$F,$A18,'単価履歴'!$O:$O,
MAXIFS('単価履歴'!$O:$O,'単価履歴'!$E:$E,AH$1,'単価履歴'!$F:$F,$A18)))</f>
        <v/>
      </c>
      <c r="AI18" s="256" t="str">
        <f>IF(MAXIFS('単価履歴'!$H:$H,'単価履歴'!$E:$E,AI$1,'単価履歴'!$F:$F,$A18,'単価履歴'!$O:$O,
MAXIFS('単価履歴'!$O:$O,'単価履歴'!$E:$E,AI$1,'単価履歴'!$F:$F,$A18))=0,"",
MAXIFS('単価履歴'!$H:$H,'単価履歴'!$E:$E,AI$1,'単価履歴'!$F:$F,$A18,'単価履歴'!$O:$O,
MAXIFS('単価履歴'!$O:$O,'単価履歴'!$E:$E,AI$1,'単価履歴'!$F:$F,$A18)))</f>
        <v/>
      </c>
      <c r="AJ18" s="254" t="str">
        <f>IF(MAXIFS('単価履歴'!$H:$H,'単価履歴'!$E:$E,AJ$1,'単価履歴'!$F:$F,$A18,'単価履歴'!$O:$O,
MAXIFS('単価履歴'!$O:$O,'単価履歴'!$E:$E,AJ$1,'単価履歴'!$F:$F,$A18))=0,"",
MAXIFS('単価履歴'!$H:$H,'単価履歴'!$E:$E,AJ$1,'単価履歴'!$F:$F,$A18,'単価履歴'!$O:$O,
MAXIFS('単価履歴'!$O:$O,'単価履歴'!$E:$E,AJ$1,'単価履歴'!$F:$F,$A18)))</f>
        <v/>
      </c>
      <c r="AK18" s="264" t="str">
        <f>IF(MAXIFS('単価履歴'!$H:$H,'単価履歴'!$E:$E,AK$1,'単価履歴'!$F:$F,$A18,'単価履歴'!$O:$O,
MAXIFS('単価履歴'!$O:$O,'単価履歴'!$E:$E,AK$1,'単価履歴'!$F:$F,$A18))=0,"",
MAXIFS('単価履歴'!$H:$H,'単価履歴'!$E:$E,AK$1,'単価履歴'!$F:$F,$A18,'単価履歴'!$O:$O,
MAXIFS('単価履歴'!$O:$O,'単価履歴'!$E:$E,AK$1,'単価履歴'!$F:$F,$A18)))</f>
        <v/>
      </c>
      <c r="AL18" s="256" t="str">
        <f>IF(MAXIFS('単価履歴'!$H:$H,'単価履歴'!$E:$E,AL$1,'単価履歴'!$F:$F,$A18,'単価履歴'!$O:$O,
MAXIFS('単価履歴'!$O:$O,'単価履歴'!$E:$E,AL$1,'単価履歴'!$F:$F,$A18))=0,"",
MAXIFS('単価履歴'!$H:$H,'単価履歴'!$E:$E,AL$1,'単価履歴'!$F:$F,$A18,'単価履歴'!$O:$O,
MAXIFS('単価履歴'!$O:$O,'単価履歴'!$E:$E,AL$1,'単価履歴'!$F:$F,$A18)))</f>
        <v/>
      </c>
      <c r="AM18" s="268">
        <f>IF(MAXIFS('単価履歴'!$H:$H,'単価履歴'!$E:$E,AM$1,'単価履歴'!$F:$F,$A18,'単価履歴'!$O:$O,
MAXIFS('単価履歴'!$O:$O,'単価履歴'!$E:$E,AM$1,'単価履歴'!$F:$F,$A18))=0,"",
MAXIFS('単価履歴'!$H:$H,'単価履歴'!$E:$E,AM$1,'単価履歴'!$F:$F,$A18,'単価履歴'!$O:$O,
MAXIFS('単価履歴'!$O:$O,'単価履歴'!$E:$E,AM$1,'単価履歴'!$F:$F,$A18)))</f>
        <v>52.5</v>
      </c>
      <c r="AN18" s="268" t="str">
        <f>IF(MAXIFS('単価履歴'!$H:$H,'単価履歴'!$E:$E,AN$1,'単価履歴'!$F:$F,$A18,'単価履歴'!$O:$O,
MAXIFS('単価履歴'!$O:$O,'単価履歴'!$E:$E,AN$1,'単価履歴'!$F:$F,$A18))=0,"",
MAXIFS('単価履歴'!$H:$H,'単価履歴'!$E:$E,AN$1,'単価履歴'!$F:$F,$A18,'単価履歴'!$O:$O,
MAXIFS('単価履歴'!$O:$O,'単価履歴'!$E:$E,AN$1,'単価履歴'!$F:$F,$A18)))</f>
        <v/>
      </c>
      <c r="AO18" s="250">
        <f>IF(MAXIFS('単価履歴'!$H:$H,'単価履歴'!$E:$E,AO$1,'単価履歴'!$F:$F,$A18,'単価履歴'!$O:$O,
MAXIFS('単価履歴'!$O:$O,'単価履歴'!$E:$E,AO$1,'単価履歴'!$F:$F,$A18))=0,"",
MAXIFS('単価履歴'!$H:$H,'単価履歴'!$E:$E,AO$1,'単価履歴'!$F:$F,$A18,'単価履歴'!$O:$O,
MAXIFS('単価履歴'!$O:$O,'単価履歴'!$E:$E,AO$1,'単価履歴'!$F:$F,$A18)))</f>
        <v>53.1</v>
      </c>
      <c r="AP18" s="262" t="str">
        <f>IF(MAXIFS('単価履歴'!$H:$H,'単価履歴'!$E:$E,AP$1,'単価履歴'!$F:$F,$A18,'単価履歴'!$O:$O,
MAXIFS('単価履歴'!$O:$O,'単価履歴'!$E:$E,AP$1,'単価履歴'!$F:$F,$A18))=0,"",
MAXIFS('単価履歴'!$H:$H,'単価履歴'!$E:$E,AP$1,'単価履歴'!$F:$F,$A18,'単価履歴'!$O:$O,
MAXIFS('単価履歴'!$O:$O,'単価履歴'!$E:$E,AP$1,'単価履歴'!$F:$F,$A18)))</f>
        <v/>
      </c>
      <c r="AQ18" s="254" t="str">
        <f>IF(MAXIFS('単価履歴'!$H:$H,'単価履歴'!$E:$E,AQ$1,'単価履歴'!$F:$F,$A18,'単価履歴'!$O:$O,
MAXIFS('単価履歴'!$O:$O,'単価履歴'!$E:$E,AQ$1,'単価履歴'!$F:$F,$A18))=0,"",
MAXIFS('単価履歴'!$H:$H,'単価履歴'!$E:$E,AQ$1,'単価履歴'!$F:$F,$A18,'単価履歴'!$O:$O,
MAXIFS('単価履歴'!$O:$O,'単価履歴'!$E:$E,AQ$1,'単価履歴'!$F:$F,$A18)))</f>
        <v/>
      </c>
      <c r="AR18" s="250"/>
      <c r="AS18" s="250"/>
      <c r="AT18" s="262">
        <f>IF(MAXIFS('単価履歴'!$H:$H,'単価履歴'!$E:$E,AT$1,'単価履歴'!$F:$F,$A18,'単価履歴'!$O:$O,
MAXIFS('単価履歴'!$O:$O,'単価履歴'!$E:$E,AT$1,'単価履歴'!$F:$F,$A18))=0,"",
MAXIFS('単価履歴'!$H:$H,'単価履歴'!$E:$E,AT$1,'単価履歴'!$F:$F,$A18,'単価履歴'!$O:$O,
MAXIFS('単価履歴'!$O:$O,'単価履歴'!$E:$E,AT$1,'単価履歴'!$F:$F,$A18)))</f>
        <v>50</v>
      </c>
      <c r="AU18" s="256" t="str">
        <f>IF(MAXIFS('単価履歴'!$H:$H,'単価履歴'!$E:$E,AU$1,'単価履歴'!$F:$F,$A18,'単価履歴'!$O:$O,
MAXIFS('単価履歴'!$O:$O,'単価履歴'!$E:$E,AU$1,'単価履歴'!$F:$F,$A18))=0,"",
MAXIFS('単価履歴'!$H:$H,'単価履歴'!$E:$E,AU$1,'単価履歴'!$F:$F,$A18,'単価履歴'!$O:$O,
MAXIFS('単価履歴'!$O:$O,'単価履歴'!$E:$E,AU$1,'単価履歴'!$F:$F,$A18)))</f>
        <v/>
      </c>
      <c r="AV18" s="262">
        <f>IF(MAXIFS('単価履歴'!$H:$H,'単価履歴'!$E:$E,AV$1,'単価履歴'!$F:$F,$A18,'単価履歴'!$O:$O,
MAXIFS('単価履歴'!$O:$O,'単価履歴'!$E:$E,AV$1,'単価履歴'!$F:$F,$A18))=0,"",
MAXIFS('単価履歴'!$H:$H,'単価履歴'!$E:$E,AV$1,'単価履歴'!$F:$F,$A18,'単価履歴'!$O:$O,
MAXIFS('単価履歴'!$O:$O,'単価履歴'!$E:$E,AV$1,'単価履歴'!$F:$F,$A18)))</f>
        <v>52.5</v>
      </c>
      <c r="AW18" s="266">
        <f>IF(MAXIFS('単価履歴'!$H:$H,'単価履歴'!$E:$E,AW$1,'単価履歴'!$F:$F,$A18,'単価履歴'!$O:$O,
MAXIFS('単価履歴'!$O:$O,'単価履歴'!$E:$E,AW$1,'単価履歴'!$F:$F,$A18))=0,"",
MAXIFS('単価履歴'!$H:$H,'単価履歴'!$E:$E,AW$1,'単価履歴'!$F:$F,$A18,'単価履歴'!$O:$O,
MAXIFS('単価履歴'!$O:$O,'単価履歴'!$E:$E,AW$1,'単価履歴'!$F:$F,$A18)))</f>
        <v>52.5</v>
      </c>
      <c r="AX18" s="254" t="str">
        <f>IF(MAXIFS('単価履歴'!$H:$H,'単価履歴'!$E:$E,AX$1,'単価履歴'!$F:$F,$A18,'単価履歴'!$O:$O,
MAXIFS('単価履歴'!$O:$O,'単価履歴'!$E:$E,AX$1,'単価履歴'!$F:$F,$A18))=0,"",
MAXIFS('単価履歴'!$H:$H,'単価履歴'!$E:$E,AX$1,'単価履歴'!$F:$F,$A18,'単価履歴'!$O:$O,
MAXIFS('単価履歴'!$O:$O,'単価履歴'!$E:$E,AX$1,'単価履歴'!$F:$F,$A18)))</f>
        <v/>
      </c>
      <c r="AY18" s="264" t="str">
        <f>IF(MAXIFS('単価履歴'!$H:$H,'単価履歴'!$E:$E,AY$1,'単価履歴'!$F:$F,$A18,'単価履歴'!$O:$O,
MAXIFS('単価履歴'!$O:$O,'単価履歴'!$E:$E,AY$1,'単価履歴'!$F:$F,$A18))=0,"",
MAXIFS('単価履歴'!$H:$H,'単価履歴'!$E:$E,AY$1,'単価履歴'!$F:$F,$A18,'単価履歴'!$O:$O,
MAXIFS('単価履歴'!$O:$O,'単価履歴'!$E:$E,AY$1,'単価履歴'!$F:$F,$A18)))</f>
        <v/>
      </c>
      <c r="AZ18" s="256" t="str">
        <f>IF(MAXIFS('単価履歴'!$H:$H,'単価履歴'!$E:$E,AZ$1,'単価履歴'!$F:$F,$A18,'単価履歴'!$O:$O,
MAXIFS('単価履歴'!$O:$O,'単価履歴'!$E:$E,AZ$1,'単価履歴'!$F:$F,$A18))=0,"",
MAXIFS('単価履歴'!$H:$H,'単価履歴'!$E:$E,AZ$1,'単価履歴'!$F:$F,$A18,'単価履歴'!$O:$O,
MAXIFS('単価履歴'!$O:$O,'単価履歴'!$E:$E,AZ$1,'単価履歴'!$F:$F,$A18)))</f>
        <v/>
      </c>
      <c r="BA18" s="264" t="str">
        <f>IF(MAXIFS('単価履歴'!$H:$H,'単価履歴'!$E:$E,BA$1,'単価履歴'!$F:$F,$A18,'単価履歴'!$O:$O,
MAXIFS('単価履歴'!$O:$O,'単価履歴'!$E:$E,BA$1,'単価履歴'!$F:$F,$A18))=0,"",
MAXIFS('単価履歴'!$H:$H,'単価履歴'!$E:$E,BA$1,'単価履歴'!$F:$F,$A18,'単価履歴'!$O:$O,
MAXIFS('単価履歴'!$O:$O,'単価履歴'!$E:$E,BA$1,'単価履歴'!$F:$F,$A18)))</f>
        <v/>
      </c>
      <c r="BB18" s="256"/>
      <c r="BC18" s="256" t="str">
        <f>IF(MAXIFS('単価履歴'!$H:$H,'単価履歴'!$E:$E,BC$1,'単価履歴'!$F:$F,$A18,'単価履歴'!$O:$O,
MAXIFS('単価履歴'!$O:$O,'単価履歴'!$E:$E,BC$1,'単価履歴'!$F:$F,$A18))=0,"",
MAXIFS('単価履歴'!$H:$H,'単価履歴'!$E:$E,BC$1,'単価履歴'!$F:$F,$A18,'単価履歴'!$O:$O,
MAXIFS('単価履歴'!$O:$O,'単価履歴'!$E:$E,BC$1,'単価履歴'!$F:$F,$A18)))</f>
        <v/>
      </c>
      <c r="BD18" s="256" t="str">
        <f>IF(MAXIFS('単価履歴'!$H:$H,'単価履歴'!$E:$E,BD$1,'単価履歴'!$F:$F,$A18,'単価履歴'!$O:$O,
MAXIFS('単価履歴'!$O:$O,'単価履歴'!$E:$E,BD$1,'単価履歴'!$F:$F,$A18))=0,"",
MAXIFS('単価履歴'!$H:$H,'単価履歴'!$E:$E,BD$1,'単価履歴'!$F:$F,$A18,'単価履歴'!$O:$O,
MAXIFS('単価履歴'!$O:$O,'単価履歴'!$E:$E,BD$1,'単価履歴'!$F:$F,$A18)))</f>
        <v/>
      </c>
      <c r="BE18" s="256" t="str">
        <f>IF(MAXIFS('単価履歴'!$H:$H,'単価履歴'!$E:$E,BE$1,'単価履歴'!$F:$F,$A18,'単価履歴'!$O:$O,
MAXIFS('単価履歴'!$O:$O,'単価履歴'!$E:$E,BE$1,'単価履歴'!$F:$F,$A18))=0,"",
MAXIFS('単価履歴'!$H:$H,'単価履歴'!$E:$E,BE$1,'単価履歴'!$F:$F,$A18,'単価履歴'!$O:$O,
MAXIFS('単価履歴'!$O:$O,'単価履歴'!$E:$E,BE$1,'単価履歴'!$F:$F,$A18)))</f>
        <v/>
      </c>
      <c r="BF18" s="263" t="str">
        <f>IF(MAXIFS('単価履歴'!$H:$H,'単価履歴'!$E:$E,BF$1,'単価履歴'!$F:$F,$A18,'単価履歴'!$O:$O,
MAXIFS('単価履歴'!$O:$O,'単価履歴'!$E:$E,BF$1,'単価履歴'!$F:$F,$A18))=0,"",
MAXIFS('単価履歴'!$H:$H,'単価履歴'!$E:$E,BF$1,'単価履歴'!$F:$F,$A18,'単価履歴'!$O:$O,
MAXIFS('単価履歴'!$O:$O,'単価履歴'!$E:$E,BF$1,'単価履歴'!$F:$F,$A18)))</f>
        <v/>
      </c>
      <c r="BG18" s="256" t="str">
        <f>IF(MAXIFS('単価履歴'!$H:$H,'単価履歴'!$E:$E,BG$1,'単価履歴'!$F:$F,$A18,'単価履歴'!$O:$O,
MAXIFS('単価履歴'!$O:$O,'単価履歴'!$E:$E,BG$1,'単価履歴'!$F:$F,$A18))=0,"",
MAXIFS('単価履歴'!$H:$H,'単価履歴'!$E:$E,BG$1,'単価履歴'!$F:$F,$A18,'単価履歴'!$O:$O,
MAXIFS('単価履歴'!$O:$O,'単価履歴'!$E:$E,BG$1,'単価履歴'!$F:$F,$A18)))</f>
        <v/>
      </c>
      <c r="BH18" s="254" t="str">
        <f>IF(MAXIFS('単価履歴'!$H:$H,'単価履歴'!$E:$E,BH$1,'単価履歴'!$F:$F,$A18,'単価履歴'!$O:$O,
MAXIFS('単価履歴'!$O:$O,'単価履歴'!$E:$E,BH$1,'単価履歴'!$F:$F,$A18))=0,"",
MAXIFS('単価履歴'!$H:$H,'単価履歴'!$E:$E,BH$1,'単価履歴'!$F:$F,$A18,'単価履歴'!$O:$O,
MAXIFS('単価履歴'!$O:$O,'単価履歴'!$E:$E,BH$1,'単価履歴'!$F:$F,$A18)))</f>
        <v/>
      </c>
      <c r="BI18" s="256" t="str">
        <f>IF(MAXIFS('単価履歴'!$H:$H,'単価履歴'!$E:$E,BI$1,'単価履歴'!$F:$F,$A18,'単価履歴'!$O:$O,
MAXIFS('単価履歴'!$O:$O,'単価履歴'!$E:$E,BI$1,'単価履歴'!$F:$F,$A18))=0,"",
MAXIFS('単価履歴'!$H:$H,'単価履歴'!$E:$E,BI$1,'単価履歴'!$F:$F,$A18,'単価履歴'!$O:$O,
MAXIFS('単価履歴'!$O:$O,'単価履歴'!$E:$E,BI$1,'単価履歴'!$F:$F,$A18)))</f>
        <v/>
      </c>
      <c r="BJ18" s="263" t="str">
        <f>IF(MAXIFS('単価履歴'!$H:$H,'単価履歴'!$E:$E,BJ$1,'単価履歴'!$F:$F,$A18,'単価履歴'!$O:$O,
MAXIFS('単価履歴'!$O:$O,'単価履歴'!$E:$E,BJ$1,'単価履歴'!$F:$F,$A18))=0,"",
MAXIFS('単価履歴'!$H:$H,'単価履歴'!$E:$E,BJ$1,'単価履歴'!$F:$F,$A18,'単価履歴'!$O:$O,
MAXIFS('単価履歴'!$O:$O,'単価履歴'!$E:$E,BJ$1,'単価履歴'!$F:$F,$A18)))</f>
        <v/>
      </c>
      <c r="BK18" s="266">
        <f>IF(MAXIFS('単価履歴'!$H:$H,'単価履歴'!$E:$E,BK$1,'単価履歴'!$F:$F,$A18,'単価履歴'!$O:$O,
MAXIFS('単価履歴'!$O:$O,'単価履歴'!$E:$E,BK$1,'単価履歴'!$F:$F,$A18))=0,"",
MAXIFS('単価履歴'!$H:$H,'単価履歴'!$E:$E,BK$1,'単価履歴'!$F:$F,$A18,'単価履歴'!$O:$O,
MAXIFS('単価履歴'!$O:$O,'単価履歴'!$E:$E,BK$1,'単価履歴'!$F:$F,$A18)))</f>
        <v>48</v>
      </c>
      <c r="BL18" s="256" t="str">
        <f>IF(MAXIFS('単価履歴'!$H:$H,'単価履歴'!$E:$E,BL$1,'単価履歴'!$F:$F,$A18,'単価履歴'!$O:$O,
MAXIFS('単価履歴'!$O:$O,'単価履歴'!$E:$E,BL$1,'単価履歴'!$F:$F,$A18))=0,"",
MAXIFS('単価履歴'!$H:$H,'単価履歴'!$E:$E,BL$1,'単価履歴'!$F:$F,$A18,'単価履歴'!$O:$O,
MAXIFS('単価履歴'!$O:$O,'単価履歴'!$E:$E,BL$1,'単価履歴'!$F:$F,$A18)))</f>
        <v/>
      </c>
      <c r="BM18" s="263" t="str">
        <f>IF(MAXIFS('単価履歴'!$H:$H,'単価履歴'!$E:$E,BM$1,'単価履歴'!$F:$F,$A18,'単価履歴'!$O:$O,
MAXIFS('単価履歴'!$O:$O,'単価履歴'!$E:$E,BM$1,'単価履歴'!$F:$F,$A18))=0,"",
MAXIFS('単価履歴'!$H:$H,'単価履歴'!$E:$E,BM$1,'単価履歴'!$F:$F,$A18,'単価履歴'!$O:$O,
MAXIFS('単価履歴'!$O:$O,'単価履歴'!$E:$E,BM$1,'単価履歴'!$F:$F,$A18)))</f>
        <v/>
      </c>
      <c r="BN18" s="256" t="str">
        <f>IF(MAXIFS('単価履歴'!$H:$H,'単価履歴'!$E:$E,BN$1,'単価履歴'!$F:$F,$A18,'単価履歴'!$O:$O,
MAXIFS('単価履歴'!$O:$O,'単価履歴'!$E:$E,BN$1,'単価履歴'!$F:$F,$A18))=0,"",
MAXIFS('単価履歴'!$H:$H,'単価履歴'!$E:$E,BN$1,'単価履歴'!$F:$F,$A18,'単価履歴'!$O:$O,
MAXIFS('単価履歴'!$O:$O,'単価履歴'!$E:$E,BN$1,'単価履歴'!$F:$F,$A18)))</f>
        <v/>
      </c>
      <c r="BO18" s="263" t="str">
        <f>IF(MAXIFS('単価履歴'!$H:$H,'単価履歴'!$E:$E,BO$1,'単価履歴'!$F:$F,$A18,'単価履歴'!$O:$O,
MAXIFS('単価履歴'!$O:$O,'単価履歴'!$E:$E,BO$1,'単価履歴'!$F:$F,$A18))=0,"",
MAXIFS('単価履歴'!$H:$H,'単価履歴'!$E:$E,BO$1,'単価履歴'!$F:$F,$A18,'単価履歴'!$O:$O,
MAXIFS('単価履歴'!$O:$O,'単価履歴'!$E:$E,BO$1,'単価履歴'!$F:$F,$A18)))</f>
        <v/>
      </c>
      <c r="BP18" s="256" t="str">
        <f>IF(MAXIFS('単価履歴'!$H:$H,'単価履歴'!$E:$E,BP$1,'単価履歴'!$F:$F,$A18,'単価履歴'!$O:$O,
MAXIFS('単価履歴'!$O:$O,'単価履歴'!$E:$E,BP$1,'単価履歴'!$F:$F,$A18))=0,"",
MAXIFS('単価履歴'!$H:$H,'単価履歴'!$E:$E,BP$1,'単価履歴'!$F:$F,$A18,'単価履歴'!$O:$O,
MAXIFS('単価履歴'!$O:$O,'単価履歴'!$E:$E,BP$1,'単価履歴'!$F:$F,$A18)))</f>
        <v/>
      </c>
      <c r="BQ18" s="256" t="str">
        <f>IF(MAXIFS('単価履歴'!$H:$H,'単価履歴'!$E:$E,BQ$1,'単価履歴'!$F:$F,$A18,'単価履歴'!$O:$O,
MAXIFS('単価履歴'!$O:$O,'単価履歴'!$E:$E,BQ$1,'単価履歴'!$F:$F,$A18))=0,"",
MAXIFS('単価履歴'!$H:$H,'単価履歴'!$E:$E,BQ$1,'単価履歴'!$F:$F,$A18,'単価履歴'!$O:$O,
MAXIFS('単価履歴'!$O:$O,'単価履歴'!$E:$E,BQ$1,'単価履歴'!$F:$F,$A18)))</f>
        <v/>
      </c>
      <c r="BR18" s="264" t="str">
        <f>IF(MAXIFS('単価履歴'!$H:$H,'単価履歴'!$E:$E,BR$1,'単価履歴'!$F:$F,$A18,'単価履歴'!$O:$O,
MAXIFS('単価履歴'!$O:$O,'単価履歴'!$E:$E,BR$1,'単価履歴'!$F:$F,$A18))=0,"",
MAXIFS('単価履歴'!$H:$H,'単価履歴'!$E:$E,BR$1,'単価履歴'!$F:$F,$A18,'単価履歴'!$O:$O,
MAXIFS('単価履歴'!$O:$O,'単価履歴'!$E:$E,BR$1,'単価履歴'!$F:$F,$A18)))</f>
        <v/>
      </c>
      <c r="BS18" s="264" t="str">
        <f>IF(MAXIFS('単価履歴'!$H:$H,'単価履歴'!$E:$E,BS$1,'単価履歴'!$F:$F,$A18,'単価履歴'!$O:$O,
MAXIFS('単価履歴'!$O:$O,'単価履歴'!$E:$E,BS$1,'単価履歴'!$F:$F,$A18))=0,"",
MAXIFS('単価履歴'!$H:$H,'単価履歴'!$E:$E,BS$1,'単価履歴'!$F:$F,$A18,'単価履歴'!$O:$O,
MAXIFS('単価履歴'!$O:$O,'単価履歴'!$E:$E,BS$1,'単価履歴'!$F:$F,$A18)))</f>
        <v/>
      </c>
      <c r="BT18" s="264" t="str">
        <f>IF(MAXIFS('単価履歴'!$H:$H,'単価履歴'!$E:$E,BT$1,'単価履歴'!$F:$F,$A18,'単価履歴'!$O:$O,
MAXIFS('単価履歴'!$O:$O,'単価履歴'!$E:$E,BT$1,'単価履歴'!$F:$F,$A18))=0,"",
MAXIFS('単価履歴'!$H:$H,'単価履歴'!$E:$E,BT$1,'単価履歴'!$F:$F,$A18,'単価履歴'!$O:$O,
MAXIFS('単価履歴'!$O:$O,'単価履歴'!$E:$E,BT$1,'単価履歴'!$F:$F,$A18)))</f>
        <v/>
      </c>
      <c r="BU18" s="264" t="str">
        <f>IF(MAXIFS('単価履歴'!$H:$H,'単価履歴'!$E:$E,BU$1,'単価履歴'!$F:$F,$A18,'単価履歴'!$O:$O,
MAXIFS('単価履歴'!$O:$O,'単価履歴'!$E:$E,BU$1,'単価履歴'!$F:$F,$A18))=0,"",
MAXIFS('単価履歴'!$H:$H,'単価履歴'!$E:$E,BU$1,'単価履歴'!$F:$F,$A18,'単価履歴'!$O:$O,
MAXIFS('単価履歴'!$O:$O,'単価履歴'!$E:$E,BU$1,'単価履歴'!$F:$F,$A18)))</f>
        <v/>
      </c>
      <c r="BV18" s="264" t="str">
        <f>IF(MAXIFS('単価履歴'!$H:$H,'単価履歴'!$E:$E,BV$1,'単価履歴'!$F:$F,$A18,'単価履歴'!$O:$O,
MAXIFS('単価履歴'!$O:$O,'単価履歴'!$E:$E,BV$1,'単価履歴'!$F:$F,$A18))=0,"",
MAXIFS('単価履歴'!$H:$H,'単価履歴'!$E:$E,BV$1,'単価履歴'!$F:$F,$A18,'単価履歴'!$O:$O,
MAXIFS('単価履歴'!$O:$O,'単価履歴'!$E:$E,BV$1,'単価履歴'!$F:$F,$A18)))</f>
        <v/>
      </c>
      <c r="BW18" s="263" t="str">
        <f>IF(MAXIFS('単価履歴'!$H:$H,'単価履歴'!$E:$E,BW$1,'単価履歴'!$F:$F,$A18,'単価履歴'!$O:$O,
MAXIFS('単価履歴'!$O:$O,'単価履歴'!$E:$E,BW$1,'単価履歴'!$F:$F,$A18))=0,"",
MAXIFS('単価履歴'!$H:$H,'単価履歴'!$E:$E,BW$1,'単価履歴'!$F:$F,$A18,'単価履歴'!$O:$O,
MAXIFS('単価履歴'!$O:$O,'単価履歴'!$E:$E,BW$1,'単価履歴'!$F:$F,$A18)))</f>
        <v/>
      </c>
      <c r="BX18" s="256" t="str">
        <f>IF(MAXIFS('単価履歴'!$H:$H,'単価履歴'!$E:$E,BX$1,'単価履歴'!$F:$F,$A18,'単価履歴'!$O:$O,
MAXIFS('単価履歴'!$O:$O,'単価履歴'!$E:$E,BX$1,'単価履歴'!$F:$F,$A18))=0,"",
MAXIFS('単価履歴'!$H:$H,'単価履歴'!$E:$E,BX$1,'単価履歴'!$F:$F,$A18,'単価履歴'!$O:$O,
MAXIFS('単価履歴'!$O:$O,'単価履歴'!$E:$E,BX$1,'単価履歴'!$F:$F,$A18)))</f>
        <v/>
      </c>
      <c r="BY18" s="264" t="str">
        <f>IF(MAXIFS('単価履歴'!$H:$H,'単価履歴'!$E:$E,BY$1,'単価履歴'!$F:$F,$A18,'単価履歴'!$O:$O,
MAXIFS('単価履歴'!$O:$O,'単価履歴'!$E:$E,BY$1,'単価履歴'!$F:$F,$A18))=0,"",
MAXIFS('単価履歴'!$H:$H,'単価履歴'!$E:$E,BY$1,'単価履歴'!$F:$F,$A18,'単価履歴'!$O:$O,
MAXIFS('単価履歴'!$O:$O,'単価履歴'!$E:$E,BY$1,'単価履歴'!$F:$F,$A18)))</f>
        <v/>
      </c>
      <c r="BZ18" s="256"/>
      <c r="CA18" s="256"/>
      <c r="CB18" s="256"/>
      <c r="CC18" s="256"/>
      <c r="CD18" s="256"/>
      <c r="CE18" s="256"/>
      <c r="CF18" s="256"/>
      <c r="CG18" s="256"/>
    </row>
    <row r="19">
      <c r="A19" s="267" t="s">
        <v>573</v>
      </c>
      <c r="B19" s="246">
        <f>IF(MAXIFS('単価履歴'!$H:$H,'単価履歴'!$E:$E,B$1,'単価履歴'!$F:$F,$A19,'単価履歴'!$O:$O,
MAXIFS('単価履歴'!$O:$O,'単価履歴'!$E:$E,B$1,'単価履歴'!$F:$F,$A19))=0,"",
MAXIFS('単価履歴'!$H:$H,'単価履歴'!$E:$E,B$1,'単価履歴'!$F:$F,$A19,'単価履歴'!$O:$O,
MAXIFS('単価履歴'!$O:$O,'単価履歴'!$E:$E,B$1,'単価履歴'!$F:$F,$A19)))</f>
        <v>48</v>
      </c>
      <c r="C19" s="251"/>
      <c r="D19" s="249"/>
      <c r="E19" s="249"/>
      <c r="F19" s="249"/>
      <c r="G19" s="257">
        <f>IF(MAXIFS('単価履歴'!$H:$H,'単価履歴'!$E:$E,G$1,'単価履歴'!$F:$F,$A19,'単価履歴'!$O:$O,
MAXIFS('単価履歴'!$O:$O,'単価履歴'!$E:$E,G$1,'単価履歴'!$F:$F,$A19))=0,"",
MAXIFS('単価履歴'!$H:$H,'単価履歴'!$E:$E,G$1,'単価履歴'!$F:$F,$A19,'単価履歴'!$O:$O,
MAXIFS('単価履歴'!$O:$O,'単価履歴'!$E:$E,G$1,'単価履歴'!$F:$F,$A19)))</f>
        <v>48</v>
      </c>
      <c r="H19" s="249"/>
      <c r="I19" s="249"/>
      <c r="J19" s="248"/>
      <c r="K19" s="250" t="str">
        <f>IF(MAXIFS('単価履歴'!$H:$H,'単価履歴'!$E:$E,K$1,'単価履歴'!$F:$F,$A19,'単価履歴'!$O:$O,
MAXIFS('単価履歴'!$O:$O,'単価履歴'!$E:$E,K$1,'単価履歴'!$F:$F,$A19))=0,"",
MAXIFS('単価履歴'!$H:$H,'単価履歴'!$E:$E,K$1,'単価履歴'!$F:$F,$A19,'単価履歴'!$O:$O,
MAXIFS('単価履歴'!$O:$O,'単価履歴'!$E:$E,K$1,'単価履歴'!$F:$F,$A19)))</f>
        <v/>
      </c>
      <c r="L19" s="275" t="str">
        <f>IF(MAXIFS('単価履歴'!$H:$H,'単価履歴'!$E:$E,L$1,'単価履歴'!$F:$F,$A19,'単価履歴'!$O:$O,
MAXIFS('単価履歴'!$O:$O,'単価履歴'!$E:$E,L$1,'単価履歴'!$F:$F,$A19))=0,"",
MAXIFS('単価履歴'!$H:$H,'単価履歴'!$E:$E,L$1,'単価履歴'!$F:$F,$A19,'単価履歴'!$O:$O,
MAXIFS('単価履歴'!$O:$O,'単価履歴'!$E:$E,L$1,'単価履歴'!$F:$F,$A19)))</f>
        <v/>
      </c>
      <c r="M19" s="250" t="str">
        <f>IF(MAXIFS('単価履歴'!$H:$H,'単価履歴'!$E:$E,M$1,'単価履歴'!$F:$F,$A19,'単価履歴'!$O:$O,
MAXIFS('単価履歴'!$O:$O,'単価履歴'!$E:$E,M$1,'単価履歴'!$F:$F,$A19))=0,"",
MAXIFS('単価履歴'!$H:$H,'単価履歴'!$E:$E,M$1,'単価履歴'!$F:$F,$A19,'単価履歴'!$O:$O,
MAXIFS('単価履歴'!$O:$O,'単価履歴'!$E:$E,M$1,'単価履歴'!$F:$F,$A19)))</f>
        <v/>
      </c>
      <c r="N19" s="275" t="str">
        <f>IF(MAXIFS('単価履歴'!$H:$H,'単価履歴'!$E:$E,N$1,'単価履歴'!$F:$F,$A19,'単価履歴'!$O:$O,
MAXIFS('単価履歴'!$O:$O,'単価履歴'!$E:$E,N$1,'単価履歴'!$F:$F,$A19))=0,"",
MAXIFS('単価履歴'!$H:$H,'単価履歴'!$E:$E,N$1,'単価履歴'!$F:$F,$A19,'単価履歴'!$O:$O,
MAXIFS('単価履歴'!$O:$O,'単価履歴'!$E:$E,N$1,'単価履歴'!$F:$F,$A19)))</f>
        <v/>
      </c>
      <c r="O19" s="250" t="str">
        <f>IF(MAXIFS('単価履歴'!$H:$H,'単価履歴'!$E:$E,O$1,'単価履歴'!$F:$F,$A19,'単価履歴'!$O:$O,
MAXIFS('単価履歴'!$O:$O,'単価履歴'!$E:$E,O$1,'単価履歴'!$F:$F,$A19))=0,"",
MAXIFS('単価履歴'!$H:$H,'単価履歴'!$E:$E,O$1,'単価履歴'!$F:$F,$A19,'単価履歴'!$O:$O,
MAXIFS('単価履歴'!$O:$O,'単価履歴'!$E:$E,O$1,'単価履歴'!$F:$F,$A19)))</f>
        <v/>
      </c>
      <c r="P19" s="251" t="str">
        <f>IF(MAXIFS('単価履歴'!$H:$H,'単価履歴'!$E:$E,P$1,'単価履歴'!$F:$F,$A19,'単価履歴'!$O:$O,
MAXIFS('単価履歴'!$O:$O,'単価履歴'!$E:$E,P$1,'単価履歴'!$F:$F,$A19))=0,"",
MAXIFS('単価履歴'!$H:$H,'単価履歴'!$E:$E,P$1,'単価履歴'!$F:$F,$A19,'単価履歴'!$O:$O,
MAXIFS('単価履歴'!$O:$O,'単価履歴'!$E:$E,P$1,'単価履歴'!$F:$F,$A19)))</f>
        <v/>
      </c>
      <c r="Q19" s="249" t="str">
        <f>IF(MAXIFS('単価履歴'!$H:$H,'単価履歴'!$E:$E,Q$1,'単価履歴'!$F:$F,$A19,'単価履歴'!$O:$O,
MAXIFS('単価履歴'!$O:$O,'単価履歴'!$E:$E,Q$1,'単価履歴'!$F:$F,$A19))=0,"",
MAXIFS('単価履歴'!$H:$H,'単価履歴'!$E:$E,Q$1,'単価履歴'!$F:$F,$A19,'単価履歴'!$O:$O,
MAXIFS('単価履歴'!$O:$O,'単価履歴'!$E:$E,Q$1,'単価履歴'!$F:$F,$A19)))</f>
        <v/>
      </c>
      <c r="R19" s="249" t="str">
        <f>IF(MAXIFS('単価履歴'!$H:$H,'単価履歴'!$E:$E,R$1,'単価履歴'!$F:$F,$A19,'単価履歴'!$O:$O,
MAXIFS('単価履歴'!$O:$O,'単価履歴'!$E:$E,R$1,'単価履歴'!$F:$F,$A19))=0,"",
MAXIFS('単価履歴'!$H:$H,'単価履歴'!$E:$E,R$1,'単価履歴'!$F:$F,$A19,'単価履歴'!$O:$O,
MAXIFS('単価履歴'!$O:$O,'単価履歴'!$E:$E,R$1,'単価履歴'!$F:$F,$A19)))</f>
        <v/>
      </c>
      <c r="S19" s="252" t="str">
        <f>IF(MAXIFS('単価履歴'!$H:$H,'単価履歴'!$E:$E,S$1,'単価履歴'!$F:$F,$A19,'単価履歴'!$O:$O,
MAXIFS('単価履歴'!$O:$O,'単価履歴'!$E:$E,S$1,'単価履歴'!$F:$F,$A19))=0,"",
MAXIFS('単価履歴'!$H:$H,'単価履歴'!$E:$E,S$1,'単価履歴'!$F:$F,$A19,'単価履歴'!$O:$O,
MAXIFS('単価履歴'!$O:$O,'単価履歴'!$E:$E,S$1,'単価履歴'!$F:$F,$A19)))</f>
        <v/>
      </c>
      <c r="T19" s="248" t="str">
        <f>IF(MAXIFS('単価履歴'!$H:$H,'単価履歴'!$E:$E,T$1,'単価履歴'!$F:$F,$A19,'単価履歴'!$O:$O,
MAXIFS('単価履歴'!$O:$O,'単価履歴'!$E:$E,T$1,'単価履歴'!$F:$F,$A19))=0,"",
MAXIFS('単価履歴'!$H:$H,'単価履歴'!$E:$E,T$1,'単価履歴'!$F:$F,$A19,'単価履歴'!$O:$O,
MAXIFS('単価履歴'!$O:$O,'単価履歴'!$E:$E,T$1,'単価履歴'!$F:$F,$A19)))</f>
        <v/>
      </c>
      <c r="U19" s="252" t="str">
        <f>IF(MAXIFS('単価履歴'!$H:$H,'単価履歴'!$E:$E,U$1,'単価履歴'!$F:$F,$A19,'単価履歴'!$O:$O,
MAXIFS('単価履歴'!$O:$O,'単価履歴'!$E:$E,U$1,'単価履歴'!$F:$F,$A19))=0,"",
MAXIFS('単価履歴'!$H:$H,'単価履歴'!$E:$E,U$1,'単価履歴'!$F:$F,$A19,'単価履歴'!$O:$O,
MAXIFS('単価履歴'!$O:$O,'単価履歴'!$E:$E,U$1,'単価履歴'!$F:$F,$A19)))</f>
        <v/>
      </c>
      <c r="V19" s="251" t="str">
        <f>IF(MAXIFS('単価履歴'!$H:$H,'単価履歴'!$E:$E,V$1,'単価履歴'!$F:$F,$A19,'単価履歴'!$O:$O,
MAXIFS('単価履歴'!$O:$O,'単価履歴'!$E:$E,V$1,'単価履歴'!$F:$F,$A19))=0,"",
MAXIFS('単価履歴'!$H:$H,'単価履歴'!$E:$E,V$1,'単価履歴'!$F:$F,$A19,'単価履歴'!$O:$O,
MAXIFS('単価履歴'!$O:$O,'単価履歴'!$E:$E,V$1,'単価履歴'!$F:$F,$A19)))</f>
        <v/>
      </c>
      <c r="W19" s="249" t="str">
        <f>IF(MAXIFS('単価履歴'!$H:$H,'単価履歴'!$E:$E,W$1,'単価履歴'!$F:$F,$A19,'単価履歴'!$O:$O,
MAXIFS('単価履歴'!$O:$O,'単価履歴'!$E:$E,W$1,'単価履歴'!$F:$F,$A19))=0,"",
MAXIFS('単価履歴'!$H:$H,'単価履歴'!$E:$E,W$1,'単価履歴'!$F:$F,$A19,'単価履歴'!$O:$O,
MAXIFS('単価履歴'!$O:$O,'単価履歴'!$E:$E,W$1,'単価履歴'!$F:$F,$A19)))</f>
        <v/>
      </c>
      <c r="X19" s="249" t="str">
        <f>IF(MAXIFS('単価履歴'!$H:$H,'単価履歴'!$E:$E,X$1,'単価履歴'!$F:$F,$A19,'単価履歴'!$O:$O,
MAXIFS('単価履歴'!$O:$O,'単価履歴'!$E:$E,X$1,'単価履歴'!$F:$F,$A19))=0,"",
MAXIFS('単価履歴'!$H:$H,'単価履歴'!$E:$E,X$1,'単価履歴'!$F:$F,$A19,'単価履歴'!$O:$O,
MAXIFS('単価履歴'!$O:$O,'単価履歴'!$E:$E,X$1,'単価履歴'!$F:$F,$A19)))</f>
        <v/>
      </c>
      <c r="Y19" s="251" t="str">
        <f>IF(MAXIFS('単価履歴'!$H:$H,'単価履歴'!$E:$E,Y$1,'単価履歴'!$F:$F,$A19,'単価履歴'!$O:$O,
MAXIFS('単価履歴'!$O:$O,'単価履歴'!$E:$E,Y$1,'単価履歴'!$F:$F,$A19))=0,"",
MAXIFS('単価履歴'!$H:$H,'単価履歴'!$E:$E,Y$1,'単価履歴'!$F:$F,$A19,'単価履歴'!$O:$O,
MAXIFS('単価履歴'!$O:$O,'単価履歴'!$E:$E,Y$1,'単価履歴'!$F:$F,$A19)))</f>
        <v/>
      </c>
      <c r="Z19" s="252" t="str">
        <f>IF(MAXIFS('単価履歴'!$H:$H,'単価履歴'!$E:$E,Z$1,'単価履歴'!$F:$F,$A19,'単価履歴'!$O:$O,
MAXIFS('単価履歴'!$O:$O,'単価履歴'!$E:$E,Z$1,'単価履歴'!$F:$F,$A19))=0,"",
MAXIFS('単価履歴'!$H:$H,'単価履歴'!$E:$E,Z$1,'単価履歴'!$F:$F,$A19,'単価履歴'!$O:$O,
MAXIFS('単価履歴'!$O:$O,'単価履歴'!$E:$E,Z$1,'単価履歴'!$F:$F,$A19)))</f>
        <v/>
      </c>
      <c r="AA19" s="249" t="str">
        <f>IF(MAXIFS('単価履歴'!$H:$H,'単価履歴'!$E:$E,AA$1,'単価履歴'!$F:$F,$A19,'単価履歴'!$O:$O,
MAXIFS('単価履歴'!$O:$O,'単価履歴'!$E:$E,AA$1,'単価履歴'!$F:$F,$A19))=0,"",
MAXIFS('単価履歴'!$H:$H,'単価履歴'!$E:$E,AA$1,'単価履歴'!$F:$F,$A19,'単価履歴'!$O:$O,
MAXIFS('単価履歴'!$O:$O,'単価履歴'!$E:$E,AA$1,'単価履歴'!$F:$F,$A19)))</f>
        <v/>
      </c>
      <c r="AB19" s="249" t="str">
        <f>IF(MAXIFS('単価履歴'!$H:$H,'単価履歴'!$E:$E,AB$1,'単価履歴'!$F:$F,$A19,'単価履歴'!$O:$O,
MAXIFS('単価履歴'!$O:$O,'単価履歴'!$E:$E,AB$1,'単価履歴'!$F:$F,$A19))=0,"",
MAXIFS('単価履歴'!$H:$H,'単価履歴'!$E:$E,AB$1,'単価履歴'!$F:$F,$A19,'単価履歴'!$O:$O,
MAXIFS('単価履歴'!$O:$O,'単価履歴'!$E:$E,AB$1,'単価履歴'!$F:$F,$A19)))</f>
        <v/>
      </c>
      <c r="AC19" s="276" t="str">
        <f>IF(MAXIFS('単価履歴'!$H:$H,'単価履歴'!$E:$E,AC$1,'単価履歴'!$F:$F,$A19,'単価履歴'!$O:$O,
MAXIFS('単価履歴'!$O:$O,'単価履歴'!$E:$E,AC$1,'単価履歴'!$F:$F,$A19))=0,"",
MAXIFS('単価履歴'!$H:$H,'単価履歴'!$E:$E,AC$1,'単価履歴'!$F:$F,$A19,'単価履歴'!$O:$O,
MAXIFS('単価履歴'!$O:$O,'単価履歴'!$E:$E,AC$1,'単価履歴'!$F:$F,$A19)))</f>
        <v/>
      </c>
      <c r="AD19" s="277" t="str">
        <f>IF(MAXIFS('単価履歴'!$H:$H,'単価履歴'!$E:$E,AD$1,'単価履歴'!$F:$F,$A19,'単価履歴'!$O:$O,
MAXIFS('単価履歴'!$O:$O,'単価履歴'!$E:$E,AD$1,'単価履歴'!$F:$F,$A19))=0,"",
MAXIFS('単価履歴'!$H:$H,'単価履歴'!$E:$E,AD$1,'単価履歴'!$F:$F,$A19,'単価履歴'!$O:$O,
MAXIFS('単価履歴'!$O:$O,'単価履歴'!$E:$E,AD$1,'単価履歴'!$F:$F,$A19)))</f>
        <v/>
      </c>
      <c r="AE19" s="277" t="str">
        <f>IF(MAXIFS('単価履歴'!$H:$H,'単価履歴'!$E:$E,AE$1,'単価履歴'!$F:$F,$A19,'単価履歴'!$O:$O,
MAXIFS('単価履歴'!$O:$O,'単価履歴'!$E:$E,AE$1,'単価履歴'!$F:$F,$A19))=0,"",
MAXIFS('単価履歴'!$H:$H,'単価履歴'!$E:$E,AE$1,'単価履歴'!$F:$F,$A19,'単価履歴'!$O:$O,
MAXIFS('単価履歴'!$O:$O,'単価履歴'!$E:$E,AE$1,'単価履歴'!$F:$F,$A19)))</f>
        <v/>
      </c>
      <c r="AF19" s="251" t="str">
        <f>IF(MAXIFS('単価履歴'!$H:$H,'単価履歴'!$E:$E,AF$1,'単価履歴'!$F:$F,$A19,'単価履歴'!$O:$O,
MAXIFS('単価履歴'!$O:$O,'単価履歴'!$E:$E,AF$1,'単価履歴'!$F:$F,$A19))=0,"",
MAXIFS('単価履歴'!$H:$H,'単価履歴'!$E:$E,AF$1,'単価履歴'!$F:$F,$A19,'単価履歴'!$O:$O,
MAXIFS('単価履歴'!$O:$O,'単価履歴'!$E:$E,AF$1,'単価履歴'!$F:$F,$A19)))</f>
        <v/>
      </c>
      <c r="AG19" s="249" t="str">
        <f>IF(MAXIFS('単価履歴'!$H:$H,'単価履歴'!$E:$E,AG$1,'単価履歴'!$F:$F,$A19,'単価履歴'!$O:$O,
MAXIFS('単価履歴'!$O:$O,'単価履歴'!$E:$E,AG$1,'単価履歴'!$F:$F,$A19))=0,"",
MAXIFS('単価履歴'!$H:$H,'単価履歴'!$E:$E,AG$1,'単価履歴'!$F:$F,$A19,'単価履歴'!$O:$O,
MAXIFS('単価履歴'!$O:$O,'単価履歴'!$E:$E,AG$1,'単価履歴'!$F:$F,$A19)))</f>
        <v/>
      </c>
      <c r="AH19" s="252" t="str">
        <f>IF(MAXIFS('単価履歴'!$H:$H,'単価履歴'!$E:$E,AH$1,'単価履歴'!$F:$F,$A19,'単価履歴'!$O:$O,
MAXIFS('単価履歴'!$O:$O,'単価履歴'!$E:$E,AH$1,'単価履歴'!$F:$F,$A19))=0,"",
MAXIFS('単価履歴'!$H:$H,'単価履歴'!$E:$E,AH$1,'単価履歴'!$F:$F,$A19,'単価履歴'!$O:$O,
MAXIFS('単価履歴'!$O:$O,'単価履歴'!$E:$E,AH$1,'単価履歴'!$F:$F,$A19)))</f>
        <v/>
      </c>
      <c r="AI19" s="249" t="str">
        <f>IF(MAXIFS('単価履歴'!$H:$H,'単価履歴'!$E:$E,AI$1,'単価履歴'!$F:$F,$A19,'単価履歴'!$O:$O,
MAXIFS('単価履歴'!$O:$O,'単価履歴'!$E:$E,AI$1,'単価履歴'!$F:$F,$A19))=0,"",
MAXIFS('単価履歴'!$H:$H,'単価履歴'!$E:$E,AI$1,'単価履歴'!$F:$F,$A19,'単価履歴'!$O:$O,
MAXIFS('単価履歴'!$O:$O,'単価履歴'!$E:$E,AI$1,'単価履歴'!$F:$F,$A19)))</f>
        <v/>
      </c>
      <c r="AJ19" s="251" t="str">
        <f>IF(MAXIFS('単価履歴'!$H:$H,'単価履歴'!$E:$E,AJ$1,'単価履歴'!$F:$F,$A19,'単価履歴'!$O:$O,
MAXIFS('単価履歴'!$O:$O,'単価履歴'!$E:$E,AJ$1,'単価履歴'!$F:$F,$A19))=0,"",
MAXIFS('単価履歴'!$H:$H,'単価履歴'!$E:$E,AJ$1,'単価履歴'!$F:$F,$A19,'単価履歴'!$O:$O,
MAXIFS('単価履歴'!$O:$O,'単価履歴'!$E:$E,AJ$1,'単価履歴'!$F:$F,$A19)))</f>
        <v/>
      </c>
      <c r="AK19" s="252" t="str">
        <f>IF(MAXIFS('単価履歴'!$H:$H,'単価履歴'!$E:$E,AK$1,'単価履歴'!$F:$F,$A19,'単価履歴'!$O:$O,
MAXIFS('単価履歴'!$O:$O,'単価履歴'!$E:$E,AK$1,'単価履歴'!$F:$F,$A19))=0,"",
MAXIFS('単価履歴'!$H:$H,'単価履歴'!$E:$E,AK$1,'単価履歴'!$F:$F,$A19,'単価履歴'!$O:$O,
MAXIFS('単価履歴'!$O:$O,'単価履歴'!$E:$E,AK$1,'単価履歴'!$F:$F,$A19)))</f>
        <v/>
      </c>
      <c r="AL19" s="249" t="str">
        <f>IF(MAXIFS('単価履歴'!$H:$H,'単価履歴'!$E:$E,AL$1,'単価履歴'!$F:$F,$A19,'単価履歴'!$O:$O,
MAXIFS('単価履歴'!$O:$O,'単価履歴'!$E:$E,AL$1,'単価履歴'!$F:$F,$A19))=0,"",
MAXIFS('単価履歴'!$H:$H,'単価履歴'!$E:$E,AL$1,'単価履歴'!$F:$F,$A19,'単価履歴'!$O:$O,
MAXIFS('単価履歴'!$O:$O,'単価履歴'!$E:$E,AL$1,'単価履歴'!$F:$F,$A19)))</f>
        <v/>
      </c>
      <c r="AM19" s="257">
        <f>IF(MAXIFS('単価履歴'!$H:$H,'単価履歴'!$E:$E,AM$1,'単価履歴'!$F:$F,$A19,'単価履歴'!$O:$O,
MAXIFS('単価履歴'!$O:$O,'単価履歴'!$E:$E,AM$1,'単価履歴'!$F:$F,$A19))=0,"",
MAXIFS('単価履歴'!$H:$H,'単価履歴'!$E:$E,AM$1,'単価履歴'!$F:$F,$A19,'単価履歴'!$O:$O,
MAXIFS('単価履歴'!$O:$O,'単価履歴'!$E:$E,AM$1,'単価履歴'!$F:$F,$A19)))</f>
        <v>48</v>
      </c>
      <c r="AN19" s="257" t="str">
        <f>IF(MAXIFS('単価履歴'!$H:$H,'単価履歴'!$E:$E,AN$1,'単価履歴'!$F:$F,$A19,'単価履歴'!$O:$O,
MAXIFS('単価履歴'!$O:$O,'単価履歴'!$E:$E,AN$1,'単価履歴'!$F:$F,$A19))=0,"",
MAXIFS('単価履歴'!$H:$H,'単価履歴'!$E:$E,AN$1,'単価履歴'!$F:$F,$A19,'単価履歴'!$O:$O,
MAXIFS('単価履歴'!$O:$O,'単価履歴'!$E:$E,AN$1,'単価履歴'!$F:$F,$A19)))</f>
        <v/>
      </c>
      <c r="AO19" s="250">
        <f>IF(MAXIFS('単価履歴'!$H:$H,'単価履歴'!$E:$E,AO$1,'単価履歴'!$F:$F,$A19,'単価履歴'!$O:$O,
MAXIFS('単価履歴'!$O:$O,'単価履歴'!$E:$E,AO$1,'単価履歴'!$F:$F,$A19))=0,"",
MAXIFS('単価履歴'!$H:$H,'単価履歴'!$E:$E,AO$1,'単価履歴'!$F:$F,$A19,'単価履歴'!$O:$O,
MAXIFS('単価履歴'!$O:$O,'単価履歴'!$E:$E,AO$1,'単価履歴'!$F:$F,$A19)))</f>
        <v>49.1</v>
      </c>
      <c r="AP19" s="262" t="str">
        <f>IF(MAXIFS('単価履歴'!$H:$H,'単価履歴'!$E:$E,AP$1,'単価履歴'!$F:$F,$A19,'単価履歴'!$O:$O,
MAXIFS('単価履歴'!$O:$O,'単価履歴'!$E:$E,AP$1,'単価履歴'!$F:$F,$A19))=0,"",
MAXIFS('単価履歴'!$H:$H,'単価履歴'!$E:$E,AP$1,'単価履歴'!$F:$F,$A19,'単価履歴'!$O:$O,
MAXIFS('単価履歴'!$O:$O,'単価履歴'!$E:$E,AP$1,'単価履歴'!$F:$F,$A19)))</f>
        <v/>
      </c>
      <c r="AQ19" s="251" t="str">
        <f>IF(MAXIFS('単価履歴'!$H:$H,'単価履歴'!$E:$E,AQ$1,'単価履歴'!$F:$F,$A19,'単価履歴'!$O:$O,
MAXIFS('単価履歴'!$O:$O,'単価履歴'!$E:$E,AQ$1,'単価履歴'!$F:$F,$A19))=0,"",
MAXIFS('単価履歴'!$H:$H,'単価履歴'!$E:$E,AQ$1,'単価履歴'!$F:$F,$A19,'単価履歴'!$O:$O,
MAXIFS('単価履歴'!$O:$O,'単価履歴'!$E:$E,AQ$1,'単価履歴'!$F:$F,$A19)))</f>
        <v/>
      </c>
      <c r="AR19" s="249" t="str">
        <f>IF(MAXIFS('単価履歴'!$H:$H,'単価履歴'!$E:$E,AR$1,'単価履歴'!$F:$F,$A19,'単価履歴'!$O:$O,
MAXIFS('単価履歴'!$O:$O,'単価履歴'!$E:$E,AR$1,'単価履歴'!$F:$F,$A19))=0,"",
MAXIFS('単価履歴'!$H:$H,'単価履歴'!$E:$E,AR$1,'単価履歴'!$F:$F,$A19,'単価履歴'!$O:$O,
MAXIFS('単価履歴'!$O:$O,'単価履歴'!$E:$E,AR$1,'単価履歴'!$F:$F,$A19)))</f>
        <v/>
      </c>
      <c r="AS19" s="249" t="str">
        <f>IF(MAXIFS('単価履歴'!$H:$H,'単価履歴'!$E:$E,AS$1,'単価履歴'!$F:$F,$A19,'単価履歴'!$O:$O,
MAXIFS('単価履歴'!$O:$O,'単価履歴'!$E:$E,AS$1,'単価履歴'!$F:$F,$A19))=0,"",
MAXIFS('単価履歴'!$H:$H,'単価履歴'!$E:$E,AS$1,'単価履歴'!$F:$F,$A19,'単価履歴'!$O:$O,
MAXIFS('単価履歴'!$O:$O,'単価履歴'!$E:$E,AS$1,'単価履歴'!$F:$F,$A19)))</f>
        <v/>
      </c>
      <c r="AT19" s="262">
        <f>IF(MAXIFS('単価履歴'!$H:$H,'単価履歴'!$E:$E,AT$1,'単価履歴'!$F:$F,$A19,'単価履歴'!$O:$O,
MAXIFS('単価履歴'!$O:$O,'単価履歴'!$E:$E,AT$1,'単価履歴'!$F:$F,$A19))=0,"",
MAXIFS('単価履歴'!$H:$H,'単価履歴'!$E:$E,AT$1,'単価履歴'!$F:$F,$A19,'単価履歴'!$O:$O,
MAXIFS('単価履歴'!$O:$O,'単価履歴'!$E:$E,AT$1,'単価履歴'!$F:$F,$A19)))</f>
        <v>43</v>
      </c>
      <c r="AU19" s="249" t="str">
        <f>IF(MAXIFS('単価履歴'!$H:$H,'単価履歴'!$E:$E,AU$1,'単価履歴'!$F:$F,$A19,'単価履歴'!$O:$O,
MAXIFS('単価履歴'!$O:$O,'単価履歴'!$E:$E,AU$1,'単価履歴'!$F:$F,$A19))=0,"",
MAXIFS('単価履歴'!$H:$H,'単価履歴'!$E:$E,AU$1,'単価履歴'!$F:$F,$A19,'単価履歴'!$O:$O,
MAXIFS('単価履歴'!$O:$O,'単価履歴'!$E:$E,AU$1,'単価履歴'!$F:$F,$A19)))</f>
        <v/>
      </c>
      <c r="AV19" s="247">
        <f>IF(MAXIFS('単価履歴'!$H:$H,'単価履歴'!$E:$E,AV$1,'単価履歴'!$F:$F,$A19,'単価履歴'!$O:$O,
MAXIFS('単価履歴'!$O:$O,'単価履歴'!$E:$E,AV$1,'単価履歴'!$F:$F,$A19))=0,"",
MAXIFS('単価履歴'!$H:$H,'単価履歴'!$E:$E,AV$1,'単価履歴'!$F:$F,$A19,'単価履歴'!$O:$O,
MAXIFS('単価履歴'!$O:$O,'単価履歴'!$E:$E,AV$1,'単価履歴'!$F:$F,$A19)))</f>
        <v>48</v>
      </c>
      <c r="AW19" s="258">
        <f>IF(MAXIFS('単価履歴'!$H:$H,'単価履歴'!$E:$E,AW$1,'単価履歴'!$F:$F,$A19,'単価履歴'!$O:$O,
MAXIFS('単価履歴'!$O:$O,'単価履歴'!$E:$E,AW$1,'単価履歴'!$F:$F,$A19))=0,"",
MAXIFS('単価履歴'!$H:$H,'単価履歴'!$E:$E,AW$1,'単価履歴'!$F:$F,$A19,'単価履歴'!$O:$O,
MAXIFS('単価履歴'!$O:$O,'単価履歴'!$E:$E,AW$1,'単価履歴'!$F:$F,$A19)))</f>
        <v>48</v>
      </c>
      <c r="AX19" s="247">
        <f>IF(MAXIFS('単価履歴'!$H:$H,'単価履歴'!$E:$E,AX$1,'単価履歴'!$F:$F,$A19,'単価履歴'!$O:$O,
MAXIFS('単価履歴'!$O:$O,'単価履歴'!$E:$E,AX$1,'単価履歴'!$F:$F,$A19))=0,"",
MAXIFS('単価履歴'!$H:$H,'単価履歴'!$E:$E,AX$1,'単価履歴'!$F:$F,$A19,'単価履歴'!$O:$O,
MAXIFS('単価履歴'!$O:$O,'単価履歴'!$E:$E,AX$1,'単価履歴'!$F:$F,$A19)))</f>
        <v>45.8</v>
      </c>
      <c r="AY19" s="258">
        <f>IF(MAXIFS('単価履歴'!$H:$H,'単価履歴'!$E:$E,AY$1,'単価履歴'!$F:$F,$A19,'単価履歴'!$O:$O,
MAXIFS('単価履歴'!$O:$O,'単価履歴'!$E:$E,AY$1,'単価履歴'!$F:$F,$A19))=0,"",
MAXIFS('単価履歴'!$H:$H,'単価履歴'!$E:$E,AY$1,'単価履歴'!$F:$F,$A19,'単価履歴'!$O:$O,
MAXIFS('単価履歴'!$O:$O,'単価履歴'!$E:$E,AY$1,'単価履歴'!$F:$F,$A19)))</f>
        <v>45.4</v>
      </c>
      <c r="AZ19" s="246">
        <f>IF(MAXIFS('単価履歴'!$H:$H,'単価履歴'!$E:$E,AZ$1,'単価履歴'!$F:$F,$A19,'単価履歴'!$O:$O,
MAXIFS('単価履歴'!$O:$O,'単価履歴'!$E:$E,AZ$1,'単価履歴'!$F:$F,$A19))=0,"",
MAXIFS('単価履歴'!$H:$H,'単価履歴'!$E:$E,AZ$1,'単価履歴'!$F:$F,$A19,'単価履歴'!$O:$O,
MAXIFS('単価履歴'!$O:$O,'単価履歴'!$E:$E,AZ$1,'単価履歴'!$F:$F,$A19)))</f>
        <v>48.5</v>
      </c>
      <c r="BA19" s="258">
        <f>IF(MAXIFS('単価履歴'!$H:$H,'単価履歴'!$E:$E,BA$1,'単価履歴'!$F:$F,$A19,'単価履歴'!$O:$O,
MAXIFS('単価履歴'!$O:$O,'単価履歴'!$E:$E,BA$1,'単価履歴'!$F:$F,$A19))=0,"",
MAXIFS('単価履歴'!$H:$H,'単価履歴'!$E:$E,BA$1,'単価履歴'!$F:$F,$A19,'単価履歴'!$O:$O,
MAXIFS('単価履歴'!$O:$O,'単価履歴'!$E:$E,BA$1,'単価履歴'!$F:$F,$A19)))</f>
        <v>48</v>
      </c>
      <c r="BB19" s="249"/>
      <c r="BC19" s="249" t="str">
        <f>IF(MAXIFS('単価履歴'!$H:$H,'単価履歴'!$E:$E,BC$1,'単価履歴'!$F:$F,$A19,'単価履歴'!$O:$O,
MAXIFS('単価履歴'!$O:$O,'単価履歴'!$E:$E,BC$1,'単価履歴'!$F:$F,$A19))=0,"",
MAXIFS('単価履歴'!$H:$H,'単価履歴'!$E:$E,BC$1,'単価履歴'!$F:$F,$A19,'単価履歴'!$O:$O,
MAXIFS('単価履歴'!$O:$O,'単価履歴'!$E:$E,BC$1,'単価履歴'!$F:$F,$A19)))</f>
        <v/>
      </c>
      <c r="BD19" s="249" t="str">
        <f>IF(MAXIFS('単価履歴'!$H:$H,'単価履歴'!$E:$E,BD$1,'単価履歴'!$F:$F,$A19,'単価履歴'!$O:$O,
MAXIFS('単価履歴'!$O:$O,'単価履歴'!$E:$E,BD$1,'単価履歴'!$F:$F,$A19))=0,"",
MAXIFS('単価履歴'!$H:$H,'単価履歴'!$E:$E,BD$1,'単価履歴'!$F:$F,$A19,'単価履歴'!$O:$O,
MAXIFS('単価履歴'!$O:$O,'単価履歴'!$E:$E,BD$1,'単価履歴'!$F:$F,$A19)))</f>
        <v/>
      </c>
      <c r="BE19" s="249" t="str">
        <f>IF(MAXIFS('単価履歴'!$H:$H,'単価履歴'!$E:$E,BE$1,'単価履歴'!$F:$F,$A19,'単価履歴'!$O:$O,
MAXIFS('単価履歴'!$O:$O,'単価履歴'!$E:$E,BE$1,'単価履歴'!$F:$F,$A19))=0,"",
MAXIFS('単価履歴'!$H:$H,'単価履歴'!$E:$E,BE$1,'単価履歴'!$F:$F,$A19,'単価履歴'!$O:$O,
MAXIFS('単価履歴'!$O:$O,'単価履歴'!$E:$E,BE$1,'単価履歴'!$F:$F,$A19)))</f>
        <v/>
      </c>
      <c r="BF19" s="248" t="str">
        <f>IF(MAXIFS('単価履歴'!$H:$H,'単価履歴'!$E:$E,BF$1,'単価履歴'!$F:$F,$A19,'単価履歴'!$O:$O,
MAXIFS('単価履歴'!$O:$O,'単価履歴'!$E:$E,BF$1,'単価履歴'!$F:$F,$A19))=0,"",
MAXIFS('単価履歴'!$H:$H,'単価履歴'!$E:$E,BF$1,'単価履歴'!$F:$F,$A19,'単価履歴'!$O:$O,
MAXIFS('単価履歴'!$O:$O,'単価履歴'!$E:$E,BF$1,'単価履歴'!$F:$F,$A19)))</f>
        <v/>
      </c>
      <c r="BG19" s="249" t="str">
        <f>IF(MAXIFS('単価履歴'!$H:$H,'単価履歴'!$E:$E,BG$1,'単価履歴'!$F:$F,$A19,'単価履歴'!$O:$O,
MAXIFS('単価履歴'!$O:$O,'単価履歴'!$E:$E,BG$1,'単価履歴'!$F:$F,$A19))=0,"",
MAXIFS('単価履歴'!$H:$H,'単価履歴'!$E:$E,BG$1,'単価履歴'!$F:$F,$A19,'単価履歴'!$O:$O,
MAXIFS('単価履歴'!$O:$O,'単価履歴'!$E:$E,BG$1,'単価履歴'!$F:$F,$A19)))</f>
        <v/>
      </c>
      <c r="BH19" s="251" t="str">
        <f>IF(MAXIFS('単価履歴'!$H:$H,'単価履歴'!$E:$E,BH$1,'単価履歴'!$F:$F,$A19,'単価履歴'!$O:$O,
MAXIFS('単価履歴'!$O:$O,'単価履歴'!$E:$E,BH$1,'単価履歴'!$F:$F,$A19))=0,"",
MAXIFS('単価履歴'!$H:$H,'単価履歴'!$E:$E,BH$1,'単価履歴'!$F:$F,$A19,'単価履歴'!$O:$O,
MAXIFS('単価履歴'!$O:$O,'単価履歴'!$E:$E,BH$1,'単価履歴'!$F:$F,$A19)))</f>
        <v/>
      </c>
      <c r="BI19" s="249" t="str">
        <f>IF(MAXIFS('単価履歴'!$H:$H,'単価履歴'!$E:$E,BI$1,'単価履歴'!$F:$F,$A19,'単価履歴'!$O:$O,
MAXIFS('単価履歴'!$O:$O,'単価履歴'!$E:$E,BI$1,'単価履歴'!$F:$F,$A19))=0,"",
MAXIFS('単価履歴'!$H:$H,'単価履歴'!$E:$E,BI$1,'単価履歴'!$F:$F,$A19,'単価履歴'!$O:$O,
MAXIFS('単価履歴'!$O:$O,'単価履歴'!$E:$E,BI$1,'単価履歴'!$F:$F,$A19)))</f>
        <v/>
      </c>
      <c r="BJ19" s="248" t="str">
        <f>IF(MAXIFS('単価履歴'!$H:$H,'単価履歴'!$E:$E,BJ$1,'単価履歴'!$F:$F,$A19,'単価履歴'!$O:$O,
MAXIFS('単価履歴'!$O:$O,'単価履歴'!$E:$E,BJ$1,'単価履歴'!$F:$F,$A19))=0,"",
MAXIFS('単価履歴'!$H:$H,'単価履歴'!$E:$E,BJ$1,'単価履歴'!$F:$F,$A19,'単価履歴'!$O:$O,
MAXIFS('単価履歴'!$O:$O,'単価履歴'!$E:$E,BJ$1,'単価履歴'!$F:$F,$A19)))</f>
        <v/>
      </c>
      <c r="BK19" s="278" t="str">
        <f>IF(MAXIFS('単価履歴'!$H:$H,'単価履歴'!$E:$E,BK$1,'単価履歴'!$F:$F,$A19,'単価履歴'!$O:$O,
MAXIFS('単価履歴'!$O:$O,'単価履歴'!$E:$E,BK$1,'単価履歴'!$F:$F,$A19))=0,"",
MAXIFS('単価履歴'!$H:$H,'単価履歴'!$E:$E,BK$1,'単価履歴'!$F:$F,$A19,'単価履歴'!$O:$O,
MAXIFS('単価履歴'!$O:$O,'単価履歴'!$E:$E,BK$1,'単価履歴'!$F:$F,$A19)))</f>
        <v/>
      </c>
      <c r="BL19" s="249" t="str">
        <f>IF(MAXIFS('単価履歴'!$H:$H,'単価履歴'!$E:$E,BL$1,'単価履歴'!$F:$F,$A19,'単価履歴'!$O:$O,
MAXIFS('単価履歴'!$O:$O,'単価履歴'!$E:$E,BL$1,'単価履歴'!$F:$F,$A19))=0,"",
MAXIFS('単価履歴'!$H:$H,'単価履歴'!$E:$E,BL$1,'単価履歴'!$F:$F,$A19,'単価履歴'!$O:$O,
MAXIFS('単価履歴'!$O:$O,'単価履歴'!$E:$E,BL$1,'単価履歴'!$F:$F,$A19)))</f>
        <v/>
      </c>
      <c r="BM19" s="248" t="str">
        <f>IF(MAXIFS('単価履歴'!$H:$H,'単価履歴'!$E:$E,BM$1,'単価履歴'!$F:$F,$A19,'単価履歴'!$O:$O,
MAXIFS('単価履歴'!$O:$O,'単価履歴'!$E:$E,BM$1,'単価履歴'!$F:$F,$A19))=0,"",
MAXIFS('単価履歴'!$H:$H,'単価履歴'!$E:$E,BM$1,'単価履歴'!$F:$F,$A19,'単価履歴'!$O:$O,
MAXIFS('単価履歴'!$O:$O,'単価履歴'!$E:$E,BM$1,'単価履歴'!$F:$F,$A19)))</f>
        <v/>
      </c>
      <c r="BN19" s="249" t="str">
        <f>IF(MAXIFS('単価履歴'!$H:$H,'単価履歴'!$E:$E,BN$1,'単価履歴'!$F:$F,$A19,'単価履歴'!$O:$O,
MAXIFS('単価履歴'!$O:$O,'単価履歴'!$E:$E,BN$1,'単価履歴'!$F:$F,$A19))=0,"",
MAXIFS('単価履歴'!$H:$H,'単価履歴'!$E:$E,BN$1,'単価履歴'!$F:$F,$A19,'単価履歴'!$O:$O,
MAXIFS('単価履歴'!$O:$O,'単価履歴'!$E:$E,BN$1,'単価履歴'!$F:$F,$A19)))</f>
        <v/>
      </c>
      <c r="BO19" s="248" t="str">
        <f>IF(MAXIFS('単価履歴'!$H:$H,'単価履歴'!$E:$E,BO$1,'単価履歴'!$F:$F,$A19,'単価履歴'!$O:$O,
MAXIFS('単価履歴'!$O:$O,'単価履歴'!$E:$E,BO$1,'単価履歴'!$F:$F,$A19))=0,"",
MAXIFS('単価履歴'!$H:$H,'単価履歴'!$E:$E,BO$1,'単価履歴'!$F:$F,$A19,'単価履歴'!$O:$O,
MAXIFS('単価履歴'!$O:$O,'単価履歴'!$E:$E,BO$1,'単価履歴'!$F:$F,$A19)))</f>
        <v/>
      </c>
      <c r="BP19" s="249" t="str">
        <f>IF(MAXIFS('単価履歴'!$H:$H,'単価履歴'!$E:$E,BP$1,'単価履歴'!$F:$F,$A19,'単価履歴'!$O:$O,
MAXIFS('単価履歴'!$O:$O,'単価履歴'!$E:$E,BP$1,'単価履歴'!$F:$F,$A19))=0,"",
MAXIFS('単価履歴'!$H:$H,'単価履歴'!$E:$E,BP$1,'単価履歴'!$F:$F,$A19,'単価履歴'!$O:$O,
MAXIFS('単価履歴'!$O:$O,'単価履歴'!$E:$E,BP$1,'単価履歴'!$F:$F,$A19)))</f>
        <v/>
      </c>
      <c r="BQ19" s="249" t="str">
        <f>IF(MAXIFS('単価履歴'!$H:$H,'単価履歴'!$E:$E,BQ$1,'単価履歴'!$F:$F,$A19,'単価履歴'!$O:$O,
MAXIFS('単価履歴'!$O:$O,'単価履歴'!$E:$E,BQ$1,'単価履歴'!$F:$F,$A19))=0,"",
MAXIFS('単価履歴'!$H:$H,'単価履歴'!$E:$E,BQ$1,'単価履歴'!$F:$F,$A19,'単価履歴'!$O:$O,
MAXIFS('単価履歴'!$O:$O,'単価履歴'!$E:$E,BQ$1,'単価履歴'!$F:$F,$A19)))</f>
        <v/>
      </c>
      <c r="BR19" s="252" t="str">
        <f>IF(MAXIFS('単価履歴'!$H:$H,'単価履歴'!$E:$E,BR$1,'単価履歴'!$F:$F,$A19,'単価履歴'!$O:$O,
MAXIFS('単価履歴'!$O:$O,'単価履歴'!$E:$E,BR$1,'単価履歴'!$F:$F,$A19))=0,"",
MAXIFS('単価履歴'!$H:$H,'単価履歴'!$E:$E,BR$1,'単価履歴'!$F:$F,$A19,'単価履歴'!$O:$O,
MAXIFS('単価履歴'!$O:$O,'単価履歴'!$E:$E,BR$1,'単価履歴'!$F:$F,$A19)))</f>
        <v/>
      </c>
      <c r="BS19" s="252" t="str">
        <f>IF(MAXIFS('単価履歴'!$H:$H,'単価履歴'!$E:$E,BS$1,'単価履歴'!$F:$F,$A19,'単価履歴'!$O:$O,
MAXIFS('単価履歴'!$O:$O,'単価履歴'!$E:$E,BS$1,'単価履歴'!$F:$F,$A19))=0,"",
MAXIFS('単価履歴'!$H:$H,'単価履歴'!$E:$E,BS$1,'単価履歴'!$F:$F,$A19,'単価履歴'!$O:$O,
MAXIFS('単価履歴'!$O:$O,'単価履歴'!$E:$E,BS$1,'単価履歴'!$F:$F,$A19)))</f>
        <v/>
      </c>
      <c r="BT19" s="252" t="str">
        <f>IF(MAXIFS('単価履歴'!$H:$H,'単価履歴'!$E:$E,BT$1,'単価履歴'!$F:$F,$A19,'単価履歴'!$O:$O,
MAXIFS('単価履歴'!$O:$O,'単価履歴'!$E:$E,BT$1,'単価履歴'!$F:$F,$A19))=0,"",
MAXIFS('単価履歴'!$H:$H,'単価履歴'!$E:$E,BT$1,'単価履歴'!$F:$F,$A19,'単価履歴'!$O:$O,
MAXIFS('単価履歴'!$O:$O,'単価履歴'!$E:$E,BT$1,'単価履歴'!$F:$F,$A19)))</f>
        <v/>
      </c>
      <c r="BU19" s="252" t="str">
        <f>IF(MAXIFS('単価履歴'!$H:$H,'単価履歴'!$E:$E,BU$1,'単価履歴'!$F:$F,$A19,'単価履歴'!$O:$O,
MAXIFS('単価履歴'!$O:$O,'単価履歴'!$E:$E,BU$1,'単価履歴'!$F:$F,$A19))=0,"",
MAXIFS('単価履歴'!$H:$H,'単価履歴'!$E:$E,BU$1,'単価履歴'!$F:$F,$A19,'単価履歴'!$O:$O,
MAXIFS('単価履歴'!$O:$O,'単価履歴'!$E:$E,BU$1,'単価履歴'!$F:$F,$A19)))</f>
        <v/>
      </c>
      <c r="BV19" s="252" t="str">
        <f>IF(MAXIFS('単価履歴'!$H:$H,'単価履歴'!$E:$E,BV$1,'単価履歴'!$F:$F,$A19,'単価履歴'!$O:$O,
MAXIFS('単価履歴'!$O:$O,'単価履歴'!$E:$E,BV$1,'単価履歴'!$F:$F,$A19))=0,"",
MAXIFS('単価履歴'!$H:$H,'単価履歴'!$E:$E,BV$1,'単価履歴'!$F:$F,$A19,'単価履歴'!$O:$O,
MAXIFS('単価履歴'!$O:$O,'単価履歴'!$E:$E,BV$1,'単価履歴'!$F:$F,$A19)))</f>
        <v/>
      </c>
      <c r="BW19" s="248" t="str">
        <f>IF(MAXIFS('単価履歴'!$H:$H,'単価履歴'!$E:$E,BW$1,'単価履歴'!$F:$F,$A19,'単価履歴'!$O:$O,
MAXIFS('単価履歴'!$O:$O,'単価履歴'!$E:$E,BW$1,'単価履歴'!$F:$F,$A19))=0,"",
MAXIFS('単価履歴'!$H:$H,'単価履歴'!$E:$E,BW$1,'単価履歴'!$F:$F,$A19,'単価履歴'!$O:$O,
MAXIFS('単価履歴'!$O:$O,'単価履歴'!$E:$E,BW$1,'単価履歴'!$F:$F,$A19)))</f>
        <v/>
      </c>
      <c r="BX19" s="249" t="str">
        <f>IF(MAXIFS('単価履歴'!$H:$H,'単価履歴'!$E:$E,BX$1,'単価履歴'!$F:$F,$A19,'単価履歴'!$O:$O,
MAXIFS('単価履歴'!$O:$O,'単価履歴'!$E:$E,BX$1,'単価履歴'!$F:$F,$A19))=0,"",
MAXIFS('単価履歴'!$H:$H,'単価履歴'!$E:$E,BX$1,'単価履歴'!$F:$F,$A19,'単価履歴'!$O:$O,
MAXIFS('単価履歴'!$O:$O,'単価履歴'!$E:$E,BX$1,'単価履歴'!$F:$F,$A19)))</f>
        <v/>
      </c>
      <c r="BY19" s="252" t="str">
        <f>IF(MAXIFS('単価履歴'!$H:$H,'単価履歴'!$E:$E,BY$1,'単価履歴'!$F:$F,$A19,'単価履歴'!$O:$O,
MAXIFS('単価履歴'!$O:$O,'単価履歴'!$E:$E,BY$1,'単価履歴'!$F:$F,$A19))=0,"",
MAXIFS('単価履歴'!$H:$H,'単価履歴'!$E:$E,BY$1,'単価履歴'!$F:$F,$A19,'単価履歴'!$O:$O,
MAXIFS('単価履歴'!$O:$O,'単価履歴'!$E:$E,BY$1,'単価履歴'!$F:$F,$A19)))</f>
        <v/>
      </c>
      <c r="BZ19" s="249"/>
      <c r="CA19" s="249"/>
      <c r="CB19" s="249"/>
      <c r="CC19" s="249"/>
      <c r="CD19" s="249"/>
      <c r="CE19" s="249"/>
      <c r="CF19" s="249"/>
      <c r="CG19" s="249"/>
    </row>
    <row r="20">
      <c r="A20" s="261" t="s">
        <v>130</v>
      </c>
      <c r="B20" s="246"/>
      <c r="C20" s="262">
        <f>IF(MAXIFS('単価履歴'!$H:$H,'単価履歴'!$E:$E,C$1,'単価履歴'!$F:$F,$A20,'単価履歴'!$O:$O,
MAXIFS('単価履歴'!$O:$O,'単価履歴'!$E:$E,C$1,'単価履歴'!$F:$F,$A20))=0,"",
MAXIFS('単価履歴'!$H:$H,'単価履歴'!$E:$E,C$1,'単価履歴'!$F:$F,$A20,'単価履歴'!$O:$O,
MAXIFS('単価履歴'!$O:$O,'単価履歴'!$E:$E,C$1,'単価履歴'!$F:$F,$A20)))</f>
        <v>58.3</v>
      </c>
      <c r="D20" s="250">
        <f>IF(MAXIFS('単価履歴'!$H:$H,'単価履歴'!$E:$E,D$1,'単価履歴'!$F:$F,$A20,'単価履歴'!$O:$O,
MAXIFS('単価履歴'!$O:$O,'単価履歴'!$E:$E,D$1,'単価履歴'!$F:$F,$A20))=0,"",
MAXIFS('単価履歴'!$H:$H,'単価履歴'!$E:$E,D$1,'単価履歴'!$F:$F,$A20,'単価履歴'!$O:$O,
MAXIFS('単価履歴'!$O:$O,'単価履歴'!$E:$E,D$1,'単価履歴'!$F:$F,$A20)))</f>
        <v>58.3</v>
      </c>
      <c r="E20" s="250">
        <f>IF(MAXIFS('単価履歴'!$H:$H,'単価履歴'!$E:$E,E$1,'単価履歴'!$F:$F,$A20,'単価履歴'!$O:$O,
MAXIFS('単価履歴'!$O:$O,'単価履歴'!$E:$E,E$1,'単価履歴'!$F:$F,$A20))=0,"",
MAXIFS('単価履歴'!$H:$H,'単価履歴'!$E:$E,E$1,'単価履歴'!$F:$F,$A20,'単価履歴'!$O:$O,
MAXIFS('単価履歴'!$O:$O,'単価履歴'!$E:$E,E$1,'単価履歴'!$F:$F,$A20)))</f>
        <v>57.3</v>
      </c>
      <c r="F20" s="250">
        <f>IF(MAXIFS('単価履歴'!$H:$H,'単価履歴'!$E:$E,F$1,'単価履歴'!$F:$F,$A20,'単価履歴'!$O:$O,
MAXIFS('単価履歴'!$O:$O,'単価履歴'!$E:$E,F$1,'単価履歴'!$F:$F,$A20))=0,"",
MAXIFS('単価履歴'!$H:$H,'単価履歴'!$E:$E,F$1,'単価履歴'!$F:$F,$A20,'単価履歴'!$O:$O,
MAXIFS('単価履歴'!$O:$O,'単価履歴'!$E:$E,F$1,'単価履歴'!$F:$F,$A20)))</f>
        <v>55.3</v>
      </c>
      <c r="G20" s="263"/>
      <c r="H20" s="250">
        <f>IF(MAXIFS('単価履歴'!$H:$H,'単価履歴'!$E:$E,H$1,'単価履歴'!$F:$F,$A20,'単価履歴'!$O:$O,
MAXIFS('単価履歴'!$O:$O,'単価履歴'!$E:$E,H$1,'単価履歴'!$F:$F,$A20))=0,"",
MAXIFS('単価履歴'!$H:$H,'単価履歴'!$E:$E,H$1,'単価履歴'!$F:$F,$A20,'単価履歴'!$O:$O,
MAXIFS('単価履歴'!$O:$O,'単価履歴'!$E:$E,H$1,'単価履歴'!$F:$F,$A20)))</f>
        <v>58.3</v>
      </c>
      <c r="I20" s="256"/>
      <c r="J20" s="263"/>
      <c r="K20" s="250">
        <f>IF(MAXIFS('単価履歴'!$H:$H,'単価履歴'!$E:$E,K$1,'単価履歴'!$F:$F,$A20,'単価履歴'!$O:$O,
MAXIFS('単価履歴'!$O:$O,'単価履歴'!$E:$E,K$1,'単価履歴'!$F:$F,$A20))=0,"",
MAXIFS('単価履歴'!$H:$H,'単価履歴'!$E:$E,K$1,'単価履歴'!$F:$F,$A20,'単価履歴'!$O:$O,
MAXIFS('単価履歴'!$O:$O,'単価履歴'!$E:$E,K$1,'単価履歴'!$F:$F,$A20)))</f>
        <v>37.5</v>
      </c>
      <c r="L20" s="250">
        <f>IF(MAXIFS('単価履歴'!$H:$H,'単価履歴'!$E:$E,L$1,'単価履歴'!$F:$F,$A20,'単価履歴'!$O:$O,
MAXIFS('単価履歴'!$O:$O,'単価履歴'!$E:$E,L$1,'単価履歴'!$F:$F,$A20))=0,"",
MAXIFS('単価履歴'!$H:$H,'単価履歴'!$E:$E,L$1,'単価履歴'!$F:$F,$A20,'単価履歴'!$O:$O,
MAXIFS('単価履歴'!$O:$O,'単価履歴'!$E:$E,L$1,'単価履歴'!$F:$F,$A20)))</f>
        <v>36.2</v>
      </c>
      <c r="M20" s="250">
        <f>IF(MAXIFS('単価履歴'!$H:$H,'単価履歴'!$E:$E,M$1,'単価履歴'!$F:$F,$A20,'単価履歴'!$O:$O,
MAXIFS('単価履歴'!$O:$O,'単価履歴'!$E:$E,M$1,'単価履歴'!$F:$F,$A20))=0,"",
MAXIFS('単価履歴'!$H:$H,'単価履歴'!$E:$E,M$1,'単価履歴'!$F:$F,$A20,'単価履歴'!$O:$O,
MAXIFS('単価履歴'!$O:$O,'単価履歴'!$E:$E,M$1,'単価履歴'!$F:$F,$A20)))</f>
        <v>51.7</v>
      </c>
      <c r="N20" s="250">
        <f>IF(MAXIFS('単価履歴'!$H:$H,'単価履歴'!$E:$E,N$1,'単価履歴'!$F:$F,$A20,'単価履歴'!$O:$O,
MAXIFS('単価履歴'!$O:$O,'単価履歴'!$E:$E,N$1,'単価履歴'!$F:$F,$A20))=0,"",
MAXIFS('単価履歴'!$H:$H,'単価履歴'!$E:$E,N$1,'単価履歴'!$F:$F,$A20,'単価履歴'!$O:$O,
MAXIFS('単価履歴'!$O:$O,'単価履歴'!$E:$E,N$1,'単価履歴'!$F:$F,$A20)))</f>
        <v>37.8</v>
      </c>
      <c r="O20" s="250" t="str">
        <f>IF(MAXIFS('単価履歴'!$H:$H,'単価履歴'!$E:$E,O$1,'単価履歴'!$F:$F,$A20,'単価履歴'!$O:$O,
MAXIFS('単価履歴'!$O:$O,'単価履歴'!$E:$E,O$1,'単価履歴'!$F:$F,$A20))=0,"",
MAXIFS('単価履歴'!$H:$H,'単価履歴'!$E:$E,O$1,'単価履歴'!$F:$F,$A20,'単価履歴'!$O:$O,
MAXIFS('単価履歴'!$O:$O,'単価履歴'!$E:$E,O$1,'単価履歴'!$F:$F,$A20)))</f>
        <v/>
      </c>
      <c r="P20" s="254" t="str">
        <f>IF(MAXIFS('単価履歴'!$H:$H,'単価履歴'!$E:$E,P$1,'単価履歴'!$F:$F,$A20,'単価履歴'!$O:$O,
MAXIFS('単価履歴'!$O:$O,'単価履歴'!$E:$E,P$1,'単価履歴'!$F:$F,$A20))=0,"",
MAXIFS('単価履歴'!$H:$H,'単価履歴'!$E:$E,P$1,'単価履歴'!$F:$F,$A20,'単価履歴'!$O:$O,
MAXIFS('単価履歴'!$O:$O,'単価履歴'!$E:$E,P$1,'単価履歴'!$F:$F,$A20)))</f>
        <v/>
      </c>
      <c r="Q20" s="256" t="str">
        <f>IF(MAXIFS('単価履歴'!$H:$H,'単価履歴'!$E:$E,Q$1,'単価履歴'!$F:$F,$A20,'単価履歴'!$O:$O,
MAXIFS('単価履歴'!$O:$O,'単価履歴'!$E:$E,Q$1,'単価履歴'!$F:$F,$A20))=0,"",
MAXIFS('単価履歴'!$H:$H,'単価履歴'!$E:$E,Q$1,'単価履歴'!$F:$F,$A20,'単価履歴'!$O:$O,
MAXIFS('単価履歴'!$O:$O,'単価履歴'!$E:$E,Q$1,'単価履歴'!$F:$F,$A20)))</f>
        <v/>
      </c>
      <c r="R20" s="256" t="str">
        <f>IF(MAXIFS('単価履歴'!$H:$H,'単価履歴'!$E:$E,R$1,'単価履歴'!$F:$F,$A20,'単価履歴'!$O:$O,
MAXIFS('単価履歴'!$O:$O,'単価履歴'!$E:$E,R$1,'単価履歴'!$F:$F,$A20))=0,"",
MAXIFS('単価履歴'!$H:$H,'単価履歴'!$E:$E,R$1,'単価履歴'!$F:$F,$A20,'単価履歴'!$O:$O,
MAXIFS('単価履歴'!$O:$O,'単価履歴'!$E:$E,R$1,'単価履歴'!$F:$F,$A20)))</f>
        <v/>
      </c>
      <c r="S20" s="264" t="str">
        <f>IF(MAXIFS('単価履歴'!$H:$H,'単価履歴'!$E:$E,S$1,'単価履歴'!$F:$F,$A20,'単価履歴'!$O:$O,
MAXIFS('単価履歴'!$O:$O,'単価履歴'!$E:$E,S$1,'単価履歴'!$F:$F,$A20))=0,"",
MAXIFS('単価履歴'!$H:$H,'単価履歴'!$E:$E,S$1,'単価履歴'!$F:$F,$A20,'単価履歴'!$O:$O,
MAXIFS('単価履歴'!$O:$O,'単価履歴'!$E:$E,S$1,'単価履歴'!$F:$F,$A20)))</f>
        <v/>
      </c>
      <c r="T20" s="268">
        <f>IF(MAXIFS('単価履歴'!$H:$H,'単価履歴'!$E:$E,T$1,'単価履歴'!$F:$F,$A20,'単価履歴'!$O:$O,
MAXIFS('単価履歴'!$O:$O,'単価履歴'!$E:$E,T$1,'単価履歴'!$F:$F,$A20))=0,"",
MAXIFS('単価履歴'!$H:$H,'単価履歴'!$E:$E,T$1,'単価履歴'!$F:$F,$A20,'単価履歴'!$O:$O,
MAXIFS('単価履歴'!$O:$O,'単価履歴'!$E:$E,T$1,'単価履歴'!$F:$F,$A20)))</f>
        <v>58.7</v>
      </c>
      <c r="U20" s="264" t="str">
        <f>IF(MAXIFS('単価履歴'!$H:$H,'単価履歴'!$E:$E,U$1,'単価履歴'!$F:$F,$A20,'単価履歴'!$O:$O,
MAXIFS('単価履歴'!$O:$O,'単価履歴'!$E:$E,U$1,'単価履歴'!$F:$F,$A20))=0,"",
MAXIFS('単価履歴'!$H:$H,'単価履歴'!$E:$E,U$1,'単価履歴'!$F:$F,$A20,'単価履歴'!$O:$O,
MAXIFS('単価履歴'!$O:$O,'単価履歴'!$E:$E,U$1,'単価履歴'!$F:$F,$A20)))</f>
        <v/>
      </c>
      <c r="V20" s="254" t="str">
        <f>IF(MAXIFS('単価履歴'!$H:$H,'単価履歴'!$E:$E,V$1,'単価履歴'!$F:$F,$A20,'単価履歴'!$O:$O,
MAXIFS('単価履歴'!$O:$O,'単価履歴'!$E:$E,V$1,'単価履歴'!$F:$F,$A20))=0,"",
MAXIFS('単価履歴'!$H:$H,'単価履歴'!$E:$E,V$1,'単価履歴'!$F:$F,$A20,'単価履歴'!$O:$O,
MAXIFS('単価履歴'!$O:$O,'単価履歴'!$E:$E,V$1,'単価履歴'!$F:$F,$A20)))</f>
        <v/>
      </c>
      <c r="W20" s="256" t="str">
        <f>IF(MAXIFS('単価履歴'!$H:$H,'単価履歴'!$E:$E,W$1,'単価履歴'!$F:$F,$A20,'単価履歴'!$O:$O,
MAXIFS('単価履歴'!$O:$O,'単価履歴'!$E:$E,W$1,'単価履歴'!$F:$F,$A20))=0,"",
MAXIFS('単価履歴'!$H:$H,'単価履歴'!$E:$E,W$1,'単価履歴'!$F:$F,$A20,'単価履歴'!$O:$O,
MAXIFS('単価履歴'!$O:$O,'単価履歴'!$E:$E,W$1,'単価履歴'!$F:$F,$A20)))</f>
        <v/>
      </c>
      <c r="X20" s="256" t="str">
        <f>IF(MAXIFS('単価履歴'!$H:$H,'単価履歴'!$E:$E,X$1,'単価履歴'!$F:$F,$A20,'単価履歴'!$O:$O,
MAXIFS('単価履歴'!$O:$O,'単価履歴'!$E:$E,X$1,'単価履歴'!$F:$F,$A20))=0,"",
MAXIFS('単価履歴'!$H:$H,'単価履歴'!$E:$E,X$1,'単価履歴'!$F:$F,$A20,'単価履歴'!$O:$O,
MAXIFS('単価履歴'!$O:$O,'単価履歴'!$E:$E,X$1,'単価履歴'!$F:$F,$A20)))</f>
        <v/>
      </c>
      <c r="Y20" s="251">
        <f>IF(MAXIFS('単価履歴'!$H:$H,'単価履歴'!$E:$E,Y$1,'単価履歴'!$F:$F,$A20,'単価履歴'!$O:$O,
MAXIFS('単価履歴'!$O:$O,'単価履歴'!$E:$E,Y$1,'単価履歴'!$F:$F,$A20))=0,"",
MAXIFS('単価履歴'!$H:$H,'単価履歴'!$E:$E,Y$1,'単価履歴'!$F:$F,$A20,'単価履歴'!$O:$O,
MAXIFS('単価履歴'!$O:$O,'単価履歴'!$E:$E,Y$1,'単価履歴'!$F:$F,$A20)))</f>
        <v>43.5</v>
      </c>
      <c r="Z20" s="265">
        <f>IF(MAXIFS('単価履歴'!$H:$H,'単価履歴'!$E:$E,Z$1,'単価履歴'!$F:$F,$A20,'単価履歴'!$O:$O,
MAXIFS('単価履歴'!$O:$O,'単価履歴'!$E:$E,Z$1,'単価履歴'!$F:$F,$A20))=0,"",
MAXIFS('単価履歴'!$H:$H,'単価履歴'!$E:$E,Z$1,'単価履歴'!$F:$F,$A20,'単価履歴'!$O:$O,
MAXIFS('単価履歴'!$O:$O,'単価履歴'!$E:$E,Z$1,'単価履歴'!$F:$F,$A20)))</f>
        <v>54.5</v>
      </c>
      <c r="AA20" s="256" t="str">
        <f>IF(MAXIFS('単価履歴'!$H:$H,'単価履歴'!$E:$E,AA$1,'単価履歴'!$F:$F,$A20,'単価履歴'!$O:$O,
MAXIFS('単価履歴'!$O:$O,'単価履歴'!$E:$E,AA$1,'単価履歴'!$F:$F,$A20))=0,"",
MAXIFS('単価履歴'!$H:$H,'単価履歴'!$E:$E,AA$1,'単価履歴'!$F:$F,$A20,'単価履歴'!$O:$O,
MAXIFS('単価履歴'!$O:$O,'単価履歴'!$E:$E,AA$1,'単価履歴'!$F:$F,$A20)))</f>
        <v/>
      </c>
      <c r="AB20" s="256" t="str">
        <f>IF(MAXIFS('単価履歴'!$H:$H,'単価履歴'!$E:$E,AB$1,'単価履歴'!$F:$F,$A20,'単価履歴'!$O:$O,
MAXIFS('単価履歴'!$O:$O,'単価履歴'!$E:$E,AB$1,'単価履歴'!$F:$F,$A20))=0,"",
MAXIFS('単価履歴'!$H:$H,'単価履歴'!$E:$E,AB$1,'単価履歴'!$F:$F,$A20,'単価履歴'!$O:$O,
MAXIFS('単価履歴'!$O:$O,'単価履歴'!$E:$E,AB$1,'単価履歴'!$F:$F,$A20)))</f>
        <v/>
      </c>
      <c r="AC20" s="254" t="str">
        <f>IF(MAXIFS('単価履歴'!$H:$H,'単価履歴'!$E:$E,AC$1,'単価履歴'!$F:$F,$A20,'単価履歴'!$O:$O,
MAXIFS('単価履歴'!$O:$O,'単価履歴'!$E:$E,AC$1,'単価履歴'!$F:$F,$A20))=0,"",
MAXIFS('単価履歴'!$H:$H,'単価履歴'!$E:$E,AC$1,'単価履歴'!$F:$F,$A20,'単価履歴'!$O:$O,
MAXIFS('単価履歴'!$O:$O,'単価履歴'!$E:$E,AC$1,'単価履歴'!$F:$F,$A20)))</f>
        <v/>
      </c>
      <c r="AD20" s="256">
        <f>IF(MAXIFS('単価履歴'!$H:$H,'単価履歴'!$E:$E,AD$1,'単価履歴'!$F:$F,$A20,'単価履歴'!$O:$O,
MAXIFS('単価履歴'!$O:$O,'単価履歴'!$E:$E,AD$1,'単価履歴'!$F:$F,$A20))=0,"",
MAXIFS('単価履歴'!$H:$H,'単価履歴'!$E:$E,AD$1,'単価履歴'!$F:$F,$A20,'単価履歴'!$O:$O,
MAXIFS('単価履歴'!$O:$O,'単価履歴'!$E:$E,AD$1,'単価履歴'!$F:$F,$A20)))</f>
        <v>57.5</v>
      </c>
      <c r="AE20" s="274">
        <f>IF(MAXIFS('単価履歴'!$H:$H,'単価履歴'!$E:$E,AE$1,'単価履歴'!$F:$F,$A20,'単価履歴'!$O:$O,
MAXIFS('単価履歴'!$O:$O,'単価履歴'!$E:$E,AE$1,'単価履歴'!$F:$F,$A20))=0,"",
MAXIFS('単価履歴'!$H:$H,'単価履歴'!$E:$E,AE$1,'単価履歴'!$F:$F,$A20,'単価履歴'!$O:$O,
MAXIFS('単価履歴'!$O:$O,'単価履歴'!$E:$E,AE$1,'単価履歴'!$F:$F,$A20)))</f>
        <v>58.5</v>
      </c>
      <c r="AF20" s="254" t="str">
        <f>IF(MAXIFS('単価履歴'!$H:$H,'単価履歴'!$E:$E,AF$1,'単価履歴'!$F:$F,$A20,'単価履歴'!$O:$O,
MAXIFS('単価履歴'!$O:$O,'単価履歴'!$E:$E,AF$1,'単価履歴'!$F:$F,$A20))=0,"",
MAXIFS('単価履歴'!$H:$H,'単価履歴'!$E:$E,AF$1,'単価履歴'!$F:$F,$A20,'単価履歴'!$O:$O,
MAXIFS('単価履歴'!$O:$O,'単価履歴'!$E:$E,AF$1,'単価履歴'!$F:$F,$A20)))</f>
        <v/>
      </c>
      <c r="AG20" s="256" t="str">
        <f>IF(MAXIFS('単価履歴'!$H:$H,'単価履歴'!$E:$E,AG$1,'単価履歴'!$F:$F,$A20,'単価履歴'!$O:$O,
MAXIFS('単価履歴'!$O:$O,'単価履歴'!$E:$E,AG$1,'単価履歴'!$F:$F,$A20))=0,"",
MAXIFS('単価履歴'!$H:$H,'単価履歴'!$E:$E,AG$1,'単価履歴'!$F:$F,$A20,'単価履歴'!$O:$O,
MAXIFS('単価履歴'!$O:$O,'単価履歴'!$E:$E,AG$1,'単価履歴'!$F:$F,$A20)))</f>
        <v/>
      </c>
      <c r="AH20" s="264" t="str">
        <f>IF(MAXIFS('単価履歴'!$H:$H,'単価履歴'!$E:$E,AH$1,'単価履歴'!$F:$F,$A20,'単価履歴'!$O:$O,
MAXIFS('単価履歴'!$O:$O,'単価履歴'!$E:$E,AH$1,'単価履歴'!$F:$F,$A20))=0,"",
MAXIFS('単価履歴'!$H:$H,'単価履歴'!$E:$E,AH$1,'単価履歴'!$F:$F,$A20,'単価履歴'!$O:$O,
MAXIFS('単価履歴'!$O:$O,'単価履歴'!$E:$E,AH$1,'単価履歴'!$F:$F,$A20)))</f>
        <v/>
      </c>
      <c r="AI20" s="256">
        <f>IF(MAXIFS('単価履歴'!$H:$H,'単価履歴'!$E:$E,AI$1,'単価履歴'!$F:$F,$A20,'単価履歴'!$O:$O,
MAXIFS('単価履歴'!$O:$O,'単価履歴'!$E:$E,AI$1,'単価履歴'!$F:$F,$A20))=0,"",
MAXIFS('単価履歴'!$H:$H,'単価履歴'!$E:$E,AI$1,'単価履歴'!$F:$F,$A20,'単価履歴'!$O:$O,
MAXIFS('単価履歴'!$O:$O,'単価履歴'!$E:$E,AI$1,'単価履歴'!$F:$F,$A20)))</f>
        <v>58.5</v>
      </c>
      <c r="AJ20" s="254" t="str">
        <f>IF(MAXIFS('単価履歴'!$H:$H,'単価履歴'!$E:$E,AJ$1,'単価履歴'!$F:$F,$A20,'単価履歴'!$O:$O,
MAXIFS('単価履歴'!$O:$O,'単価履歴'!$E:$E,AJ$1,'単価履歴'!$F:$F,$A20))=0,"",
MAXIFS('単価履歴'!$H:$H,'単価履歴'!$E:$E,AJ$1,'単価履歴'!$F:$F,$A20,'単価履歴'!$O:$O,
MAXIFS('単価履歴'!$O:$O,'単価履歴'!$E:$E,AJ$1,'単価履歴'!$F:$F,$A20)))</f>
        <v/>
      </c>
      <c r="AK20" s="264" t="str">
        <f>IF(MAXIFS('単価履歴'!$H:$H,'単価履歴'!$E:$E,AK$1,'単価履歴'!$F:$F,$A20,'単価履歴'!$O:$O,
MAXIFS('単価履歴'!$O:$O,'単価履歴'!$E:$E,AK$1,'単価履歴'!$F:$F,$A20))=0,"",
MAXIFS('単価履歴'!$H:$H,'単価履歴'!$E:$E,AK$1,'単価履歴'!$F:$F,$A20,'単価履歴'!$O:$O,
MAXIFS('単価履歴'!$O:$O,'単価履歴'!$E:$E,AK$1,'単価履歴'!$F:$F,$A20)))</f>
        <v/>
      </c>
      <c r="AL20" s="256" t="str">
        <f>IF(MAXIFS('単価履歴'!$H:$H,'単価履歴'!$E:$E,AL$1,'単価履歴'!$F:$F,$A20,'単価履歴'!$O:$O,
MAXIFS('単価履歴'!$O:$O,'単価履歴'!$E:$E,AL$1,'単価履歴'!$F:$F,$A20))=0,"",
MAXIFS('単価履歴'!$H:$H,'単価履歴'!$E:$E,AL$1,'単価履歴'!$F:$F,$A20,'単価履歴'!$O:$O,
MAXIFS('単価履歴'!$O:$O,'単価履歴'!$E:$E,AL$1,'単価履歴'!$F:$F,$A20)))</f>
        <v/>
      </c>
      <c r="AM20" s="279">
        <f>IF(MAXIFS('単価履歴'!$H:$H,'単価履歴'!$E:$E,AM$1,'単価履歴'!$F:$F,$A20,'単価履歴'!$O:$O,
MAXIFS('単価履歴'!$O:$O,'単価履歴'!$E:$E,AM$1,'単価履歴'!$F:$F,$A20))=0,"",
MAXIFS('単価履歴'!$H:$H,'単価履歴'!$E:$E,AM$1,'単価履歴'!$F:$F,$A20,'単価履歴'!$O:$O,
MAXIFS('単価履歴'!$O:$O,'単価履歴'!$E:$E,AM$1,'単価履歴'!$F:$F,$A20)))</f>
        <v>54</v>
      </c>
      <c r="AN20" s="279" t="str">
        <f>IF(MAXIFS('単価履歴'!$H:$H,'単価履歴'!$E:$E,AN$1,'単価履歴'!$F:$F,$A20,'単価履歴'!$O:$O,
MAXIFS('単価履歴'!$O:$O,'単価履歴'!$E:$E,AN$1,'単価履歴'!$F:$F,$A20))=0,"",
MAXIFS('単価履歴'!$H:$H,'単価履歴'!$E:$E,AN$1,'単価履歴'!$F:$F,$A20,'単価履歴'!$O:$O,
MAXIFS('単価履歴'!$O:$O,'単価履歴'!$E:$E,AN$1,'単価履歴'!$F:$F,$A20)))</f>
        <v/>
      </c>
      <c r="AO20" s="256" t="str">
        <f>IF(MAXIFS('単価履歴'!$H:$H,'単価履歴'!$E:$E,AO$1,'単価履歴'!$F:$F,$A20,'単価履歴'!$O:$O,
MAXIFS('単価履歴'!$O:$O,'単価履歴'!$E:$E,AO$1,'単価履歴'!$F:$F,$A20))=0,"",
MAXIFS('単価履歴'!$H:$H,'単価履歴'!$E:$E,AO$1,'単価履歴'!$F:$F,$A20,'単価履歴'!$O:$O,
MAXIFS('単価履歴'!$O:$O,'単価履歴'!$E:$E,AO$1,'単価履歴'!$F:$F,$A20)))</f>
        <v/>
      </c>
      <c r="AP20" s="254">
        <f>IF(MAXIFS('単価履歴'!$H:$H,'単価履歴'!$E:$E,AP$1,'単価履歴'!$F:$F,$A20,'単価履歴'!$O:$O,
MAXIFS('単価履歴'!$O:$O,'単価履歴'!$E:$E,AP$1,'単価履歴'!$F:$F,$A20))=0,"",
MAXIFS('単価履歴'!$H:$H,'単価履歴'!$E:$E,AP$1,'単価履歴'!$F:$F,$A20,'単価履歴'!$O:$O,
MAXIFS('単価履歴'!$O:$O,'単価履歴'!$E:$E,AP$1,'単価履歴'!$F:$F,$A20)))</f>
        <v>58.3</v>
      </c>
      <c r="AQ20" s="254" t="str">
        <f>IF(MAXIFS('単価履歴'!$H:$H,'単価履歴'!$E:$E,AQ$1,'単価履歴'!$F:$F,$A20,'単価履歴'!$O:$O,
MAXIFS('単価履歴'!$O:$O,'単価履歴'!$E:$E,AQ$1,'単価履歴'!$F:$F,$A20))=0,"",
MAXIFS('単価履歴'!$H:$H,'単価履歴'!$E:$E,AQ$1,'単価履歴'!$F:$F,$A20,'単価履歴'!$O:$O,
MAXIFS('単価履歴'!$O:$O,'単価履歴'!$E:$E,AQ$1,'単価履歴'!$F:$F,$A20)))</f>
        <v/>
      </c>
      <c r="AR20" s="250">
        <f>IF(MAXIFS('単価履歴'!$H:$H,'単価履歴'!$E:$E,AR$1,'単価履歴'!$F:$F,$A20,'単価履歴'!$O:$O,
MAXIFS('単価履歴'!$O:$O,'単価履歴'!$E:$E,AR$1,'単価履歴'!$F:$F,$A20))=0,"",
MAXIFS('単価履歴'!$H:$H,'単価履歴'!$E:$E,AR$1,'単価履歴'!$F:$F,$A20,'単価履歴'!$O:$O,
MAXIFS('単価履歴'!$O:$O,'単価履歴'!$E:$E,AR$1,'単価履歴'!$F:$F,$A20)))</f>
        <v>58.5</v>
      </c>
      <c r="AS20" s="250" t="str">
        <f>IF(MAXIFS('単価履歴'!$H:$H,'単価履歴'!$E:$E,AS$1,'単価履歴'!$F:$F,$A20,'単価履歴'!$O:$O,
MAXIFS('単価履歴'!$O:$O,'単価履歴'!$E:$E,AS$1,'単価履歴'!$F:$F,$A20))=0,"",
MAXIFS('単価履歴'!$H:$H,'単価履歴'!$E:$E,AS$1,'単価履歴'!$F:$F,$A20,'単価履歴'!$O:$O,
MAXIFS('単価履歴'!$O:$O,'単価履歴'!$E:$E,AS$1,'単価履歴'!$F:$F,$A20)))</f>
        <v/>
      </c>
      <c r="AT20" s="262">
        <f>IF(MAXIFS('単価履歴'!$H:$H,'単価履歴'!$E:$E,AT$1,'単価履歴'!$F:$F,$A20,'単価履歴'!$O:$O,
MAXIFS('単価履歴'!$O:$O,'単価履歴'!$E:$E,AT$1,'単価履歴'!$F:$F,$A20))=0,"",
MAXIFS('単価履歴'!$H:$H,'単価履歴'!$E:$E,AT$1,'単価履歴'!$F:$F,$A20,'単価履歴'!$O:$O,
MAXIFS('単価履歴'!$O:$O,'単価履歴'!$E:$E,AT$1,'単価履歴'!$F:$F,$A20)))</f>
        <v>56.5</v>
      </c>
      <c r="AU20" s="256" t="str">
        <f>IF(MAXIFS('単価履歴'!$H:$H,'単価履歴'!$E:$E,AU$1,'単価履歴'!$F:$F,$A20,'単価履歴'!$O:$O,
MAXIFS('単価履歴'!$O:$O,'単価履歴'!$E:$E,AU$1,'単価履歴'!$F:$F,$A20))=0,"",
MAXIFS('単価履歴'!$H:$H,'単価履歴'!$E:$E,AU$1,'単価履歴'!$F:$F,$A20,'単価履歴'!$O:$O,
MAXIFS('単価履歴'!$O:$O,'単価履歴'!$E:$E,AU$1,'単価履歴'!$F:$F,$A20)))</f>
        <v/>
      </c>
      <c r="AV20" s="254" t="str">
        <f>IF(MAXIFS('単価履歴'!$H:$H,'単価履歴'!$E:$E,AV$1,'単価履歴'!$F:$F,$A20,'単価履歴'!$O:$O,
MAXIFS('単価履歴'!$O:$O,'単価履歴'!$E:$E,AV$1,'単価履歴'!$F:$F,$A20))=0,"",
MAXIFS('単価履歴'!$H:$H,'単価履歴'!$E:$E,AV$1,'単価履歴'!$F:$F,$A20,'単価履歴'!$O:$O,
MAXIFS('単価履歴'!$O:$O,'単価履歴'!$E:$E,AV$1,'単価履歴'!$F:$F,$A20)))</f>
        <v/>
      </c>
      <c r="AW20" s="266">
        <f>IF(MAXIFS('単価履歴'!$H:$H,'単価履歴'!$E:$E,AW$1,'単価履歴'!$F:$F,$A20,'単価履歴'!$O:$O,
MAXIFS('単価履歴'!$O:$O,'単価履歴'!$E:$E,AW$1,'単価履歴'!$F:$F,$A20))=0,"",
MAXIFS('単価履歴'!$H:$H,'単価履歴'!$E:$E,AW$1,'単価履歴'!$F:$F,$A20,'単価履歴'!$O:$O,
MAXIFS('単価履歴'!$O:$O,'単価履歴'!$E:$E,AW$1,'単価履歴'!$F:$F,$A20)))</f>
        <v>58</v>
      </c>
      <c r="AX20" s="262">
        <f>IF(MAXIFS('単価履歴'!$H:$H,'単価履歴'!$E:$E,AX$1,'単価履歴'!$F:$F,$A20,'単価履歴'!$O:$O,
MAXIFS('単価履歴'!$O:$O,'単価履歴'!$E:$E,AX$1,'単価履歴'!$F:$F,$A20))=0,"",
MAXIFS('単価履歴'!$H:$H,'単価履歴'!$E:$E,AX$1,'単価履歴'!$F:$F,$A20,'単価履歴'!$O:$O,
MAXIFS('単価履歴'!$O:$O,'単価履歴'!$E:$E,AX$1,'単価履歴'!$F:$F,$A20)))</f>
        <v>56.5</v>
      </c>
      <c r="AY20" s="264" t="str">
        <f>IF(MAXIFS('単価履歴'!$H:$H,'単価履歴'!$E:$E,AY$1,'単価履歴'!$F:$F,$A20,'単価履歴'!$O:$O,
MAXIFS('単価履歴'!$O:$O,'単価履歴'!$E:$E,AY$1,'単価履歴'!$F:$F,$A20))=0,"",
MAXIFS('単価履歴'!$H:$H,'単価履歴'!$E:$E,AY$1,'単価履歴'!$F:$F,$A20,'単価履歴'!$O:$O,
MAXIFS('単価履歴'!$O:$O,'単価履歴'!$E:$E,AY$1,'単価履歴'!$F:$F,$A20)))</f>
        <v/>
      </c>
      <c r="AZ20" s="256" t="str">
        <f>IF(MAXIFS('単価履歴'!$H:$H,'単価履歴'!$E:$E,AZ$1,'単価履歴'!$F:$F,$A20,'単価履歴'!$O:$O,
MAXIFS('単価履歴'!$O:$O,'単価履歴'!$E:$E,AZ$1,'単価履歴'!$F:$F,$A20))=0,"",
MAXIFS('単価履歴'!$H:$H,'単価履歴'!$E:$E,AZ$1,'単価履歴'!$F:$F,$A20,'単価履歴'!$O:$O,
MAXIFS('単価履歴'!$O:$O,'単価履歴'!$E:$E,AZ$1,'単価履歴'!$F:$F,$A20)))</f>
        <v/>
      </c>
      <c r="BA20" s="264" t="str">
        <f>IF(MAXIFS('単価履歴'!$H:$H,'単価履歴'!$E:$E,BA$1,'単価履歴'!$F:$F,$A20,'単価履歴'!$O:$O,
MAXIFS('単価履歴'!$O:$O,'単価履歴'!$E:$E,BA$1,'単価履歴'!$F:$F,$A20))=0,"",
MAXIFS('単価履歴'!$H:$H,'単価履歴'!$E:$E,BA$1,'単価履歴'!$F:$F,$A20,'単価履歴'!$O:$O,
MAXIFS('単価履歴'!$O:$O,'単価履歴'!$E:$E,BA$1,'単価履歴'!$F:$F,$A20)))</f>
        <v/>
      </c>
      <c r="BB20" s="256"/>
      <c r="BC20" s="256" t="str">
        <f>IF(MAXIFS('単価履歴'!$H:$H,'単価履歴'!$E:$E,BC$1,'単価履歴'!$F:$F,$A20,'単価履歴'!$O:$O,
MAXIFS('単価履歴'!$O:$O,'単価履歴'!$E:$E,BC$1,'単価履歴'!$F:$F,$A20))=0,"",
MAXIFS('単価履歴'!$H:$H,'単価履歴'!$E:$E,BC$1,'単価履歴'!$F:$F,$A20,'単価履歴'!$O:$O,
MAXIFS('単価履歴'!$O:$O,'単価履歴'!$E:$E,BC$1,'単価履歴'!$F:$F,$A20)))</f>
        <v/>
      </c>
      <c r="BD20" s="256" t="str">
        <f>IF(MAXIFS('単価履歴'!$H:$H,'単価履歴'!$E:$E,BD$1,'単価履歴'!$F:$F,$A20,'単価履歴'!$O:$O,
MAXIFS('単価履歴'!$O:$O,'単価履歴'!$E:$E,BD$1,'単価履歴'!$F:$F,$A20))=0,"",
MAXIFS('単価履歴'!$H:$H,'単価履歴'!$E:$E,BD$1,'単価履歴'!$F:$F,$A20,'単価履歴'!$O:$O,
MAXIFS('単価履歴'!$O:$O,'単価履歴'!$E:$E,BD$1,'単価履歴'!$F:$F,$A20)))</f>
        <v/>
      </c>
      <c r="BE20" s="256" t="str">
        <f>IF(MAXIFS('単価履歴'!$H:$H,'単価履歴'!$E:$E,BE$1,'単価履歴'!$F:$F,$A20,'単価履歴'!$O:$O,
MAXIFS('単価履歴'!$O:$O,'単価履歴'!$E:$E,BE$1,'単価履歴'!$F:$F,$A20))=0,"",
MAXIFS('単価履歴'!$H:$H,'単価履歴'!$E:$E,BE$1,'単価履歴'!$F:$F,$A20,'単価履歴'!$O:$O,
MAXIFS('単価履歴'!$O:$O,'単価履歴'!$E:$E,BE$1,'単価履歴'!$F:$F,$A20)))</f>
        <v/>
      </c>
      <c r="BF20" s="263" t="str">
        <f>IF(MAXIFS('単価履歴'!$H:$H,'単価履歴'!$E:$E,BF$1,'単価履歴'!$F:$F,$A20,'単価履歴'!$O:$O,
MAXIFS('単価履歴'!$O:$O,'単価履歴'!$E:$E,BF$1,'単価履歴'!$F:$F,$A20))=0,"",
MAXIFS('単価履歴'!$H:$H,'単価履歴'!$E:$E,BF$1,'単価履歴'!$F:$F,$A20,'単価履歴'!$O:$O,
MAXIFS('単価履歴'!$O:$O,'単価履歴'!$E:$E,BF$1,'単価履歴'!$F:$F,$A20)))</f>
        <v/>
      </c>
      <c r="BG20" s="256" t="str">
        <f>IF(MAXIFS('単価履歴'!$H:$H,'単価履歴'!$E:$E,BG$1,'単価履歴'!$F:$F,$A20,'単価履歴'!$O:$O,
MAXIFS('単価履歴'!$O:$O,'単価履歴'!$E:$E,BG$1,'単価履歴'!$F:$F,$A20))=0,"",
MAXIFS('単価履歴'!$H:$H,'単価履歴'!$E:$E,BG$1,'単価履歴'!$F:$F,$A20,'単価履歴'!$O:$O,
MAXIFS('単価履歴'!$O:$O,'単価履歴'!$E:$E,BG$1,'単価履歴'!$F:$F,$A20)))</f>
        <v/>
      </c>
      <c r="BH20" s="254" t="str">
        <f>IF(MAXIFS('単価履歴'!$H:$H,'単価履歴'!$E:$E,BH$1,'単価履歴'!$F:$F,$A20,'単価履歴'!$O:$O,
MAXIFS('単価履歴'!$O:$O,'単価履歴'!$E:$E,BH$1,'単価履歴'!$F:$F,$A20))=0,"",
MAXIFS('単価履歴'!$H:$H,'単価履歴'!$E:$E,BH$1,'単価履歴'!$F:$F,$A20,'単価履歴'!$O:$O,
MAXIFS('単価履歴'!$O:$O,'単価履歴'!$E:$E,BH$1,'単価履歴'!$F:$F,$A20)))</f>
        <v/>
      </c>
      <c r="BI20" s="256" t="str">
        <f>IF(MAXIFS('単価履歴'!$H:$H,'単価履歴'!$E:$E,BI$1,'単価履歴'!$F:$F,$A20,'単価履歴'!$O:$O,
MAXIFS('単価履歴'!$O:$O,'単価履歴'!$E:$E,BI$1,'単価履歴'!$F:$F,$A20))=0,"",
MAXIFS('単価履歴'!$H:$H,'単価履歴'!$E:$E,BI$1,'単価履歴'!$F:$F,$A20,'単価履歴'!$O:$O,
MAXIFS('単価履歴'!$O:$O,'単価履歴'!$E:$E,BI$1,'単価履歴'!$F:$F,$A20)))</f>
        <v/>
      </c>
      <c r="BJ20" s="248">
        <f>IF(MAXIFS('単価履歴'!$H:$H,'単価履歴'!$E:$E,BJ$1,'単価履歴'!$F:$F,$A20,'単価履歴'!$O:$O,
MAXIFS('単価履歴'!$O:$O,'単価履歴'!$E:$E,BJ$1,'単価履歴'!$F:$F,$A20))=0,"",
MAXIFS('単価履歴'!$H:$H,'単価履歴'!$E:$E,BJ$1,'単価履歴'!$F:$F,$A20,'単価履歴'!$O:$O,
MAXIFS('単価履歴'!$O:$O,'単価履歴'!$E:$E,BJ$1,'単価履歴'!$F:$F,$A20)))</f>
        <v>45</v>
      </c>
      <c r="BK20" s="264" t="str">
        <f>IF(MAXIFS('単価履歴'!$H:$H,'単価履歴'!$E:$E,BK$1,'単価履歴'!$F:$F,$A20,'単価履歴'!$O:$O,
MAXIFS('単価履歴'!$O:$O,'単価履歴'!$E:$E,BK$1,'単価履歴'!$F:$F,$A20))=0,"",
MAXIFS('単価履歴'!$H:$H,'単価履歴'!$E:$E,BK$1,'単価履歴'!$F:$F,$A20,'単価履歴'!$O:$O,
MAXIFS('単価履歴'!$O:$O,'単価履歴'!$E:$E,BK$1,'単価履歴'!$F:$F,$A20)))</f>
        <v/>
      </c>
      <c r="BL20" s="256" t="str">
        <f>IF(MAXIFS('単価履歴'!$H:$H,'単価履歴'!$E:$E,BL$1,'単価履歴'!$F:$F,$A20,'単価履歴'!$O:$O,
MAXIFS('単価履歴'!$O:$O,'単価履歴'!$E:$E,BL$1,'単価履歴'!$F:$F,$A20))=0,"",
MAXIFS('単価履歴'!$H:$H,'単価履歴'!$E:$E,BL$1,'単価履歴'!$F:$F,$A20,'単価履歴'!$O:$O,
MAXIFS('単価履歴'!$O:$O,'単価履歴'!$E:$E,BL$1,'単価履歴'!$F:$F,$A20)))</f>
        <v/>
      </c>
      <c r="BM20" s="263" t="str">
        <f>IF(MAXIFS('単価履歴'!$H:$H,'単価履歴'!$E:$E,BM$1,'単価履歴'!$F:$F,$A20,'単価履歴'!$O:$O,
MAXIFS('単価履歴'!$O:$O,'単価履歴'!$E:$E,BM$1,'単価履歴'!$F:$F,$A20))=0,"",
MAXIFS('単価履歴'!$H:$H,'単価履歴'!$E:$E,BM$1,'単価履歴'!$F:$F,$A20,'単価履歴'!$O:$O,
MAXIFS('単価履歴'!$O:$O,'単価履歴'!$E:$E,BM$1,'単価履歴'!$F:$F,$A20)))</f>
        <v/>
      </c>
      <c r="BN20" s="256" t="str">
        <f>IF(MAXIFS('単価履歴'!$H:$H,'単価履歴'!$E:$E,BN$1,'単価履歴'!$F:$F,$A20,'単価履歴'!$O:$O,
MAXIFS('単価履歴'!$O:$O,'単価履歴'!$E:$E,BN$1,'単価履歴'!$F:$F,$A20))=0,"",
MAXIFS('単価履歴'!$H:$H,'単価履歴'!$E:$E,BN$1,'単価履歴'!$F:$F,$A20,'単価履歴'!$O:$O,
MAXIFS('単価履歴'!$O:$O,'単価履歴'!$E:$E,BN$1,'単価履歴'!$F:$F,$A20)))</f>
        <v/>
      </c>
      <c r="BO20" s="263" t="str">
        <f>IF(MAXIFS('単価履歴'!$H:$H,'単価履歴'!$E:$E,BO$1,'単価履歴'!$F:$F,$A20,'単価履歴'!$O:$O,
MAXIFS('単価履歴'!$O:$O,'単価履歴'!$E:$E,BO$1,'単価履歴'!$F:$F,$A20))=0,"",
MAXIFS('単価履歴'!$H:$H,'単価履歴'!$E:$E,BO$1,'単価履歴'!$F:$F,$A20,'単価履歴'!$O:$O,
MAXIFS('単価履歴'!$O:$O,'単価履歴'!$E:$E,BO$1,'単価履歴'!$F:$F,$A20)))</f>
        <v/>
      </c>
      <c r="BP20" s="256" t="str">
        <f>IF(MAXIFS('単価履歴'!$H:$H,'単価履歴'!$E:$E,BP$1,'単価履歴'!$F:$F,$A20,'単価履歴'!$O:$O,
MAXIFS('単価履歴'!$O:$O,'単価履歴'!$E:$E,BP$1,'単価履歴'!$F:$F,$A20))=0,"",
MAXIFS('単価履歴'!$H:$H,'単価履歴'!$E:$E,BP$1,'単価履歴'!$F:$F,$A20,'単価履歴'!$O:$O,
MAXIFS('単価履歴'!$O:$O,'単価履歴'!$E:$E,BP$1,'単価履歴'!$F:$F,$A20)))</f>
        <v/>
      </c>
      <c r="BQ20" s="256" t="str">
        <f>IF(MAXIFS('単価履歴'!$H:$H,'単価履歴'!$E:$E,BQ$1,'単価履歴'!$F:$F,$A20,'単価履歴'!$O:$O,
MAXIFS('単価履歴'!$O:$O,'単価履歴'!$E:$E,BQ$1,'単価履歴'!$F:$F,$A20))=0,"",
MAXIFS('単価履歴'!$H:$H,'単価履歴'!$E:$E,BQ$1,'単価履歴'!$F:$F,$A20,'単価履歴'!$O:$O,
MAXIFS('単価履歴'!$O:$O,'単価履歴'!$E:$E,BQ$1,'単価履歴'!$F:$F,$A20)))</f>
        <v/>
      </c>
      <c r="BR20" s="264" t="str">
        <f>IF(MAXIFS('単価履歴'!$H:$H,'単価履歴'!$E:$E,BR$1,'単価履歴'!$F:$F,$A20,'単価履歴'!$O:$O,
MAXIFS('単価履歴'!$O:$O,'単価履歴'!$E:$E,BR$1,'単価履歴'!$F:$F,$A20))=0,"",
MAXIFS('単価履歴'!$H:$H,'単価履歴'!$E:$E,BR$1,'単価履歴'!$F:$F,$A20,'単価履歴'!$O:$O,
MAXIFS('単価履歴'!$O:$O,'単価履歴'!$E:$E,BR$1,'単価履歴'!$F:$F,$A20)))</f>
        <v/>
      </c>
      <c r="BS20" s="264" t="str">
        <f>IF(MAXIFS('単価履歴'!$H:$H,'単価履歴'!$E:$E,BS$1,'単価履歴'!$F:$F,$A20,'単価履歴'!$O:$O,
MAXIFS('単価履歴'!$O:$O,'単価履歴'!$E:$E,BS$1,'単価履歴'!$F:$F,$A20))=0,"",
MAXIFS('単価履歴'!$H:$H,'単価履歴'!$E:$E,BS$1,'単価履歴'!$F:$F,$A20,'単価履歴'!$O:$O,
MAXIFS('単価履歴'!$O:$O,'単価履歴'!$E:$E,BS$1,'単価履歴'!$F:$F,$A20)))</f>
        <v/>
      </c>
      <c r="BT20" s="264" t="str">
        <f>IF(MAXIFS('単価履歴'!$H:$H,'単価履歴'!$E:$E,BT$1,'単価履歴'!$F:$F,$A20,'単価履歴'!$O:$O,
MAXIFS('単価履歴'!$O:$O,'単価履歴'!$E:$E,BT$1,'単価履歴'!$F:$F,$A20))=0,"",
MAXIFS('単価履歴'!$H:$H,'単価履歴'!$E:$E,BT$1,'単価履歴'!$F:$F,$A20,'単価履歴'!$O:$O,
MAXIFS('単価履歴'!$O:$O,'単価履歴'!$E:$E,BT$1,'単価履歴'!$F:$F,$A20)))</f>
        <v/>
      </c>
      <c r="BU20" s="264" t="str">
        <f>IF(MAXIFS('単価履歴'!$H:$H,'単価履歴'!$E:$E,BU$1,'単価履歴'!$F:$F,$A20,'単価履歴'!$O:$O,
MAXIFS('単価履歴'!$O:$O,'単価履歴'!$E:$E,BU$1,'単価履歴'!$F:$F,$A20))=0,"",
MAXIFS('単価履歴'!$H:$H,'単価履歴'!$E:$E,BU$1,'単価履歴'!$F:$F,$A20,'単価履歴'!$O:$O,
MAXIFS('単価履歴'!$O:$O,'単価履歴'!$E:$E,BU$1,'単価履歴'!$F:$F,$A20)))</f>
        <v/>
      </c>
      <c r="BV20" s="264" t="str">
        <f>IF(MAXIFS('単価履歴'!$H:$H,'単価履歴'!$E:$E,BV$1,'単価履歴'!$F:$F,$A20,'単価履歴'!$O:$O,
MAXIFS('単価履歴'!$O:$O,'単価履歴'!$E:$E,BV$1,'単価履歴'!$F:$F,$A20))=0,"",
MAXIFS('単価履歴'!$H:$H,'単価履歴'!$E:$E,BV$1,'単価履歴'!$F:$F,$A20,'単価履歴'!$O:$O,
MAXIFS('単価履歴'!$O:$O,'単価履歴'!$E:$E,BV$1,'単価履歴'!$F:$F,$A20)))</f>
        <v/>
      </c>
      <c r="BW20" s="263" t="str">
        <f>IF(MAXIFS('単価履歴'!$H:$H,'単価履歴'!$E:$E,BW$1,'単価履歴'!$F:$F,$A20,'単価履歴'!$O:$O,
MAXIFS('単価履歴'!$O:$O,'単価履歴'!$E:$E,BW$1,'単価履歴'!$F:$F,$A20))=0,"",
MAXIFS('単価履歴'!$H:$H,'単価履歴'!$E:$E,BW$1,'単価履歴'!$F:$F,$A20,'単価履歴'!$O:$O,
MAXIFS('単価履歴'!$O:$O,'単価履歴'!$E:$E,BW$1,'単価履歴'!$F:$F,$A20)))</f>
        <v/>
      </c>
      <c r="BX20" s="256" t="str">
        <f>IF(MAXIFS('単価履歴'!$H:$H,'単価履歴'!$E:$E,BX$1,'単価履歴'!$F:$F,$A20,'単価履歴'!$O:$O,
MAXIFS('単価履歴'!$O:$O,'単価履歴'!$E:$E,BX$1,'単価履歴'!$F:$F,$A20))=0,"",
MAXIFS('単価履歴'!$H:$H,'単価履歴'!$E:$E,BX$1,'単価履歴'!$F:$F,$A20,'単価履歴'!$O:$O,
MAXIFS('単価履歴'!$O:$O,'単価履歴'!$E:$E,BX$1,'単価履歴'!$F:$F,$A20)))</f>
        <v/>
      </c>
      <c r="BY20" s="264" t="str">
        <f>IF(MAXIFS('単価履歴'!$H:$H,'単価履歴'!$E:$E,BY$1,'単価履歴'!$F:$F,$A20,'単価履歴'!$O:$O,
MAXIFS('単価履歴'!$O:$O,'単価履歴'!$E:$E,BY$1,'単価履歴'!$F:$F,$A20))=0,"",
MAXIFS('単価履歴'!$H:$H,'単価履歴'!$E:$E,BY$1,'単価履歴'!$F:$F,$A20,'単価履歴'!$O:$O,
MAXIFS('単価履歴'!$O:$O,'単価履歴'!$E:$E,BY$1,'単価履歴'!$F:$F,$A20)))</f>
        <v/>
      </c>
      <c r="BZ20" s="256"/>
      <c r="CA20" s="256"/>
      <c r="CB20" s="256"/>
      <c r="CC20" s="256"/>
      <c r="CD20" s="256"/>
      <c r="CE20" s="256"/>
      <c r="CF20" s="256"/>
      <c r="CG20" s="256"/>
    </row>
    <row r="21">
      <c r="A21" s="267" t="s">
        <v>131</v>
      </c>
      <c r="B21" s="246"/>
      <c r="C21" s="247">
        <f>IF(MAXIFS('単価履歴'!$H:$H,'単価履歴'!$E:$E,C$1,'単価履歴'!$F:$F,$A21,'単価履歴'!$O:$O,
MAXIFS('単価履歴'!$O:$O,'単価履歴'!$E:$E,C$1,'単価履歴'!$F:$F,$A21))=0,"",
MAXIFS('単価履歴'!$H:$H,'単価履歴'!$E:$E,C$1,'単価履歴'!$F:$F,$A21,'単価履歴'!$O:$O,
MAXIFS('単価履歴'!$O:$O,'単価履歴'!$E:$E,C$1,'単価履歴'!$F:$F,$A21)))</f>
        <v>57.3</v>
      </c>
      <c r="D21" s="246">
        <f>IF(MAXIFS('単価履歴'!$H:$H,'単価履歴'!$E:$E,D$1,'単価履歴'!$F:$F,$A21,'単価履歴'!$O:$O,
MAXIFS('単価履歴'!$O:$O,'単価履歴'!$E:$E,D$1,'単価履歴'!$F:$F,$A21))=0,"",
MAXIFS('単価履歴'!$H:$H,'単価履歴'!$E:$E,D$1,'単価履歴'!$F:$F,$A21,'単価履歴'!$O:$O,
MAXIFS('単価履歴'!$O:$O,'単価履歴'!$E:$E,D$1,'単価履歴'!$F:$F,$A21)))</f>
        <v>57.3</v>
      </c>
      <c r="E21" s="246"/>
      <c r="F21" s="246"/>
      <c r="G21" s="248"/>
      <c r="H21" s="246">
        <f>IF(MAXIFS('単価履歴'!$H:$H,'単価履歴'!$E:$E,H$1,'単価履歴'!$F:$F,$A21,'単価履歴'!$O:$O,
MAXIFS('単価履歴'!$O:$O,'単価履歴'!$E:$E,H$1,'単価履歴'!$F:$F,$A21))=0,"",
MAXIFS('単価履歴'!$H:$H,'単価履歴'!$E:$E,H$1,'単価履歴'!$F:$F,$A21,'単価履歴'!$O:$O,
MAXIFS('単価履歴'!$O:$O,'単価履歴'!$E:$E,H$1,'単価履歴'!$F:$F,$A21)))</f>
        <v>57.8</v>
      </c>
      <c r="I21" s="249"/>
      <c r="J21" s="248"/>
      <c r="K21" s="250">
        <f>IF(MAXIFS('単価履歴'!$H:$H,'単価履歴'!$E:$E,K$1,'単価履歴'!$F:$F,$A21,'単価履歴'!$O:$O,
MAXIFS('単価履歴'!$O:$O,'単価履歴'!$E:$E,K$1,'単価履歴'!$F:$F,$A21))=0,"",
MAXIFS('単価履歴'!$H:$H,'単価履歴'!$E:$E,K$1,'単価履歴'!$F:$F,$A21,'単価履歴'!$O:$O,
MAXIFS('単価履歴'!$O:$O,'単価履歴'!$E:$E,K$1,'単価履歴'!$F:$F,$A21)))</f>
        <v>37</v>
      </c>
      <c r="L21" s="250">
        <f>IF(MAXIFS('単価履歴'!$H:$H,'単価履歴'!$E:$E,L$1,'単価履歴'!$F:$F,$A21,'単価履歴'!$O:$O,
MAXIFS('単価履歴'!$O:$O,'単価履歴'!$E:$E,L$1,'単価履歴'!$F:$F,$A21))=0,"",
MAXIFS('単価履歴'!$H:$H,'単価履歴'!$E:$E,L$1,'単価履歴'!$F:$F,$A21,'単価履歴'!$O:$O,
MAXIFS('単価履歴'!$O:$O,'単価履歴'!$E:$E,L$1,'単価履歴'!$F:$F,$A21)))</f>
        <v>35.7</v>
      </c>
      <c r="M21" s="250">
        <f>IF(MAXIFS('単価履歴'!$H:$H,'単価履歴'!$E:$E,M$1,'単価履歴'!$F:$F,$A21,'単価履歴'!$O:$O,
MAXIFS('単価履歴'!$O:$O,'単価履歴'!$E:$E,M$1,'単価履歴'!$F:$F,$A21))=0,"",
MAXIFS('単価履歴'!$H:$H,'単価履歴'!$E:$E,M$1,'単価履歴'!$F:$F,$A21,'単価履歴'!$O:$O,
MAXIFS('単価履歴'!$O:$O,'単価履歴'!$E:$E,M$1,'単価履歴'!$F:$F,$A21)))</f>
        <v>51.2</v>
      </c>
      <c r="N21" s="250">
        <f>IF(MAXIFS('単価履歴'!$H:$H,'単価履歴'!$E:$E,N$1,'単価履歴'!$F:$F,$A21,'単価履歴'!$O:$O,
MAXIFS('単価履歴'!$O:$O,'単価履歴'!$E:$E,N$1,'単価履歴'!$F:$F,$A21))=0,"",
MAXIFS('単価履歴'!$H:$H,'単価履歴'!$E:$E,N$1,'単価履歴'!$F:$F,$A21,'単価履歴'!$O:$O,
MAXIFS('単価履歴'!$O:$O,'単価履歴'!$E:$E,N$1,'単価履歴'!$F:$F,$A21)))</f>
        <v>37.3</v>
      </c>
      <c r="O21" s="250" t="str">
        <f>IF(MAXIFS('単価履歴'!$H:$H,'単価履歴'!$E:$E,O$1,'単価履歴'!$F:$F,$A21,'単価履歴'!$O:$O,
MAXIFS('単価履歴'!$O:$O,'単価履歴'!$E:$E,O$1,'単価履歴'!$F:$F,$A21))=0,"",
MAXIFS('単価履歴'!$H:$H,'単価履歴'!$E:$E,O$1,'単価履歴'!$F:$F,$A21,'単価履歴'!$O:$O,
MAXIFS('単価履歴'!$O:$O,'単価履歴'!$E:$E,O$1,'単価履歴'!$F:$F,$A21)))</f>
        <v/>
      </c>
      <c r="P21" s="251" t="str">
        <f>IF(MAXIFS('単価履歴'!$H:$H,'単価履歴'!$E:$E,P$1,'単価履歴'!$F:$F,$A21,'単価履歴'!$O:$O,
MAXIFS('単価履歴'!$O:$O,'単価履歴'!$E:$E,P$1,'単価履歴'!$F:$F,$A21))=0,"",
MAXIFS('単価履歴'!$H:$H,'単価履歴'!$E:$E,P$1,'単価履歴'!$F:$F,$A21,'単価履歴'!$O:$O,
MAXIFS('単価履歴'!$O:$O,'単価履歴'!$E:$E,P$1,'単価履歴'!$F:$F,$A21)))</f>
        <v/>
      </c>
      <c r="Q21" s="249" t="str">
        <f>IF(MAXIFS('単価履歴'!$H:$H,'単価履歴'!$E:$E,Q$1,'単価履歴'!$F:$F,$A21,'単価履歴'!$O:$O,
MAXIFS('単価履歴'!$O:$O,'単価履歴'!$E:$E,Q$1,'単価履歴'!$F:$F,$A21))=0,"",
MAXIFS('単価履歴'!$H:$H,'単価履歴'!$E:$E,Q$1,'単価履歴'!$F:$F,$A21,'単価履歴'!$O:$O,
MAXIFS('単価履歴'!$O:$O,'単価履歴'!$E:$E,Q$1,'単価履歴'!$F:$F,$A21)))</f>
        <v/>
      </c>
      <c r="R21" s="249" t="str">
        <f>IF(MAXIFS('単価履歴'!$H:$H,'単価履歴'!$E:$E,R$1,'単価履歴'!$F:$F,$A21,'単価履歴'!$O:$O,
MAXIFS('単価履歴'!$O:$O,'単価履歴'!$E:$E,R$1,'単価履歴'!$F:$F,$A21))=0,"",
MAXIFS('単価履歴'!$H:$H,'単価履歴'!$E:$E,R$1,'単価履歴'!$F:$F,$A21,'単価履歴'!$O:$O,
MAXIFS('単価履歴'!$O:$O,'単価履歴'!$E:$E,R$1,'単価履歴'!$F:$F,$A21)))</f>
        <v/>
      </c>
      <c r="S21" s="252" t="str">
        <f>IF(MAXIFS('単価履歴'!$H:$H,'単価履歴'!$E:$E,S$1,'単価履歴'!$F:$F,$A21,'単価履歴'!$O:$O,
MAXIFS('単価履歴'!$O:$O,'単価履歴'!$E:$E,S$1,'単価履歴'!$F:$F,$A21))=0,"",
MAXIFS('単価履歴'!$H:$H,'単価履歴'!$E:$E,S$1,'単価履歴'!$F:$F,$A21,'単価履歴'!$O:$O,
MAXIFS('単価履歴'!$O:$O,'単価履歴'!$E:$E,S$1,'単価履歴'!$F:$F,$A21)))</f>
        <v/>
      </c>
      <c r="T21" s="248" t="str">
        <f>IF(MAXIFS('単価履歴'!$H:$H,'単価履歴'!$E:$E,T$1,'単価履歴'!$F:$F,$A21,'単価履歴'!$O:$O,
MAXIFS('単価履歴'!$O:$O,'単価履歴'!$E:$E,T$1,'単価履歴'!$F:$F,$A21))=0,"",
MAXIFS('単価履歴'!$H:$H,'単価履歴'!$E:$E,T$1,'単価履歴'!$F:$F,$A21,'単価履歴'!$O:$O,
MAXIFS('単価履歴'!$O:$O,'単価履歴'!$E:$E,T$1,'単価履歴'!$F:$F,$A21)))</f>
        <v/>
      </c>
      <c r="U21" s="252" t="str">
        <f>IF(MAXIFS('単価履歴'!$H:$H,'単価履歴'!$E:$E,U$1,'単価履歴'!$F:$F,$A21,'単価履歴'!$O:$O,
MAXIFS('単価履歴'!$O:$O,'単価履歴'!$E:$E,U$1,'単価履歴'!$F:$F,$A21))=0,"",
MAXIFS('単価履歴'!$H:$H,'単価履歴'!$E:$E,U$1,'単価履歴'!$F:$F,$A21,'単価履歴'!$O:$O,
MAXIFS('単価履歴'!$O:$O,'単価履歴'!$E:$E,U$1,'単価履歴'!$F:$F,$A21)))</f>
        <v/>
      </c>
      <c r="V21" s="251" t="str">
        <f>IF(MAXIFS('単価履歴'!$H:$H,'単価履歴'!$E:$E,V$1,'単価履歴'!$F:$F,$A21,'単価履歴'!$O:$O,
MAXIFS('単価履歴'!$O:$O,'単価履歴'!$E:$E,V$1,'単価履歴'!$F:$F,$A21))=0,"",
MAXIFS('単価履歴'!$H:$H,'単価履歴'!$E:$E,V$1,'単価履歴'!$F:$F,$A21,'単価履歴'!$O:$O,
MAXIFS('単価履歴'!$O:$O,'単価履歴'!$E:$E,V$1,'単価履歴'!$F:$F,$A21)))</f>
        <v/>
      </c>
      <c r="W21" s="249" t="str">
        <f>IF(MAXIFS('単価履歴'!$H:$H,'単価履歴'!$E:$E,W$1,'単価履歴'!$F:$F,$A21,'単価履歴'!$O:$O,
MAXIFS('単価履歴'!$O:$O,'単価履歴'!$E:$E,W$1,'単価履歴'!$F:$F,$A21))=0,"",
MAXIFS('単価履歴'!$H:$H,'単価履歴'!$E:$E,W$1,'単価履歴'!$F:$F,$A21,'単価履歴'!$O:$O,
MAXIFS('単価履歴'!$O:$O,'単価履歴'!$E:$E,W$1,'単価履歴'!$F:$F,$A21)))</f>
        <v/>
      </c>
      <c r="X21" s="249" t="str">
        <f>IF(MAXIFS('単価履歴'!$H:$H,'単価履歴'!$E:$E,X$1,'単価履歴'!$F:$F,$A21,'単価履歴'!$O:$O,
MAXIFS('単価履歴'!$O:$O,'単価履歴'!$E:$E,X$1,'単価履歴'!$F:$F,$A21))=0,"",
MAXIFS('単価履歴'!$H:$H,'単価履歴'!$E:$E,X$1,'単価履歴'!$F:$F,$A21,'単価履歴'!$O:$O,
MAXIFS('単価履歴'!$O:$O,'単価履歴'!$E:$E,X$1,'単価履歴'!$F:$F,$A21)))</f>
        <v/>
      </c>
      <c r="Y21" s="251" t="str">
        <f>IF(MAXIFS('単価履歴'!$H:$H,'単価履歴'!$E:$E,Y$1,'単価履歴'!$F:$F,$A21,'単価履歴'!$O:$O,
MAXIFS('単価履歴'!$O:$O,'単価履歴'!$E:$E,Y$1,'単価履歴'!$F:$F,$A21))=0,"",
MAXIFS('単価履歴'!$H:$H,'単価履歴'!$E:$E,Y$1,'単価履歴'!$F:$F,$A21,'単価履歴'!$O:$O,
MAXIFS('単価履歴'!$O:$O,'単価履歴'!$E:$E,Y$1,'単価履歴'!$F:$F,$A21)))</f>
        <v/>
      </c>
      <c r="Z21" s="252" t="str">
        <f>IF(MAXIFS('単価履歴'!$H:$H,'単価履歴'!$E:$E,Z$1,'単価履歴'!$F:$F,$A21,'単価履歴'!$O:$O,
MAXIFS('単価履歴'!$O:$O,'単価履歴'!$E:$E,Z$1,'単価履歴'!$F:$F,$A21))=0,"",
MAXIFS('単価履歴'!$H:$H,'単価履歴'!$E:$E,Z$1,'単価履歴'!$F:$F,$A21,'単価履歴'!$O:$O,
MAXIFS('単価履歴'!$O:$O,'単価履歴'!$E:$E,Z$1,'単価履歴'!$F:$F,$A21)))</f>
        <v/>
      </c>
      <c r="AA21" s="249" t="str">
        <f>IF(MAXIFS('単価履歴'!$H:$H,'単価履歴'!$E:$E,AA$1,'単価履歴'!$F:$F,$A21,'単価履歴'!$O:$O,
MAXIFS('単価履歴'!$O:$O,'単価履歴'!$E:$E,AA$1,'単価履歴'!$F:$F,$A21))=0,"",
MAXIFS('単価履歴'!$H:$H,'単価履歴'!$E:$E,AA$1,'単価履歴'!$F:$F,$A21,'単価履歴'!$O:$O,
MAXIFS('単価履歴'!$O:$O,'単価履歴'!$E:$E,AA$1,'単価履歴'!$F:$F,$A21)))</f>
        <v/>
      </c>
      <c r="AB21" s="249" t="str">
        <f>IF(MAXIFS('単価履歴'!$H:$H,'単価履歴'!$E:$E,AB$1,'単価履歴'!$F:$F,$A21,'単価履歴'!$O:$O,
MAXIFS('単価履歴'!$O:$O,'単価履歴'!$E:$E,AB$1,'単価履歴'!$F:$F,$A21))=0,"",
MAXIFS('単価履歴'!$H:$H,'単価履歴'!$E:$E,AB$1,'単価履歴'!$F:$F,$A21,'単価履歴'!$O:$O,
MAXIFS('単価履歴'!$O:$O,'単価履歴'!$E:$E,AB$1,'単価履歴'!$F:$F,$A21)))</f>
        <v/>
      </c>
      <c r="AC21" s="251" t="str">
        <f>IF(MAXIFS('単価履歴'!$H:$H,'単価履歴'!$E:$E,AC$1,'単価履歴'!$F:$F,$A21,'単価履歴'!$O:$O,
MAXIFS('単価履歴'!$O:$O,'単価履歴'!$E:$E,AC$1,'単価履歴'!$F:$F,$A21))=0,"",
MAXIFS('単価履歴'!$H:$H,'単価履歴'!$E:$E,AC$1,'単価履歴'!$F:$F,$A21,'単価履歴'!$O:$O,
MAXIFS('単価履歴'!$O:$O,'単価履歴'!$E:$E,AC$1,'単価履歴'!$F:$F,$A21)))</f>
        <v/>
      </c>
      <c r="AD21" s="249" t="str">
        <f>IF(MAXIFS('単価履歴'!$H:$H,'単価履歴'!$E:$E,AD$1,'単価履歴'!$F:$F,$A21,'単価履歴'!$O:$O,
MAXIFS('単価履歴'!$O:$O,'単価履歴'!$E:$E,AD$1,'単価履歴'!$F:$F,$A21))=0,"",
MAXIFS('単価履歴'!$H:$H,'単価履歴'!$E:$E,AD$1,'単価履歴'!$F:$F,$A21,'単価履歴'!$O:$O,
MAXIFS('単価履歴'!$O:$O,'単価履歴'!$E:$E,AD$1,'単価履歴'!$F:$F,$A21)))</f>
        <v/>
      </c>
      <c r="AE21" s="277" t="str">
        <f>IF(MAXIFS('単価履歴'!$H:$H,'単価履歴'!$E:$E,AE$1,'単価履歴'!$F:$F,$A21,'単価履歴'!$O:$O,
MAXIFS('単価履歴'!$O:$O,'単価履歴'!$E:$E,AE$1,'単価履歴'!$F:$F,$A21))=0,"",
MAXIFS('単価履歴'!$H:$H,'単価履歴'!$E:$E,AE$1,'単価履歴'!$F:$F,$A21,'単価履歴'!$O:$O,
MAXIFS('単価履歴'!$O:$O,'単価履歴'!$E:$E,AE$1,'単価履歴'!$F:$F,$A21)))</f>
        <v/>
      </c>
      <c r="AF21" s="251" t="str">
        <f>IF(MAXIFS('単価履歴'!$H:$H,'単価履歴'!$E:$E,AF$1,'単価履歴'!$F:$F,$A21,'単価履歴'!$O:$O,
MAXIFS('単価履歴'!$O:$O,'単価履歴'!$E:$E,AF$1,'単価履歴'!$F:$F,$A21))=0,"",
MAXIFS('単価履歴'!$H:$H,'単価履歴'!$E:$E,AF$1,'単価履歴'!$F:$F,$A21,'単価履歴'!$O:$O,
MAXIFS('単価履歴'!$O:$O,'単価履歴'!$E:$E,AF$1,'単価履歴'!$F:$F,$A21)))</f>
        <v/>
      </c>
      <c r="AG21" s="249" t="str">
        <f>IF(MAXIFS('単価履歴'!$H:$H,'単価履歴'!$E:$E,AG$1,'単価履歴'!$F:$F,$A21,'単価履歴'!$O:$O,
MAXIFS('単価履歴'!$O:$O,'単価履歴'!$E:$E,AG$1,'単価履歴'!$F:$F,$A21))=0,"",
MAXIFS('単価履歴'!$H:$H,'単価履歴'!$E:$E,AG$1,'単価履歴'!$F:$F,$A21,'単価履歴'!$O:$O,
MAXIFS('単価履歴'!$O:$O,'単価履歴'!$E:$E,AG$1,'単価履歴'!$F:$F,$A21)))</f>
        <v/>
      </c>
      <c r="AH21" s="252" t="str">
        <f>IF(MAXIFS('単価履歴'!$H:$H,'単価履歴'!$E:$E,AH$1,'単価履歴'!$F:$F,$A21,'単価履歴'!$O:$O,
MAXIFS('単価履歴'!$O:$O,'単価履歴'!$E:$E,AH$1,'単価履歴'!$F:$F,$A21))=0,"",
MAXIFS('単価履歴'!$H:$H,'単価履歴'!$E:$E,AH$1,'単価履歴'!$F:$F,$A21,'単価履歴'!$O:$O,
MAXIFS('単価履歴'!$O:$O,'単価履歴'!$E:$E,AH$1,'単価履歴'!$F:$F,$A21)))</f>
        <v/>
      </c>
      <c r="AI21" s="249" t="str">
        <f>IF(MAXIFS('単価履歴'!$H:$H,'単価履歴'!$E:$E,AI$1,'単価履歴'!$F:$F,$A21,'単価履歴'!$O:$O,
MAXIFS('単価履歴'!$O:$O,'単価履歴'!$E:$E,AI$1,'単価履歴'!$F:$F,$A21))=0,"",
MAXIFS('単価履歴'!$H:$H,'単価履歴'!$E:$E,AI$1,'単価履歴'!$F:$F,$A21,'単価履歴'!$O:$O,
MAXIFS('単価履歴'!$O:$O,'単価履歴'!$E:$E,AI$1,'単価履歴'!$F:$F,$A21)))</f>
        <v/>
      </c>
      <c r="AJ21" s="251" t="str">
        <f>IF(MAXIFS('単価履歴'!$H:$H,'単価履歴'!$E:$E,AJ$1,'単価履歴'!$F:$F,$A21,'単価履歴'!$O:$O,
MAXIFS('単価履歴'!$O:$O,'単価履歴'!$E:$E,AJ$1,'単価履歴'!$F:$F,$A21))=0,"",
MAXIFS('単価履歴'!$H:$H,'単価履歴'!$E:$E,AJ$1,'単価履歴'!$F:$F,$A21,'単価履歴'!$O:$O,
MAXIFS('単価履歴'!$O:$O,'単価履歴'!$E:$E,AJ$1,'単価履歴'!$F:$F,$A21)))</f>
        <v/>
      </c>
      <c r="AK21" s="252" t="str">
        <f>IF(MAXIFS('単価履歴'!$H:$H,'単価履歴'!$E:$E,AK$1,'単価履歴'!$F:$F,$A21,'単価履歴'!$O:$O,
MAXIFS('単価履歴'!$O:$O,'単価履歴'!$E:$E,AK$1,'単価履歴'!$F:$F,$A21))=0,"",
MAXIFS('単価履歴'!$H:$H,'単価履歴'!$E:$E,AK$1,'単価履歴'!$F:$F,$A21,'単価履歴'!$O:$O,
MAXIFS('単価履歴'!$O:$O,'単価履歴'!$E:$E,AK$1,'単価履歴'!$F:$F,$A21)))</f>
        <v/>
      </c>
      <c r="AL21" s="249" t="str">
        <f>IF(MAXIFS('単価履歴'!$H:$H,'単価履歴'!$E:$E,AL$1,'単価履歴'!$F:$F,$A21,'単価履歴'!$O:$O,
MAXIFS('単価履歴'!$O:$O,'単価履歴'!$E:$E,AL$1,'単価履歴'!$F:$F,$A21))=0,"",
MAXIFS('単価履歴'!$H:$H,'単価履歴'!$E:$E,AL$1,'単価履歴'!$F:$F,$A21,'単価履歴'!$O:$O,
MAXIFS('単価履歴'!$O:$O,'単価履歴'!$E:$E,AL$1,'単価履歴'!$F:$F,$A21)))</f>
        <v/>
      </c>
      <c r="AM21" s="280">
        <f>IF(MAXIFS('単価履歴'!$H:$H,'単価履歴'!$E:$E,AM$1,'単価履歴'!$F:$F,$A21,'単価履歴'!$O:$O,
MAXIFS('単価履歴'!$O:$O,'単価履歴'!$E:$E,AM$1,'単価履歴'!$F:$F,$A21))=0,"",
MAXIFS('単価履歴'!$H:$H,'単価履歴'!$E:$E,AM$1,'単価履歴'!$F:$F,$A21,'単価履歴'!$O:$O,
MAXIFS('単価履歴'!$O:$O,'単価履歴'!$E:$E,AM$1,'単価履歴'!$F:$F,$A21)))</f>
        <v>54</v>
      </c>
      <c r="AN21" s="280" t="str">
        <f>IF(MAXIFS('単価履歴'!$H:$H,'単価履歴'!$E:$E,AN$1,'単価履歴'!$F:$F,$A21,'単価履歴'!$O:$O,
MAXIFS('単価履歴'!$O:$O,'単価履歴'!$E:$E,AN$1,'単価履歴'!$F:$F,$A21))=0,"",
MAXIFS('単価履歴'!$H:$H,'単価履歴'!$E:$E,AN$1,'単価履歴'!$F:$F,$A21,'単価履歴'!$O:$O,
MAXIFS('単価履歴'!$O:$O,'単価履歴'!$E:$E,AN$1,'単価履歴'!$F:$F,$A21)))</f>
        <v/>
      </c>
      <c r="AO21" s="249" t="str">
        <f>IF(MAXIFS('単価履歴'!$H:$H,'単価履歴'!$E:$E,AO$1,'単価履歴'!$F:$F,$A21,'単価履歴'!$O:$O,
MAXIFS('単価履歴'!$O:$O,'単価履歴'!$E:$E,AO$1,'単価履歴'!$F:$F,$A21))=0,"",
MAXIFS('単価履歴'!$H:$H,'単価履歴'!$E:$E,AO$1,'単価履歴'!$F:$F,$A21,'単価履歴'!$O:$O,
MAXIFS('単価履歴'!$O:$O,'単価履歴'!$E:$E,AO$1,'単価履歴'!$F:$F,$A21)))</f>
        <v/>
      </c>
      <c r="AP21" s="251">
        <f>IF(MAXIFS('単価履歴'!$H:$H,'単価履歴'!$E:$E,AP$1,'単価履歴'!$F:$F,$A21,'単価履歴'!$O:$O,
MAXIFS('単価履歴'!$O:$O,'単価履歴'!$E:$E,AP$1,'単価履歴'!$F:$F,$A21))=0,"",
MAXIFS('単価履歴'!$H:$H,'単価履歴'!$E:$E,AP$1,'単価履歴'!$F:$F,$A21,'単価履歴'!$O:$O,
MAXIFS('単価履歴'!$O:$O,'単価履歴'!$E:$E,AP$1,'単価履歴'!$F:$F,$A21)))</f>
        <v>57.3</v>
      </c>
      <c r="AQ21" s="251" t="str">
        <f>IF(MAXIFS('単価履歴'!$H:$H,'単価履歴'!$E:$E,AQ$1,'単価履歴'!$F:$F,$A21,'単価履歴'!$O:$O,
MAXIFS('単価履歴'!$O:$O,'単価履歴'!$E:$E,AQ$1,'単価履歴'!$F:$F,$A21))=0,"",
MAXIFS('単価履歴'!$H:$H,'単価履歴'!$E:$E,AQ$1,'単価履歴'!$F:$F,$A21,'単価履歴'!$O:$O,
MAXIFS('単価履歴'!$O:$O,'単価履歴'!$E:$E,AQ$1,'単価履歴'!$F:$F,$A21)))</f>
        <v/>
      </c>
      <c r="AR21" s="246">
        <f>IF(MAXIFS('単価履歴'!$H:$H,'単価履歴'!$E:$E,AR$1,'単価履歴'!$F:$F,$A21,'単価履歴'!$O:$O,
MAXIFS('単価履歴'!$O:$O,'単価履歴'!$E:$E,AR$1,'単価履歴'!$F:$F,$A21))=0,"",
MAXIFS('単価履歴'!$H:$H,'単価履歴'!$E:$E,AR$1,'単価履歴'!$F:$F,$A21,'単価履歴'!$O:$O,
MAXIFS('単価履歴'!$O:$O,'単価履歴'!$E:$E,AR$1,'単価履歴'!$F:$F,$A21)))</f>
        <v>57.5</v>
      </c>
      <c r="AS21" s="246" t="str">
        <f>IF(MAXIFS('単価履歴'!$H:$H,'単価履歴'!$E:$E,AS$1,'単価履歴'!$F:$F,$A21,'単価履歴'!$O:$O,
MAXIFS('単価履歴'!$O:$O,'単価履歴'!$E:$E,AS$1,'単価履歴'!$F:$F,$A21))=0,"",
MAXIFS('単価履歴'!$H:$H,'単価履歴'!$E:$E,AS$1,'単価履歴'!$F:$F,$A21,'単価履歴'!$O:$O,
MAXIFS('単価履歴'!$O:$O,'単価履歴'!$E:$E,AS$1,'単価履歴'!$F:$F,$A21)))</f>
        <v/>
      </c>
      <c r="AT21" s="262">
        <f>IF(MAXIFS('単価履歴'!$H:$H,'単価履歴'!$E:$E,AT$1,'単価履歴'!$F:$F,$A21,'単価履歴'!$O:$O,
MAXIFS('単価履歴'!$O:$O,'単価履歴'!$E:$E,AT$1,'単価履歴'!$F:$F,$A21))=0,"",
MAXIFS('単価履歴'!$H:$H,'単価履歴'!$E:$E,AT$1,'単価履歴'!$F:$F,$A21,'単価履歴'!$O:$O,
MAXIFS('単価履歴'!$O:$O,'単価履歴'!$E:$E,AT$1,'単価履歴'!$F:$F,$A21)))</f>
        <v>55.5</v>
      </c>
      <c r="AU21" s="249" t="str">
        <f>IF(MAXIFS('単価履歴'!$H:$H,'単価履歴'!$E:$E,AU$1,'単価履歴'!$F:$F,$A21,'単価履歴'!$O:$O,
MAXIFS('単価履歴'!$O:$O,'単価履歴'!$E:$E,AU$1,'単価履歴'!$F:$F,$A21))=0,"",
MAXIFS('単価履歴'!$H:$H,'単価履歴'!$E:$E,AU$1,'単価履歴'!$F:$F,$A21,'単価履歴'!$O:$O,
MAXIFS('単価履歴'!$O:$O,'単価履歴'!$E:$E,AU$1,'単価履歴'!$F:$F,$A21)))</f>
        <v/>
      </c>
      <c r="AV21" s="251" t="str">
        <f>IF(MAXIFS('単価履歴'!$H:$H,'単価履歴'!$E:$E,AV$1,'単価履歴'!$F:$F,$A21,'単価履歴'!$O:$O,
MAXIFS('単価履歴'!$O:$O,'単価履歴'!$E:$E,AV$1,'単価履歴'!$F:$F,$A21))=0,"",
MAXIFS('単価履歴'!$H:$H,'単価履歴'!$E:$E,AV$1,'単価履歴'!$F:$F,$A21,'単価履歴'!$O:$O,
MAXIFS('単価履歴'!$O:$O,'単価履歴'!$E:$E,AV$1,'単価履歴'!$F:$F,$A21)))</f>
        <v/>
      </c>
      <c r="AW21" s="258">
        <f>IF(MAXIFS('単価履歴'!$H:$H,'単価履歴'!$E:$E,AW$1,'単価履歴'!$F:$F,$A21,'単価履歴'!$O:$O,
MAXIFS('単価履歴'!$O:$O,'単価履歴'!$E:$E,AW$1,'単価履歴'!$F:$F,$A21))=0,"",
MAXIFS('単価履歴'!$H:$H,'単価履歴'!$E:$E,AW$1,'単価履歴'!$F:$F,$A21,'単価履歴'!$O:$O,
MAXIFS('単価履歴'!$O:$O,'単価履歴'!$E:$E,AW$1,'単価履歴'!$F:$F,$A21)))</f>
        <v>58</v>
      </c>
      <c r="AX21" s="247">
        <f>IF(MAXIFS('単価履歴'!$H:$H,'単価履歴'!$E:$E,AX$1,'単価履歴'!$F:$F,$A21,'単価履歴'!$O:$O,
MAXIFS('単価履歴'!$O:$O,'単価履歴'!$E:$E,AX$1,'単価履歴'!$F:$F,$A21))=0,"",
MAXIFS('単価履歴'!$H:$H,'単価履歴'!$E:$E,AX$1,'単価履歴'!$F:$F,$A21,'単価履歴'!$O:$O,
MAXIFS('単価履歴'!$O:$O,'単価履歴'!$E:$E,AX$1,'単価履歴'!$F:$F,$A21)))</f>
        <v>55.5</v>
      </c>
      <c r="AY21" s="252" t="str">
        <f>IF(MAXIFS('単価履歴'!$H:$H,'単価履歴'!$E:$E,AY$1,'単価履歴'!$F:$F,$A21,'単価履歴'!$O:$O,
MAXIFS('単価履歴'!$O:$O,'単価履歴'!$E:$E,AY$1,'単価履歴'!$F:$F,$A21))=0,"",
MAXIFS('単価履歴'!$H:$H,'単価履歴'!$E:$E,AY$1,'単価履歴'!$F:$F,$A21,'単価履歴'!$O:$O,
MAXIFS('単価履歴'!$O:$O,'単価履歴'!$E:$E,AY$1,'単価履歴'!$F:$F,$A21)))</f>
        <v/>
      </c>
      <c r="AZ21" s="249" t="str">
        <f>IF(MAXIFS('単価履歴'!$H:$H,'単価履歴'!$E:$E,AZ$1,'単価履歴'!$F:$F,$A21,'単価履歴'!$O:$O,
MAXIFS('単価履歴'!$O:$O,'単価履歴'!$E:$E,AZ$1,'単価履歴'!$F:$F,$A21))=0,"",
MAXIFS('単価履歴'!$H:$H,'単価履歴'!$E:$E,AZ$1,'単価履歴'!$F:$F,$A21,'単価履歴'!$O:$O,
MAXIFS('単価履歴'!$O:$O,'単価履歴'!$E:$E,AZ$1,'単価履歴'!$F:$F,$A21)))</f>
        <v/>
      </c>
      <c r="BA21" s="252" t="str">
        <f>IF(MAXIFS('単価履歴'!$H:$H,'単価履歴'!$E:$E,BA$1,'単価履歴'!$F:$F,$A21,'単価履歴'!$O:$O,
MAXIFS('単価履歴'!$O:$O,'単価履歴'!$E:$E,BA$1,'単価履歴'!$F:$F,$A21))=0,"",
MAXIFS('単価履歴'!$H:$H,'単価履歴'!$E:$E,BA$1,'単価履歴'!$F:$F,$A21,'単価履歴'!$O:$O,
MAXIFS('単価履歴'!$O:$O,'単価履歴'!$E:$E,BA$1,'単価履歴'!$F:$F,$A21)))</f>
        <v/>
      </c>
      <c r="BB21" s="249" t="str">
        <f>IF(MAXIFS('単価履歴'!$H:$H,'単価履歴'!$E:$E,BB$1,'単価履歴'!$F:$F,$A21,'単価履歴'!$O:$O,
MAXIFS('単価履歴'!$O:$O,'単価履歴'!$E:$E,BB$1,'単価履歴'!$F:$F,$A21))=0,"",
MAXIFS('単価履歴'!$H:$H,'単価履歴'!$E:$E,BB$1,'単価履歴'!$F:$F,$A21,'単価履歴'!$O:$O,
MAXIFS('単価履歴'!$O:$O,'単価履歴'!$E:$E,BB$1,'単価履歴'!$F:$F,$A21)))</f>
        <v/>
      </c>
      <c r="BC21" s="249" t="str">
        <f>IF(MAXIFS('単価履歴'!$H:$H,'単価履歴'!$E:$E,BC$1,'単価履歴'!$F:$F,$A21,'単価履歴'!$O:$O,
MAXIFS('単価履歴'!$O:$O,'単価履歴'!$E:$E,BC$1,'単価履歴'!$F:$F,$A21))=0,"",
MAXIFS('単価履歴'!$H:$H,'単価履歴'!$E:$E,BC$1,'単価履歴'!$F:$F,$A21,'単価履歴'!$O:$O,
MAXIFS('単価履歴'!$O:$O,'単価履歴'!$E:$E,BC$1,'単価履歴'!$F:$F,$A21)))</f>
        <v/>
      </c>
      <c r="BD21" s="249" t="str">
        <f>IF(MAXIFS('単価履歴'!$H:$H,'単価履歴'!$E:$E,BD$1,'単価履歴'!$F:$F,$A21,'単価履歴'!$O:$O,
MAXIFS('単価履歴'!$O:$O,'単価履歴'!$E:$E,BD$1,'単価履歴'!$F:$F,$A21))=0,"",
MAXIFS('単価履歴'!$H:$H,'単価履歴'!$E:$E,BD$1,'単価履歴'!$F:$F,$A21,'単価履歴'!$O:$O,
MAXIFS('単価履歴'!$O:$O,'単価履歴'!$E:$E,BD$1,'単価履歴'!$F:$F,$A21)))</f>
        <v/>
      </c>
      <c r="BE21" s="249" t="str">
        <f>IF(MAXIFS('単価履歴'!$H:$H,'単価履歴'!$E:$E,BE$1,'単価履歴'!$F:$F,$A21,'単価履歴'!$O:$O,
MAXIFS('単価履歴'!$O:$O,'単価履歴'!$E:$E,BE$1,'単価履歴'!$F:$F,$A21))=0,"",
MAXIFS('単価履歴'!$H:$H,'単価履歴'!$E:$E,BE$1,'単価履歴'!$F:$F,$A21,'単価履歴'!$O:$O,
MAXIFS('単価履歴'!$O:$O,'単価履歴'!$E:$E,BE$1,'単価履歴'!$F:$F,$A21)))</f>
        <v/>
      </c>
      <c r="BF21" s="248" t="str">
        <f>IF(MAXIFS('単価履歴'!$H:$H,'単価履歴'!$E:$E,BF$1,'単価履歴'!$F:$F,$A21,'単価履歴'!$O:$O,
MAXIFS('単価履歴'!$O:$O,'単価履歴'!$E:$E,BF$1,'単価履歴'!$F:$F,$A21))=0,"",
MAXIFS('単価履歴'!$H:$H,'単価履歴'!$E:$E,BF$1,'単価履歴'!$F:$F,$A21,'単価履歴'!$O:$O,
MAXIFS('単価履歴'!$O:$O,'単価履歴'!$E:$E,BF$1,'単価履歴'!$F:$F,$A21)))</f>
        <v/>
      </c>
      <c r="BG21" s="249" t="str">
        <f>IF(MAXIFS('単価履歴'!$H:$H,'単価履歴'!$E:$E,BG$1,'単価履歴'!$F:$F,$A21,'単価履歴'!$O:$O,
MAXIFS('単価履歴'!$O:$O,'単価履歴'!$E:$E,BG$1,'単価履歴'!$F:$F,$A21))=0,"",
MAXIFS('単価履歴'!$H:$H,'単価履歴'!$E:$E,BG$1,'単価履歴'!$F:$F,$A21,'単価履歴'!$O:$O,
MAXIFS('単価履歴'!$O:$O,'単価履歴'!$E:$E,BG$1,'単価履歴'!$F:$F,$A21)))</f>
        <v/>
      </c>
      <c r="BH21" s="251" t="str">
        <f>IF(MAXIFS('単価履歴'!$H:$H,'単価履歴'!$E:$E,BH$1,'単価履歴'!$F:$F,$A21,'単価履歴'!$O:$O,
MAXIFS('単価履歴'!$O:$O,'単価履歴'!$E:$E,BH$1,'単価履歴'!$F:$F,$A21))=0,"",
MAXIFS('単価履歴'!$H:$H,'単価履歴'!$E:$E,BH$1,'単価履歴'!$F:$F,$A21,'単価履歴'!$O:$O,
MAXIFS('単価履歴'!$O:$O,'単価履歴'!$E:$E,BH$1,'単価履歴'!$F:$F,$A21)))</f>
        <v/>
      </c>
      <c r="BI21" s="249" t="str">
        <f>IF(MAXIFS('単価履歴'!$H:$H,'単価履歴'!$E:$E,BI$1,'単価履歴'!$F:$F,$A21,'単価履歴'!$O:$O,
MAXIFS('単価履歴'!$O:$O,'単価履歴'!$E:$E,BI$1,'単価履歴'!$F:$F,$A21))=0,"",
MAXIFS('単価履歴'!$H:$H,'単価履歴'!$E:$E,BI$1,'単価履歴'!$F:$F,$A21,'単価履歴'!$O:$O,
MAXIFS('単価履歴'!$O:$O,'単価履歴'!$E:$E,BI$1,'単価履歴'!$F:$F,$A21)))</f>
        <v/>
      </c>
      <c r="BJ21" s="248" t="str">
        <f>IF(MAXIFS('単価履歴'!$H:$H,'単価履歴'!$E:$E,BJ$1,'単価履歴'!$F:$F,$A21,'単価履歴'!$O:$O,
MAXIFS('単価履歴'!$O:$O,'単価履歴'!$E:$E,BJ$1,'単価履歴'!$F:$F,$A21))=0,"",
MAXIFS('単価履歴'!$H:$H,'単価履歴'!$E:$E,BJ$1,'単価履歴'!$F:$F,$A21,'単価履歴'!$O:$O,
MAXIFS('単価履歴'!$O:$O,'単価履歴'!$E:$E,BJ$1,'単価履歴'!$F:$F,$A21)))</f>
        <v/>
      </c>
      <c r="BK21" s="252" t="str">
        <f>IF(MAXIFS('単価履歴'!$H:$H,'単価履歴'!$E:$E,BK$1,'単価履歴'!$F:$F,$A21,'単価履歴'!$O:$O,
MAXIFS('単価履歴'!$O:$O,'単価履歴'!$E:$E,BK$1,'単価履歴'!$F:$F,$A21))=0,"",
MAXIFS('単価履歴'!$H:$H,'単価履歴'!$E:$E,BK$1,'単価履歴'!$F:$F,$A21,'単価履歴'!$O:$O,
MAXIFS('単価履歴'!$O:$O,'単価履歴'!$E:$E,BK$1,'単価履歴'!$F:$F,$A21)))</f>
        <v/>
      </c>
      <c r="BL21" s="249" t="str">
        <f>IF(MAXIFS('単価履歴'!$H:$H,'単価履歴'!$E:$E,BL$1,'単価履歴'!$F:$F,$A21,'単価履歴'!$O:$O,
MAXIFS('単価履歴'!$O:$O,'単価履歴'!$E:$E,BL$1,'単価履歴'!$F:$F,$A21))=0,"",
MAXIFS('単価履歴'!$H:$H,'単価履歴'!$E:$E,BL$1,'単価履歴'!$F:$F,$A21,'単価履歴'!$O:$O,
MAXIFS('単価履歴'!$O:$O,'単価履歴'!$E:$E,BL$1,'単価履歴'!$F:$F,$A21)))</f>
        <v/>
      </c>
      <c r="BM21" s="248" t="str">
        <f>IF(MAXIFS('単価履歴'!$H:$H,'単価履歴'!$E:$E,BM$1,'単価履歴'!$F:$F,$A21,'単価履歴'!$O:$O,
MAXIFS('単価履歴'!$O:$O,'単価履歴'!$E:$E,BM$1,'単価履歴'!$F:$F,$A21))=0,"",
MAXIFS('単価履歴'!$H:$H,'単価履歴'!$E:$E,BM$1,'単価履歴'!$F:$F,$A21,'単価履歴'!$O:$O,
MAXIFS('単価履歴'!$O:$O,'単価履歴'!$E:$E,BM$1,'単価履歴'!$F:$F,$A21)))</f>
        <v/>
      </c>
      <c r="BN21" s="249" t="str">
        <f>IF(MAXIFS('単価履歴'!$H:$H,'単価履歴'!$E:$E,BN$1,'単価履歴'!$F:$F,$A21,'単価履歴'!$O:$O,
MAXIFS('単価履歴'!$O:$O,'単価履歴'!$E:$E,BN$1,'単価履歴'!$F:$F,$A21))=0,"",
MAXIFS('単価履歴'!$H:$H,'単価履歴'!$E:$E,BN$1,'単価履歴'!$F:$F,$A21,'単価履歴'!$O:$O,
MAXIFS('単価履歴'!$O:$O,'単価履歴'!$E:$E,BN$1,'単価履歴'!$F:$F,$A21)))</f>
        <v/>
      </c>
      <c r="BO21" s="248" t="str">
        <f>IF(MAXIFS('単価履歴'!$H:$H,'単価履歴'!$E:$E,BO$1,'単価履歴'!$F:$F,$A21,'単価履歴'!$O:$O,
MAXIFS('単価履歴'!$O:$O,'単価履歴'!$E:$E,BO$1,'単価履歴'!$F:$F,$A21))=0,"",
MAXIFS('単価履歴'!$H:$H,'単価履歴'!$E:$E,BO$1,'単価履歴'!$F:$F,$A21,'単価履歴'!$O:$O,
MAXIFS('単価履歴'!$O:$O,'単価履歴'!$E:$E,BO$1,'単価履歴'!$F:$F,$A21)))</f>
        <v/>
      </c>
      <c r="BP21" s="249" t="str">
        <f>IF(MAXIFS('単価履歴'!$H:$H,'単価履歴'!$E:$E,BP$1,'単価履歴'!$F:$F,$A21,'単価履歴'!$O:$O,
MAXIFS('単価履歴'!$O:$O,'単価履歴'!$E:$E,BP$1,'単価履歴'!$F:$F,$A21))=0,"",
MAXIFS('単価履歴'!$H:$H,'単価履歴'!$E:$E,BP$1,'単価履歴'!$F:$F,$A21,'単価履歴'!$O:$O,
MAXIFS('単価履歴'!$O:$O,'単価履歴'!$E:$E,BP$1,'単価履歴'!$F:$F,$A21)))</f>
        <v/>
      </c>
      <c r="BQ21" s="249" t="str">
        <f>IF(MAXIFS('単価履歴'!$H:$H,'単価履歴'!$E:$E,BQ$1,'単価履歴'!$F:$F,$A21,'単価履歴'!$O:$O,
MAXIFS('単価履歴'!$O:$O,'単価履歴'!$E:$E,BQ$1,'単価履歴'!$F:$F,$A21))=0,"",
MAXIFS('単価履歴'!$H:$H,'単価履歴'!$E:$E,BQ$1,'単価履歴'!$F:$F,$A21,'単価履歴'!$O:$O,
MAXIFS('単価履歴'!$O:$O,'単価履歴'!$E:$E,BQ$1,'単価履歴'!$F:$F,$A21)))</f>
        <v/>
      </c>
      <c r="BR21" s="252" t="str">
        <f>IF(MAXIFS('単価履歴'!$H:$H,'単価履歴'!$E:$E,BR$1,'単価履歴'!$F:$F,$A21,'単価履歴'!$O:$O,
MAXIFS('単価履歴'!$O:$O,'単価履歴'!$E:$E,BR$1,'単価履歴'!$F:$F,$A21))=0,"",
MAXIFS('単価履歴'!$H:$H,'単価履歴'!$E:$E,BR$1,'単価履歴'!$F:$F,$A21,'単価履歴'!$O:$O,
MAXIFS('単価履歴'!$O:$O,'単価履歴'!$E:$E,BR$1,'単価履歴'!$F:$F,$A21)))</f>
        <v/>
      </c>
      <c r="BS21" s="252" t="str">
        <f>IF(MAXIFS('単価履歴'!$H:$H,'単価履歴'!$E:$E,BS$1,'単価履歴'!$F:$F,$A21,'単価履歴'!$O:$O,
MAXIFS('単価履歴'!$O:$O,'単価履歴'!$E:$E,BS$1,'単価履歴'!$F:$F,$A21))=0,"",
MAXIFS('単価履歴'!$H:$H,'単価履歴'!$E:$E,BS$1,'単価履歴'!$F:$F,$A21,'単価履歴'!$O:$O,
MAXIFS('単価履歴'!$O:$O,'単価履歴'!$E:$E,BS$1,'単価履歴'!$F:$F,$A21)))</f>
        <v/>
      </c>
      <c r="BT21" s="252" t="str">
        <f>IF(MAXIFS('単価履歴'!$H:$H,'単価履歴'!$E:$E,BT$1,'単価履歴'!$F:$F,$A21,'単価履歴'!$O:$O,
MAXIFS('単価履歴'!$O:$O,'単価履歴'!$E:$E,BT$1,'単価履歴'!$F:$F,$A21))=0,"",
MAXIFS('単価履歴'!$H:$H,'単価履歴'!$E:$E,BT$1,'単価履歴'!$F:$F,$A21,'単価履歴'!$O:$O,
MAXIFS('単価履歴'!$O:$O,'単価履歴'!$E:$E,BT$1,'単価履歴'!$F:$F,$A21)))</f>
        <v/>
      </c>
      <c r="BU21" s="252" t="str">
        <f>IF(MAXIFS('単価履歴'!$H:$H,'単価履歴'!$E:$E,BU$1,'単価履歴'!$F:$F,$A21,'単価履歴'!$O:$O,
MAXIFS('単価履歴'!$O:$O,'単価履歴'!$E:$E,BU$1,'単価履歴'!$F:$F,$A21))=0,"",
MAXIFS('単価履歴'!$H:$H,'単価履歴'!$E:$E,BU$1,'単価履歴'!$F:$F,$A21,'単価履歴'!$O:$O,
MAXIFS('単価履歴'!$O:$O,'単価履歴'!$E:$E,BU$1,'単価履歴'!$F:$F,$A21)))</f>
        <v/>
      </c>
      <c r="BV21" s="252" t="str">
        <f>IF(MAXIFS('単価履歴'!$H:$H,'単価履歴'!$E:$E,BV$1,'単価履歴'!$F:$F,$A21,'単価履歴'!$O:$O,
MAXIFS('単価履歴'!$O:$O,'単価履歴'!$E:$E,BV$1,'単価履歴'!$F:$F,$A21))=0,"",
MAXIFS('単価履歴'!$H:$H,'単価履歴'!$E:$E,BV$1,'単価履歴'!$F:$F,$A21,'単価履歴'!$O:$O,
MAXIFS('単価履歴'!$O:$O,'単価履歴'!$E:$E,BV$1,'単価履歴'!$F:$F,$A21)))</f>
        <v/>
      </c>
      <c r="BW21" s="248" t="str">
        <f>IF(MAXIFS('単価履歴'!$H:$H,'単価履歴'!$E:$E,BW$1,'単価履歴'!$F:$F,$A21,'単価履歴'!$O:$O,
MAXIFS('単価履歴'!$O:$O,'単価履歴'!$E:$E,BW$1,'単価履歴'!$F:$F,$A21))=0,"",
MAXIFS('単価履歴'!$H:$H,'単価履歴'!$E:$E,BW$1,'単価履歴'!$F:$F,$A21,'単価履歴'!$O:$O,
MAXIFS('単価履歴'!$O:$O,'単価履歴'!$E:$E,BW$1,'単価履歴'!$F:$F,$A21)))</f>
        <v/>
      </c>
      <c r="BX21" s="249" t="str">
        <f>IF(MAXIFS('単価履歴'!$H:$H,'単価履歴'!$E:$E,BX$1,'単価履歴'!$F:$F,$A21,'単価履歴'!$O:$O,
MAXIFS('単価履歴'!$O:$O,'単価履歴'!$E:$E,BX$1,'単価履歴'!$F:$F,$A21))=0,"",
MAXIFS('単価履歴'!$H:$H,'単価履歴'!$E:$E,BX$1,'単価履歴'!$F:$F,$A21,'単価履歴'!$O:$O,
MAXIFS('単価履歴'!$O:$O,'単価履歴'!$E:$E,BX$1,'単価履歴'!$F:$F,$A21)))</f>
        <v/>
      </c>
      <c r="BY21" s="252" t="str">
        <f>IF(MAXIFS('単価履歴'!$H:$H,'単価履歴'!$E:$E,BY$1,'単価履歴'!$F:$F,$A21,'単価履歴'!$O:$O,
MAXIFS('単価履歴'!$O:$O,'単価履歴'!$E:$E,BY$1,'単価履歴'!$F:$F,$A21))=0,"",
MAXIFS('単価履歴'!$H:$H,'単価履歴'!$E:$E,BY$1,'単価履歴'!$F:$F,$A21,'単価履歴'!$O:$O,
MAXIFS('単価履歴'!$O:$O,'単価履歴'!$E:$E,BY$1,'単価履歴'!$F:$F,$A21)))</f>
        <v/>
      </c>
      <c r="BZ21" s="249"/>
      <c r="CA21" s="249"/>
      <c r="CB21" s="249"/>
      <c r="CC21" s="249"/>
      <c r="CD21" s="249"/>
      <c r="CE21" s="249"/>
      <c r="CF21" s="249"/>
      <c r="CG21" s="249"/>
    </row>
    <row r="22">
      <c r="A22" s="261" t="s">
        <v>574</v>
      </c>
      <c r="B22" s="246"/>
      <c r="C22" s="254">
        <f>IF(MAXIFS('単価履歴'!$H:$H,'単価履歴'!$E:$E,C$1,'単価履歴'!$F:$F,$A22,'単価履歴'!$O:$O,
MAXIFS('単価履歴'!$O:$O,'単価履歴'!$E:$E,C$1,'単価履歴'!$F:$F,$A22))=0,"",
MAXIFS('単価履歴'!$H:$H,'単価履歴'!$E:$E,C$1,'単価履歴'!$F:$F,$A22,'単価履歴'!$O:$O,
MAXIFS('単価履歴'!$O:$O,'単価履歴'!$E:$E,C$1,'単価履歴'!$F:$F,$A22)))</f>
        <v>56.3</v>
      </c>
      <c r="D22" s="256">
        <f>IF(MAXIFS('単価履歴'!$H:$H,'単価履歴'!$E:$E,D$1,'単価履歴'!$F:$F,$A22,'単価履歴'!$O:$O,
MAXIFS('単価履歴'!$O:$O,'単価履歴'!$E:$E,D$1,'単価履歴'!$F:$F,$A22))=0,"",
MAXIFS('単価履歴'!$H:$H,'単価履歴'!$E:$E,D$1,'単価履歴'!$F:$F,$A22,'単価履歴'!$O:$O,
MAXIFS('単価履歴'!$O:$O,'単価履歴'!$E:$E,D$1,'単価履歴'!$F:$F,$A22)))</f>
        <v>56.3</v>
      </c>
      <c r="E22" s="256"/>
      <c r="F22" s="256"/>
      <c r="G22" s="263"/>
      <c r="H22" s="256"/>
      <c r="I22" s="256"/>
      <c r="J22" s="263"/>
      <c r="K22" s="250" t="str">
        <f>IF(MAXIFS('単価履歴'!$H:$H,'単価履歴'!$E:$E,K$1,'単価履歴'!$F:$F,$A22,'単価履歴'!$O:$O,
MAXIFS('単価履歴'!$O:$O,'単価履歴'!$E:$E,K$1,'単価履歴'!$F:$F,$A22))=0,"",
MAXIFS('単価履歴'!$H:$H,'単価履歴'!$E:$E,K$1,'単価履歴'!$F:$F,$A22,'単価履歴'!$O:$O,
MAXIFS('単価履歴'!$O:$O,'単価履歴'!$E:$E,K$1,'単価履歴'!$F:$F,$A22)))</f>
        <v/>
      </c>
      <c r="L22" s="275" t="str">
        <f>IF(MAXIFS('単価履歴'!$H:$H,'単価履歴'!$E:$E,L$1,'単価履歴'!$F:$F,$A22,'単価履歴'!$O:$O,
MAXIFS('単価履歴'!$O:$O,'単価履歴'!$E:$E,L$1,'単価履歴'!$F:$F,$A22))=0,"",
MAXIFS('単価履歴'!$H:$H,'単価履歴'!$E:$E,L$1,'単価履歴'!$F:$F,$A22,'単価履歴'!$O:$O,
MAXIFS('単価履歴'!$O:$O,'単価履歴'!$E:$E,L$1,'単価履歴'!$F:$F,$A22)))</f>
        <v/>
      </c>
      <c r="M22" s="250" t="str">
        <f>IF(MAXIFS('単価履歴'!$H:$H,'単価履歴'!$E:$E,M$1,'単価履歴'!$F:$F,$A22,'単価履歴'!$O:$O,
MAXIFS('単価履歴'!$O:$O,'単価履歴'!$E:$E,M$1,'単価履歴'!$F:$F,$A22))=0,"",
MAXIFS('単価履歴'!$H:$H,'単価履歴'!$E:$E,M$1,'単価履歴'!$F:$F,$A22,'単価履歴'!$O:$O,
MAXIFS('単価履歴'!$O:$O,'単価履歴'!$E:$E,M$1,'単価履歴'!$F:$F,$A22)))</f>
        <v/>
      </c>
      <c r="N22" s="275" t="str">
        <f>IF(MAXIFS('単価履歴'!$H:$H,'単価履歴'!$E:$E,N$1,'単価履歴'!$F:$F,$A22,'単価履歴'!$O:$O,
MAXIFS('単価履歴'!$O:$O,'単価履歴'!$E:$E,N$1,'単価履歴'!$F:$F,$A22))=0,"",
MAXIFS('単価履歴'!$H:$H,'単価履歴'!$E:$E,N$1,'単価履歴'!$F:$F,$A22,'単価履歴'!$O:$O,
MAXIFS('単価履歴'!$O:$O,'単価履歴'!$E:$E,N$1,'単価履歴'!$F:$F,$A22)))</f>
        <v/>
      </c>
      <c r="O22" s="250" t="str">
        <f>IF(MAXIFS('単価履歴'!$H:$H,'単価履歴'!$E:$E,O$1,'単価履歴'!$F:$F,$A22,'単価履歴'!$O:$O,
MAXIFS('単価履歴'!$O:$O,'単価履歴'!$E:$E,O$1,'単価履歴'!$F:$F,$A22))=0,"",
MAXIFS('単価履歴'!$H:$H,'単価履歴'!$E:$E,O$1,'単価履歴'!$F:$F,$A22,'単価履歴'!$O:$O,
MAXIFS('単価履歴'!$O:$O,'単価履歴'!$E:$E,O$1,'単価履歴'!$F:$F,$A22)))</f>
        <v/>
      </c>
      <c r="P22" s="254" t="str">
        <f>IF(MAXIFS('単価履歴'!$H:$H,'単価履歴'!$E:$E,P$1,'単価履歴'!$F:$F,$A22,'単価履歴'!$O:$O,
MAXIFS('単価履歴'!$O:$O,'単価履歴'!$E:$E,P$1,'単価履歴'!$F:$F,$A22))=0,"",
MAXIFS('単価履歴'!$H:$H,'単価履歴'!$E:$E,P$1,'単価履歴'!$F:$F,$A22,'単価履歴'!$O:$O,
MAXIFS('単価履歴'!$O:$O,'単価履歴'!$E:$E,P$1,'単価履歴'!$F:$F,$A22)))</f>
        <v/>
      </c>
      <c r="Q22" s="256" t="str">
        <f>IF(MAXIFS('単価履歴'!$H:$H,'単価履歴'!$E:$E,Q$1,'単価履歴'!$F:$F,$A22,'単価履歴'!$O:$O,
MAXIFS('単価履歴'!$O:$O,'単価履歴'!$E:$E,Q$1,'単価履歴'!$F:$F,$A22))=0,"",
MAXIFS('単価履歴'!$H:$H,'単価履歴'!$E:$E,Q$1,'単価履歴'!$F:$F,$A22,'単価履歴'!$O:$O,
MAXIFS('単価履歴'!$O:$O,'単価履歴'!$E:$E,Q$1,'単価履歴'!$F:$F,$A22)))</f>
        <v/>
      </c>
      <c r="R22" s="256" t="str">
        <f>IF(MAXIFS('単価履歴'!$H:$H,'単価履歴'!$E:$E,R$1,'単価履歴'!$F:$F,$A22,'単価履歴'!$O:$O,
MAXIFS('単価履歴'!$O:$O,'単価履歴'!$E:$E,R$1,'単価履歴'!$F:$F,$A22))=0,"",
MAXIFS('単価履歴'!$H:$H,'単価履歴'!$E:$E,R$1,'単価履歴'!$F:$F,$A22,'単価履歴'!$O:$O,
MAXIFS('単価履歴'!$O:$O,'単価履歴'!$E:$E,R$1,'単価履歴'!$F:$F,$A22)))</f>
        <v/>
      </c>
      <c r="S22" s="264" t="str">
        <f>IF(MAXIFS('単価履歴'!$H:$H,'単価履歴'!$E:$E,S$1,'単価履歴'!$F:$F,$A22,'単価履歴'!$O:$O,
MAXIFS('単価履歴'!$O:$O,'単価履歴'!$E:$E,S$1,'単価履歴'!$F:$F,$A22))=0,"",
MAXIFS('単価履歴'!$H:$H,'単価履歴'!$E:$E,S$1,'単価履歴'!$F:$F,$A22,'単価履歴'!$O:$O,
MAXIFS('単価履歴'!$O:$O,'単価履歴'!$E:$E,S$1,'単価履歴'!$F:$F,$A22)))</f>
        <v/>
      </c>
      <c r="T22" s="263" t="str">
        <f>IF(MAXIFS('単価履歴'!$H:$H,'単価履歴'!$E:$E,T$1,'単価履歴'!$F:$F,$A22,'単価履歴'!$O:$O,
MAXIFS('単価履歴'!$O:$O,'単価履歴'!$E:$E,T$1,'単価履歴'!$F:$F,$A22))=0,"",
MAXIFS('単価履歴'!$H:$H,'単価履歴'!$E:$E,T$1,'単価履歴'!$F:$F,$A22,'単価履歴'!$O:$O,
MAXIFS('単価履歴'!$O:$O,'単価履歴'!$E:$E,T$1,'単価履歴'!$F:$F,$A22)))</f>
        <v/>
      </c>
      <c r="U22" s="264" t="str">
        <f>IF(MAXIFS('単価履歴'!$H:$H,'単価履歴'!$E:$E,U$1,'単価履歴'!$F:$F,$A22,'単価履歴'!$O:$O,
MAXIFS('単価履歴'!$O:$O,'単価履歴'!$E:$E,U$1,'単価履歴'!$F:$F,$A22))=0,"",
MAXIFS('単価履歴'!$H:$H,'単価履歴'!$E:$E,U$1,'単価履歴'!$F:$F,$A22,'単価履歴'!$O:$O,
MAXIFS('単価履歴'!$O:$O,'単価履歴'!$E:$E,U$1,'単価履歴'!$F:$F,$A22)))</f>
        <v/>
      </c>
      <c r="V22" s="254" t="str">
        <f>IF(MAXIFS('単価履歴'!$H:$H,'単価履歴'!$E:$E,V$1,'単価履歴'!$F:$F,$A22,'単価履歴'!$O:$O,
MAXIFS('単価履歴'!$O:$O,'単価履歴'!$E:$E,V$1,'単価履歴'!$F:$F,$A22))=0,"",
MAXIFS('単価履歴'!$H:$H,'単価履歴'!$E:$E,V$1,'単価履歴'!$F:$F,$A22,'単価履歴'!$O:$O,
MAXIFS('単価履歴'!$O:$O,'単価履歴'!$E:$E,V$1,'単価履歴'!$F:$F,$A22)))</f>
        <v/>
      </c>
      <c r="W22" s="256" t="str">
        <f>IF(MAXIFS('単価履歴'!$H:$H,'単価履歴'!$E:$E,W$1,'単価履歴'!$F:$F,$A22,'単価履歴'!$O:$O,
MAXIFS('単価履歴'!$O:$O,'単価履歴'!$E:$E,W$1,'単価履歴'!$F:$F,$A22))=0,"",
MAXIFS('単価履歴'!$H:$H,'単価履歴'!$E:$E,W$1,'単価履歴'!$F:$F,$A22,'単価履歴'!$O:$O,
MAXIFS('単価履歴'!$O:$O,'単価履歴'!$E:$E,W$1,'単価履歴'!$F:$F,$A22)))</f>
        <v/>
      </c>
      <c r="X22" s="256" t="str">
        <f>IF(MAXIFS('単価履歴'!$H:$H,'単価履歴'!$E:$E,X$1,'単価履歴'!$F:$F,$A22,'単価履歴'!$O:$O,
MAXIFS('単価履歴'!$O:$O,'単価履歴'!$E:$E,X$1,'単価履歴'!$F:$F,$A22))=0,"",
MAXIFS('単価履歴'!$H:$H,'単価履歴'!$E:$E,X$1,'単価履歴'!$F:$F,$A22,'単価履歴'!$O:$O,
MAXIFS('単価履歴'!$O:$O,'単価履歴'!$E:$E,X$1,'単価履歴'!$F:$F,$A22)))</f>
        <v/>
      </c>
      <c r="Y22" s="254" t="str">
        <f>IF(MAXIFS('単価履歴'!$H:$H,'単価履歴'!$E:$E,Y$1,'単価履歴'!$F:$F,$A22,'単価履歴'!$O:$O,
MAXIFS('単価履歴'!$O:$O,'単価履歴'!$E:$E,Y$1,'単価履歴'!$F:$F,$A22))=0,"",
MAXIFS('単価履歴'!$H:$H,'単価履歴'!$E:$E,Y$1,'単価履歴'!$F:$F,$A22,'単価履歴'!$O:$O,
MAXIFS('単価履歴'!$O:$O,'単価履歴'!$E:$E,Y$1,'単価履歴'!$F:$F,$A22)))</f>
        <v/>
      </c>
      <c r="Z22" s="264" t="str">
        <f>IF(MAXIFS('単価履歴'!$H:$H,'単価履歴'!$E:$E,Z$1,'単価履歴'!$F:$F,$A22,'単価履歴'!$O:$O,
MAXIFS('単価履歴'!$O:$O,'単価履歴'!$E:$E,Z$1,'単価履歴'!$F:$F,$A22))=0,"",
MAXIFS('単価履歴'!$H:$H,'単価履歴'!$E:$E,Z$1,'単価履歴'!$F:$F,$A22,'単価履歴'!$O:$O,
MAXIFS('単価履歴'!$O:$O,'単価履歴'!$E:$E,Z$1,'単価履歴'!$F:$F,$A22)))</f>
        <v/>
      </c>
      <c r="AA22" s="256" t="str">
        <f>IF(MAXIFS('単価履歴'!$H:$H,'単価履歴'!$E:$E,AA$1,'単価履歴'!$F:$F,$A22,'単価履歴'!$O:$O,
MAXIFS('単価履歴'!$O:$O,'単価履歴'!$E:$E,AA$1,'単価履歴'!$F:$F,$A22))=0,"",
MAXIFS('単価履歴'!$H:$H,'単価履歴'!$E:$E,AA$1,'単価履歴'!$F:$F,$A22,'単価履歴'!$O:$O,
MAXIFS('単価履歴'!$O:$O,'単価履歴'!$E:$E,AA$1,'単価履歴'!$F:$F,$A22)))</f>
        <v/>
      </c>
      <c r="AB22" s="256" t="str">
        <f>IF(MAXIFS('単価履歴'!$H:$H,'単価履歴'!$E:$E,AB$1,'単価履歴'!$F:$F,$A22,'単価履歴'!$O:$O,
MAXIFS('単価履歴'!$O:$O,'単価履歴'!$E:$E,AB$1,'単価履歴'!$F:$F,$A22))=0,"",
MAXIFS('単価履歴'!$H:$H,'単価履歴'!$E:$E,AB$1,'単価履歴'!$F:$F,$A22,'単価履歴'!$O:$O,
MAXIFS('単価履歴'!$O:$O,'単価履歴'!$E:$E,AB$1,'単価履歴'!$F:$F,$A22)))</f>
        <v/>
      </c>
      <c r="AC22" s="254" t="str">
        <f>IF(MAXIFS('単価履歴'!$H:$H,'単価履歴'!$E:$E,AC$1,'単価履歴'!$F:$F,$A22,'単価履歴'!$O:$O,
MAXIFS('単価履歴'!$O:$O,'単価履歴'!$E:$E,AC$1,'単価履歴'!$F:$F,$A22))=0,"",
MAXIFS('単価履歴'!$H:$H,'単価履歴'!$E:$E,AC$1,'単価履歴'!$F:$F,$A22,'単価履歴'!$O:$O,
MAXIFS('単価履歴'!$O:$O,'単価履歴'!$E:$E,AC$1,'単価履歴'!$F:$F,$A22)))</f>
        <v/>
      </c>
      <c r="AD22" s="256" t="str">
        <f>IF(MAXIFS('単価履歴'!$H:$H,'単価履歴'!$E:$E,AD$1,'単価履歴'!$F:$F,$A22,'単価履歴'!$O:$O,
MAXIFS('単価履歴'!$O:$O,'単価履歴'!$E:$E,AD$1,'単価履歴'!$F:$F,$A22))=0,"",
MAXIFS('単価履歴'!$H:$H,'単価履歴'!$E:$E,AD$1,'単価履歴'!$F:$F,$A22,'単価履歴'!$O:$O,
MAXIFS('単価履歴'!$O:$O,'単価履歴'!$E:$E,AD$1,'単価履歴'!$F:$F,$A22)))</f>
        <v/>
      </c>
      <c r="AE22" s="256" t="str">
        <f>IF(MAXIFS('単価履歴'!$H:$H,'単価履歴'!$E:$E,AE$1,'単価履歴'!$F:$F,$A22,'単価履歴'!$O:$O,
MAXIFS('単価履歴'!$O:$O,'単価履歴'!$E:$E,AE$1,'単価履歴'!$F:$F,$A22))=0,"",
MAXIFS('単価履歴'!$H:$H,'単価履歴'!$E:$E,AE$1,'単価履歴'!$F:$F,$A22,'単価履歴'!$O:$O,
MAXIFS('単価履歴'!$O:$O,'単価履歴'!$E:$E,AE$1,'単価履歴'!$F:$F,$A22)))</f>
        <v/>
      </c>
      <c r="AF22" s="254" t="str">
        <f>IF(MAXIFS('単価履歴'!$H:$H,'単価履歴'!$E:$E,AF$1,'単価履歴'!$F:$F,$A22,'単価履歴'!$O:$O,
MAXIFS('単価履歴'!$O:$O,'単価履歴'!$E:$E,AF$1,'単価履歴'!$F:$F,$A22))=0,"",
MAXIFS('単価履歴'!$H:$H,'単価履歴'!$E:$E,AF$1,'単価履歴'!$F:$F,$A22,'単価履歴'!$O:$O,
MAXIFS('単価履歴'!$O:$O,'単価履歴'!$E:$E,AF$1,'単価履歴'!$F:$F,$A22)))</f>
        <v/>
      </c>
      <c r="AG22" s="256" t="str">
        <f>IF(MAXIFS('単価履歴'!$H:$H,'単価履歴'!$E:$E,AG$1,'単価履歴'!$F:$F,$A22,'単価履歴'!$O:$O,
MAXIFS('単価履歴'!$O:$O,'単価履歴'!$E:$E,AG$1,'単価履歴'!$F:$F,$A22))=0,"",
MAXIFS('単価履歴'!$H:$H,'単価履歴'!$E:$E,AG$1,'単価履歴'!$F:$F,$A22,'単価履歴'!$O:$O,
MAXIFS('単価履歴'!$O:$O,'単価履歴'!$E:$E,AG$1,'単価履歴'!$F:$F,$A22)))</f>
        <v/>
      </c>
      <c r="AH22" s="264" t="str">
        <f>IF(MAXIFS('単価履歴'!$H:$H,'単価履歴'!$E:$E,AH$1,'単価履歴'!$F:$F,$A22,'単価履歴'!$O:$O,
MAXIFS('単価履歴'!$O:$O,'単価履歴'!$E:$E,AH$1,'単価履歴'!$F:$F,$A22))=0,"",
MAXIFS('単価履歴'!$H:$H,'単価履歴'!$E:$E,AH$1,'単価履歴'!$F:$F,$A22,'単価履歴'!$O:$O,
MAXIFS('単価履歴'!$O:$O,'単価履歴'!$E:$E,AH$1,'単価履歴'!$F:$F,$A22)))</f>
        <v/>
      </c>
      <c r="AI22" s="256" t="str">
        <f>IF(MAXIFS('単価履歴'!$H:$H,'単価履歴'!$E:$E,AI$1,'単価履歴'!$F:$F,$A22,'単価履歴'!$O:$O,
MAXIFS('単価履歴'!$O:$O,'単価履歴'!$E:$E,AI$1,'単価履歴'!$F:$F,$A22))=0,"",
MAXIFS('単価履歴'!$H:$H,'単価履歴'!$E:$E,AI$1,'単価履歴'!$F:$F,$A22,'単価履歴'!$O:$O,
MAXIFS('単価履歴'!$O:$O,'単価履歴'!$E:$E,AI$1,'単価履歴'!$F:$F,$A22)))</f>
        <v/>
      </c>
      <c r="AJ22" s="254" t="str">
        <f>IF(MAXIFS('単価履歴'!$H:$H,'単価履歴'!$E:$E,AJ$1,'単価履歴'!$F:$F,$A22,'単価履歴'!$O:$O,
MAXIFS('単価履歴'!$O:$O,'単価履歴'!$E:$E,AJ$1,'単価履歴'!$F:$F,$A22))=0,"",
MAXIFS('単価履歴'!$H:$H,'単価履歴'!$E:$E,AJ$1,'単価履歴'!$F:$F,$A22,'単価履歴'!$O:$O,
MAXIFS('単価履歴'!$O:$O,'単価履歴'!$E:$E,AJ$1,'単価履歴'!$F:$F,$A22)))</f>
        <v/>
      </c>
      <c r="AK22" s="264" t="str">
        <f>IF(MAXIFS('単価履歴'!$H:$H,'単価履歴'!$E:$E,AK$1,'単価履歴'!$F:$F,$A22,'単価履歴'!$O:$O,
MAXIFS('単価履歴'!$O:$O,'単価履歴'!$E:$E,AK$1,'単価履歴'!$F:$F,$A22))=0,"",
MAXIFS('単価履歴'!$H:$H,'単価履歴'!$E:$E,AK$1,'単価履歴'!$F:$F,$A22,'単価履歴'!$O:$O,
MAXIFS('単価履歴'!$O:$O,'単価履歴'!$E:$E,AK$1,'単価履歴'!$F:$F,$A22)))</f>
        <v/>
      </c>
      <c r="AL22" s="256" t="str">
        <f>IF(MAXIFS('単価履歴'!$H:$H,'単価履歴'!$E:$E,AL$1,'単価履歴'!$F:$F,$A22,'単価履歴'!$O:$O,
MAXIFS('単価履歴'!$O:$O,'単価履歴'!$E:$E,AL$1,'単価履歴'!$F:$F,$A22))=0,"",
MAXIFS('単価履歴'!$H:$H,'単価履歴'!$E:$E,AL$1,'単価履歴'!$F:$F,$A22,'単価履歴'!$O:$O,
MAXIFS('単価履歴'!$O:$O,'単価履歴'!$E:$E,AL$1,'単価履歴'!$F:$F,$A22)))</f>
        <v/>
      </c>
      <c r="AM22" s="263" t="str">
        <f>IF(MAXIFS('単価履歴'!$H:$H,'単価履歴'!$E:$E,AM$1,'単価履歴'!$F:$F,$A22,'単価履歴'!$O:$O,
MAXIFS('単価履歴'!$O:$O,'単価履歴'!$E:$E,AM$1,'単価履歴'!$F:$F,$A22))=0,"",
MAXIFS('単価履歴'!$H:$H,'単価履歴'!$E:$E,AM$1,'単価履歴'!$F:$F,$A22,'単価履歴'!$O:$O,
MAXIFS('単価履歴'!$O:$O,'単価履歴'!$E:$E,AM$1,'単価履歴'!$F:$F,$A22)))</f>
        <v/>
      </c>
      <c r="AN22" s="263" t="str">
        <f>IF(MAXIFS('単価履歴'!$H:$H,'単価履歴'!$E:$E,AN$1,'単価履歴'!$F:$F,$A22,'単価履歴'!$O:$O,
MAXIFS('単価履歴'!$O:$O,'単価履歴'!$E:$E,AN$1,'単価履歴'!$F:$F,$A22))=0,"",
MAXIFS('単価履歴'!$H:$H,'単価履歴'!$E:$E,AN$1,'単価履歴'!$F:$F,$A22,'単価履歴'!$O:$O,
MAXIFS('単価履歴'!$O:$O,'単価履歴'!$E:$E,AN$1,'単価履歴'!$F:$F,$A22)))</f>
        <v/>
      </c>
      <c r="AO22" s="256" t="str">
        <f>IF(MAXIFS('単価履歴'!$H:$H,'単価履歴'!$E:$E,AO$1,'単価履歴'!$F:$F,$A22,'単価履歴'!$O:$O,
MAXIFS('単価履歴'!$O:$O,'単価履歴'!$E:$E,AO$1,'単価履歴'!$F:$F,$A22))=0,"",
MAXIFS('単価履歴'!$H:$H,'単価履歴'!$E:$E,AO$1,'単価履歴'!$F:$F,$A22,'単価履歴'!$O:$O,
MAXIFS('単価履歴'!$O:$O,'単価履歴'!$E:$E,AO$1,'単価履歴'!$F:$F,$A22)))</f>
        <v/>
      </c>
      <c r="AP22" s="254" t="str">
        <f>IF(MAXIFS('単価履歴'!$H:$H,'単価履歴'!$E:$E,AP$1,'単価履歴'!$F:$F,$A22,'単価履歴'!$O:$O,
MAXIFS('単価履歴'!$O:$O,'単価履歴'!$E:$E,AP$1,'単価履歴'!$F:$F,$A22))=0,"",
MAXIFS('単価履歴'!$H:$H,'単価履歴'!$E:$E,AP$1,'単価履歴'!$F:$F,$A22,'単価履歴'!$O:$O,
MAXIFS('単価履歴'!$O:$O,'単価履歴'!$E:$E,AP$1,'単価履歴'!$F:$F,$A22)))</f>
        <v/>
      </c>
      <c r="AQ22" s="254" t="str">
        <f>IF(MAXIFS('単価履歴'!$H:$H,'単価履歴'!$E:$E,AQ$1,'単価履歴'!$F:$F,$A22,'単価履歴'!$O:$O,
MAXIFS('単価履歴'!$O:$O,'単価履歴'!$E:$E,AQ$1,'単価履歴'!$F:$F,$A22))=0,"",
MAXIFS('単価履歴'!$H:$H,'単価履歴'!$E:$E,AQ$1,'単価履歴'!$F:$F,$A22,'単価履歴'!$O:$O,
MAXIFS('単価履歴'!$O:$O,'単価履歴'!$E:$E,AQ$1,'単価履歴'!$F:$F,$A22)))</f>
        <v/>
      </c>
      <c r="AR22" s="246">
        <f>IF(MAXIFS('単価履歴'!$H:$H,'単価履歴'!$E:$E,AR$1,'単価履歴'!$F:$F,$A22,'単価履歴'!$O:$O,
MAXIFS('単価履歴'!$O:$O,'単価履歴'!$E:$E,AR$1,'単価履歴'!$F:$F,$A22))=0,"",
MAXIFS('単価履歴'!$H:$H,'単価履歴'!$E:$E,AR$1,'単価履歴'!$F:$F,$A22,'単価履歴'!$O:$O,
MAXIFS('単価履歴'!$O:$O,'単価履歴'!$E:$E,AR$1,'単価履歴'!$F:$F,$A22)))</f>
        <v>56.2</v>
      </c>
      <c r="AS22" s="246" t="str">
        <f>IF(MAXIFS('単価履歴'!$H:$H,'単価履歴'!$E:$E,AS$1,'単価履歴'!$F:$F,$A22,'単価履歴'!$O:$O,
MAXIFS('単価履歴'!$O:$O,'単価履歴'!$E:$E,AS$1,'単価履歴'!$F:$F,$A22))=0,"",
MAXIFS('単価履歴'!$H:$H,'単価履歴'!$E:$E,AS$1,'単価履歴'!$F:$F,$A22,'単価履歴'!$O:$O,
MAXIFS('単価履歴'!$O:$O,'単価履歴'!$E:$E,AS$1,'単価履歴'!$F:$F,$A22)))</f>
        <v/>
      </c>
      <c r="AT22" s="254" t="str">
        <f>IF(MAXIFS('単価履歴'!$H:$H,'単価履歴'!$E:$E,AT$1,'単価履歴'!$F:$F,$A22,'単価履歴'!$O:$O,
MAXIFS('単価履歴'!$O:$O,'単価履歴'!$E:$E,AT$1,'単価履歴'!$F:$F,$A22))=0,"",
MAXIFS('単価履歴'!$H:$H,'単価履歴'!$E:$E,AT$1,'単価履歴'!$F:$F,$A22,'単価履歴'!$O:$O,
MAXIFS('単価履歴'!$O:$O,'単価履歴'!$E:$E,AT$1,'単価履歴'!$F:$F,$A22)))</f>
        <v/>
      </c>
      <c r="AU22" s="256" t="str">
        <f>IF(MAXIFS('単価履歴'!$H:$H,'単価履歴'!$E:$E,AU$1,'単価履歴'!$F:$F,$A22,'単価履歴'!$O:$O,
MAXIFS('単価履歴'!$O:$O,'単価履歴'!$E:$E,AU$1,'単価履歴'!$F:$F,$A22))=0,"",
MAXIFS('単価履歴'!$H:$H,'単価履歴'!$E:$E,AU$1,'単価履歴'!$F:$F,$A22,'単価履歴'!$O:$O,
MAXIFS('単価履歴'!$O:$O,'単価履歴'!$E:$E,AU$1,'単価履歴'!$F:$F,$A22)))</f>
        <v/>
      </c>
      <c r="AV22" s="254" t="str">
        <f>IF(MAXIFS('単価履歴'!$H:$H,'単価履歴'!$E:$E,AV$1,'単価履歴'!$F:$F,$A22,'単価履歴'!$O:$O,
MAXIFS('単価履歴'!$O:$O,'単価履歴'!$E:$E,AV$1,'単価履歴'!$F:$F,$A22))=0,"",
MAXIFS('単価履歴'!$H:$H,'単価履歴'!$E:$E,AV$1,'単価履歴'!$F:$F,$A22,'単価履歴'!$O:$O,
MAXIFS('単価履歴'!$O:$O,'単価履歴'!$E:$E,AV$1,'単価履歴'!$F:$F,$A22)))</f>
        <v/>
      </c>
      <c r="AW22" s="264" t="str">
        <f>IF(MAXIFS('単価履歴'!$H:$H,'単価履歴'!$E:$E,AW$1,'単価履歴'!$F:$F,$A22,'単価履歴'!$O:$O,
MAXIFS('単価履歴'!$O:$O,'単価履歴'!$E:$E,AW$1,'単価履歴'!$F:$F,$A22))=0,"",
MAXIFS('単価履歴'!$H:$H,'単価履歴'!$E:$E,AW$1,'単価履歴'!$F:$F,$A22,'単価履歴'!$O:$O,
MAXIFS('単価履歴'!$O:$O,'単価履歴'!$E:$E,AW$1,'単価履歴'!$F:$F,$A22)))</f>
        <v/>
      </c>
      <c r="AX22" s="254" t="str">
        <f>IF(MAXIFS('単価履歴'!$H:$H,'単価履歴'!$E:$E,AX$1,'単価履歴'!$F:$F,$A22,'単価履歴'!$O:$O,
MAXIFS('単価履歴'!$O:$O,'単価履歴'!$E:$E,AX$1,'単価履歴'!$F:$F,$A22))=0,"",
MAXIFS('単価履歴'!$H:$H,'単価履歴'!$E:$E,AX$1,'単価履歴'!$F:$F,$A22,'単価履歴'!$O:$O,
MAXIFS('単価履歴'!$O:$O,'単価履歴'!$E:$E,AX$1,'単価履歴'!$F:$F,$A22)))</f>
        <v/>
      </c>
      <c r="AY22" s="264" t="str">
        <f>IF(MAXIFS('単価履歴'!$H:$H,'単価履歴'!$E:$E,AY$1,'単価履歴'!$F:$F,$A22,'単価履歴'!$O:$O,
MAXIFS('単価履歴'!$O:$O,'単価履歴'!$E:$E,AY$1,'単価履歴'!$F:$F,$A22))=0,"",
MAXIFS('単価履歴'!$H:$H,'単価履歴'!$E:$E,AY$1,'単価履歴'!$F:$F,$A22,'単価履歴'!$O:$O,
MAXIFS('単価履歴'!$O:$O,'単価履歴'!$E:$E,AY$1,'単価履歴'!$F:$F,$A22)))</f>
        <v/>
      </c>
      <c r="AZ22" s="256" t="str">
        <f>IF(MAXIFS('単価履歴'!$H:$H,'単価履歴'!$E:$E,AZ$1,'単価履歴'!$F:$F,$A22,'単価履歴'!$O:$O,
MAXIFS('単価履歴'!$O:$O,'単価履歴'!$E:$E,AZ$1,'単価履歴'!$F:$F,$A22))=0,"",
MAXIFS('単価履歴'!$H:$H,'単価履歴'!$E:$E,AZ$1,'単価履歴'!$F:$F,$A22,'単価履歴'!$O:$O,
MAXIFS('単価履歴'!$O:$O,'単価履歴'!$E:$E,AZ$1,'単価履歴'!$F:$F,$A22)))</f>
        <v/>
      </c>
      <c r="BA22" s="264" t="str">
        <f>IF(MAXIFS('単価履歴'!$H:$H,'単価履歴'!$E:$E,BA$1,'単価履歴'!$F:$F,$A22,'単価履歴'!$O:$O,
MAXIFS('単価履歴'!$O:$O,'単価履歴'!$E:$E,BA$1,'単価履歴'!$F:$F,$A22))=0,"",
MAXIFS('単価履歴'!$H:$H,'単価履歴'!$E:$E,BA$1,'単価履歴'!$F:$F,$A22,'単価履歴'!$O:$O,
MAXIFS('単価履歴'!$O:$O,'単価履歴'!$E:$E,BA$1,'単価履歴'!$F:$F,$A22)))</f>
        <v/>
      </c>
      <c r="BB22" s="256" t="str">
        <f>IF(MAXIFS('単価履歴'!$H:$H,'単価履歴'!$E:$E,BB$1,'単価履歴'!$F:$F,$A22,'単価履歴'!$O:$O,
MAXIFS('単価履歴'!$O:$O,'単価履歴'!$E:$E,BB$1,'単価履歴'!$F:$F,$A22))=0,"",
MAXIFS('単価履歴'!$H:$H,'単価履歴'!$E:$E,BB$1,'単価履歴'!$F:$F,$A22,'単価履歴'!$O:$O,
MAXIFS('単価履歴'!$O:$O,'単価履歴'!$E:$E,BB$1,'単価履歴'!$F:$F,$A22)))</f>
        <v/>
      </c>
      <c r="BC22" s="256" t="str">
        <f>IF(MAXIFS('単価履歴'!$H:$H,'単価履歴'!$E:$E,BC$1,'単価履歴'!$F:$F,$A22,'単価履歴'!$O:$O,
MAXIFS('単価履歴'!$O:$O,'単価履歴'!$E:$E,BC$1,'単価履歴'!$F:$F,$A22))=0,"",
MAXIFS('単価履歴'!$H:$H,'単価履歴'!$E:$E,BC$1,'単価履歴'!$F:$F,$A22,'単価履歴'!$O:$O,
MAXIFS('単価履歴'!$O:$O,'単価履歴'!$E:$E,BC$1,'単価履歴'!$F:$F,$A22)))</f>
        <v/>
      </c>
      <c r="BD22" s="256" t="str">
        <f>IF(MAXIFS('単価履歴'!$H:$H,'単価履歴'!$E:$E,BD$1,'単価履歴'!$F:$F,$A22,'単価履歴'!$O:$O,
MAXIFS('単価履歴'!$O:$O,'単価履歴'!$E:$E,BD$1,'単価履歴'!$F:$F,$A22))=0,"",
MAXIFS('単価履歴'!$H:$H,'単価履歴'!$E:$E,BD$1,'単価履歴'!$F:$F,$A22,'単価履歴'!$O:$O,
MAXIFS('単価履歴'!$O:$O,'単価履歴'!$E:$E,BD$1,'単価履歴'!$F:$F,$A22)))</f>
        <v/>
      </c>
      <c r="BE22" s="256" t="str">
        <f>IF(MAXIFS('単価履歴'!$H:$H,'単価履歴'!$E:$E,BE$1,'単価履歴'!$F:$F,$A22,'単価履歴'!$O:$O,
MAXIFS('単価履歴'!$O:$O,'単価履歴'!$E:$E,BE$1,'単価履歴'!$F:$F,$A22))=0,"",
MAXIFS('単価履歴'!$H:$H,'単価履歴'!$E:$E,BE$1,'単価履歴'!$F:$F,$A22,'単価履歴'!$O:$O,
MAXIFS('単価履歴'!$O:$O,'単価履歴'!$E:$E,BE$1,'単価履歴'!$F:$F,$A22)))</f>
        <v/>
      </c>
      <c r="BF22" s="263" t="str">
        <f>IF(MAXIFS('単価履歴'!$H:$H,'単価履歴'!$E:$E,BF$1,'単価履歴'!$F:$F,$A22,'単価履歴'!$O:$O,
MAXIFS('単価履歴'!$O:$O,'単価履歴'!$E:$E,BF$1,'単価履歴'!$F:$F,$A22))=0,"",
MAXIFS('単価履歴'!$H:$H,'単価履歴'!$E:$E,BF$1,'単価履歴'!$F:$F,$A22,'単価履歴'!$O:$O,
MAXIFS('単価履歴'!$O:$O,'単価履歴'!$E:$E,BF$1,'単価履歴'!$F:$F,$A22)))</f>
        <v/>
      </c>
      <c r="BG22" s="256" t="str">
        <f>IF(MAXIFS('単価履歴'!$H:$H,'単価履歴'!$E:$E,BG$1,'単価履歴'!$F:$F,$A22,'単価履歴'!$O:$O,
MAXIFS('単価履歴'!$O:$O,'単価履歴'!$E:$E,BG$1,'単価履歴'!$F:$F,$A22))=0,"",
MAXIFS('単価履歴'!$H:$H,'単価履歴'!$E:$E,BG$1,'単価履歴'!$F:$F,$A22,'単価履歴'!$O:$O,
MAXIFS('単価履歴'!$O:$O,'単価履歴'!$E:$E,BG$1,'単価履歴'!$F:$F,$A22)))</f>
        <v/>
      </c>
      <c r="BH22" s="254" t="str">
        <f>IF(MAXIFS('単価履歴'!$H:$H,'単価履歴'!$E:$E,BH$1,'単価履歴'!$F:$F,$A22,'単価履歴'!$O:$O,
MAXIFS('単価履歴'!$O:$O,'単価履歴'!$E:$E,BH$1,'単価履歴'!$F:$F,$A22))=0,"",
MAXIFS('単価履歴'!$H:$H,'単価履歴'!$E:$E,BH$1,'単価履歴'!$F:$F,$A22,'単価履歴'!$O:$O,
MAXIFS('単価履歴'!$O:$O,'単価履歴'!$E:$E,BH$1,'単価履歴'!$F:$F,$A22)))</f>
        <v/>
      </c>
      <c r="BI22" s="256" t="str">
        <f>IF(MAXIFS('単価履歴'!$H:$H,'単価履歴'!$E:$E,BI$1,'単価履歴'!$F:$F,$A22,'単価履歴'!$O:$O,
MAXIFS('単価履歴'!$O:$O,'単価履歴'!$E:$E,BI$1,'単価履歴'!$F:$F,$A22))=0,"",
MAXIFS('単価履歴'!$H:$H,'単価履歴'!$E:$E,BI$1,'単価履歴'!$F:$F,$A22,'単価履歴'!$O:$O,
MAXIFS('単価履歴'!$O:$O,'単価履歴'!$E:$E,BI$1,'単価履歴'!$F:$F,$A22)))</f>
        <v/>
      </c>
      <c r="BJ22" s="263" t="str">
        <f>IF(MAXIFS('単価履歴'!$H:$H,'単価履歴'!$E:$E,BJ$1,'単価履歴'!$F:$F,$A22,'単価履歴'!$O:$O,
MAXIFS('単価履歴'!$O:$O,'単価履歴'!$E:$E,BJ$1,'単価履歴'!$F:$F,$A22))=0,"",
MAXIFS('単価履歴'!$H:$H,'単価履歴'!$E:$E,BJ$1,'単価履歴'!$F:$F,$A22,'単価履歴'!$O:$O,
MAXIFS('単価履歴'!$O:$O,'単価履歴'!$E:$E,BJ$1,'単価履歴'!$F:$F,$A22)))</f>
        <v/>
      </c>
      <c r="BK22" s="264" t="str">
        <f>IF(MAXIFS('単価履歴'!$H:$H,'単価履歴'!$E:$E,BK$1,'単価履歴'!$F:$F,$A22,'単価履歴'!$O:$O,
MAXIFS('単価履歴'!$O:$O,'単価履歴'!$E:$E,BK$1,'単価履歴'!$F:$F,$A22))=0,"",
MAXIFS('単価履歴'!$H:$H,'単価履歴'!$E:$E,BK$1,'単価履歴'!$F:$F,$A22,'単価履歴'!$O:$O,
MAXIFS('単価履歴'!$O:$O,'単価履歴'!$E:$E,BK$1,'単価履歴'!$F:$F,$A22)))</f>
        <v/>
      </c>
      <c r="BL22" s="256" t="str">
        <f>IF(MAXIFS('単価履歴'!$H:$H,'単価履歴'!$E:$E,BL$1,'単価履歴'!$F:$F,$A22,'単価履歴'!$O:$O,
MAXIFS('単価履歴'!$O:$O,'単価履歴'!$E:$E,BL$1,'単価履歴'!$F:$F,$A22))=0,"",
MAXIFS('単価履歴'!$H:$H,'単価履歴'!$E:$E,BL$1,'単価履歴'!$F:$F,$A22,'単価履歴'!$O:$O,
MAXIFS('単価履歴'!$O:$O,'単価履歴'!$E:$E,BL$1,'単価履歴'!$F:$F,$A22)))</f>
        <v/>
      </c>
      <c r="BM22" s="263" t="str">
        <f>IF(MAXIFS('単価履歴'!$H:$H,'単価履歴'!$E:$E,BM$1,'単価履歴'!$F:$F,$A22,'単価履歴'!$O:$O,
MAXIFS('単価履歴'!$O:$O,'単価履歴'!$E:$E,BM$1,'単価履歴'!$F:$F,$A22))=0,"",
MAXIFS('単価履歴'!$H:$H,'単価履歴'!$E:$E,BM$1,'単価履歴'!$F:$F,$A22,'単価履歴'!$O:$O,
MAXIFS('単価履歴'!$O:$O,'単価履歴'!$E:$E,BM$1,'単価履歴'!$F:$F,$A22)))</f>
        <v/>
      </c>
      <c r="BN22" s="256" t="str">
        <f>IF(MAXIFS('単価履歴'!$H:$H,'単価履歴'!$E:$E,BN$1,'単価履歴'!$F:$F,$A22,'単価履歴'!$O:$O,
MAXIFS('単価履歴'!$O:$O,'単価履歴'!$E:$E,BN$1,'単価履歴'!$F:$F,$A22))=0,"",
MAXIFS('単価履歴'!$H:$H,'単価履歴'!$E:$E,BN$1,'単価履歴'!$F:$F,$A22,'単価履歴'!$O:$O,
MAXIFS('単価履歴'!$O:$O,'単価履歴'!$E:$E,BN$1,'単価履歴'!$F:$F,$A22)))</f>
        <v/>
      </c>
      <c r="BO22" s="263" t="str">
        <f>IF(MAXIFS('単価履歴'!$H:$H,'単価履歴'!$E:$E,BO$1,'単価履歴'!$F:$F,$A22,'単価履歴'!$O:$O,
MAXIFS('単価履歴'!$O:$O,'単価履歴'!$E:$E,BO$1,'単価履歴'!$F:$F,$A22))=0,"",
MAXIFS('単価履歴'!$H:$H,'単価履歴'!$E:$E,BO$1,'単価履歴'!$F:$F,$A22,'単価履歴'!$O:$O,
MAXIFS('単価履歴'!$O:$O,'単価履歴'!$E:$E,BO$1,'単価履歴'!$F:$F,$A22)))</f>
        <v/>
      </c>
      <c r="BP22" s="256" t="str">
        <f>IF(MAXIFS('単価履歴'!$H:$H,'単価履歴'!$E:$E,BP$1,'単価履歴'!$F:$F,$A22,'単価履歴'!$O:$O,
MAXIFS('単価履歴'!$O:$O,'単価履歴'!$E:$E,BP$1,'単価履歴'!$F:$F,$A22))=0,"",
MAXIFS('単価履歴'!$H:$H,'単価履歴'!$E:$E,BP$1,'単価履歴'!$F:$F,$A22,'単価履歴'!$O:$O,
MAXIFS('単価履歴'!$O:$O,'単価履歴'!$E:$E,BP$1,'単価履歴'!$F:$F,$A22)))</f>
        <v/>
      </c>
      <c r="BQ22" s="256" t="str">
        <f>IF(MAXIFS('単価履歴'!$H:$H,'単価履歴'!$E:$E,BQ$1,'単価履歴'!$F:$F,$A22,'単価履歴'!$O:$O,
MAXIFS('単価履歴'!$O:$O,'単価履歴'!$E:$E,BQ$1,'単価履歴'!$F:$F,$A22))=0,"",
MAXIFS('単価履歴'!$H:$H,'単価履歴'!$E:$E,BQ$1,'単価履歴'!$F:$F,$A22,'単価履歴'!$O:$O,
MAXIFS('単価履歴'!$O:$O,'単価履歴'!$E:$E,BQ$1,'単価履歴'!$F:$F,$A22)))</f>
        <v/>
      </c>
      <c r="BR22" s="264" t="str">
        <f>IF(MAXIFS('単価履歴'!$H:$H,'単価履歴'!$E:$E,BR$1,'単価履歴'!$F:$F,$A22,'単価履歴'!$O:$O,
MAXIFS('単価履歴'!$O:$O,'単価履歴'!$E:$E,BR$1,'単価履歴'!$F:$F,$A22))=0,"",
MAXIFS('単価履歴'!$H:$H,'単価履歴'!$E:$E,BR$1,'単価履歴'!$F:$F,$A22,'単価履歴'!$O:$O,
MAXIFS('単価履歴'!$O:$O,'単価履歴'!$E:$E,BR$1,'単価履歴'!$F:$F,$A22)))</f>
        <v/>
      </c>
      <c r="BS22" s="264" t="str">
        <f>IF(MAXIFS('単価履歴'!$H:$H,'単価履歴'!$E:$E,BS$1,'単価履歴'!$F:$F,$A22,'単価履歴'!$O:$O,
MAXIFS('単価履歴'!$O:$O,'単価履歴'!$E:$E,BS$1,'単価履歴'!$F:$F,$A22))=0,"",
MAXIFS('単価履歴'!$H:$H,'単価履歴'!$E:$E,BS$1,'単価履歴'!$F:$F,$A22,'単価履歴'!$O:$O,
MAXIFS('単価履歴'!$O:$O,'単価履歴'!$E:$E,BS$1,'単価履歴'!$F:$F,$A22)))</f>
        <v/>
      </c>
      <c r="BT22" s="264" t="str">
        <f>IF(MAXIFS('単価履歴'!$H:$H,'単価履歴'!$E:$E,BT$1,'単価履歴'!$F:$F,$A22,'単価履歴'!$O:$O,
MAXIFS('単価履歴'!$O:$O,'単価履歴'!$E:$E,BT$1,'単価履歴'!$F:$F,$A22))=0,"",
MAXIFS('単価履歴'!$H:$H,'単価履歴'!$E:$E,BT$1,'単価履歴'!$F:$F,$A22,'単価履歴'!$O:$O,
MAXIFS('単価履歴'!$O:$O,'単価履歴'!$E:$E,BT$1,'単価履歴'!$F:$F,$A22)))</f>
        <v/>
      </c>
      <c r="BU22" s="264" t="str">
        <f>IF(MAXIFS('単価履歴'!$H:$H,'単価履歴'!$E:$E,BU$1,'単価履歴'!$F:$F,$A22,'単価履歴'!$O:$O,
MAXIFS('単価履歴'!$O:$O,'単価履歴'!$E:$E,BU$1,'単価履歴'!$F:$F,$A22))=0,"",
MAXIFS('単価履歴'!$H:$H,'単価履歴'!$E:$E,BU$1,'単価履歴'!$F:$F,$A22,'単価履歴'!$O:$O,
MAXIFS('単価履歴'!$O:$O,'単価履歴'!$E:$E,BU$1,'単価履歴'!$F:$F,$A22)))</f>
        <v/>
      </c>
      <c r="BV22" s="264" t="str">
        <f>IF(MAXIFS('単価履歴'!$H:$H,'単価履歴'!$E:$E,BV$1,'単価履歴'!$F:$F,$A22,'単価履歴'!$O:$O,
MAXIFS('単価履歴'!$O:$O,'単価履歴'!$E:$E,BV$1,'単価履歴'!$F:$F,$A22))=0,"",
MAXIFS('単価履歴'!$H:$H,'単価履歴'!$E:$E,BV$1,'単価履歴'!$F:$F,$A22,'単価履歴'!$O:$O,
MAXIFS('単価履歴'!$O:$O,'単価履歴'!$E:$E,BV$1,'単価履歴'!$F:$F,$A22)))</f>
        <v/>
      </c>
      <c r="BW22" s="263" t="str">
        <f>IF(MAXIFS('単価履歴'!$H:$H,'単価履歴'!$E:$E,BW$1,'単価履歴'!$F:$F,$A22,'単価履歴'!$O:$O,
MAXIFS('単価履歴'!$O:$O,'単価履歴'!$E:$E,BW$1,'単価履歴'!$F:$F,$A22))=0,"",
MAXIFS('単価履歴'!$H:$H,'単価履歴'!$E:$E,BW$1,'単価履歴'!$F:$F,$A22,'単価履歴'!$O:$O,
MAXIFS('単価履歴'!$O:$O,'単価履歴'!$E:$E,BW$1,'単価履歴'!$F:$F,$A22)))</f>
        <v/>
      </c>
      <c r="BX22" s="256" t="str">
        <f>IF(MAXIFS('単価履歴'!$H:$H,'単価履歴'!$E:$E,BX$1,'単価履歴'!$F:$F,$A22,'単価履歴'!$O:$O,
MAXIFS('単価履歴'!$O:$O,'単価履歴'!$E:$E,BX$1,'単価履歴'!$F:$F,$A22))=0,"",
MAXIFS('単価履歴'!$H:$H,'単価履歴'!$E:$E,BX$1,'単価履歴'!$F:$F,$A22,'単価履歴'!$O:$O,
MAXIFS('単価履歴'!$O:$O,'単価履歴'!$E:$E,BX$1,'単価履歴'!$F:$F,$A22)))</f>
        <v/>
      </c>
      <c r="BY22" s="264" t="str">
        <f>IF(MAXIFS('単価履歴'!$H:$H,'単価履歴'!$E:$E,BY$1,'単価履歴'!$F:$F,$A22,'単価履歴'!$O:$O,
MAXIFS('単価履歴'!$O:$O,'単価履歴'!$E:$E,BY$1,'単価履歴'!$F:$F,$A22))=0,"",
MAXIFS('単価履歴'!$H:$H,'単価履歴'!$E:$E,BY$1,'単価履歴'!$F:$F,$A22,'単価履歴'!$O:$O,
MAXIFS('単価履歴'!$O:$O,'単価履歴'!$E:$E,BY$1,'単価履歴'!$F:$F,$A22)))</f>
        <v/>
      </c>
      <c r="BZ22" s="256"/>
      <c r="CA22" s="256"/>
      <c r="CB22" s="256"/>
      <c r="CC22" s="256"/>
      <c r="CD22" s="256"/>
      <c r="CE22" s="256"/>
      <c r="CF22" s="256"/>
      <c r="CG22" s="256"/>
    </row>
    <row r="23">
      <c r="A23" s="267" t="s">
        <v>575</v>
      </c>
      <c r="B23" s="246"/>
      <c r="C23" s="251"/>
      <c r="D23" s="249"/>
      <c r="E23" s="249"/>
      <c r="F23" s="249"/>
      <c r="G23" s="257">
        <f>IF(MAXIFS('単価履歴'!$H:$H,'単価履歴'!$E:$E,G$1,'単価履歴'!$F:$F,$A23,'単価履歴'!$O:$O,
MAXIFS('単価履歴'!$O:$O,'単価履歴'!$E:$E,G$1,'単価履歴'!$F:$F,$A23))=0,"",
MAXIFS('単価履歴'!$H:$H,'単価履歴'!$E:$E,G$1,'単価履歴'!$F:$F,$A23,'単価履歴'!$O:$O,
MAXIFS('単価履歴'!$O:$O,'単価履歴'!$E:$E,G$1,'単価履歴'!$F:$F,$A23)))</f>
        <v>44.2</v>
      </c>
      <c r="H23" s="246">
        <f>IF(MAXIFS('単価履歴'!$H:$H,'単価履歴'!$E:$E,H$1,'単価履歴'!$F:$F,$A23,'単価履歴'!$O:$O,
MAXIFS('単価履歴'!$O:$O,'単価履歴'!$E:$E,H$1,'単価履歴'!$F:$F,$A23))=0,"",
MAXIFS('単価履歴'!$H:$H,'単価履歴'!$E:$E,H$1,'単価履歴'!$F:$F,$A23,'単価履歴'!$O:$O,
MAXIFS('単価履歴'!$O:$O,'単価履歴'!$E:$E,H$1,'単価履歴'!$F:$F,$A23)))</f>
        <v>44.3</v>
      </c>
      <c r="I23" s="249"/>
      <c r="J23" s="248"/>
      <c r="K23" s="250">
        <f>IF(MAXIFS('単価履歴'!$H:$H,'単価履歴'!$E:$E,K$1,'単価履歴'!$F:$F,$A23,'単価履歴'!$O:$O,
MAXIFS('単価履歴'!$O:$O,'単価履歴'!$E:$E,K$1,'単価履歴'!$F:$F,$A23))=0,"",
MAXIFS('単価履歴'!$H:$H,'単価履歴'!$E:$E,K$1,'単価履歴'!$F:$F,$A23,'単価履歴'!$O:$O,
MAXIFS('単価履歴'!$O:$O,'単価履歴'!$E:$E,K$1,'単価履歴'!$F:$F,$A23)))</f>
        <v>37</v>
      </c>
      <c r="L23" s="250">
        <f>IF(MAXIFS('単価履歴'!$H:$H,'単価履歴'!$E:$E,L$1,'単価履歴'!$F:$F,$A23,'単価履歴'!$O:$O,
MAXIFS('単価履歴'!$O:$O,'単価履歴'!$E:$E,L$1,'単価履歴'!$F:$F,$A23))=0,"",
MAXIFS('単価履歴'!$H:$H,'単価履歴'!$E:$E,L$1,'単価履歴'!$F:$F,$A23,'単価履歴'!$O:$O,
MAXIFS('単価履歴'!$O:$O,'単価履歴'!$E:$E,L$1,'単価履歴'!$F:$F,$A23)))</f>
        <v>37.2</v>
      </c>
      <c r="M23" s="273">
        <f>IF(MAXIFS('単価履歴'!$H:$H,'単価履歴'!$E:$E,M$1,'単価履歴'!$F:$F,$A23,'単価履歴'!$O:$O,
MAXIFS('単価履歴'!$O:$O,'単価履歴'!$E:$E,M$1,'単価履歴'!$F:$F,$A23))=0,"",
MAXIFS('単価履歴'!$H:$H,'単価履歴'!$E:$E,M$1,'単価履歴'!$F:$F,$A23,'単価履歴'!$O:$O,
MAXIFS('単価履歴'!$O:$O,'単価履歴'!$E:$E,M$1,'単価履歴'!$F:$F,$A23)))</f>
        <v>47.2</v>
      </c>
      <c r="N23" s="275"/>
      <c r="O23" s="250" t="str">
        <f>IF(MAXIFS('単価履歴'!$H:$H,'単価履歴'!$E:$E,O$1,'単価履歴'!$F:$F,$A23,'単価履歴'!$O:$O,
MAXIFS('単価履歴'!$O:$O,'単価履歴'!$E:$E,O$1,'単価履歴'!$F:$F,$A23))=0,"",
MAXIFS('単価履歴'!$H:$H,'単価履歴'!$E:$E,O$1,'単価履歴'!$F:$F,$A23,'単価履歴'!$O:$O,
MAXIFS('単価履歴'!$O:$O,'単価履歴'!$E:$E,O$1,'単価履歴'!$F:$F,$A23)))</f>
        <v/>
      </c>
      <c r="P23" s="251" t="str">
        <f>IF(MAXIFS('単価履歴'!$H:$H,'単価履歴'!$E:$E,P$1,'単価履歴'!$F:$F,$A23,'単価履歴'!$O:$O,
MAXIFS('単価履歴'!$O:$O,'単価履歴'!$E:$E,P$1,'単価履歴'!$F:$F,$A23))=0,"",
MAXIFS('単価履歴'!$H:$H,'単価履歴'!$E:$E,P$1,'単価履歴'!$F:$F,$A23,'単価履歴'!$O:$O,
MAXIFS('単価履歴'!$O:$O,'単価履歴'!$E:$E,P$1,'単価履歴'!$F:$F,$A23)))</f>
        <v/>
      </c>
      <c r="Q23" s="249" t="str">
        <f>IF(MAXIFS('単価履歴'!$H:$H,'単価履歴'!$E:$E,Q$1,'単価履歴'!$F:$F,$A23,'単価履歴'!$O:$O,
MAXIFS('単価履歴'!$O:$O,'単価履歴'!$E:$E,Q$1,'単価履歴'!$F:$F,$A23))=0,"",
MAXIFS('単価履歴'!$H:$H,'単価履歴'!$E:$E,Q$1,'単価履歴'!$F:$F,$A23,'単価履歴'!$O:$O,
MAXIFS('単価履歴'!$O:$O,'単価履歴'!$E:$E,Q$1,'単価履歴'!$F:$F,$A23)))</f>
        <v/>
      </c>
      <c r="R23" s="249" t="str">
        <f>IF(MAXIFS('単価履歴'!$H:$H,'単価履歴'!$E:$E,R$1,'単価履歴'!$F:$F,$A23,'単価履歴'!$O:$O,
MAXIFS('単価履歴'!$O:$O,'単価履歴'!$E:$E,R$1,'単価履歴'!$F:$F,$A23))=0,"",
MAXIFS('単価履歴'!$H:$H,'単価履歴'!$E:$E,R$1,'単価履歴'!$F:$F,$A23,'単価履歴'!$O:$O,
MAXIFS('単価履歴'!$O:$O,'単価履歴'!$E:$E,R$1,'単価履歴'!$F:$F,$A23)))</f>
        <v/>
      </c>
      <c r="S23" s="252" t="str">
        <f>IF(MAXIFS('単価履歴'!$H:$H,'単価履歴'!$E:$E,S$1,'単価履歴'!$F:$F,$A23,'単価履歴'!$O:$O,
MAXIFS('単価履歴'!$O:$O,'単価履歴'!$E:$E,S$1,'単価履歴'!$F:$F,$A23))=0,"",
MAXIFS('単価履歴'!$H:$H,'単価履歴'!$E:$E,S$1,'単価履歴'!$F:$F,$A23,'単価履歴'!$O:$O,
MAXIFS('単価履歴'!$O:$O,'単価履歴'!$E:$E,S$1,'単価履歴'!$F:$F,$A23)))</f>
        <v/>
      </c>
      <c r="T23" s="248" t="str">
        <f>IF(MAXIFS('単価履歴'!$H:$H,'単価履歴'!$E:$E,T$1,'単価履歴'!$F:$F,$A23,'単価履歴'!$O:$O,
MAXIFS('単価履歴'!$O:$O,'単価履歴'!$E:$E,T$1,'単価履歴'!$F:$F,$A23))=0,"",
MAXIFS('単価履歴'!$H:$H,'単価履歴'!$E:$E,T$1,'単価履歴'!$F:$F,$A23,'単価履歴'!$O:$O,
MAXIFS('単価履歴'!$O:$O,'単価履歴'!$E:$E,T$1,'単価履歴'!$F:$F,$A23)))</f>
        <v/>
      </c>
      <c r="U23" s="252" t="str">
        <f>IF(MAXIFS('単価履歴'!$H:$H,'単価履歴'!$E:$E,U$1,'単価履歴'!$F:$F,$A23,'単価履歴'!$O:$O,
MAXIFS('単価履歴'!$O:$O,'単価履歴'!$E:$E,U$1,'単価履歴'!$F:$F,$A23))=0,"",
MAXIFS('単価履歴'!$H:$H,'単価履歴'!$E:$E,U$1,'単価履歴'!$F:$F,$A23,'単価履歴'!$O:$O,
MAXIFS('単価履歴'!$O:$O,'単価履歴'!$E:$E,U$1,'単価履歴'!$F:$F,$A23)))</f>
        <v/>
      </c>
      <c r="V23" s="251" t="str">
        <f>IF(MAXIFS('単価履歴'!$H:$H,'単価履歴'!$E:$E,V$1,'単価履歴'!$F:$F,$A23,'単価履歴'!$O:$O,
MAXIFS('単価履歴'!$O:$O,'単価履歴'!$E:$E,V$1,'単価履歴'!$F:$F,$A23))=0,"",
MAXIFS('単価履歴'!$H:$H,'単価履歴'!$E:$E,V$1,'単価履歴'!$F:$F,$A23,'単価履歴'!$O:$O,
MAXIFS('単価履歴'!$O:$O,'単価履歴'!$E:$E,V$1,'単価履歴'!$F:$F,$A23)))</f>
        <v/>
      </c>
      <c r="W23" s="249" t="str">
        <f>IF(MAXIFS('単価履歴'!$H:$H,'単価履歴'!$E:$E,W$1,'単価履歴'!$F:$F,$A23,'単価履歴'!$O:$O,
MAXIFS('単価履歴'!$O:$O,'単価履歴'!$E:$E,W$1,'単価履歴'!$F:$F,$A23))=0,"",
MAXIFS('単価履歴'!$H:$H,'単価履歴'!$E:$E,W$1,'単価履歴'!$F:$F,$A23,'単価履歴'!$O:$O,
MAXIFS('単価履歴'!$O:$O,'単価履歴'!$E:$E,W$1,'単価履歴'!$F:$F,$A23)))</f>
        <v/>
      </c>
      <c r="X23" s="249" t="str">
        <f>IF(MAXIFS('単価履歴'!$H:$H,'単価履歴'!$E:$E,X$1,'単価履歴'!$F:$F,$A23,'単価履歴'!$O:$O,
MAXIFS('単価履歴'!$O:$O,'単価履歴'!$E:$E,X$1,'単価履歴'!$F:$F,$A23))=0,"",
MAXIFS('単価履歴'!$H:$H,'単価履歴'!$E:$E,X$1,'単価履歴'!$F:$F,$A23,'単価履歴'!$O:$O,
MAXIFS('単価履歴'!$O:$O,'単価履歴'!$E:$E,X$1,'単価履歴'!$F:$F,$A23)))</f>
        <v/>
      </c>
      <c r="Y23" s="251" t="str">
        <f>IF(MAXIFS('単価履歴'!$H:$H,'単価履歴'!$E:$E,Y$1,'単価履歴'!$F:$F,$A23,'単価履歴'!$O:$O,
MAXIFS('単価履歴'!$O:$O,'単価履歴'!$E:$E,Y$1,'単価履歴'!$F:$F,$A23))=0,"",
MAXIFS('単価履歴'!$H:$H,'単価履歴'!$E:$E,Y$1,'単価履歴'!$F:$F,$A23,'単価履歴'!$O:$O,
MAXIFS('単価履歴'!$O:$O,'単価履歴'!$E:$E,Y$1,'単価履歴'!$F:$F,$A23)))</f>
        <v/>
      </c>
      <c r="Z23" s="252" t="str">
        <f>IF(MAXIFS('単価履歴'!$H:$H,'単価履歴'!$E:$E,Z$1,'単価履歴'!$F:$F,$A23,'単価履歴'!$O:$O,
MAXIFS('単価履歴'!$O:$O,'単価履歴'!$E:$E,Z$1,'単価履歴'!$F:$F,$A23))=0,"",
MAXIFS('単価履歴'!$H:$H,'単価履歴'!$E:$E,Z$1,'単価履歴'!$F:$F,$A23,'単価履歴'!$O:$O,
MAXIFS('単価履歴'!$O:$O,'単価履歴'!$E:$E,Z$1,'単価履歴'!$F:$F,$A23)))</f>
        <v/>
      </c>
      <c r="AA23" s="249" t="str">
        <f>IF(MAXIFS('単価履歴'!$H:$H,'単価履歴'!$E:$E,AA$1,'単価履歴'!$F:$F,$A23,'単価履歴'!$O:$O,
MAXIFS('単価履歴'!$O:$O,'単価履歴'!$E:$E,AA$1,'単価履歴'!$F:$F,$A23))=0,"",
MAXIFS('単価履歴'!$H:$H,'単価履歴'!$E:$E,AA$1,'単価履歴'!$F:$F,$A23,'単価履歴'!$O:$O,
MAXIFS('単価履歴'!$O:$O,'単価履歴'!$E:$E,AA$1,'単価履歴'!$F:$F,$A23)))</f>
        <v/>
      </c>
      <c r="AB23" s="249" t="str">
        <f>IF(MAXIFS('単価履歴'!$H:$H,'単価履歴'!$E:$E,AB$1,'単価履歴'!$F:$F,$A23,'単価履歴'!$O:$O,
MAXIFS('単価履歴'!$O:$O,'単価履歴'!$E:$E,AB$1,'単価履歴'!$F:$F,$A23))=0,"",
MAXIFS('単価履歴'!$H:$H,'単価履歴'!$E:$E,AB$1,'単価履歴'!$F:$F,$A23,'単価履歴'!$O:$O,
MAXIFS('単価履歴'!$O:$O,'単価履歴'!$E:$E,AB$1,'単価履歴'!$F:$F,$A23)))</f>
        <v/>
      </c>
      <c r="AC23" s="251" t="str">
        <f>IF(MAXIFS('単価履歴'!$H:$H,'単価履歴'!$E:$E,AC$1,'単価履歴'!$F:$F,$A23,'単価履歴'!$O:$O,
MAXIFS('単価履歴'!$O:$O,'単価履歴'!$E:$E,AC$1,'単価履歴'!$F:$F,$A23))=0,"",
MAXIFS('単価履歴'!$H:$H,'単価履歴'!$E:$E,AC$1,'単価履歴'!$F:$F,$A23,'単価履歴'!$O:$O,
MAXIFS('単価履歴'!$O:$O,'単価履歴'!$E:$E,AC$1,'単価履歴'!$F:$F,$A23)))</f>
        <v/>
      </c>
      <c r="AD23" s="249" t="str">
        <f>IF(MAXIFS('単価履歴'!$H:$H,'単価履歴'!$E:$E,AD$1,'単価履歴'!$F:$F,$A23,'単価履歴'!$O:$O,
MAXIFS('単価履歴'!$O:$O,'単価履歴'!$E:$E,AD$1,'単価履歴'!$F:$F,$A23))=0,"",
MAXIFS('単価履歴'!$H:$H,'単価履歴'!$E:$E,AD$1,'単価履歴'!$F:$F,$A23,'単価履歴'!$O:$O,
MAXIFS('単価履歴'!$O:$O,'単価履歴'!$E:$E,AD$1,'単価履歴'!$F:$F,$A23)))</f>
        <v/>
      </c>
      <c r="AE23" s="249" t="str">
        <f>IF(MAXIFS('単価履歴'!$H:$H,'単価履歴'!$E:$E,AE$1,'単価履歴'!$F:$F,$A23,'単価履歴'!$O:$O,
MAXIFS('単価履歴'!$O:$O,'単価履歴'!$E:$E,AE$1,'単価履歴'!$F:$F,$A23))=0,"",
MAXIFS('単価履歴'!$H:$H,'単価履歴'!$E:$E,AE$1,'単価履歴'!$F:$F,$A23,'単価履歴'!$O:$O,
MAXIFS('単価履歴'!$O:$O,'単価履歴'!$E:$E,AE$1,'単価履歴'!$F:$F,$A23)))</f>
        <v/>
      </c>
      <c r="AF23" s="251" t="str">
        <f>IF(MAXIFS('単価履歴'!$H:$H,'単価履歴'!$E:$E,AF$1,'単価履歴'!$F:$F,$A23,'単価履歴'!$O:$O,
MAXIFS('単価履歴'!$O:$O,'単価履歴'!$E:$E,AF$1,'単価履歴'!$F:$F,$A23))=0,"",
MAXIFS('単価履歴'!$H:$H,'単価履歴'!$E:$E,AF$1,'単価履歴'!$F:$F,$A23,'単価履歴'!$O:$O,
MAXIFS('単価履歴'!$O:$O,'単価履歴'!$E:$E,AF$1,'単価履歴'!$F:$F,$A23)))</f>
        <v/>
      </c>
      <c r="AG23" s="249" t="str">
        <f>IF(MAXIFS('単価履歴'!$H:$H,'単価履歴'!$E:$E,AG$1,'単価履歴'!$F:$F,$A23,'単価履歴'!$O:$O,
MAXIFS('単価履歴'!$O:$O,'単価履歴'!$E:$E,AG$1,'単価履歴'!$F:$F,$A23))=0,"",
MAXIFS('単価履歴'!$H:$H,'単価履歴'!$E:$E,AG$1,'単価履歴'!$F:$F,$A23,'単価履歴'!$O:$O,
MAXIFS('単価履歴'!$O:$O,'単価履歴'!$E:$E,AG$1,'単価履歴'!$F:$F,$A23)))</f>
        <v/>
      </c>
      <c r="AH23" s="252" t="str">
        <f>IF(MAXIFS('単価履歴'!$H:$H,'単価履歴'!$E:$E,AH$1,'単価履歴'!$F:$F,$A23,'単価履歴'!$O:$O,
MAXIFS('単価履歴'!$O:$O,'単価履歴'!$E:$E,AH$1,'単価履歴'!$F:$F,$A23))=0,"",
MAXIFS('単価履歴'!$H:$H,'単価履歴'!$E:$E,AH$1,'単価履歴'!$F:$F,$A23,'単価履歴'!$O:$O,
MAXIFS('単価履歴'!$O:$O,'単価履歴'!$E:$E,AH$1,'単価履歴'!$F:$F,$A23)))</f>
        <v/>
      </c>
      <c r="AI23" s="249" t="str">
        <f>IF(MAXIFS('単価履歴'!$H:$H,'単価履歴'!$E:$E,AI$1,'単価履歴'!$F:$F,$A23,'単価履歴'!$O:$O,
MAXIFS('単価履歴'!$O:$O,'単価履歴'!$E:$E,AI$1,'単価履歴'!$F:$F,$A23))=0,"",
MAXIFS('単価履歴'!$H:$H,'単価履歴'!$E:$E,AI$1,'単価履歴'!$F:$F,$A23,'単価履歴'!$O:$O,
MAXIFS('単価履歴'!$O:$O,'単価履歴'!$E:$E,AI$1,'単価履歴'!$F:$F,$A23)))</f>
        <v/>
      </c>
      <c r="AJ23" s="281">
        <f>IF(MAXIFS('単価履歴'!$H:$H,'単価履歴'!$E:$E,AJ$1,'単価履歴'!$F:$F,$A23,'単価履歴'!$O:$O,
MAXIFS('単価履歴'!$O:$O,'単価履歴'!$E:$E,AJ$1,'単価履歴'!$F:$F,$A23))=0,"",
MAXIFS('単価履歴'!$H:$H,'単価履歴'!$E:$E,AJ$1,'単価履歴'!$F:$F,$A23,'単価履歴'!$O:$O,
MAXIFS('単価履歴'!$O:$O,'単価履歴'!$E:$E,AJ$1,'単価履歴'!$F:$F,$A23)))</f>
        <v>44</v>
      </c>
      <c r="AK23" s="252" t="str">
        <f>IF(MAXIFS('単価履歴'!$H:$H,'単価履歴'!$E:$E,AK$1,'単価履歴'!$F:$F,$A23,'単価履歴'!$O:$O,
MAXIFS('単価履歴'!$O:$O,'単価履歴'!$E:$E,AK$1,'単価履歴'!$F:$F,$A23))=0,"",
MAXIFS('単価履歴'!$H:$H,'単価履歴'!$E:$E,AK$1,'単価履歴'!$F:$F,$A23,'単価履歴'!$O:$O,
MAXIFS('単価履歴'!$O:$O,'単価履歴'!$E:$E,AK$1,'単価履歴'!$F:$F,$A23)))</f>
        <v/>
      </c>
      <c r="AL23" s="249" t="str">
        <f>IF(MAXIFS('単価履歴'!$H:$H,'単価履歴'!$E:$E,AL$1,'単価履歴'!$F:$F,$A23,'単価履歴'!$O:$O,
MAXIFS('単価履歴'!$O:$O,'単価履歴'!$E:$E,AL$1,'単価履歴'!$F:$F,$A23))=0,"",
MAXIFS('単価履歴'!$H:$H,'単価履歴'!$E:$E,AL$1,'単価履歴'!$F:$F,$A23,'単価履歴'!$O:$O,
MAXIFS('単価履歴'!$O:$O,'単価履歴'!$E:$E,AL$1,'単価履歴'!$F:$F,$A23)))</f>
        <v/>
      </c>
      <c r="AM23" s="280">
        <f>IF(MAXIFS('単価履歴'!$H:$H,'単価履歴'!$E:$E,AM$1,'単価履歴'!$F:$F,$A23,'単価履歴'!$O:$O,
MAXIFS('単価履歴'!$O:$O,'単価履歴'!$E:$E,AM$1,'単価履歴'!$F:$F,$A23))=0,"",
MAXIFS('単価履歴'!$H:$H,'単価履歴'!$E:$E,AM$1,'単価履歴'!$F:$F,$A23,'単価履歴'!$O:$O,
MAXIFS('単価履歴'!$O:$O,'単価履歴'!$E:$E,AM$1,'単価履歴'!$F:$F,$A23)))</f>
        <v>48.5</v>
      </c>
      <c r="AN23" s="280" t="str">
        <f>IF(MAXIFS('単価履歴'!$H:$H,'単価履歴'!$E:$E,AN$1,'単価履歴'!$F:$F,$A23,'単価履歴'!$O:$O,
MAXIFS('単価履歴'!$O:$O,'単価履歴'!$E:$E,AN$1,'単価履歴'!$F:$F,$A23))=0,"",
MAXIFS('単価履歴'!$H:$H,'単価履歴'!$E:$E,AN$1,'単価履歴'!$F:$F,$A23,'単価履歴'!$O:$O,
MAXIFS('単価履歴'!$O:$O,'単価履歴'!$E:$E,AN$1,'単価履歴'!$F:$F,$A23)))</f>
        <v/>
      </c>
      <c r="AO23" s="249" t="str">
        <f>IF(MAXIFS('単価履歴'!$H:$H,'単価履歴'!$E:$E,AO$1,'単価履歴'!$F:$F,$A23,'単価履歴'!$O:$O,
MAXIFS('単価履歴'!$O:$O,'単価履歴'!$E:$E,AO$1,'単価履歴'!$F:$F,$A23))=0,"",
MAXIFS('単価履歴'!$H:$H,'単価履歴'!$E:$E,AO$1,'単価履歴'!$F:$F,$A23,'単価履歴'!$O:$O,
MAXIFS('単価履歴'!$O:$O,'単価履歴'!$E:$E,AO$1,'単価履歴'!$F:$F,$A23)))</f>
        <v/>
      </c>
      <c r="AP23" s="251" t="str">
        <f>IF(MAXIFS('単価履歴'!$H:$H,'単価履歴'!$E:$E,AP$1,'単価履歴'!$F:$F,$A23,'単価履歴'!$O:$O,
MAXIFS('単価履歴'!$O:$O,'単価履歴'!$E:$E,AP$1,'単価履歴'!$F:$F,$A23))=0,"",
MAXIFS('単価履歴'!$H:$H,'単価履歴'!$E:$E,AP$1,'単価履歴'!$F:$F,$A23,'単価履歴'!$O:$O,
MAXIFS('単価履歴'!$O:$O,'単価履歴'!$E:$E,AP$1,'単価履歴'!$F:$F,$A23)))</f>
        <v/>
      </c>
      <c r="AQ23" s="251" t="str">
        <f>IF(MAXIFS('単価履歴'!$H:$H,'単価履歴'!$E:$E,AQ$1,'単価履歴'!$F:$F,$A23,'単価履歴'!$O:$O,
MAXIFS('単価履歴'!$O:$O,'単価履歴'!$E:$E,AQ$1,'単価履歴'!$F:$F,$A23))=0,"",
MAXIFS('単価履歴'!$H:$H,'単価履歴'!$E:$E,AQ$1,'単価履歴'!$F:$F,$A23,'単価履歴'!$O:$O,
MAXIFS('単価履歴'!$O:$O,'単価履歴'!$E:$E,AQ$1,'単価履歴'!$F:$F,$A23)))</f>
        <v/>
      </c>
      <c r="AR23" s="246" t="str">
        <f>IF(MAXIFS('単価履歴'!$H:$H,'単価履歴'!$E:$E,AR$1,'単価履歴'!$F:$F,$A23,'単価履歴'!$O:$O,
MAXIFS('単価履歴'!$O:$O,'単価履歴'!$E:$E,AR$1,'単価履歴'!$F:$F,$A23))=0,"",
MAXIFS('単価履歴'!$H:$H,'単価履歴'!$E:$E,AR$1,'単価履歴'!$F:$F,$A23,'単価履歴'!$O:$O,
MAXIFS('単価履歴'!$O:$O,'単価履歴'!$E:$E,AR$1,'単価履歴'!$F:$F,$A23)))</f>
        <v/>
      </c>
      <c r="AS23" s="246" t="str">
        <f>IF(MAXIFS('単価履歴'!$H:$H,'単価履歴'!$E:$E,AS$1,'単価履歴'!$F:$F,$A23,'単価履歴'!$O:$O,
MAXIFS('単価履歴'!$O:$O,'単価履歴'!$E:$E,AS$1,'単価履歴'!$F:$F,$A23))=0,"",
MAXIFS('単価履歴'!$H:$H,'単価履歴'!$E:$E,AS$1,'単価履歴'!$F:$F,$A23,'単価履歴'!$O:$O,
MAXIFS('単価履歴'!$O:$O,'単価履歴'!$E:$E,AS$1,'単価履歴'!$F:$F,$A23)))</f>
        <v/>
      </c>
      <c r="AT23" s="262">
        <f>IF(MAXIFS('単価履歴'!$H:$H,'単価履歴'!$E:$E,AT$1,'単価履歴'!$F:$F,$A23,'単価履歴'!$O:$O,
MAXIFS('単価履歴'!$O:$O,'単価履歴'!$E:$E,AT$1,'単価履歴'!$F:$F,$A23))=0,"",
MAXIFS('単価履歴'!$H:$H,'単価履歴'!$E:$E,AT$1,'単価履歴'!$F:$F,$A23,'単価履歴'!$O:$O,
MAXIFS('単価履歴'!$O:$O,'単価履歴'!$E:$E,AT$1,'単価履歴'!$F:$F,$A23)))</f>
        <v>48</v>
      </c>
      <c r="AU23" s="249" t="str">
        <f>IF(MAXIFS('単価履歴'!$H:$H,'単価履歴'!$E:$E,AU$1,'単価履歴'!$F:$F,$A23,'単価履歴'!$O:$O,
MAXIFS('単価履歴'!$O:$O,'単価履歴'!$E:$E,AU$1,'単価履歴'!$F:$F,$A23))=0,"",
MAXIFS('単価履歴'!$H:$H,'単価履歴'!$E:$E,AU$1,'単価履歴'!$F:$F,$A23,'単価履歴'!$O:$O,
MAXIFS('単価履歴'!$O:$O,'単価履歴'!$E:$E,AU$1,'単価履歴'!$F:$F,$A23)))</f>
        <v/>
      </c>
      <c r="AV23" s="251" t="str">
        <f>IF(MAXIFS('単価履歴'!$H:$H,'単価履歴'!$E:$E,AV$1,'単価履歴'!$F:$F,$A23,'単価履歴'!$O:$O,
MAXIFS('単価履歴'!$O:$O,'単価履歴'!$E:$E,AV$1,'単価履歴'!$F:$F,$A23))=0,"",
MAXIFS('単価履歴'!$H:$H,'単価履歴'!$E:$E,AV$1,'単価履歴'!$F:$F,$A23,'単価履歴'!$O:$O,
MAXIFS('単価履歴'!$O:$O,'単価履歴'!$E:$E,AV$1,'単価履歴'!$F:$F,$A23)))</f>
        <v/>
      </c>
      <c r="AW23" s="258">
        <f>IF(MAXIFS('単価履歴'!$H:$H,'単価履歴'!$E:$E,AW$1,'単価履歴'!$F:$F,$A23,'単価履歴'!$O:$O,
MAXIFS('単価履歴'!$O:$O,'単価履歴'!$E:$E,AW$1,'単価履歴'!$F:$F,$A23))=0,"",
MAXIFS('単価履歴'!$H:$H,'単価履歴'!$E:$E,AW$1,'単価履歴'!$F:$F,$A23,'単価履歴'!$O:$O,
MAXIFS('単価履歴'!$O:$O,'単価履歴'!$E:$E,AW$1,'単価履歴'!$F:$F,$A23)))</f>
        <v>51.5</v>
      </c>
      <c r="AX23" s="251"/>
      <c r="AY23" s="282"/>
      <c r="AZ23" s="246">
        <f>IF(MAXIFS('単価履歴'!$H:$H,'単価履歴'!$E:$E,AZ$1,'単価履歴'!$F:$F,$A23,'単価履歴'!$O:$O,
MAXIFS('単価履歴'!$O:$O,'単価履歴'!$E:$E,AZ$1,'単価履歴'!$F:$F,$A23))=0,"",
MAXIFS('単価履歴'!$H:$H,'単価履歴'!$E:$E,AZ$1,'単価履歴'!$F:$F,$A23,'単価履歴'!$O:$O,
MAXIFS('単価履歴'!$O:$O,'単価履歴'!$E:$E,AZ$1,'単価履歴'!$F:$F,$A23)))</f>
        <v>47.6</v>
      </c>
      <c r="BA23" s="282"/>
      <c r="BB23" s="246">
        <f>IF(MAXIFS('単価履歴'!$H:$H,'単価履歴'!$E:$E,BB$1,'単価履歴'!$F:$F,$A23,'単価履歴'!$O:$O,
MAXIFS('単価履歴'!$O:$O,'単価履歴'!$E:$E,BB$1,'単価履歴'!$F:$F,$A23))=0,"",
MAXIFS('単価履歴'!$H:$H,'単価履歴'!$E:$E,BB$1,'単価履歴'!$F:$F,$A23,'単価履歴'!$O:$O,
MAXIFS('単価履歴'!$O:$O,'単価履歴'!$E:$E,BB$1,'単価履歴'!$F:$F,$A23)))</f>
        <v>48.4</v>
      </c>
      <c r="BC23" s="256">
        <f>IF(MAXIFS('単価履歴'!$H:$H,'単価履歴'!$E:$E,BC$1,'単価履歴'!$F:$F,$A23,'単価履歴'!$O:$O,
MAXIFS('単価履歴'!$O:$O,'単価履歴'!$E:$E,BC$1,'単価履歴'!$F:$F,$A23))=0,"",
MAXIFS('単価履歴'!$H:$H,'単価履歴'!$E:$E,BC$1,'単価履歴'!$F:$F,$A23,'単価履歴'!$O:$O,
MAXIFS('単価履歴'!$O:$O,'単価履歴'!$E:$E,BC$1,'単価履歴'!$F:$F,$A23)))</f>
        <v>50.5</v>
      </c>
      <c r="BD23" s="249">
        <f>IF(MAXIFS('単価履歴'!$H:$H,'単価履歴'!$E:$E,BD$1,'単価履歴'!$F:$F,$A23,'単価履歴'!$O:$O,
MAXIFS('単価履歴'!$O:$O,'単価履歴'!$E:$E,BD$1,'単価履歴'!$F:$F,$A23))=0,"",
MAXIFS('単価履歴'!$H:$H,'単価履歴'!$E:$E,BD$1,'単価履歴'!$F:$F,$A23,'単価履歴'!$O:$O,
MAXIFS('単価履歴'!$O:$O,'単価履歴'!$E:$E,BD$1,'単価履歴'!$F:$F,$A23)))</f>
        <v>48.2</v>
      </c>
      <c r="BE23" s="249">
        <f>IF(MAXIFS('単価履歴'!$H:$H,'単価履歴'!$E:$E,BE$1,'単価履歴'!$F:$F,$A23,'単価履歴'!$O:$O,
MAXIFS('単価履歴'!$O:$O,'単価履歴'!$E:$E,BE$1,'単価履歴'!$F:$F,$A23))=0,"",
MAXIFS('単価履歴'!$H:$H,'単価履歴'!$E:$E,BE$1,'単価履歴'!$F:$F,$A23,'単価履歴'!$O:$O,
MAXIFS('単価履歴'!$O:$O,'単価履歴'!$E:$E,BE$1,'単価履歴'!$F:$F,$A23)))</f>
        <v>49</v>
      </c>
      <c r="BF23" s="248" t="str">
        <f>IF(MAXIFS('単価履歴'!$H:$H,'単価履歴'!$E:$E,BF$1,'単価履歴'!$F:$F,$A23,'単価履歴'!$O:$O,
MAXIFS('単価履歴'!$O:$O,'単価履歴'!$E:$E,BF$1,'単価履歴'!$F:$F,$A23))=0,"",
MAXIFS('単価履歴'!$H:$H,'単価履歴'!$E:$E,BF$1,'単価履歴'!$F:$F,$A23,'単価履歴'!$O:$O,
MAXIFS('単価履歴'!$O:$O,'単価履歴'!$E:$E,BF$1,'単価履歴'!$F:$F,$A23)))</f>
        <v/>
      </c>
      <c r="BG23" s="249" t="str">
        <f>IF(MAXIFS('単価履歴'!$H:$H,'単価履歴'!$E:$E,BG$1,'単価履歴'!$F:$F,$A23,'単価履歴'!$O:$O,
MAXIFS('単価履歴'!$O:$O,'単価履歴'!$E:$E,BG$1,'単価履歴'!$F:$F,$A23))=0,"",
MAXIFS('単価履歴'!$H:$H,'単価履歴'!$E:$E,BG$1,'単価履歴'!$F:$F,$A23,'単価履歴'!$O:$O,
MAXIFS('単価履歴'!$O:$O,'単価履歴'!$E:$E,BG$1,'単価履歴'!$F:$F,$A23)))</f>
        <v/>
      </c>
      <c r="BH23" s="247">
        <f>IF(MAXIFS('単価履歴'!$H:$H,'単価履歴'!$E:$E,BH$1,'単価履歴'!$F:$F,$A23,'単価履歴'!$O:$O,
MAXIFS('単価履歴'!$O:$O,'単価履歴'!$E:$E,BH$1,'単価履歴'!$F:$F,$A23))=0,"",
MAXIFS('単価履歴'!$H:$H,'単価履歴'!$E:$E,BH$1,'単価履歴'!$F:$F,$A23,'単価履歴'!$O:$O,
MAXIFS('単価履歴'!$O:$O,'単価履歴'!$E:$E,BH$1,'単価履歴'!$F:$F,$A23)))</f>
        <v>37</v>
      </c>
      <c r="BI23" s="246">
        <f>IF(MAXIFS('単価履歴'!$H:$H,'単価履歴'!$E:$E,BI$1,'単価履歴'!$F:$F,$A23,'単価履歴'!$O:$O,
MAXIFS('単価履歴'!$O:$O,'単価履歴'!$E:$E,BI$1,'単価履歴'!$F:$F,$A23))=0,"",
MAXIFS('単価履歴'!$H:$H,'単価履歴'!$E:$E,BI$1,'単価履歴'!$F:$F,$A23,'単価履歴'!$O:$O,
MAXIFS('単価履歴'!$O:$O,'単価履歴'!$E:$E,BI$1,'単価履歴'!$F:$F,$A23)))</f>
        <v>37.5</v>
      </c>
      <c r="BJ23" s="248" t="str">
        <f>IF(MAXIFS('単価履歴'!$H:$H,'単価履歴'!$E:$E,BJ$1,'単価履歴'!$F:$F,$A23,'単価履歴'!$O:$O,
MAXIFS('単価履歴'!$O:$O,'単価履歴'!$E:$E,BJ$1,'単価履歴'!$F:$F,$A23))=0,"",
MAXIFS('単価履歴'!$H:$H,'単価履歴'!$E:$E,BJ$1,'単価履歴'!$F:$F,$A23,'単価履歴'!$O:$O,
MAXIFS('単価履歴'!$O:$O,'単価履歴'!$E:$E,BJ$1,'単価履歴'!$F:$F,$A23)))</f>
        <v/>
      </c>
      <c r="BK23" s="249" t="str">
        <f>IF(MAXIFS('単価履歴'!$H:$H,'単価履歴'!$E:$E,BK$1,'単価履歴'!$F:$F,$A23,'単価履歴'!$O:$O,
MAXIFS('単価履歴'!$O:$O,'単価履歴'!$E:$E,BK$1,'単価履歴'!$F:$F,$A23))=0,"",
MAXIFS('単価履歴'!$H:$H,'単価履歴'!$E:$E,BK$1,'単価履歴'!$F:$F,$A23,'単価履歴'!$O:$O,
MAXIFS('単価履歴'!$O:$O,'単価履歴'!$E:$E,BK$1,'単価履歴'!$F:$F,$A23)))</f>
        <v/>
      </c>
      <c r="BL23" s="251" t="str">
        <f>IF(MAXIFS('単価履歴'!$H:$H,'単価履歴'!$E:$E,BL$1,'単価履歴'!$F:$F,$A23,'単価履歴'!$O:$O,
MAXIFS('単価履歴'!$O:$O,'単価履歴'!$E:$E,BL$1,'単価履歴'!$F:$F,$A23))=0,"",
MAXIFS('単価履歴'!$H:$H,'単価履歴'!$E:$E,BL$1,'単価履歴'!$F:$F,$A23,'単価履歴'!$O:$O,
MAXIFS('単価履歴'!$O:$O,'単価履歴'!$E:$E,BL$1,'単価履歴'!$F:$F,$A23)))</f>
        <v/>
      </c>
      <c r="BM23" s="248" t="str">
        <f>IF(MAXIFS('単価履歴'!$H:$H,'単価履歴'!$E:$E,BM$1,'単価履歴'!$F:$F,$A23,'単価履歴'!$O:$O,
MAXIFS('単価履歴'!$O:$O,'単価履歴'!$E:$E,BM$1,'単価履歴'!$F:$F,$A23))=0,"",
MAXIFS('単価履歴'!$H:$H,'単価履歴'!$E:$E,BM$1,'単価履歴'!$F:$F,$A23,'単価履歴'!$O:$O,
MAXIFS('単価履歴'!$O:$O,'単価履歴'!$E:$E,BM$1,'単価履歴'!$F:$F,$A23)))</f>
        <v/>
      </c>
      <c r="BN23" s="249" t="str">
        <f>IF(MAXIFS('単価履歴'!$H:$H,'単価履歴'!$E:$E,BN$1,'単価履歴'!$F:$F,$A23,'単価履歴'!$O:$O,
MAXIFS('単価履歴'!$O:$O,'単価履歴'!$E:$E,BN$1,'単価履歴'!$F:$F,$A23))=0,"",
MAXIFS('単価履歴'!$H:$H,'単価履歴'!$E:$E,BN$1,'単価履歴'!$F:$F,$A23,'単価履歴'!$O:$O,
MAXIFS('単価履歴'!$O:$O,'単価履歴'!$E:$E,BN$1,'単価履歴'!$F:$F,$A23)))</f>
        <v/>
      </c>
      <c r="BO23" s="248" t="str">
        <f>IF(MAXIFS('単価履歴'!$H:$H,'単価履歴'!$E:$E,BO$1,'単価履歴'!$F:$F,$A23,'単価履歴'!$O:$O,
MAXIFS('単価履歴'!$O:$O,'単価履歴'!$E:$E,BO$1,'単価履歴'!$F:$F,$A23))=0,"",
MAXIFS('単価履歴'!$H:$H,'単価履歴'!$E:$E,BO$1,'単価履歴'!$F:$F,$A23,'単価履歴'!$O:$O,
MAXIFS('単価履歴'!$O:$O,'単価履歴'!$E:$E,BO$1,'単価履歴'!$F:$F,$A23)))</f>
        <v/>
      </c>
      <c r="BP23" s="249" t="str">
        <f>IF(MAXIFS('単価履歴'!$H:$H,'単価履歴'!$E:$E,BP$1,'単価履歴'!$F:$F,$A23,'単価履歴'!$O:$O,
MAXIFS('単価履歴'!$O:$O,'単価履歴'!$E:$E,BP$1,'単価履歴'!$F:$F,$A23))=0,"",
MAXIFS('単価履歴'!$H:$H,'単価履歴'!$E:$E,BP$1,'単価履歴'!$F:$F,$A23,'単価履歴'!$O:$O,
MAXIFS('単価履歴'!$O:$O,'単価履歴'!$E:$E,BP$1,'単価履歴'!$F:$F,$A23)))</f>
        <v/>
      </c>
      <c r="BQ23" s="249" t="str">
        <f>IF(MAXIFS('単価履歴'!$H:$H,'単価履歴'!$E:$E,BQ$1,'単価履歴'!$F:$F,$A23,'単価履歴'!$O:$O,
MAXIFS('単価履歴'!$O:$O,'単価履歴'!$E:$E,BQ$1,'単価履歴'!$F:$F,$A23))=0,"",
MAXIFS('単価履歴'!$H:$H,'単価履歴'!$E:$E,BQ$1,'単価履歴'!$F:$F,$A23,'単価履歴'!$O:$O,
MAXIFS('単価履歴'!$O:$O,'単価履歴'!$E:$E,BQ$1,'単価履歴'!$F:$F,$A23)))</f>
        <v/>
      </c>
      <c r="BR23" s="252" t="str">
        <f>IF(MAXIFS('単価履歴'!$H:$H,'単価履歴'!$E:$E,BR$1,'単価履歴'!$F:$F,$A23,'単価履歴'!$O:$O,
MAXIFS('単価履歴'!$O:$O,'単価履歴'!$E:$E,BR$1,'単価履歴'!$F:$F,$A23))=0,"",
MAXIFS('単価履歴'!$H:$H,'単価履歴'!$E:$E,BR$1,'単価履歴'!$F:$F,$A23,'単価履歴'!$O:$O,
MAXIFS('単価履歴'!$O:$O,'単価履歴'!$E:$E,BR$1,'単価履歴'!$F:$F,$A23)))</f>
        <v/>
      </c>
      <c r="BS23" s="252" t="str">
        <f>IF(MAXIFS('単価履歴'!$H:$H,'単価履歴'!$E:$E,BS$1,'単価履歴'!$F:$F,$A23,'単価履歴'!$O:$O,
MAXIFS('単価履歴'!$O:$O,'単価履歴'!$E:$E,BS$1,'単価履歴'!$F:$F,$A23))=0,"",
MAXIFS('単価履歴'!$H:$H,'単価履歴'!$E:$E,BS$1,'単価履歴'!$F:$F,$A23,'単価履歴'!$O:$O,
MAXIFS('単価履歴'!$O:$O,'単価履歴'!$E:$E,BS$1,'単価履歴'!$F:$F,$A23)))</f>
        <v/>
      </c>
      <c r="BT23" s="252" t="str">
        <f>IF(MAXIFS('単価履歴'!$H:$H,'単価履歴'!$E:$E,BT$1,'単価履歴'!$F:$F,$A23,'単価履歴'!$O:$O,
MAXIFS('単価履歴'!$O:$O,'単価履歴'!$E:$E,BT$1,'単価履歴'!$F:$F,$A23))=0,"",
MAXIFS('単価履歴'!$H:$H,'単価履歴'!$E:$E,BT$1,'単価履歴'!$F:$F,$A23,'単価履歴'!$O:$O,
MAXIFS('単価履歴'!$O:$O,'単価履歴'!$E:$E,BT$1,'単価履歴'!$F:$F,$A23)))</f>
        <v/>
      </c>
      <c r="BU23" s="252" t="str">
        <f>IF(MAXIFS('単価履歴'!$H:$H,'単価履歴'!$E:$E,BU$1,'単価履歴'!$F:$F,$A23,'単価履歴'!$O:$O,
MAXIFS('単価履歴'!$O:$O,'単価履歴'!$E:$E,BU$1,'単価履歴'!$F:$F,$A23))=0,"",
MAXIFS('単価履歴'!$H:$H,'単価履歴'!$E:$E,BU$1,'単価履歴'!$F:$F,$A23,'単価履歴'!$O:$O,
MAXIFS('単価履歴'!$O:$O,'単価履歴'!$E:$E,BU$1,'単価履歴'!$F:$F,$A23)))</f>
        <v/>
      </c>
      <c r="BV23" s="252" t="str">
        <f>IF(MAXIFS('単価履歴'!$H:$H,'単価履歴'!$E:$E,BV$1,'単価履歴'!$F:$F,$A23,'単価履歴'!$O:$O,
MAXIFS('単価履歴'!$O:$O,'単価履歴'!$E:$E,BV$1,'単価履歴'!$F:$F,$A23))=0,"",
MAXIFS('単価履歴'!$H:$H,'単価履歴'!$E:$E,BV$1,'単価履歴'!$F:$F,$A23,'単価履歴'!$O:$O,
MAXIFS('単価履歴'!$O:$O,'単価履歴'!$E:$E,BV$1,'単価履歴'!$F:$F,$A23)))</f>
        <v/>
      </c>
      <c r="BW23" s="248" t="str">
        <f>IF(MAXIFS('単価履歴'!$H:$H,'単価履歴'!$E:$E,BW$1,'単価履歴'!$F:$F,$A23,'単価履歴'!$O:$O,
MAXIFS('単価履歴'!$O:$O,'単価履歴'!$E:$E,BW$1,'単価履歴'!$F:$F,$A23))=0,"",
MAXIFS('単価履歴'!$H:$H,'単価履歴'!$E:$E,BW$1,'単価履歴'!$F:$F,$A23,'単価履歴'!$O:$O,
MAXIFS('単価履歴'!$O:$O,'単価履歴'!$E:$E,BW$1,'単価履歴'!$F:$F,$A23)))</f>
        <v/>
      </c>
      <c r="BX23" s="249" t="str">
        <f>IF(MAXIFS('単価履歴'!$H:$H,'単価履歴'!$E:$E,BX$1,'単価履歴'!$F:$F,$A23,'単価履歴'!$O:$O,
MAXIFS('単価履歴'!$O:$O,'単価履歴'!$E:$E,BX$1,'単価履歴'!$F:$F,$A23))=0,"",
MAXIFS('単価履歴'!$H:$H,'単価履歴'!$E:$E,BX$1,'単価履歴'!$F:$F,$A23,'単価履歴'!$O:$O,
MAXIFS('単価履歴'!$O:$O,'単価履歴'!$E:$E,BX$1,'単価履歴'!$F:$F,$A23)))</f>
        <v/>
      </c>
      <c r="BY23" s="252" t="str">
        <f>IF(MAXIFS('単価履歴'!$H:$H,'単価履歴'!$E:$E,BY$1,'単価履歴'!$F:$F,$A23,'単価履歴'!$O:$O,
MAXIFS('単価履歴'!$O:$O,'単価履歴'!$E:$E,BY$1,'単価履歴'!$F:$F,$A23))=0,"",
MAXIFS('単価履歴'!$H:$H,'単価履歴'!$E:$E,BY$1,'単価履歴'!$F:$F,$A23,'単価履歴'!$O:$O,
MAXIFS('単価履歴'!$O:$O,'単価履歴'!$E:$E,BY$1,'単価履歴'!$F:$F,$A23)))</f>
        <v/>
      </c>
      <c r="BZ23" s="249"/>
      <c r="CA23" s="249"/>
      <c r="CB23" s="249"/>
      <c r="CC23" s="249"/>
      <c r="CD23" s="249"/>
      <c r="CE23" s="249"/>
      <c r="CF23" s="249"/>
      <c r="CG23" s="249"/>
    </row>
    <row r="24">
      <c r="A24" s="261" t="s">
        <v>576</v>
      </c>
      <c r="B24" s="246"/>
      <c r="C24" s="254"/>
      <c r="D24" s="256"/>
      <c r="E24" s="256"/>
      <c r="F24" s="256"/>
      <c r="G24" s="263"/>
      <c r="H24" s="250">
        <f>IF(MAXIFS('単価履歴'!$H:$H,'単価履歴'!$E:$E,H$1,'単価履歴'!$F:$F,$A24,'単価履歴'!$O:$O,
MAXIFS('単価履歴'!$O:$O,'単価履歴'!$E:$E,H$1,'単価履歴'!$F:$F,$A24))=0,"",
MAXIFS('単価履歴'!$H:$H,'単価履歴'!$E:$E,H$1,'単価履歴'!$F:$F,$A24,'単価履歴'!$O:$O,
MAXIFS('単価履歴'!$O:$O,'単価履歴'!$E:$E,H$1,'単価履歴'!$F:$F,$A24)))</f>
        <v>43.8</v>
      </c>
      <c r="I24" s="256"/>
      <c r="J24" s="263"/>
      <c r="K24" s="250">
        <f>IF(MAXIFS('単価履歴'!$H:$H,'単価履歴'!$E:$E,K$1,'単価履歴'!$F:$F,$A24,'単価履歴'!$O:$O,
MAXIFS('単価履歴'!$O:$O,'単価履歴'!$E:$E,K$1,'単価履歴'!$F:$F,$A24))=0,"",
MAXIFS('単価履歴'!$H:$H,'単価履歴'!$E:$E,K$1,'単価履歴'!$F:$F,$A24,'単価履歴'!$O:$O,
MAXIFS('単価履歴'!$O:$O,'単価履歴'!$E:$E,K$1,'単価履歴'!$F:$F,$A24)))</f>
        <v>37</v>
      </c>
      <c r="L24" s="250">
        <f>IF(MAXIFS('単価履歴'!$H:$H,'単価履歴'!$E:$E,L$1,'単価履歴'!$F:$F,$A24,'単価履歴'!$O:$O,
MAXIFS('単価履歴'!$O:$O,'単価履歴'!$E:$E,L$1,'単価履歴'!$F:$F,$A24))=0,"",
MAXIFS('単価履歴'!$H:$H,'単価履歴'!$E:$E,L$1,'単価履歴'!$F:$F,$A24,'単価履歴'!$O:$O,
MAXIFS('単価履歴'!$O:$O,'単価履歴'!$E:$E,L$1,'単価履歴'!$F:$F,$A24)))</f>
        <v>37.2</v>
      </c>
      <c r="M24" s="250"/>
      <c r="N24" s="275"/>
      <c r="O24" s="250" t="str">
        <f>IF(MAXIFS('単価履歴'!$H:$H,'単価履歴'!$E:$E,O$1,'単価履歴'!$F:$F,$A24,'単価履歴'!$O:$O,
MAXIFS('単価履歴'!$O:$O,'単価履歴'!$E:$E,O$1,'単価履歴'!$F:$F,$A24))=0,"",
MAXIFS('単価履歴'!$H:$H,'単価履歴'!$E:$E,O$1,'単価履歴'!$F:$F,$A24,'単価履歴'!$O:$O,
MAXIFS('単価履歴'!$O:$O,'単価履歴'!$E:$E,O$1,'単価履歴'!$F:$F,$A24)))</f>
        <v/>
      </c>
      <c r="P24" s="254" t="str">
        <f>IF(MAXIFS('単価履歴'!$H:$H,'単価履歴'!$E:$E,P$1,'単価履歴'!$F:$F,$A24,'単価履歴'!$O:$O,
MAXIFS('単価履歴'!$O:$O,'単価履歴'!$E:$E,P$1,'単価履歴'!$F:$F,$A24))=0,"",
MAXIFS('単価履歴'!$H:$H,'単価履歴'!$E:$E,P$1,'単価履歴'!$F:$F,$A24,'単価履歴'!$O:$O,
MAXIFS('単価履歴'!$O:$O,'単価履歴'!$E:$E,P$1,'単価履歴'!$F:$F,$A24)))</f>
        <v/>
      </c>
      <c r="Q24" s="256" t="str">
        <f>IF(MAXIFS('単価履歴'!$H:$H,'単価履歴'!$E:$E,Q$1,'単価履歴'!$F:$F,$A24,'単価履歴'!$O:$O,
MAXIFS('単価履歴'!$O:$O,'単価履歴'!$E:$E,Q$1,'単価履歴'!$F:$F,$A24))=0,"",
MAXIFS('単価履歴'!$H:$H,'単価履歴'!$E:$E,Q$1,'単価履歴'!$F:$F,$A24,'単価履歴'!$O:$O,
MAXIFS('単価履歴'!$O:$O,'単価履歴'!$E:$E,Q$1,'単価履歴'!$F:$F,$A24)))</f>
        <v/>
      </c>
      <c r="R24" s="256" t="str">
        <f>IF(MAXIFS('単価履歴'!$H:$H,'単価履歴'!$E:$E,R$1,'単価履歴'!$F:$F,$A24,'単価履歴'!$O:$O,
MAXIFS('単価履歴'!$O:$O,'単価履歴'!$E:$E,R$1,'単価履歴'!$F:$F,$A24))=0,"",
MAXIFS('単価履歴'!$H:$H,'単価履歴'!$E:$E,R$1,'単価履歴'!$F:$F,$A24,'単価履歴'!$O:$O,
MAXIFS('単価履歴'!$O:$O,'単価履歴'!$E:$E,R$1,'単価履歴'!$F:$F,$A24)))</f>
        <v/>
      </c>
      <c r="S24" s="264" t="str">
        <f>IF(MAXIFS('単価履歴'!$H:$H,'単価履歴'!$E:$E,S$1,'単価履歴'!$F:$F,$A24,'単価履歴'!$O:$O,
MAXIFS('単価履歴'!$O:$O,'単価履歴'!$E:$E,S$1,'単価履歴'!$F:$F,$A24))=0,"",
MAXIFS('単価履歴'!$H:$H,'単価履歴'!$E:$E,S$1,'単価履歴'!$F:$F,$A24,'単価履歴'!$O:$O,
MAXIFS('単価履歴'!$O:$O,'単価履歴'!$E:$E,S$1,'単価履歴'!$F:$F,$A24)))</f>
        <v/>
      </c>
      <c r="T24" s="263" t="str">
        <f>IF(MAXIFS('単価履歴'!$H:$H,'単価履歴'!$E:$E,T$1,'単価履歴'!$F:$F,$A24,'単価履歴'!$O:$O,
MAXIFS('単価履歴'!$O:$O,'単価履歴'!$E:$E,T$1,'単価履歴'!$F:$F,$A24))=0,"",
MAXIFS('単価履歴'!$H:$H,'単価履歴'!$E:$E,T$1,'単価履歴'!$F:$F,$A24,'単価履歴'!$O:$O,
MAXIFS('単価履歴'!$O:$O,'単価履歴'!$E:$E,T$1,'単価履歴'!$F:$F,$A24)))</f>
        <v/>
      </c>
      <c r="U24" s="264" t="str">
        <f>IF(MAXIFS('単価履歴'!$H:$H,'単価履歴'!$E:$E,U$1,'単価履歴'!$F:$F,$A24,'単価履歴'!$O:$O,
MAXIFS('単価履歴'!$O:$O,'単価履歴'!$E:$E,U$1,'単価履歴'!$F:$F,$A24))=0,"",
MAXIFS('単価履歴'!$H:$H,'単価履歴'!$E:$E,U$1,'単価履歴'!$F:$F,$A24,'単価履歴'!$O:$O,
MAXIFS('単価履歴'!$O:$O,'単価履歴'!$E:$E,U$1,'単価履歴'!$F:$F,$A24)))</f>
        <v/>
      </c>
      <c r="V24" s="254" t="str">
        <f>IF(MAXIFS('単価履歴'!$H:$H,'単価履歴'!$E:$E,V$1,'単価履歴'!$F:$F,$A24,'単価履歴'!$O:$O,
MAXIFS('単価履歴'!$O:$O,'単価履歴'!$E:$E,V$1,'単価履歴'!$F:$F,$A24))=0,"",
MAXIFS('単価履歴'!$H:$H,'単価履歴'!$E:$E,V$1,'単価履歴'!$F:$F,$A24,'単価履歴'!$O:$O,
MAXIFS('単価履歴'!$O:$O,'単価履歴'!$E:$E,V$1,'単価履歴'!$F:$F,$A24)))</f>
        <v/>
      </c>
      <c r="W24" s="256" t="str">
        <f>IF(MAXIFS('単価履歴'!$H:$H,'単価履歴'!$E:$E,W$1,'単価履歴'!$F:$F,$A24,'単価履歴'!$O:$O,
MAXIFS('単価履歴'!$O:$O,'単価履歴'!$E:$E,W$1,'単価履歴'!$F:$F,$A24))=0,"",
MAXIFS('単価履歴'!$H:$H,'単価履歴'!$E:$E,W$1,'単価履歴'!$F:$F,$A24,'単価履歴'!$O:$O,
MAXIFS('単価履歴'!$O:$O,'単価履歴'!$E:$E,W$1,'単価履歴'!$F:$F,$A24)))</f>
        <v/>
      </c>
      <c r="X24" s="256" t="str">
        <f>IF(MAXIFS('単価履歴'!$H:$H,'単価履歴'!$E:$E,X$1,'単価履歴'!$F:$F,$A24,'単価履歴'!$O:$O,
MAXIFS('単価履歴'!$O:$O,'単価履歴'!$E:$E,X$1,'単価履歴'!$F:$F,$A24))=0,"",
MAXIFS('単価履歴'!$H:$H,'単価履歴'!$E:$E,X$1,'単価履歴'!$F:$F,$A24,'単価履歴'!$O:$O,
MAXIFS('単価履歴'!$O:$O,'単価履歴'!$E:$E,X$1,'単価履歴'!$F:$F,$A24)))</f>
        <v/>
      </c>
      <c r="Y24" s="254" t="str">
        <f>IF(MAXIFS('単価履歴'!$H:$H,'単価履歴'!$E:$E,Y$1,'単価履歴'!$F:$F,$A24,'単価履歴'!$O:$O,
MAXIFS('単価履歴'!$O:$O,'単価履歴'!$E:$E,Y$1,'単価履歴'!$F:$F,$A24))=0,"",
MAXIFS('単価履歴'!$H:$H,'単価履歴'!$E:$E,Y$1,'単価履歴'!$F:$F,$A24,'単価履歴'!$O:$O,
MAXIFS('単価履歴'!$O:$O,'単価履歴'!$E:$E,Y$1,'単価履歴'!$F:$F,$A24)))</f>
        <v/>
      </c>
      <c r="Z24" s="264" t="str">
        <f>IF(MAXIFS('単価履歴'!$H:$H,'単価履歴'!$E:$E,Z$1,'単価履歴'!$F:$F,$A24,'単価履歴'!$O:$O,
MAXIFS('単価履歴'!$O:$O,'単価履歴'!$E:$E,Z$1,'単価履歴'!$F:$F,$A24))=0,"",
MAXIFS('単価履歴'!$H:$H,'単価履歴'!$E:$E,Z$1,'単価履歴'!$F:$F,$A24,'単価履歴'!$O:$O,
MAXIFS('単価履歴'!$O:$O,'単価履歴'!$E:$E,Z$1,'単価履歴'!$F:$F,$A24)))</f>
        <v/>
      </c>
      <c r="AA24" s="256" t="str">
        <f>IF(MAXIFS('単価履歴'!$H:$H,'単価履歴'!$E:$E,AA$1,'単価履歴'!$F:$F,$A24,'単価履歴'!$O:$O,
MAXIFS('単価履歴'!$O:$O,'単価履歴'!$E:$E,AA$1,'単価履歴'!$F:$F,$A24))=0,"",
MAXIFS('単価履歴'!$H:$H,'単価履歴'!$E:$E,AA$1,'単価履歴'!$F:$F,$A24,'単価履歴'!$O:$O,
MAXIFS('単価履歴'!$O:$O,'単価履歴'!$E:$E,AA$1,'単価履歴'!$F:$F,$A24)))</f>
        <v/>
      </c>
      <c r="AB24" s="256" t="str">
        <f>IF(MAXIFS('単価履歴'!$H:$H,'単価履歴'!$E:$E,AB$1,'単価履歴'!$F:$F,$A24,'単価履歴'!$O:$O,
MAXIFS('単価履歴'!$O:$O,'単価履歴'!$E:$E,AB$1,'単価履歴'!$F:$F,$A24))=0,"",
MAXIFS('単価履歴'!$H:$H,'単価履歴'!$E:$E,AB$1,'単価履歴'!$F:$F,$A24,'単価履歴'!$O:$O,
MAXIFS('単価履歴'!$O:$O,'単価履歴'!$E:$E,AB$1,'単価履歴'!$F:$F,$A24)))</f>
        <v/>
      </c>
      <c r="AC24" s="254" t="str">
        <f>IF(MAXIFS('単価履歴'!$H:$H,'単価履歴'!$E:$E,AC$1,'単価履歴'!$F:$F,$A24,'単価履歴'!$O:$O,
MAXIFS('単価履歴'!$O:$O,'単価履歴'!$E:$E,AC$1,'単価履歴'!$F:$F,$A24))=0,"",
MAXIFS('単価履歴'!$H:$H,'単価履歴'!$E:$E,AC$1,'単価履歴'!$F:$F,$A24,'単価履歴'!$O:$O,
MAXIFS('単価履歴'!$O:$O,'単価履歴'!$E:$E,AC$1,'単価履歴'!$F:$F,$A24)))</f>
        <v/>
      </c>
      <c r="AD24" s="256" t="str">
        <f>IF(MAXIFS('単価履歴'!$H:$H,'単価履歴'!$E:$E,AD$1,'単価履歴'!$F:$F,$A24,'単価履歴'!$O:$O,
MAXIFS('単価履歴'!$O:$O,'単価履歴'!$E:$E,AD$1,'単価履歴'!$F:$F,$A24))=0,"",
MAXIFS('単価履歴'!$H:$H,'単価履歴'!$E:$E,AD$1,'単価履歴'!$F:$F,$A24,'単価履歴'!$O:$O,
MAXIFS('単価履歴'!$O:$O,'単価履歴'!$E:$E,AD$1,'単価履歴'!$F:$F,$A24)))</f>
        <v/>
      </c>
      <c r="AE24" s="256" t="str">
        <f>IF(MAXIFS('単価履歴'!$H:$H,'単価履歴'!$E:$E,AE$1,'単価履歴'!$F:$F,$A24,'単価履歴'!$O:$O,
MAXIFS('単価履歴'!$O:$O,'単価履歴'!$E:$E,AE$1,'単価履歴'!$F:$F,$A24))=0,"",
MAXIFS('単価履歴'!$H:$H,'単価履歴'!$E:$E,AE$1,'単価履歴'!$F:$F,$A24,'単価履歴'!$O:$O,
MAXIFS('単価履歴'!$O:$O,'単価履歴'!$E:$E,AE$1,'単価履歴'!$F:$F,$A24)))</f>
        <v/>
      </c>
      <c r="AF24" s="254" t="str">
        <f>IF(MAXIFS('単価履歴'!$H:$H,'単価履歴'!$E:$E,AF$1,'単価履歴'!$F:$F,$A24,'単価履歴'!$O:$O,
MAXIFS('単価履歴'!$O:$O,'単価履歴'!$E:$E,AF$1,'単価履歴'!$F:$F,$A24))=0,"",
MAXIFS('単価履歴'!$H:$H,'単価履歴'!$E:$E,AF$1,'単価履歴'!$F:$F,$A24,'単価履歴'!$O:$O,
MAXIFS('単価履歴'!$O:$O,'単価履歴'!$E:$E,AF$1,'単価履歴'!$F:$F,$A24)))</f>
        <v/>
      </c>
      <c r="AG24" s="256" t="str">
        <f>IF(MAXIFS('単価履歴'!$H:$H,'単価履歴'!$E:$E,AG$1,'単価履歴'!$F:$F,$A24,'単価履歴'!$O:$O,
MAXIFS('単価履歴'!$O:$O,'単価履歴'!$E:$E,AG$1,'単価履歴'!$F:$F,$A24))=0,"",
MAXIFS('単価履歴'!$H:$H,'単価履歴'!$E:$E,AG$1,'単価履歴'!$F:$F,$A24,'単価履歴'!$O:$O,
MAXIFS('単価履歴'!$O:$O,'単価履歴'!$E:$E,AG$1,'単価履歴'!$F:$F,$A24)))</f>
        <v/>
      </c>
      <c r="AH24" s="264" t="str">
        <f>IF(MAXIFS('単価履歴'!$H:$H,'単価履歴'!$E:$E,AH$1,'単価履歴'!$F:$F,$A24,'単価履歴'!$O:$O,
MAXIFS('単価履歴'!$O:$O,'単価履歴'!$E:$E,AH$1,'単価履歴'!$F:$F,$A24))=0,"",
MAXIFS('単価履歴'!$H:$H,'単価履歴'!$E:$E,AH$1,'単価履歴'!$F:$F,$A24,'単価履歴'!$O:$O,
MAXIFS('単価履歴'!$O:$O,'単価履歴'!$E:$E,AH$1,'単価履歴'!$F:$F,$A24)))</f>
        <v/>
      </c>
      <c r="AI24" s="256" t="str">
        <f>IF(MAXIFS('単価履歴'!$H:$H,'単価履歴'!$E:$E,AI$1,'単価履歴'!$F:$F,$A24,'単価履歴'!$O:$O,
MAXIFS('単価履歴'!$O:$O,'単価履歴'!$E:$E,AI$1,'単価履歴'!$F:$F,$A24))=0,"",
MAXIFS('単価履歴'!$H:$H,'単価履歴'!$E:$E,AI$1,'単価履歴'!$F:$F,$A24,'単価履歴'!$O:$O,
MAXIFS('単価履歴'!$O:$O,'単価履歴'!$E:$E,AI$1,'単価履歴'!$F:$F,$A24)))</f>
        <v/>
      </c>
      <c r="AJ24" s="254" t="str">
        <f>IF(MAXIFS('単価履歴'!$H:$H,'単価履歴'!$E:$E,AJ$1,'単価履歴'!$F:$F,$A24,'単価履歴'!$O:$O,
MAXIFS('単価履歴'!$O:$O,'単価履歴'!$E:$E,AJ$1,'単価履歴'!$F:$F,$A24))=0,"",
MAXIFS('単価履歴'!$H:$H,'単価履歴'!$E:$E,AJ$1,'単価履歴'!$F:$F,$A24,'単価履歴'!$O:$O,
MAXIFS('単価履歴'!$O:$O,'単価履歴'!$E:$E,AJ$1,'単価履歴'!$F:$F,$A24)))</f>
        <v/>
      </c>
      <c r="AK24" s="264" t="str">
        <f>IF(MAXIFS('単価履歴'!$H:$H,'単価履歴'!$E:$E,AK$1,'単価履歴'!$F:$F,$A24,'単価履歴'!$O:$O,
MAXIFS('単価履歴'!$O:$O,'単価履歴'!$E:$E,AK$1,'単価履歴'!$F:$F,$A24))=0,"",
MAXIFS('単価履歴'!$H:$H,'単価履歴'!$E:$E,AK$1,'単価履歴'!$F:$F,$A24,'単価履歴'!$O:$O,
MAXIFS('単価履歴'!$O:$O,'単価履歴'!$E:$E,AK$1,'単価履歴'!$F:$F,$A24)))</f>
        <v/>
      </c>
      <c r="AL24" s="256" t="str">
        <f>IF(MAXIFS('単価履歴'!$H:$H,'単価履歴'!$E:$E,AL$1,'単価履歴'!$F:$F,$A24,'単価履歴'!$O:$O,
MAXIFS('単価履歴'!$O:$O,'単価履歴'!$E:$E,AL$1,'単価履歴'!$F:$F,$A24))=0,"",
MAXIFS('単価履歴'!$H:$H,'単価履歴'!$E:$E,AL$1,'単価履歴'!$F:$F,$A24,'単価履歴'!$O:$O,
MAXIFS('単価履歴'!$O:$O,'単価履歴'!$E:$E,AL$1,'単価履歴'!$F:$F,$A24)))</f>
        <v/>
      </c>
      <c r="AM24" s="263" t="str">
        <f>IF(MAXIFS('単価履歴'!$H:$H,'単価履歴'!$E:$E,AM$1,'単価履歴'!$F:$F,$A24,'単価履歴'!$O:$O,
MAXIFS('単価履歴'!$O:$O,'単価履歴'!$E:$E,AM$1,'単価履歴'!$F:$F,$A24))=0,"",
MAXIFS('単価履歴'!$H:$H,'単価履歴'!$E:$E,AM$1,'単価履歴'!$F:$F,$A24,'単価履歴'!$O:$O,
MAXIFS('単価履歴'!$O:$O,'単価履歴'!$E:$E,AM$1,'単価履歴'!$F:$F,$A24)))</f>
        <v/>
      </c>
      <c r="AN24" s="263" t="str">
        <f>IF(MAXIFS('単価履歴'!$H:$H,'単価履歴'!$E:$E,AN$1,'単価履歴'!$F:$F,$A24,'単価履歴'!$O:$O,
MAXIFS('単価履歴'!$O:$O,'単価履歴'!$E:$E,AN$1,'単価履歴'!$F:$F,$A24))=0,"",
MAXIFS('単価履歴'!$H:$H,'単価履歴'!$E:$E,AN$1,'単価履歴'!$F:$F,$A24,'単価履歴'!$O:$O,
MAXIFS('単価履歴'!$O:$O,'単価履歴'!$E:$E,AN$1,'単価履歴'!$F:$F,$A24)))</f>
        <v/>
      </c>
      <c r="AO24" s="256" t="str">
        <f>IF(MAXIFS('単価履歴'!$H:$H,'単価履歴'!$E:$E,AO$1,'単価履歴'!$F:$F,$A24,'単価履歴'!$O:$O,
MAXIFS('単価履歴'!$O:$O,'単価履歴'!$E:$E,AO$1,'単価履歴'!$F:$F,$A24))=0,"",
MAXIFS('単価履歴'!$H:$H,'単価履歴'!$E:$E,AO$1,'単価履歴'!$F:$F,$A24,'単価履歴'!$O:$O,
MAXIFS('単価履歴'!$O:$O,'単価履歴'!$E:$E,AO$1,'単価履歴'!$F:$F,$A24)))</f>
        <v/>
      </c>
      <c r="AP24" s="254" t="str">
        <f>IF(MAXIFS('単価履歴'!$H:$H,'単価履歴'!$E:$E,AP$1,'単価履歴'!$F:$F,$A24,'単価履歴'!$O:$O,
MAXIFS('単価履歴'!$O:$O,'単価履歴'!$E:$E,AP$1,'単価履歴'!$F:$F,$A24))=0,"",
MAXIFS('単価履歴'!$H:$H,'単価履歴'!$E:$E,AP$1,'単価履歴'!$F:$F,$A24,'単価履歴'!$O:$O,
MAXIFS('単価履歴'!$O:$O,'単価履歴'!$E:$E,AP$1,'単価履歴'!$F:$F,$A24)))</f>
        <v/>
      </c>
      <c r="AQ24" s="254" t="str">
        <f>IF(MAXIFS('単価履歴'!$H:$H,'単価履歴'!$E:$E,AQ$1,'単価履歴'!$F:$F,$A24,'単価履歴'!$O:$O,
MAXIFS('単価履歴'!$O:$O,'単価履歴'!$E:$E,AQ$1,'単価履歴'!$F:$F,$A24))=0,"",
MAXIFS('単価履歴'!$H:$H,'単価履歴'!$E:$E,AQ$1,'単価履歴'!$F:$F,$A24,'単価履歴'!$O:$O,
MAXIFS('単価履歴'!$O:$O,'単価履歴'!$E:$E,AQ$1,'単価履歴'!$F:$F,$A24)))</f>
        <v/>
      </c>
      <c r="AR24" s="256" t="str">
        <f>IF(MAXIFS('単価履歴'!$H:$H,'単価履歴'!$E:$E,AR$1,'単価履歴'!$F:$F,$A24,'単価履歴'!$O:$O,
MAXIFS('単価履歴'!$O:$O,'単価履歴'!$E:$E,AR$1,'単価履歴'!$F:$F,$A24))=0,"",
MAXIFS('単価履歴'!$H:$H,'単価履歴'!$E:$E,AR$1,'単価履歴'!$F:$F,$A24,'単価履歴'!$O:$O,
MAXIFS('単価履歴'!$O:$O,'単価履歴'!$E:$E,AR$1,'単価履歴'!$F:$F,$A24)))</f>
        <v/>
      </c>
      <c r="AS24" s="256" t="str">
        <f>IF(MAXIFS('単価履歴'!$H:$H,'単価履歴'!$E:$E,AS$1,'単価履歴'!$F:$F,$A24,'単価履歴'!$O:$O,
MAXIFS('単価履歴'!$O:$O,'単価履歴'!$E:$E,AS$1,'単価履歴'!$F:$F,$A24))=0,"",
MAXIFS('単価履歴'!$H:$H,'単価履歴'!$E:$E,AS$1,'単価履歴'!$F:$F,$A24,'単価履歴'!$O:$O,
MAXIFS('単価履歴'!$O:$O,'単価履歴'!$E:$E,AS$1,'単価履歴'!$F:$F,$A24)))</f>
        <v/>
      </c>
      <c r="AT24" s="254" t="str">
        <f>IF(MAXIFS('単価履歴'!$H:$H,'単価履歴'!$E:$E,AT$1,'単価履歴'!$F:$F,$A24,'単価履歴'!$O:$O,
MAXIFS('単価履歴'!$O:$O,'単価履歴'!$E:$E,AT$1,'単価履歴'!$F:$F,$A24))=0,"",
MAXIFS('単価履歴'!$H:$H,'単価履歴'!$E:$E,AT$1,'単価履歴'!$F:$F,$A24,'単価履歴'!$O:$O,
MAXIFS('単価履歴'!$O:$O,'単価履歴'!$E:$E,AT$1,'単価履歴'!$F:$F,$A24)))</f>
        <v/>
      </c>
      <c r="AU24" s="256" t="str">
        <f>IF(MAXIFS('単価履歴'!$H:$H,'単価履歴'!$E:$E,AU$1,'単価履歴'!$F:$F,$A24,'単価履歴'!$O:$O,
MAXIFS('単価履歴'!$O:$O,'単価履歴'!$E:$E,AU$1,'単価履歴'!$F:$F,$A24))=0,"",
MAXIFS('単価履歴'!$H:$H,'単価履歴'!$E:$E,AU$1,'単価履歴'!$F:$F,$A24,'単価履歴'!$O:$O,
MAXIFS('単価履歴'!$O:$O,'単価履歴'!$E:$E,AU$1,'単価履歴'!$F:$F,$A24)))</f>
        <v/>
      </c>
      <c r="AV24" s="254" t="str">
        <f>IF(MAXIFS('単価履歴'!$H:$H,'単価履歴'!$E:$E,AV$1,'単価履歴'!$F:$F,$A24,'単価履歴'!$O:$O,
MAXIFS('単価履歴'!$O:$O,'単価履歴'!$E:$E,AV$1,'単価履歴'!$F:$F,$A24))=0,"",
MAXIFS('単価履歴'!$H:$H,'単価履歴'!$E:$E,AV$1,'単価履歴'!$F:$F,$A24,'単価履歴'!$O:$O,
MAXIFS('単価履歴'!$O:$O,'単価履歴'!$E:$E,AV$1,'単価履歴'!$F:$F,$A24)))</f>
        <v/>
      </c>
      <c r="AW24" s="264" t="str">
        <f>IF(MAXIFS('単価履歴'!$H:$H,'単価履歴'!$E:$E,AW$1,'単価履歴'!$F:$F,$A24,'単価履歴'!$O:$O,
MAXIFS('単価履歴'!$O:$O,'単価履歴'!$E:$E,AW$1,'単価履歴'!$F:$F,$A24))=0,"",
MAXIFS('単価履歴'!$H:$H,'単価履歴'!$E:$E,AW$1,'単価履歴'!$F:$F,$A24,'単価履歴'!$O:$O,
MAXIFS('単価履歴'!$O:$O,'単価履歴'!$E:$E,AW$1,'単価履歴'!$F:$F,$A24)))</f>
        <v/>
      </c>
      <c r="AX24" s="254" t="str">
        <f>IF(MAXIFS('単価履歴'!$H:$H,'単価履歴'!$E:$E,AX$1,'単価履歴'!$F:$F,$A24,'単価履歴'!$O:$O,
MAXIFS('単価履歴'!$O:$O,'単価履歴'!$E:$E,AX$1,'単価履歴'!$F:$F,$A24))=0,"",
MAXIFS('単価履歴'!$H:$H,'単価履歴'!$E:$E,AX$1,'単価履歴'!$F:$F,$A24,'単価履歴'!$O:$O,
MAXIFS('単価履歴'!$O:$O,'単価履歴'!$E:$E,AX$1,'単価履歴'!$F:$F,$A24)))</f>
        <v/>
      </c>
      <c r="AY24" s="264" t="str">
        <f>IF(MAXIFS('単価履歴'!$H:$H,'単価履歴'!$E:$E,AY$1,'単価履歴'!$F:$F,$A24,'単価履歴'!$O:$O,
MAXIFS('単価履歴'!$O:$O,'単価履歴'!$E:$E,AY$1,'単価履歴'!$F:$F,$A24))=0,"",
MAXIFS('単価履歴'!$H:$H,'単価履歴'!$E:$E,AY$1,'単価履歴'!$F:$F,$A24,'単価履歴'!$O:$O,
MAXIFS('単価履歴'!$O:$O,'単価履歴'!$E:$E,AY$1,'単価履歴'!$F:$F,$A24)))</f>
        <v/>
      </c>
      <c r="AZ24" s="256" t="str">
        <f>IF(MAXIFS('単価履歴'!$H:$H,'単価履歴'!$E:$E,AZ$1,'単価履歴'!$F:$F,$A24,'単価履歴'!$O:$O,
MAXIFS('単価履歴'!$O:$O,'単価履歴'!$E:$E,AZ$1,'単価履歴'!$F:$F,$A24))=0,"",
MAXIFS('単価履歴'!$H:$H,'単価履歴'!$E:$E,AZ$1,'単価履歴'!$F:$F,$A24,'単価履歴'!$O:$O,
MAXIFS('単価履歴'!$O:$O,'単価履歴'!$E:$E,AZ$1,'単価履歴'!$F:$F,$A24)))</f>
        <v/>
      </c>
      <c r="BA24" s="264" t="str">
        <f>IF(MAXIFS('単価履歴'!$H:$H,'単価履歴'!$E:$E,BA$1,'単価履歴'!$F:$F,$A24,'単価履歴'!$O:$O,
MAXIFS('単価履歴'!$O:$O,'単価履歴'!$E:$E,BA$1,'単価履歴'!$F:$F,$A24))=0,"",
MAXIFS('単価履歴'!$H:$H,'単価履歴'!$E:$E,BA$1,'単価履歴'!$F:$F,$A24,'単価履歴'!$O:$O,
MAXIFS('単価履歴'!$O:$O,'単価履歴'!$E:$E,BA$1,'単価履歴'!$F:$F,$A24)))</f>
        <v/>
      </c>
      <c r="BB24" s="256" t="str">
        <f>IF(MAXIFS('単価履歴'!$H:$H,'単価履歴'!$E:$E,BB$1,'単価履歴'!$F:$F,$A24,'単価履歴'!$O:$O,
MAXIFS('単価履歴'!$O:$O,'単価履歴'!$E:$E,BB$1,'単価履歴'!$F:$F,$A24))=0,"",
MAXIFS('単価履歴'!$H:$H,'単価履歴'!$E:$E,BB$1,'単価履歴'!$F:$F,$A24,'単価履歴'!$O:$O,
MAXIFS('単価履歴'!$O:$O,'単価履歴'!$E:$E,BB$1,'単価履歴'!$F:$F,$A24)))</f>
        <v/>
      </c>
      <c r="BC24" s="256" t="str">
        <f>IF(MAXIFS('単価履歴'!$H:$H,'単価履歴'!$E:$E,BC$1,'単価履歴'!$F:$F,$A24,'単価履歴'!$O:$O,
MAXIFS('単価履歴'!$O:$O,'単価履歴'!$E:$E,BC$1,'単価履歴'!$F:$F,$A24))=0,"",
MAXIFS('単価履歴'!$H:$H,'単価履歴'!$E:$E,BC$1,'単価履歴'!$F:$F,$A24,'単価履歴'!$O:$O,
MAXIFS('単価履歴'!$O:$O,'単価履歴'!$E:$E,BC$1,'単価履歴'!$F:$F,$A24)))</f>
        <v/>
      </c>
      <c r="BD24" s="256" t="str">
        <f>IF(MAXIFS('単価履歴'!$H:$H,'単価履歴'!$E:$E,BD$1,'単価履歴'!$F:$F,$A24,'単価履歴'!$O:$O,
MAXIFS('単価履歴'!$O:$O,'単価履歴'!$E:$E,BD$1,'単価履歴'!$F:$F,$A24))=0,"",
MAXIFS('単価履歴'!$H:$H,'単価履歴'!$E:$E,BD$1,'単価履歴'!$F:$F,$A24,'単価履歴'!$O:$O,
MAXIFS('単価履歴'!$O:$O,'単価履歴'!$E:$E,BD$1,'単価履歴'!$F:$F,$A24)))</f>
        <v/>
      </c>
      <c r="BE24" s="256" t="str">
        <f>IF(MAXIFS('単価履歴'!$H:$H,'単価履歴'!$E:$E,BE$1,'単価履歴'!$F:$F,$A24,'単価履歴'!$O:$O,
MAXIFS('単価履歴'!$O:$O,'単価履歴'!$E:$E,BE$1,'単価履歴'!$F:$F,$A24))=0,"",
MAXIFS('単価履歴'!$H:$H,'単価履歴'!$E:$E,BE$1,'単価履歴'!$F:$F,$A24,'単価履歴'!$O:$O,
MAXIFS('単価履歴'!$O:$O,'単価履歴'!$E:$E,BE$1,'単価履歴'!$F:$F,$A24)))</f>
        <v/>
      </c>
      <c r="BF24" s="263" t="str">
        <f>IF(MAXIFS('単価履歴'!$H:$H,'単価履歴'!$E:$E,BF$1,'単価履歴'!$F:$F,$A24,'単価履歴'!$O:$O,
MAXIFS('単価履歴'!$O:$O,'単価履歴'!$E:$E,BF$1,'単価履歴'!$F:$F,$A24))=0,"",
MAXIFS('単価履歴'!$H:$H,'単価履歴'!$E:$E,BF$1,'単価履歴'!$F:$F,$A24,'単価履歴'!$O:$O,
MAXIFS('単価履歴'!$O:$O,'単価履歴'!$E:$E,BF$1,'単価履歴'!$F:$F,$A24)))</f>
        <v/>
      </c>
      <c r="BG24" s="256" t="str">
        <f>IF(MAXIFS('単価履歴'!$H:$H,'単価履歴'!$E:$E,BG$1,'単価履歴'!$F:$F,$A24,'単価履歴'!$O:$O,
MAXIFS('単価履歴'!$O:$O,'単価履歴'!$E:$E,BG$1,'単価履歴'!$F:$F,$A24))=0,"",
MAXIFS('単価履歴'!$H:$H,'単価履歴'!$E:$E,BG$1,'単価履歴'!$F:$F,$A24,'単価履歴'!$O:$O,
MAXIFS('単価履歴'!$O:$O,'単価履歴'!$E:$E,BG$1,'単価履歴'!$F:$F,$A24)))</f>
        <v/>
      </c>
      <c r="BH24" s="254" t="str">
        <f>IF(MAXIFS('単価履歴'!$H:$H,'単価履歴'!$E:$E,BH$1,'単価履歴'!$F:$F,$A24,'単価履歴'!$O:$O,
MAXIFS('単価履歴'!$O:$O,'単価履歴'!$E:$E,BH$1,'単価履歴'!$F:$F,$A24))=0,"",
MAXIFS('単価履歴'!$H:$H,'単価履歴'!$E:$E,BH$1,'単価履歴'!$F:$F,$A24,'単価履歴'!$O:$O,
MAXIFS('単価履歴'!$O:$O,'単価履歴'!$E:$E,BH$1,'単価履歴'!$F:$F,$A24)))</f>
        <v/>
      </c>
      <c r="BI24" s="256" t="str">
        <f>IF(MAXIFS('単価履歴'!$H:$H,'単価履歴'!$E:$E,BI$1,'単価履歴'!$F:$F,$A24,'単価履歴'!$O:$O,
MAXIFS('単価履歴'!$O:$O,'単価履歴'!$E:$E,BI$1,'単価履歴'!$F:$F,$A24))=0,"",
MAXIFS('単価履歴'!$H:$H,'単価履歴'!$E:$E,BI$1,'単価履歴'!$F:$F,$A24,'単価履歴'!$O:$O,
MAXIFS('単価履歴'!$O:$O,'単価履歴'!$E:$E,BI$1,'単価履歴'!$F:$F,$A24)))</f>
        <v/>
      </c>
      <c r="BJ24" s="263" t="str">
        <f>IF(MAXIFS('単価履歴'!$H:$H,'単価履歴'!$E:$E,BJ$1,'単価履歴'!$F:$F,$A24,'単価履歴'!$O:$O,
MAXIFS('単価履歴'!$O:$O,'単価履歴'!$E:$E,BJ$1,'単価履歴'!$F:$F,$A24))=0,"",
MAXIFS('単価履歴'!$H:$H,'単価履歴'!$E:$E,BJ$1,'単価履歴'!$F:$F,$A24,'単価履歴'!$O:$O,
MAXIFS('単価履歴'!$O:$O,'単価履歴'!$E:$E,BJ$1,'単価履歴'!$F:$F,$A24)))</f>
        <v/>
      </c>
      <c r="BK24" s="256" t="str">
        <f>IF(MAXIFS('単価履歴'!$H:$H,'単価履歴'!$E:$E,BK$1,'単価履歴'!$F:$F,$A24,'単価履歴'!$O:$O,
MAXIFS('単価履歴'!$O:$O,'単価履歴'!$E:$E,BK$1,'単価履歴'!$F:$F,$A24))=0,"",
MAXIFS('単価履歴'!$H:$H,'単価履歴'!$E:$E,BK$1,'単価履歴'!$F:$F,$A24,'単価履歴'!$O:$O,
MAXIFS('単価履歴'!$O:$O,'単価履歴'!$E:$E,BK$1,'単価履歴'!$F:$F,$A24)))</f>
        <v/>
      </c>
      <c r="BL24" s="254" t="str">
        <f>IF(MAXIFS('単価履歴'!$H:$H,'単価履歴'!$E:$E,BL$1,'単価履歴'!$F:$F,$A24,'単価履歴'!$O:$O,
MAXIFS('単価履歴'!$O:$O,'単価履歴'!$E:$E,BL$1,'単価履歴'!$F:$F,$A24))=0,"",
MAXIFS('単価履歴'!$H:$H,'単価履歴'!$E:$E,BL$1,'単価履歴'!$F:$F,$A24,'単価履歴'!$O:$O,
MAXIFS('単価履歴'!$O:$O,'単価履歴'!$E:$E,BL$1,'単価履歴'!$F:$F,$A24)))</f>
        <v/>
      </c>
      <c r="BM24" s="263" t="str">
        <f>IF(MAXIFS('単価履歴'!$H:$H,'単価履歴'!$E:$E,BM$1,'単価履歴'!$F:$F,$A24,'単価履歴'!$O:$O,
MAXIFS('単価履歴'!$O:$O,'単価履歴'!$E:$E,BM$1,'単価履歴'!$F:$F,$A24))=0,"",
MAXIFS('単価履歴'!$H:$H,'単価履歴'!$E:$E,BM$1,'単価履歴'!$F:$F,$A24,'単価履歴'!$O:$O,
MAXIFS('単価履歴'!$O:$O,'単価履歴'!$E:$E,BM$1,'単価履歴'!$F:$F,$A24)))</f>
        <v/>
      </c>
      <c r="BN24" s="256" t="str">
        <f>IF(MAXIFS('単価履歴'!$H:$H,'単価履歴'!$E:$E,BN$1,'単価履歴'!$F:$F,$A24,'単価履歴'!$O:$O,
MAXIFS('単価履歴'!$O:$O,'単価履歴'!$E:$E,BN$1,'単価履歴'!$F:$F,$A24))=0,"",
MAXIFS('単価履歴'!$H:$H,'単価履歴'!$E:$E,BN$1,'単価履歴'!$F:$F,$A24,'単価履歴'!$O:$O,
MAXIFS('単価履歴'!$O:$O,'単価履歴'!$E:$E,BN$1,'単価履歴'!$F:$F,$A24)))</f>
        <v/>
      </c>
      <c r="BO24" s="263" t="str">
        <f>IF(MAXIFS('単価履歴'!$H:$H,'単価履歴'!$E:$E,BO$1,'単価履歴'!$F:$F,$A24,'単価履歴'!$O:$O,
MAXIFS('単価履歴'!$O:$O,'単価履歴'!$E:$E,BO$1,'単価履歴'!$F:$F,$A24))=0,"",
MAXIFS('単価履歴'!$H:$H,'単価履歴'!$E:$E,BO$1,'単価履歴'!$F:$F,$A24,'単価履歴'!$O:$O,
MAXIFS('単価履歴'!$O:$O,'単価履歴'!$E:$E,BO$1,'単価履歴'!$F:$F,$A24)))</f>
        <v/>
      </c>
      <c r="BP24" s="256" t="str">
        <f>IF(MAXIFS('単価履歴'!$H:$H,'単価履歴'!$E:$E,BP$1,'単価履歴'!$F:$F,$A24,'単価履歴'!$O:$O,
MAXIFS('単価履歴'!$O:$O,'単価履歴'!$E:$E,BP$1,'単価履歴'!$F:$F,$A24))=0,"",
MAXIFS('単価履歴'!$H:$H,'単価履歴'!$E:$E,BP$1,'単価履歴'!$F:$F,$A24,'単価履歴'!$O:$O,
MAXIFS('単価履歴'!$O:$O,'単価履歴'!$E:$E,BP$1,'単価履歴'!$F:$F,$A24)))</f>
        <v/>
      </c>
      <c r="BQ24" s="256" t="str">
        <f>IF(MAXIFS('単価履歴'!$H:$H,'単価履歴'!$E:$E,BQ$1,'単価履歴'!$F:$F,$A24,'単価履歴'!$O:$O,
MAXIFS('単価履歴'!$O:$O,'単価履歴'!$E:$E,BQ$1,'単価履歴'!$F:$F,$A24))=0,"",
MAXIFS('単価履歴'!$H:$H,'単価履歴'!$E:$E,BQ$1,'単価履歴'!$F:$F,$A24,'単価履歴'!$O:$O,
MAXIFS('単価履歴'!$O:$O,'単価履歴'!$E:$E,BQ$1,'単価履歴'!$F:$F,$A24)))</f>
        <v/>
      </c>
      <c r="BR24" s="264" t="str">
        <f>IF(MAXIFS('単価履歴'!$H:$H,'単価履歴'!$E:$E,BR$1,'単価履歴'!$F:$F,$A24,'単価履歴'!$O:$O,
MAXIFS('単価履歴'!$O:$O,'単価履歴'!$E:$E,BR$1,'単価履歴'!$F:$F,$A24))=0,"",
MAXIFS('単価履歴'!$H:$H,'単価履歴'!$E:$E,BR$1,'単価履歴'!$F:$F,$A24,'単価履歴'!$O:$O,
MAXIFS('単価履歴'!$O:$O,'単価履歴'!$E:$E,BR$1,'単価履歴'!$F:$F,$A24)))</f>
        <v/>
      </c>
      <c r="BS24" s="264" t="str">
        <f>IF(MAXIFS('単価履歴'!$H:$H,'単価履歴'!$E:$E,BS$1,'単価履歴'!$F:$F,$A24,'単価履歴'!$O:$O,
MAXIFS('単価履歴'!$O:$O,'単価履歴'!$E:$E,BS$1,'単価履歴'!$F:$F,$A24))=0,"",
MAXIFS('単価履歴'!$H:$H,'単価履歴'!$E:$E,BS$1,'単価履歴'!$F:$F,$A24,'単価履歴'!$O:$O,
MAXIFS('単価履歴'!$O:$O,'単価履歴'!$E:$E,BS$1,'単価履歴'!$F:$F,$A24)))</f>
        <v/>
      </c>
      <c r="BT24" s="264" t="str">
        <f>IF(MAXIFS('単価履歴'!$H:$H,'単価履歴'!$E:$E,BT$1,'単価履歴'!$F:$F,$A24,'単価履歴'!$O:$O,
MAXIFS('単価履歴'!$O:$O,'単価履歴'!$E:$E,BT$1,'単価履歴'!$F:$F,$A24))=0,"",
MAXIFS('単価履歴'!$H:$H,'単価履歴'!$E:$E,BT$1,'単価履歴'!$F:$F,$A24,'単価履歴'!$O:$O,
MAXIFS('単価履歴'!$O:$O,'単価履歴'!$E:$E,BT$1,'単価履歴'!$F:$F,$A24)))</f>
        <v/>
      </c>
      <c r="BU24" s="264" t="str">
        <f>IF(MAXIFS('単価履歴'!$H:$H,'単価履歴'!$E:$E,BU$1,'単価履歴'!$F:$F,$A24,'単価履歴'!$O:$O,
MAXIFS('単価履歴'!$O:$O,'単価履歴'!$E:$E,BU$1,'単価履歴'!$F:$F,$A24))=0,"",
MAXIFS('単価履歴'!$H:$H,'単価履歴'!$E:$E,BU$1,'単価履歴'!$F:$F,$A24,'単価履歴'!$O:$O,
MAXIFS('単価履歴'!$O:$O,'単価履歴'!$E:$E,BU$1,'単価履歴'!$F:$F,$A24)))</f>
        <v/>
      </c>
      <c r="BV24" s="264" t="str">
        <f>IF(MAXIFS('単価履歴'!$H:$H,'単価履歴'!$E:$E,BV$1,'単価履歴'!$F:$F,$A24,'単価履歴'!$O:$O,
MAXIFS('単価履歴'!$O:$O,'単価履歴'!$E:$E,BV$1,'単価履歴'!$F:$F,$A24))=0,"",
MAXIFS('単価履歴'!$H:$H,'単価履歴'!$E:$E,BV$1,'単価履歴'!$F:$F,$A24,'単価履歴'!$O:$O,
MAXIFS('単価履歴'!$O:$O,'単価履歴'!$E:$E,BV$1,'単価履歴'!$F:$F,$A24)))</f>
        <v/>
      </c>
      <c r="BW24" s="263" t="str">
        <f>IF(MAXIFS('単価履歴'!$H:$H,'単価履歴'!$E:$E,BW$1,'単価履歴'!$F:$F,$A24,'単価履歴'!$O:$O,
MAXIFS('単価履歴'!$O:$O,'単価履歴'!$E:$E,BW$1,'単価履歴'!$F:$F,$A24))=0,"",
MAXIFS('単価履歴'!$H:$H,'単価履歴'!$E:$E,BW$1,'単価履歴'!$F:$F,$A24,'単価履歴'!$O:$O,
MAXIFS('単価履歴'!$O:$O,'単価履歴'!$E:$E,BW$1,'単価履歴'!$F:$F,$A24)))</f>
        <v/>
      </c>
      <c r="BX24" s="256" t="str">
        <f>IF(MAXIFS('単価履歴'!$H:$H,'単価履歴'!$E:$E,BX$1,'単価履歴'!$F:$F,$A24,'単価履歴'!$O:$O,
MAXIFS('単価履歴'!$O:$O,'単価履歴'!$E:$E,BX$1,'単価履歴'!$F:$F,$A24))=0,"",
MAXIFS('単価履歴'!$H:$H,'単価履歴'!$E:$E,BX$1,'単価履歴'!$F:$F,$A24,'単価履歴'!$O:$O,
MAXIFS('単価履歴'!$O:$O,'単価履歴'!$E:$E,BX$1,'単価履歴'!$F:$F,$A24)))</f>
        <v/>
      </c>
      <c r="BY24" s="264" t="str">
        <f>IF(MAXIFS('単価履歴'!$H:$H,'単価履歴'!$E:$E,BY$1,'単価履歴'!$F:$F,$A24,'単価履歴'!$O:$O,
MAXIFS('単価履歴'!$O:$O,'単価履歴'!$E:$E,BY$1,'単価履歴'!$F:$F,$A24))=0,"",
MAXIFS('単価履歴'!$H:$H,'単価履歴'!$E:$E,BY$1,'単価履歴'!$F:$F,$A24,'単価履歴'!$O:$O,
MAXIFS('単価履歴'!$O:$O,'単価履歴'!$E:$E,BY$1,'単価履歴'!$F:$F,$A24)))</f>
        <v/>
      </c>
      <c r="BZ24" s="256"/>
      <c r="CA24" s="256"/>
      <c r="CB24" s="256"/>
      <c r="CC24" s="256"/>
      <c r="CD24" s="256"/>
      <c r="CE24" s="256"/>
      <c r="CF24" s="256"/>
      <c r="CG24" s="256"/>
    </row>
    <row r="25">
      <c r="A25" s="267" t="s">
        <v>25</v>
      </c>
      <c r="B25" s="246"/>
      <c r="C25" s="251"/>
      <c r="D25" s="249"/>
      <c r="E25" s="249"/>
      <c r="F25" s="249"/>
      <c r="G25" s="248"/>
      <c r="H25" s="249"/>
      <c r="I25" s="249"/>
      <c r="J25" s="248"/>
      <c r="K25" s="250" t="str">
        <f>IF(MAXIFS('単価履歴'!$H:$H,'単価履歴'!$E:$E,K$1,'単価履歴'!$F:$F,$A25,'単価履歴'!$O:$O,
MAXIFS('単価履歴'!$O:$O,'単価履歴'!$E:$E,K$1,'単価履歴'!$F:$F,$A25))=0,"",
MAXIFS('単価履歴'!$H:$H,'単価履歴'!$E:$E,K$1,'単価履歴'!$F:$F,$A25,'単価履歴'!$O:$O,
MAXIFS('単価履歴'!$O:$O,'単価履歴'!$E:$E,K$1,'単価履歴'!$F:$F,$A25)))</f>
        <v/>
      </c>
      <c r="L25" s="275" t="str">
        <f>IF(MAXIFS('単価履歴'!$H:$H,'単価履歴'!$E:$E,L$1,'単価履歴'!$F:$F,$A25,'単価履歴'!$O:$O,
MAXIFS('単価履歴'!$O:$O,'単価履歴'!$E:$E,L$1,'単価履歴'!$F:$F,$A25))=0,"",
MAXIFS('単価履歴'!$H:$H,'単価履歴'!$E:$E,L$1,'単価履歴'!$F:$F,$A25,'単価履歴'!$O:$O,
MAXIFS('単価履歴'!$O:$O,'単価履歴'!$E:$E,L$1,'単価履歴'!$F:$F,$A25)))</f>
        <v/>
      </c>
      <c r="M25" s="250" t="str">
        <f>IF(MAXIFS('単価履歴'!$H:$H,'単価履歴'!$E:$E,M$1,'単価履歴'!$F:$F,$A25,'単価履歴'!$O:$O,
MAXIFS('単価履歴'!$O:$O,'単価履歴'!$E:$E,M$1,'単価履歴'!$F:$F,$A25))=0,"",
MAXIFS('単価履歴'!$H:$H,'単価履歴'!$E:$E,M$1,'単価履歴'!$F:$F,$A25,'単価履歴'!$O:$O,
MAXIFS('単価履歴'!$O:$O,'単価履歴'!$E:$E,M$1,'単価履歴'!$F:$F,$A25)))</f>
        <v/>
      </c>
      <c r="N25" s="275" t="str">
        <f>IF(MAXIFS('単価履歴'!$H:$H,'単価履歴'!$E:$E,N$1,'単価履歴'!$F:$F,$A25,'単価履歴'!$O:$O,
MAXIFS('単価履歴'!$O:$O,'単価履歴'!$E:$E,N$1,'単価履歴'!$F:$F,$A25))=0,"",
MAXIFS('単価履歴'!$H:$H,'単価履歴'!$E:$E,N$1,'単価履歴'!$F:$F,$A25,'単価履歴'!$O:$O,
MAXIFS('単価履歴'!$O:$O,'単価履歴'!$E:$E,N$1,'単価履歴'!$F:$F,$A25)))</f>
        <v/>
      </c>
      <c r="O25" s="250" t="str">
        <f>IF(MAXIFS('単価履歴'!$H:$H,'単価履歴'!$E:$E,O$1,'単価履歴'!$F:$F,$A25,'単価履歴'!$O:$O,
MAXIFS('単価履歴'!$O:$O,'単価履歴'!$E:$E,O$1,'単価履歴'!$F:$F,$A25))=0,"",
MAXIFS('単価履歴'!$H:$H,'単価履歴'!$E:$E,O$1,'単価履歴'!$F:$F,$A25,'単価履歴'!$O:$O,
MAXIFS('単価履歴'!$O:$O,'単価履歴'!$E:$E,O$1,'単価履歴'!$F:$F,$A25)))</f>
        <v/>
      </c>
      <c r="P25" s="251" t="str">
        <f>IF(MAXIFS('単価履歴'!$H:$H,'単価履歴'!$E:$E,P$1,'単価履歴'!$F:$F,$A25,'単価履歴'!$O:$O,
MAXIFS('単価履歴'!$O:$O,'単価履歴'!$E:$E,P$1,'単価履歴'!$F:$F,$A25))=0,"",
MAXIFS('単価履歴'!$H:$H,'単価履歴'!$E:$E,P$1,'単価履歴'!$F:$F,$A25,'単価履歴'!$O:$O,
MAXIFS('単価履歴'!$O:$O,'単価履歴'!$E:$E,P$1,'単価履歴'!$F:$F,$A25)))</f>
        <v/>
      </c>
      <c r="Q25" s="249" t="str">
        <f>IF(MAXIFS('単価履歴'!$H:$H,'単価履歴'!$E:$E,Q$1,'単価履歴'!$F:$F,$A25,'単価履歴'!$O:$O,
MAXIFS('単価履歴'!$O:$O,'単価履歴'!$E:$E,Q$1,'単価履歴'!$F:$F,$A25))=0,"",
MAXIFS('単価履歴'!$H:$H,'単価履歴'!$E:$E,Q$1,'単価履歴'!$F:$F,$A25,'単価履歴'!$O:$O,
MAXIFS('単価履歴'!$O:$O,'単価履歴'!$E:$E,Q$1,'単価履歴'!$F:$F,$A25)))</f>
        <v/>
      </c>
      <c r="R25" s="249" t="str">
        <f>IF(MAXIFS('単価履歴'!$H:$H,'単価履歴'!$E:$E,R$1,'単価履歴'!$F:$F,$A25,'単価履歴'!$O:$O,
MAXIFS('単価履歴'!$O:$O,'単価履歴'!$E:$E,R$1,'単価履歴'!$F:$F,$A25))=0,"",
MAXIFS('単価履歴'!$H:$H,'単価履歴'!$E:$E,R$1,'単価履歴'!$F:$F,$A25,'単価履歴'!$O:$O,
MAXIFS('単価履歴'!$O:$O,'単価履歴'!$E:$E,R$1,'単価履歴'!$F:$F,$A25)))</f>
        <v/>
      </c>
      <c r="S25" s="252" t="str">
        <f>IF(MAXIFS('単価履歴'!$H:$H,'単価履歴'!$E:$E,S$1,'単価履歴'!$F:$F,$A25,'単価履歴'!$O:$O,
MAXIFS('単価履歴'!$O:$O,'単価履歴'!$E:$E,S$1,'単価履歴'!$F:$F,$A25))=0,"",
MAXIFS('単価履歴'!$H:$H,'単価履歴'!$E:$E,S$1,'単価履歴'!$F:$F,$A25,'単価履歴'!$O:$O,
MAXIFS('単価履歴'!$O:$O,'単価履歴'!$E:$E,S$1,'単価履歴'!$F:$F,$A25)))</f>
        <v/>
      </c>
      <c r="T25" s="248" t="str">
        <f>IF(MAXIFS('単価履歴'!$H:$H,'単価履歴'!$E:$E,T$1,'単価履歴'!$F:$F,$A25,'単価履歴'!$O:$O,
MAXIFS('単価履歴'!$O:$O,'単価履歴'!$E:$E,T$1,'単価履歴'!$F:$F,$A25))=0,"",
MAXIFS('単価履歴'!$H:$H,'単価履歴'!$E:$E,T$1,'単価履歴'!$F:$F,$A25,'単価履歴'!$O:$O,
MAXIFS('単価履歴'!$O:$O,'単価履歴'!$E:$E,T$1,'単価履歴'!$F:$F,$A25)))</f>
        <v/>
      </c>
      <c r="U25" s="252" t="str">
        <f>IF(MAXIFS('単価履歴'!$H:$H,'単価履歴'!$E:$E,U$1,'単価履歴'!$F:$F,$A25,'単価履歴'!$O:$O,
MAXIFS('単価履歴'!$O:$O,'単価履歴'!$E:$E,U$1,'単価履歴'!$F:$F,$A25))=0,"",
MAXIFS('単価履歴'!$H:$H,'単価履歴'!$E:$E,U$1,'単価履歴'!$F:$F,$A25,'単価履歴'!$O:$O,
MAXIFS('単価履歴'!$O:$O,'単価履歴'!$E:$E,U$1,'単価履歴'!$F:$F,$A25)))</f>
        <v/>
      </c>
      <c r="V25" s="251" t="str">
        <f>IF(MAXIFS('単価履歴'!$H:$H,'単価履歴'!$E:$E,V$1,'単価履歴'!$F:$F,$A25,'単価履歴'!$O:$O,
MAXIFS('単価履歴'!$O:$O,'単価履歴'!$E:$E,V$1,'単価履歴'!$F:$F,$A25))=0,"",
MAXIFS('単価履歴'!$H:$H,'単価履歴'!$E:$E,V$1,'単価履歴'!$F:$F,$A25,'単価履歴'!$O:$O,
MAXIFS('単価履歴'!$O:$O,'単価履歴'!$E:$E,V$1,'単価履歴'!$F:$F,$A25)))</f>
        <v/>
      </c>
      <c r="W25" s="249" t="str">
        <f>IF(MAXIFS('単価履歴'!$H:$H,'単価履歴'!$E:$E,W$1,'単価履歴'!$F:$F,$A25,'単価履歴'!$O:$O,
MAXIFS('単価履歴'!$O:$O,'単価履歴'!$E:$E,W$1,'単価履歴'!$F:$F,$A25))=0,"",
MAXIFS('単価履歴'!$H:$H,'単価履歴'!$E:$E,W$1,'単価履歴'!$F:$F,$A25,'単価履歴'!$O:$O,
MAXIFS('単価履歴'!$O:$O,'単価履歴'!$E:$E,W$1,'単価履歴'!$F:$F,$A25)))</f>
        <v/>
      </c>
      <c r="X25" s="249" t="str">
        <f>IF(MAXIFS('単価履歴'!$H:$H,'単価履歴'!$E:$E,X$1,'単価履歴'!$F:$F,$A25,'単価履歴'!$O:$O,
MAXIFS('単価履歴'!$O:$O,'単価履歴'!$E:$E,X$1,'単価履歴'!$F:$F,$A25))=0,"",
MAXIFS('単価履歴'!$H:$H,'単価履歴'!$E:$E,X$1,'単価履歴'!$F:$F,$A25,'単価履歴'!$O:$O,
MAXIFS('単価履歴'!$O:$O,'単価履歴'!$E:$E,X$1,'単価履歴'!$F:$F,$A25)))</f>
        <v/>
      </c>
      <c r="Y25" s="251" t="str">
        <f>IF(MAXIFS('単価履歴'!$H:$H,'単価履歴'!$E:$E,Y$1,'単価履歴'!$F:$F,$A25,'単価履歴'!$O:$O,
MAXIFS('単価履歴'!$O:$O,'単価履歴'!$E:$E,Y$1,'単価履歴'!$F:$F,$A25))=0,"",
MAXIFS('単価履歴'!$H:$H,'単価履歴'!$E:$E,Y$1,'単価履歴'!$F:$F,$A25,'単価履歴'!$O:$O,
MAXIFS('単価履歴'!$O:$O,'単価履歴'!$E:$E,Y$1,'単価履歴'!$F:$F,$A25)))</f>
        <v/>
      </c>
      <c r="Z25" s="252" t="str">
        <f>IF(MAXIFS('単価履歴'!$H:$H,'単価履歴'!$E:$E,Z$1,'単価履歴'!$F:$F,$A25,'単価履歴'!$O:$O,
MAXIFS('単価履歴'!$O:$O,'単価履歴'!$E:$E,Z$1,'単価履歴'!$F:$F,$A25))=0,"",
MAXIFS('単価履歴'!$H:$H,'単価履歴'!$E:$E,Z$1,'単価履歴'!$F:$F,$A25,'単価履歴'!$O:$O,
MAXIFS('単価履歴'!$O:$O,'単価履歴'!$E:$E,Z$1,'単価履歴'!$F:$F,$A25)))</f>
        <v/>
      </c>
      <c r="AA25" s="249" t="str">
        <f>IF(MAXIFS('単価履歴'!$H:$H,'単価履歴'!$E:$E,AA$1,'単価履歴'!$F:$F,$A25,'単価履歴'!$O:$O,
MAXIFS('単価履歴'!$O:$O,'単価履歴'!$E:$E,AA$1,'単価履歴'!$F:$F,$A25))=0,"",
MAXIFS('単価履歴'!$H:$H,'単価履歴'!$E:$E,AA$1,'単価履歴'!$F:$F,$A25,'単価履歴'!$O:$O,
MAXIFS('単価履歴'!$O:$O,'単価履歴'!$E:$E,AA$1,'単価履歴'!$F:$F,$A25)))</f>
        <v/>
      </c>
      <c r="AB25" s="249" t="str">
        <f>IF(MAXIFS('単価履歴'!$H:$H,'単価履歴'!$E:$E,AB$1,'単価履歴'!$F:$F,$A25,'単価履歴'!$O:$O,
MAXIFS('単価履歴'!$O:$O,'単価履歴'!$E:$E,AB$1,'単価履歴'!$F:$F,$A25))=0,"",
MAXIFS('単価履歴'!$H:$H,'単価履歴'!$E:$E,AB$1,'単価履歴'!$F:$F,$A25,'単価履歴'!$O:$O,
MAXIFS('単価履歴'!$O:$O,'単価履歴'!$E:$E,AB$1,'単価履歴'!$F:$F,$A25)))</f>
        <v/>
      </c>
      <c r="AC25" s="251" t="str">
        <f>IF(MAXIFS('単価履歴'!$H:$H,'単価履歴'!$E:$E,AC$1,'単価履歴'!$F:$F,$A25,'単価履歴'!$O:$O,
MAXIFS('単価履歴'!$O:$O,'単価履歴'!$E:$E,AC$1,'単価履歴'!$F:$F,$A25))=0,"",
MAXIFS('単価履歴'!$H:$H,'単価履歴'!$E:$E,AC$1,'単価履歴'!$F:$F,$A25,'単価履歴'!$O:$O,
MAXIFS('単価履歴'!$O:$O,'単価履歴'!$E:$E,AC$1,'単価履歴'!$F:$F,$A25)))</f>
        <v/>
      </c>
      <c r="AD25" s="249" t="str">
        <f>IF(MAXIFS('単価履歴'!$H:$H,'単価履歴'!$E:$E,AD$1,'単価履歴'!$F:$F,$A25,'単価履歴'!$O:$O,
MAXIFS('単価履歴'!$O:$O,'単価履歴'!$E:$E,AD$1,'単価履歴'!$F:$F,$A25))=0,"",
MAXIFS('単価履歴'!$H:$H,'単価履歴'!$E:$E,AD$1,'単価履歴'!$F:$F,$A25,'単価履歴'!$O:$O,
MAXIFS('単価履歴'!$O:$O,'単価履歴'!$E:$E,AD$1,'単価履歴'!$F:$F,$A25)))</f>
        <v/>
      </c>
      <c r="AE25" s="249" t="str">
        <f>IF(MAXIFS('単価履歴'!$H:$H,'単価履歴'!$E:$E,AE$1,'単価履歴'!$F:$F,$A25,'単価履歴'!$O:$O,
MAXIFS('単価履歴'!$O:$O,'単価履歴'!$E:$E,AE$1,'単価履歴'!$F:$F,$A25))=0,"",
MAXIFS('単価履歴'!$H:$H,'単価履歴'!$E:$E,AE$1,'単価履歴'!$F:$F,$A25,'単価履歴'!$O:$O,
MAXIFS('単価履歴'!$O:$O,'単価履歴'!$E:$E,AE$1,'単価履歴'!$F:$F,$A25)))</f>
        <v/>
      </c>
      <c r="AF25" s="251" t="str">
        <f>IF(MAXIFS('単価履歴'!$H:$H,'単価履歴'!$E:$E,AF$1,'単価履歴'!$F:$F,$A25,'単価履歴'!$O:$O,
MAXIFS('単価履歴'!$O:$O,'単価履歴'!$E:$E,AF$1,'単価履歴'!$F:$F,$A25))=0,"",
MAXIFS('単価履歴'!$H:$H,'単価履歴'!$E:$E,AF$1,'単価履歴'!$F:$F,$A25,'単価履歴'!$O:$O,
MAXIFS('単価履歴'!$O:$O,'単価履歴'!$E:$E,AF$1,'単価履歴'!$F:$F,$A25)))</f>
        <v/>
      </c>
      <c r="AG25" s="249" t="str">
        <f>IF(MAXIFS('単価履歴'!$H:$H,'単価履歴'!$E:$E,AG$1,'単価履歴'!$F:$F,$A25,'単価履歴'!$O:$O,
MAXIFS('単価履歴'!$O:$O,'単価履歴'!$E:$E,AG$1,'単価履歴'!$F:$F,$A25))=0,"",
MAXIFS('単価履歴'!$H:$H,'単価履歴'!$E:$E,AG$1,'単価履歴'!$F:$F,$A25,'単価履歴'!$O:$O,
MAXIFS('単価履歴'!$O:$O,'単価履歴'!$E:$E,AG$1,'単価履歴'!$F:$F,$A25)))</f>
        <v/>
      </c>
      <c r="AH25" s="252" t="str">
        <f>IF(MAXIFS('単価履歴'!$H:$H,'単価履歴'!$E:$E,AH$1,'単価履歴'!$F:$F,$A25,'単価履歴'!$O:$O,
MAXIFS('単価履歴'!$O:$O,'単価履歴'!$E:$E,AH$1,'単価履歴'!$F:$F,$A25))=0,"",
MAXIFS('単価履歴'!$H:$H,'単価履歴'!$E:$E,AH$1,'単価履歴'!$F:$F,$A25,'単価履歴'!$O:$O,
MAXIFS('単価履歴'!$O:$O,'単価履歴'!$E:$E,AH$1,'単価履歴'!$F:$F,$A25)))</f>
        <v/>
      </c>
      <c r="AI25" s="249" t="str">
        <f>IF(MAXIFS('単価履歴'!$H:$H,'単価履歴'!$E:$E,AI$1,'単価履歴'!$F:$F,$A25,'単価履歴'!$O:$O,
MAXIFS('単価履歴'!$O:$O,'単価履歴'!$E:$E,AI$1,'単価履歴'!$F:$F,$A25))=0,"",
MAXIFS('単価履歴'!$H:$H,'単価履歴'!$E:$E,AI$1,'単価履歴'!$F:$F,$A25,'単価履歴'!$O:$O,
MAXIFS('単価履歴'!$O:$O,'単価履歴'!$E:$E,AI$1,'単価履歴'!$F:$F,$A25)))</f>
        <v/>
      </c>
      <c r="AJ25" s="251" t="str">
        <f>IF(MAXIFS('単価履歴'!$H:$H,'単価履歴'!$E:$E,AJ$1,'単価履歴'!$F:$F,$A25,'単価履歴'!$O:$O,
MAXIFS('単価履歴'!$O:$O,'単価履歴'!$E:$E,AJ$1,'単価履歴'!$F:$F,$A25))=0,"",
MAXIFS('単価履歴'!$H:$H,'単価履歴'!$E:$E,AJ$1,'単価履歴'!$F:$F,$A25,'単価履歴'!$O:$O,
MAXIFS('単価履歴'!$O:$O,'単価履歴'!$E:$E,AJ$1,'単価履歴'!$F:$F,$A25)))</f>
        <v/>
      </c>
      <c r="AK25" s="252" t="str">
        <f>IF(MAXIFS('単価履歴'!$H:$H,'単価履歴'!$E:$E,AK$1,'単価履歴'!$F:$F,$A25,'単価履歴'!$O:$O,
MAXIFS('単価履歴'!$O:$O,'単価履歴'!$E:$E,AK$1,'単価履歴'!$F:$F,$A25))=0,"",
MAXIFS('単価履歴'!$H:$H,'単価履歴'!$E:$E,AK$1,'単価履歴'!$F:$F,$A25,'単価履歴'!$O:$O,
MAXIFS('単価履歴'!$O:$O,'単価履歴'!$E:$E,AK$1,'単価履歴'!$F:$F,$A25)))</f>
        <v/>
      </c>
      <c r="AL25" s="249" t="str">
        <f>IF(MAXIFS('単価履歴'!$H:$H,'単価履歴'!$E:$E,AL$1,'単価履歴'!$F:$F,$A25,'単価履歴'!$O:$O,
MAXIFS('単価履歴'!$O:$O,'単価履歴'!$E:$E,AL$1,'単価履歴'!$F:$F,$A25))=0,"",
MAXIFS('単価履歴'!$H:$H,'単価履歴'!$E:$E,AL$1,'単価履歴'!$F:$F,$A25,'単価履歴'!$O:$O,
MAXIFS('単価履歴'!$O:$O,'単価履歴'!$E:$E,AL$1,'単価履歴'!$F:$F,$A25)))</f>
        <v/>
      </c>
      <c r="AM25" s="280">
        <f>IF(MAXIFS('単価履歴'!$H:$H,'単価履歴'!$E:$E,AM$1,'単価履歴'!$F:$F,$A25,'単価履歴'!$O:$O,
MAXIFS('単価履歴'!$O:$O,'単価履歴'!$E:$E,AM$1,'単価履歴'!$F:$F,$A25))=0,"",
MAXIFS('単価履歴'!$H:$H,'単価履歴'!$E:$E,AM$1,'単価履歴'!$F:$F,$A25,'単価履歴'!$O:$O,
MAXIFS('単価履歴'!$O:$O,'単価履歴'!$E:$E,AM$1,'単価履歴'!$F:$F,$A25)))</f>
        <v>45</v>
      </c>
      <c r="AN25" s="280" t="str">
        <f>IF(MAXIFS('単価履歴'!$H:$H,'単価履歴'!$E:$E,AN$1,'単価履歴'!$F:$F,$A25,'単価履歴'!$O:$O,
MAXIFS('単価履歴'!$O:$O,'単価履歴'!$E:$E,AN$1,'単価履歴'!$F:$F,$A25))=0,"",
MAXIFS('単価履歴'!$H:$H,'単価履歴'!$E:$E,AN$1,'単価履歴'!$F:$F,$A25,'単価履歴'!$O:$O,
MAXIFS('単価履歴'!$O:$O,'単価履歴'!$E:$E,AN$1,'単価履歴'!$F:$F,$A25)))</f>
        <v/>
      </c>
      <c r="AO25" s="249" t="str">
        <f>IF(MAXIFS('単価履歴'!$H:$H,'単価履歴'!$E:$E,AO$1,'単価履歴'!$F:$F,$A25,'単価履歴'!$O:$O,
MAXIFS('単価履歴'!$O:$O,'単価履歴'!$E:$E,AO$1,'単価履歴'!$F:$F,$A25))=0,"",
MAXIFS('単価履歴'!$H:$H,'単価履歴'!$E:$E,AO$1,'単価履歴'!$F:$F,$A25,'単価履歴'!$O:$O,
MAXIFS('単価履歴'!$O:$O,'単価履歴'!$E:$E,AO$1,'単価履歴'!$F:$F,$A25)))</f>
        <v/>
      </c>
      <c r="AP25" s="251" t="str">
        <f>IF(MAXIFS('単価履歴'!$H:$H,'単価履歴'!$E:$E,AP$1,'単価履歴'!$F:$F,$A25,'単価履歴'!$O:$O,
MAXIFS('単価履歴'!$O:$O,'単価履歴'!$E:$E,AP$1,'単価履歴'!$F:$F,$A25))=0,"",
MAXIFS('単価履歴'!$H:$H,'単価履歴'!$E:$E,AP$1,'単価履歴'!$F:$F,$A25,'単価履歴'!$O:$O,
MAXIFS('単価履歴'!$O:$O,'単価履歴'!$E:$E,AP$1,'単価履歴'!$F:$F,$A25)))</f>
        <v/>
      </c>
      <c r="AQ25" s="251" t="str">
        <f>IF(MAXIFS('単価履歴'!$H:$H,'単価履歴'!$E:$E,AQ$1,'単価履歴'!$F:$F,$A25,'単価履歴'!$O:$O,
MAXIFS('単価履歴'!$O:$O,'単価履歴'!$E:$E,AQ$1,'単価履歴'!$F:$F,$A25))=0,"",
MAXIFS('単価履歴'!$H:$H,'単価履歴'!$E:$E,AQ$1,'単価履歴'!$F:$F,$A25,'単価履歴'!$O:$O,
MAXIFS('単価履歴'!$O:$O,'単価履歴'!$E:$E,AQ$1,'単価履歴'!$F:$F,$A25)))</f>
        <v/>
      </c>
      <c r="AR25" s="249" t="str">
        <f>IF(MAXIFS('単価履歴'!$H:$H,'単価履歴'!$E:$E,AR$1,'単価履歴'!$F:$F,$A25,'単価履歴'!$O:$O,
MAXIFS('単価履歴'!$O:$O,'単価履歴'!$E:$E,AR$1,'単価履歴'!$F:$F,$A25))=0,"",
MAXIFS('単価履歴'!$H:$H,'単価履歴'!$E:$E,AR$1,'単価履歴'!$F:$F,$A25,'単価履歴'!$O:$O,
MAXIFS('単価履歴'!$O:$O,'単価履歴'!$E:$E,AR$1,'単価履歴'!$F:$F,$A25)))</f>
        <v/>
      </c>
      <c r="AS25" s="249" t="str">
        <f>IF(MAXIFS('単価履歴'!$H:$H,'単価履歴'!$E:$E,AS$1,'単価履歴'!$F:$F,$A25,'単価履歴'!$O:$O,
MAXIFS('単価履歴'!$O:$O,'単価履歴'!$E:$E,AS$1,'単価履歴'!$F:$F,$A25))=0,"",
MAXIFS('単価履歴'!$H:$H,'単価履歴'!$E:$E,AS$1,'単価履歴'!$F:$F,$A25,'単価履歴'!$O:$O,
MAXIFS('単価履歴'!$O:$O,'単価履歴'!$E:$E,AS$1,'単価履歴'!$F:$F,$A25)))</f>
        <v/>
      </c>
      <c r="AT25" s="251" t="str">
        <f>IF(MAXIFS('単価履歴'!$H:$H,'単価履歴'!$E:$E,AT$1,'単価履歴'!$F:$F,$A25,'単価履歴'!$O:$O,
MAXIFS('単価履歴'!$O:$O,'単価履歴'!$E:$E,AT$1,'単価履歴'!$F:$F,$A25))=0,"",
MAXIFS('単価履歴'!$H:$H,'単価履歴'!$E:$E,AT$1,'単価履歴'!$F:$F,$A25,'単価履歴'!$O:$O,
MAXIFS('単価履歴'!$O:$O,'単価履歴'!$E:$E,AT$1,'単価履歴'!$F:$F,$A25)))</f>
        <v/>
      </c>
      <c r="AU25" s="249" t="str">
        <f>IF(MAXIFS('単価履歴'!$H:$H,'単価履歴'!$E:$E,AU$1,'単価履歴'!$F:$F,$A25,'単価履歴'!$O:$O,
MAXIFS('単価履歴'!$O:$O,'単価履歴'!$E:$E,AU$1,'単価履歴'!$F:$F,$A25))=0,"",
MAXIFS('単価履歴'!$H:$H,'単価履歴'!$E:$E,AU$1,'単価履歴'!$F:$F,$A25,'単価履歴'!$O:$O,
MAXIFS('単価履歴'!$O:$O,'単価履歴'!$E:$E,AU$1,'単価履歴'!$F:$F,$A25)))</f>
        <v/>
      </c>
      <c r="AV25" s="251" t="str">
        <f>IF(MAXIFS('単価履歴'!$H:$H,'単価履歴'!$E:$E,AV$1,'単価履歴'!$F:$F,$A25,'単価履歴'!$O:$O,
MAXIFS('単価履歴'!$O:$O,'単価履歴'!$E:$E,AV$1,'単価履歴'!$F:$F,$A25))=0,"",
MAXIFS('単価履歴'!$H:$H,'単価履歴'!$E:$E,AV$1,'単価履歴'!$F:$F,$A25,'単価履歴'!$O:$O,
MAXIFS('単価履歴'!$O:$O,'単価履歴'!$E:$E,AV$1,'単価履歴'!$F:$F,$A25)))</f>
        <v/>
      </c>
      <c r="AW25" s="252" t="str">
        <f>IF(MAXIFS('単価履歴'!$H:$H,'単価履歴'!$E:$E,AW$1,'単価履歴'!$F:$F,$A25,'単価履歴'!$O:$O,
MAXIFS('単価履歴'!$O:$O,'単価履歴'!$E:$E,AW$1,'単価履歴'!$F:$F,$A25))=0,"",
MAXIFS('単価履歴'!$H:$H,'単価履歴'!$E:$E,AW$1,'単価履歴'!$F:$F,$A25,'単価履歴'!$O:$O,
MAXIFS('単価履歴'!$O:$O,'単価履歴'!$E:$E,AW$1,'単価履歴'!$F:$F,$A25)))</f>
        <v/>
      </c>
      <c r="AX25" s="251" t="str">
        <f>IF(MAXIFS('単価履歴'!$H:$H,'単価履歴'!$E:$E,AX$1,'単価履歴'!$F:$F,$A25,'単価履歴'!$O:$O,
MAXIFS('単価履歴'!$O:$O,'単価履歴'!$E:$E,AX$1,'単価履歴'!$F:$F,$A25))=0,"",
MAXIFS('単価履歴'!$H:$H,'単価履歴'!$E:$E,AX$1,'単価履歴'!$F:$F,$A25,'単価履歴'!$O:$O,
MAXIFS('単価履歴'!$O:$O,'単価履歴'!$E:$E,AX$1,'単価履歴'!$F:$F,$A25)))</f>
        <v/>
      </c>
      <c r="AY25" s="252" t="str">
        <f>IF(MAXIFS('単価履歴'!$H:$H,'単価履歴'!$E:$E,AY$1,'単価履歴'!$F:$F,$A25,'単価履歴'!$O:$O,
MAXIFS('単価履歴'!$O:$O,'単価履歴'!$E:$E,AY$1,'単価履歴'!$F:$F,$A25))=0,"",
MAXIFS('単価履歴'!$H:$H,'単価履歴'!$E:$E,AY$1,'単価履歴'!$F:$F,$A25,'単価履歴'!$O:$O,
MAXIFS('単価履歴'!$O:$O,'単価履歴'!$E:$E,AY$1,'単価履歴'!$F:$F,$A25)))</f>
        <v/>
      </c>
      <c r="AZ25" s="249"/>
      <c r="BA25" s="252" t="str">
        <f>IF(MAXIFS('単価履歴'!$H:$H,'単価履歴'!$E:$E,BA$1,'単価履歴'!$F:$F,$A25,'単価履歴'!$O:$O,
MAXIFS('単価履歴'!$O:$O,'単価履歴'!$E:$E,BA$1,'単価履歴'!$F:$F,$A25))=0,"",
MAXIFS('単価履歴'!$H:$H,'単価履歴'!$E:$E,BA$1,'単価履歴'!$F:$F,$A25,'単価履歴'!$O:$O,
MAXIFS('単価履歴'!$O:$O,'単価履歴'!$E:$E,BA$1,'単価履歴'!$F:$F,$A25)))</f>
        <v/>
      </c>
      <c r="BB25" s="249" t="str">
        <f>IF(MAXIFS('単価履歴'!$H:$H,'単価履歴'!$E:$E,BB$1,'単価履歴'!$F:$F,$A25,'単価履歴'!$O:$O,
MAXIFS('単価履歴'!$O:$O,'単価履歴'!$E:$E,BB$1,'単価履歴'!$F:$F,$A25))=0,"",
MAXIFS('単価履歴'!$H:$H,'単価履歴'!$E:$E,BB$1,'単価履歴'!$F:$F,$A25,'単価履歴'!$O:$O,
MAXIFS('単価履歴'!$O:$O,'単価履歴'!$E:$E,BB$1,'単価履歴'!$F:$F,$A25)))</f>
        <v/>
      </c>
      <c r="BC25" s="249" t="str">
        <f>IF(MAXIFS('単価履歴'!$H:$H,'単価履歴'!$E:$E,BC$1,'単価履歴'!$F:$F,$A25,'単価履歴'!$O:$O,
MAXIFS('単価履歴'!$O:$O,'単価履歴'!$E:$E,BC$1,'単価履歴'!$F:$F,$A25))=0,"",
MAXIFS('単価履歴'!$H:$H,'単価履歴'!$E:$E,BC$1,'単価履歴'!$F:$F,$A25,'単価履歴'!$O:$O,
MAXIFS('単価履歴'!$O:$O,'単価履歴'!$E:$E,BC$1,'単価履歴'!$F:$F,$A25)))</f>
        <v/>
      </c>
      <c r="BD25" s="249" t="str">
        <f>IF(MAXIFS('単価履歴'!$H:$H,'単価履歴'!$E:$E,BD$1,'単価履歴'!$F:$F,$A25,'単価履歴'!$O:$O,
MAXIFS('単価履歴'!$O:$O,'単価履歴'!$E:$E,BD$1,'単価履歴'!$F:$F,$A25))=0,"",
MAXIFS('単価履歴'!$H:$H,'単価履歴'!$E:$E,BD$1,'単価履歴'!$F:$F,$A25,'単価履歴'!$O:$O,
MAXIFS('単価履歴'!$O:$O,'単価履歴'!$E:$E,BD$1,'単価履歴'!$F:$F,$A25)))</f>
        <v/>
      </c>
      <c r="BE25" s="249" t="str">
        <f>IF(MAXIFS('単価履歴'!$H:$H,'単価履歴'!$E:$E,BE$1,'単価履歴'!$F:$F,$A25,'単価履歴'!$O:$O,
MAXIFS('単価履歴'!$O:$O,'単価履歴'!$E:$E,BE$1,'単価履歴'!$F:$F,$A25))=0,"",
MAXIFS('単価履歴'!$H:$H,'単価履歴'!$E:$E,BE$1,'単価履歴'!$F:$F,$A25,'単価履歴'!$O:$O,
MAXIFS('単価履歴'!$O:$O,'単価履歴'!$E:$E,BE$1,'単価履歴'!$F:$F,$A25)))</f>
        <v/>
      </c>
      <c r="BF25" s="248" t="str">
        <f>IF(MAXIFS('単価履歴'!$H:$H,'単価履歴'!$E:$E,BF$1,'単価履歴'!$F:$F,$A25,'単価履歴'!$O:$O,
MAXIFS('単価履歴'!$O:$O,'単価履歴'!$E:$E,BF$1,'単価履歴'!$F:$F,$A25))=0,"",
MAXIFS('単価履歴'!$H:$H,'単価履歴'!$E:$E,BF$1,'単価履歴'!$F:$F,$A25,'単価履歴'!$O:$O,
MAXIFS('単価履歴'!$O:$O,'単価履歴'!$E:$E,BF$1,'単価履歴'!$F:$F,$A25)))</f>
        <v/>
      </c>
      <c r="BG25" s="249" t="str">
        <f>IF(MAXIFS('単価履歴'!$H:$H,'単価履歴'!$E:$E,BG$1,'単価履歴'!$F:$F,$A25,'単価履歴'!$O:$O,
MAXIFS('単価履歴'!$O:$O,'単価履歴'!$E:$E,BG$1,'単価履歴'!$F:$F,$A25))=0,"",
MAXIFS('単価履歴'!$H:$H,'単価履歴'!$E:$E,BG$1,'単価履歴'!$F:$F,$A25,'単価履歴'!$O:$O,
MAXIFS('単価履歴'!$O:$O,'単価履歴'!$E:$E,BG$1,'単価履歴'!$F:$F,$A25)))</f>
        <v/>
      </c>
      <c r="BH25" s="251" t="str">
        <f>IF(MAXIFS('単価履歴'!$H:$H,'単価履歴'!$E:$E,BH$1,'単価履歴'!$F:$F,$A25,'単価履歴'!$O:$O,
MAXIFS('単価履歴'!$O:$O,'単価履歴'!$E:$E,BH$1,'単価履歴'!$F:$F,$A25))=0,"",
MAXIFS('単価履歴'!$H:$H,'単価履歴'!$E:$E,BH$1,'単価履歴'!$F:$F,$A25,'単価履歴'!$O:$O,
MAXIFS('単価履歴'!$O:$O,'単価履歴'!$E:$E,BH$1,'単価履歴'!$F:$F,$A25)))</f>
        <v/>
      </c>
      <c r="BI25" s="249" t="str">
        <f>IF(MAXIFS('単価履歴'!$H:$H,'単価履歴'!$E:$E,BI$1,'単価履歴'!$F:$F,$A25,'単価履歴'!$O:$O,
MAXIFS('単価履歴'!$O:$O,'単価履歴'!$E:$E,BI$1,'単価履歴'!$F:$F,$A25))=0,"",
MAXIFS('単価履歴'!$H:$H,'単価履歴'!$E:$E,BI$1,'単価履歴'!$F:$F,$A25,'単価履歴'!$O:$O,
MAXIFS('単価履歴'!$O:$O,'単価履歴'!$E:$E,BI$1,'単価履歴'!$F:$F,$A25)))</f>
        <v/>
      </c>
      <c r="BJ25" s="248" t="str">
        <f>IF(MAXIFS('単価履歴'!$H:$H,'単価履歴'!$E:$E,BJ$1,'単価履歴'!$F:$F,$A25,'単価履歴'!$O:$O,
MAXIFS('単価履歴'!$O:$O,'単価履歴'!$E:$E,BJ$1,'単価履歴'!$F:$F,$A25))=0,"",
MAXIFS('単価履歴'!$H:$H,'単価履歴'!$E:$E,BJ$1,'単価履歴'!$F:$F,$A25,'単価履歴'!$O:$O,
MAXIFS('単価履歴'!$O:$O,'単価履歴'!$E:$E,BJ$1,'単価履歴'!$F:$F,$A25)))</f>
        <v/>
      </c>
      <c r="BK25" s="249" t="str">
        <f>IF(MAXIFS('単価履歴'!$H:$H,'単価履歴'!$E:$E,BK$1,'単価履歴'!$F:$F,$A25,'単価履歴'!$O:$O,
MAXIFS('単価履歴'!$O:$O,'単価履歴'!$E:$E,BK$1,'単価履歴'!$F:$F,$A25))=0,"",
MAXIFS('単価履歴'!$H:$H,'単価履歴'!$E:$E,BK$1,'単価履歴'!$F:$F,$A25,'単価履歴'!$O:$O,
MAXIFS('単価履歴'!$O:$O,'単価履歴'!$E:$E,BK$1,'単価履歴'!$F:$F,$A25)))</f>
        <v/>
      </c>
      <c r="BL25" s="251" t="str">
        <f>IF(MAXIFS('単価履歴'!$H:$H,'単価履歴'!$E:$E,BL$1,'単価履歴'!$F:$F,$A25,'単価履歴'!$O:$O,
MAXIFS('単価履歴'!$O:$O,'単価履歴'!$E:$E,BL$1,'単価履歴'!$F:$F,$A25))=0,"",
MAXIFS('単価履歴'!$H:$H,'単価履歴'!$E:$E,BL$1,'単価履歴'!$F:$F,$A25,'単価履歴'!$O:$O,
MAXIFS('単価履歴'!$O:$O,'単価履歴'!$E:$E,BL$1,'単価履歴'!$F:$F,$A25)))</f>
        <v/>
      </c>
      <c r="BM25" s="283">
        <f>IF(MAXIFS('単価履歴'!$H:$H,'単価履歴'!$E:$E,BM$1,'単価履歴'!$F:$F,$A25,'単価履歴'!$O:$O,
MAXIFS('単価履歴'!$O:$O,'単価履歴'!$E:$E,BM$1,'単価履歴'!$F:$F,$A25))=0,"",
MAXIFS('単価履歴'!$H:$H,'単価履歴'!$E:$E,BM$1,'単価履歴'!$F:$F,$A25,'単価履歴'!$O:$O,
MAXIFS('単価履歴'!$O:$O,'単価履歴'!$E:$E,BM$1,'単価履歴'!$F:$F,$A25)))</f>
        <v>36</v>
      </c>
      <c r="BN25" s="249" t="str">
        <f>IF(MAXIFS('単価履歴'!$H:$H,'単価履歴'!$E:$E,BN$1,'単価履歴'!$F:$F,$A25,'単価履歴'!$O:$O,
MAXIFS('単価履歴'!$O:$O,'単価履歴'!$E:$E,BN$1,'単価履歴'!$F:$F,$A25))=0,"",
MAXIFS('単価履歴'!$H:$H,'単価履歴'!$E:$E,BN$1,'単価履歴'!$F:$F,$A25,'単価履歴'!$O:$O,
MAXIFS('単価履歴'!$O:$O,'単価履歴'!$E:$E,BN$1,'単価履歴'!$F:$F,$A25)))</f>
        <v/>
      </c>
      <c r="BO25" s="248" t="str">
        <f>IF(MAXIFS('単価履歴'!$H:$H,'単価履歴'!$E:$E,BO$1,'単価履歴'!$F:$F,$A25,'単価履歴'!$O:$O,
MAXIFS('単価履歴'!$O:$O,'単価履歴'!$E:$E,BO$1,'単価履歴'!$F:$F,$A25))=0,"",
MAXIFS('単価履歴'!$H:$H,'単価履歴'!$E:$E,BO$1,'単価履歴'!$F:$F,$A25,'単価履歴'!$O:$O,
MAXIFS('単価履歴'!$O:$O,'単価履歴'!$E:$E,BO$1,'単価履歴'!$F:$F,$A25)))</f>
        <v/>
      </c>
      <c r="BP25" s="249" t="str">
        <f>IF(MAXIFS('単価履歴'!$H:$H,'単価履歴'!$E:$E,BP$1,'単価履歴'!$F:$F,$A25,'単価履歴'!$O:$O,
MAXIFS('単価履歴'!$O:$O,'単価履歴'!$E:$E,BP$1,'単価履歴'!$F:$F,$A25))=0,"",
MAXIFS('単価履歴'!$H:$H,'単価履歴'!$E:$E,BP$1,'単価履歴'!$F:$F,$A25,'単価履歴'!$O:$O,
MAXIFS('単価履歴'!$O:$O,'単価履歴'!$E:$E,BP$1,'単価履歴'!$F:$F,$A25)))</f>
        <v/>
      </c>
      <c r="BQ25" s="249" t="str">
        <f>IF(MAXIFS('単価履歴'!$H:$H,'単価履歴'!$E:$E,BQ$1,'単価履歴'!$F:$F,$A25,'単価履歴'!$O:$O,
MAXIFS('単価履歴'!$O:$O,'単価履歴'!$E:$E,BQ$1,'単価履歴'!$F:$F,$A25))=0,"",
MAXIFS('単価履歴'!$H:$H,'単価履歴'!$E:$E,BQ$1,'単価履歴'!$F:$F,$A25,'単価履歴'!$O:$O,
MAXIFS('単価履歴'!$O:$O,'単価履歴'!$E:$E,BQ$1,'単価履歴'!$F:$F,$A25)))</f>
        <v/>
      </c>
      <c r="BR25" s="252" t="str">
        <f>IF(MAXIFS('単価履歴'!$H:$H,'単価履歴'!$E:$E,BR$1,'単価履歴'!$F:$F,$A25,'単価履歴'!$O:$O,
MAXIFS('単価履歴'!$O:$O,'単価履歴'!$E:$E,BR$1,'単価履歴'!$F:$F,$A25))=0,"",
MAXIFS('単価履歴'!$H:$H,'単価履歴'!$E:$E,BR$1,'単価履歴'!$F:$F,$A25,'単価履歴'!$O:$O,
MAXIFS('単価履歴'!$O:$O,'単価履歴'!$E:$E,BR$1,'単価履歴'!$F:$F,$A25)))</f>
        <v/>
      </c>
      <c r="BS25" s="252" t="str">
        <f>IF(MAXIFS('単価履歴'!$H:$H,'単価履歴'!$E:$E,BS$1,'単価履歴'!$F:$F,$A25,'単価履歴'!$O:$O,
MAXIFS('単価履歴'!$O:$O,'単価履歴'!$E:$E,BS$1,'単価履歴'!$F:$F,$A25))=0,"",
MAXIFS('単価履歴'!$H:$H,'単価履歴'!$E:$E,BS$1,'単価履歴'!$F:$F,$A25,'単価履歴'!$O:$O,
MAXIFS('単価履歴'!$O:$O,'単価履歴'!$E:$E,BS$1,'単価履歴'!$F:$F,$A25)))</f>
        <v/>
      </c>
      <c r="BT25" s="252" t="str">
        <f>IF(MAXIFS('単価履歴'!$H:$H,'単価履歴'!$E:$E,BT$1,'単価履歴'!$F:$F,$A25,'単価履歴'!$O:$O,
MAXIFS('単価履歴'!$O:$O,'単価履歴'!$E:$E,BT$1,'単価履歴'!$F:$F,$A25))=0,"",
MAXIFS('単価履歴'!$H:$H,'単価履歴'!$E:$E,BT$1,'単価履歴'!$F:$F,$A25,'単価履歴'!$O:$O,
MAXIFS('単価履歴'!$O:$O,'単価履歴'!$E:$E,BT$1,'単価履歴'!$F:$F,$A25)))</f>
        <v/>
      </c>
      <c r="BU25" s="252" t="str">
        <f>IF(MAXIFS('単価履歴'!$H:$H,'単価履歴'!$E:$E,BU$1,'単価履歴'!$F:$F,$A25,'単価履歴'!$O:$O,
MAXIFS('単価履歴'!$O:$O,'単価履歴'!$E:$E,BU$1,'単価履歴'!$F:$F,$A25))=0,"",
MAXIFS('単価履歴'!$H:$H,'単価履歴'!$E:$E,BU$1,'単価履歴'!$F:$F,$A25,'単価履歴'!$O:$O,
MAXIFS('単価履歴'!$O:$O,'単価履歴'!$E:$E,BU$1,'単価履歴'!$F:$F,$A25)))</f>
        <v/>
      </c>
      <c r="BV25" s="252" t="str">
        <f>IF(MAXIFS('単価履歴'!$H:$H,'単価履歴'!$E:$E,BV$1,'単価履歴'!$F:$F,$A25,'単価履歴'!$O:$O,
MAXIFS('単価履歴'!$O:$O,'単価履歴'!$E:$E,BV$1,'単価履歴'!$F:$F,$A25))=0,"",
MAXIFS('単価履歴'!$H:$H,'単価履歴'!$E:$E,BV$1,'単価履歴'!$F:$F,$A25,'単価履歴'!$O:$O,
MAXIFS('単価履歴'!$O:$O,'単価履歴'!$E:$E,BV$1,'単価履歴'!$F:$F,$A25)))</f>
        <v/>
      </c>
      <c r="BW25" s="248" t="str">
        <f>IF(MAXIFS('単価履歴'!$H:$H,'単価履歴'!$E:$E,BW$1,'単価履歴'!$F:$F,$A25,'単価履歴'!$O:$O,
MAXIFS('単価履歴'!$O:$O,'単価履歴'!$E:$E,BW$1,'単価履歴'!$F:$F,$A25))=0,"",
MAXIFS('単価履歴'!$H:$H,'単価履歴'!$E:$E,BW$1,'単価履歴'!$F:$F,$A25,'単価履歴'!$O:$O,
MAXIFS('単価履歴'!$O:$O,'単価履歴'!$E:$E,BW$1,'単価履歴'!$F:$F,$A25)))</f>
        <v/>
      </c>
      <c r="BX25" s="249" t="str">
        <f>IF(MAXIFS('単価履歴'!$H:$H,'単価履歴'!$E:$E,BX$1,'単価履歴'!$F:$F,$A25,'単価履歴'!$O:$O,
MAXIFS('単価履歴'!$O:$O,'単価履歴'!$E:$E,BX$1,'単価履歴'!$F:$F,$A25))=0,"",
MAXIFS('単価履歴'!$H:$H,'単価履歴'!$E:$E,BX$1,'単価履歴'!$F:$F,$A25,'単価履歴'!$O:$O,
MAXIFS('単価履歴'!$O:$O,'単価履歴'!$E:$E,BX$1,'単価履歴'!$F:$F,$A25)))</f>
        <v/>
      </c>
      <c r="BY25" s="252" t="str">
        <f>IF(MAXIFS('単価履歴'!$H:$H,'単価履歴'!$E:$E,BY$1,'単価履歴'!$F:$F,$A25,'単価履歴'!$O:$O,
MAXIFS('単価履歴'!$O:$O,'単価履歴'!$E:$E,BY$1,'単価履歴'!$F:$F,$A25))=0,"",
MAXIFS('単価履歴'!$H:$H,'単価履歴'!$E:$E,BY$1,'単価履歴'!$F:$F,$A25,'単価履歴'!$O:$O,
MAXIFS('単価履歴'!$O:$O,'単価履歴'!$E:$E,BY$1,'単価履歴'!$F:$F,$A25)))</f>
        <v/>
      </c>
      <c r="BZ25" s="249"/>
      <c r="CA25" s="249"/>
      <c r="CB25" s="249"/>
      <c r="CC25" s="249"/>
      <c r="CD25" s="249"/>
      <c r="CE25" s="249"/>
      <c r="CF25" s="249"/>
      <c r="CG25" s="249"/>
    </row>
    <row r="26">
      <c r="A26" s="261" t="s">
        <v>145</v>
      </c>
      <c r="B26" s="246">
        <f>IF(MAXIFS('単価履歴'!$H:$H,'単価履歴'!$E:$E,B$1,'単価履歴'!$F:$F,$A26,'単価履歴'!$O:$O,
MAXIFS('単価履歴'!$O:$O,'単価履歴'!$E:$E,B$1,'単価履歴'!$F:$F,$A26))=0,"",
MAXIFS('単価履歴'!$H:$H,'単価履歴'!$E:$E,B$1,'単価履歴'!$F:$F,$A26,'単価履歴'!$O:$O,
MAXIFS('単価履歴'!$O:$O,'単価履歴'!$E:$E,B$1,'単価履歴'!$F:$F,$A26)))</f>
        <v>54.5</v>
      </c>
      <c r="C26" s="254"/>
      <c r="D26" s="256"/>
      <c r="E26" s="256"/>
      <c r="F26" s="256"/>
      <c r="G26" s="263"/>
      <c r="H26" s="256"/>
      <c r="I26" s="256"/>
      <c r="J26" s="263"/>
      <c r="K26" s="250">
        <f>IF(MAXIFS('単価履歴'!$H:$H,'単価履歴'!$E:$E,K$1,'単価履歴'!$F:$F,$A26,'単価履歴'!$O:$O,
MAXIFS('単価履歴'!$O:$O,'単価履歴'!$E:$E,K$1,'単価履歴'!$F:$F,$A26))=0,"",
MAXIFS('単価履歴'!$H:$H,'単価履歴'!$E:$E,K$1,'単価履歴'!$F:$F,$A26,'単価履歴'!$O:$O,
MAXIFS('単価履歴'!$O:$O,'単価履歴'!$E:$E,K$1,'単価履歴'!$F:$F,$A26)))</f>
        <v>40</v>
      </c>
      <c r="L26" s="250">
        <f>IF(MAXIFS('単価履歴'!$H:$H,'単価履歴'!$E:$E,L$1,'単価履歴'!$F:$F,$A26,'単価履歴'!$O:$O,
MAXIFS('単価履歴'!$O:$O,'単価履歴'!$E:$E,L$1,'単価履歴'!$F:$F,$A26))=0,"",
MAXIFS('単価履歴'!$H:$H,'単価履歴'!$E:$E,L$1,'単価履歴'!$F:$F,$A26,'単価履歴'!$O:$O,
MAXIFS('単価履歴'!$O:$O,'単価履歴'!$E:$E,L$1,'単価履歴'!$F:$F,$A26)))</f>
        <v>39.7</v>
      </c>
      <c r="M26" s="250"/>
      <c r="N26" s="275"/>
      <c r="O26" s="250" t="str">
        <f>IF(MAXIFS('単価履歴'!$H:$H,'単価履歴'!$E:$E,O$1,'単価履歴'!$F:$F,$A26,'単価履歴'!$O:$O,
MAXIFS('単価履歴'!$O:$O,'単価履歴'!$E:$E,O$1,'単価履歴'!$F:$F,$A26))=0,"",
MAXIFS('単価履歴'!$H:$H,'単価履歴'!$E:$E,O$1,'単価履歴'!$F:$F,$A26,'単価履歴'!$O:$O,
MAXIFS('単価履歴'!$O:$O,'単価履歴'!$E:$E,O$1,'単価履歴'!$F:$F,$A26)))</f>
        <v/>
      </c>
      <c r="P26" s="254" t="str">
        <f>IF(MAXIFS('単価履歴'!$H:$H,'単価履歴'!$E:$E,P$1,'単価履歴'!$F:$F,$A26,'単価履歴'!$O:$O,
MAXIFS('単価履歴'!$O:$O,'単価履歴'!$E:$E,P$1,'単価履歴'!$F:$F,$A26))=0,"",
MAXIFS('単価履歴'!$H:$H,'単価履歴'!$E:$E,P$1,'単価履歴'!$F:$F,$A26,'単価履歴'!$O:$O,
MAXIFS('単価履歴'!$O:$O,'単価履歴'!$E:$E,P$1,'単価履歴'!$F:$F,$A26)))</f>
        <v/>
      </c>
      <c r="Q26" s="256" t="str">
        <f>IF(MAXIFS('単価履歴'!$H:$H,'単価履歴'!$E:$E,Q$1,'単価履歴'!$F:$F,$A26,'単価履歴'!$O:$O,
MAXIFS('単価履歴'!$O:$O,'単価履歴'!$E:$E,Q$1,'単価履歴'!$F:$F,$A26))=0,"",
MAXIFS('単価履歴'!$H:$H,'単価履歴'!$E:$E,Q$1,'単価履歴'!$F:$F,$A26,'単価履歴'!$O:$O,
MAXIFS('単価履歴'!$O:$O,'単価履歴'!$E:$E,Q$1,'単価履歴'!$F:$F,$A26)))</f>
        <v/>
      </c>
      <c r="R26" s="256" t="str">
        <f>IF(MAXIFS('単価履歴'!$H:$H,'単価履歴'!$E:$E,R$1,'単価履歴'!$F:$F,$A26,'単価履歴'!$O:$O,
MAXIFS('単価履歴'!$O:$O,'単価履歴'!$E:$E,R$1,'単価履歴'!$F:$F,$A26))=0,"",
MAXIFS('単価履歴'!$H:$H,'単価履歴'!$E:$E,R$1,'単価履歴'!$F:$F,$A26,'単価履歴'!$O:$O,
MAXIFS('単価履歴'!$O:$O,'単価履歴'!$E:$E,R$1,'単価履歴'!$F:$F,$A26)))</f>
        <v/>
      </c>
      <c r="S26" s="264" t="str">
        <f>IF(MAXIFS('単価履歴'!$H:$H,'単価履歴'!$E:$E,S$1,'単価履歴'!$F:$F,$A26,'単価履歴'!$O:$O,
MAXIFS('単価履歴'!$O:$O,'単価履歴'!$E:$E,S$1,'単価履歴'!$F:$F,$A26))=0,"",
MAXIFS('単価履歴'!$H:$H,'単価履歴'!$E:$E,S$1,'単価履歴'!$F:$F,$A26,'単価履歴'!$O:$O,
MAXIFS('単価履歴'!$O:$O,'単価履歴'!$E:$E,S$1,'単価履歴'!$F:$F,$A26)))</f>
        <v/>
      </c>
      <c r="T26" s="263" t="str">
        <f>IF(MAXIFS('単価履歴'!$H:$H,'単価履歴'!$E:$E,T$1,'単価履歴'!$F:$F,$A26,'単価履歴'!$O:$O,
MAXIFS('単価履歴'!$O:$O,'単価履歴'!$E:$E,T$1,'単価履歴'!$F:$F,$A26))=0,"",
MAXIFS('単価履歴'!$H:$H,'単価履歴'!$E:$E,T$1,'単価履歴'!$F:$F,$A26,'単価履歴'!$O:$O,
MAXIFS('単価履歴'!$O:$O,'単価履歴'!$E:$E,T$1,'単価履歴'!$F:$F,$A26)))</f>
        <v/>
      </c>
      <c r="U26" s="264" t="str">
        <f>IF(MAXIFS('単価履歴'!$H:$H,'単価履歴'!$E:$E,U$1,'単価履歴'!$F:$F,$A26,'単価履歴'!$O:$O,
MAXIFS('単価履歴'!$O:$O,'単価履歴'!$E:$E,U$1,'単価履歴'!$F:$F,$A26))=0,"",
MAXIFS('単価履歴'!$H:$H,'単価履歴'!$E:$E,U$1,'単価履歴'!$F:$F,$A26,'単価履歴'!$O:$O,
MAXIFS('単価履歴'!$O:$O,'単価履歴'!$E:$E,U$1,'単価履歴'!$F:$F,$A26)))</f>
        <v/>
      </c>
      <c r="V26" s="254" t="str">
        <f>IF(MAXIFS('単価履歴'!$H:$H,'単価履歴'!$E:$E,V$1,'単価履歴'!$F:$F,$A26,'単価履歴'!$O:$O,
MAXIFS('単価履歴'!$O:$O,'単価履歴'!$E:$E,V$1,'単価履歴'!$F:$F,$A26))=0,"",
MAXIFS('単価履歴'!$H:$H,'単価履歴'!$E:$E,V$1,'単価履歴'!$F:$F,$A26,'単価履歴'!$O:$O,
MAXIFS('単価履歴'!$O:$O,'単価履歴'!$E:$E,V$1,'単価履歴'!$F:$F,$A26)))</f>
        <v/>
      </c>
      <c r="W26" s="256" t="str">
        <f>IF(MAXIFS('単価履歴'!$H:$H,'単価履歴'!$E:$E,W$1,'単価履歴'!$F:$F,$A26,'単価履歴'!$O:$O,
MAXIFS('単価履歴'!$O:$O,'単価履歴'!$E:$E,W$1,'単価履歴'!$F:$F,$A26))=0,"",
MAXIFS('単価履歴'!$H:$H,'単価履歴'!$E:$E,W$1,'単価履歴'!$F:$F,$A26,'単価履歴'!$O:$O,
MAXIFS('単価履歴'!$O:$O,'単価履歴'!$E:$E,W$1,'単価履歴'!$F:$F,$A26)))</f>
        <v/>
      </c>
      <c r="X26" s="256" t="str">
        <f>IF(MAXIFS('単価履歴'!$H:$H,'単価履歴'!$E:$E,X$1,'単価履歴'!$F:$F,$A26,'単価履歴'!$O:$O,
MAXIFS('単価履歴'!$O:$O,'単価履歴'!$E:$E,X$1,'単価履歴'!$F:$F,$A26))=0,"",
MAXIFS('単価履歴'!$H:$H,'単価履歴'!$E:$E,X$1,'単価履歴'!$F:$F,$A26,'単価履歴'!$O:$O,
MAXIFS('単価履歴'!$O:$O,'単価履歴'!$E:$E,X$1,'単価履歴'!$F:$F,$A26)))</f>
        <v/>
      </c>
      <c r="Y26" s="254" t="str">
        <f>IF(MAXIFS('単価履歴'!$H:$H,'単価履歴'!$E:$E,Y$1,'単価履歴'!$F:$F,$A26,'単価履歴'!$O:$O,
MAXIFS('単価履歴'!$O:$O,'単価履歴'!$E:$E,Y$1,'単価履歴'!$F:$F,$A26))=0,"",
MAXIFS('単価履歴'!$H:$H,'単価履歴'!$E:$E,Y$1,'単価履歴'!$F:$F,$A26,'単価履歴'!$O:$O,
MAXIFS('単価履歴'!$O:$O,'単価履歴'!$E:$E,Y$1,'単価履歴'!$F:$F,$A26)))</f>
        <v/>
      </c>
      <c r="Z26" s="284">
        <f>IF(MAXIFS('単価履歴'!$H:$H,'単価履歴'!$E:$E,Z$1,'単価履歴'!$F:$F,$A26,'単価履歴'!$O:$O,
MAXIFS('単価履歴'!$O:$O,'単価履歴'!$E:$E,Z$1,'単価履歴'!$F:$F,$A26))=0,"",
MAXIFS('単価履歴'!$H:$H,'単価履歴'!$E:$E,Z$1,'単価履歴'!$F:$F,$A26,'単価履歴'!$O:$O,
MAXIFS('単価履歴'!$O:$O,'単価履歴'!$E:$E,Z$1,'単価履歴'!$F:$F,$A26)))</f>
        <v>44</v>
      </c>
      <c r="AA26" s="256" t="str">
        <f>IF(MAXIFS('単価履歴'!$H:$H,'単価履歴'!$E:$E,AA$1,'単価履歴'!$F:$F,$A26,'単価履歴'!$O:$O,
MAXIFS('単価履歴'!$O:$O,'単価履歴'!$E:$E,AA$1,'単価履歴'!$F:$F,$A26))=0,"",
MAXIFS('単価履歴'!$H:$H,'単価履歴'!$E:$E,AA$1,'単価履歴'!$F:$F,$A26,'単価履歴'!$O:$O,
MAXIFS('単価履歴'!$O:$O,'単価履歴'!$E:$E,AA$1,'単価履歴'!$F:$F,$A26)))</f>
        <v/>
      </c>
      <c r="AB26" s="256" t="str">
        <f>IF(MAXIFS('単価履歴'!$H:$H,'単価履歴'!$E:$E,AB$1,'単価履歴'!$F:$F,$A26,'単価履歴'!$O:$O,
MAXIFS('単価履歴'!$O:$O,'単価履歴'!$E:$E,AB$1,'単価履歴'!$F:$F,$A26))=0,"",
MAXIFS('単価履歴'!$H:$H,'単価履歴'!$E:$E,AB$1,'単価履歴'!$F:$F,$A26,'単価履歴'!$O:$O,
MAXIFS('単価履歴'!$O:$O,'単価履歴'!$E:$E,AB$1,'単価履歴'!$F:$F,$A26)))</f>
        <v/>
      </c>
      <c r="AC26" s="251">
        <f>IF(MAXIFS('単価履歴'!$H:$H,'単価履歴'!$E:$E,AC$1,'単価履歴'!$F:$F,$A26,'単価履歴'!$O:$O,
MAXIFS('単価履歴'!$O:$O,'単価履歴'!$E:$E,AC$1,'単価履歴'!$F:$F,$A26))=0,"",
MAXIFS('単価履歴'!$H:$H,'単価履歴'!$E:$E,AC$1,'単価履歴'!$F:$F,$A26,'単価履歴'!$O:$O,
MAXIFS('単価履歴'!$O:$O,'単価履歴'!$E:$E,AC$1,'単価履歴'!$F:$F,$A26)))</f>
        <v>45</v>
      </c>
      <c r="AD26" s="249" t="str">
        <f>IF(MAXIFS('単価履歴'!$H:$H,'単価履歴'!$E:$E,AD$1,'単価履歴'!$F:$F,$A26,'単価履歴'!$O:$O,
MAXIFS('単価履歴'!$O:$O,'単価履歴'!$E:$E,AD$1,'単価履歴'!$F:$F,$A26))=0,"",
MAXIFS('単価履歴'!$H:$H,'単価履歴'!$E:$E,AD$1,'単価履歴'!$F:$F,$A26,'単価履歴'!$O:$O,
MAXIFS('単価履歴'!$O:$O,'単価履歴'!$E:$E,AD$1,'単価履歴'!$F:$F,$A26)))</f>
        <v/>
      </c>
      <c r="AE26" s="256" t="str">
        <f>IF(MAXIFS('単価履歴'!$H:$H,'単価履歴'!$E:$E,AE$1,'単価履歴'!$F:$F,$A26,'単価履歴'!$O:$O,
MAXIFS('単価履歴'!$O:$O,'単価履歴'!$E:$E,AE$1,'単価履歴'!$F:$F,$A26))=0,"",
MAXIFS('単価履歴'!$H:$H,'単価履歴'!$E:$E,AE$1,'単価履歴'!$F:$F,$A26,'単価履歴'!$O:$O,
MAXIFS('単価履歴'!$O:$O,'単価履歴'!$E:$E,AE$1,'単価履歴'!$F:$F,$A26)))</f>
        <v/>
      </c>
      <c r="AF26" s="254" t="str">
        <f>IF(MAXIFS('単価履歴'!$H:$H,'単価履歴'!$E:$E,AF$1,'単価履歴'!$F:$F,$A26,'単価履歴'!$O:$O,
MAXIFS('単価履歴'!$O:$O,'単価履歴'!$E:$E,AF$1,'単価履歴'!$F:$F,$A26))=0,"",
MAXIFS('単価履歴'!$H:$H,'単価履歴'!$E:$E,AF$1,'単価履歴'!$F:$F,$A26,'単価履歴'!$O:$O,
MAXIFS('単価履歴'!$O:$O,'単価履歴'!$E:$E,AF$1,'単価履歴'!$F:$F,$A26)))</f>
        <v/>
      </c>
      <c r="AG26" s="256" t="str">
        <f>IF(MAXIFS('単価履歴'!$H:$H,'単価履歴'!$E:$E,AG$1,'単価履歴'!$F:$F,$A26,'単価履歴'!$O:$O,
MAXIFS('単価履歴'!$O:$O,'単価履歴'!$E:$E,AG$1,'単価履歴'!$F:$F,$A26))=0,"",
MAXIFS('単価履歴'!$H:$H,'単価履歴'!$E:$E,AG$1,'単価履歴'!$F:$F,$A26,'単価履歴'!$O:$O,
MAXIFS('単価履歴'!$O:$O,'単価履歴'!$E:$E,AG$1,'単価履歴'!$F:$F,$A26)))</f>
        <v/>
      </c>
      <c r="AH26" s="264" t="str">
        <f>IF(MAXIFS('単価履歴'!$H:$H,'単価履歴'!$E:$E,AH$1,'単価履歴'!$F:$F,$A26,'単価履歴'!$O:$O,
MAXIFS('単価履歴'!$O:$O,'単価履歴'!$E:$E,AH$1,'単価履歴'!$F:$F,$A26))=0,"",
MAXIFS('単価履歴'!$H:$H,'単価履歴'!$E:$E,AH$1,'単価履歴'!$F:$F,$A26,'単価履歴'!$O:$O,
MAXIFS('単価履歴'!$O:$O,'単価履歴'!$E:$E,AH$1,'単価履歴'!$F:$F,$A26)))</f>
        <v/>
      </c>
      <c r="AI26" s="256" t="str">
        <f>IF(MAXIFS('単価履歴'!$H:$H,'単価履歴'!$E:$E,AI$1,'単価履歴'!$F:$F,$A26,'単価履歴'!$O:$O,
MAXIFS('単価履歴'!$O:$O,'単価履歴'!$E:$E,AI$1,'単価履歴'!$F:$F,$A26))=0,"",
MAXIFS('単価履歴'!$H:$H,'単価履歴'!$E:$E,AI$1,'単価履歴'!$F:$F,$A26,'単価履歴'!$O:$O,
MAXIFS('単価履歴'!$O:$O,'単価履歴'!$E:$E,AI$1,'単価履歴'!$F:$F,$A26)))</f>
        <v/>
      </c>
      <c r="AJ26" s="254" t="str">
        <f>IF(MAXIFS('単価履歴'!$H:$H,'単価履歴'!$E:$E,AJ$1,'単価履歴'!$F:$F,$A26,'単価履歴'!$O:$O,
MAXIFS('単価履歴'!$O:$O,'単価履歴'!$E:$E,AJ$1,'単価履歴'!$F:$F,$A26))=0,"",
MAXIFS('単価履歴'!$H:$H,'単価履歴'!$E:$E,AJ$1,'単価履歴'!$F:$F,$A26,'単価履歴'!$O:$O,
MAXIFS('単価履歴'!$O:$O,'単価履歴'!$E:$E,AJ$1,'単価履歴'!$F:$F,$A26)))</f>
        <v/>
      </c>
      <c r="AK26" s="264" t="str">
        <f>IF(MAXIFS('単価履歴'!$H:$H,'単価履歴'!$E:$E,AK$1,'単価履歴'!$F:$F,$A26,'単価履歴'!$O:$O,
MAXIFS('単価履歴'!$O:$O,'単価履歴'!$E:$E,AK$1,'単価履歴'!$F:$F,$A26))=0,"",
MAXIFS('単価履歴'!$H:$H,'単価履歴'!$E:$E,AK$1,'単価履歴'!$F:$F,$A26,'単価履歴'!$O:$O,
MAXIFS('単価履歴'!$O:$O,'単価履歴'!$E:$E,AK$1,'単価履歴'!$F:$F,$A26)))</f>
        <v/>
      </c>
      <c r="AL26" s="256" t="str">
        <f>IF(MAXIFS('単価履歴'!$H:$H,'単価履歴'!$E:$E,AL$1,'単価履歴'!$F:$F,$A26,'単価履歴'!$O:$O,
MAXIFS('単価履歴'!$O:$O,'単価履歴'!$E:$E,AL$1,'単価履歴'!$F:$F,$A26))=0,"",
MAXIFS('単価履歴'!$H:$H,'単価履歴'!$E:$E,AL$1,'単価履歴'!$F:$F,$A26,'単価履歴'!$O:$O,
MAXIFS('単価履歴'!$O:$O,'単価履歴'!$E:$E,AL$1,'単価履歴'!$F:$F,$A26)))</f>
        <v/>
      </c>
      <c r="AM26" s="268">
        <f>IF(MAXIFS('単価履歴'!$H:$H,'単価履歴'!$E:$E,AM$1,'単価履歴'!$F:$F,$A26,'単価履歴'!$O:$O,
MAXIFS('単価履歴'!$O:$O,'単価履歴'!$E:$E,AM$1,'単価履歴'!$F:$F,$A26))=0,"",
MAXIFS('単価履歴'!$H:$H,'単価履歴'!$E:$E,AM$1,'単価履歴'!$F:$F,$A26,'単価履歴'!$O:$O,
MAXIFS('単価履歴'!$O:$O,'単価履歴'!$E:$E,AM$1,'単価履歴'!$F:$F,$A26)))</f>
        <v>53.5</v>
      </c>
      <c r="AN26" s="268">
        <f>IF(MAXIFS('単価履歴'!$H:$H,'単価履歴'!$E:$E,AN$1,'単価履歴'!$F:$F,$A26,'単価履歴'!$O:$O,
MAXIFS('単価履歴'!$O:$O,'単価履歴'!$E:$E,AN$1,'単価履歴'!$F:$F,$A26))=0,"",
MAXIFS('単価履歴'!$H:$H,'単価履歴'!$E:$E,AN$1,'単価履歴'!$F:$F,$A26,'単価履歴'!$O:$O,
MAXIFS('単価履歴'!$O:$O,'単価履歴'!$E:$E,AN$1,'単価履歴'!$F:$F,$A26)))</f>
        <v>42</v>
      </c>
      <c r="AO26" s="256" t="str">
        <f>IF(MAXIFS('単価履歴'!$H:$H,'単価履歴'!$E:$E,AO$1,'単価履歴'!$F:$F,$A26,'単価履歴'!$O:$O,
MAXIFS('単価履歴'!$O:$O,'単価履歴'!$E:$E,AO$1,'単価履歴'!$F:$F,$A26))=0,"",
MAXIFS('単価履歴'!$H:$H,'単価履歴'!$E:$E,AO$1,'単価履歴'!$F:$F,$A26,'単価履歴'!$O:$O,
MAXIFS('単価履歴'!$O:$O,'単価履歴'!$E:$E,AO$1,'単価履歴'!$F:$F,$A26)))</f>
        <v/>
      </c>
      <c r="AP26" s="254" t="str">
        <f>IF(MAXIFS('単価履歴'!$H:$H,'単価履歴'!$E:$E,AP$1,'単価履歴'!$F:$F,$A26,'単価履歴'!$O:$O,
MAXIFS('単価履歴'!$O:$O,'単価履歴'!$E:$E,AP$1,'単価履歴'!$F:$F,$A26))=0,"",
MAXIFS('単価履歴'!$H:$H,'単価履歴'!$E:$E,AP$1,'単価履歴'!$F:$F,$A26,'単価履歴'!$O:$O,
MAXIFS('単価履歴'!$O:$O,'単価履歴'!$E:$E,AP$1,'単価履歴'!$F:$F,$A26)))</f>
        <v/>
      </c>
      <c r="AQ26" s="254" t="str">
        <f>IF(MAXIFS('単価履歴'!$H:$H,'単価履歴'!$E:$E,AQ$1,'単価履歴'!$F:$F,$A26,'単価履歴'!$O:$O,
MAXIFS('単価履歴'!$O:$O,'単価履歴'!$E:$E,AQ$1,'単価履歴'!$F:$F,$A26))=0,"",
MAXIFS('単価履歴'!$H:$H,'単価履歴'!$E:$E,AQ$1,'単価履歴'!$F:$F,$A26,'単価履歴'!$O:$O,
MAXIFS('単価履歴'!$O:$O,'単価履歴'!$E:$E,AQ$1,'単価履歴'!$F:$F,$A26)))</f>
        <v/>
      </c>
      <c r="AR26" s="256" t="str">
        <f>IF(MAXIFS('単価履歴'!$H:$H,'単価履歴'!$E:$E,AR$1,'単価履歴'!$F:$F,$A26,'単価履歴'!$O:$O,
MAXIFS('単価履歴'!$O:$O,'単価履歴'!$E:$E,AR$1,'単価履歴'!$F:$F,$A26))=0,"",
MAXIFS('単価履歴'!$H:$H,'単価履歴'!$E:$E,AR$1,'単価履歴'!$F:$F,$A26,'単価履歴'!$O:$O,
MAXIFS('単価履歴'!$O:$O,'単価履歴'!$E:$E,AR$1,'単価履歴'!$F:$F,$A26)))</f>
        <v/>
      </c>
      <c r="AS26" s="256" t="str">
        <f>IF(MAXIFS('単価履歴'!$H:$H,'単価履歴'!$E:$E,AS$1,'単価履歴'!$F:$F,$A26,'単価履歴'!$O:$O,
MAXIFS('単価履歴'!$O:$O,'単価履歴'!$E:$E,AS$1,'単価履歴'!$F:$F,$A26))=0,"",
MAXIFS('単価履歴'!$H:$H,'単価履歴'!$E:$E,AS$1,'単価履歴'!$F:$F,$A26,'単価履歴'!$O:$O,
MAXIFS('単価履歴'!$O:$O,'単価履歴'!$E:$E,AS$1,'単価履歴'!$F:$F,$A26)))</f>
        <v/>
      </c>
      <c r="AT26" s="254" t="str">
        <f>IF(MAXIFS('単価履歴'!$H:$H,'単価履歴'!$E:$E,AT$1,'単価履歴'!$F:$F,$A26,'単価履歴'!$O:$O,
MAXIFS('単価履歴'!$O:$O,'単価履歴'!$E:$E,AT$1,'単価履歴'!$F:$F,$A26))=0,"",
MAXIFS('単価履歴'!$H:$H,'単価履歴'!$E:$E,AT$1,'単価履歴'!$F:$F,$A26,'単価履歴'!$O:$O,
MAXIFS('単価履歴'!$O:$O,'単価履歴'!$E:$E,AT$1,'単価履歴'!$F:$F,$A26)))</f>
        <v/>
      </c>
      <c r="AU26" s="256" t="str">
        <f>IF(MAXIFS('単価履歴'!$H:$H,'単価履歴'!$E:$E,AU$1,'単価履歴'!$F:$F,$A26,'単価履歴'!$O:$O,
MAXIFS('単価履歴'!$O:$O,'単価履歴'!$E:$E,AU$1,'単価履歴'!$F:$F,$A26))=0,"",
MAXIFS('単価履歴'!$H:$H,'単価履歴'!$E:$E,AU$1,'単価履歴'!$F:$F,$A26,'単価履歴'!$O:$O,
MAXIFS('単価履歴'!$O:$O,'単価履歴'!$E:$E,AU$1,'単価履歴'!$F:$F,$A26)))</f>
        <v/>
      </c>
      <c r="AV26" s="262">
        <f>IF(MAXIFS('単価履歴'!$H:$H,'単価履歴'!$E:$E,AV$1,'単価履歴'!$F:$F,$A26,'単価履歴'!$O:$O,
MAXIFS('単価履歴'!$O:$O,'単価履歴'!$E:$E,AV$1,'単価履歴'!$F:$F,$A26))=0,"",
MAXIFS('単価履歴'!$H:$H,'単価履歴'!$E:$E,AV$1,'単価履歴'!$F:$F,$A26,'単価履歴'!$O:$O,
MAXIFS('単価履歴'!$O:$O,'単価履歴'!$E:$E,AV$1,'単価履歴'!$F:$F,$A26)))</f>
        <v>54</v>
      </c>
      <c r="AW26" s="266">
        <f>IF(MAXIFS('単価履歴'!$H:$H,'単価履歴'!$E:$E,AW$1,'単価履歴'!$F:$F,$A26,'単価履歴'!$O:$O,
MAXIFS('単価履歴'!$O:$O,'単価履歴'!$E:$E,AW$1,'単価履歴'!$F:$F,$A26))=0,"",
MAXIFS('単価履歴'!$H:$H,'単価履歴'!$E:$E,AW$1,'単価履歴'!$F:$F,$A26,'単価履歴'!$O:$O,
MAXIFS('単価履歴'!$O:$O,'単価履歴'!$E:$E,AW$1,'単価履歴'!$F:$F,$A26)))</f>
        <v>54</v>
      </c>
      <c r="AX26" s="262">
        <f>IF(MAXIFS('単価履歴'!$H:$H,'単価履歴'!$E:$E,AX$1,'単価履歴'!$F:$F,$A26,'単価履歴'!$O:$O,
MAXIFS('単価履歴'!$O:$O,'単価履歴'!$E:$E,AX$1,'単価履歴'!$F:$F,$A26))=0,"",
MAXIFS('単価履歴'!$H:$H,'単価履歴'!$E:$E,AX$1,'単価履歴'!$F:$F,$A26,'単価履歴'!$O:$O,
MAXIFS('単価履歴'!$O:$O,'単価履歴'!$E:$E,AX$1,'単価履歴'!$F:$F,$A26)))</f>
        <v>56.5</v>
      </c>
      <c r="AY26" s="264" t="str">
        <f>IF(MAXIFS('単価履歴'!$H:$H,'単価履歴'!$E:$E,AY$1,'単価履歴'!$F:$F,$A26,'単価履歴'!$O:$O,
MAXIFS('単価履歴'!$O:$O,'単価履歴'!$E:$E,AY$1,'単価履歴'!$F:$F,$A26))=0,"",
MAXIFS('単価履歴'!$H:$H,'単価履歴'!$E:$E,AY$1,'単価履歴'!$F:$F,$A26,'単価履歴'!$O:$O,
MAXIFS('単価履歴'!$O:$O,'単価履歴'!$E:$E,AY$1,'単価履歴'!$F:$F,$A26)))</f>
        <v/>
      </c>
      <c r="AZ26" s="256" t="str">
        <f>IF(MAXIFS('単価履歴'!$H:$H,'単価履歴'!$E:$E,AZ$1,'単価履歴'!$F:$F,$A26,'単価履歴'!$O:$O,
MAXIFS('単価履歴'!$O:$O,'単価履歴'!$E:$E,AZ$1,'単価履歴'!$F:$F,$A26))=0,"",
MAXIFS('単価履歴'!$H:$H,'単価履歴'!$E:$E,AZ$1,'単価履歴'!$F:$F,$A26,'単価履歴'!$O:$O,
MAXIFS('単価履歴'!$O:$O,'単価履歴'!$E:$E,AZ$1,'単価履歴'!$F:$F,$A26)))</f>
        <v/>
      </c>
      <c r="BA26" s="264" t="str">
        <f>IF(MAXIFS('単価履歴'!$H:$H,'単価履歴'!$E:$E,BA$1,'単価履歴'!$F:$F,$A26,'単価履歴'!$O:$O,
MAXIFS('単価履歴'!$O:$O,'単価履歴'!$E:$E,BA$1,'単価履歴'!$F:$F,$A26))=0,"",
MAXIFS('単価履歴'!$H:$H,'単価履歴'!$E:$E,BA$1,'単価履歴'!$F:$F,$A26,'単価履歴'!$O:$O,
MAXIFS('単価履歴'!$O:$O,'単価履歴'!$E:$E,BA$1,'単価履歴'!$F:$F,$A26)))</f>
        <v/>
      </c>
      <c r="BB26" s="256" t="str">
        <f>IF(MAXIFS('単価履歴'!$H:$H,'単価履歴'!$E:$E,BB$1,'単価履歴'!$F:$F,$A26,'単価履歴'!$O:$O,
MAXIFS('単価履歴'!$O:$O,'単価履歴'!$E:$E,BB$1,'単価履歴'!$F:$F,$A26))=0,"",
MAXIFS('単価履歴'!$H:$H,'単価履歴'!$E:$E,BB$1,'単価履歴'!$F:$F,$A26,'単価履歴'!$O:$O,
MAXIFS('単価履歴'!$O:$O,'単価履歴'!$E:$E,BB$1,'単価履歴'!$F:$F,$A26)))</f>
        <v/>
      </c>
      <c r="BC26" s="256" t="str">
        <f>IF(MAXIFS('単価履歴'!$H:$H,'単価履歴'!$E:$E,BC$1,'単価履歴'!$F:$F,$A26,'単価履歴'!$O:$O,
MAXIFS('単価履歴'!$O:$O,'単価履歴'!$E:$E,BC$1,'単価履歴'!$F:$F,$A26))=0,"",
MAXIFS('単価履歴'!$H:$H,'単価履歴'!$E:$E,BC$1,'単価履歴'!$F:$F,$A26,'単価履歴'!$O:$O,
MAXIFS('単価履歴'!$O:$O,'単価履歴'!$E:$E,BC$1,'単価履歴'!$F:$F,$A26)))</f>
        <v/>
      </c>
      <c r="BD26" s="256" t="str">
        <f>IF(MAXIFS('単価履歴'!$H:$H,'単価履歴'!$E:$E,BD$1,'単価履歴'!$F:$F,$A26,'単価履歴'!$O:$O,
MAXIFS('単価履歴'!$O:$O,'単価履歴'!$E:$E,BD$1,'単価履歴'!$F:$F,$A26))=0,"",
MAXIFS('単価履歴'!$H:$H,'単価履歴'!$E:$E,BD$1,'単価履歴'!$F:$F,$A26,'単価履歴'!$O:$O,
MAXIFS('単価履歴'!$O:$O,'単価履歴'!$E:$E,BD$1,'単価履歴'!$F:$F,$A26)))</f>
        <v/>
      </c>
      <c r="BE26" s="256" t="str">
        <f>IF(MAXIFS('単価履歴'!$H:$H,'単価履歴'!$E:$E,BE$1,'単価履歴'!$F:$F,$A26,'単価履歴'!$O:$O,
MAXIFS('単価履歴'!$O:$O,'単価履歴'!$E:$E,BE$1,'単価履歴'!$F:$F,$A26))=0,"",
MAXIFS('単価履歴'!$H:$H,'単価履歴'!$E:$E,BE$1,'単価履歴'!$F:$F,$A26,'単価履歴'!$O:$O,
MAXIFS('単価履歴'!$O:$O,'単価履歴'!$E:$E,BE$1,'単価履歴'!$F:$F,$A26)))</f>
        <v/>
      </c>
      <c r="BF26" s="263" t="str">
        <f>IF(MAXIFS('単価履歴'!$H:$H,'単価履歴'!$E:$E,BF$1,'単価履歴'!$F:$F,$A26,'単価履歴'!$O:$O,
MAXIFS('単価履歴'!$O:$O,'単価履歴'!$E:$E,BF$1,'単価履歴'!$F:$F,$A26))=0,"",
MAXIFS('単価履歴'!$H:$H,'単価履歴'!$E:$E,BF$1,'単価履歴'!$F:$F,$A26,'単価履歴'!$O:$O,
MAXIFS('単価履歴'!$O:$O,'単価履歴'!$E:$E,BF$1,'単価履歴'!$F:$F,$A26)))</f>
        <v/>
      </c>
      <c r="BG26" s="256" t="str">
        <f>IF(MAXIFS('単価履歴'!$H:$H,'単価履歴'!$E:$E,BG$1,'単価履歴'!$F:$F,$A26,'単価履歴'!$O:$O,
MAXIFS('単価履歴'!$O:$O,'単価履歴'!$E:$E,BG$1,'単価履歴'!$F:$F,$A26))=0,"",
MAXIFS('単価履歴'!$H:$H,'単価履歴'!$E:$E,BG$1,'単価履歴'!$F:$F,$A26,'単価履歴'!$O:$O,
MAXIFS('単価履歴'!$O:$O,'単価履歴'!$E:$E,BG$1,'単価履歴'!$F:$F,$A26)))</f>
        <v/>
      </c>
      <c r="BH26" s="254" t="str">
        <f>IF(MAXIFS('単価履歴'!$H:$H,'単価履歴'!$E:$E,BH$1,'単価履歴'!$F:$F,$A26,'単価履歴'!$O:$O,
MAXIFS('単価履歴'!$O:$O,'単価履歴'!$E:$E,BH$1,'単価履歴'!$F:$F,$A26))=0,"",
MAXIFS('単価履歴'!$H:$H,'単価履歴'!$E:$E,BH$1,'単価履歴'!$F:$F,$A26,'単価履歴'!$O:$O,
MAXIFS('単価履歴'!$O:$O,'単価履歴'!$E:$E,BH$1,'単価履歴'!$F:$F,$A26)))</f>
        <v/>
      </c>
      <c r="BI26" s="256" t="str">
        <f>IF(MAXIFS('単価履歴'!$H:$H,'単価履歴'!$E:$E,BI$1,'単価履歴'!$F:$F,$A26,'単価履歴'!$O:$O,
MAXIFS('単価履歴'!$O:$O,'単価履歴'!$E:$E,BI$1,'単価履歴'!$F:$F,$A26))=0,"",
MAXIFS('単価履歴'!$H:$H,'単価履歴'!$E:$E,BI$1,'単価履歴'!$F:$F,$A26,'単価履歴'!$O:$O,
MAXIFS('単価履歴'!$O:$O,'単価履歴'!$E:$E,BI$1,'単価履歴'!$F:$F,$A26)))</f>
        <v/>
      </c>
      <c r="BJ26" s="263" t="str">
        <f>IF(MAXIFS('単価履歴'!$H:$H,'単価履歴'!$E:$E,BJ$1,'単価履歴'!$F:$F,$A26,'単価履歴'!$O:$O,
MAXIFS('単価履歴'!$O:$O,'単価履歴'!$E:$E,BJ$1,'単価履歴'!$F:$F,$A26))=0,"",
MAXIFS('単価履歴'!$H:$H,'単価履歴'!$E:$E,BJ$1,'単価履歴'!$F:$F,$A26,'単価履歴'!$O:$O,
MAXIFS('単価履歴'!$O:$O,'単価履歴'!$E:$E,BJ$1,'単価履歴'!$F:$F,$A26)))</f>
        <v/>
      </c>
      <c r="BK26" s="256" t="str">
        <f>IF(MAXIFS('単価履歴'!$H:$H,'単価履歴'!$E:$E,BK$1,'単価履歴'!$F:$F,$A26,'単価履歴'!$O:$O,
MAXIFS('単価履歴'!$O:$O,'単価履歴'!$E:$E,BK$1,'単価履歴'!$F:$F,$A26))=0,"",
MAXIFS('単価履歴'!$H:$H,'単価履歴'!$E:$E,BK$1,'単価履歴'!$F:$F,$A26,'単価履歴'!$O:$O,
MAXIFS('単価履歴'!$O:$O,'単価履歴'!$E:$E,BK$1,'単価履歴'!$F:$F,$A26)))</f>
        <v/>
      </c>
      <c r="BL26" s="254" t="str">
        <f>IF(MAXIFS('単価履歴'!$H:$H,'単価履歴'!$E:$E,BL$1,'単価履歴'!$F:$F,$A26,'単価履歴'!$O:$O,
MAXIFS('単価履歴'!$O:$O,'単価履歴'!$E:$E,BL$1,'単価履歴'!$F:$F,$A26))=0,"",
MAXIFS('単価履歴'!$H:$H,'単価履歴'!$E:$E,BL$1,'単価履歴'!$F:$F,$A26,'単価履歴'!$O:$O,
MAXIFS('単価履歴'!$O:$O,'単価履歴'!$E:$E,BL$1,'単価履歴'!$F:$F,$A26)))</f>
        <v/>
      </c>
      <c r="BM26" s="263" t="str">
        <f>IF(MAXIFS('単価履歴'!$H:$H,'単価履歴'!$E:$E,BM$1,'単価履歴'!$F:$F,$A26,'単価履歴'!$O:$O,
MAXIFS('単価履歴'!$O:$O,'単価履歴'!$E:$E,BM$1,'単価履歴'!$F:$F,$A26))=0,"",
MAXIFS('単価履歴'!$H:$H,'単価履歴'!$E:$E,BM$1,'単価履歴'!$F:$F,$A26,'単価履歴'!$O:$O,
MAXIFS('単価履歴'!$O:$O,'単価履歴'!$E:$E,BM$1,'単価履歴'!$F:$F,$A26)))</f>
        <v/>
      </c>
      <c r="BN26" s="256" t="str">
        <f>IF(MAXIFS('単価履歴'!$H:$H,'単価履歴'!$E:$E,BN$1,'単価履歴'!$F:$F,$A26,'単価履歴'!$O:$O,
MAXIFS('単価履歴'!$O:$O,'単価履歴'!$E:$E,BN$1,'単価履歴'!$F:$F,$A26))=0,"",
MAXIFS('単価履歴'!$H:$H,'単価履歴'!$E:$E,BN$1,'単価履歴'!$F:$F,$A26,'単価履歴'!$O:$O,
MAXIFS('単価履歴'!$O:$O,'単価履歴'!$E:$E,BN$1,'単価履歴'!$F:$F,$A26)))</f>
        <v/>
      </c>
      <c r="BO26" s="263" t="str">
        <f>IF(MAXIFS('単価履歴'!$H:$H,'単価履歴'!$E:$E,BO$1,'単価履歴'!$F:$F,$A26,'単価履歴'!$O:$O,
MAXIFS('単価履歴'!$O:$O,'単価履歴'!$E:$E,BO$1,'単価履歴'!$F:$F,$A26))=0,"",
MAXIFS('単価履歴'!$H:$H,'単価履歴'!$E:$E,BO$1,'単価履歴'!$F:$F,$A26,'単価履歴'!$O:$O,
MAXIFS('単価履歴'!$O:$O,'単価履歴'!$E:$E,BO$1,'単価履歴'!$F:$F,$A26)))</f>
        <v/>
      </c>
      <c r="BP26" s="256" t="str">
        <f>IF(MAXIFS('単価履歴'!$H:$H,'単価履歴'!$E:$E,BP$1,'単価履歴'!$F:$F,$A26,'単価履歴'!$O:$O,
MAXIFS('単価履歴'!$O:$O,'単価履歴'!$E:$E,BP$1,'単価履歴'!$F:$F,$A26))=0,"",
MAXIFS('単価履歴'!$H:$H,'単価履歴'!$E:$E,BP$1,'単価履歴'!$F:$F,$A26,'単価履歴'!$O:$O,
MAXIFS('単価履歴'!$O:$O,'単価履歴'!$E:$E,BP$1,'単価履歴'!$F:$F,$A26)))</f>
        <v/>
      </c>
      <c r="BQ26" s="256" t="str">
        <f>IF(MAXIFS('単価履歴'!$H:$H,'単価履歴'!$E:$E,BQ$1,'単価履歴'!$F:$F,$A26,'単価履歴'!$O:$O,
MAXIFS('単価履歴'!$O:$O,'単価履歴'!$E:$E,BQ$1,'単価履歴'!$F:$F,$A26))=0,"",
MAXIFS('単価履歴'!$H:$H,'単価履歴'!$E:$E,BQ$1,'単価履歴'!$F:$F,$A26,'単価履歴'!$O:$O,
MAXIFS('単価履歴'!$O:$O,'単価履歴'!$E:$E,BQ$1,'単価履歴'!$F:$F,$A26)))</f>
        <v/>
      </c>
      <c r="BR26" s="264" t="str">
        <f>IF(MAXIFS('単価履歴'!$H:$H,'単価履歴'!$E:$E,BR$1,'単価履歴'!$F:$F,$A26,'単価履歴'!$O:$O,
MAXIFS('単価履歴'!$O:$O,'単価履歴'!$E:$E,BR$1,'単価履歴'!$F:$F,$A26))=0,"",
MAXIFS('単価履歴'!$H:$H,'単価履歴'!$E:$E,BR$1,'単価履歴'!$F:$F,$A26,'単価履歴'!$O:$O,
MAXIFS('単価履歴'!$O:$O,'単価履歴'!$E:$E,BR$1,'単価履歴'!$F:$F,$A26)))</f>
        <v/>
      </c>
      <c r="BS26" s="264" t="str">
        <f>IF(MAXIFS('単価履歴'!$H:$H,'単価履歴'!$E:$E,BS$1,'単価履歴'!$F:$F,$A26,'単価履歴'!$O:$O,
MAXIFS('単価履歴'!$O:$O,'単価履歴'!$E:$E,BS$1,'単価履歴'!$F:$F,$A26))=0,"",
MAXIFS('単価履歴'!$H:$H,'単価履歴'!$E:$E,BS$1,'単価履歴'!$F:$F,$A26,'単価履歴'!$O:$O,
MAXIFS('単価履歴'!$O:$O,'単価履歴'!$E:$E,BS$1,'単価履歴'!$F:$F,$A26)))</f>
        <v/>
      </c>
      <c r="BT26" s="264" t="str">
        <f>IF(MAXIFS('単価履歴'!$H:$H,'単価履歴'!$E:$E,BT$1,'単価履歴'!$F:$F,$A26,'単価履歴'!$O:$O,
MAXIFS('単価履歴'!$O:$O,'単価履歴'!$E:$E,BT$1,'単価履歴'!$F:$F,$A26))=0,"",
MAXIFS('単価履歴'!$H:$H,'単価履歴'!$E:$E,BT$1,'単価履歴'!$F:$F,$A26,'単価履歴'!$O:$O,
MAXIFS('単価履歴'!$O:$O,'単価履歴'!$E:$E,BT$1,'単価履歴'!$F:$F,$A26)))</f>
        <v/>
      </c>
      <c r="BU26" s="264" t="str">
        <f>IF(MAXIFS('単価履歴'!$H:$H,'単価履歴'!$E:$E,BU$1,'単価履歴'!$F:$F,$A26,'単価履歴'!$O:$O,
MAXIFS('単価履歴'!$O:$O,'単価履歴'!$E:$E,BU$1,'単価履歴'!$F:$F,$A26))=0,"",
MAXIFS('単価履歴'!$H:$H,'単価履歴'!$E:$E,BU$1,'単価履歴'!$F:$F,$A26,'単価履歴'!$O:$O,
MAXIFS('単価履歴'!$O:$O,'単価履歴'!$E:$E,BU$1,'単価履歴'!$F:$F,$A26)))</f>
        <v/>
      </c>
      <c r="BV26" s="264" t="str">
        <f>IF(MAXIFS('単価履歴'!$H:$H,'単価履歴'!$E:$E,BV$1,'単価履歴'!$F:$F,$A26,'単価履歴'!$O:$O,
MAXIFS('単価履歴'!$O:$O,'単価履歴'!$E:$E,BV$1,'単価履歴'!$F:$F,$A26))=0,"",
MAXIFS('単価履歴'!$H:$H,'単価履歴'!$E:$E,BV$1,'単価履歴'!$F:$F,$A26,'単価履歴'!$O:$O,
MAXIFS('単価履歴'!$O:$O,'単価履歴'!$E:$E,BV$1,'単価履歴'!$F:$F,$A26)))</f>
        <v/>
      </c>
      <c r="BW26" s="263" t="str">
        <f>IF(MAXIFS('単価履歴'!$H:$H,'単価履歴'!$E:$E,BW$1,'単価履歴'!$F:$F,$A26,'単価履歴'!$O:$O,
MAXIFS('単価履歴'!$O:$O,'単価履歴'!$E:$E,BW$1,'単価履歴'!$F:$F,$A26))=0,"",
MAXIFS('単価履歴'!$H:$H,'単価履歴'!$E:$E,BW$1,'単価履歴'!$F:$F,$A26,'単価履歴'!$O:$O,
MAXIFS('単価履歴'!$O:$O,'単価履歴'!$E:$E,BW$1,'単価履歴'!$F:$F,$A26)))</f>
        <v/>
      </c>
      <c r="BX26" s="256" t="str">
        <f>IF(MAXIFS('単価履歴'!$H:$H,'単価履歴'!$E:$E,BX$1,'単価履歴'!$F:$F,$A26,'単価履歴'!$O:$O,
MAXIFS('単価履歴'!$O:$O,'単価履歴'!$E:$E,BX$1,'単価履歴'!$F:$F,$A26))=0,"",
MAXIFS('単価履歴'!$H:$H,'単価履歴'!$E:$E,BX$1,'単価履歴'!$F:$F,$A26,'単価履歴'!$O:$O,
MAXIFS('単価履歴'!$O:$O,'単価履歴'!$E:$E,BX$1,'単価履歴'!$F:$F,$A26)))</f>
        <v/>
      </c>
      <c r="BY26" s="264" t="str">
        <f>IF(MAXIFS('単価履歴'!$H:$H,'単価履歴'!$E:$E,BY$1,'単価履歴'!$F:$F,$A26,'単価履歴'!$O:$O,
MAXIFS('単価履歴'!$O:$O,'単価履歴'!$E:$E,BY$1,'単価履歴'!$F:$F,$A26))=0,"",
MAXIFS('単価履歴'!$H:$H,'単価履歴'!$E:$E,BY$1,'単価履歴'!$F:$F,$A26,'単価履歴'!$O:$O,
MAXIFS('単価履歴'!$O:$O,'単価履歴'!$E:$E,BY$1,'単価履歴'!$F:$F,$A26)))</f>
        <v/>
      </c>
      <c r="BZ26" s="256"/>
      <c r="CA26" s="256"/>
      <c r="CB26" s="256"/>
      <c r="CC26" s="256"/>
      <c r="CD26" s="256"/>
      <c r="CE26" s="256"/>
      <c r="CF26" s="256"/>
      <c r="CG26" s="256"/>
    </row>
    <row r="27">
      <c r="A27" s="267" t="s">
        <v>149</v>
      </c>
      <c r="B27" s="246"/>
      <c r="C27" s="251"/>
      <c r="D27" s="249"/>
      <c r="E27" s="249"/>
      <c r="F27" s="249"/>
      <c r="G27" s="248"/>
      <c r="H27" s="249"/>
      <c r="I27" s="249"/>
      <c r="J27" s="248"/>
      <c r="K27" s="250">
        <f>IF(MAXIFS('単価履歴'!$H:$H,'単価履歴'!$E:$E,K$1,'単価履歴'!$F:$F,$A27,'単価履歴'!$O:$O,
MAXIFS('単価履歴'!$O:$O,'単価履歴'!$E:$E,K$1,'単価履歴'!$F:$F,$A27))=0,"",
MAXIFS('単価履歴'!$H:$H,'単価履歴'!$E:$E,K$1,'単価履歴'!$F:$F,$A27,'単価履歴'!$O:$O,
MAXIFS('単価履歴'!$O:$O,'単価履歴'!$E:$E,K$1,'単価履歴'!$F:$F,$A27)))</f>
        <v>39.3</v>
      </c>
      <c r="L27" s="250">
        <f>IF(MAXIFS('単価履歴'!$H:$H,'単価履歴'!$E:$E,L$1,'単価履歴'!$F:$F,$A27,'単価履歴'!$O:$O,
MAXIFS('単価履歴'!$O:$O,'単価履歴'!$E:$E,L$1,'単価履歴'!$F:$F,$A27))=0,"",
MAXIFS('単価履歴'!$H:$H,'単価履歴'!$E:$E,L$1,'単価履歴'!$F:$F,$A27,'単価履歴'!$O:$O,
MAXIFS('単価履歴'!$O:$O,'単価履歴'!$E:$E,L$1,'単価履歴'!$F:$F,$A27)))</f>
        <v>39</v>
      </c>
      <c r="M27" s="250"/>
      <c r="N27" s="275"/>
      <c r="O27" s="250" t="str">
        <f>IF(MAXIFS('単価履歴'!$H:$H,'単価履歴'!$E:$E,O$1,'単価履歴'!$F:$F,$A27,'単価履歴'!$O:$O,
MAXIFS('単価履歴'!$O:$O,'単価履歴'!$E:$E,O$1,'単価履歴'!$F:$F,$A27))=0,"",
MAXIFS('単価履歴'!$H:$H,'単価履歴'!$E:$E,O$1,'単価履歴'!$F:$F,$A27,'単価履歴'!$O:$O,
MAXIFS('単価履歴'!$O:$O,'単価履歴'!$E:$E,O$1,'単価履歴'!$F:$F,$A27)))</f>
        <v/>
      </c>
      <c r="P27" s="251" t="str">
        <f>IF(MAXIFS('単価履歴'!$H:$H,'単価履歴'!$E:$E,P$1,'単価履歴'!$F:$F,$A27,'単価履歴'!$O:$O,
MAXIFS('単価履歴'!$O:$O,'単価履歴'!$E:$E,P$1,'単価履歴'!$F:$F,$A27))=0,"",
MAXIFS('単価履歴'!$H:$H,'単価履歴'!$E:$E,P$1,'単価履歴'!$F:$F,$A27,'単価履歴'!$O:$O,
MAXIFS('単価履歴'!$O:$O,'単価履歴'!$E:$E,P$1,'単価履歴'!$F:$F,$A27)))</f>
        <v/>
      </c>
      <c r="Q27" s="249">
        <f>IF(MAXIFS('単価履歴'!$H:$H,'単価履歴'!$E:$E,Q$1,'単価履歴'!$F:$F,$A27,'単価履歴'!$O:$O,
MAXIFS('単価履歴'!$O:$O,'単価履歴'!$E:$E,Q$1,'単価履歴'!$F:$F,$A27))=0,"",
MAXIFS('単価履歴'!$H:$H,'単価履歴'!$E:$E,Q$1,'単価履歴'!$F:$F,$A27,'単価履歴'!$O:$O,
MAXIFS('単価履歴'!$O:$O,'単価履歴'!$E:$E,Q$1,'単価履歴'!$F:$F,$A27)))</f>
        <v>51.8</v>
      </c>
      <c r="R27" s="249" t="str">
        <f>IF(MAXIFS('単価履歴'!$H:$H,'単価履歴'!$E:$E,R$1,'単価履歴'!$F:$F,$A27,'単価履歴'!$O:$O,
MAXIFS('単価履歴'!$O:$O,'単価履歴'!$E:$E,R$1,'単価履歴'!$F:$F,$A27))=0,"",
MAXIFS('単価履歴'!$H:$H,'単価履歴'!$E:$E,R$1,'単価履歴'!$F:$F,$A27,'単価履歴'!$O:$O,
MAXIFS('単価履歴'!$O:$O,'単価履歴'!$E:$E,R$1,'単価履歴'!$F:$F,$A27)))</f>
        <v/>
      </c>
      <c r="S27" s="252" t="str">
        <f>IF(MAXIFS('単価履歴'!$H:$H,'単価履歴'!$E:$E,S$1,'単価履歴'!$F:$F,$A27,'単価履歴'!$O:$O,
MAXIFS('単価履歴'!$O:$O,'単価履歴'!$E:$E,S$1,'単価履歴'!$F:$F,$A27))=0,"",
MAXIFS('単価履歴'!$H:$H,'単価履歴'!$E:$E,S$1,'単価履歴'!$F:$F,$A27,'単価履歴'!$O:$O,
MAXIFS('単価履歴'!$O:$O,'単価履歴'!$E:$E,S$1,'単価履歴'!$F:$F,$A27)))</f>
        <v/>
      </c>
      <c r="T27" s="248" t="str">
        <f>IF(MAXIFS('単価履歴'!$H:$H,'単価履歴'!$E:$E,T$1,'単価履歴'!$F:$F,$A27,'単価履歴'!$O:$O,
MAXIFS('単価履歴'!$O:$O,'単価履歴'!$E:$E,T$1,'単価履歴'!$F:$F,$A27))=0,"",
MAXIFS('単価履歴'!$H:$H,'単価履歴'!$E:$E,T$1,'単価履歴'!$F:$F,$A27,'単価履歴'!$O:$O,
MAXIFS('単価履歴'!$O:$O,'単価履歴'!$E:$E,T$1,'単価履歴'!$F:$F,$A27)))</f>
        <v/>
      </c>
      <c r="U27" s="252" t="str">
        <f>IF(MAXIFS('単価履歴'!$H:$H,'単価履歴'!$E:$E,U$1,'単価履歴'!$F:$F,$A27,'単価履歴'!$O:$O,
MAXIFS('単価履歴'!$O:$O,'単価履歴'!$E:$E,U$1,'単価履歴'!$F:$F,$A27))=0,"",
MAXIFS('単価履歴'!$H:$H,'単価履歴'!$E:$E,U$1,'単価履歴'!$F:$F,$A27,'単価履歴'!$O:$O,
MAXIFS('単価履歴'!$O:$O,'単価履歴'!$E:$E,U$1,'単価履歴'!$F:$F,$A27)))</f>
        <v/>
      </c>
      <c r="V27" s="251" t="str">
        <f>IF(MAXIFS('単価履歴'!$H:$H,'単価履歴'!$E:$E,V$1,'単価履歴'!$F:$F,$A27,'単価履歴'!$O:$O,
MAXIFS('単価履歴'!$O:$O,'単価履歴'!$E:$E,V$1,'単価履歴'!$F:$F,$A27))=0,"",
MAXIFS('単価履歴'!$H:$H,'単価履歴'!$E:$E,V$1,'単価履歴'!$F:$F,$A27,'単価履歴'!$O:$O,
MAXIFS('単価履歴'!$O:$O,'単価履歴'!$E:$E,V$1,'単価履歴'!$F:$F,$A27)))</f>
        <v/>
      </c>
      <c r="W27" s="249" t="str">
        <f>IF(MAXIFS('単価履歴'!$H:$H,'単価履歴'!$E:$E,W$1,'単価履歴'!$F:$F,$A27,'単価履歴'!$O:$O,
MAXIFS('単価履歴'!$O:$O,'単価履歴'!$E:$E,W$1,'単価履歴'!$F:$F,$A27))=0,"",
MAXIFS('単価履歴'!$H:$H,'単価履歴'!$E:$E,W$1,'単価履歴'!$F:$F,$A27,'単価履歴'!$O:$O,
MAXIFS('単価履歴'!$O:$O,'単価履歴'!$E:$E,W$1,'単価履歴'!$F:$F,$A27)))</f>
        <v/>
      </c>
      <c r="X27" s="249" t="str">
        <f>IF(MAXIFS('単価履歴'!$H:$H,'単価履歴'!$E:$E,X$1,'単価履歴'!$F:$F,$A27,'単価履歴'!$O:$O,
MAXIFS('単価履歴'!$O:$O,'単価履歴'!$E:$E,X$1,'単価履歴'!$F:$F,$A27))=0,"",
MAXIFS('単価履歴'!$H:$H,'単価履歴'!$E:$E,X$1,'単価履歴'!$F:$F,$A27,'単価履歴'!$O:$O,
MAXIFS('単価履歴'!$O:$O,'単価履歴'!$E:$E,X$1,'単価履歴'!$F:$F,$A27)))</f>
        <v/>
      </c>
      <c r="Y27" s="251" t="str">
        <f>IF(MAXIFS('単価履歴'!$H:$H,'単価履歴'!$E:$E,Y$1,'単価履歴'!$F:$F,$A27,'単価履歴'!$O:$O,
MAXIFS('単価履歴'!$O:$O,'単価履歴'!$E:$E,Y$1,'単価履歴'!$F:$F,$A27))=0,"",
MAXIFS('単価履歴'!$H:$H,'単価履歴'!$E:$E,Y$1,'単価履歴'!$F:$F,$A27,'単価履歴'!$O:$O,
MAXIFS('単価履歴'!$O:$O,'単価履歴'!$E:$E,Y$1,'単価履歴'!$F:$F,$A27)))</f>
        <v/>
      </c>
      <c r="Z27" s="252" t="str">
        <f>IF(MAXIFS('単価履歴'!$H:$H,'単価履歴'!$E:$E,Z$1,'単価履歴'!$F:$F,$A27,'単価履歴'!$O:$O,
MAXIFS('単価履歴'!$O:$O,'単価履歴'!$E:$E,Z$1,'単価履歴'!$F:$F,$A27))=0,"",
MAXIFS('単価履歴'!$H:$H,'単価履歴'!$E:$E,Z$1,'単価履歴'!$F:$F,$A27,'単価履歴'!$O:$O,
MAXIFS('単価履歴'!$O:$O,'単価履歴'!$E:$E,Z$1,'単価履歴'!$F:$F,$A27)))</f>
        <v/>
      </c>
      <c r="AA27" s="249" t="str">
        <f>IF(MAXIFS('単価履歴'!$H:$H,'単価履歴'!$E:$E,AA$1,'単価履歴'!$F:$F,$A27,'単価履歴'!$O:$O,
MAXIFS('単価履歴'!$O:$O,'単価履歴'!$E:$E,AA$1,'単価履歴'!$F:$F,$A27))=0,"",
MAXIFS('単価履歴'!$H:$H,'単価履歴'!$E:$E,AA$1,'単価履歴'!$F:$F,$A27,'単価履歴'!$O:$O,
MAXIFS('単価履歴'!$O:$O,'単価履歴'!$E:$E,AA$1,'単価履歴'!$F:$F,$A27)))</f>
        <v/>
      </c>
      <c r="AB27" s="249" t="str">
        <f>IF(MAXIFS('単価履歴'!$H:$H,'単価履歴'!$E:$E,AB$1,'単価履歴'!$F:$F,$A27,'単価履歴'!$O:$O,
MAXIFS('単価履歴'!$O:$O,'単価履歴'!$E:$E,AB$1,'単価履歴'!$F:$F,$A27))=0,"",
MAXIFS('単価履歴'!$H:$H,'単価履歴'!$E:$E,AB$1,'単価履歴'!$F:$F,$A27,'単価履歴'!$O:$O,
MAXIFS('単価履歴'!$O:$O,'単価履歴'!$E:$E,AB$1,'単価履歴'!$F:$F,$A27)))</f>
        <v/>
      </c>
      <c r="AC27" s="251" t="str">
        <f>IF(MAXIFS('単価履歴'!$H:$H,'単価履歴'!$E:$E,AC$1,'単価履歴'!$F:$F,$A27,'単価履歴'!$O:$O,
MAXIFS('単価履歴'!$O:$O,'単価履歴'!$E:$E,AC$1,'単価履歴'!$F:$F,$A27))=0,"",
MAXIFS('単価履歴'!$H:$H,'単価履歴'!$E:$E,AC$1,'単価履歴'!$F:$F,$A27,'単価履歴'!$O:$O,
MAXIFS('単価履歴'!$O:$O,'単価履歴'!$E:$E,AC$1,'単価履歴'!$F:$F,$A27)))</f>
        <v/>
      </c>
      <c r="AD27" s="249" t="str">
        <f>IF(MAXIFS('単価履歴'!$H:$H,'単価履歴'!$E:$E,AD$1,'単価履歴'!$F:$F,$A27,'単価履歴'!$O:$O,
MAXIFS('単価履歴'!$O:$O,'単価履歴'!$E:$E,AD$1,'単価履歴'!$F:$F,$A27))=0,"",
MAXIFS('単価履歴'!$H:$H,'単価履歴'!$E:$E,AD$1,'単価履歴'!$F:$F,$A27,'単価履歴'!$O:$O,
MAXIFS('単価履歴'!$O:$O,'単価履歴'!$E:$E,AD$1,'単価履歴'!$F:$F,$A27)))</f>
        <v/>
      </c>
      <c r="AE27" s="249" t="str">
        <f>IF(MAXIFS('単価履歴'!$H:$H,'単価履歴'!$E:$E,AE$1,'単価履歴'!$F:$F,$A27,'単価履歴'!$O:$O,
MAXIFS('単価履歴'!$O:$O,'単価履歴'!$E:$E,AE$1,'単価履歴'!$F:$F,$A27))=0,"",
MAXIFS('単価履歴'!$H:$H,'単価履歴'!$E:$E,AE$1,'単価履歴'!$F:$F,$A27,'単価履歴'!$O:$O,
MAXIFS('単価履歴'!$O:$O,'単価履歴'!$E:$E,AE$1,'単価履歴'!$F:$F,$A27)))</f>
        <v/>
      </c>
      <c r="AF27" s="251" t="str">
        <f>IF(MAXIFS('単価履歴'!$H:$H,'単価履歴'!$E:$E,AF$1,'単価履歴'!$F:$F,$A27,'単価履歴'!$O:$O,
MAXIFS('単価履歴'!$O:$O,'単価履歴'!$E:$E,AF$1,'単価履歴'!$F:$F,$A27))=0,"",
MAXIFS('単価履歴'!$H:$H,'単価履歴'!$E:$E,AF$1,'単価履歴'!$F:$F,$A27,'単価履歴'!$O:$O,
MAXIFS('単価履歴'!$O:$O,'単価履歴'!$E:$E,AF$1,'単価履歴'!$F:$F,$A27)))</f>
        <v/>
      </c>
      <c r="AG27" s="249" t="str">
        <f>IF(MAXIFS('単価履歴'!$H:$H,'単価履歴'!$E:$E,AG$1,'単価履歴'!$F:$F,$A27,'単価履歴'!$O:$O,
MAXIFS('単価履歴'!$O:$O,'単価履歴'!$E:$E,AG$1,'単価履歴'!$F:$F,$A27))=0,"",
MAXIFS('単価履歴'!$H:$H,'単価履歴'!$E:$E,AG$1,'単価履歴'!$F:$F,$A27,'単価履歴'!$O:$O,
MAXIFS('単価履歴'!$O:$O,'単価履歴'!$E:$E,AG$1,'単価履歴'!$F:$F,$A27)))</f>
        <v/>
      </c>
      <c r="AH27" s="252" t="str">
        <f>IF(MAXIFS('単価履歴'!$H:$H,'単価履歴'!$E:$E,AH$1,'単価履歴'!$F:$F,$A27,'単価履歴'!$O:$O,
MAXIFS('単価履歴'!$O:$O,'単価履歴'!$E:$E,AH$1,'単価履歴'!$F:$F,$A27))=0,"",
MAXIFS('単価履歴'!$H:$H,'単価履歴'!$E:$E,AH$1,'単価履歴'!$F:$F,$A27,'単価履歴'!$O:$O,
MAXIFS('単価履歴'!$O:$O,'単価履歴'!$E:$E,AH$1,'単価履歴'!$F:$F,$A27)))</f>
        <v/>
      </c>
      <c r="AI27" s="249" t="str">
        <f>IF(MAXIFS('単価履歴'!$H:$H,'単価履歴'!$E:$E,AI$1,'単価履歴'!$F:$F,$A27,'単価履歴'!$O:$O,
MAXIFS('単価履歴'!$O:$O,'単価履歴'!$E:$E,AI$1,'単価履歴'!$F:$F,$A27))=0,"",
MAXIFS('単価履歴'!$H:$H,'単価履歴'!$E:$E,AI$1,'単価履歴'!$F:$F,$A27,'単価履歴'!$O:$O,
MAXIFS('単価履歴'!$O:$O,'単価履歴'!$E:$E,AI$1,'単価履歴'!$F:$F,$A27)))</f>
        <v/>
      </c>
      <c r="AJ27" s="251" t="str">
        <f>IF(MAXIFS('単価履歴'!$H:$H,'単価履歴'!$E:$E,AJ$1,'単価履歴'!$F:$F,$A27,'単価履歴'!$O:$O,
MAXIFS('単価履歴'!$O:$O,'単価履歴'!$E:$E,AJ$1,'単価履歴'!$F:$F,$A27))=0,"",
MAXIFS('単価履歴'!$H:$H,'単価履歴'!$E:$E,AJ$1,'単価履歴'!$F:$F,$A27,'単価履歴'!$O:$O,
MAXIFS('単価履歴'!$O:$O,'単価履歴'!$E:$E,AJ$1,'単価履歴'!$F:$F,$A27)))</f>
        <v/>
      </c>
      <c r="AK27" s="252" t="str">
        <f>IF(MAXIFS('単価履歴'!$H:$H,'単価履歴'!$E:$E,AK$1,'単価履歴'!$F:$F,$A27,'単価履歴'!$O:$O,
MAXIFS('単価履歴'!$O:$O,'単価履歴'!$E:$E,AK$1,'単価履歴'!$F:$F,$A27))=0,"",
MAXIFS('単価履歴'!$H:$H,'単価履歴'!$E:$E,AK$1,'単価履歴'!$F:$F,$A27,'単価履歴'!$O:$O,
MAXIFS('単価履歴'!$O:$O,'単価履歴'!$E:$E,AK$1,'単価履歴'!$F:$F,$A27)))</f>
        <v/>
      </c>
      <c r="AL27" s="249" t="str">
        <f>IF(MAXIFS('単価履歴'!$H:$H,'単価履歴'!$E:$E,AL$1,'単価履歴'!$F:$F,$A27,'単価履歴'!$O:$O,
MAXIFS('単価履歴'!$O:$O,'単価履歴'!$E:$E,AL$1,'単価履歴'!$F:$F,$A27))=0,"",
MAXIFS('単価履歴'!$H:$H,'単価履歴'!$E:$E,AL$1,'単価履歴'!$F:$F,$A27,'単価履歴'!$O:$O,
MAXIFS('単価履歴'!$O:$O,'単価履歴'!$E:$E,AL$1,'単価履歴'!$F:$F,$A27)))</f>
        <v/>
      </c>
      <c r="AM27" s="248" t="str">
        <f>IF(MAXIFS('単価履歴'!$H:$H,'単価履歴'!$E:$E,AM$1,'単価履歴'!$F:$F,$A27,'単価履歴'!$O:$O,
MAXIFS('単価履歴'!$O:$O,'単価履歴'!$E:$E,AM$1,'単価履歴'!$F:$F,$A27))=0,"",
MAXIFS('単価履歴'!$H:$H,'単価履歴'!$E:$E,AM$1,'単価履歴'!$F:$F,$A27,'単価履歴'!$O:$O,
MAXIFS('単価履歴'!$O:$O,'単価履歴'!$E:$E,AM$1,'単価履歴'!$F:$F,$A27)))</f>
        <v/>
      </c>
      <c r="AN27" s="248" t="str">
        <f>IF(MAXIFS('単価履歴'!$H:$H,'単価履歴'!$E:$E,AN$1,'単価履歴'!$F:$F,$A27,'単価履歴'!$O:$O,
MAXIFS('単価履歴'!$O:$O,'単価履歴'!$E:$E,AN$1,'単価履歴'!$F:$F,$A27))=0,"",
MAXIFS('単価履歴'!$H:$H,'単価履歴'!$E:$E,AN$1,'単価履歴'!$F:$F,$A27,'単価履歴'!$O:$O,
MAXIFS('単価履歴'!$O:$O,'単価履歴'!$E:$E,AN$1,'単価履歴'!$F:$F,$A27)))</f>
        <v/>
      </c>
      <c r="AO27" s="249" t="str">
        <f>IF(MAXIFS('単価履歴'!$H:$H,'単価履歴'!$E:$E,AO$1,'単価履歴'!$F:$F,$A27,'単価履歴'!$O:$O,
MAXIFS('単価履歴'!$O:$O,'単価履歴'!$E:$E,AO$1,'単価履歴'!$F:$F,$A27))=0,"",
MAXIFS('単価履歴'!$H:$H,'単価履歴'!$E:$E,AO$1,'単価履歴'!$F:$F,$A27,'単価履歴'!$O:$O,
MAXIFS('単価履歴'!$O:$O,'単価履歴'!$E:$E,AO$1,'単価履歴'!$F:$F,$A27)))</f>
        <v/>
      </c>
      <c r="AP27" s="251" t="str">
        <f>IF(MAXIFS('単価履歴'!$H:$H,'単価履歴'!$E:$E,AP$1,'単価履歴'!$F:$F,$A27,'単価履歴'!$O:$O,
MAXIFS('単価履歴'!$O:$O,'単価履歴'!$E:$E,AP$1,'単価履歴'!$F:$F,$A27))=0,"",
MAXIFS('単価履歴'!$H:$H,'単価履歴'!$E:$E,AP$1,'単価履歴'!$F:$F,$A27,'単価履歴'!$O:$O,
MAXIFS('単価履歴'!$O:$O,'単価履歴'!$E:$E,AP$1,'単価履歴'!$F:$F,$A27)))</f>
        <v/>
      </c>
      <c r="AQ27" s="251" t="str">
        <f>IF(MAXIFS('単価履歴'!$H:$H,'単価履歴'!$E:$E,AQ$1,'単価履歴'!$F:$F,$A27,'単価履歴'!$O:$O,
MAXIFS('単価履歴'!$O:$O,'単価履歴'!$E:$E,AQ$1,'単価履歴'!$F:$F,$A27))=0,"",
MAXIFS('単価履歴'!$H:$H,'単価履歴'!$E:$E,AQ$1,'単価履歴'!$F:$F,$A27,'単価履歴'!$O:$O,
MAXIFS('単価履歴'!$O:$O,'単価履歴'!$E:$E,AQ$1,'単価履歴'!$F:$F,$A27)))</f>
        <v/>
      </c>
      <c r="AR27" s="249" t="str">
        <f>IF(MAXIFS('単価履歴'!$H:$H,'単価履歴'!$E:$E,AR$1,'単価履歴'!$F:$F,$A27,'単価履歴'!$O:$O,
MAXIFS('単価履歴'!$O:$O,'単価履歴'!$E:$E,AR$1,'単価履歴'!$F:$F,$A27))=0,"",
MAXIFS('単価履歴'!$H:$H,'単価履歴'!$E:$E,AR$1,'単価履歴'!$F:$F,$A27,'単価履歴'!$O:$O,
MAXIFS('単価履歴'!$O:$O,'単価履歴'!$E:$E,AR$1,'単価履歴'!$F:$F,$A27)))</f>
        <v/>
      </c>
      <c r="AS27" s="249" t="str">
        <f>IF(MAXIFS('単価履歴'!$H:$H,'単価履歴'!$E:$E,AS$1,'単価履歴'!$F:$F,$A27,'単価履歴'!$O:$O,
MAXIFS('単価履歴'!$O:$O,'単価履歴'!$E:$E,AS$1,'単価履歴'!$F:$F,$A27))=0,"",
MAXIFS('単価履歴'!$H:$H,'単価履歴'!$E:$E,AS$1,'単価履歴'!$F:$F,$A27,'単価履歴'!$O:$O,
MAXIFS('単価履歴'!$O:$O,'単価履歴'!$E:$E,AS$1,'単価履歴'!$F:$F,$A27)))</f>
        <v/>
      </c>
      <c r="AT27" s="251" t="str">
        <f>IF(MAXIFS('単価履歴'!$H:$H,'単価履歴'!$E:$E,AT$1,'単価履歴'!$F:$F,$A27,'単価履歴'!$O:$O,
MAXIFS('単価履歴'!$O:$O,'単価履歴'!$E:$E,AT$1,'単価履歴'!$F:$F,$A27))=0,"",
MAXIFS('単価履歴'!$H:$H,'単価履歴'!$E:$E,AT$1,'単価履歴'!$F:$F,$A27,'単価履歴'!$O:$O,
MAXIFS('単価履歴'!$O:$O,'単価履歴'!$E:$E,AT$1,'単価履歴'!$F:$F,$A27)))</f>
        <v/>
      </c>
      <c r="AU27" s="249" t="str">
        <f>IF(MAXIFS('単価履歴'!$H:$H,'単価履歴'!$E:$E,AU$1,'単価履歴'!$F:$F,$A27,'単価履歴'!$O:$O,
MAXIFS('単価履歴'!$O:$O,'単価履歴'!$E:$E,AU$1,'単価履歴'!$F:$F,$A27))=0,"",
MAXIFS('単価履歴'!$H:$H,'単価履歴'!$E:$E,AU$1,'単価履歴'!$F:$F,$A27,'単価履歴'!$O:$O,
MAXIFS('単価履歴'!$O:$O,'単価履歴'!$E:$E,AU$1,'単価履歴'!$F:$F,$A27)))</f>
        <v/>
      </c>
      <c r="AV27" s="251" t="str">
        <f>IF(MAXIFS('単価履歴'!$H:$H,'単価履歴'!$E:$E,AV$1,'単価履歴'!$F:$F,$A27,'単価履歴'!$O:$O,
MAXIFS('単価履歴'!$O:$O,'単価履歴'!$E:$E,AV$1,'単価履歴'!$F:$F,$A27))=0,"",
MAXIFS('単価履歴'!$H:$H,'単価履歴'!$E:$E,AV$1,'単価履歴'!$F:$F,$A27,'単価履歴'!$O:$O,
MAXIFS('単価履歴'!$O:$O,'単価履歴'!$E:$E,AV$1,'単価履歴'!$F:$F,$A27)))</f>
        <v/>
      </c>
      <c r="AW27" s="252" t="str">
        <f>IF(MAXIFS('単価履歴'!$H:$H,'単価履歴'!$E:$E,AW$1,'単価履歴'!$F:$F,$A27,'単価履歴'!$O:$O,
MAXIFS('単価履歴'!$O:$O,'単価履歴'!$E:$E,AW$1,'単価履歴'!$F:$F,$A27))=0,"",
MAXIFS('単価履歴'!$H:$H,'単価履歴'!$E:$E,AW$1,'単価履歴'!$F:$F,$A27,'単価履歴'!$O:$O,
MAXIFS('単価履歴'!$O:$O,'単価履歴'!$E:$E,AW$1,'単価履歴'!$F:$F,$A27)))</f>
        <v/>
      </c>
      <c r="AX27" s="251" t="str">
        <f>IF(MAXIFS('単価履歴'!$H:$H,'単価履歴'!$E:$E,AX$1,'単価履歴'!$F:$F,$A27,'単価履歴'!$O:$O,
MAXIFS('単価履歴'!$O:$O,'単価履歴'!$E:$E,AX$1,'単価履歴'!$F:$F,$A27))=0,"",
MAXIFS('単価履歴'!$H:$H,'単価履歴'!$E:$E,AX$1,'単価履歴'!$F:$F,$A27,'単価履歴'!$O:$O,
MAXIFS('単価履歴'!$O:$O,'単価履歴'!$E:$E,AX$1,'単価履歴'!$F:$F,$A27)))</f>
        <v/>
      </c>
      <c r="AY27" s="252" t="str">
        <f>IF(MAXIFS('単価履歴'!$H:$H,'単価履歴'!$E:$E,AY$1,'単価履歴'!$F:$F,$A27,'単価履歴'!$O:$O,
MAXIFS('単価履歴'!$O:$O,'単価履歴'!$E:$E,AY$1,'単価履歴'!$F:$F,$A27))=0,"",
MAXIFS('単価履歴'!$H:$H,'単価履歴'!$E:$E,AY$1,'単価履歴'!$F:$F,$A27,'単価履歴'!$O:$O,
MAXIFS('単価履歴'!$O:$O,'単価履歴'!$E:$E,AY$1,'単価履歴'!$F:$F,$A27)))</f>
        <v/>
      </c>
      <c r="AZ27" s="249" t="str">
        <f>IF(MAXIFS('単価履歴'!$H:$H,'単価履歴'!$E:$E,AZ$1,'単価履歴'!$F:$F,$A27,'単価履歴'!$O:$O,
MAXIFS('単価履歴'!$O:$O,'単価履歴'!$E:$E,AZ$1,'単価履歴'!$F:$F,$A27))=0,"",
MAXIFS('単価履歴'!$H:$H,'単価履歴'!$E:$E,AZ$1,'単価履歴'!$F:$F,$A27,'単価履歴'!$O:$O,
MAXIFS('単価履歴'!$O:$O,'単価履歴'!$E:$E,AZ$1,'単価履歴'!$F:$F,$A27)))</f>
        <v/>
      </c>
      <c r="BA27" s="252" t="str">
        <f>IF(MAXIFS('単価履歴'!$H:$H,'単価履歴'!$E:$E,BA$1,'単価履歴'!$F:$F,$A27,'単価履歴'!$O:$O,
MAXIFS('単価履歴'!$O:$O,'単価履歴'!$E:$E,BA$1,'単価履歴'!$F:$F,$A27))=0,"",
MAXIFS('単価履歴'!$H:$H,'単価履歴'!$E:$E,BA$1,'単価履歴'!$F:$F,$A27,'単価履歴'!$O:$O,
MAXIFS('単価履歴'!$O:$O,'単価履歴'!$E:$E,BA$1,'単価履歴'!$F:$F,$A27)))</f>
        <v/>
      </c>
      <c r="BB27" s="249" t="str">
        <f>IF(MAXIFS('単価履歴'!$H:$H,'単価履歴'!$E:$E,BB$1,'単価履歴'!$F:$F,$A27,'単価履歴'!$O:$O,
MAXIFS('単価履歴'!$O:$O,'単価履歴'!$E:$E,BB$1,'単価履歴'!$F:$F,$A27))=0,"",
MAXIFS('単価履歴'!$H:$H,'単価履歴'!$E:$E,BB$1,'単価履歴'!$F:$F,$A27,'単価履歴'!$O:$O,
MAXIFS('単価履歴'!$O:$O,'単価履歴'!$E:$E,BB$1,'単価履歴'!$F:$F,$A27)))</f>
        <v/>
      </c>
      <c r="BC27" s="249" t="str">
        <f>IF(MAXIFS('単価履歴'!$H:$H,'単価履歴'!$E:$E,BC$1,'単価履歴'!$F:$F,$A27,'単価履歴'!$O:$O,
MAXIFS('単価履歴'!$O:$O,'単価履歴'!$E:$E,BC$1,'単価履歴'!$F:$F,$A27))=0,"",
MAXIFS('単価履歴'!$H:$H,'単価履歴'!$E:$E,BC$1,'単価履歴'!$F:$F,$A27,'単価履歴'!$O:$O,
MAXIFS('単価履歴'!$O:$O,'単価履歴'!$E:$E,BC$1,'単価履歴'!$F:$F,$A27)))</f>
        <v/>
      </c>
      <c r="BD27" s="249" t="str">
        <f>IF(MAXIFS('単価履歴'!$H:$H,'単価履歴'!$E:$E,BD$1,'単価履歴'!$F:$F,$A27,'単価履歴'!$O:$O,
MAXIFS('単価履歴'!$O:$O,'単価履歴'!$E:$E,BD$1,'単価履歴'!$F:$F,$A27))=0,"",
MAXIFS('単価履歴'!$H:$H,'単価履歴'!$E:$E,BD$1,'単価履歴'!$F:$F,$A27,'単価履歴'!$O:$O,
MAXIFS('単価履歴'!$O:$O,'単価履歴'!$E:$E,BD$1,'単価履歴'!$F:$F,$A27)))</f>
        <v/>
      </c>
      <c r="BE27" s="249" t="str">
        <f>IF(MAXIFS('単価履歴'!$H:$H,'単価履歴'!$E:$E,BE$1,'単価履歴'!$F:$F,$A27,'単価履歴'!$O:$O,
MAXIFS('単価履歴'!$O:$O,'単価履歴'!$E:$E,BE$1,'単価履歴'!$F:$F,$A27))=0,"",
MAXIFS('単価履歴'!$H:$H,'単価履歴'!$E:$E,BE$1,'単価履歴'!$F:$F,$A27,'単価履歴'!$O:$O,
MAXIFS('単価履歴'!$O:$O,'単価履歴'!$E:$E,BE$1,'単価履歴'!$F:$F,$A27)))</f>
        <v/>
      </c>
      <c r="BF27" s="248" t="str">
        <f>IF(MAXIFS('単価履歴'!$H:$H,'単価履歴'!$E:$E,BF$1,'単価履歴'!$F:$F,$A27,'単価履歴'!$O:$O,
MAXIFS('単価履歴'!$O:$O,'単価履歴'!$E:$E,BF$1,'単価履歴'!$F:$F,$A27))=0,"",
MAXIFS('単価履歴'!$H:$H,'単価履歴'!$E:$E,BF$1,'単価履歴'!$F:$F,$A27,'単価履歴'!$O:$O,
MAXIFS('単価履歴'!$O:$O,'単価履歴'!$E:$E,BF$1,'単価履歴'!$F:$F,$A27)))</f>
        <v/>
      </c>
      <c r="BG27" s="249" t="str">
        <f>IF(MAXIFS('単価履歴'!$H:$H,'単価履歴'!$E:$E,BG$1,'単価履歴'!$F:$F,$A27,'単価履歴'!$O:$O,
MAXIFS('単価履歴'!$O:$O,'単価履歴'!$E:$E,BG$1,'単価履歴'!$F:$F,$A27))=0,"",
MAXIFS('単価履歴'!$H:$H,'単価履歴'!$E:$E,BG$1,'単価履歴'!$F:$F,$A27,'単価履歴'!$O:$O,
MAXIFS('単価履歴'!$O:$O,'単価履歴'!$E:$E,BG$1,'単価履歴'!$F:$F,$A27)))</f>
        <v/>
      </c>
      <c r="BH27" s="251" t="str">
        <f>IF(MAXIFS('単価履歴'!$H:$H,'単価履歴'!$E:$E,BH$1,'単価履歴'!$F:$F,$A27,'単価履歴'!$O:$O,
MAXIFS('単価履歴'!$O:$O,'単価履歴'!$E:$E,BH$1,'単価履歴'!$F:$F,$A27))=0,"",
MAXIFS('単価履歴'!$H:$H,'単価履歴'!$E:$E,BH$1,'単価履歴'!$F:$F,$A27,'単価履歴'!$O:$O,
MAXIFS('単価履歴'!$O:$O,'単価履歴'!$E:$E,BH$1,'単価履歴'!$F:$F,$A27)))</f>
        <v/>
      </c>
      <c r="BI27" s="249" t="str">
        <f>IF(MAXIFS('単価履歴'!$H:$H,'単価履歴'!$E:$E,BI$1,'単価履歴'!$F:$F,$A27,'単価履歴'!$O:$O,
MAXIFS('単価履歴'!$O:$O,'単価履歴'!$E:$E,BI$1,'単価履歴'!$F:$F,$A27))=0,"",
MAXIFS('単価履歴'!$H:$H,'単価履歴'!$E:$E,BI$1,'単価履歴'!$F:$F,$A27,'単価履歴'!$O:$O,
MAXIFS('単価履歴'!$O:$O,'単価履歴'!$E:$E,BI$1,'単価履歴'!$F:$F,$A27)))</f>
        <v/>
      </c>
      <c r="BJ27" s="248" t="str">
        <f>IF(MAXIFS('単価履歴'!$H:$H,'単価履歴'!$E:$E,BJ$1,'単価履歴'!$F:$F,$A27,'単価履歴'!$O:$O,
MAXIFS('単価履歴'!$O:$O,'単価履歴'!$E:$E,BJ$1,'単価履歴'!$F:$F,$A27))=0,"",
MAXIFS('単価履歴'!$H:$H,'単価履歴'!$E:$E,BJ$1,'単価履歴'!$F:$F,$A27,'単価履歴'!$O:$O,
MAXIFS('単価履歴'!$O:$O,'単価履歴'!$E:$E,BJ$1,'単価履歴'!$F:$F,$A27)))</f>
        <v/>
      </c>
      <c r="BK27" s="249" t="str">
        <f>IF(MAXIFS('単価履歴'!$H:$H,'単価履歴'!$E:$E,BK$1,'単価履歴'!$F:$F,$A27,'単価履歴'!$O:$O,
MAXIFS('単価履歴'!$O:$O,'単価履歴'!$E:$E,BK$1,'単価履歴'!$F:$F,$A27))=0,"",
MAXIFS('単価履歴'!$H:$H,'単価履歴'!$E:$E,BK$1,'単価履歴'!$F:$F,$A27,'単価履歴'!$O:$O,
MAXIFS('単価履歴'!$O:$O,'単価履歴'!$E:$E,BK$1,'単価履歴'!$F:$F,$A27)))</f>
        <v/>
      </c>
      <c r="BL27" s="251" t="str">
        <f>IF(MAXIFS('単価履歴'!$H:$H,'単価履歴'!$E:$E,BL$1,'単価履歴'!$F:$F,$A27,'単価履歴'!$O:$O,
MAXIFS('単価履歴'!$O:$O,'単価履歴'!$E:$E,BL$1,'単価履歴'!$F:$F,$A27))=0,"",
MAXIFS('単価履歴'!$H:$H,'単価履歴'!$E:$E,BL$1,'単価履歴'!$F:$F,$A27,'単価履歴'!$O:$O,
MAXIFS('単価履歴'!$O:$O,'単価履歴'!$E:$E,BL$1,'単価履歴'!$F:$F,$A27)))</f>
        <v/>
      </c>
      <c r="BM27" s="248" t="str">
        <f>IF(MAXIFS('単価履歴'!$H:$H,'単価履歴'!$E:$E,BM$1,'単価履歴'!$F:$F,$A27,'単価履歴'!$O:$O,
MAXIFS('単価履歴'!$O:$O,'単価履歴'!$E:$E,BM$1,'単価履歴'!$F:$F,$A27))=0,"",
MAXIFS('単価履歴'!$H:$H,'単価履歴'!$E:$E,BM$1,'単価履歴'!$F:$F,$A27,'単価履歴'!$O:$O,
MAXIFS('単価履歴'!$O:$O,'単価履歴'!$E:$E,BM$1,'単価履歴'!$F:$F,$A27)))</f>
        <v/>
      </c>
      <c r="BN27" s="249" t="str">
        <f>IF(MAXIFS('単価履歴'!$H:$H,'単価履歴'!$E:$E,BN$1,'単価履歴'!$F:$F,$A27,'単価履歴'!$O:$O,
MAXIFS('単価履歴'!$O:$O,'単価履歴'!$E:$E,BN$1,'単価履歴'!$F:$F,$A27))=0,"",
MAXIFS('単価履歴'!$H:$H,'単価履歴'!$E:$E,BN$1,'単価履歴'!$F:$F,$A27,'単価履歴'!$O:$O,
MAXIFS('単価履歴'!$O:$O,'単価履歴'!$E:$E,BN$1,'単価履歴'!$F:$F,$A27)))</f>
        <v/>
      </c>
      <c r="BO27" s="248" t="str">
        <f>IF(MAXIFS('単価履歴'!$H:$H,'単価履歴'!$E:$E,BO$1,'単価履歴'!$F:$F,$A27,'単価履歴'!$O:$O,
MAXIFS('単価履歴'!$O:$O,'単価履歴'!$E:$E,BO$1,'単価履歴'!$F:$F,$A27))=0,"",
MAXIFS('単価履歴'!$H:$H,'単価履歴'!$E:$E,BO$1,'単価履歴'!$F:$F,$A27,'単価履歴'!$O:$O,
MAXIFS('単価履歴'!$O:$O,'単価履歴'!$E:$E,BO$1,'単価履歴'!$F:$F,$A27)))</f>
        <v/>
      </c>
      <c r="BP27" s="249" t="str">
        <f>IF(MAXIFS('単価履歴'!$H:$H,'単価履歴'!$E:$E,BP$1,'単価履歴'!$F:$F,$A27,'単価履歴'!$O:$O,
MAXIFS('単価履歴'!$O:$O,'単価履歴'!$E:$E,BP$1,'単価履歴'!$F:$F,$A27))=0,"",
MAXIFS('単価履歴'!$H:$H,'単価履歴'!$E:$E,BP$1,'単価履歴'!$F:$F,$A27,'単価履歴'!$O:$O,
MAXIFS('単価履歴'!$O:$O,'単価履歴'!$E:$E,BP$1,'単価履歴'!$F:$F,$A27)))</f>
        <v/>
      </c>
      <c r="BQ27" s="249" t="str">
        <f>IF(MAXIFS('単価履歴'!$H:$H,'単価履歴'!$E:$E,BQ$1,'単価履歴'!$F:$F,$A27,'単価履歴'!$O:$O,
MAXIFS('単価履歴'!$O:$O,'単価履歴'!$E:$E,BQ$1,'単価履歴'!$F:$F,$A27))=0,"",
MAXIFS('単価履歴'!$H:$H,'単価履歴'!$E:$E,BQ$1,'単価履歴'!$F:$F,$A27,'単価履歴'!$O:$O,
MAXIFS('単価履歴'!$O:$O,'単価履歴'!$E:$E,BQ$1,'単価履歴'!$F:$F,$A27)))</f>
        <v/>
      </c>
      <c r="BR27" s="252" t="str">
        <f>IF(MAXIFS('単価履歴'!$H:$H,'単価履歴'!$E:$E,BR$1,'単価履歴'!$F:$F,$A27,'単価履歴'!$O:$O,
MAXIFS('単価履歴'!$O:$O,'単価履歴'!$E:$E,BR$1,'単価履歴'!$F:$F,$A27))=0,"",
MAXIFS('単価履歴'!$H:$H,'単価履歴'!$E:$E,BR$1,'単価履歴'!$F:$F,$A27,'単価履歴'!$O:$O,
MAXIFS('単価履歴'!$O:$O,'単価履歴'!$E:$E,BR$1,'単価履歴'!$F:$F,$A27)))</f>
        <v/>
      </c>
      <c r="BS27" s="252" t="str">
        <f>IF(MAXIFS('単価履歴'!$H:$H,'単価履歴'!$E:$E,BS$1,'単価履歴'!$F:$F,$A27,'単価履歴'!$O:$O,
MAXIFS('単価履歴'!$O:$O,'単価履歴'!$E:$E,BS$1,'単価履歴'!$F:$F,$A27))=0,"",
MAXIFS('単価履歴'!$H:$H,'単価履歴'!$E:$E,BS$1,'単価履歴'!$F:$F,$A27,'単価履歴'!$O:$O,
MAXIFS('単価履歴'!$O:$O,'単価履歴'!$E:$E,BS$1,'単価履歴'!$F:$F,$A27)))</f>
        <v/>
      </c>
      <c r="BT27" s="252" t="str">
        <f>IF(MAXIFS('単価履歴'!$H:$H,'単価履歴'!$E:$E,BT$1,'単価履歴'!$F:$F,$A27,'単価履歴'!$O:$O,
MAXIFS('単価履歴'!$O:$O,'単価履歴'!$E:$E,BT$1,'単価履歴'!$F:$F,$A27))=0,"",
MAXIFS('単価履歴'!$H:$H,'単価履歴'!$E:$E,BT$1,'単価履歴'!$F:$F,$A27,'単価履歴'!$O:$O,
MAXIFS('単価履歴'!$O:$O,'単価履歴'!$E:$E,BT$1,'単価履歴'!$F:$F,$A27)))</f>
        <v/>
      </c>
      <c r="BU27" s="252" t="str">
        <f>IF(MAXIFS('単価履歴'!$H:$H,'単価履歴'!$E:$E,BU$1,'単価履歴'!$F:$F,$A27,'単価履歴'!$O:$O,
MAXIFS('単価履歴'!$O:$O,'単価履歴'!$E:$E,BU$1,'単価履歴'!$F:$F,$A27))=0,"",
MAXIFS('単価履歴'!$H:$H,'単価履歴'!$E:$E,BU$1,'単価履歴'!$F:$F,$A27,'単価履歴'!$O:$O,
MAXIFS('単価履歴'!$O:$O,'単価履歴'!$E:$E,BU$1,'単価履歴'!$F:$F,$A27)))</f>
        <v/>
      </c>
      <c r="BV27" s="252" t="str">
        <f>IF(MAXIFS('単価履歴'!$H:$H,'単価履歴'!$E:$E,BV$1,'単価履歴'!$F:$F,$A27,'単価履歴'!$O:$O,
MAXIFS('単価履歴'!$O:$O,'単価履歴'!$E:$E,BV$1,'単価履歴'!$F:$F,$A27))=0,"",
MAXIFS('単価履歴'!$H:$H,'単価履歴'!$E:$E,BV$1,'単価履歴'!$F:$F,$A27,'単価履歴'!$O:$O,
MAXIFS('単価履歴'!$O:$O,'単価履歴'!$E:$E,BV$1,'単価履歴'!$F:$F,$A27)))</f>
        <v/>
      </c>
      <c r="BW27" s="248" t="str">
        <f>IF(MAXIFS('単価履歴'!$H:$H,'単価履歴'!$E:$E,BW$1,'単価履歴'!$F:$F,$A27,'単価履歴'!$O:$O,
MAXIFS('単価履歴'!$O:$O,'単価履歴'!$E:$E,BW$1,'単価履歴'!$F:$F,$A27))=0,"",
MAXIFS('単価履歴'!$H:$H,'単価履歴'!$E:$E,BW$1,'単価履歴'!$F:$F,$A27,'単価履歴'!$O:$O,
MAXIFS('単価履歴'!$O:$O,'単価履歴'!$E:$E,BW$1,'単価履歴'!$F:$F,$A27)))</f>
        <v/>
      </c>
      <c r="BX27" s="249" t="str">
        <f>IF(MAXIFS('単価履歴'!$H:$H,'単価履歴'!$E:$E,BX$1,'単価履歴'!$F:$F,$A27,'単価履歴'!$O:$O,
MAXIFS('単価履歴'!$O:$O,'単価履歴'!$E:$E,BX$1,'単価履歴'!$F:$F,$A27))=0,"",
MAXIFS('単価履歴'!$H:$H,'単価履歴'!$E:$E,BX$1,'単価履歴'!$F:$F,$A27,'単価履歴'!$O:$O,
MAXIFS('単価履歴'!$O:$O,'単価履歴'!$E:$E,BX$1,'単価履歴'!$F:$F,$A27)))</f>
        <v/>
      </c>
      <c r="BY27" s="252" t="str">
        <f>IF(MAXIFS('単価履歴'!$H:$H,'単価履歴'!$E:$E,BY$1,'単価履歴'!$F:$F,$A27,'単価履歴'!$O:$O,
MAXIFS('単価履歴'!$O:$O,'単価履歴'!$E:$E,BY$1,'単価履歴'!$F:$F,$A27))=0,"",
MAXIFS('単価履歴'!$H:$H,'単価履歴'!$E:$E,BY$1,'単価履歴'!$F:$F,$A27,'単価履歴'!$O:$O,
MAXIFS('単価履歴'!$O:$O,'単価履歴'!$E:$E,BY$1,'単価履歴'!$F:$F,$A27)))</f>
        <v/>
      </c>
      <c r="BZ27" s="249"/>
      <c r="CA27" s="249"/>
      <c r="CB27" s="249"/>
      <c r="CC27" s="249"/>
      <c r="CD27" s="249"/>
      <c r="CE27" s="249"/>
      <c r="CF27" s="249"/>
      <c r="CG27" s="249"/>
    </row>
    <row r="28">
      <c r="A28" s="261" t="s">
        <v>151</v>
      </c>
      <c r="B28" s="246">
        <f>IF(MAXIFS('単価履歴'!$H:$H,'単価履歴'!$E:$E,B$1,'単価履歴'!$F:$F,$A28,'単価履歴'!$O:$O,
MAXIFS('単価履歴'!$O:$O,'単価履歴'!$E:$E,B$1,'単価履歴'!$F:$F,$A28))=0,"",
MAXIFS('単価履歴'!$H:$H,'単価履歴'!$E:$E,B$1,'単価履歴'!$F:$F,$A28,'単価履歴'!$O:$O,
MAXIFS('単価履歴'!$O:$O,'単価履歴'!$E:$E,B$1,'単価履歴'!$F:$F,$A28)))</f>
        <v>53.5</v>
      </c>
      <c r="C28" s="254"/>
      <c r="D28" s="256"/>
      <c r="E28" s="256"/>
      <c r="F28" s="256"/>
      <c r="G28" s="263"/>
      <c r="H28" s="256"/>
      <c r="I28" s="256"/>
      <c r="J28" s="263"/>
      <c r="K28" s="250">
        <f>IF(MAXIFS('単価履歴'!$H:$H,'単価履歴'!$E:$E,K$1,'単価履歴'!$F:$F,$A28,'単価履歴'!$O:$O,
MAXIFS('単価履歴'!$O:$O,'単価履歴'!$E:$E,K$1,'単価履歴'!$F:$F,$A28))=0,"",
MAXIFS('単価履歴'!$H:$H,'単価履歴'!$E:$E,K$1,'単価履歴'!$F:$F,$A28,'単価履歴'!$O:$O,
MAXIFS('単価履歴'!$O:$O,'単価履歴'!$E:$E,K$1,'単価履歴'!$F:$F,$A28)))</f>
        <v>37.9</v>
      </c>
      <c r="L28" s="250">
        <f>IF(MAXIFS('単価履歴'!$H:$H,'単価履歴'!$E:$E,L$1,'単価履歴'!$F:$F,$A28,'単価履歴'!$O:$O,
MAXIFS('単価履歴'!$O:$O,'単価履歴'!$E:$E,L$1,'単価履歴'!$F:$F,$A28))=0,"",
MAXIFS('単価履歴'!$H:$H,'単価履歴'!$E:$E,L$1,'単価履歴'!$F:$F,$A28,'単価履歴'!$O:$O,
MAXIFS('単価履歴'!$O:$O,'単価履歴'!$E:$E,L$1,'単価履歴'!$F:$F,$A28)))</f>
        <v>37.6</v>
      </c>
      <c r="M28" s="250"/>
      <c r="N28" s="275"/>
      <c r="O28" s="250" t="str">
        <f>IF(MAXIFS('単価履歴'!$H:$H,'単価履歴'!$E:$E,O$1,'単価履歴'!$F:$F,$A28,'単価履歴'!$O:$O,
MAXIFS('単価履歴'!$O:$O,'単価履歴'!$E:$E,O$1,'単価履歴'!$F:$F,$A28))=0,"",
MAXIFS('単価履歴'!$H:$H,'単価履歴'!$E:$E,O$1,'単価履歴'!$F:$F,$A28,'単価履歴'!$O:$O,
MAXIFS('単価履歴'!$O:$O,'単価履歴'!$E:$E,O$1,'単価履歴'!$F:$F,$A28)))</f>
        <v/>
      </c>
      <c r="P28" s="254" t="str">
        <f>IF(MAXIFS('単価履歴'!$H:$H,'単価履歴'!$E:$E,P$1,'単価履歴'!$F:$F,$A28,'単価履歴'!$O:$O,
MAXIFS('単価履歴'!$O:$O,'単価履歴'!$E:$E,P$1,'単価履歴'!$F:$F,$A28))=0,"",
MAXIFS('単価履歴'!$H:$H,'単価履歴'!$E:$E,P$1,'単価履歴'!$F:$F,$A28,'単価履歴'!$O:$O,
MAXIFS('単価履歴'!$O:$O,'単価履歴'!$E:$E,P$1,'単価履歴'!$F:$F,$A28)))</f>
        <v/>
      </c>
      <c r="Q28" s="256" t="str">
        <f>IF(MAXIFS('単価履歴'!$H:$H,'単価履歴'!$E:$E,Q$1,'単価履歴'!$F:$F,$A28,'単価履歴'!$O:$O,
MAXIFS('単価履歴'!$O:$O,'単価履歴'!$E:$E,Q$1,'単価履歴'!$F:$F,$A28))=0,"",
MAXIFS('単価履歴'!$H:$H,'単価履歴'!$E:$E,Q$1,'単価履歴'!$F:$F,$A28,'単価履歴'!$O:$O,
MAXIFS('単価履歴'!$O:$O,'単価履歴'!$E:$E,Q$1,'単価履歴'!$F:$F,$A28)))</f>
        <v/>
      </c>
      <c r="R28" s="256" t="str">
        <f>IF(MAXIFS('単価履歴'!$H:$H,'単価履歴'!$E:$E,R$1,'単価履歴'!$F:$F,$A28,'単価履歴'!$O:$O,
MAXIFS('単価履歴'!$O:$O,'単価履歴'!$E:$E,R$1,'単価履歴'!$F:$F,$A28))=0,"",
MAXIFS('単価履歴'!$H:$H,'単価履歴'!$E:$E,R$1,'単価履歴'!$F:$F,$A28,'単価履歴'!$O:$O,
MAXIFS('単価履歴'!$O:$O,'単価履歴'!$E:$E,R$1,'単価履歴'!$F:$F,$A28)))</f>
        <v/>
      </c>
      <c r="S28" s="264" t="str">
        <f>IF(MAXIFS('単価履歴'!$H:$H,'単価履歴'!$E:$E,S$1,'単価履歴'!$F:$F,$A28,'単価履歴'!$O:$O,
MAXIFS('単価履歴'!$O:$O,'単価履歴'!$E:$E,S$1,'単価履歴'!$F:$F,$A28))=0,"",
MAXIFS('単価履歴'!$H:$H,'単価履歴'!$E:$E,S$1,'単価履歴'!$F:$F,$A28,'単価履歴'!$O:$O,
MAXIFS('単価履歴'!$O:$O,'単価履歴'!$E:$E,S$1,'単価履歴'!$F:$F,$A28)))</f>
        <v/>
      </c>
      <c r="T28" s="263" t="str">
        <f>IF(MAXIFS('単価履歴'!$H:$H,'単価履歴'!$E:$E,T$1,'単価履歴'!$F:$F,$A28,'単価履歴'!$O:$O,
MAXIFS('単価履歴'!$O:$O,'単価履歴'!$E:$E,T$1,'単価履歴'!$F:$F,$A28))=0,"",
MAXIFS('単価履歴'!$H:$H,'単価履歴'!$E:$E,T$1,'単価履歴'!$F:$F,$A28,'単価履歴'!$O:$O,
MAXIFS('単価履歴'!$O:$O,'単価履歴'!$E:$E,T$1,'単価履歴'!$F:$F,$A28)))</f>
        <v/>
      </c>
      <c r="U28" s="264" t="str">
        <f>IF(MAXIFS('単価履歴'!$H:$H,'単価履歴'!$E:$E,U$1,'単価履歴'!$F:$F,$A28,'単価履歴'!$O:$O,
MAXIFS('単価履歴'!$O:$O,'単価履歴'!$E:$E,U$1,'単価履歴'!$F:$F,$A28))=0,"",
MAXIFS('単価履歴'!$H:$H,'単価履歴'!$E:$E,U$1,'単価履歴'!$F:$F,$A28,'単価履歴'!$O:$O,
MAXIFS('単価履歴'!$O:$O,'単価履歴'!$E:$E,U$1,'単価履歴'!$F:$F,$A28)))</f>
        <v/>
      </c>
      <c r="V28" s="254" t="str">
        <f>IF(MAXIFS('単価履歴'!$H:$H,'単価履歴'!$E:$E,V$1,'単価履歴'!$F:$F,$A28,'単価履歴'!$O:$O,
MAXIFS('単価履歴'!$O:$O,'単価履歴'!$E:$E,V$1,'単価履歴'!$F:$F,$A28))=0,"",
MAXIFS('単価履歴'!$H:$H,'単価履歴'!$E:$E,V$1,'単価履歴'!$F:$F,$A28,'単価履歴'!$O:$O,
MAXIFS('単価履歴'!$O:$O,'単価履歴'!$E:$E,V$1,'単価履歴'!$F:$F,$A28)))</f>
        <v/>
      </c>
      <c r="W28" s="256" t="str">
        <f>IF(MAXIFS('単価履歴'!$H:$H,'単価履歴'!$E:$E,W$1,'単価履歴'!$F:$F,$A28,'単価履歴'!$O:$O,
MAXIFS('単価履歴'!$O:$O,'単価履歴'!$E:$E,W$1,'単価履歴'!$F:$F,$A28))=0,"",
MAXIFS('単価履歴'!$H:$H,'単価履歴'!$E:$E,W$1,'単価履歴'!$F:$F,$A28,'単価履歴'!$O:$O,
MAXIFS('単価履歴'!$O:$O,'単価履歴'!$E:$E,W$1,'単価履歴'!$F:$F,$A28)))</f>
        <v/>
      </c>
      <c r="X28" s="256" t="str">
        <f>IF(MAXIFS('単価履歴'!$H:$H,'単価履歴'!$E:$E,X$1,'単価履歴'!$F:$F,$A28,'単価履歴'!$O:$O,
MAXIFS('単価履歴'!$O:$O,'単価履歴'!$E:$E,X$1,'単価履歴'!$F:$F,$A28))=0,"",
MAXIFS('単価履歴'!$H:$H,'単価履歴'!$E:$E,X$1,'単価履歴'!$F:$F,$A28,'単価履歴'!$O:$O,
MAXIFS('単価履歴'!$O:$O,'単価履歴'!$E:$E,X$1,'単価履歴'!$F:$F,$A28)))</f>
        <v/>
      </c>
      <c r="Y28" s="254" t="str">
        <f>IF(MAXIFS('単価履歴'!$H:$H,'単価履歴'!$E:$E,Y$1,'単価履歴'!$F:$F,$A28,'単価履歴'!$O:$O,
MAXIFS('単価履歴'!$O:$O,'単価履歴'!$E:$E,Y$1,'単価履歴'!$F:$F,$A28))=0,"",
MAXIFS('単価履歴'!$H:$H,'単価履歴'!$E:$E,Y$1,'単価履歴'!$F:$F,$A28,'単価履歴'!$O:$O,
MAXIFS('単価履歴'!$O:$O,'単価履歴'!$E:$E,Y$1,'単価履歴'!$F:$F,$A28)))</f>
        <v/>
      </c>
      <c r="Z28" s="264" t="str">
        <f>IF(MAXIFS('単価履歴'!$H:$H,'単価履歴'!$E:$E,Z$1,'単価履歴'!$F:$F,$A28,'単価履歴'!$O:$O,
MAXIFS('単価履歴'!$O:$O,'単価履歴'!$E:$E,Z$1,'単価履歴'!$F:$F,$A28))=0,"",
MAXIFS('単価履歴'!$H:$H,'単価履歴'!$E:$E,Z$1,'単価履歴'!$F:$F,$A28,'単価履歴'!$O:$O,
MAXIFS('単価履歴'!$O:$O,'単価履歴'!$E:$E,Z$1,'単価履歴'!$F:$F,$A28)))</f>
        <v/>
      </c>
      <c r="AA28" s="256" t="str">
        <f>IF(MAXIFS('単価履歴'!$H:$H,'単価履歴'!$E:$E,AA$1,'単価履歴'!$F:$F,$A28,'単価履歴'!$O:$O,
MAXIFS('単価履歴'!$O:$O,'単価履歴'!$E:$E,AA$1,'単価履歴'!$F:$F,$A28))=0,"",
MAXIFS('単価履歴'!$H:$H,'単価履歴'!$E:$E,AA$1,'単価履歴'!$F:$F,$A28,'単価履歴'!$O:$O,
MAXIFS('単価履歴'!$O:$O,'単価履歴'!$E:$E,AA$1,'単価履歴'!$F:$F,$A28)))</f>
        <v/>
      </c>
      <c r="AB28" s="256" t="str">
        <f>IF(MAXIFS('単価履歴'!$H:$H,'単価履歴'!$E:$E,AB$1,'単価履歴'!$F:$F,$A28,'単価履歴'!$O:$O,
MAXIFS('単価履歴'!$O:$O,'単価履歴'!$E:$E,AB$1,'単価履歴'!$F:$F,$A28))=0,"",
MAXIFS('単価履歴'!$H:$H,'単価履歴'!$E:$E,AB$1,'単価履歴'!$F:$F,$A28,'単価履歴'!$O:$O,
MAXIFS('単価履歴'!$O:$O,'単価履歴'!$E:$E,AB$1,'単価履歴'!$F:$F,$A28)))</f>
        <v/>
      </c>
      <c r="AC28" s="254" t="str">
        <f>IF(MAXIFS('単価履歴'!$H:$H,'単価履歴'!$E:$E,AC$1,'単価履歴'!$F:$F,$A28,'単価履歴'!$O:$O,
MAXIFS('単価履歴'!$O:$O,'単価履歴'!$E:$E,AC$1,'単価履歴'!$F:$F,$A28))=0,"",
MAXIFS('単価履歴'!$H:$H,'単価履歴'!$E:$E,AC$1,'単価履歴'!$F:$F,$A28,'単価履歴'!$O:$O,
MAXIFS('単価履歴'!$O:$O,'単価履歴'!$E:$E,AC$1,'単価履歴'!$F:$F,$A28)))</f>
        <v/>
      </c>
      <c r="AD28" s="256" t="str">
        <f>IF(MAXIFS('単価履歴'!$H:$H,'単価履歴'!$E:$E,AD$1,'単価履歴'!$F:$F,$A28,'単価履歴'!$O:$O,
MAXIFS('単価履歴'!$O:$O,'単価履歴'!$E:$E,AD$1,'単価履歴'!$F:$F,$A28))=0,"",
MAXIFS('単価履歴'!$H:$H,'単価履歴'!$E:$E,AD$1,'単価履歴'!$F:$F,$A28,'単価履歴'!$O:$O,
MAXIFS('単価履歴'!$O:$O,'単価履歴'!$E:$E,AD$1,'単価履歴'!$F:$F,$A28)))</f>
        <v/>
      </c>
      <c r="AE28" s="256" t="str">
        <f>IF(MAXIFS('単価履歴'!$H:$H,'単価履歴'!$E:$E,AE$1,'単価履歴'!$F:$F,$A28,'単価履歴'!$O:$O,
MAXIFS('単価履歴'!$O:$O,'単価履歴'!$E:$E,AE$1,'単価履歴'!$F:$F,$A28))=0,"",
MAXIFS('単価履歴'!$H:$H,'単価履歴'!$E:$E,AE$1,'単価履歴'!$F:$F,$A28,'単価履歴'!$O:$O,
MAXIFS('単価履歴'!$O:$O,'単価履歴'!$E:$E,AE$1,'単価履歴'!$F:$F,$A28)))</f>
        <v/>
      </c>
      <c r="AF28" s="254" t="str">
        <f>IF(MAXIFS('単価履歴'!$H:$H,'単価履歴'!$E:$E,AF$1,'単価履歴'!$F:$F,$A28,'単価履歴'!$O:$O,
MAXIFS('単価履歴'!$O:$O,'単価履歴'!$E:$E,AF$1,'単価履歴'!$F:$F,$A28))=0,"",
MAXIFS('単価履歴'!$H:$H,'単価履歴'!$E:$E,AF$1,'単価履歴'!$F:$F,$A28,'単価履歴'!$O:$O,
MAXIFS('単価履歴'!$O:$O,'単価履歴'!$E:$E,AF$1,'単価履歴'!$F:$F,$A28)))</f>
        <v/>
      </c>
      <c r="AG28" s="256" t="str">
        <f>IF(MAXIFS('単価履歴'!$H:$H,'単価履歴'!$E:$E,AG$1,'単価履歴'!$F:$F,$A28,'単価履歴'!$O:$O,
MAXIFS('単価履歴'!$O:$O,'単価履歴'!$E:$E,AG$1,'単価履歴'!$F:$F,$A28))=0,"",
MAXIFS('単価履歴'!$H:$H,'単価履歴'!$E:$E,AG$1,'単価履歴'!$F:$F,$A28,'単価履歴'!$O:$O,
MAXIFS('単価履歴'!$O:$O,'単価履歴'!$E:$E,AG$1,'単価履歴'!$F:$F,$A28)))</f>
        <v/>
      </c>
      <c r="AH28" s="264" t="str">
        <f>IF(MAXIFS('単価履歴'!$H:$H,'単価履歴'!$E:$E,AH$1,'単価履歴'!$F:$F,$A28,'単価履歴'!$O:$O,
MAXIFS('単価履歴'!$O:$O,'単価履歴'!$E:$E,AH$1,'単価履歴'!$F:$F,$A28))=0,"",
MAXIFS('単価履歴'!$H:$H,'単価履歴'!$E:$E,AH$1,'単価履歴'!$F:$F,$A28,'単価履歴'!$O:$O,
MAXIFS('単価履歴'!$O:$O,'単価履歴'!$E:$E,AH$1,'単価履歴'!$F:$F,$A28)))</f>
        <v/>
      </c>
      <c r="AI28" s="256" t="str">
        <f>IF(MAXIFS('単価履歴'!$H:$H,'単価履歴'!$E:$E,AI$1,'単価履歴'!$F:$F,$A28,'単価履歴'!$O:$O,
MAXIFS('単価履歴'!$O:$O,'単価履歴'!$E:$E,AI$1,'単価履歴'!$F:$F,$A28))=0,"",
MAXIFS('単価履歴'!$H:$H,'単価履歴'!$E:$E,AI$1,'単価履歴'!$F:$F,$A28,'単価履歴'!$O:$O,
MAXIFS('単価履歴'!$O:$O,'単価履歴'!$E:$E,AI$1,'単価履歴'!$F:$F,$A28)))</f>
        <v/>
      </c>
      <c r="AJ28" s="254" t="str">
        <f>IF(MAXIFS('単価履歴'!$H:$H,'単価履歴'!$E:$E,AJ$1,'単価履歴'!$F:$F,$A28,'単価履歴'!$O:$O,
MAXIFS('単価履歴'!$O:$O,'単価履歴'!$E:$E,AJ$1,'単価履歴'!$F:$F,$A28))=0,"",
MAXIFS('単価履歴'!$H:$H,'単価履歴'!$E:$E,AJ$1,'単価履歴'!$F:$F,$A28,'単価履歴'!$O:$O,
MAXIFS('単価履歴'!$O:$O,'単価履歴'!$E:$E,AJ$1,'単価履歴'!$F:$F,$A28)))</f>
        <v/>
      </c>
      <c r="AK28" s="264" t="str">
        <f>IF(MAXIFS('単価履歴'!$H:$H,'単価履歴'!$E:$E,AK$1,'単価履歴'!$F:$F,$A28,'単価履歴'!$O:$O,
MAXIFS('単価履歴'!$O:$O,'単価履歴'!$E:$E,AK$1,'単価履歴'!$F:$F,$A28))=0,"",
MAXIFS('単価履歴'!$H:$H,'単価履歴'!$E:$E,AK$1,'単価履歴'!$F:$F,$A28,'単価履歴'!$O:$O,
MAXIFS('単価履歴'!$O:$O,'単価履歴'!$E:$E,AK$1,'単価履歴'!$F:$F,$A28)))</f>
        <v/>
      </c>
      <c r="AL28" s="256" t="str">
        <f>IF(MAXIFS('単価履歴'!$H:$H,'単価履歴'!$E:$E,AL$1,'単価履歴'!$F:$F,$A28,'単価履歴'!$O:$O,
MAXIFS('単価履歴'!$O:$O,'単価履歴'!$E:$E,AL$1,'単価履歴'!$F:$F,$A28))=0,"",
MAXIFS('単価履歴'!$H:$H,'単価履歴'!$E:$E,AL$1,'単価履歴'!$F:$F,$A28,'単価履歴'!$O:$O,
MAXIFS('単価履歴'!$O:$O,'単価履歴'!$E:$E,AL$1,'単価履歴'!$F:$F,$A28)))</f>
        <v/>
      </c>
      <c r="AM28" s="268">
        <f>IF(MAXIFS('単価履歴'!$H:$H,'単価履歴'!$E:$E,AM$1,'単価履歴'!$F:$F,$A28,'単価履歴'!$O:$O,
MAXIFS('単価履歴'!$O:$O,'単価履歴'!$E:$E,AM$1,'単価履歴'!$F:$F,$A28))=0,"",
MAXIFS('単価履歴'!$H:$H,'単価履歴'!$E:$E,AM$1,'単価履歴'!$F:$F,$A28,'単価履歴'!$O:$O,
MAXIFS('単価履歴'!$O:$O,'単価履歴'!$E:$E,AM$1,'単価履歴'!$F:$F,$A28)))</f>
        <v>53</v>
      </c>
      <c r="AN28" s="268" t="str">
        <f>IF(MAXIFS('単価履歴'!$H:$H,'単価履歴'!$E:$E,AN$1,'単価履歴'!$F:$F,$A28,'単価履歴'!$O:$O,
MAXIFS('単価履歴'!$O:$O,'単価履歴'!$E:$E,AN$1,'単価履歴'!$F:$F,$A28))=0,"",
MAXIFS('単価履歴'!$H:$H,'単価履歴'!$E:$E,AN$1,'単価履歴'!$F:$F,$A28,'単価履歴'!$O:$O,
MAXIFS('単価履歴'!$O:$O,'単価履歴'!$E:$E,AN$1,'単価履歴'!$F:$F,$A28)))</f>
        <v/>
      </c>
      <c r="AO28" s="256" t="str">
        <f>IF(MAXIFS('単価履歴'!$H:$H,'単価履歴'!$E:$E,AO$1,'単価履歴'!$F:$F,$A28,'単価履歴'!$O:$O,
MAXIFS('単価履歴'!$O:$O,'単価履歴'!$E:$E,AO$1,'単価履歴'!$F:$F,$A28))=0,"",
MAXIFS('単価履歴'!$H:$H,'単価履歴'!$E:$E,AO$1,'単価履歴'!$F:$F,$A28,'単価履歴'!$O:$O,
MAXIFS('単価履歴'!$O:$O,'単価履歴'!$E:$E,AO$1,'単価履歴'!$F:$F,$A28)))</f>
        <v/>
      </c>
      <c r="AP28" s="254" t="str">
        <f>IF(MAXIFS('単価履歴'!$H:$H,'単価履歴'!$E:$E,AP$1,'単価履歴'!$F:$F,$A28,'単価履歴'!$O:$O,
MAXIFS('単価履歴'!$O:$O,'単価履歴'!$E:$E,AP$1,'単価履歴'!$F:$F,$A28))=0,"",
MAXIFS('単価履歴'!$H:$H,'単価履歴'!$E:$E,AP$1,'単価履歴'!$F:$F,$A28,'単価履歴'!$O:$O,
MAXIFS('単価履歴'!$O:$O,'単価履歴'!$E:$E,AP$1,'単価履歴'!$F:$F,$A28)))</f>
        <v/>
      </c>
      <c r="AQ28" s="254" t="str">
        <f>IF(MAXIFS('単価履歴'!$H:$H,'単価履歴'!$E:$E,AQ$1,'単価履歴'!$F:$F,$A28,'単価履歴'!$O:$O,
MAXIFS('単価履歴'!$O:$O,'単価履歴'!$E:$E,AQ$1,'単価履歴'!$F:$F,$A28))=0,"",
MAXIFS('単価履歴'!$H:$H,'単価履歴'!$E:$E,AQ$1,'単価履歴'!$F:$F,$A28,'単価履歴'!$O:$O,
MAXIFS('単価履歴'!$O:$O,'単価履歴'!$E:$E,AQ$1,'単価履歴'!$F:$F,$A28)))</f>
        <v/>
      </c>
      <c r="AR28" s="256" t="str">
        <f>IF(MAXIFS('単価履歴'!$H:$H,'単価履歴'!$E:$E,AR$1,'単価履歴'!$F:$F,$A28,'単価履歴'!$O:$O,
MAXIFS('単価履歴'!$O:$O,'単価履歴'!$E:$E,AR$1,'単価履歴'!$F:$F,$A28))=0,"",
MAXIFS('単価履歴'!$H:$H,'単価履歴'!$E:$E,AR$1,'単価履歴'!$F:$F,$A28,'単価履歴'!$O:$O,
MAXIFS('単価履歴'!$O:$O,'単価履歴'!$E:$E,AR$1,'単価履歴'!$F:$F,$A28)))</f>
        <v/>
      </c>
      <c r="AS28" s="256" t="str">
        <f>IF(MAXIFS('単価履歴'!$H:$H,'単価履歴'!$E:$E,AS$1,'単価履歴'!$F:$F,$A28,'単価履歴'!$O:$O,
MAXIFS('単価履歴'!$O:$O,'単価履歴'!$E:$E,AS$1,'単価履歴'!$F:$F,$A28))=0,"",
MAXIFS('単価履歴'!$H:$H,'単価履歴'!$E:$E,AS$1,'単価履歴'!$F:$F,$A28,'単価履歴'!$O:$O,
MAXIFS('単価履歴'!$O:$O,'単価履歴'!$E:$E,AS$1,'単価履歴'!$F:$F,$A28)))</f>
        <v/>
      </c>
      <c r="AT28" s="254" t="str">
        <f>IF(MAXIFS('単価履歴'!$H:$H,'単価履歴'!$E:$E,AT$1,'単価履歴'!$F:$F,$A28,'単価履歴'!$O:$O,
MAXIFS('単価履歴'!$O:$O,'単価履歴'!$E:$E,AT$1,'単価履歴'!$F:$F,$A28))=0,"",
MAXIFS('単価履歴'!$H:$H,'単価履歴'!$E:$E,AT$1,'単価履歴'!$F:$F,$A28,'単価履歴'!$O:$O,
MAXIFS('単価履歴'!$O:$O,'単価履歴'!$E:$E,AT$1,'単価履歴'!$F:$F,$A28)))</f>
        <v/>
      </c>
      <c r="AU28" s="256" t="str">
        <f>IF(MAXIFS('単価履歴'!$H:$H,'単価履歴'!$E:$E,AU$1,'単価履歴'!$F:$F,$A28,'単価履歴'!$O:$O,
MAXIFS('単価履歴'!$O:$O,'単価履歴'!$E:$E,AU$1,'単価履歴'!$F:$F,$A28))=0,"",
MAXIFS('単価履歴'!$H:$H,'単価履歴'!$E:$E,AU$1,'単価履歴'!$F:$F,$A28,'単価履歴'!$O:$O,
MAXIFS('単価履歴'!$O:$O,'単価履歴'!$E:$E,AU$1,'単価履歴'!$F:$F,$A28)))</f>
        <v/>
      </c>
      <c r="AV28" s="262">
        <f>IF(MAXIFS('単価履歴'!$H:$H,'単価履歴'!$E:$E,AV$1,'単価履歴'!$F:$F,$A28,'単価履歴'!$O:$O,
MAXIFS('単価履歴'!$O:$O,'単価履歴'!$E:$E,AV$1,'単価履歴'!$F:$F,$A28))=0,"",
MAXIFS('単価履歴'!$H:$H,'単価履歴'!$E:$E,AV$1,'単価履歴'!$F:$F,$A28,'単価履歴'!$O:$O,
MAXIFS('単価履歴'!$O:$O,'単価履歴'!$E:$E,AV$1,'単価履歴'!$F:$F,$A28)))</f>
        <v>53.5</v>
      </c>
      <c r="AW28" s="266">
        <f>IF(MAXIFS('単価履歴'!$H:$H,'単価履歴'!$E:$E,AW$1,'単価履歴'!$F:$F,$A28,'単価履歴'!$O:$O,
MAXIFS('単価履歴'!$O:$O,'単価履歴'!$E:$E,AW$1,'単価履歴'!$F:$F,$A28))=0,"",
MAXIFS('単価履歴'!$H:$H,'単価履歴'!$E:$E,AW$1,'単価履歴'!$F:$F,$A28,'単価履歴'!$O:$O,
MAXIFS('単価履歴'!$O:$O,'単価履歴'!$E:$E,AW$1,'単価履歴'!$F:$F,$A28)))</f>
        <v>53.5</v>
      </c>
      <c r="AX28" s="254" t="str">
        <f>IF(MAXIFS('単価履歴'!$H:$H,'単価履歴'!$E:$E,AX$1,'単価履歴'!$F:$F,$A28,'単価履歴'!$O:$O,
MAXIFS('単価履歴'!$O:$O,'単価履歴'!$E:$E,AX$1,'単価履歴'!$F:$F,$A28))=0,"",
MAXIFS('単価履歴'!$H:$H,'単価履歴'!$E:$E,AX$1,'単価履歴'!$F:$F,$A28,'単価履歴'!$O:$O,
MAXIFS('単価履歴'!$O:$O,'単価履歴'!$E:$E,AX$1,'単価履歴'!$F:$F,$A28)))</f>
        <v/>
      </c>
      <c r="AY28" s="264" t="str">
        <f>IF(MAXIFS('単価履歴'!$H:$H,'単価履歴'!$E:$E,AY$1,'単価履歴'!$F:$F,$A28,'単価履歴'!$O:$O,
MAXIFS('単価履歴'!$O:$O,'単価履歴'!$E:$E,AY$1,'単価履歴'!$F:$F,$A28))=0,"",
MAXIFS('単価履歴'!$H:$H,'単価履歴'!$E:$E,AY$1,'単価履歴'!$F:$F,$A28,'単価履歴'!$O:$O,
MAXIFS('単価履歴'!$O:$O,'単価履歴'!$E:$E,AY$1,'単価履歴'!$F:$F,$A28)))</f>
        <v/>
      </c>
      <c r="AZ28" s="256" t="str">
        <f>IF(MAXIFS('単価履歴'!$H:$H,'単価履歴'!$E:$E,AZ$1,'単価履歴'!$F:$F,$A28,'単価履歴'!$O:$O,
MAXIFS('単価履歴'!$O:$O,'単価履歴'!$E:$E,AZ$1,'単価履歴'!$F:$F,$A28))=0,"",
MAXIFS('単価履歴'!$H:$H,'単価履歴'!$E:$E,AZ$1,'単価履歴'!$F:$F,$A28,'単価履歴'!$O:$O,
MAXIFS('単価履歴'!$O:$O,'単価履歴'!$E:$E,AZ$1,'単価履歴'!$F:$F,$A28)))</f>
        <v/>
      </c>
      <c r="BA28" s="264" t="str">
        <f>IF(MAXIFS('単価履歴'!$H:$H,'単価履歴'!$E:$E,BA$1,'単価履歴'!$F:$F,$A28,'単価履歴'!$O:$O,
MAXIFS('単価履歴'!$O:$O,'単価履歴'!$E:$E,BA$1,'単価履歴'!$F:$F,$A28))=0,"",
MAXIFS('単価履歴'!$H:$H,'単価履歴'!$E:$E,BA$1,'単価履歴'!$F:$F,$A28,'単価履歴'!$O:$O,
MAXIFS('単価履歴'!$O:$O,'単価履歴'!$E:$E,BA$1,'単価履歴'!$F:$F,$A28)))</f>
        <v/>
      </c>
      <c r="BB28" s="256" t="str">
        <f>IF(MAXIFS('単価履歴'!$H:$H,'単価履歴'!$E:$E,BB$1,'単価履歴'!$F:$F,$A28,'単価履歴'!$O:$O,
MAXIFS('単価履歴'!$O:$O,'単価履歴'!$E:$E,BB$1,'単価履歴'!$F:$F,$A28))=0,"",
MAXIFS('単価履歴'!$H:$H,'単価履歴'!$E:$E,BB$1,'単価履歴'!$F:$F,$A28,'単価履歴'!$O:$O,
MAXIFS('単価履歴'!$O:$O,'単価履歴'!$E:$E,BB$1,'単価履歴'!$F:$F,$A28)))</f>
        <v/>
      </c>
      <c r="BC28" s="256" t="str">
        <f>IF(MAXIFS('単価履歴'!$H:$H,'単価履歴'!$E:$E,BC$1,'単価履歴'!$F:$F,$A28,'単価履歴'!$O:$O,
MAXIFS('単価履歴'!$O:$O,'単価履歴'!$E:$E,BC$1,'単価履歴'!$F:$F,$A28))=0,"",
MAXIFS('単価履歴'!$H:$H,'単価履歴'!$E:$E,BC$1,'単価履歴'!$F:$F,$A28,'単価履歴'!$O:$O,
MAXIFS('単価履歴'!$O:$O,'単価履歴'!$E:$E,BC$1,'単価履歴'!$F:$F,$A28)))</f>
        <v/>
      </c>
      <c r="BD28" s="256" t="str">
        <f>IF(MAXIFS('単価履歴'!$H:$H,'単価履歴'!$E:$E,BD$1,'単価履歴'!$F:$F,$A28,'単価履歴'!$O:$O,
MAXIFS('単価履歴'!$O:$O,'単価履歴'!$E:$E,BD$1,'単価履歴'!$F:$F,$A28))=0,"",
MAXIFS('単価履歴'!$H:$H,'単価履歴'!$E:$E,BD$1,'単価履歴'!$F:$F,$A28,'単価履歴'!$O:$O,
MAXIFS('単価履歴'!$O:$O,'単価履歴'!$E:$E,BD$1,'単価履歴'!$F:$F,$A28)))</f>
        <v/>
      </c>
      <c r="BE28" s="256" t="str">
        <f>IF(MAXIFS('単価履歴'!$H:$H,'単価履歴'!$E:$E,BE$1,'単価履歴'!$F:$F,$A28,'単価履歴'!$O:$O,
MAXIFS('単価履歴'!$O:$O,'単価履歴'!$E:$E,BE$1,'単価履歴'!$F:$F,$A28))=0,"",
MAXIFS('単価履歴'!$H:$H,'単価履歴'!$E:$E,BE$1,'単価履歴'!$F:$F,$A28,'単価履歴'!$O:$O,
MAXIFS('単価履歴'!$O:$O,'単価履歴'!$E:$E,BE$1,'単価履歴'!$F:$F,$A28)))</f>
        <v/>
      </c>
      <c r="BF28" s="263" t="str">
        <f>IF(MAXIFS('単価履歴'!$H:$H,'単価履歴'!$E:$E,BF$1,'単価履歴'!$F:$F,$A28,'単価履歴'!$O:$O,
MAXIFS('単価履歴'!$O:$O,'単価履歴'!$E:$E,BF$1,'単価履歴'!$F:$F,$A28))=0,"",
MAXIFS('単価履歴'!$H:$H,'単価履歴'!$E:$E,BF$1,'単価履歴'!$F:$F,$A28,'単価履歴'!$O:$O,
MAXIFS('単価履歴'!$O:$O,'単価履歴'!$E:$E,BF$1,'単価履歴'!$F:$F,$A28)))</f>
        <v/>
      </c>
      <c r="BG28" s="256" t="str">
        <f>IF(MAXIFS('単価履歴'!$H:$H,'単価履歴'!$E:$E,BG$1,'単価履歴'!$F:$F,$A28,'単価履歴'!$O:$O,
MAXIFS('単価履歴'!$O:$O,'単価履歴'!$E:$E,BG$1,'単価履歴'!$F:$F,$A28))=0,"",
MAXIFS('単価履歴'!$H:$H,'単価履歴'!$E:$E,BG$1,'単価履歴'!$F:$F,$A28,'単価履歴'!$O:$O,
MAXIFS('単価履歴'!$O:$O,'単価履歴'!$E:$E,BG$1,'単価履歴'!$F:$F,$A28)))</f>
        <v/>
      </c>
      <c r="BH28" s="254" t="str">
        <f>IF(MAXIFS('単価履歴'!$H:$H,'単価履歴'!$E:$E,BH$1,'単価履歴'!$F:$F,$A28,'単価履歴'!$O:$O,
MAXIFS('単価履歴'!$O:$O,'単価履歴'!$E:$E,BH$1,'単価履歴'!$F:$F,$A28))=0,"",
MAXIFS('単価履歴'!$H:$H,'単価履歴'!$E:$E,BH$1,'単価履歴'!$F:$F,$A28,'単価履歴'!$O:$O,
MAXIFS('単価履歴'!$O:$O,'単価履歴'!$E:$E,BH$1,'単価履歴'!$F:$F,$A28)))</f>
        <v/>
      </c>
      <c r="BI28" s="256" t="str">
        <f>IF(MAXIFS('単価履歴'!$H:$H,'単価履歴'!$E:$E,BI$1,'単価履歴'!$F:$F,$A28,'単価履歴'!$O:$O,
MAXIFS('単価履歴'!$O:$O,'単価履歴'!$E:$E,BI$1,'単価履歴'!$F:$F,$A28))=0,"",
MAXIFS('単価履歴'!$H:$H,'単価履歴'!$E:$E,BI$1,'単価履歴'!$F:$F,$A28,'単価履歴'!$O:$O,
MAXIFS('単価履歴'!$O:$O,'単価履歴'!$E:$E,BI$1,'単価履歴'!$F:$F,$A28)))</f>
        <v/>
      </c>
      <c r="BJ28" s="263" t="str">
        <f>IF(MAXIFS('単価履歴'!$H:$H,'単価履歴'!$E:$E,BJ$1,'単価履歴'!$F:$F,$A28,'単価履歴'!$O:$O,
MAXIFS('単価履歴'!$O:$O,'単価履歴'!$E:$E,BJ$1,'単価履歴'!$F:$F,$A28))=0,"",
MAXIFS('単価履歴'!$H:$H,'単価履歴'!$E:$E,BJ$1,'単価履歴'!$F:$F,$A28,'単価履歴'!$O:$O,
MAXIFS('単価履歴'!$O:$O,'単価履歴'!$E:$E,BJ$1,'単価履歴'!$F:$F,$A28)))</f>
        <v/>
      </c>
      <c r="BK28" s="256" t="str">
        <f>IF(MAXIFS('単価履歴'!$H:$H,'単価履歴'!$E:$E,BK$1,'単価履歴'!$F:$F,$A28,'単価履歴'!$O:$O,
MAXIFS('単価履歴'!$O:$O,'単価履歴'!$E:$E,BK$1,'単価履歴'!$F:$F,$A28))=0,"",
MAXIFS('単価履歴'!$H:$H,'単価履歴'!$E:$E,BK$1,'単価履歴'!$F:$F,$A28,'単価履歴'!$O:$O,
MAXIFS('単価履歴'!$O:$O,'単価履歴'!$E:$E,BK$1,'単価履歴'!$F:$F,$A28)))</f>
        <v/>
      </c>
      <c r="BL28" s="254" t="str">
        <f>IF(MAXIFS('単価履歴'!$H:$H,'単価履歴'!$E:$E,BL$1,'単価履歴'!$F:$F,$A28,'単価履歴'!$O:$O,
MAXIFS('単価履歴'!$O:$O,'単価履歴'!$E:$E,BL$1,'単価履歴'!$F:$F,$A28))=0,"",
MAXIFS('単価履歴'!$H:$H,'単価履歴'!$E:$E,BL$1,'単価履歴'!$F:$F,$A28,'単価履歴'!$O:$O,
MAXIFS('単価履歴'!$O:$O,'単価履歴'!$E:$E,BL$1,'単価履歴'!$F:$F,$A28)))</f>
        <v/>
      </c>
      <c r="BM28" s="263" t="str">
        <f>IF(MAXIFS('単価履歴'!$H:$H,'単価履歴'!$E:$E,BM$1,'単価履歴'!$F:$F,$A28,'単価履歴'!$O:$O,
MAXIFS('単価履歴'!$O:$O,'単価履歴'!$E:$E,BM$1,'単価履歴'!$F:$F,$A28))=0,"",
MAXIFS('単価履歴'!$H:$H,'単価履歴'!$E:$E,BM$1,'単価履歴'!$F:$F,$A28,'単価履歴'!$O:$O,
MAXIFS('単価履歴'!$O:$O,'単価履歴'!$E:$E,BM$1,'単価履歴'!$F:$F,$A28)))</f>
        <v/>
      </c>
      <c r="BN28" s="256" t="str">
        <f>IF(MAXIFS('単価履歴'!$H:$H,'単価履歴'!$E:$E,BN$1,'単価履歴'!$F:$F,$A28,'単価履歴'!$O:$O,
MAXIFS('単価履歴'!$O:$O,'単価履歴'!$E:$E,BN$1,'単価履歴'!$F:$F,$A28))=0,"",
MAXIFS('単価履歴'!$H:$H,'単価履歴'!$E:$E,BN$1,'単価履歴'!$F:$F,$A28,'単価履歴'!$O:$O,
MAXIFS('単価履歴'!$O:$O,'単価履歴'!$E:$E,BN$1,'単価履歴'!$F:$F,$A28)))</f>
        <v/>
      </c>
      <c r="BO28" s="263" t="str">
        <f>IF(MAXIFS('単価履歴'!$H:$H,'単価履歴'!$E:$E,BO$1,'単価履歴'!$F:$F,$A28,'単価履歴'!$O:$O,
MAXIFS('単価履歴'!$O:$O,'単価履歴'!$E:$E,BO$1,'単価履歴'!$F:$F,$A28))=0,"",
MAXIFS('単価履歴'!$H:$H,'単価履歴'!$E:$E,BO$1,'単価履歴'!$F:$F,$A28,'単価履歴'!$O:$O,
MAXIFS('単価履歴'!$O:$O,'単価履歴'!$E:$E,BO$1,'単価履歴'!$F:$F,$A28)))</f>
        <v/>
      </c>
      <c r="BP28" s="256" t="str">
        <f>IF(MAXIFS('単価履歴'!$H:$H,'単価履歴'!$E:$E,BP$1,'単価履歴'!$F:$F,$A28,'単価履歴'!$O:$O,
MAXIFS('単価履歴'!$O:$O,'単価履歴'!$E:$E,BP$1,'単価履歴'!$F:$F,$A28))=0,"",
MAXIFS('単価履歴'!$H:$H,'単価履歴'!$E:$E,BP$1,'単価履歴'!$F:$F,$A28,'単価履歴'!$O:$O,
MAXIFS('単価履歴'!$O:$O,'単価履歴'!$E:$E,BP$1,'単価履歴'!$F:$F,$A28)))</f>
        <v/>
      </c>
      <c r="BQ28" s="256" t="str">
        <f>IF(MAXIFS('単価履歴'!$H:$H,'単価履歴'!$E:$E,BQ$1,'単価履歴'!$F:$F,$A28,'単価履歴'!$O:$O,
MAXIFS('単価履歴'!$O:$O,'単価履歴'!$E:$E,BQ$1,'単価履歴'!$F:$F,$A28))=0,"",
MAXIFS('単価履歴'!$H:$H,'単価履歴'!$E:$E,BQ$1,'単価履歴'!$F:$F,$A28,'単価履歴'!$O:$O,
MAXIFS('単価履歴'!$O:$O,'単価履歴'!$E:$E,BQ$1,'単価履歴'!$F:$F,$A28)))</f>
        <v/>
      </c>
      <c r="BR28" s="264" t="str">
        <f>IF(MAXIFS('単価履歴'!$H:$H,'単価履歴'!$E:$E,BR$1,'単価履歴'!$F:$F,$A28,'単価履歴'!$O:$O,
MAXIFS('単価履歴'!$O:$O,'単価履歴'!$E:$E,BR$1,'単価履歴'!$F:$F,$A28))=0,"",
MAXIFS('単価履歴'!$H:$H,'単価履歴'!$E:$E,BR$1,'単価履歴'!$F:$F,$A28,'単価履歴'!$O:$O,
MAXIFS('単価履歴'!$O:$O,'単価履歴'!$E:$E,BR$1,'単価履歴'!$F:$F,$A28)))</f>
        <v/>
      </c>
      <c r="BS28" s="264" t="str">
        <f>IF(MAXIFS('単価履歴'!$H:$H,'単価履歴'!$E:$E,BS$1,'単価履歴'!$F:$F,$A28,'単価履歴'!$O:$O,
MAXIFS('単価履歴'!$O:$O,'単価履歴'!$E:$E,BS$1,'単価履歴'!$F:$F,$A28))=0,"",
MAXIFS('単価履歴'!$H:$H,'単価履歴'!$E:$E,BS$1,'単価履歴'!$F:$F,$A28,'単価履歴'!$O:$O,
MAXIFS('単価履歴'!$O:$O,'単価履歴'!$E:$E,BS$1,'単価履歴'!$F:$F,$A28)))</f>
        <v/>
      </c>
      <c r="BT28" s="264" t="str">
        <f>IF(MAXIFS('単価履歴'!$H:$H,'単価履歴'!$E:$E,BT$1,'単価履歴'!$F:$F,$A28,'単価履歴'!$O:$O,
MAXIFS('単価履歴'!$O:$O,'単価履歴'!$E:$E,BT$1,'単価履歴'!$F:$F,$A28))=0,"",
MAXIFS('単価履歴'!$H:$H,'単価履歴'!$E:$E,BT$1,'単価履歴'!$F:$F,$A28,'単価履歴'!$O:$O,
MAXIFS('単価履歴'!$O:$O,'単価履歴'!$E:$E,BT$1,'単価履歴'!$F:$F,$A28)))</f>
        <v/>
      </c>
      <c r="BU28" s="264" t="str">
        <f>IF(MAXIFS('単価履歴'!$H:$H,'単価履歴'!$E:$E,BU$1,'単価履歴'!$F:$F,$A28,'単価履歴'!$O:$O,
MAXIFS('単価履歴'!$O:$O,'単価履歴'!$E:$E,BU$1,'単価履歴'!$F:$F,$A28))=0,"",
MAXIFS('単価履歴'!$H:$H,'単価履歴'!$E:$E,BU$1,'単価履歴'!$F:$F,$A28,'単価履歴'!$O:$O,
MAXIFS('単価履歴'!$O:$O,'単価履歴'!$E:$E,BU$1,'単価履歴'!$F:$F,$A28)))</f>
        <v/>
      </c>
      <c r="BV28" s="264" t="str">
        <f>IF(MAXIFS('単価履歴'!$H:$H,'単価履歴'!$E:$E,BV$1,'単価履歴'!$F:$F,$A28,'単価履歴'!$O:$O,
MAXIFS('単価履歴'!$O:$O,'単価履歴'!$E:$E,BV$1,'単価履歴'!$F:$F,$A28))=0,"",
MAXIFS('単価履歴'!$H:$H,'単価履歴'!$E:$E,BV$1,'単価履歴'!$F:$F,$A28,'単価履歴'!$O:$O,
MAXIFS('単価履歴'!$O:$O,'単価履歴'!$E:$E,BV$1,'単価履歴'!$F:$F,$A28)))</f>
        <v/>
      </c>
      <c r="BW28" s="263" t="str">
        <f>IF(MAXIFS('単価履歴'!$H:$H,'単価履歴'!$E:$E,BW$1,'単価履歴'!$F:$F,$A28,'単価履歴'!$O:$O,
MAXIFS('単価履歴'!$O:$O,'単価履歴'!$E:$E,BW$1,'単価履歴'!$F:$F,$A28))=0,"",
MAXIFS('単価履歴'!$H:$H,'単価履歴'!$E:$E,BW$1,'単価履歴'!$F:$F,$A28,'単価履歴'!$O:$O,
MAXIFS('単価履歴'!$O:$O,'単価履歴'!$E:$E,BW$1,'単価履歴'!$F:$F,$A28)))</f>
        <v/>
      </c>
      <c r="BX28" s="256" t="str">
        <f>IF(MAXIFS('単価履歴'!$H:$H,'単価履歴'!$E:$E,BX$1,'単価履歴'!$F:$F,$A28,'単価履歴'!$O:$O,
MAXIFS('単価履歴'!$O:$O,'単価履歴'!$E:$E,BX$1,'単価履歴'!$F:$F,$A28))=0,"",
MAXIFS('単価履歴'!$H:$H,'単価履歴'!$E:$E,BX$1,'単価履歴'!$F:$F,$A28,'単価履歴'!$O:$O,
MAXIFS('単価履歴'!$O:$O,'単価履歴'!$E:$E,BX$1,'単価履歴'!$F:$F,$A28)))</f>
        <v/>
      </c>
      <c r="BY28" s="264" t="str">
        <f>IF(MAXIFS('単価履歴'!$H:$H,'単価履歴'!$E:$E,BY$1,'単価履歴'!$F:$F,$A28,'単価履歴'!$O:$O,
MAXIFS('単価履歴'!$O:$O,'単価履歴'!$E:$E,BY$1,'単価履歴'!$F:$F,$A28))=0,"",
MAXIFS('単価履歴'!$H:$H,'単価履歴'!$E:$E,BY$1,'単価履歴'!$F:$F,$A28,'単価履歴'!$O:$O,
MAXIFS('単価履歴'!$O:$O,'単価履歴'!$E:$E,BY$1,'単価履歴'!$F:$F,$A28)))</f>
        <v/>
      </c>
      <c r="BZ28" s="256"/>
      <c r="CA28" s="256"/>
      <c r="CB28" s="256"/>
      <c r="CC28" s="256"/>
      <c r="CD28" s="256"/>
      <c r="CE28" s="256"/>
      <c r="CF28" s="256"/>
      <c r="CG28" s="256"/>
    </row>
    <row r="29">
      <c r="A29" s="267" t="s">
        <v>154</v>
      </c>
      <c r="B29" s="246"/>
      <c r="C29" s="251"/>
      <c r="D29" s="249"/>
      <c r="E29" s="249"/>
      <c r="F29" s="249"/>
      <c r="G29" s="248"/>
      <c r="H29" s="249"/>
      <c r="I29" s="249"/>
      <c r="J29" s="248"/>
      <c r="K29" s="250">
        <f>IF(MAXIFS('単価履歴'!$H:$H,'単価履歴'!$E:$E,K$1,'単価履歴'!$F:$F,$A29,'単価履歴'!$O:$O,
MAXIFS('単価履歴'!$O:$O,'単価履歴'!$E:$E,K$1,'単価履歴'!$F:$F,$A29))=0,"",
MAXIFS('単価履歴'!$H:$H,'単価履歴'!$E:$E,K$1,'単価履歴'!$F:$F,$A29,'単価履歴'!$O:$O,
MAXIFS('単価履歴'!$O:$O,'単価履歴'!$E:$E,K$1,'単価履歴'!$F:$F,$A29)))</f>
        <v>45.5</v>
      </c>
      <c r="L29" s="250">
        <f>IF(MAXIFS('単価履歴'!$H:$H,'単価履歴'!$E:$E,L$1,'単価履歴'!$F:$F,$A29,'単価履歴'!$O:$O,
MAXIFS('単価履歴'!$O:$O,'単価履歴'!$E:$E,L$1,'単価履歴'!$F:$F,$A29))=0,"",
MAXIFS('単価履歴'!$H:$H,'単価履歴'!$E:$E,L$1,'単価履歴'!$F:$F,$A29,'単価履歴'!$O:$O,
MAXIFS('単価履歴'!$O:$O,'単価履歴'!$E:$E,L$1,'単価履歴'!$F:$F,$A29)))</f>
        <v>50.2</v>
      </c>
      <c r="M29" s="250">
        <f>IF(MAXIFS('単価履歴'!$H:$H,'単価履歴'!$E:$E,M$1,'単価履歴'!$F:$F,$A29,'単価履歴'!$O:$O,
MAXIFS('単価履歴'!$O:$O,'単価履歴'!$E:$E,M$1,'単価履歴'!$F:$F,$A29))=0,"",
MAXIFS('単価履歴'!$H:$H,'単価履歴'!$E:$E,M$1,'単価履歴'!$F:$F,$A29,'単価履歴'!$O:$O,
MAXIFS('単価履歴'!$O:$O,'単価履歴'!$E:$E,M$1,'単価履歴'!$F:$F,$A29)))</f>
        <v>55.7</v>
      </c>
      <c r="N29" s="275"/>
      <c r="O29" s="250" t="str">
        <f>IF(MAXIFS('単価履歴'!$H:$H,'単価履歴'!$E:$E,O$1,'単価履歴'!$F:$F,$A29,'単価履歴'!$O:$O,
MAXIFS('単価履歴'!$O:$O,'単価履歴'!$E:$E,O$1,'単価履歴'!$F:$F,$A29))=0,"",
MAXIFS('単価履歴'!$H:$H,'単価履歴'!$E:$E,O$1,'単価履歴'!$F:$F,$A29,'単価履歴'!$O:$O,
MAXIFS('単価履歴'!$O:$O,'単価履歴'!$E:$E,O$1,'単価履歴'!$F:$F,$A29)))</f>
        <v/>
      </c>
      <c r="P29" s="247">
        <f>IF(MAXIFS('単価履歴'!$H:$H,'単価履歴'!$E:$E,P$1,'単価履歴'!$F:$F,$A29,'単価履歴'!$O:$O,
MAXIFS('単価履歴'!$O:$O,'単価履歴'!$E:$E,P$1,'単価履歴'!$F:$F,$A29))=0,"",
MAXIFS('単価履歴'!$H:$H,'単価履歴'!$E:$E,P$1,'単価履歴'!$F:$F,$A29,'単価履歴'!$O:$O,
MAXIFS('単価履歴'!$O:$O,'単価履歴'!$E:$E,P$1,'単価履歴'!$F:$F,$A29)))</f>
        <v>53.2</v>
      </c>
      <c r="Q29" s="246" t="str">
        <f>IF(MAXIFS('単価履歴'!$H:$H,'単価履歴'!$E:$E,Q$1,'単価履歴'!$F:$F,$A29,'単価履歴'!$O:$O,
MAXIFS('単価履歴'!$O:$O,'単価履歴'!$E:$E,Q$1,'単価履歴'!$F:$F,$A29))=0,"",
MAXIFS('単価履歴'!$H:$H,'単価履歴'!$E:$E,Q$1,'単価履歴'!$F:$F,$A29,'単価履歴'!$O:$O,
MAXIFS('単価履歴'!$O:$O,'単価履歴'!$E:$E,Q$1,'単価履歴'!$F:$F,$A29)))</f>
        <v/>
      </c>
      <c r="R29" s="246" t="str">
        <f>IF(MAXIFS('単価履歴'!$H:$H,'単価履歴'!$E:$E,R$1,'単価履歴'!$F:$F,$A29,'単価履歴'!$O:$O,
MAXIFS('単価履歴'!$O:$O,'単価履歴'!$E:$E,R$1,'単価履歴'!$F:$F,$A29))=0,"",
MAXIFS('単価履歴'!$H:$H,'単価履歴'!$E:$E,R$1,'単価履歴'!$F:$F,$A29,'単価履歴'!$O:$O,
MAXIFS('単価履歴'!$O:$O,'単価履歴'!$E:$E,R$1,'単価履歴'!$F:$F,$A29)))</f>
        <v/>
      </c>
      <c r="S29" s="252" t="str">
        <f>IF(MAXIFS('単価履歴'!$H:$H,'単価履歴'!$E:$E,S$1,'単価履歴'!$F:$F,$A29,'単価履歴'!$O:$O,
MAXIFS('単価履歴'!$O:$O,'単価履歴'!$E:$E,S$1,'単価履歴'!$F:$F,$A29))=0,"",
MAXIFS('単価履歴'!$H:$H,'単価履歴'!$E:$E,S$1,'単価履歴'!$F:$F,$A29,'単価履歴'!$O:$O,
MAXIFS('単価履歴'!$O:$O,'単価履歴'!$E:$E,S$1,'単価履歴'!$F:$F,$A29)))</f>
        <v/>
      </c>
      <c r="T29" s="248" t="str">
        <f>IF(MAXIFS('単価履歴'!$H:$H,'単価履歴'!$E:$E,T$1,'単価履歴'!$F:$F,$A29,'単価履歴'!$O:$O,
MAXIFS('単価履歴'!$O:$O,'単価履歴'!$E:$E,T$1,'単価履歴'!$F:$F,$A29))=0,"",
MAXIFS('単価履歴'!$H:$H,'単価履歴'!$E:$E,T$1,'単価履歴'!$F:$F,$A29,'単価履歴'!$O:$O,
MAXIFS('単価履歴'!$O:$O,'単価履歴'!$E:$E,T$1,'単価履歴'!$F:$F,$A29)))</f>
        <v/>
      </c>
      <c r="U29" s="252" t="str">
        <f>IF(MAXIFS('単価履歴'!$H:$H,'単価履歴'!$E:$E,U$1,'単価履歴'!$F:$F,$A29,'単価履歴'!$O:$O,
MAXIFS('単価履歴'!$O:$O,'単価履歴'!$E:$E,U$1,'単価履歴'!$F:$F,$A29))=0,"",
MAXIFS('単価履歴'!$H:$H,'単価履歴'!$E:$E,U$1,'単価履歴'!$F:$F,$A29,'単価履歴'!$O:$O,
MAXIFS('単価履歴'!$O:$O,'単価履歴'!$E:$E,U$1,'単価履歴'!$F:$F,$A29)))</f>
        <v/>
      </c>
      <c r="V29" s="254">
        <f>IF(MAXIFS('単価履歴'!$H:$H,'単価履歴'!$E:$E,V$1,'単価履歴'!$F:$F,$A29,'単価履歴'!$O:$O,
MAXIFS('単価履歴'!$O:$O,'単価履歴'!$E:$E,V$1,'単価履歴'!$F:$F,$A29))=0,"",
MAXIFS('単価履歴'!$H:$H,'単価履歴'!$E:$E,V$1,'単価履歴'!$F:$F,$A29,'単価履歴'!$O:$O,
MAXIFS('単価履歴'!$O:$O,'単価履歴'!$E:$E,V$1,'単価履歴'!$F:$F,$A29)))</f>
        <v>54.5</v>
      </c>
      <c r="W29" s="249" t="str">
        <f>IF(MAXIFS('単価履歴'!$H:$H,'単価履歴'!$E:$E,W$1,'単価履歴'!$F:$F,$A29,'単価履歴'!$O:$O,
MAXIFS('単価履歴'!$O:$O,'単価履歴'!$E:$E,W$1,'単価履歴'!$F:$F,$A29))=0,"",
MAXIFS('単価履歴'!$H:$H,'単価履歴'!$E:$E,W$1,'単価履歴'!$F:$F,$A29,'単価履歴'!$O:$O,
MAXIFS('単価履歴'!$O:$O,'単価履歴'!$E:$E,W$1,'単価履歴'!$F:$F,$A29)))</f>
        <v/>
      </c>
      <c r="X29" s="249" t="str">
        <f>IF(MAXIFS('単価履歴'!$H:$H,'単価履歴'!$E:$E,X$1,'単価履歴'!$F:$F,$A29,'単価履歴'!$O:$O,
MAXIFS('単価履歴'!$O:$O,'単価履歴'!$E:$E,X$1,'単価履歴'!$F:$F,$A29))=0,"",
MAXIFS('単価履歴'!$H:$H,'単価履歴'!$E:$E,X$1,'単価履歴'!$F:$F,$A29,'単価履歴'!$O:$O,
MAXIFS('単価履歴'!$O:$O,'単価履歴'!$E:$E,X$1,'単価履歴'!$F:$F,$A29)))</f>
        <v/>
      </c>
      <c r="Y29" s="251" t="str">
        <f>IF(MAXIFS('単価履歴'!$H:$H,'単価履歴'!$E:$E,Y$1,'単価履歴'!$F:$F,$A29,'単価履歴'!$O:$O,
MAXIFS('単価履歴'!$O:$O,'単価履歴'!$E:$E,Y$1,'単価履歴'!$F:$F,$A29))=0,"",
MAXIFS('単価履歴'!$H:$H,'単価履歴'!$E:$E,Y$1,'単価履歴'!$F:$F,$A29,'単価履歴'!$O:$O,
MAXIFS('単価履歴'!$O:$O,'単価履歴'!$E:$E,Y$1,'単価履歴'!$F:$F,$A29)))</f>
        <v/>
      </c>
      <c r="Z29" s="252" t="str">
        <f>IF(MAXIFS('単価履歴'!$H:$H,'単価履歴'!$E:$E,Z$1,'単価履歴'!$F:$F,$A29,'単価履歴'!$O:$O,
MAXIFS('単価履歴'!$O:$O,'単価履歴'!$E:$E,Z$1,'単価履歴'!$F:$F,$A29))=0,"",
MAXIFS('単価履歴'!$H:$H,'単価履歴'!$E:$E,Z$1,'単価履歴'!$F:$F,$A29,'単価履歴'!$O:$O,
MAXIFS('単価履歴'!$O:$O,'単価履歴'!$E:$E,Z$1,'単価履歴'!$F:$F,$A29)))</f>
        <v/>
      </c>
      <c r="AA29" s="249" t="str">
        <f>IF(MAXIFS('単価履歴'!$H:$H,'単価履歴'!$E:$E,AA$1,'単価履歴'!$F:$F,$A29,'単価履歴'!$O:$O,
MAXIFS('単価履歴'!$O:$O,'単価履歴'!$E:$E,AA$1,'単価履歴'!$F:$F,$A29))=0,"",
MAXIFS('単価履歴'!$H:$H,'単価履歴'!$E:$E,AA$1,'単価履歴'!$F:$F,$A29,'単価履歴'!$O:$O,
MAXIFS('単価履歴'!$O:$O,'単価履歴'!$E:$E,AA$1,'単価履歴'!$F:$F,$A29)))</f>
        <v/>
      </c>
      <c r="AB29" s="249" t="str">
        <f>IF(MAXIFS('単価履歴'!$H:$H,'単価履歴'!$E:$E,AB$1,'単価履歴'!$F:$F,$A29,'単価履歴'!$O:$O,
MAXIFS('単価履歴'!$O:$O,'単価履歴'!$E:$E,AB$1,'単価履歴'!$F:$F,$A29))=0,"",
MAXIFS('単価履歴'!$H:$H,'単価履歴'!$E:$E,AB$1,'単価履歴'!$F:$F,$A29,'単価履歴'!$O:$O,
MAXIFS('単価履歴'!$O:$O,'単価履歴'!$E:$E,AB$1,'単価履歴'!$F:$F,$A29)))</f>
        <v/>
      </c>
      <c r="AC29" s="251" t="str">
        <f>IF(MAXIFS('単価履歴'!$H:$H,'単価履歴'!$E:$E,AC$1,'単価履歴'!$F:$F,$A29,'単価履歴'!$O:$O,
MAXIFS('単価履歴'!$O:$O,'単価履歴'!$E:$E,AC$1,'単価履歴'!$F:$F,$A29))=0,"",
MAXIFS('単価履歴'!$H:$H,'単価履歴'!$E:$E,AC$1,'単価履歴'!$F:$F,$A29,'単価履歴'!$O:$O,
MAXIFS('単価履歴'!$O:$O,'単価履歴'!$E:$E,AC$1,'単価履歴'!$F:$F,$A29)))</f>
        <v/>
      </c>
      <c r="AD29" s="249" t="str">
        <f>IF(MAXIFS('単価履歴'!$H:$H,'単価履歴'!$E:$E,AD$1,'単価履歴'!$F:$F,$A29,'単価履歴'!$O:$O,
MAXIFS('単価履歴'!$O:$O,'単価履歴'!$E:$E,AD$1,'単価履歴'!$F:$F,$A29))=0,"",
MAXIFS('単価履歴'!$H:$H,'単価履歴'!$E:$E,AD$1,'単価履歴'!$F:$F,$A29,'単価履歴'!$O:$O,
MAXIFS('単価履歴'!$O:$O,'単価履歴'!$E:$E,AD$1,'単価履歴'!$F:$F,$A29)))</f>
        <v/>
      </c>
      <c r="AE29" s="249" t="str">
        <f>IF(MAXIFS('単価履歴'!$H:$H,'単価履歴'!$E:$E,AE$1,'単価履歴'!$F:$F,$A29,'単価履歴'!$O:$O,
MAXIFS('単価履歴'!$O:$O,'単価履歴'!$E:$E,AE$1,'単価履歴'!$F:$F,$A29))=0,"",
MAXIFS('単価履歴'!$H:$H,'単価履歴'!$E:$E,AE$1,'単価履歴'!$F:$F,$A29,'単価履歴'!$O:$O,
MAXIFS('単価履歴'!$O:$O,'単価履歴'!$E:$E,AE$1,'単価履歴'!$F:$F,$A29)))</f>
        <v/>
      </c>
      <c r="AF29" s="251" t="str">
        <f>IF(MAXIFS('単価履歴'!$H:$H,'単価履歴'!$E:$E,AF$1,'単価履歴'!$F:$F,$A29,'単価履歴'!$O:$O,
MAXIFS('単価履歴'!$O:$O,'単価履歴'!$E:$E,AF$1,'単価履歴'!$F:$F,$A29))=0,"",
MAXIFS('単価履歴'!$H:$H,'単価履歴'!$E:$E,AF$1,'単価履歴'!$F:$F,$A29,'単価履歴'!$O:$O,
MAXIFS('単価履歴'!$O:$O,'単価履歴'!$E:$E,AF$1,'単価履歴'!$F:$F,$A29)))</f>
        <v/>
      </c>
      <c r="AG29" s="249" t="str">
        <f>IF(MAXIFS('単価履歴'!$H:$H,'単価履歴'!$E:$E,AG$1,'単価履歴'!$F:$F,$A29,'単価履歴'!$O:$O,
MAXIFS('単価履歴'!$O:$O,'単価履歴'!$E:$E,AG$1,'単価履歴'!$F:$F,$A29))=0,"",
MAXIFS('単価履歴'!$H:$H,'単価履歴'!$E:$E,AG$1,'単価履歴'!$F:$F,$A29,'単価履歴'!$O:$O,
MAXIFS('単価履歴'!$O:$O,'単価履歴'!$E:$E,AG$1,'単価履歴'!$F:$F,$A29)))</f>
        <v/>
      </c>
      <c r="AH29" s="252" t="str">
        <f>IF(MAXIFS('単価履歴'!$H:$H,'単価履歴'!$E:$E,AH$1,'単価履歴'!$F:$F,$A29,'単価履歴'!$O:$O,
MAXIFS('単価履歴'!$O:$O,'単価履歴'!$E:$E,AH$1,'単価履歴'!$F:$F,$A29))=0,"",
MAXIFS('単価履歴'!$H:$H,'単価履歴'!$E:$E,AH$1,'単価履歴'!$F:$F,$A29,'単価履歴'!$O:$O,
MAXIFS('単価履歴'!$O:$O,'単価履歴'!$E:$E,AH$1,'単価履歴'!$F:$F,$A29)))</f>
        <v/>
      </c>
      <c r="AI29" s="249" t="str">
        <f>IF(MAXIFS('単価履歴'!$H:$H,'単価履歴'!$E:$E,AI$1,'単価履歴'!$F:$F,$A29,'単価履歴'!$O:$O,
MAXIFS('単価履歴'!$O:$O,'単価履歴'!$E:$E,AI$1,'単価履歴'!$F:$F,$A29))=0,"",
MAXIFS('単価履歴'!$H:$H,'単価履歴'!$E:$E,AI$1,'単価履歴'!$F:$F,$A29,'単価履歴'!$O:$O,
MAXIFS('単価履歴'!$O:$O,'単価履歴'!$E:$E,AI$1,'単価履歴'!$F:$F,$A29)))</f>
        <v/>
      </c>
      <c r="AJ29" s="251" t="str">
        <f>IF(MAXIFS('単価履歴'!$H:$H,'単価履歴'!$E:$E,AJ$1,'単価履歴'!$F:$F,$A29,'単価履歴'!$O:$O,
MAXIFS('単価履歴'!$O:$O,'単価履歴'!$E:$E,AJ$1,'単価履歴'!$F:$F,$A29))=0,"",
MAXIFS('単価履歴'!$H:$H,'単価履歴'!$E:$E,AJ$1,'単価履歴'!$F:$F,$A29,'単価履歴'!$O:$O,
MAXIFS('単価履歴'!$O:$O,'単価履歴'!$E:$E,AJ$1,'単価履歴'!$F:$F,$A29)))</f>
        <v/>
      </c>
      <c r="AK29" s="252" t="str">
        <f>IF(MAXIFS('単価履歴'!$H:$H,'単価履歴'!$E:$E,AK$1,'単価履歴'!$F:$F,$A29,'単価履歴'!$O:$O,
MAXIFS('単価履歴'!$O:$O,'単価履歴'!$E:$E,AK$1,'単価履歴'!$F:$F,$A29))=0,"",
MAXIFS('単価履歴'!$H:$H,'単価履歴'!$E:$E,AK$1,'単価履歴'!$F:$F,$A29,'単価履歴'!$O:$O,
MAXIFS('単価履歴'!$O:$O,'単価履歴'!$E:$E,AK$1,'単価履歴'!$F:$F,$A29)))</f>
        <v/>
      </c>
      <c r="AL29" s="249" t="str">
        <f>IF(MAXIFS('単価履歴'!$H:$H,'単価履歴'!$E:$E,AL$1,'単価履歴'!$F:$F,$A29,'単価履歴'!$O:$O,
MAXIFS('単価履歴'!$O:$O,'単価履歴'!$E:$E,AL$1,'単価履歴'!$F:$F,$A29))=0,"",
MAXIFS('単価履歴'!$H:$H,'単価履歴'!$E:$E,AL$1,'単価履歴'!$F:$F,$A29,'単価履歴'!$O:$O,
MAXIFS('単価履歴'!$O:$O,'単価履歴'!$E:$E,AL$1,'単価履歴'!$F:$F,$A29)))</f>
        <v/>
      </c>
      <c r="AM29" s="280">
        <f>IF(MAXIFS('単価履歴'!$H:$H,'単価履歴'!$E:$E,AM$1,'単価履歴'!$F:$F,$A29,'単価履歴'!$O:$O,
MAXIFS('単価履歴'!$O:$O,'単価履歴'!$E:$E,AM$1,'単価履歴'!$F:$F,$A29))=0,"",
MAXIFS('単価履歴'!$H:$H,'単価履歴'!$E:$E,AM$1,'単価履歴'!$F:$F,$A29,'単価履歴'!$O:$O,
MAXIFS('単価履歴'!$O:$O,'単価履歴'!$E:$E,AM$1,'単価履歴'!$F:$F,$A29)))</f>
        <v>51.5</v>
      </c>
      <c r="AN29" s="280" t="str">
        <f>IF(MAXIFS('単価履歴'!$H:$H,'単価履歴'!$E:$E,AN$1,'単価履歴'!$F:$F,$A29,'単価履歴'!$O:$O,
MAXIFS('単価履歴'!$O:$O,'単価履歴'!$E:$E,AN$1,'単価履歴'!$F:$F,$A29))=0,"",
MAXIFS('単価履歴'!$H:$H,'単価履歴'!$E:$E,AN$1,'単価履歴'!$F:$F,$A29,'単価履歴'!$O:$O,
MAXIFS('単価履歴'!$O:$O,'単価履歴'!$E:$E,AN$1,'単価履歴'!$F:$F,$A29)))</f>
        <v/>
      </c>
      <c r="AO29" s="256"/>
      <c r="AP29" s="251"/>
      <c r="AQ29" s="251" t="str">
        <f>IF(MAXIFS('単価履歴'!$H:$H,'単価履歴'!$E:$E,AQ$1,'単価履歴'!$F:$F,$A29,'単価履歴'!$O:$O,
MAXIFS('単価履歴'!$O:$O,'単価履歴'!$E:$E,AQ$1,'単価履歴'!$F:$F,$A29))=0,"",
MAXIFS('単価履歴'!$H:$H,'単価履歴'!$E:$E,AQ$1,'単価履歴'!$F:$F,$A29,'単価履歴'!$O:$O,
MAXIFS('単価履歴'!$O:$O,'単価履歴'!$E:$E,AQ$1,'単価履歴'!$F:$F,$A29)))</f>
        <v/>
      </c>
      <c r="AR29" s="249" t="str">
        <f>IF(MAXIFS('単価履歴'!$H:$H,'単価履歴'!$E:$E,AR$1,'単価履歴'!$F:$F,$A29,'単価履歴'!$O:$O,
MAXIFS('単価履歴'!$O:$O,'単価履歴'!$E:$E,AR$1,'単価履歴'!$F:$F,$A29))=0,"",
MAXIFS('単価履歴'!$H:$H,'単価履歴'!$E:$E,AR$1,'単価履歴'!$F:$F,$A29,'単価履歴'!$O:$O,
MAXIFS('単価履歴'!$O:$O,'単価履歴'!$E:$E,AR$1,'単価履歴'!$F:$F,$A29)))</f>
        <v/>
      </c>
      <c r="AS29" s="249" t="str">
        <f>IF(MAXIFS('単価履歴'!$H:$H,'単価履歴'!$E:$E,AS$1,'単価履歴'!$F:$F,$A29,'単価履歴'!$O:$O,
MAXIFS('単価履歴'!$O:$O,'単価履歴'!$E:$E,AS$1,'単価履歴'!$F:$F,$A29))=0,"",
MAXIFS('単価履歴'!$H:$H,'単価履歴'!$E:$E,AS$1,'単価履歴'!$F:$F,$A29,'単価履歴'!$O:$O,
MAXIFS('単価履歴'!$O:$O,'単価履歴'!$E:$E,AS$1,'単価履歴'!$F:$F,$A29)))</f>
        <v/>
      </c>
      <c r="AT29" s="262">
        <f>IF(MAXIFS('単価履歴'!$H:$H,'単価履歴'!$E:$E,AT$1,'単価履歴'!$F:$F,$A29,'単価履歴'!$O:$O,
MAXIFS('単価履歴'!$O:$O,'単価履歴'!$E:$E,AT$1,'単価履歴'!$F:$F,$A29))=0,"",
MAXIFS('単価履歴'!$H:$H,'単価履歴'!$E:$E,AT$1,'単価履歴'!$F:$F,$A29,'単価履歴'!$O:$O,
MAXIFS('単価履歴'!$O:$O,'単価履歴'!$E:$E,AT$1,'単価履歴'!$F:$F,$A29)))</f>
        <v>55</v>
      </c>
      <c r="AU29" s="249" t="str">
        <f>IF(MAXIFS('単価履歴'!$H:$H,'単価履歴'!$E:$E,AU$1,'単価履歴'!$F:$F,$A29,'単価履歴'!$O:$O,
MAXIFS('単価履歴'!$O:$O,'単価履歴'!$E:$E,AU$1,'単価履歴'!$F:$F,$A29))=0,"",
MAXIFS('単価履歴'!$H:$H,'単価履歴'!$E:$E,AU$1,'単価履歴'!$F:$F,$A29,'単価履歴'!$O:$O,
MAXIFS('単価履歴'!$O:$O,'単価履歴'!$E:$E,AU$1,'単価履歴'!$F:$F,$A29)))</f>
        <v/>
      </c>
      <c r="AV29" s="251" t="str">
        <f>IF(MAXIFS('単価履歴'!$H:$H,'単価履歴'!$E:$E,AV$1,'単価履歴'!$F:$F,$A29,'単価履歴'!$O:$O,
MAXIFS('単価履歴'!$O:$O,'単価履歴'!$E:$E,AV$1,'単価履歴'!$F:$F,$A29))=0,"",
MAXIFS('単価履歴'!$H:$H,'単価履歴'!$E:$E,AV$1,'単価履歴'!$F:$F,$A29,'単価履歴'!$O:$O,
MAXIFS('単価履歴'!$O:$O,'単価履歴'!$E:$E,AV$1,'単価履歴'!$F:$F,$A29)))</f>
        <v/>
      </c>
      <c r="AW29" s="258">
        <f>IF(MAXIFS('単価履歴'!$H:$H,'単価履歴'!$E:$E,AW$1,'単価履歴'!$F:$F,$A29,'単価履歴'!$O:$O,
MAXIFS('単価履歴'!$O:$O,'単価履歴'!$E:$E,AW$1,'単価履歴'!$F:$F,$A29))=0,"",
MAXIFS('単価履歴'!$H:$H,'単価履歴'!$E:$E,AW$1,'単価履歴'!$F:$F,$A29,'単価履歴'!$O:$O,
MAXIFS('単価履歴'!$O:$O,'単価履歴'!$E:$E,AW$1,'単価履歴'!$F:$F,$A29)))</f>
        <v>51.5</v>
      </c>
      <c r="AX29" s="251" t="str">
        <f>IF(MAXIFS('単価履歴'!$H:$H,'単価履歴'!$E:$E,AX$1,'単価履歴'!$F:$F,$A29,'単価履歴'!$O:$O,
MAXIFS('単価履歴'!$O:$O,'単価履歴'!$E:$E,AX$1,'単価履歴'!$F:$F,$A29))=0,"",
MAXIFS('単価履歴'!$H:$H,'単価履歴'!$E:$E,AX$1,'単価履歴'!$F:$F,$A29,'単価履歴'!$O:$O,
MAXIFS('単価履歴'!$O:$O,'単価履歴'!$E:$E,AX$1,'単価履歴'!$F:$F,$A29)))</f>
        <v/>
      </c>
      <c r="AY29" s="252" t="str">
        <f>IF(MAXIFS('単価履歴'!$H:$H,'単価履歴'!$E:$E,AY$1,'単価履歴'!$F:$F,$A29,'単価履歴'!$O:$O,
MAXIFS('単価履歴'!$O:$O,'単価履歴'!$E:$E,AY$1,'単価履歴'!$F:$F,$A29))=0,"",
MAXIFS('単価履歴'!$H:$H,'単価履歴'!$E:$E,AY$1,'単価履歴'!$F:$F,$A29,'単価履歴'!$O:$O,
MAXIFS('単価履歴'!$O:$O,'単価履歴'!$E:$E,AY$1,'単価履歴'!$F:$F,$A29)))</f>
        <v/>
      </c>
      <c r="AZ29" s="249" t="str">
        <f>IF(MAXIFS('単価履歴'!$H:$H,'単価履歴'!$E:$E,AZ$1,'単価履歴'!$F:$F,$A29,'単価履歴'!$O:$O,
MAXIFS('単価履歴'!$O:$O,'単価履歴'!$E:$E,AZ$1,'単価履歴'!$F:$F,$A29))=0,"",
MAXIFS('単価履歴'!$H:$H,'単価履歴'!$E:$E,AZ$1,'単価履歴'!$F:$F,$A29,'単価履歴'!$O:$O,
MAXIFS('単価履歴'!$O:$O,'単価履歴'!$E:$E,AZ$1,'単価履歴'!$F:$F,$A29)))</f>
        <v/>
      </c>
      <c r="BA29" s="252" t="str">
        <f>IF(MAXIFS('単価履歴'!$H:$H,'単価履歴'!$E:$E,BA$1,'単価履歴'!$F:$F,$A29,'単価履歴'!$O:$O,
MAXIFS('単価履歴'!$O:$O,'単価履歴'!$E:$E,BA$1,'単価履歴'!$F:$F,$A29))=0,"",
MAXIFS('単価履歴'!$H:$H,'単価履歴'!$E:$E,BA$1,'単価履歴'!$F:$F,$A29,'単価履歴'!$O:$O,
MAXIFS('単価履歴'!$O:$O,'単価履歴'!$E:$E,BA$1,'単価履歴'!$F:$F,$A29)))</f>
        <v/>
      </c>
      <c r="BB29" s="249" t="str">
        <f>IF(MAXIFS('単価履歴'!$H:$H,'単価履歴'!$E:$E,BB$1,'単価履歴'!$F:$F,$A29,'単価履歴'!$O:$O,
MAXIFS('単価履歴'!$O:$O,'単価履歴'!$E:$E,BB$1,'単価履歴'!$F:$F,$A29))=0,"",
MAXIFS('単価履歴'!$H:$H,'単価履歴'!$E:$E,BB$1,'単価履歴'!$F:$F,$A29,'単価履歴'!$O:$O,
MAXIFS('単価履歴'!$O:$O,'単価履歴'!$E:$E,BB$1,'単価履歴'!$F:$F,$A29)))</f>
        <v/>
      </c>
      <c r="BC29" s="249" t="str">
        <f>IF(MAXIFS('単価履歴'!$H:$H,'単価履歴'!$E:$E,BC$1,'単価履歴'!$F:$F,$A29,'単価履歴'!$O:$O,
MAXIFS('単価履歴'!$O:$O,'単価履歴'!$E:$E,BC$1,'単価履歴'!$F:$F,$A29))=0,"",
MAXIFS('単価履歴'!$H:$H,'単価履歴'!$E:$E,BC$1,'単価履歴'!$F:$F,$A29,'単価履歴'!$O:$O,
MAXIFS('単価履歴'!$O:$O,'単価履歴'!$E:$E,BC$1,'単価履歴'!$F:$F,$A29)))</f>
        <v/>
      </c>
      <c r="BD29" s="249" t="str">
        <f>IF(MAXIFS('単価履歴'!$H:$H,'単価履歴'!$E:$E,BD$1,'単価履歴'!$F:$F,$A29,'単価履歴'!$O:$O,
MAXIFS('単価履歴'!$O:$O,'単価履歴'!$E:$E,BD$1,'単価履歴'!$F:$F,$A29))=0,"",
MAXIFS('単価履歴'!$H:$H,'単価履歴'!$E:$E,BD$1,'単価履歴'!$F:$F,$A29,'単価履歴'!$O:$O,
MAXIFS('単価履歴'!$O:$O,'単価履歴'!$E:$E,BD$1,'単価履歴'!$F:$F,$A29)))</f>
        <v/>
      </c>
      <c r="BE29" s="249" t="str">
        <f>IF(MAXIFS('単価履歴'!$H:$H,'単価履歴'!$E:$E,BE$1,'単価履歴'!$F:$F,$A29,'単価履歴'!$O:$O,
MAXIFS('単価履歴'!$O:$O,'単価履歴'!$E:$E,BE$1,'単価履歴'!$F:$F,$A29))=0,"",
MAXIFS('単価履歴'!$H:$H,'単価履歴'!$E:$E,BE$1,'単価履歴'!$F:$F,$A29,'単価履歴'!$O:$O,
MAXIFS('単価履歴'!$O:$O,'単価履歴'!$E:$E,BE$1,'単価履歴'!$F:$F,$A29)))</f>
        <v/>
      </c>
      <c r="BF29" s="248" t="str">
        <f>IF(MAXIFS('単価履歴'!$H:$H,'単価履歴'!$E:$E,BF$1,'単価履歴'!$F:$F,$A29,'単価履歴'!$O:$O,
MAXIFS('単価履歴'!$O:$O,'単価履歴'!$E:$E,BF$1,'単価履歴'!$F:$F,$A29))=0,"",
MAXIFS('単価履歴'!$H:$H,'単価履歴'!$E:$E,BF$1,'単価履歴'!$F:$F,$A29,'単価履歴'!$O:$O,
MAXIFS('単価履歴'!$O:$O,'単価履歴'!$E:$E,BF$1,'単価履歴'!$F:$F,$A29)))</f>
        <v/>
      </c>
      <c r="BG29" s="249" t="str">
        <f>IF(MAXIFS('単価履歴'!$H:$H,'単価履歴'!$E:$E,BG$1,'単価履歴'!$F:$F,$A29,'単価履歴'!$O:$O,
MAXIFS('単価履歴'!$O:$O,'単価履歴'!$E:$E,BG$1,'単価履歴'!$F:$F,$A29))=0,"",
MAXIFS('単価履歴'!$H:$H,'単価履歴'!$E:$E,BG$1,'単価履歴'!$F:$F,$A29,'単価履歴'!$O:$O,
MAXIFS('単価履歴'!$O:$O,'単価履歴'!$E:$E,BG$1,'単価履歴'!$F:$F,$A29)))</f>
        <v/>
      </c>
      <c r="BH29" s="251" t="str">
        <f>IF(MAXIFS('単価履歴'!$H:$H,'単価履歴'!$E:$E,BH$1,'単価履歴'!$F:$F,$A29,'単価履歴'!$O:$O,
MAXIFS('単価履歴'!$O:$O,'単価履歴'!$E:$E,BH$1,'単価履歴'!$F:$F,$A29))=0,"",
MAXIFS('単価履歴'!$H:$H,'単価履歴'!$E:$E,BH$1,'単価履歴'!$F:$F,$A29,'単価履歴'!$O:$O,
MAXIFS('単価履歴'!$O:$O,'単価履歴'!$E:$E,BH$1,'単価履歴'!$F:$F,$A29)))</f>
        <v/>
      </c>
      <c r="BI29" s="249" t="str">
        <f>IF(MAXIFS('単価履歴'!$H:$H,'単価履歴'!$E:$E,BI$1,'単価履歴'!$F:$F,$A29,'単価履歴'!$O:$O,
MAXIFS('単価履歴'!$O:$O,'単価履歴'!$E:$E,BI$1,'単価履歴'!$F:$F,$A29))=0,"",
MAXIFS('単価履歴'!$H:$H,'単価履歴'!$E:$E,BI$1,'単価履歴'!$F:$F,$A29,'単価履歴'!$O:$O,
MAXIFS('単価履歴'!$O:$O,'単価履歴'!$E:$E,BI$1,'単価履歴'!$F:$F,$A29)))</f>
        <v/>
      </c>
      <c r="BJ29" s="248" t="str">
        <f>IF(MAXIFS('単価履歴'!$H:$H,'単価履歴'!$E:$E,BJ$1,'単価履歴'!$F:$F,$A29,'単価履歴'!$O:$O,
MAXIFS('単価履歴'!$O:$O,'単価履歴'!$E:$E,BJ$1,'単価履歴'!$F:$F,$A29))=0,"",
MAXIFS('単価履歴'!$H:$H,'単価履歴'!$E:$E,BJ$1,'単価履歴'!$F:$F,$A29,'単価履歴'!$O:$O,
MAXIFS('単価履歴'!$O:$O,'単価履歴'!$E:$E,BJ$1,'単価履歴'!$F:$F,$A29)))</f>
        <v/>
      </c>
      <c r="BK29" s="249" t="str">
        <f>IF(MAXIFS('単価履歴'!$H:$H,'単価履歴'!$E:$E,BK$1,'単価履歴'!$F:$F,$A29,'単価履歴'!$O:$O,
MAXIFS('単価履歴'!$O:$O,'単価履歴'!$E:$E,BK$1,'単価履歴'!$F:$F,$A29))=0,"",
MAXIFS('単価履歴'!$H:$H,'単価履歴'!$E:$E,BK$1,'単価履歴'!$F:$F,$A29,'単価履歴'!$O:$O,
MAXIFS('単価履歴'!$O:$O,'単価履歴'!$E:$E,BK$1,'単価履歴'!$F:$F,$A29)))</f>
        <v/>
      </c>
      <c r="BL29" s="251" t="str">
        <f>IF(MAXIFS('単価履歴'!$H:$H,'単価履歴'!$E:$E,BL$1,'単価履歴'!$F:$F,$A29,'単価履歴'!$O:$O,
MAXIFS('単価履歴'!$O:$O,'単価履歴'!$E:$E,BL$1,'単価履歴'!$F:$F,$A29))=0,"",
MAXIFS('単価履歴'!$H:$H,'単価履歴'!$E:$E,BL$1,'単価履歴'!$F:$F,$A29,'単価履歴'!$O:$O,
MAXIFS('単価履歴'!$O:$O,'単価履歴'!$E:$E,BL$1,'単価履歴'!$F:$F,$A29)))</f>
        <v/>
      </c>
      <c r="BM29" s="248" t="str">
        <f>IF(MAXIFS('単価履歴'!$H:$H,'単価履歴'!$E:$E,BM$1,'単価履歴'!$F:$F,$A29,'単価履歴'!$O:$O,
MAXIFS('単価履歴'!$O:$O,'単価履歴'!$E:$E,BM$1,'単価履歴'!$F:$F,$A29))=0,"",
MAXIFS('単価履歴'!$H:$H,'単価履歴'!$E:$E,BM$1,'単価履歴'!$F:$F,$A29,'単価履歴'!$O:$O,
MAXIFS('単価履歴'!$O:$O,'単価履歴'!$E:$E,BM$1,'単価履歴'!$F:$F,$A29)))</f>
        <v/>
      </c>
      <c r="BN29" s="249" t="str">
        <f>IF(MAXIFS('単価履歴'!$H:$H,'単価履歴'!$E:$E,BN$1,'単価履歴'!$F:$F,$A29,'単価履歴'!$O:$O,
MAXIFS('単価履歴'!$O:$O,'単価履歴'!$E:$E,BN$1,'単価履歴'!$F:$F,$A29))=0,"",
MAXIFS('単価履歴'!$H:$H,'単価履歴'!$E:$E,BN$1,'単価履歴'!$F:$F,$A29,'単価履歴'!$O:$O,
MAXIFS('単価履歴'!$O:$O,'単価履歴'!$E:$E,BN$1,'単価履歴'!$F:$F,$A29)))</f>
        <v/>
      </c>
      <c r="BO29" s="248" t="str">
        <f>IF(MAXIFS('単価履歴'!$H:$H,'単価履歴'!$E:$E,BO$1,'単価履歴'!$F:$F,$A29,'単価履歴'!$O:$O,
MAXIFS('単価履歴'!$O:$O,'単価履歴'!$E:$E,BO$1,'単価履歴'!$F:$F,$A29))=0,"",
MAXIFS('単価履歴'!$H:$H,'単価履歴'!$E:$E,BO$1,'単価履歴'!$F:$F,$A29,'単価履歴'!$O:$O,
MAXIFS('単価履歴'!$O:$O,'単価履歴'!$E:$E,BO$1,'単価履歴'!$F:$F,$A29)))</f>
        <v/>
      </c>
      <c r="BP29" s="249" t="str">
        <f>IF(MAXIFS('単価履歴'!$H:$H,'単価履歴'!$E:$E,BP$1,'単価履歴'!$F:$F,$A29,'単価履歴'!$O:$O,
MAXIFS('単価履歴'!$O:$O,'単価履歴'!$E:$E,BP$1,'単価履歴'!$F:$F,$A29))=0,"",
MAXIFS('単価履歴'!$H:$H,'単価履歴'!$E:$E,BP$1,'単価履歴'!$F:$F,$A29,'単価履歴'!$O:$O,
MAXIFS('単価履歴'!$O:$O,'単価履歴'!$E:$E,BP$1,'単価履歴'!$F:$F,$A29)))</f>
        <v/>
      </c>
      <c r="BQ29" s="249" t="str">
        <f>IF(MAXIFS('単価履歴'!$H:$H,'単価履歴'!$E:$E,BQ$1,'単価履歴'!$F:$F,$A29,'単価履歴'!$O:$O,
MAXIFS('単価履歴'!$O:$O,'単価履歴'!$E:$E,BQ$1,'単価履歴'!$F:$F,$A29))=0,"",
MAXIFS('単価履歴'!$H:$H,'単価履歴'!$E:$E,BQ$1,'単価履歴'!$F:$F,$A29,'単価履歴'!$O:$O,
MAXIFS('単価履歴'!$O:$O,'単価履歴'!$E:$E,BQ$1,'単価履歴'!$F:$F,$A29)))</f>
        <v/>
      </c>
      <c r="BR29" s="252" t="str">
        <f>IF(MAXIFS('単価履歴'!$H:$H,'単価履歴'!$E:$E,BR$1,'単価履歴'!$F:$F,$A29,'単価履歴'!$O:$O,
MAXIFS('単価履歴'!$O:$O,'単価履歴'!$E:$E,BR$1,'単価履歴'!$F:$F,$A29))=0,"",
MAXIFS('単価履歴'!$H:$H,'単価履歴'!$E:$E,BR$1,'単価履歴'!$F:$F,$A29,'単価履歴'!$O:$O,
MAXIFS('単価履歴'!$O:$O,'単価履歴'!$E:$E,BR$1,'単価履歴'!$F:$F,$A29)))</f>
        <v/>
      </c>
      <c r="BS29" s="252" t="str">
        <f>IF(MAXIFS('単価履歴'!$H:$H,'単価履歴'!$E:$E,BS$1,'単価履歴'!$F:$F,$A29,'単価履歴'!$O:$O,
MAXIFS('単価履歴'!$O:$O,'単価履歴'!$E:$E,BS$1,'単価履歴'!$F:$F,$A29))=0,"",
MAXIFS('単価履歴'!$H:$H,'単価履歴'!$E:$E,BS$1,'単価履歴'!$F:$F,$A29,'単価履歴'!$O:$O,
MAXIFS('単価履歴'!$O:$O,'単価履歴'!$E:$E,BS$1,'単価履歴'!$F:$F,$A29)))</f>
        <v/>
      </c>
      <c r="BT29" s="252" t="str">
        <f>IF(MAXIFS('単価履歴'!$H:$H,'単価履歴'!$E:$E,BT$1,'単価履歴'!$F:$F,$A29,'単価履歴'!$O:$O,
MAXIFS('単価履歴'!$O:$O,'単価履歴'!$E:$E,BT$1,'単価履歴'!$F:$F,$A29))=0,"",
MAXIFS('単価履歴'!$H:$H,'単価履歴'!$E:$E,BT$1,'単価履歴'!$F:$F,$A29,'単価履歴'!$O:$O,
MAXIFS('単価履歴'!$O:$O,'単価履歴'!$E:$E,BT$1,'単価履歴'!$F:$F,$A29)))</f>
        <v/>
      </c>
      <c r="BU29" s="252" t="str">
        <f>IF(MAXIFS('単価履歴'!$H:$H,'単価履歴'!$E:$E,BU$1,'単価履歴'!$F:$F,$A29,'単価履歴'!$O:$O,
MAXIFS('単価履歴'!$O:$O,'単価履歴'!$E:$E,BU$1,'単価履歴'!$F:$F,$A29))=0,"",
MAXIFS('単価履歴'!$H:$H,'単価履歴'!$E:$E,BU$1,'単価履歴'!$F:$F,$A29,'単価履歴'!$O:$O,
MAXIFS('単価履歴'!$O:$O,'単価履歴'!$E:$E,BU$1,'単価履歴'!$F:$F,$A29)))</f>
        <v/>
      </c>
      <c r="BV29" s="252" t="str">
        <f>IF(MAXIFS('単価履歴'!$H:$H,'単価履歴'!$E:$E,BV$1,'単価履歴'!$F:$F,$A29,'単価履歴'!$O:$O,
MAXIFS('単価履歴'!$O:$O,'単価履歴'!$E:$E,BV$1,'単価履歴'!$F:$F,$A29))=0,"",
MAXIFS('単価履歴'!$H:$H,'単価履歴'!$E:$E,BV$1,'単価履歴'!$F:$F,$A29,'単価履歴'!$O:$O,
MAXIFS('単価履歴'!$O:$O,'単価履歴'!$E:$E,BV$1,'単価履歴'!$F:$F,$A29)))</f>
        <v/>
      </c>
      <c r="BW29" s="248" t="str">
        <f>IF(MAXIFS('単価履歴'!$H:$H,'単価履歴'!$E:$E,BW$1,'単価履歴'!$F:$F,$A29,'単価履歴'!$O:$O,
MAXIFS('単価履歴'!$O:$O,'単価履歴'!$E:$E,BW$1,'単価履歴'!$F:$F,$A29))=0,"",
MAXIFS('単価履歴'!$H:$H,'単価履歴'!$E:$E,BW$1,'単価履歴'!$F:$F,$A29,'単価履歴'!$O:$O,
MAXIFS('単価履歴'!$O:$O,'単価履歴'!$E:$E,BW$1,'単価履歴'!$F:$F,$A29)))</f>
        <v/>
      </c>
      <c r="BX29" s="249" t="str">
        <f>IF(MAXIFS('単価履歴'!$H:$H,'単価履歴'!$E:$E,BX$1,'単価履歴'!$F:$F,$A29,'単価履歴'!$O:$O,
MAXIFS('単価履歴'!$O:$O,'単価履歴'!$E:$E,BX$1,'単価履歴'!$F:$F,$A29))=0,"",
MAXIFS('単価履歴'!$H:$H,'単価履歴'!$E:$E,BX$1,'単価履歴'!$F:$F,$A29,'単価履歴'!$O:$O,
MAXIFS('単価履歴'!$O:$O,'単価履歴'!$E:$E,BX$1,'単価履歴'!$F:$F,$A29)))</f>
        <v/>
      </c>
      <c r="BY29" s="252" t="str">
        <f>IF(MAXIFS('単価履歴'!$H:$H,'単価履歴'!$E:$E,BY$1,'単価履歴'!$F:$F,$A29,'単価履歴'!$O:$O,
MAXIFS('単価履歴'!$O:$O,'単価履歴'!$E:$E,BY$1,'単価履歴'!$F:$F,$A29))=0,"",
MAXIFS('単価履歴'!$H:$H,'単価履歴'!$E:$E,BY$1,'単価履歴'!$F:$F,$A29,'単価履歴'!$O:$O,
MAXIFS('単価履歴'!$O:$O,'単価履歴'!$E:$E,BY$1,'単価履歴'!$F:$F,$A29)))</f>
        <v/>
      </c>
      <c r="BZ29" s="249"/>
      <c r="CA29" s="249"/>
      <c r="CB29" s="249"/>
      <c r="CC29" s="249"/>
      <c r="CD29" s="249"/>
      <c r="CE29" s="249"/>
      <c r="CF29" s="249"/>
      <c r="CG29" s="249"/>
    </row>
    <row r="30">
      <c r="A30" s="261" t="s">
        <v>156</v>
      </c>
      <c r="B30" s="246"/>
      <c r="C30" s="254"/>
      <c r="D30" s="256"/>
      <c r="E30" s="256"/>
      <c r="F30" s="256"/>
      <c r="G30" s="263"/>
      <c r="H30" s="256"/>
      <c r="I30" s="256"/>
      <c r="J30" s="263"/>
      <c r="K30" s="250">
        <f>IF(MAXIFS('単価履歴'!$H:$H,'単価履歴'!$E:$E,K$1,'単価履歴'!$F:$F,$A30,'単価履歴'!$O:$O,
MAXIFS('単価履歴'!$O:$O,'単価履歴'!$E:$E,K$1,'単価履歴'!$F:$F,$A30))=0,"",
MAXIFS('単価履歴'!$H:$H,'単価履歴'!$E:$E,K$1,'単価履歴'!$F:$F,$A30,'単価履歴'!$O:$O,
MAXIFS('単価履歴'!$O:$O,'単価履歴'!$E:$E,K$1,'単価履歴'!$F:$F,$A30)))</f>
        <v>39</v>
      </c>
      <c r="L30" s="250">
        <f>IF(MAXIFS('単価履歴'!$H:$H,'単価履歴'!$E:$E,L$1,'単価履歴'!$F:$F,$A30,'単価履歴'!$O:$O,
MAXIFS('単価履歴'!$O:$O,'単価履歴'!$E:$E,L$1,'単価履歴'!$F:$F,$A30))=0,"",
MAXIFS('単価履歴'!$H:$H,'単価履歴'!$E:$E,L$1,'単価履歴'!$F:$F,$A30,'単価履歴'!$O:$O,
MAXIFS('単価履歴'!$O:$O,'単価履歴'!$E:$E,L$1,'単価履歴'!$F:$F,$A30)))</f>
        <v>43.7</v>
      </c>
      <c r="M30" s="250">
        <f>IF(MAXIFS('単価履歴'!$H:$H,'単価履歴'!$E:$E,M$1,'単価履歴'!$F:$F,$A30,'単価履歴'!$O:$O,
MAXIFS('単価履歴'!$O:$O,'単価履歴'!$E:$E,M$1,'単価履歴'!$F:$F,$A30))=0,"",
MAXIFS('単価履歴'!$H:$H,'単価履歴'!$E:$E,M$1,'単価履歴'!$F:$F,$A30,'単価履歴'!$O:$O,
MAXIFS('単価履歴'!$O:$O,'単価履歴'!$E:$E,M$1,'単価履歴'!$F:$F,$A30)))</f>
        <v>45.5</v>
      </c>
      <c r="N30" s="275"/>
      <c r="O30" s="250" t="str">
        <f>IF(MAXIFS('単価履歴'!$H:$H,'単価履歴'!$E:$E,O$1,'単価履歴'!$F:$F,$A30,'単価履歴'!$O:$O,
MAXIFS('単価履歴'!$O:$O,'単価履歴'!$E:$E,O$1,'単価履歴'!$F:$F,$A30))=0,"",
MAXIFS('単価履歴'!$H:$H,'単価履歴'!$E:$E,O$1,'単価履歴'!$F:$F,$A30,'単価履歴'!$O:$O,
MAXIFS('単価履歴'!$O:$O,'単価履歴'!$E:$E,O$1,'単価履歴'!$F:$F,$A30)))</f>
        <v/>
      </c>
      <c r="P30" s="254" t="str">
        <f>IF(MAXIFS('単価履歴'!$H:$H,'単価履歴'!$E:$E,P$1,'単価履歴'!$F:$F,$A30,'単価履歴'!$O:$O,
MAXIFS('単価履歴'!$O:$O,'単価履歴'!$E:$E,P$1,'単価履歴'!$F:$F,$A30))=0,"",
MAXIFS('単価履歴'!$H:$H,'単価履歴'!$E:$E,P$1,'単価履歴'!$F:$F,$A30,'単価履歴'!$O:$O,
MAXIFS('単価履歴'!$O:$O,'単価履歴'!$E:$E,P$1,'単価履歴'!$F:$F,$A30)))</f>
        <v/>
      </c>
      <c r="Q30" s="256" t="str">
        <f>IF(MAXIFS('単価履歴'!$H:$H,'単価履歴'!$E:$E,Q$1,'単価履歴'!$F:$F,$A30,'単価履歴'!$O:$O,
MAXIFS('単価履歴'!$O:$O,'単価履歴'!$E:$E,Q$1,'単価履歴'!$F:$F,$A30))=0,"",
MAXIFS('単価履歴'!$H:$H,'単価履歴'!$E:$E,Q$1,'単価履歴'!$F:$F,$A30,'単価履歴'!$O:$O,
MAXIFS('単価履歴'!$O:$O,'単価履歴'!$E:$E,Q$1,'単価履歴'!$F:$F,$A30)))</f>
        <v/>
      </c>
      <c r="R30" s="256" t="str">
        <f>IF(MAXIFS('単価履歴'!$H:$H,'単価履歴'!$E:$E,R$1,'単価履歴'!$F:$F,$A30,'単価履歴'!$O:$O,
MAXIFS('単価履歴'!$O:$O,'単価履歴'!$E:$E,R$1,'単価履歴'!$F:$F,$A30))=0,"",
MAXIFS('単価履歴'!$H:$H,'単価履歴'!$E:$E,R$1,'単価履歴'!$F:$F,$A30,'単価履歴'!$O:$O,
MAXIFS('単価履歴'!$O:$O,'単価履歴'!$E:$E,R$1,'単価履歴'!$F:$F,$A30)))</f>
        <v/>
      </c>
      <c r="S30" s="264" t="str">
        <f>IF(MAXIFS('単価履歴'!$H:$H,'単価履歴'!$E:$E,S$1,'単価履歴'!$F:$F,$A30,'単価履歴'!$O:$O,
MAXIFS('単価履歴'!$O:$O,'単価履歴'!$E:$E,S$1,'単価履歴'!$F:$F,$A30))=0,"",
MAXIFS('単価履歴'!$H:$H,'単価履歴'!$E:$E,S$1,'単価履歴'!$F:$F,$A30,'単価履歴'!$O:$O,
MAXIFS('単価履歴'!$O:$O,'単価履歴'!$E:$E,S$1,'単価履歴'!$F:$F,$A30)))</f>
        <v/>
      </c>
      <c r="T30" s="263" t="str">
        <f>IF(MAXIFS('単価履歴'!$H:$H,'単価履歴'!$E:$E,T$1,'単価履歴'!$F:$F,$A30,'単価履歴'!$O:$O,
MAXIFS('単価履歴'!$O:$O,'単価履歴'!$E:$E,T$1,'単価履歴'!$F:$F,$A30))=0,"",
MAXIFS('単価履歴'!$H:$H,'単価履歴'!$E:$E,T$1,'単価履歴'!$F:$F,$A30,'単価履歴'!$O:$O,
MAXIFS('単価履歴'!$O:$O,'単価履歴'!$E:$E,T$1,'単価履歴'!$F:$F,$A30)))</f>
        <v/>
      </c>
      <c r="U30" s="264" t="str">
        <f>IF(MAXIFS('単価履歴'!$H:$H,'単価履歴'!$E:$E,U$1,'単価履歴'!$F:$F,$A30,'単価履歴'!$O:$O,
MAXIFS('単価履歴'!$O:$O,'単価履歴'!$E:$E,U$1,'単価履歴'!$F:$F,$A30))=0,"",
MAXIFS('単価履歴'!$H:$H,'単価履歴'!$E:$E,U$1,'単価履歴'!$F:$F,$A30,'単価履歴'!$O:$O,
MAXIFS('単価履歴'!$O:$O,'単価履歴'!$E:$E,U$1,'単価履歴'!$F:$F,$A30)))</f>
        <v/>
      </c>
      <c r="V30" s="256" t="str">
        <f>IF(MAXIFS('単価履歴'!$H:$H,'単価履歴'!$E:$E,V$1,'単価履歴'!$F:$F,$A30,'単価履歴'!$O:$O,
MAXIFS('単価履歴'!$O:$O,'単価履歴'!$E:$E,V$1,'単価履歴'!$F:$F,$A30))=0,"",
MAXIFS('単価履歴'!$H:$H,'単価履歴'!$E:$E,V$1,'単価履歴'!$F:$F,$A30,'単価履歴'!$O:$O,
MAXIFS('単価履歴'!$O:$O,'単価履歴'!$E:$E,V$1,'単価履歴'!$F:$F,$A30)))</f>
        <v/>
      </c>
      <c r="W30" s="256" t="str">
        <f>IF(MAXIFS('単価履歴'!$H:$H,'単価履歴'!$E:$E,W$1,'単価履歴'!$F:$F,$A30,'単価履歴'!$O:$O,
MAXIFS('単価履歴'!$O:$O,'単価履歴'!$E:$E,W$1,'単価履歴'!$F:$F,$A30))=0,"",
MAXIFS('単価履歴'!$H:$H,'単価履歴'!$E:$E,W$1,'単価履歴'!$F:$F,$A30,'単価履歴'!$O:$O,
MAXIFS('単価履歴'!$O:$O,'単価履歴'!$E:$E,W$1,'単価履歴'!$F:$F,$A30)))</f>
        <v/>
      </c>
      <c r="X30" s="256" t="str">
        <f>IF(MAXIFS('単価履歴'!$H:$H,'単価履歴'!$E:$E,X$1,'単価履歴'!$F:$F,$A30,'単価履歴'!$O:$O,
MAXIFS('単価履歴'!$O:$O,'単価履歴'!$E:$E,X$1,'単価履歴'!$F:$F,$A30))=0,"",
MAXIFS('単価履歴'!$H:$H,'単価履歴'!$E:$E,X$1,'単価履歴'!$F:$F,$A30,'単価履歴'!$O:$O,
MAXIFS('単価履歴'!$O:$O,'単価履歴'!$E:$E,X$1,'単価履歴'!$F:$F,$A30)))</f>
        <v/>
      </c>
      <c r="Y30" s="254" t="str">
        <f>IF(MAXIFS('単価履歴'!$H:$H,'単価履歴'!$E:$E,Y$1,'単価履歴'!$F:$F,$A30,'単価履歴'!$O:$O,
MAXIFS('単価履歴'!$O:$O,'単価履歴'!$E:$E,Y$1,'単価履歴'!$F:$F,$A30))=0,"",
MAXIFS('単価履歴'!$H:$H,'単価履歴'!$E:$E,Y$1,'単価履歴'!$F:$F,$A30,'単価履歴'!$O:$O,
MAXIFS('単価履歴'!$O:$O,'単価履歴'!$E:$E,Y$1,'単価履歴'!$F:$F,$A30)))</f>
        <v/>
      </c>
      <c r="Z30" s="264" t="str">
        <f>IF(MAXIFS('単価履歴'!$H:$H,'単価履歴'!$E:$E,Z$1,'単価履歴'!$F:$F,$A30,'単価履歴'!$O:$O,
MAXIFS('単価履歴'!$O:$O,'単価履歴'!$E:$E,Z$1,'単価履歴'!$F:$F,$A30))=0,"",
MAXIFS('単価履歴'!$H:$H,'単価履歴'!$E:$E,Z$1,'単価履歴'!$F:$F,$A30,'単価履歴'!$O:$O,
MAXIFS('単価履歴'!$O:$O,'単価履歴'!$E:$E,Z$1,'単価履歴'!$F:$F,$A30)))</f>
        <v/>
      </c>
      <c r="AA30" s="256" t="str">
        <f>IF(MAXIFS('単価履歴'!$H:$H,'単価履歴'!$E:$E,AA$1,'単価履歴'!$F:$F,$A30,'単価履歴'!$O:$O,
MAXIFS('単価履歴'!$O:$O,'単価履歴'!$E:$E,AA$1,'単価履歴'!$F:$F,$A30))=0,"",
MAXIFS('単価履歴'!$H:$H,'単価履歴'!$E:$E,AA$1,'単価履歴'!$F:$F,$A30,'単価履歴'!$O:$O,
MAXIFS('単価履歴'!$O:$O,'単価履歴'!$E:$E,AA$1,'単価履歴'!$F:$F,$A30)))</f>
        <v/>
      </c>
      <c r="AB30" s="256" t="str">
        <f>IF(MAXIFS('単価履歴'!$H:$H,'単価履歴'!$E:$E,AB$1,'単価履歴'!$F:$F,$A30,'単価履歴'!$O:$O,
MAXIFS('単価履歴'!$O:$O,'単価履歴'!$E:$E,AB$1,'単価履歴'!$F:$F,$A30))=0,"",
MAXIFS('単価履歴'!$H:$H,'単価履歴'!$E:$E,AB$1,'単価履歴'!$F:$F,$A30,'単価履歴'!$O:$O,
MAXIFS('単価履歴'!$O:$O,'単価履歴'!$E:$E,AB$1,'単価履歴'!$F:$F,$A30)))</f>
        <v/>
      </c>
      <c r="AC30" s="254" t="str">
        <f>IF(MAXIFS('単価履歴'!$H:$H,'単価履歴'!$E:$E,AC$1,'単価履歴'!$F:$F,$A30,'単価履歴'!$O:$O,
MAXIFS('単価履歴'!$O:$O,'単価履歴'!$E:$E,AC$1,'単価履歴'!$F:$F,$A30))=0,"",
MAXIFS('単価履歴'!$H:$H,'単価履歴'!$E:$E,AC$1,'単価履歴'!$F:$F,$A30,'単価履歴'!$O:$O,
MAXIFS('単価履歴'!$O:$O,'単価履歴'!$E:$E,AC$1,'単価履歴'!$F:$F,$A30)))</f>
        <v/>
      </c>
      <c r="AD30" s="256" t="str">
        <f>IF(MAXIFS('単価履歴'!$H:$H,'単価履歴'!$E:$E,AD$1,'単価履歴'!$F:$F,$A30,'単価履歴'!$O:$O,
MAXIFS('単価履歴'!$O:$O,'単価履歴'!$E:$E,AD$1,'単価履歴'!$F:$F,$A30))=0,"",
MAXIFS('単価履歴'!$H:$H,'単価履歴'!$E:$E,AD$1,'単価履歴'!$F:$F,$A30,'単価履歴'!$O:$O,
MAXIFS('単価履歴'!$O:$O,'単価履歴'!$E:$E,AD$1,'単価履歴'!$F:$F,$A30)))</f>
        <v/>
      </c>
      <c r="AE30" s="256" t="str">
        <f>IF(MAXIFS('単価履歴'!$H:$H,'単価履歴'!$E:$E,AE$1,'単価履歴'!$F:$F,$A30,'単価履歴'!$O:$O,
MAXIFS('単価履歴'!$O:$O,'単価履歴'!$E:$E,AE$1,'単価履歴'!$F:$F,$A30))=0,"",
MAXIFS('単価履歴'!$H:$H,'単価履歴'!$E:$E,AE$1,'単価履歴'!$F:$F,$A30,'単価履歴'!$O:$O,
MAXIFS('単価履歴'!$O:$O,'単価履歴'!$E:$E,AE$1,'単価履歴'!$F:$F,$A30)))</f>
        <v/>
      </c>
      <c r="AF30" s="254" t="str">
        <f>IF(MAXIFS('単価履歴'!$H:$H,'単価履歴'!$E:$E,AF$1,'単価履歴'!$F:$F,$A30,'単価履歴'!$O:$O,
MAXIFS('単価履歴'!$O:$O,'単価履歴'!$E:$E,AF$1,'単価履歴'!$F:$F,$A30))=0,"",
MAXIFS('単価履歴'!$H:$H,'単価履歴'!$E:$E,AF$1,'単価履歴'!$F:$F,$A30,'単価履歴'!$O:$O,
MAXIFS('単価履歴'!$O:$O,'単価履歴'!$E:$E,AF$1,'単価履歴'!$F:$F,$A30)))</f>
        <v/>
      </c>
      <c r="AG30" s="256" t="str">
        <f>IF(MAXIFS('単価履歴'!$H:$H,'単価履歴'!$E:$E,AG$1,'単価履歴'!$F:$F,$A30,'単価履歴'!$O:$O,
MAXIFS('単価履歴'!$O:$O,'単価履歴'!$E:$E,AG$1,'単価履歴'!$F:$F,$A30))=0,"",
MAXIFS('単価履歴'!$H:$H,'単価履歴'!$E:$E,AG$1,'単価履歴'!$F:$F,$A30,'単価履歴'!$O:$O,
MAXIFS('単価履歴'!$O:$O,'単価履歴'!$E:$E,AG$1,'単価履歴'!$F:$F,$A30)))</f>
        <v/>
      </c>
      <c r="AH30" s="264" t="str">
        <f>IF(MAXIFS('単価履歴'!$H:$H,'単価履歴'!$E:$E,AH$1,'単価履歴'!$F:$F,$A30,'単価履歴'!$O:$O,
MAXIFS('単価履歴'!$O:$O,'単価履歴'!$E:$E,AH$1,'単価履歴'!$F:$F,$A30))=0,"",
MAXIFS('単価履歴'!$H:$H,'単価履歴'!$E:$E,AH$1,'単価履歴'!$F:$F,$A30,'単価履歴'!$O:$O,
MAXIFS('単価履歴'!$O:$O,'単価履歴'!$E:$E,AH$1,'単価履歴'!$F:$F,$A30)))</f>
        <v/>
      </c>
      <c r="AI30" s="256" t="str">
        <f>IF(MAXIFS('単価履歴'!$H:$H,'単価履歴'!$E:$E,AI$1,'単価履歴'!$F:$F,$A30,'単価履歴'!$O:$O,
MAXIFS('単価履歴'!$O:$O,'単価履歴'!$E:$E,AI$1,'単価履歴'!$F:$F,$A30))=0,"",
MAXIFS('単価履歴'!$H:$H,'単価履歴'!$E:$E,AI$1,'単価履歴'!$F:$F,$A30,'単価履歴'!$O:$O,
MAXIFS('単価履歴'!$O:$O,'単価履歴'!$E:$E,AI$1,'単価履歴'!$F:$F,$A30)))</f>
        <v/>
      </c>
      <c r="AJ30" s="254" t="str">
        <f>IF(MAXIFS('単価履歴'!$H:$H,'単価履歴'!$E:$E,AJ$1,'単価履歴'!$F:$F,$A30,'単価履歴'!$O:$O,
MAXIFS('単価履歴'!$O:$O,'単価履歴'!$E:$E,AJ$1,'単価履歴'!$F:$F,$A30))=0,"",
MAXIFS('単価履歴'!$H:$H,'単価履歴'!$E:$E,AJ$1,'単価履歴'!$F:$F,$A30,'単価履歴'!$O:$O,
MAXIFS('単価履歴'!$O:$O,'単価履歴'!$E:$E,AJ$1,'単価履歴'!$F:$F,$A30)))</f>
        <v/>
      </c>
      <c r="AK30" s="264" t="str">
        <f>IF(MAXIFS('単価履歴'!$H:$H,'単価履歴'!$E:$E,AK$1,'単価履歴'!$F:$F,$A30,'単価履歴'!$O:$O,
MAXIFS('単価履歴'!$O:$O,'単価履歴'!$E:$E,AK$1,'単価履歴'!$F:$F,$A30))=0,"",
MAXIFS('単価履歴'!$H:$H,'単価履歴'!$E:$E,AK$1,'単価履歴'!$F:$F,$A30,'単価履歴'!$O:$O,
MAXIFS('単価履歴'!$O:$O,'単価履歴'!$E:$E,AK$1,'単価履歴'!$F:$F,$A30)))</f>
        <v/>
      </c>
      <c r="AL30" s="264" t="str">
        <f>IF(MAXIFS('単価履歴'!$H:$H,'単価履歴'!$E:$E,AL$1,'単価履歴'!$F:$F,$A30,'単価履歴'!$O:$O,
MAXIFS('単価履歴'!$O:$O,'単価履歴'!$E:$E,AL$1,'単価履歴'!$F:$F,$A30))=0,"",
MAXIFS('単価履歴'!$H:$H,'単価履歴'!$E:$E,AL$1,'単価履歴'!$F:$F,$A30,'単価履歴'!$O:$O,
MAXIFS('単価履歴'!$O:$O,'単価履歴'!$E:$E,AL$1,'単価履歴'!$F:$F,$A30)))</f>
        <v/>
      </c>
      <c r="AM30" s="263" t="str">
        <f>IF(MAXIFS('単価履歴'!$H:$H,'単価履歴'!$E:$E,AM$1,'単価履歴'!$F:$F,$A30,'単価履歴'!$O:$O,
MAXIFS('単価履歴'!$O:$O,'単価履歴'!$E:$E,AM$1,'単価履歴'!$F:$F,$A30))=0,"",
MAXIFS('単価履歴'!$H:$H,'単価履歴'!$E:$E,AM$1,'単価履歴'!$F:$F,$A30,'単価履歴'!$O:$O,
MAXIFS('単価履歴'!$O:$O,'単価履歴'!$E:$E,AM$1,'単価履歴'!$F:$F,$A30)))</f>
        <v/>
      </c>
      <c r="AN30" s="263" t="str">
        <f>IF(MAXIFS('単価履歴'!$H:$H,'単価履歴'!$E:$E,AN$1,'単価履歴'!$F:$F,$A30,'単価履歴'!$O:$O,
MAXIFS('単価履歴'!$O:$O,'単価履歴'!$E:$E,AN$1,'単価履歴'!$F:$F,$A30))=0,"",
MAXIFS('単価履歴'!$H:$H,'単価履歴'!$E:$E,AN$1,'単価履歴'!$F:$F,$A30,'単価履歴'!$O:$O,
MAXIFS('単価履歴'!$O:$O,'単価履歴'!$E:$E,AN$1,'単価履歴'!$F:$F,$A30)))</f>
        <v/>
      </c>
      <c r="AO30" s="264" t="str">
        <f>IF(MAXIFS('単価履歴'!$H:$H,'単価履歴'!$E:$E,AO$1,'単価履歴'!$F:$F,$A30,'単価履歴'!$O:$O,
MAXIFS('単価履歴'!$O:$O,'単価履歴'!$E:$E,AO$1,'単価履歴'!$F:$F,$A30))=0,"",
MAXIFS('単価履歴'!$H:$H,'単価履歴'!$E:$E,AO$1,'単価履歴'!$F:$F,$A30,'単価履歴'!$O:$O,
MAXIFS('単価履歴'!$O:$O,'単価履歴'!$E:$E,AO$1,'単価履歴'!$F:$F,$A30)))</f>
        <v/>
      </c>
      <c r="AP30" s="263" t="str">
        <f>IF(MAXIFS('単価履歴'!$H:$H,'単価履歴'!$E:$E,AP$1,'単価履歴'!$F:$F,$A30,'単価履歴'!$O:$O,
MAXIFS('単価履歴'!$O:$O,'単価履歴'!$E:$E,AP$1,'単価履歴'!$F:$F,$A30))=0,"",
MAXIFS('単価履歴'!$H:$H,'単価履歴'!$E:$E,AP$1,'単価履歴'!$F:$F,$A30,'単価履歴'!$O:$O,
MAXIFS('単価履歴'!$O:$O,'単価履歴'!$E:$E,AP$1,'単価履歴'!$F:$F,$A30)))</f>
        <v/>
      </c>
      <c r="AQ30" s="254" t="str">
        <f>IF(MAXIFS('単価履歴'!$H:$H,'単価履歴'!$E:$E,AQ$1,'単価履歴'!$F:$F,$A30,'単価履歴'!$O:$O,
MAXIFS('単価履歴'!$O:$O,'単価履歴'!$E:$E,AQ$1,'単価履歴'!$F:$F,$A30))=0,"",
MAXIFS('単価履歴'!$H:$H,'単価履歴'!$E:$E,AQ$1,'単価履歴'!$F:$F,$A30,'単価履歴'!$O:$O,
MAXIFS('単価履歴'!$O:$O,'単価履歴'!$E:$E,AQ$1,'単価履歴'!$F:$F,$A30)))</f>
        <v/>
      </c>
      <c r="AR30" s="256" t="str">
        <f>IF(MAXIFS('単価履歴'!$H:$H,'単価履歴'!$E:$E,AR$1,'単価履歴'!$F:$F,$A30,'単価履歴'!$O:$O,
MAXIFS('単価履歴'!$O:$O,'単価履歴'!$E:$E,AR$1,'単価履歴'!$F:$F,$A30))=0,"",
MAXIFS('単価履歴'!$H:$H,'単価履歴'!$E:$E,AR$1,'単価履歴'!$F:$F,$A30,'単価履歴'!$O:$O,
MAXIFS('単価履歴'!$O:$O,'単価履歴'!$E:$E,AR$1,'単価履歴'!$F:$F,$A30)))</f>
        <v/>
      </c>
      <c r="AS30" s="256" t="str">
        <f>IF(MAXIFS('単価履歴'!$H:$H,'単価履歴'!$E:$E,AS$1,'単価履歴'!$F:$F,$A30,'単価履歴'!$O:$O,
MAXIFS('単価履歴'!$O:$O,'単価履歴'!$E:$E,AS$1,'単価履歴'!$F:$F,$A30))=0,"",
MAXIFS('単価履歴'!$H:$H,'単価履歴'!$E:$E,AS$1,'単価履歴'!$F:$F,$A30,'単価履歴'!$O:$O,
MAXIFS('単価履歴'!$O:$O,'単価履歴'!$E:$E,AS$1,'単価履歴'!$F:$F,$A30)))</f>
        <v/>
      </c>
      <c r="AT30" s="254" t="str">
        <f>IF(MAXIFS('単価履歴'!$H:$H,'単価履歴'!$E:$E,AT$1,'単価履歴'!$F:$F,$A30,'単価履歴'!$O:$O,
MAXIFS('単価履歴'!$O:$O,'単価履歴'!$E:$E,AT$1,'単価履歴'!$F:$F,$A30))=0,"",
MAXIFS('単価履歴'!$H:$H,'単価履歴'!$E:$E,AT$1,'単価履歴'!$F:$F,$A30,'単価履歴'!$O:$O,
MAXIFS('単価履歴'!$O:$O,'単価履歴'!$E:$E,AT$1,'単価履歴'!$F:$F,$A30)))</f>
        <v/>
      </c>
      <c r="AU30" s="256" t="str">
        <f>IF(MAXIFS('単価履歴'!$H:$H,'単価履歴'!$E:$E,AU$1,'単価履歴'!$F:$F,$A30,'単価履歴'!$O:$O,
MAXIFS('単価履歴'!$O:$O,'単価履歴'!$E:$E,AU$1,'単価履歴'!$F:$F,$A30))=0,"",
MAXIFS('単価履歴'!$H:$H,'単価履歴'!$E:$E,AU$1,'単価履歴'!$F:$F,$A30,'単価履歴'!$O:$O,
MAXIFS('単価履歴'!$O:$O,'単価履歴'!$E:$E,AU$1,'単価履歴'!$F:$F,$A30)))</f>
        <v/>
      </c>
      <c r="AV30" s="254" t="str">
        <f>IF(MAXIFS('単価履歴'!$H:$H,'単価履歴'!$E:$E,AV$1,'単価履歴'!$F:$F,$A30,'単価履歴'!$O:$O,
MAXIFS('単価履歴'!$O:$O,'単価履歴'!$E:$E,AV$1,'単価履歴'!$F:$F,$A30))=0,"",
MAXIFS('単価履歴'!$H:$H,'単価履歴'!$E:$E,AV$1,'単価履歴'!$F:$F,$A30,'単価履歴'!$O:$O,
MAXIFS('単価履歴'!$O:$O,'単価履歴'!$E:$E,AV$1,'単価履歴'!$F:$F,$A30)))</f>
        <v/>
      </c>
      <c r="AW30" s="264" t="str">
        <f>IF(MAXIFS('単価履歴'!$H:$H,'単価履歴'!$E:$E,AW$1,'単価履歴'!$F:$F,$A30,'単価履歴'!$O:$O,
MAXIFS('単価履歴'!$O:$O,'単価履歴'!$E:$E,AW$1,'単価履歴'!$F:$F,$A30))=0,"",
MAXIFS('単価履歴'!$H:$H,'単価履歴'!$E:$E,AW$1,'単価履歴'!$F:$F,$A30,'単価履歴'!$O:$O,
MAXIFS('単価履歴'!$O:$O,'単価履歴'!$E:$E,AW$1,'単価履歴'!$F:$F,$A30)))</f>
        <v/>
      </c>
      <c r="AX30" s="254" t="str">
        <f>IF(MAXIFS('単価履歴'!$H:$H,'単価履歴'!$E:$E,AX$1,'単価履歴'!$F:$F,$A30,'単価履歴'!$O:$O,
MAXIFS('単価履歴'!$O:$O,'単価履歴'!$E:$E,AX$1,'単価履歴'!$F:$F,$A30))=0,"",
MAXIFS('単価履歴'!$H:$H,'単価履歴'!$E:$E,AX$1,'単価履歴'!$F:$F,$A30,'単価履歴'!$O:$O,
MAXIFS('単価履歴'!$O:$O,'単価履歴'!$E:$E,AX$1,'単価履歴'!$F:$F,$A30)))</f>
        <v/>
      </c>
      <c r="AY30" s="264" t="str">
        <f>IF(MAXIFS('単価履歴'!$H:$H,'単価履歴'!$E:$E,AY$1,'単価履歴'!$F:$F,$A30,'単価履歴'!$O:$O,
MAXIFS('単価履歴'!$O:$O,'単価履歴'!$E:$E,AY$1,'単価履歴'!$F:$F,$A30))=0,"",
MAXIFS('単価履歴'!$H:$H,'単価履歴'!$E:$E,AY$1,'単価履歴'!$F:$F,$A30,'単価履歴'!$O:$O,
MAXIFS('単価履歴'!$O:$O,'単価履歴'!$E:$E,AY$1,'単価履歴'!$F:$F,$A30)))</f>
        <v/>
      </c>
      <c r="AZ30" s="256" t="str">
        <f>IF(MAXIFS('単価履歴'!$H:$H,'単価履歴'!$E:$E,AZ$1,'単価履歴'!$F:$F,$A30,'単価履歴'!$O:$O,
MAXIFS('単価履歴'!$O:$O,'単価履歴'!$E:$E,AZ$1,'単価履歴'!$F:$F,$A30))=0,"",
MAXIFS('単価履歴'!$H:$H,'単価履歴'!$E:$E,AZ$1,'単価履歴'!$F:$F,$A30,'単価履歴'!$O:$O,
MAXIFS('単価履歴'!$O:$O,'単価履歴'!$E:$E,AZ$1,'単価履歴'!$F:$F,$A30)))</f>
        <v/>
      </c>
      <c r="BA30" s="264" t="str">
        <f>IF(MAXIFS('単価履歴'!$H:$H,'単価履歴'!$E:$E,BA$1,'単価履歴'!$F:$F,$A30,'単価履歴'!$O:$O,
MAXIFS('単価履歴'!$O:$O,'単価履歴'!$E:$E,BA$1,'単価履歴'!$F:$F,$A30))=0,"",
MAXIFS('単価履歴'!$H:$H,'単価履歴'!$E:$E,BA$1,'単価履歴'!$F:$F,$A30,'単価履歴'!$O:$O,
MAXIFS('単価履歴'!$O:$O,'単価履歴'!$E:$E,BA$1,'単価履歴'!$F:$F,$A30)))</f>
        <v/>
      </c>
      <c r="BB30" s="256" t="str">
        <f>IF(MAXIFS('単価履歴'!$H:$H,'単価履歴'!$E:$E,BB$1,'単価履歴'!$F:$F,$A30,'単価履歴'!$O:$O,
MAXIFS('単価履歴'!$O:$O,'単価履歴'!$E:$E,BB$1,'単価履歴'!$F:$F,$A30))=0,"",
MAXIFS('単価履歴'!$H:$H,'単価履歴'!$E:$E,BB$1,'単価履歴'!$F:$F,$A30,'単価履歴'!$O:$O,
MAXIFS('単価履歴'!$O:$O,'単価履歴'!$E:$E,BB$1,'単価履歴'!$F:$F,$A30)))</f>
        <v/>
      </c>
      <c r="BC30" s="256" t="str">
        <f>IF(MAXIFS('単価履歴'!$H:$H,'単価履歴'!$E:$E,BC$1,'単価履歴'!$F:$F,$A30,'単価履歴'!$O:$O,
MAXIFS('単価履歴'!$O:$O,'単価履歴'!$E:$E,BC$1,'単価履歴'!$F:$F,$A30))=0,"",
MAXIFS('単価履歴'!$H:$H,'単価履歴'!$E:$E,BC$1,'単価履歴'!$F:$F,$A30,'単価履歴'!$O:$O,
MAXIFS('単価履歴'!$O:$O,'単価履歴'!$E:$E,BC$1,'単価履歴'!$F:$F,$A30)))</f>
        <v/>
      </c>
      <c r="BD30" s="256" t="str">
        <f>IF(MAXIFS('単価履歴'!$H:$H,'単価履歴'!$E:$E,BD$1,'単価履歴'!$F:$F,$A30,'単価履歴'!$O:$O,
MAXIFS('単価履歴'!$O:$O,'単価履歴'!$E:$E,BD$1,'単価履歴'!$F:$F,$A30))=0,"",
MAXIFS('単価履歴'!$H:$H,'単価履歴'!$E:$E,BD$1,'単価履歴'!$F:$F,$A30,'単価履歴'!$O:$O,
MAXIFS('単価履歴'!$O:$O,'単価履歴'!$E:$E,BD$1,'単価履歴'!$F:$F,$A30)))</f>
        <v/>
      </c>
      <c r="BE30" s="256" t="str">
        <f>IF(MAXIFS('単価履歴'!$H:$H,'単価履歴'!$E:$E,BE$1,'単価履歴'!$F:$F,$A30,'単価履歴'!$O:$O,
MAXIFS('単価履歴'!$O:$O,'単価履歴'!$E:$E,BE$1,'単価履歴'!$F:$F,$A30))=0,"",
MAXIFS('単価履歴'!$H:$H,'単価履歴'!$E:$E,BE$1,'単価履歴'!$F:$F,$A30,'単価履歴'!$O:$O,
MAXIFS('単価履歴'!$O:$O,'単価履歴'!$E:$E,BE$1,'単価履歴'!$F:$F,$A30)))</f>
        <v/>
      </c>
      <c r="BF30" s="263" t="str">
        <f>IF(MAXIFS('単価履歴'!$H:$H,'単価履歴'!$E:$E,BF$1,'単価履歴'!$F:$F,$A30,'単価履歴'!$O:$O,
MAXIFS('単価履歴'!$O:$O,'単価履歴'!$E:$E,BF$1,'単価履歴'!$F:$F,$A30))=0,"",
MAXIFS('単価履歴'!$H:$H,'単価履歴'!$E:$E,BF$1,'単価履歴'!$F:$F,$A30,'単価履歴'!$O:$O,
MAXIFS('単価履歴'!$O:$O,'単価履歴'!$E:$E,BF$1,'単価履歴'!$F:$F,$A30)))</f>
        <v/>
      </c>
      <c r="BG30" s="256" t="str">
        <f>IF(MAXIFS('単価履歴'!$H:$H,'単価履歴'!$E:$E,BG$1,'単価履歴'!$F:$F,$A30,'単価履歴'!$O:$O,
MAXIFS('単価履歴'!$O:$O,'単価履歴'!$E:$E,BG$1,'単価履歴'!$F:$F,$A30))=0,"",
MAXIFS('単価履歴'!$H:$H,'単価履歴'!$E:$E,BG$1,'単価履歴'!$F:$F,$A30,'単価履歴'!$O:$O,
MAXIFS('単価履歴'!$O:$O,'単価履歴'!$E:$E,BG$1,'単価履歴'!$F:$F,$A30)))</f>
        <v/>
      </c>
      <c r="BH30" s="254" t="str">
        <f>IF(MAXIFS('単価履歴'!$H:$H,'単価履歴'!$E:$E,BH$1,'単価履歴'!$F:$F,$A30,'単価履歴'!$O:$O,
MAXIFS('単価履歴'!$O:$O,'単価履歴'!$E:$E,BH$1,'単価履歴'!$F:$F,$A30))=0,"",
MAXIFS('単価履歴'!$H:$H,'単価履歴'!$E:$E,BH$1,'単価履歴'!$F:$F,$A30,'単価履歴'!$O:$O,
MAXIFS('単価履歴'!$O:$O,'単価履歴'!$E:$E,BH$1,'単価履歴'!$F:$F,$A30)))</f>
        <v/>
      </c>
      <c r="BI30" s="256" t="str">
        <f>IF(MAXIFS('単価履歴'!$H:$H,'単価履歴'!$E:$E,BI$1,'単価履歴'!$F:$F,$A30,'単価履歴'!$O:$O,
MAXIFS('単価履歴'!$O:$O,'単価履歴'!$E:$E,BI$1,'単価履歴'!$F:$F,$A30))=0,"",
MAXIFS('単価履歴'!$H:$H,'単価履歴'!$E:$E,BI$1,'単価履歴'!$F:$F,$A30,'単価履歴'!$O:$O,
MAXIFS('単価履歴'!$O:$O,'単価履歴'!$E:$E,BI$1,'単価履歴'!$F:$F,$A30)))</f>
        <v/>
      </c>
      <c r="BJ30" s="263" t="str">
        <f>IF(MAXIFS('単価履歴'!$H:$H,'単価履歴'!$E:$E,BJ$1,'単価履歴'!$F:$F,$A30,'単価履歴'!$O:$O,
MAXIFS('単価履歴'!$O:$O,'単価履歴'!$E:$E,BJ$1,'単価履歴'!$F:$F,$A30))=0,"",
MAXIFS('単価履歴'!$H:$H,'単価履歴'!$E:$E,BJ$1,'単価履歴'!$F:$F,$A30,'単価履歴'!$O:$O,
MAXIFS('単価履歴'!$O:$O,'単価履歴'!$E:$E,BJ$1,'単価履歴'!$F:$F,$A30)))</f>
        <v/>
      </c>
      <c r="BK30" s="256" t="str">
        <f>IF(MAXIFS('単価履歴'!$H:$H,'単価履歴'!$E:$E,BK$1,'単価履歴'!$F:$F,$A30,'単価履歴'!$O:$O,
MAXIFS('単価履歴'!$O:$O,'単価履歴'!$E:$E,BK$1,'単価履歴'!$F:$F,$A30))=0,"",
MAXIFS('単価履歴'!$H:$H,'単価履歴'!$E:$E,BK$1,'単価履歴'!$F:$F,$A30,'単価履歴'!$O:$O,
MAXIFS('単価履歴'!$O:$O,'単価履歴'!$E:$E,BK$1,'単価履歴'!$F:$F,$A30)))</f>
        <v/>
      </c>
      <c r="BL30" s="254" t="str">
        <f>IF(MAXIFS('単価履歴'!$H:$H,'単価履歴'!$E:$E,BL$1,'単価履歴'!$F:$F,$A30,'単価履歴'!$O:$O,
MAXIFS('単価履歴'!$O:$O,'単価履歴'!$E:$E,BL$1,'単価履歴'!$F:$F,$A30))=0,"",
MAXIFS('単価履歴'!$H:$H,'単価履歴'!$E:$E,BL$1,'単価履歴'!$F:$F,$A30,'単価履歴'!$O:$O,
MAXIFS('単価履歴'!$O:$O,'単価履歴'!$E:$E,BL$1,'単価履歴'!$F:$F,$A30)))</f>
        <v/>
      </c>
      <c r="BM30" s="263" t="str">
        <f>IF(MAXIFS('単価履歴'!$H:$H,'単価履歴'!$E:$E,BM$1,'単価履歴'!$F:$F,$A30,'単価履歴'!$O:$O,
MAXIFS('単価履歴'!$O:$O,'単価履歴'!$E:$E,BM$1,'単価履歴'!$F:$F,$A30))=0,"",
MAXIFS('単価履歴'!$H:$H,'単価履歴'!$E:$E,BM$1,'単価履歴'!$F:$F,$A30,'単価履歴'!$O:$O,
MAXIFS('単価履歴'!$O:$O,'単価履歴'!$E:$E,BM$1,'単価履歴'!$F:$F,$A30)))</f>
        <v/>
      </c>
      <c r="BN30" s="256" t="str">
        <f>IF(MAXIFS('単価履歴'!$H:$H,'単価履歴'!$E:$E,BN$1,'単価履歴'!$F:$F,$A30,'単価履歴'!$O:$O,
MAXIFS('単価履歴'!$O:$O,'単価履歴'!$E:$E,BN$1,'単価履歴'!$F:$F,$A30))=0,"",
MAXIFS('単価履歴'!$H:$H,'単価履歴'!$E:$E,BN$1,'単価履歴'!$F:$F,$A30,'単価履歴'!$O:$O,
MAXIFS('単価履歴'!$O:$O,'単価履歴'!$E:$E,BN$1,'単価履歴'!$F:$F,$A30)))</f>
        <v/>
      </c>
      <c r="BO30" s="263" t="str">
        <f>IF(MAXIFS('単価履歴'!$H:$H,'単価履歴'!$E:$E,BO$1,'単価履歴'!$F:$F,$A30,'単価履歴'!$O:$O,
MAXIFS('単価履歴'!$O:$O,'単価履歴'!$E:$E,BO$1,'単価履歴'!$F:$F,$A30))=0,"",
MAXIFS('単価履歴'!$H:$H,'単価履歴'!$E:$E,BO$1,'単価履歴'!$F:$F,$A30,'単価履歴'!$O:$O,
MAXIFS('単価履歴'!$O:$O,'単価履歴'!$E:$E,BO$1,'単価履歴'!$F:$F,$A30)))</f>
        <v/>
      </c>
      <c r="BP30" s="256" t="str">
        <f>IF(MAXIFS('単価履歴'!$H:$H,'単価履歴'!$E:$E,BP$1,'単価履歴'!$F:$F,$A30,'単価履歴'!$O:$O,
MAXIFS('単価履歴'!$O:$O,'単価履歴'!$E:$E,BP$1,'単価履歴'!$F:$F,$A30))=0,"",
MAXIFS('単価履歴'!$H:$H,'単価履歴'!$E:$E,BP$1,'単価履歴'!$F:$F,$A30,'単価履歴'!$O:$O,
MAXIFS('単価履歴'!$O:$O,'単価履歴'!$E:$E,BP$1,'単価履歴'!$F:$F,$A30)))</f>
        <v/>
      </c>
      <c r="BQ30" s="256" t="str">
        <f>IF(MAXIFS('単価履歴'!$H:$H,'単価履歴'!$E:$E,BQ$1,'単価履歴'!$F:$F,$A30,'単価履歴'!$O:$O,
MAXIFS('単価履歴'!$O:$O,'単価履歴'!$E:$E,BQ$1,'単価履歴'!$F:$F,$A30))=0,"",
MAXIFS('単価履歴'!$H:$H,'単価履歴'!$E:$E,BQ$1,'単価履歴'!$F:$F,$A30,'単価履歴'!$O:$O,
MAXIFS('単価履歴'!$O:$O,'単価履歴'!$E:$E,BQ$1,'単価履歴'!$F:$F,$A30)))</f>
        <v/>
      </c>
      <c r="BR30" s="264" t="str">
        <f>IF(MAXIFS('単価履歴'!$H:$H,'単価履歴'!$E:$E,BR$1,'単価履歴'!$F:$F,$A30,'単価履歴'!$O:$O,
MAXIFS('単価履歴'!$O:$O,'単価履歴'!$E:$E,BR$1,'単価履歴'!$F:$F,$A30))=0,"",
MAXIFS('単価履歴'!$H:$H,'単価履歴'!$E:$E,BR$1,'単価履歴'!$F:$F,$A30,'単価履歴'!$O:$O,
MAXIFS('単価履歴'!$O:$O,'単価履歴'!$E:$E,BR$1,'単価履歴'!$F:$F,$A30)))</f>
        <v/>
      </c>
      <c r="BS30" s="264" t="str">
        <f>IF(MAXIFS('単価履歴'!$H:$H,'単価履歴'!$E:$E,BS$1,'単価履歴'!$F:$F,$A30,'単価履歴'!$O:$O,
MAXIFS('単価履歴'!$O:$O,'単価履歴'!$E:$E,BS$1,'単価履歴'!$F:$F,$A30))=0,"",
MAXIFS('単価履歴'!$H:$H,'単価履歴'!$E:$E,BS$1,'単価履歴'!$F:$F,$A30,'単価履歴'!$O:$O,
MAXIFS('単価履歴'!$O:$O,'単価履歴'!$E:$E,BS$1,'単価履歴'!$F:$F,$A30)))</f>
        <v/>
      </c>
      <c r="BT30" s="264" t="str">
        <f>IF(MAXIFS('単価履歴'!$H:$H,'単価履歴'!$E:$E,BT$1,'単価履歴'!$F:$F,$A30,'単価履歴'!$O:$O,
MAXIFS('単価履歴'!$O:$O,'単価履歴'!$E:$E,BT$1,'単価履歴'!$F:$F,$A30))=0,"",
MAXIFS('単価履歴'!$H:$H,'単価履歴'!$E:$E,BT$1,'単価履歴'!$F:$F,$A30,'単価履歴'!$O:$O,
MAXIFS('単価履歴'!$O:$O,'単価履歴'!$E:$E,BT$1,'単価履歴'!$F:$F,$A30)))</f>
        <v/>
      </c>
      <c r="BU30" s="264" t="str">
        <f>IF(MAXIFS('単価履歴'!$H:$H,'単価履歴'!$E:$E,BU$1,'単価履歴'!$F:$F,$A30,'単価履歴'!$O:$O,
MAXIFS('単価履歴'!$O:$O,'単価履歴'!$E:$E,BU$1,'単価履歴'!$F:$F,$A30))=0,"",
MAXIFS('単価履歴'!$H:$H,'単価履歴'!$E:$E,BU$1,'単価履歴'!$F:$F,$A30,'単価履歴'!$O:$O,
MAXIFS('単価履歴'!$O:$O,'単価履歴'!$E:$E,BU$1,'単価履歴'!$F:$F,$A30)))</f>
        <v/>
      </c>
      <c r="BV30" s="264" t="str">
        <f>IF(MAXIFS('単価履歴'!$H:$H,'単価履歴'!$E:$E,BV$1,'単価履歴'!$F:$F,$A30,'単価履歴'!$O:$O,
MAXIFS('単価履歴'!$O:$O,'単価履歴'!$E:$E,BV$1,'単価履歴'!$F:$F,$A30))=0,"",
MAXIFS('単価履歴'!$H:$H,'単価履歴'!$E:$E,BV$1,'単価履歴'!$F:$F,$A30,'単価履歴'!$O:$O,
MAXIFS('単価履歴'!$O:$O,'単価履歴'!$E:$E,BV$1,'単価履歴'!$F:$F,$A30)))</f>
        <v/>
      </c>
      <c r="BW30" s="254" t="str">
        <f>IF(MAXIFS('単価履歴'!$H:$H,'単価履歴'!$E:$E,BW$1,'単価履歴'!$F:$F,$A30,'単価履歴'!$O:$O,
MAXIFS('単価履歴'!$O:$O,'単価履歴'!$E:$E,BW$1,'単価履歴'!$F:$F,$A30))=0,"",
MAXIFS('単価履歴'!$H:$H,'単価履歴'!$E:$E,BW$1,'単価履歴'!$F:$F,$A30,'単価履歴'!$O:$O,
MAXIFS('単価履歴'!$O:$O,'単価履歴'!$E:$E,BW$1,'単価履歴'!$F:$F,$A30)))</f>
        <v/>
      </c>
      <c r="BX30" s="256" t="str">
        <f>IF(MAXIFS('単価履歴'!$H:$H,'単価履歴'!$E:$E,BX$1,'単価履歴'!$F:$F,$A30,'単価履歴'!$O:$O,
MAXIFS('単価履歴'!$O:$O,'単価履歴'!$E:$E,BX$1,'単価履歴'!$F:$F,$A30))=0,"",
MAXIFS('単価履歴'!$H:$H,'単価履歴'!$E:$E,BX$1,'単価履歴'!$F:$F,$A30,'単価履歴'!$O:$O,
MAXIFS('単価履歴'!$O:$O,'単価履歴'!$E:$E,BX$1,'単価履歴'!$F:$F,$A30)))</f>
        <v/>
      </c>
      <c r="BY30" s="264" t="str">
        <f>IF(MAXIFS('単価履歴'!$H:$H,'単価履歴'!$E:$E,BY$1,'単価履歴'!$F:$F,$A30,'単価履歴'!$O:$O,
MAXIFS('単価履歴'!$O:$O,'単価履歴'!$E:$E,BY$1,'単価履歴'!$F:$F,$A30))=0,"",
MAXIFS('単価履歴'!$H:$H,'単価履歴'!$E:$E,BY$1,'単価履歴'!$F:$F,$A30,'単価履歴'!$O:$O,
MAXIFS('単価履歴'!$O:$O,'単価履歴'!$E:$E,BY$1,'単価履歴'!$F:$F,$A30)))</f>
        <v/>
      </c>
      <c r="BZ30" s="256"/>
      <c r="CA30" s="256"/>
      <c r="CB30" s="256"/>
      <c r="CC30" s="256"/>
      <c r="CD30" s="256"/>
      <c r="CE30" s="256"/>
      <c r="CF30" s="256"/>
      <c r="CG30" s="256"/>
    </row>
    <row r="31">
      <c r="A31" s="267" t="s">
        <v>577</v>
      </c>
      <c r="B31" s="258"/>
      <c r="C31" s="249"/>
      <c r="D31" s="249"/>
      <c r="E31" s="249"/>
      <c r="F31" s="249"/>
      <c r="G31" s="248"/>
      <c r="H31" s="249"/>
      <c r="I31" s="249"/>
      <c r="J31" s="263"/>
      <c r="K31" s="275"/>
      <c r="L31" s="275"/>
      <c r="M31" s="250"/>
      <c r="N31" s="275"/>
      <c r="O31" s="250" t="str">
        <f>IF(MAXIFS('単価履歴'!$H:$H,'単価履歴'!$E:$E,O$1,'単価履歴'!$F:$F,$A31,'単価履歴'!$O:$O,
MAXIFS('単価履歴'!$O:$O,'単価履歴'!$E:$E,O$1,'単価履歴'!$F:$F,$A31))=0,"",
MAXIFS('単価履歴'!$H:$H,'単価履歴'!$E:$E,O$1,'単価履歴'!$F:$F,$A31,'単価履歴'!$O:$O,
MAXIFS('単価履歴'!$O:$O,'単価履歴'!$E:$E,O$1,'単価履歴'!$F:$F,$A31)))</f>
        <v/>
      </c>
      <c r="P31" s="251" t="str">
        <f>IF(MAXIFS('単価履歴'!$H:$H,'単価履歴'!$E:$E,P$1,'単価履歴'!$F:$F,$A31,'単価履歴'!$O:$O,
MAXIFS('単価履歴'!$O:$O,'単価履歴'!$E:$E,P$1,'単価履歴'!$F:$F,$A31))=0,"",
MAXIFS('単価履歴'!$H:$H,'単価履歴'!$E:$E,P$1,'単価履歴'!$F:$F,$A31,'単価履歴'!$O:$O,
MAXIFS('単価履歴'!$O:$O,'単価履歴'!$E:$E,P$1,'単価履歴'!$F:$F,$A31)))</f>
        <v/>
      </c>
      <c r="Q31" s="249" t="str">
        <f>IF(MAXIFS('単価履歴'!$H:$H,'単価履歴'!$E:$E,Q$1,'単価履歴'!$F:$F,$A31,'単価履歴'!$O:$O,
MAXIFS('単価履歴'!$O:$O,'単価履歴'!$E:$E,Q$1,'単価履歴'!$F:$F,$A31))=0,"",
MAXIFS('単価履歴'!$H:$H,'単価履歴'!$E:$E,Q$1,'単価履歴'!$F:$F,$A31,'単価履歴'!$O:$O,
MAXIFS('単価履歴'!$O:$O,'単価履歴'!$E:$E,Q$1,'単価履歴'!$F:$F,$A31)))</f>
        <v/>
      </c>
      <c r="R31" s="249" t="str">
        <f>IF(MAXIFS('単価履歴'!$H:$H,'単価履歴'!$E:$E,R$1,'単価履歴'!$F:$F,$A31,'単価履歴'!$O:$O,
MAXIFS('単価履歴'!$O:$O,'単価履歴'!$E:$E,R$1,'単価履歴'!$F:$F,$A31))=0,"",
MAXIFS('単価履歴'!$H:$H,'単価履歴'!$E:$E,R$1,'単価履歴'!$F:$F,$A31,'単価履歴'!$O:$O,
MAXIFS('単価履歴'!$O:$O,'単価履歴'!$E:$E,R$1,'単価履歴'!$F:$F,$A31)))</f>
        <v/>
      </c>
      <c r="S31" s="252" t="str">
        <f>IF(MAXIFS('単価履歴'!$H:$H,'単価履歴'!$E:$E,S$1,'単価履歴'!$F:$F,$A31,'単価履歴'!$O:$O,
MAXIFS('単価履歴'!$O:$O,'単価履歴'!$E:$E,S$1,'単価履歴'!$F:$F,$A31))=0,"",
MAXIFS('単価履歴'!$H:$H,'単価履歴'!$E:$E,S$1,'単価履歴'!$F:$F,$A31,'単価履歴'!$O:$O,
MAXIFS('単価履歴'!$O:$O,'単価履歴'!$E:$E,S$1,'単価履歴'!$F:$F,$A31)))</f>
        <v/>
      </c>
      <c r="T31" s="248" t="str">
        <f>IF(MAXIFS('単価履歴'!$H:$H,'単価履歴'!$E:$E,T$1,'単価履歴'!$F:$F,$A31,'単価履歴'!$O:$O,
MAXIFS('単価履歴'!$O:$O,'単価履歴'!$E:$E,T$1,'単価履歴'!$F:$F,$A31))=0,"",
MAXIFS('単価履歴'!$H:$H,'単価履歴'!$E:$E,T$1,'単価履歴'!$F:$F,$A31,'単価履歴'!$O:$O,
MAXIFS('単価履歴'!$O:$O,'単価履歴'!$E:$E,T$1,'単価履歴'!$F:$F,$A31)))</f>
        <v/>
      </c>
      <c r="U31" s="252">
        <f>IF(MAXIFS('単価履歴'!$H:$H,'単価履歴'!$E:$E,U$1,'単価履歴'!$F:$F,$A31,'単価履歴'!$O:$O,
MAXIFS('単価履歴'!$O:$O,'単価履歴'!$E:$E,U$1,'単価履歴'!$F:$F,$A31))=0,"",
MAXIFS('単価履歴'!$H:$H,'単価履歴'!$E:$E,U$1,'単価履歴'!$F:$F,$A31,'単価履歴'!$O:$O,
MAXIFS('単価履歴'!$O:$O,'単価履歴'!$E:$E,U$1,'単価履歴'!$F:$F,$A31)))</f>
        <v>57.4</v>
      </c>
      <c r="V31" s="249" t="str">
        <f>IF(MAXIFS('単価履歴'!$H:$H,'単価履歴'!$E:$E,V$1,'単価履歴'!$F:$F,$A31,'単価履歴'!$O:$O,
MAXIFS('単価履歴'!$O:$O,'単価履歴'!$E:$E,V$1,'単価履歴'!$F:$F,$A31))=0,"",
MAXIFS('単価履歴'!$H:$H,'単価履歴'!$E:$E,V$1,'単価履歴'!$F:$F,$A31,'単価履歴'!$O:$O,
MAXIFS('単価履歴'!$O:$O,'単価履歴'!$E:$E,V$1,'単価履歴'!$F:$F,$A31)))</f>
        <v/>
      </c>
      <c r="W31" s="249" t="str">
        <f>IF(MAXIFS('単価履歴'!$H:$H,'単価履歴'!$E:$E,W$1,'単価履歴'!$F:$F,$A31,'単価履歴'!$O:$O,
MAXIFS('単価履歴'!$O:$O,'単価履歴'!$E:$E,W$1,'単価履歴'!$F:$F,$A31))=0,"",
MAXIFS('単価履歴'!$H:$H,'単価履歴'!$E:$E,W$1,'単価履歴'!$F:$F,$A31,'単価履歴'!$O:$O,
MAXIFS('単価履歴'!$O:$O,'単価履歴'!$E:$E,W$1,'単価履歴'!$F:$F,$A31)))</f>
        <v/>
      </c>
      <c r="X31" s="249" t="str">
        <f>IF(MAXIFS('単価履歴'!$H:$H,'単価履歴'!$E:$E,X$1,'単価履歴'!$F:$F,$A31,'単価履歴'!$O:$O,
MAXIFS('単価履歴'!$O:$O,'単価履歴'!$E:$E,X$1,'単価履歴'!$F:$F,$A31))=0,"",
MAXIFS('単価履歴'!$H:$H,'単価履歴'!$E:$E,X$1,'単価履歴'!$F:$F,$A31,'単価履歴'!$O:$O,
MAXIFS('単価履歴'!$O:$O,'単価履歴'!$E:$E,X$1,'単価履歴'!$F:$F,$A31)))</f>
        <v/>
      </c>
      <c r="Y31" s="251" t="str">
        <f>IF(MAXIFS('単価履歴'!$H:$H,'単価履歴'!$E:$E,Y$1,'単価履歴'!$F:$F,$A31,'単価履歴'!$O:$O,
MAXIFS('単価履歴'!$O:$O,'単価履歴'!$E:$E,Y$1,'単価履歴'!$F:$F,$A31))=0,"",
MAXIFS('単価履歴'!$H:$H,'単価履歴'!$E:$E,Y$1,'単価履歴'!$F:$F,$A31,'単価履歴'!$O:$O,
MAXIFS('単価履歴'!$O:$O,'単価履歴'!$E:$E,Y$1,'単価履歴'!$F:$F,$A31)))</f>
        <v/>
      </c>
      <c r="Z31" s="252" t="str">
        <f>IF(MAXIFS('単価履歴'!$H:$H,'単価履歴'!$E:$E,Z$1,'単価履歴'!$F:$F,$A31,'単価履歴'!$O:$O,
MAXIFS('単価履歴'!$O:$O,'単価履歴'!$E:$E,Z$1,'単価履歴'!$F:$F,$A31))=0,"",
MAXIFS('単価履歴'!$H:$H,'単価履歴'!$E:$E,Z$1,'単価履歴'!$F:$F,$A31,'単価履歴'!$O:$O,
MAXIFS('単価履歴'!$O:$O,'単価履歴'!$E:$E,Z$1,'単価履歴'!$F:$F,$A31)))</f>
        <v/>
      </c>
      <c r="AA31" s="249" t="str">
        <f>IF(MAXIFS('単価履歴'!$H:$H,'単価履歴'!$E:$E,AA$1,'単価履歴'!$F:$F,$A31,'単価履歴'!$O:$O,
MAXIFS('単価履歴'!$O:$O,'単価履歴'!$E:$E,AA$1,'単価履歴'!$F:$F,$A31))=0,"",
MAXIFS('単価履歴'!$H:$H,'単価履歴'!$E:$E,AA$1,'単価履歴'!$F:$F,$A31,'単価履歴'!$O:$O,
MAXIFS('単価履歴'!$O:$O,'単価履歴'!$E:$E,AA$1,'単価履歴'!$F:$F,$A31)))</f>
        <v/>
      </c>
      <c r="AB31" s="249" t="str">
        <f>IF(MAXIFS('単価履歴'!$H:$H,'単価履歴'!$E:$E,AB$1,'単価履歴'!$F:$F,$A31,'単価履歴'!$O:$O,
MAXIFS('単価履歴'!$O:$O,'単価履歴'!$E:$E,AB$1,'単価履歴'!$F:$F,$A31))=0,"",
MAXIFS('単価履歴'!$H:$H,'単価履歴'!$E:$E,AB$1,'単価履歴'!$F:$F,$A31,'単価履歴'!$O:$O,
MAXIFS('単価履歴'!$O:$O,'単価履歴'!$E:$E,AB$1,'単価履歴'!$F:$F,$A31)))</f>
        <v/>
      </c>
      <c r="AC31" s="251" t="str">
        <f>IF(MAXIFS('単価履歴'!$H:$H,'単価履歴'!$E:$E,AC$1,'単価履歴'!$F:$F,$A31,'単価履歴'!$O:$O,
MAXIFS('単価履歴'!$O:$O,'単価履歴'!$E:$E,AC$1,'単価履歴'!$F:$F,$A31))=0,"",
MAXIFS('単価履歴'!$H:$H,'単価履歴'!$E:$E,AC$1,'単価履歴'!$F:$F,$A31,'単価履歴'!$O:$O,
MAXIFS('単価履歴'!$O:$O,'単価履歴'!$E:$E,AC$1,'単価履歴'!$F:$F,$A31)))</f>
        <v/>
      </c>
      <c r="AD31" s="249" t="str">
        <f>IF(MAXIFS('単価履歴'!$H:$H,'単価履歴'!$E:$E,AD$1,'単価履歴'!$F:$F,$A31,'単価履歴'!$O:$O,
MAXIFS('単価履歴'!$O:$O,'単価履歴'!$E:$E,AD$1,'単価履歴'!$F:$F,$A31))=0,"",
MAXIFS('単価履歴'!$H:$H,'単価履歴'!$E:$E,AD$1,'単価履歴'!$F:$F,$A31,'単価履歴'!$O:$O,
MAXIFS('単価履歴'!$O:$O,'単価履歴'!$E:$E,AD$1,'単価履歴'!$F:$F,$A31)))</f>
        <v/>
      </c>
      <c r="AE31" s="249" t="str">
        <f>IF(MAXIFS('単価履歴'!$H:$H,'単価履歴'!$E:$E,AE$1,'単価履歴'!$F:$F,$A31,'単価履歴'!$O:$O,
MAXIFS('単価履歴'!$O:$O,'単価履歴'!$E:$E,AE$1,'単価履歴'!$F:$F,$A31))=0,"",
MAXIFS('単価履歴'!$H:$H,'単価履歴'!$E:$E,AE$1,'単価履歴'!$F:$F,$A31,'単価履歴'!$O:$O,
MAXIFS('単価履歴'!$O:$O,'単価履歴'!$E:$E,AE$1,'単価履歴'!$F:$F,$A31)))</f>
        <v/>
      </c>
      <c r="AF31" s="251" t="str">
        <f>IF(MAXIFS('単価履歴'!$H:$H,'単価履歴'!$E:$E,AF$1,'単価履歴'!$F:$F,$A31,'単価履歴'!$O:$O,
MAXIFS('単価履歴'!$O:$O,'単価履歴'!$E:$E,AF$1,'単価履歴'!$F:$F,$A31))=0,"",
MAXIFS('単価履歴'!$H:$H,'単価履歴'!$E:$E,AF$1,'単価履歴'!$F:$F,$A31,'単価履歴'!$O:$O,
MAXIFS('単価履歴'!$O:$O,'単価履歴'!$E:$E,AF$1,'単価履歴'!$F:$F,$A31)))</f>
        <v/>
      </c>
      <c r="AG31" s="249" t="str">
        <f>IF(MAXIFS('単価履歴'!$H:$H,'単価履歴'!$E:$E,AG$1,'単価履歴'!$F:$F,$A31,'単価履歴'!$O:$O,
MAXIFS('単価履歴'!$O:$O,'単価履歴'!$E:$E,AG$1,'単価履歴'!$F:$F,$A31))=0,"",
MAXIFS('単価履歴'!$H:$H,'単価履歴'!$E:$E,AG$1,'単価履歴'!$F:$F,$A31,'単価履歴'!$O:$O,
MAXIFS('単価履歴'!$O:$O,'単価履歴'!$E:$E,AG$1,'単価履歴'!$F:$F,$A31)))</f>
        <v/>
      </c>
      <c r="AH31" s="252" t="str">
        <f>IF(MAXIFS('単価履歴'!$H:$H,'単価履歴'!$E:$E,AH$1,'単価履歴'!$F:$F,$A31,'単価履歴'!$O:$O,
MAXIFS('単価履歴'!$O:$O,'単価履歴'!$E:$E,AH$1,'単価履歴'!$F:$F,$A31))=0,"",
MAXIFS('単価履歴'!$H:$H,'単価履歴'!$E:$E,AH$1,'単価履歴'!$F:$F,$A31,'単価履歴'!$O:$O,
MAXIFS('単価履歴'!$O:$O,'単価履歴'!$E:$E,AH$1,'単価履歴'!$F:$F,$A31)))</f>
        <v/>
      </c>
      <c r="AI31" s="249" t="str">
        <f>IF(MAXIFS('単価履歴'!$H:$H,'単価履歴'!$E:$E,AI$1,'単価履歴'!$F:$F,$A31,'単価履歴'!$O:$O,
MAXIFS('単価履歴'!$O:$O,'単価履歴'!$E:$E,AI$1,'単価履歴'!$F:$F,$A31))=0,"",
MAXIFS('単価履歴'!$H:$H,'単価履歴'!$E:$E,AI$1,'単価履歴'!$F:$F,$A31,'単価履歴'!$O:$O,
MAXIFS('単価履歴'!$O:$O,'単価履歴'!$E:$E,AI$1,'単価履歴'!$F:$F,$A31)))</f>
        <v/>
      </c>
      <c r="AJ31" s="251" t="str">
        <f>IF(MAXIFS('単価履歴'!$H:$H,'単価履歴'!$E:$E,AJ$1,'単価履歴'!$F:$F,$A31,'単価履歴'!$O:$O,
MAXIFS('単価履歴'!$O:$O,'単価履歴'!$E:$E,AJ$1,'単価履歴'!$F:$F,$A31))=0,"",
MAXIFS('単価履歴'!$H:$H,'単価履歴'!$E:$E,AJ$1,'単価履歴'!$F:$F,$A31,'単価履歴'!$O:$O,
MAXIFS('単価履歴'!$O:$O,'単価履歴'!$E:$E,AJ$1,'単価履歴'!$F:$F,$A31)))</f>
        <v/>
      </c>
      <c r="AK31" s="252" t="str">
        <f>IF(MAXIFS('単価履歴'!$H:$H,'単価履歴'!$E:$E,AK$1,'単価履歴'!$F:$F,$A31,'単価履歴'!$O:$O,
MAXIFS('単価履歴'!$O:$O,'単価履歴'!$E:$E,AK$1,'単価履歴'!$F:$F,$A31))=0,"",
MAXIFS('単価履歴'!$H:$H,'単価履歴'!$E:$E,AK$1,'単価履歴'!$F:$F,$A31,'単価履歴'!$O:$O,
MAXIFS('単価履歴'!$O:$O,'単価履歴'!$E:$E,AK$1,'単価履歴'!$F:$F,$A31)))</f>
        <v/>
      </c>
      <c r="AL31" s="252" t="str">
        <f>IF(MAXIFS('単価履歴'!$H:$H,'単価履歴'!$E:$E,AL$1,'単価履歴'!$F:$F,$A31,'単価履歴'!$O:$O,
MAXIFS('単価履歴'!$O:$O,'単価履歴'!$E:$E,AL$1,'単価履歴'!$F:$F,$A31))=0,"",
MAXIFS('単価履歴'!$H:$H,'単価履歴'!$E:$E,AL$1,'単価履歴'!$F:$F,$A31,'単価履歴'!$O:$O,
MAXIFS('単価履歴'!$O:$O,'単価履歴'!$E:$E,AL$1,'単価履歴'!$F:$F,$A31)))</f>
        <v/>
      </c>
      <c r="AM31" s="248" t="str">
        <f>IF(MAXIFS('単価履歴'!$H:$H,'単価履歴'!$E:$E,AM$1,'単価履歴'!$F:$F,$A31,'単価履歴'!$O:$O,
MAXIFS('単価履歴'!$O:$O,'単価履歴'!$E:$E,AM$1,'単価履歴'!$F:$F,$A31))=0,"",
MAXIFS('単価履歴'!$H:$H,'単価履歴'!$E:$E,AM$1,'単価履歴'!$F:$F,$A31,'単価履歴'!$O:$O,
MAXIFS('単価履歴'!$O:$O,'単価履歴'!$E:$E,AM$1,'単価履歴'!$F:$F,$A31)))</f>
        <v/>
      </c>
      <c r="AN31" s="248" t="str">
        <f>IF(MAXIFS('単価履歴'!$H:$H,'単価履歴'!$E:$E,AN$1,'単価履歴'!$F:$F,$A31,'単価履歴'!$O:$O,
MAXIFS('単価履歴'!$O:$O,'単価履歴'!$E:$E,AN$1,'単価履歴'!$F:$F,$A31))=0,"",
MAXIFS('単価履歴'!$H:$H,'単価履歴'!$E:$E,AN$1,'単価履歴'!$F:$F,$A31,'単価履歴'!$O:$O,
MAXIFS('単価履歴'!$O:$O,'単価履歴'!$E:$E,AN$1,'単価履歴'!$F:$F,$A31)))</f>
        <v/>
      </c>
      <c r="AO31" s="252" t="str">
        <f>IF(MAXIFS('単価履歴'!$H:$H,'単価履歴'!$E:$E,AO$1,'単価履歴'!$F:$F,$A31,'単価履歴'!$O:$O,
MAXIFS('単価履歴'!$O:$O,'単価履歴'!$E:$E,AO$1,'単価履歴'!$F:$F,$A31))=0,"",
MAXIFS('単価履歴'!$H:$H,'単価履歴'!$E:$E,AO$1,'単価履歴'!$F:$F,$A31,'単価履歴'!$O:$O,
MAXIFS('単価履歴'!$O:$O,'単価履歴'!$E:$E,AO$1,'単価履歴'!$F:$F,$A31)))</f>
        <v/>
      </c>
      <c r="AP31" s="248" t="str">
        <f>IF(MAXIFS('単価履歴'!$H:$H,'単価履歴'!$E:$E,AP$1,'単価履歴'!$F:$F,$A31,'単価履歴'!$O:$O,
MAXIFS('単価履歴'!$O:$O,'単価履歴'!$E:$E,AP$1,'単価履歴'!$F:$F,$A31))=0,"",
MAXIFS('単価履歴'!$H:$H,'単価履歴'!$E:$E,AP$1,'単価履歴'!$F:$F,$A31,'単価履歴'!$O:$O,
MAXIFS('単価履歴'!$O:$O,'単価履歴'!$E:$E,AP$1,'単価履歴'!$F:$F,$A31)))</f>
        <v/>
      </c>
      <c r="AQ31" s="251" t="str">
        <f>IF(MAXIFS('単価履歴'!$H:$H,'単価履歴'!$E:$E,AQ$1,'単価履歴'!$F:$F,$A31,'単価履歴'!$O:$O,
MAXIFS('単価履歴'!$O:$O,'単価履歴'!$E:$E,AQ$1,'単価履歴'!$F:$F,$A31))=0,"",
MAXIFS('単価履歴'!$H:$H,'単価履歴'!$E:$E,AQ$1,'単価履歴'!$F:$F,$A31,'単価履歴'!$O:$O,
MAXIFS('単価履歴'!$O:$O,'単価履歴'!$E:$E,AQ$1,'単価履歴'!$F:$F,$A31)))</f>
        <v/>
      </c>
      <c r="AR31" s="249" t="str">
        <f>IF(MAXIFS('単価履歴'!$H:$H,'単価履歴'!$E:$E,AR$1,'単価履歴'!$F:$F,$A31,'単価履歴'!$O:$O,
MAXIFS('単価履歴'!$O:$O,'単価履歴'!$E:$E,AR$1,'単価履歴'!$F:$F,$A31))=0,"",
MAXIFS('単価履歴'!$H:$H,'単価履歴'!$E:$E,AR$1,'単価履歴'!$F:$F,$A31,'単価履歴'!$O:$O,
MAXIFS('単価履歴'!$O:$O,'単価履歴'!$E:$E,AR$1,'単価履歴'!$F:$F,$A31)))</f>
        <v/>
      </c>
      <c r="AS31" s="249" t="str">
        <f>IF(MAXIFS('単価履歴'!$H:$H,'単価履歴'!$E:$E,AS$1,'単価履歴'!$F:$F,$A31,'単価履歴'!$O:$O,
MAXIFS('単価履歴'!$O:$O,'単価履歴'!$E:$E,AS$1,'単価履歴'!$F:$F,$A31))=0,"",
MAXIFS('単価履歴'!$H:$H,'単価履歴'!$E:$E,AS$1,'単価履歴'!$F:$F,$A31,'単価履歴'!$O:$O,
MAXIFS('単価履歴'!$O:$O,'単価履歴'!$E:$E,AS$1,'単価履歴'!$F:$F,$A31)))</f>
        <v/>
      </c>
      <c r="AT31" s="251" t="str">
        <f>IF(MAXIFS('単価履歴'!$H:$H,'単価履歴'!$E:$E,AT$1,'単価履歴'!$F:$F,$A31,'単価履歴'!$O:$O,
MAXIFS('単価履歴'!$O:$O,'単価履歴'!$E:$E,AT$1,'単価履歴'!$F:$F,$A31))=0,"",
MAXIFS('単価履歴'!$H:$H,'単価履歴'!$E:$E,AT$1,'単価履歴'!$F:$F,$A31,'単価履歴'!$O:$O,
MAXIFS('単価履歴'!$O:$O,'単価履歴'!$E:$E,AT$1,'単価履歴'!$F:$F,$A31)))</f>
        <v/>
      </c>
      <c r="AU31" s="249" t="str">
        <f>IF(MAXIFS('単価履歴'!$H:$H,'単価履歴'!$E:$E,AU$1,'単価履歴'!$F:$F,$A31,'単価履歴'!$O:$O,
MAXIFS('単価履歴'!$O:$O,'単価履歴'!$E:$E,AU$1,'単価履歴'!$F:$F,$A31))=0,"",
MAXIFS('単価履歴'!$H:$H,'単価履歴'!$E:$E,AU$1,'単価履歴'!$F:$F,$A31,'単価履歴'!$O:$O,
MAXIFS('単価履歴'!$O:$O,'単価履歴'!$E:$E,AU$1,'単価履歴'!$F:$F,$A31)))</f>
        <v/>
      </c>
      <c r="AV31" s="251" t="str">
        <f>IF(MAXIFS('単価履歴'!$H:$H,'単価履歴'!$E:$E,AV$1,'単価履歴'!$F:$F,$A31,'単価履歴'!$O:$O,
MAXIFS('単価履歴'!$O:$O,'単価履歴'!$E:$E,AV$1,'単価履歴'!$F:$F,$A31))=0,"",
MAXIFS('単価履歴'!$H:$H,'単価履歴'!$E:$E,AV$1,'単価履歴'!$F:$F,$A31,'単価履歴'!$O:$O,
MAXIFS('単価履歴'!$O:$O,'単価履歴'!$E:$E,AV$1,'単価履歴'!$F:$F,$A31)))</f>
        <v/>
      </c>
      <c r="AW31" s="252" t="str">
        <f>IF(MAXIFS('単価履歴'!$H:$H,'単価履歴'!$E:$E,AW$1,'単価履歴'!$F:$F,$A31,'単価履歴'!$O:$O,
MAXIFS('単価履歴'!$O:$O,'単価履歴'!$E:$E,AW$1,'単価履歴'!$F:$F,$A31))=0,"",
MAXIFS('単価履歴'!$H:$H,'単価履歴'!$E:$E,AW$1,'単価履歴'!$F:$F,$A31,'単価履歴'!$O:$O,
MAXIFS('単価履歴'!$O:$O,'単価履歴'!$E:$E,AW$1,'単価履歴'!$F:$F,$A31)))</f>
        <v/>
      </c>
      <c r="AX31" s="251" t="str">
        <f>IF(MAXIFS('単価履歴'!$H:$H,'単価履歴'!$E:$E,AX$1,'単価履歴'!$F:$F,$A31,'単価履歴'!$O:$O,
MAXIFS('単価履歴'!$O:$O,'単価履歴'!$E:$E,AX$1,'単価履歴'!$F:$F,$A31))=0,"",
MAXIFS('単価履歴'!$H:$H,'単価履歴'!$E:$E,AX$1,'単価履歴'!$F:$F,$A31,'単価履歴'!$O:$O,
MAXIFS('単価履歴'!$O:$O,'単価履歴'!$E:$E,AX$1,'単価履歴'!$F:$F,$A31)))</f>
        <v/>
      </c>
      <c r="AY31" s="252" t="str">
        <f>IF(MAXIFS('単価履歴'!$H:$H,'単価履歴'!$E:$E,AY$1,'単価履歴'!$F:$F,$A31,'単価履歴'!$O:$O,
MAXIFS('単価履歴'!$O:$O,'単価履歴'!$E:$E,AY$1,'単価履歴'!$F:$F,$A31))=0,"",
MAXIFS('単価履歴'!$H:$H,'単価履歴'!$E:$E,AY$1,'単価履歴'!$F:$F,$A31,'単価履歴'!$O:$O,
MAXIFS('単価履歴'!$O:$O,'単価履歴'!$E:$E,AY$1,'単価履歴'!$F:$F,$A31)))</f>
        <v/>
      </c>
      <c r="AZ31" s="285">
        <f>IF(MAXIFS('単価履歴'!$H:$H,'単価履歴'!$E:$E,AZ$1,'単価履歴'!$F:$F,$A31,'単価履歴'!$O:$O,
MAXIFS('単価履歴'!$O:$O,'単価履歴'!$E:$E,AZ$1,'単価履歴'!$F:$F,$A31))=0,"",
MAXIFS('単価履歴'!$H:$H,'単価履歴'!$E:$E,AZ$1,'単価履歴'!$F:$F,$A31,'単価履歴'!$O:$O,
MAXIFS('単価履歴'!$O:$O,'単価履歴'!$E:$E,AZ$1,'単価履歴'!$F:$F,$A31)))</f>
        <v>51.5</v>
      </c>
      <c r="BA31" s="252" t="str">
        <f>IF(MAXIFS('単価履歴'!$H:$H,'単価履歴'!$E:$E,BA$1,'単価履歴'!$F:$F,$A31,'単価履歴'!$O:$O,
MAXIFS('単価履歴'!$O:$O,'単価履歴'!$E:$E,BA$1,'単価履歴'!$F:$F,$A31))=0,"",
MAXIFS('単価履歴'!$H:$H,'単価履歴'!$E:$E,BA$1,'単価履歴'!$F:$F,$A31,'単価履歴'!$O:$O,
MAXIFS('単価履歴'!$O:$O,'単価履歴'!$E:$E,BA$1,'単価履歴'!$F:$F,$A31)))</f>
        <v/>
      </c>
      <c r="BB31" s="249" t="str">
        <f>IF(MAXIFS('単価履歴'!$H:$H,'単価履歴'!$E:$E,BB$1,'単価履歴'!$F:$F,$A31,'単価履歴'!$O:$O,
MAXIFS('単価履歴'!$O:$O,'単価履歴'!$E:$E,BB$1,'単価履歴'!$F:$F,$A31))=0,"",
MAXIFS('単価履歴'!$H:$H,'単価履歴'!$E:$E,BB$1,'単価履歴'!$F:$F,$A31,'単価履歴'!$O:$O,
MAXIFS('単価履歴'!$O:$O,'単価履歴'!$E:$E,BB$1,'単価履歴'!$F:$F,$A31)))</f>
        <v/>
      </c>
      <c r="BC31" s="249" t="str">
        <f>IF(MAXIFS('単価履歴'!$H:$H,'単価履歴'!$E:$E,BC$1,'単価履歴'!$F:$F,$A31,'単価履歴'!$O:$O,
MAXIFS('単価履歴'!$O:$O,'単価履歴'!$E:$E,BC$1,'単価履歴'!$F:$F,$A31))=0,"",
MAXIFS('単価履歴'!$H:$H,'単価履歴'!$E:$E,BC$1,'単価履歴'!$F:$F,$A31,'単価履歴'!$O:$O,
MAXIFS('単価履歴'!$O:$O,'単価履歴'!$E:$E,BC$1,'単価履歴'!$F:$F,$A31)))</f>
        <v/>
      </c>
      <c r="BD31" s="249" t="str">
        <f>IF(MAXIFS('単価履歴'!$H:$H,'単価履歴'!$E:$E,BD$1,'単価履歴'!$F:$F,$A31,'単価履歴'!$O:$O,
MAXIFS('単価履歴'!$O:$O,'単価履歴'!$E:$E,BD$1,'単価履歴'!$F:$F,$A31))=0,"",
MAXIFS('単価履歴'!$H:$H,'単価履歴'!$E:$E,BD$1,'単価履歴'!$F:$F,$A31,'単価履歴'!$O:$O,
MAXIFS('単価履歴'!$O:$O,'単価履歴'!$E:$E,BD$1,'単価履歴'!$F:$F,$A31)))</f>
        <v/>
      </c>
      <c r="BE31" s="249" t="str">
        <f>IF(MAXIFS('単価履歴'!$H:$H,'単価履歴'!$E:$E,BE$1,'単価履歴'!$F:$F,$A31,'単価履歴'!$O:$O,
MAXIFS('単価履歴'!$O:$O,'単価履歴'!$E:$E,BE$1,'単価履歴'!$F:$F,$A31))=0,"",
MAXIFS('単価履歴'!$H:$H,'単価履歴'!$E:$E,BE$1,'単価履歴'!$F:$F,$A31,'単価履歴'!$O:$O,
MAXIFS('単価履歴'!$O:$O,'単価履歴'!$E:$E,BE$1,'単価履歴'!$F:$F,$A31)))</f>
        <v/>
      </c>
      <c r="BF31" s="248" t="str">
        <f>IF(MAXIFS('単価履歴'!$H:$H,'単価履歴'!$E:$E,BF$1,'単価履歴'!$F:$F,$A31,'単価履歴'!$O:$O,
MAXIFS('単価履歴'!$O:$O,'単価履歴'!$E:$E,BF$1,'単価履歴'!$F:$F,$A31))=0,"",
MAXIFS('単価履歴'!$H:$H,'単価履歴'!$E:$E,BF$1,'単価履歴'!$F:$F,$A31,'単価履歴'!$O:$O,
MAXIFS('単価履歴'!$O:$O,'単価履歴'!$E:$E,BF$1,'単価履歴'!$F:$F,$A31)))</f>
        <v/>
      </c>
      <c r="BG31" s="249" t="str">
        <f>IF(MAXIFS('単価履歴'!$H:$H,'単価履歴'!$E:$E,BG$1,'単価履歴'!$F:$F,$A31,'単価履歴'!$O:$O,
MAXIFS('単価履歴'!$O:$O,'単価履歴'!$E:$E,BG$1,'単価履歴'!$F:$F,$A31))=0,"",
MAXIFS('単価履歴'!$H:$H,'単価履歴'!$E:$E,BG$1,'単価履歴'!$F:$F,$A31,'単価履歴'!$O:$O,
MAXIFS('単価履歴'!$O:$O,'単価履歴'!$E:$E,BG$1,'単価履歴'!$F:$F,$A31)))</f>
        <v/>
      </c>
      <c r="BH31" s="251" t="str">
        <f>IF(MAXIFS('単価履歴'!$H:$H,'単価履歴'!$E:$E,BH$1,'単価履歴'!$F:$F,$A31,'単価履歴'!$O:$O,
MAXIFS('単価履歴'!$O:$O,'単価履歴'!$E:$E,BH$1,'単価履歴'!$F:$F,$A31))=0,"",
MAXIFS('単価履歴'!$H:$H,'単価履歴'!$E:$E,BH$1,'単価履歴'!$F:$F,$A31,'単価履歴'!$O:$O,
MAXIFS('単価履歴'!$O:$O,'単価履歴'!$E:$E,BH$1,'単価履歴'!$F:$F,$A31)))</f>
        <v/>
      </c>
      <c r="BI31" s="249" t="str">
        <f>IF(MAXIFS('単価履歴'!$H:$H,'単価履歴'!$E:$E,BI$1,'単価履歴'!$F:$F,$A31,'単価履歴'!$O:$O,
MAXIFS('単価履歴'!$O:$O,'単価履歴'!$E:$E,BI$1,'単価履歴'!$F:$F,$A31))=0,"",
MAXIFS('単価履歴'!$H:$H,'単価履歴'!$E:$E,BI$1,'単価履歴'!$F:$F,$A31,'単価履歴'!$O:$O,
MAXIFS('単価履歴'!$O:$O,'単価履歴'!$E:$E,BI$1,'単価履歴'!$F:$F,$A31)))</f>
        <v/>
      </c>
      <c r="BJ31" s="248" t="str">
        <f>IF(MAXIFS('単価履歴'!$H:$H,'単価履歴'!$E:$E,BJ$1,'単価履歴'!$F:$F,$A31,'単価履歴'!$O:$O,
MAXIFS('単価履歴'!$O:$O,'単価履歴'!$E:$E,BJ$1,'単価履歴'!$F:$F,$A31))=0,"",
MAXIFS('単価履歴'!$H:$H,'単価履歴'!$E:$E,BJ$1,'単価履歴'!$F:$F,$A31,'単価履歴'!$O:$O,
MAXIFS('単価履歴'!$O:$O,'単価履歴'!$E:$E,BJ$1,'単価履歴'!$F:$F,$A31)))</f>
        <v/>
      </c>
      <c r="BK31" s="249" t="str">
        <f>IF(MAXIFS('単価履歴'!$H:$H,'単価履歴'!$E:$E,BK$1,'単価履歴'!$F:$F,$A31,'単価履歴'!$O:$O,
MAXIFS('単価履歴'!$O:$O,'単価履歴'!$E:$E,BK$1,'単価履歴'!$F:$F,$A31))=0,"",
MAXIFS('単価履歴'!$H:$H,'単価履歴'!$E:$E,BK$1,'単価履歴'!$F:$F,$A31,'単価履歴'!$O:$O,
MAXIFS('単価履歴'!$O:$O,'単価履歴'!$E:$E,BK$1,'単価履歴'!$F:$F,$A31)))</f>
        <v/>
      </c>
      <c r="BL31" s="251" t="str">
        <f>IF(MAXIFS('単価履歴'!$H:$H,'単価履歴'!$E:$E,BL$1,'単価履歴'!$F:$F,$A31,'単価履歴'!$O:$O,
MAXIFS('単価履歴'!$O:$O,'単価履歴'!$E:$E,BL$1,'単価履歴'!$F:$F,$A31))=0,"",
MAXIFS('単価履歴'!$H:$H,'単価履歴'!$E:$E,BL$1,'単価履歴'!$F:$F,$A31,'単価履歴'!$O:$O,
MAXIFS('単価履歴'!$O:$O,'単価履歴'!$E:$E,BL$1,'単価履歴'!$F:$F,$A31)))</f>
        <v/>
      </c>
      <c r="BM31" s="248" t="str">
        <f>IF(MAXIFS('単価履歴'!$H:$H,'単価履歴'!$E:$E,BM$1,'単価履歴'!$F:$F,$A31,'単価履歴'!$O:$O,
MAXIFS('単価履歴'!$O:$O,'単価履歴'!$E:$E,BM$1,'単価履歴'!$F:$F,$A31))=0,"",
MAXIFS('単価履歴'!$H:$H,'単価履歴'!$E:$E,BM$1,'単価履歴'!$F:$F,$A31,'単価履歴'!$O:$O,
MAXIFS('単価履歴'!$O:$O,'単価履歴'!$E:$E,BM$1,'単価履歴'!$F:$F,$A31)))</f>
        <v/>
      </c>
      <c r="BN31" s="249" t="str">
        <f>IF(MAXIFS('単価履歴'!$H:$H,'単価履歴'!$E:$E,BN$1,'単価履歴'!$F:$F,$A31,'単価履歴'!$O:$O,
MAXIFS('単価履歴'!$O:$O,'単価履歴'!$E:$E,BN$1,'単価履歴'!$F:$F,$A31))=0,"",
MAXIFS('単価履歴'!$H:$H,'単価履歴'!$E:$E,BN$1,'単価履歴'!$F:$F,$A31,'単価履歴'!$O:$O,
MAXIFS('単価履歴'!$O:$O,'単価履歴'!$E:$E,BN$1,'単価履歴'!$F:$F,$A31)))</f>
        <v/>
      </c>
      <c r="BO31" s="248" t="str">
        <f>IF(MAXIFS('単価履歴'!$H:$H,'単価履歴'!$E:$E,BO$1,'単価履歴'!$F:$F,$A31,'単価履歴'!$O:$O,
MAXIFS('単価履歴'!$O:$O,'単価履歴'!$E:$E,BO$1,'単価履歴'!$F:$F,$A31))=0,"",
MAXIFS('単価履歴'!$H:$H,'単価履歴'!$E:$E,BO$1,'単価履歴'!$F:$F,$A31,'単価履歴'!$O:$O,
MAXIFS('単価履歴'!$O:$O,'単価履歴'!$E:$E,BO$1,'単価履歴'!$F:$F,$A31)))</f>
        <v/>
      </c>
      <c r="BP31" s="249" t="str">
        <f>IF(MAXIFS('単価履歴'!$H:$H,'単価履歴'!$E:$E,BP$1,'単価履歴'!$F:$F,$A31,'単価履歴'!$O:$O,
MAXIFS('単価履歴'!$O:$O,'単価履歴'!$E:$E,BP$1,'単価履歴'!$F:$F,$A31))=0,"",
MAXIFS('単価履歴'!$H:$H,'単価履歴'!$E:$E,BP$1,'単価履歴'!$F:$F,$A31,'単価履歴'!$O:$O,
MAXIFS('単価履歴'!$O:$O,'単価履歴'!$E:$E,BP$1,'単価履歴'!$F:$F,$A31)))</f>
        <v/>
      </c>
      <c r="BQ31" s="249" t="str">
        <f>IF(MAXIFS('単価履歴'!$H:$H,'単価履歴'!$E:$E,BQ$1,'単価履歴'!$F:$F,$A31,'単価履歴'!$O:$O,
MAXIFS('単価履歴'!$O:$O,'単価履歴'!$E:$E,BQ$1,'単価履歴'!$F:$F,$A31))=0,"",
MAXIFS('単価履歴'!$H:$H,'単価履歴'!$E:$E,BQ$1,'単価履歴'!$F:$F,$A31,'単価履歴'!$O:$O,
MAXIFS('単価履歴'!$O:$O,'単価履歴'!$E:$E,BQ$1,'単価履歴'!$F:$F,$A31)))</f>
        <v/>
      </c>
      <c r="BR31" s="252" t="str">
        <f>IF(MAXIFS('単価履歴'!$H:$H,'単価履歴'!$E:$E,BR$1,'単価履歴'!$F:$F,$A31,'単価履歴'!$O:$O,
MAXIFS('単価履歴'!$O:$O,'単価履歴'!$E:$E,BR$1,'単価履歴'!$F:$F,$A31))=0,"",
MAXIFS('単価履歴'!$H:$H,'単価履歴'!$E:$E,BR$1,'単価履歴'!$F:$F,$A31,'単価履歴'!$O:$O,
MAXIFS('単価履歴'!$O:$O,'単価履歴'!$E:$E,BR$1,'単価履歴'!$F:$F,$A31)))</f>
        <v/>
      </c>
      <c r="BS31" s="252" t="str">
        <f>IF(MAXIFS('単価履歴'!$H:$H,'単価履歴'!$E:$E,BS$1,'単価履歴'!$F:$F,$A31,'単価履歴'!$O:$O,
MAXIFS('単価履歴'!$O:$O,'単価履歴'!$E:$E,BS$1,'単価履歴'!$F:$F,$A31))=0,"",
MAXIFS('単価履歴'!$H:$H,'単価履歴'!$E:$E,BS$1,'単価履歴'!$F:$F,$A31,'単価履歴'!$O:$O,
MAXIFS('単価履歴'!$O:$O,'単価履歴'!$E:$E,BS$1,'単価履歴'!$F:$F,$A31)))</f>
        <v/>
      </c>
      <c r="BT31" s="252" t="str">
        <f>IF(MAXIFS('単価履歴'!$H:$H,'単価履歴'!$E:$E,BT$1,'単価履歴'!$F:$F,$A31,'単価履歴'!$O:$O,
MAXIFS('単価履歴'!$O:$O,'単価履歴'!$E:$E,BT$1,'単価履歴'!$F:$F,$A31))=0,"",
MAXIFS('単価履歴'!$H:$H,'単価履歴'!$E:$E,BT$1,'単価履歴'!$F:$F,$A31,'単価履歴'!$O:$O,
MAXIFS('単価履歴'!$O:$O,'単価履歴'!$E:$E,BT$1,'単価履歴'!$F:$F,$A31)))</f>
        <v/>
      </c>
      <c r="BU31" s="252" t="str">
        <f>IF(MAXIFS('単価履歴'!$H:$H,'単価履歴'!$E:$E,BU$1,'単価履歴'!$F:$F,$A31,'単価履歴'!$O:$O,
MAXIFS('単価履歴'!$O:$O,'単価履歴'!$E:$E,BU$1,'単価履歴'!$F:$F,$A31))=0,"",
MAXIFS('単価履歴'!$H:$H,'単価履歴'!$E:$E,BU$1,'単価履歴'!$F:$F,$A31,'単価履歴'!$O:$O,
MAXIFS('単価履歴'!$O:$O,'単価履歴'!$E:$E,BU$1,'単価履歴'!$F:$F,$A31)))</f>
        <v/>
      </c>
      <c r="BV31" s="252" t="str">
        <f>IF(MAXIFS('単価履歴'!$H:$H,'単価履歴'!$E:$E,BV$1,'単価履歴'!$F:$F,$A31,'単価履歴'!$O:$O,
MAXIFS('単価履歴'!$O:$O,'単価履歴'!$E:$E,BV$1,'単価履歴'!$F:$F,$A31))=0,"",
MAXIFS('単価履歴'!$H:$H,'単価履歴'!$E:$E,BV$1,'単価履歴'!$F:$F,$A31,'単価履歴'!$O:$O,
MAXIFS('単価履歴'!$O:$O,'単価履歴'!$E:$E,BV$1,'単価履歴'!$F:$F,$A31)))</f>
        <v/>
      </c>
      <c r="BW31" s="251" t="str">
        <f>IF(MAXIFS('単価履歴'!$H:$H,'単価履歴'!$E:$E,BW$1,'単価履歴'!$F:$F,$A31,'単価履歴'!$O:$O,
MAXIFS('単価履歴'!$O:$O,'単価履歴'!$E:$E,BW$1,'単価履歴'!$F:$F,$A31))=0,"",
MAXIFS('単価履歴'!$H:$H,'単価履歴'!$E:$E,BW$1,'単価履歴'!$F:$F,$A31,'単価履歴'!$O:$O,
MAXIFS('単価履歴'!$O:$O,'単価履歴'!$E:$E,BW$1,'単価履歴'!$F:$F,$A31)))</f>
        <v/>
      </c>
      <c r="BX31" s="251" t="str">
        <f>IF(MAXIFS('単価履歴'!$H:$H,'単価履歴'!$E:$E,BX$1,'単価履歴'!$F:$F,$A31,'単価履歴'!$O:$O,
MAXIFS('単価履歴'!$O:$O,'単価履歴'!$E:$E,BX$1,'単価履歴'!$F:$F,$A31))=0,"",
MAXIFS('単価履歴'!$H:$H,'単価履歴'!$E:$E,BX$1,'単価履歴'!$F:$F,$A31,'単価履歴'!$O:$O,
MAXIFS('単価履歴'!$O:$O,'単価履歴'!$E:$E,BX$1,'単価履歴'!$F:$F,$A31)))</f>
        <v/>
      </c>
      <c r="BY31" s="252" t="str">
        <f>IF(MAXIFS('単価履歴'!$H:$H,'単価履歴'!$E:$E,BY$1,'単価履歴'!$F:$F,$A31,'単価履歴'!$O:$O,
MAXIFS('単価履歴'!$O:$O,'単価履歴'!$E:$E,BY$1,'単価履歴'!$F:$F,$A31))=0,"",
MAXIFS('単価履歴'!$H:$H,'単価履歴'!$E:$E,BY$1,'単価履歴'!$F:$F,$A31,'単価履歴'!$O:$O,
MAXIFS('単価履歴'!$O:$O,'単価履歴'!$E:$E,BY$1,'単価履歴'!$F:$F,$A31)))</f>
        <v/>
      </c>
      <c r="BZ31" s="249"/>
      <c r="CA31" s="249"/>
      <c r="CB31" s="249"/>
      <c r="CC31" s="249"/>
      <c r="CD31" s="249"/>
      <c r="CE31" s="249"/>
      <c r="CF31" s="249"/>
      <c r="CG31" s="249"/>
    </row>
    <row r="32">
      <c r="A32" s="286" t="s">
        <v>159</v>
      </c>
      <c r="B32" s="287" t="s">
        <v>578</v>
      </c>
      <c r="BZ32" s="161"/>
      <c r="CA32" s="161"/>
      <c r="CB32" s="161"/>
      <c r="CC32" s="161"/>
      <c r="CD32" s="161"/>
      <c r="CE32" s="161"/>
      <c r="CF32" s="161"/>
      <c r="CG32" s="161"/>
    </row>
    <row r="33">
      <c r="B33" s="158" t="s">
        <v>161</v>
      </c>
      <c r="BZ33" s="161"/>
      <c r="CA33" s="161"/>
      <c r="CB33" s="161"/>
      <c r="CC33" s="161"/>
      <c r="CD33" s="161"/>
      <c r="CE33" s="161"/>
      <c r="CF33" s="161"/>
      <c r="CG33" s="161"/>
    </row>
    <row r="34">
      <c r="A34" s="288" t="s">
        <v>162</v>
      </c>
      <c r="B34" s="289" t="s">
        <v>579</v>
      </c>
      <c r="BZ34" s="232"/>
      <c r="CA34" s="232"/>
      <c r="CB34" s="232"/>
      <c r="CC34" s="232"/>
      <c r="CD34" s="232"/>
      <c r="CE34" s="232"/>
      <c r="CF34" s="232"/>
      <c r="CG34" s="232"/>
    </row>
    <row r="35">
      <c r="A35" s="286" t="s">
        <v>164</v>
      </c>
      <c r="B35" s="290" t="s">
        <v>580</v>
      </c>
      <c r="BZ35" s="291"/>
      <c r="CA35" s="291"/>
      <c r="CB35" s="291"/>
      <c r="CC35" s="291"/>
      <c r="CD35" s="291"/>
      <c r="CE35" s="291"/>
      <c r="CF35" s="291"/>
      <c r="CG35" s="291"/>
    </row>
    <row r="36">
      <c r="B36" s="286" t="s">
        <v>166</v>
      </c>
      <c r="BZ36" s="291"/>
      <c r="CA36" s="291"/>
      <c r="CB36" s="291"/>
      <c r="CC36" s="291"/>
      <c r="CD36" s="291"/>
      <c r="CE36" s="291"/>
      <c r="CF36" s="291"/>
      <c r="CG36" s="291"/>
    </row>
    <row r="37">
      <c r="A37" s="288" t="s">
        <v>167</v>
      </c>
      <c r="B37" s="288" t="s">
        <v>168</v>
      </c>
      <c r="BZ37" s="232"/>
      <c r="CA37" s="232"/>
      <c r="CB37" s="232"/>
      <c r="CC37" s="232"/>
      <c r="CD37" s="232"/>
      <c r="CE37" s="232"/>
      <c r="CF37" s="232"/>
      <c r="CG37" s="232"/>
    </row>
    <row r="38">
      <c r="B38" s="288" t="s">
        <v>169</v>
      </c>
      <c r="BZ38" s="232"/>
      <c r="CA38" s="232"/>
      <c r="CB38" s="232"/>
      <c r="CC38" s="232"/>
      <c r="CD38" s="232"/>
      <c r="CE38" s="232"/>
      <c r="CF38" s="232"/>
      <c r="CG38" s="232"/>
    </row>
    <row r="39">
      <c r="B39" s="288" t="s">
        <v>170</v>
      </c>
      <c r="BZ39" s="232"/>
      <c r="CA39" s="232"/>
      <c r="CB39" s="232"/>
      <c r="CC39" s="232"/>
      <c r="CD39" s="232"/>
      <c r="CE39" s="232"/>
      <c r="CF39" s="232"/>
      <c r="CG39" s="232"/>
    </row>
    <row r="40">
      <c r="A40" s="286" t="s">
        <v>171</v>
      </c>
      <c r="B40" s="158" t="s">
        <v>581</v>
      </c>
      <c r="BZ40" s="161"/>
      <c r="CA40" s="161"/>
      <c r="CB40" s="161"/>
      <c r="CC40" s="161"/>
      <c r="CD40" s="161"/>
      <c r="CE40" s="161"/>
      <c r="CF40" s="161"/>
      <c r="CG40" s="161"/>
    </row>
    <row r="41">
      <c r="B41" s="158" t="s">
        <v>173</v>
      </c>
      <c r="BZ41" s="161"/>
      <c r="CA41" s="161"/>
      <c r="CB41" s="161"/>
      <c r="CC41" s="161"/>
      <c r="CD41" s="161"/>
      <c r="CE41" s="161"/>
      <c r="CF41" s="161"/>
      <c r="CG41" s="161"/>
    </row>
    <row r="42">
      <c r="B42" s="158" t="s">
        <v>174</v>
      </c>
      <c r="BZ42" s="161"/>
      <c r="CA42" s="161"/>
      <c r="CB42" s="161"/>
      <c r="CC42" s="161"/>
      <c r="CD42" s="161"/>
      <c r="CE42" s="161"/>
      <c r="CF42" s="161"/>
      <c r="CG42" s="161"/>
    </row>
    <row r="43">
      <c r="B43" s="158" t="s">
        <v>582</v>
      </c>
      <c r="BZ43" s="161"/>
      <c r="CA43" s="161"/>
      <c r="CB43" s="161"/>
      <c r="CC43" s="161"/>
      <c r="CD43" s="161"/>
      <c r="CE43" s="161"/>
      <c r="CF43" s="161"/>
      <c r="CG43" s="161"/>
    </row>
    <row r="44">
      <c r="B44" s="287" t="s">
        <v>583</v>
      </c>
      <c r="BZ44" s="161"/>
      <c r="CA44" s="161"/>
      <c r="CB44" s="161"/>
      <c r="CC44" s="161"/>
      <c r="CD44" s="161"/>
      <c r="CE44" s="161"/>
      <c r="CF44" s="161"/>
      <c r="CG44" s="161"/>
    </row>
    <row r="45">
      <c r="B45" s="287" t="s">
        <v>584</v>
      </c>
      <c r="BZ45" s="161"/>
      <c r="CA45" s="161"/>
      <c r="CB45" s="161"/>
      <c r="CC45" s="161"/>
      <c r="CD45" s="161"/>
      <c r="CE45" s="161"/>
      <c r="CF45" s="161"/>
      <c r="CG45" s="161"/>
    </row>
    <row r="46">
      <c r="B46" s="158" t="s">
        <v>178</v>
      </c>
      <c r="BZ46" s="161"/>
      <c r="CA46" s="161"/>
      <c r="CB46" s="161"/>
      <c r="CC46" s="161"/>
      <c r="CD46" s="161"/>
      <c r="CE46" s="161"/>
      <c r="CF46" s="161"/>
      <c r="CG46" s="161"/>
    </row>
    <row r="47">
      <c r="B47" s="158" t="s">
        <v>179</v>
      </c>
      <c r="BZ47" s="161"/>
      <c r="CA47" s="161"/>
      <c r="CB47" s="161"/>
      <c r="CC47" s="161"/>
      <c r="CD47" s="161"/>
      <c r="CE47" s="161"/>
      <c r="CF47" s="161"/>
      <c r="CG47" s="161"/>
    </row>
    <row r="48">
      <c r="A48" s="288" t="s">
        <v>180</v>
      </c>
      <c r="B48" s="288" t="s">
        <v>181</v>
      </c>
      <c r="BZ48" s="232"/>
      <c r="CA48" s="232"/>
      <c r="CB48" s="232"/>
      <c r="CC48" s="232"/>
      <c r="CD48" s="232"/>
      <c r="CE48" s="232"/>
      <c r="CF48" s="232"/>
      <c r="CG48" s="232"/>
    </row>
    <row r="49">
      <c r="A49" s="286" t="s">
        <v>182</v>
      </c>
      <c r="B49" s="290" t="s">
        <v>585</v>
      </c>
      <c r="BZ49" s="291"/>
      <c r="CA49" s="291"/>
      <c r="CB49" s="291"/>
      <c r="CC49" s="291"/>
      <c r="CD49" s="291"/>
      <c r="CE49" s="291"/>
      <c r="CF49" s="291"/>
      <c r="CG49" s="291"/>
    </row>
    <row r="50">
      <c r="A50" s="288" t="s">
        <v>184</v>
      </c>
      <c r="B50" s="288" t="s">
        <v>185</v>
      </c>
      <c r="BZ50" s="232"/>
      <c r="CA50" s="232"/>
      <c r="CB50" s="232"/>
      <c r="CC50" s="232"/>
      <c r="CD50" s="232"/>
      <c r="CE50" s="232"/>
      <c r="CF50" s="232"/>
      <c r="CG50" s="232"/>
    </row>
    <row r="51">
      <c r="A51" s="286" t="s">
        <v>186</v>
      </c>
      <c r="B51" s="290" t="s">
        <v>586</v>
      </c>
      <c r="BZ51" s="291"/>
      <c r="CA51" s="291"/>
      <c r="CB51" s="291"/>
      <c r="CC51" s="291"/>
      <c r="CD51" s="291"/>
      <c r="CE51" s="291"/>
      <c r="CF51" s="291"/>
      <c r="CG51" s="291"/>
    </row>
    <row r="52">
      <c r="A52" s="288" t="s">
        <v>188</v>
      </c>
      <c r="B52" s="289" t="s">
        <v>587</v>
      </c>
      <c r="BZ52" s="232"/>
      <c r="CA52" s="232"/>
      <c r="CB52" s="232"/>
      <c r="CC52" s="232"/>
      <c r="CD52" s="232"/>
      <c r="CE52" s="232"/>
      <c r="CF52" s="232"/>
      <c r="CG52" s="232"/>
    </row>
    <row r="53">
      <c r="B53" s="288" t="s">
        <v>190</v>
      </c>
      <c r="BZ53" s="232"/>
      <c r="CA53" s="232"/>
      <c r="CB53" s="232"/>
      <c r="CC53" s="232"/>
      <c r="CD53" s="232"/>
      <c r="CE53" s="232"/>
      <c r="CF53" s="232"/>
      <c r="CG53" s="232"/>
    </row>
    <row r="54">
      <c r="A54" s="286" t="s">
        <v>191</v>
      </c>
      <c r="B54" s="290" t="s">
        <v>588</v>
      </c>
      <c r="BZ54" s="291"/>
      <c r="CA54" s="291"/>
      <c r="CB54" s="291"/>
      <c r="CC54" s="291"/>
      <c r="CD54" s="291"/>
      <c r="CE54" s="291"/>
      <c r="CF54" s="291"/>
      <c r="CG54" s="291"/>
    </row>
    <row r="55">
      <c r="A55" s="288" t="s">
        <v>193</v>
      </c>
      <c r="B55" s="288" t="s">
        <v>589</v>
      </c>
      <c r="BZ55" s="232"/>
      <c r="CA55" s="232"/>
      <c r="CB55" s="232"/>
      <c r="CC55" s="232"/>
      <c r="CD55" s="232"/>
      <c r="CE55" s="232"/>
      <c r="CF55" s="232"/>
      <c r="CG55" s="232"/>
    </row>
    <row r="56">
      <c r="A56" s="286" t="s">
        <v>195</v>
      </c>
      <c r="B56" s="290" t="s">
        <v>590</v>
      </c>
      <c r="BZ56" s="291"/>
      <c r="CA56" s="291"/>
      <c r="CB56" s="291"/>
      <c r="CC56" s="291"/>
      <c r="CD56" s="291"/>
      <c r="CE56" s="291"/>
      <c r="CF56" s="291"/>
      <c r="CG56" s="291"/>
    </row>
    <row r="57">
      <c r="B57" s="286" t="s">
        <v>591</v>
      </c>
      <c r="BZ57" s="291"/>
      <c r="CA57" s="291"/>
      <c r="CB57" s="291"/>
      <c r="CC57" s="291"/>
      <c r="CD57" s="291"/>
      <c r="CE57" s="291"/>
      <c r="CF57" s="291"/>
      <c r="CG57" s="291"/>
    </row>
    <row r="58">
      <c r="A58" s="288" t="s">
        <v>198</v>
      </c>
      <c r="B58" s="288" t="s">
        <v>199</v>
      </c>
      <c r="BZ58" s="232"/>
      <c r="CA58" s="232"/>
      <c r="CB58" s="232"/>
      <c r="CC58" s="232"/>
      <c r="CD58" s="232"/>
      <c r="CE58" s="232"/>
      <c r="CF58" s="232"/>
      <c r="CG58" s="232"/>
    </row>
    <row r="59">
      <c r="B59" s="288" t="s">
        <v>200</v>
      </c>
      <c r="BZ59" s="232"/>
      <c r="CA59" s="232"/>
      <c r="CB59" s="232"/>
      <c r="CC59" s="232"/>
      <c r="CD59" s="232"/>
      <c r="CE59" s="232"/>
      <c r="CF59" s="232"/>
      <c r="CG59" s="232"/>
    </row>
    <row r="60">
      <c r="A60" s="286" t="s">
        <v>201</v>
      </c>
      <c r="B60" s="286" t="s">
        <v>202</v>
      </c>
      <c r="BZ60" s="291"/>
      <c r="CA60" s="291"/>
      <c r="CB60" s="291"/>
      <c r="CC60" s="291"/>
      <c r="CD60" s="291"/>
      <c r="CE60" s="291"/>
      <c r="CF60" s="291"/>
      <c r="CG60" s="291"/>
    </row>
    <row r="61">
      <c r="A61" s="288" t="s">
        <v>203</v>
      </c>
      <c r="B61" s="289" t="s">
        <v>592</v>
      </c>
      <c r="BZ61" s="232"/>
      <c r="CA61" s="232"/>
      <c r="CB61" s="232"/>
      <c r="CC61" s="232"/>
      <c r="CD61" s="232"/>
      <c r="CE61" s="232"/>
      <c r="CF61" s="232"/>
      <c r="CG61" s="232"/>
    </row>
    <row r="62">
      <c r="A62" s="292" t="s">
        <v>246</v>
      </c>
      <c r="B62" s="293" t="s">
        <v>593</v>
      </c>
      <c r="BQ62" s="293"/>
      <c r="BR62" s="293"/>
      <c r="BS62" s="293"/>
      <c r="BT62" s="293"/>
      <c r="BU62" s="293"/>
      <c r="BV62" s="294"/>
      <c r="BW62" s="294"/>
      <c r="BX62" s="294"/>
      <c r="BY62" s="294"/>
      <c r="BZ62" s="295"/>
      <c r="CA62" s="295"/>
      <c r="CB62" s="295"/>
      <c r="CC62" s="295"/>
      <c r="CD62" s="295"/>
      <c r="CE62" s="295"/>
      <c r="CF62" s="295"/>
      <c r="CG62" s="295"/>
    </row>
    <row r="63">
      <c r="B63" s="293" t="s">
        <v>594</v>
      </c>
      <c r="BQ63" s="293"/>
      <c r="BR63" s="293"/>
      <c r="BS63" s="293"/>
      <c r="BT63" s="293"/>
      <c r="BU63" s="293"/>
      <c r="BV63" s="294"/>
      <c r="BW63" s="294"/>
      <c r="BX63" s="294"/>
      <c r="BY63" s="294"/>
      <c r="BZ63" s="296"/>
      <c r="CA63" s="296"/>
      <c r="CB63" s="296"/>
      <c r="CC63" s="296"/>
      <c r="CD63" s="296"/>
      <c r="CE63" s="296"/>
      <c r="CF63" s="296"/>
      <c r="CG63" s="296"/>
    </row>
    <row r="64">
      <c r="B64" s="293" t="s">
        <v>595</v>
      </c>
      <c r="BQ64" s="293"/>
      <c r="BR64" s="293"/>
      <c r="BS64" s="293"/>
      <c r="BT64" s="293"/>
      <c r="BU64" s="293"/>
      <c r="BV64" s="294"/>
      <c r="BW64" s="294"/>
      <c r="BX64" s="294"/>
      <c r="BY64" s="294"/>
      <c r="BZ64" s="295"/>
      <c r="CA64" s="295"/>
      <c r="CB64" s="295"/>
      <c r="CC64" s="295"/>
      <c r="CD64" s="295"/>
      <c r="CE64" s="295"/>
      <c r="CF64" s="295"/>
      <c r="CG64" s="295"/>
    </row>
    <row r="65">
      <c r="A65" s="292" t="s">
        <v>596</v>
      </c>
      <c r="B65" s="293" t="s">
        <v>597</v>
      </c>
      <c r="BQ65" s="293"/>
      <c r="BR65" s="293"/>
      <c r="BS65" s="293"/>
      <c r="BT65" s="293"/>
      <c r="BU65" s="293"/>
      <c r="BV65" s="294"/>
      <c r="BW65" s="294"/>
      <c r="BX65" s="294"/>
      <c r="BY65" s="294"/>
      <c r="BZ65" s="296"/>
      <c r="CA65" s="296"/>
      <c r="CB65" s="296"/>
      <c r="CC65" s="296"/>
      <c r="CD65" s="296"/>
      <c r="CE65" s="296"/>
      <c r="CF65" s="296"/>
      <c r="CG65" s="296"/>
    </row>
    <row r="66">
      <c r="A66" s="292" t="s">
        <v>598</v>
      </c>
      <c r="B66" s="293" t="s">
        <v>599</v>
      </c>
      <c r="BV66" s="294"/>
      <c r="BW66" s="294"/>
      <c r="BX66" s="294"/>
      <c r="BY66" s="294"/>
      <c r="BZ66" s="295"/>
      <c r="CA66" s="295"/>
      <c r="CB66" s="295"/>
      <c r="CC66" s="295"/>
      <c r="CD66" s="295"/>
      <c r="CE66" s="295"/>
      <c r="CF66" s="295"/>
      <c r="CG66" s="295"/>
    </row>
    <row r="67">
      <c r="A67" s="294" t="s">
        <v>600</v>
      </c>
      <c r="B67" s="294" t="s">
        <v>601</v>
      </c>
      <c r="BZ67" s="296"/>
      <c r="CA67" s="296"/>
      <c r="CB67" s="296"/>
      <c r="CC67" s="296"/>
      <c r="CD67" s="296"/>
      <c r="CE67" s="296"/>
      <c r="CF67" s="296"/>
      <c r="CG67" s="296"/>
    </row>
    <row r="68">
      <c r="A68" s="292" t="s">
        <v>602</v>
      </c>
      <c r="B68" s="293" t="s">
        <v>603</v>
      </c>
      <c r="BQ68" s="293"/>
      <c r="BR68" s="293"/>
      <c r="BS68" s="293"/>
      <c r="BT68" s="293"/>
      <c r="BU68" s="293"/>
      <c r="BV68" s="294"/>
      <c r="BW68" s="294"/>
      <c r="BX68" s="294"/>
      <c r="BY68" s="294"/>
      <c r="BZ68" s="295"/>
      <c r="CA68" s="295"/>
      <c r="CB68" s="295"/>
      <c r="CC68" s="295"/>
      <c r="CD68" s="295"/>
      <c r="CE68" s="295"/>
      <c r="CF68" s="295"/>
      <c r="CG68" s="295"/>
    </row>
    <row r="69">
      <c r="B69" s="293" t="s">
        <v>604</v>
      </c>
      <c r="BV69" s="294"/>
      <c r="BW69" s="294"/>
      <c r="BX69" s="294"/>
      <c r="BY69" s="294"/>
      <c r="BZ69" s="296"/>
      <c r="CA69" s="296"/>
      <c r="CB69" s="296"/>
      <c r="CC69" s="296"/>
      <c r="CD69" s="296"/>
      <c r="CE69" s="296"/>
      <c r="CF69" s="296"/>
      <c r="CG69" s="296"/>
    </row>
    <row r="70">
      <c r="B70" s="293" t="s">
        <v>605</v>
      </c>
      <c r="BQ70" s="293"/>
      <c r="BR70" s="293"/>
      <c r="BS70" s="293"/>
      <c r="BT70" s="293"/>
      <c r="BU70" s="293"/>
      <c r="BV70" s="294"/>
      <c r="BW70" s="294"/>
      <c r="BX70" s="294"/>
      <c r="BY70" s="294"/>
      <c r="BZ70" s="295"/>
      <c r="CA70" s="295"/>
      <c r="CB70" s="295"/>
      <c r="CC70" s="295"/>
      <c r="CD70" s="295"/>
      <c r="CE70" s="295"/>
      <c r="CF70" s="295"/>
      <c r="CG70" s="295"/>
    </row>
    <row r="71">
      <c r="B71" s="293" t="s">
        <v>606</v>
      </c>
      <c r="BQ71" s="293"/>
      <c r="BR71" s="293"/>
      <c r="BS71" s="293"/>
      <c r="BT71" s="293"/>
      <c r="BU71" s="293"/>
      <c r="BV71" s="294"/>
      <c r="BW71" s="294"/>
      <c r="BX71" s="294"/>
      <c r="BY71" s="294"/>
      <c r="BZ71" s="296"/>
      <c r="CA71" s="296"/>
      <c r="CB71" s="296"/>
      <c r="CC71" s="296"/>
      <c r="CD71" s="296"/>
      <c r="CE71" s="296"/>
      <c r="CF71" s="296"/>
      <c r="CG71" s="296"/>
    </row>
    <row r="72">
      <c r="A72" s="292" t="s">
        <v>607</v>
      </c>
      <c r="B72" s="293" t="s">
        <v>608</v>
      </c>
      <c r="BQ72" s="293"/>
      <c r="BR72" s="293"/>
      <c r="BS72" s="293"/>
      <c r="BT72" s="293"/>
      <c r="BU72" s="293"/>
      <c r="BV72" s="294"/>
      <c r="BW72" s="294"/>
      <c r="BX72" s="294"/>
      <c r="BY72" s="294"/>
      <c r="BZ72" s="295"/>
      <c r="CA72" s="295"/>
      <c r="CB72" s="295"/>
      <c r="CC72" s="295"/>
      <c r="CD72" s="295"/>
      <c r="CE72" s="295"/>
      <c r="CF72" s="295"/>
      <c r="CG72" s="295"/>
    </row>
    <row r="73">
      <c r="A73" s="292" t="s">
        <v>609</v>
      </c>
      <c r="B73" s="293" t="s">
        <v>610</v>
      </c>
      <c r="BQ73" s="293"/>
      <c r="BR73" s="293"/>
      <c r="BS73" s="293"/>
      <c r="BT73" s="293"/>
      <c r="BU73" s="293"/>
      <c r="BV73" s="294"/>
      <c r="BW73" s="294"/>
      <c r="BX73" s="294"/>
      <c r="BY73" s="294"/>
      <c r="BZ73" s="296"/>
      <c r="CA73" s="296"/>
      <c r="CB73" s="296"/>
      <c r="CC73" s="296"/>
      <c r="CD73" s="296"/>
      <c r="CE73" s="296"/>
      <c r="CF73" s="296"/>
      <c r="CG73" s="296"/>
    </row>
    <row r="74">
      <c r="B74" s="293" t="s">
        <v>611</v>
      </c>
      <c r="BV74" s="294"/>
      <c r="BW74" s="294"/>
      <c r="BX74" s="294"/>
      <c r="BY74" s="294"/>
      <c r="BZ74" s="295"/>
      <c r="CA74" s="295"/>
      <c r="CB74" s="295"/>
      <c r="CC74" s="295"/>
      <c r="CD74" s="295"/>
      <c r="CE74" s="295"/>
      <c r="CF74" s="295"/>
      <c r="CG74" s="295"/>
    </row>
    <row r="75">
      <c r="B75" s="293" t="s">
        <v>612</v>
      </c>
      <c r="BQ75" s="293"/>
      <c r="BR75" s="293"/>
      <c r="BS75" s="293"/>
      <c r="BT75" s="293"/>
      <c r="BU75" s="293"/>
      <c r="BV75" s="294"/>
      <c r="BW75" s="294"/>
      <c r="BX75" s="294"/>
      <c r="BY75" s="294"/>
      <c r="BZ75" s="296"/>
      <c r="CA75" s="296"/>
      <c r="CB75" s="296"/>
      <c r="CC75" s="296"/>
      <c r="CD75" s="296"/>
      <c r="CE75" s="296"/>
      <c r="CF75" s="296"/>
      <c r="CG75" s="296"/>
    </row>
    <row r="76">
      <c r="A76" s="292" t="s">
        <v>257</v>
      </c>
      <c r="B76" s="293" t="s">
        <v>613</v>
      </c>
      <c r="BV76" s="294"/>
      <c r="BW76" s="294"/>
      <c r="BX76" s="294"/>
      <c r="BY76" s="294"/>
      <c r="BZ76" s="295"/>
      <c r="CA76" s="295"/>
      <c r="CB76" s="295"/>
      <c r="CC76" s="295"/>
      <c r="CD76" s="295"/>
      <c r="CE76" s="295"/>
      <c r="CF76" s="295"/>
      <c r="CG76" s="295"/>
    </row>
    <row r="77">
      <c r="A77" s="292" t="s">
        <v>614</v>
      </c>
      <c r="B77" s="293" t="s">
        <v>615</v>
      </c>
      <c r="BQ77" s="293"/>
      <c r="BR77" s="293"/>
      <c r="BS77" s="293"/>
      <c r="BT77" s="293"/>
      <c r="BU77" s="293"/>
      <c r="BV77" s="294"/>
      <c r="BW77" s="294"/>
      <c r="BX77" s="294"/>
      <c r="BY77" s="294"/>
      <c r="BZ77" s="296"/>
      <c r="CA77" s="296"/>
      <c r="CB77" s="296"/>
      <c r="CC77" s="296"/>
      <c r="CD77" s="296"/>
      <c r="CE77" s="296"/>
      <c r="CF77" s="296"/>
      <c r="CG77" s="296"/>
    </row>
    <row r="78">
      <c r="B78" s="293" t="s">
        <v>616</v>
      </c>
      <c r="BQ78" s="293"/>
      <c r="BR78" s="293"/>
      <c r="BS78" s="293"/>
      <c r="BT78" s="293"/>
      <c r="BU78" s="293"/>
      <c r="BV78" s="294"/>
      <c r="BW78" s="294"/>
      <c r="BX78" s="294"/>
      <c r="BY78" s="294"/>
      <c r="BZ78" s="295"/>
      <c r="CA78" s="295"/>
      <c r="CB78" s="295"/>
      <c r="CC78" s="295"/>
      <c r="CD78" s="295"/>
      <c r="CE78" s="295"/>
      <c r="CF78" s="295"/>
      <c r="CG78" s="295"/>
    </row>
    <row r="79">
      <c r="A79" s="292" t="s">
        <v>617</v>
      </c>
      <c r="B79" s="293" t="s">
        <v>618</v>
      </c>
      <c r="BQ79" s="293"/>
      <c r="BR79" s="293"/>
      <c r="BS79" s="293"/>
      <c r="BT79" s="293"/>
      <c r="BU79" s="293"/>
      <c r="BV79" s="294"/>
      <c r="BW79" s="294"/>
      <c r="BX79" s="294"/>
      <c r="BY79" s="294"/>
      <c r="BZ79" s="296"/>
      <c r="CA79" s="296"/>
      <c r="CB79" s="296"/>
      <c r="CC79" s="296"/>
      <c r="CD79" s="296"/>
      <c r="CE79" s="296"/>
      <c r="CF79" s="296"/>
      <c r="CG79" s="296"/>
    </row>
    <row r="80">
      <c r="B80" s="293" t="s">
        <v>619</v>
      </c>
      <c r="BQ80" s="293"/>
      <c r="BR80" s="293"/>
      <c r="BS80" s="293"/>
      <c r="BT80" s="293"/>
      <c r="BU80" s="293"/>
      <c r="BV80" s="294"/>
      <c r="BW80" s="294"/>
      <c r="BX80" s="294"/>
      <c r="BY80" s="294"/>
      <c r="BZ80" s="295"/>
      <c r="CA80" s="295"/>
      <c r="CB80" s="295"/>
      <c r="CC80" s="295"/>
      <c r="CD80" s="295"/>
      <c r="CE80" s="295"/>
      <c r="CF80" s="295"/>
      <c r="CG80" s="295"/>
    </row>
    <row r="81">
      <c r="B81" s="293" t="s">
        <v>620</v>
      </c>
      <c r="BQ81" s="293"/>
      <c r="BR81" s="293"/>
      <c r="BS81" s="293"/>
      <c r="BT81" s="293"/>
      <c r="BU81" s="293"/>
      <c r="BV81" s="294"/>
      <c r="BW81" s="294"/>
      <c r="BX81" s="294"/>
      <c r="BY81" s="294"/>
      <c r="BZ81" s="296"/>
      <c r="CA81" s="296"/>
      <c r="CB81" s="296"/>
      <c r="CC81" s="296"/>
      <c r="CD81" s="296"/>
      <c r="CE81" s="296"/>
      <c r="CF81" s="296"/>
      <c r="CG81" s="296"/>
    </row>
    <row r="82">
      <c r="B82" s="293" t="s">
        <v>621</v>
      </c>
      <c r="BQ82" s="293"/>
      <c r="BR82" s="293"/>
      <c r="BS82" s="293"/>
      <c r="BT82" s="293"/>
      <c r="BU82" s="293"/>
      <c r="BV82" s="294"/>
      <c r="BW82" s="294"/>
      <c r="BX82" s="294"/>
      <c r="BY82" s="294"/>
      <c r="BZ82" s="295"/>
      <c r="CA82" s="295"/>
      <c r="CB82" s="295"/>
      <c r="CC82" s="295"/>
      <c r="CD82" s="295"/>
      <c r="CE82" s="295"/>
      <c r="CF82" s="295"/>
      <c r="CG82" s="295"/>
    </row>
    <row r="83">
      <c r="A83" s="294" t="s">
        <v>622</v>
      </c>
      <c r="B83" s="297" t="s">
        <v>623</v>
      </c>
      <c r="BV83" s="294"/>
      <c r="BW83" s="294"/>
      <c r="BX83" s="294"/>
      <c r="BY83" s="294"/>
      <c r="BZ83" s="296"/>
      <c r="CA83" s="296"/>
      <c r="CB83" s="296"/>
      <c r="CC83" s="296"/>
      <c r="CD83" s="296"/>
      <c r="CE83" s="296"/>
      <c r="CF83" s="296"/>
      <c r="CG83" s="296"/>
    </row>
    <row r="84">
      <c r="A84" s="294" t="s">
        <v>624</v>
      </c>
      <c r="B84" s="294" t="s">
        <v>625</v>
      </c>
      <c r="BZ84" s="295"/>
      <c r="CA84" s="295"/>
      <c r="CB84" s="295"/>
      <c r="CC84" s="295"/>
      <c r="CD84" s="295"/>
      <c r="CE84" s="295"/>
      <c r="CF84" s="295"/>
      <c r="CG84" s="295"/>
    </row>
    <row r="85">
      <c r="A85" s="294" t="s">
        <v>626</v>
      </c>
      <c r="B85" s="294" t="s">
        <v>627</v>
      </c>
      <c r="BZ85" s="296"/>
      <c r="CA85" s="296"/>
      <c r="CB85" s="296"/>
      <c r="CC85" s="296"/>
      <c r="CD85" s="296"/>
      <c r="CE85" s="296"/>
      <c r="CF85" s="296"/>
      <c r="CG85" s="296"/>
    </row>
    <row r="86">
      <c r="A86" s="292" t="s">
        <v>628</v>
      </c>
      <c r="B86" s="293" t="s">
        <v>629</v>
      </c>
      <c r="BV86" s="294"/>
      <c r="BW86" s="294"/>
      <c r="BX86" s="294"/>
      <c r="BY86" s="294"/>
      <c r="BZ86" s="295"/>
      <c r="CA86" s="295"/>
      <c r="CB86" s="295"/>
      <c r="CC86" s="295"/>
      <c r="CD86" s="295"/>
      <c r="CE86" s="295"/>
      <c r="CF86" s="295"/>
      <c r="CG86" s="295"/>
    </row>
    <row r="87">
      <c r="A87" s="292" t="s">
        <v>630</v>
      </c>
      <c r="B87" s="293" t="s">
        <v>631</v>
      </c>
      <c r="BV87" s="294"/>
      <c r="BW87" s="294"/>
      <c r="BX87" s="294"/>
      <c r="BY87" s="294"/>
      <c r="BZ87" s="296"/>
      <c r="CA87" s="296"/>
      <c r="CB87" s="296"/>
      <c r="CC87" s="296"/>
      <c r="CD87" s="296"/>
      <c r="CE87" s="296"/>
      <c r="CF87" s="296"/>
      <c r="CG87" s="296"/>
    </row>
    <row r="88">
      <c r="A88" s="292" t="s">
        <v>632</v>
      </c>
      <c r="B88" s="293" t="s">
        <v>633</v>
      </c>
      <c r="BV88" s="294"/>
      <c r="BW88" s="294"/>
      <c r="BX88" s="294"/>
      <c r="BY88" s="294"/>
      <c r="BZ88" s="295"/>
      <c r="CA88" s="295"/>
      <c r="CB88" s="295"/>
      <c r="CC88" s="295"/>
      <c r="CD88" s="295"/>
      <c r="CE88" s="295"/>
      <c r="CF88" s="295"/>
      <c r="CG88" s="295"/>
    </row>
    <row r="89">
      <c r="A89" s="292" t="s">
        <v>634</v>
      </c>
      <c r="B89" s="293" t="s">
        <v>635</v>
      </c>
      <c r="BV89" s="294"/>
      <c r="BW89" s="294"/>
      <c r="BX89" s="294"/>
      <c r="BY89" s="294"/>
      <c r="BZ89" s="296"/>
      <c r="CA89" s="296"/>
      <c r="CB89" s="296"/>
      <c r="CC89" s="296"/>
      <c r="CD89" s="296"/>
      <c r="CE89" s="296"/>
      <c r="CF89" s="296"/>
      <c r="CG89" s="296"/>
    </row>
    <row r="90">
      <c r="A90" s="292" t="s">
        <v>262</v>
      </c>
      <c r="B90" s="293" t="s">
        <v>610</v>
      </c>
      <c r="BQ90" s="293"/>
      <c r="BR90" s="293"/>
      <c r="BS90" s="293"/>
      <c r="BT90" s="293"/>
      <c r="BU90" s="293"/>
      <c r="BV90" s="294"/>
      <c r="BW90" s="294"/>
      <c r="BX90" s="294"/>
      <c r="BY90" s="294"/>
      <c r="BZ90" s="295"/>
      <c r="CA90" s="295"/>
      <c r="CB90" s="295"/>
      <c r="CC90" s="295"/>
      <c r="CD90" s="295"/>
      <c r="CE90" s="295"/>
      <c r="CF90" s="295"/>
      <c r="CG90" s="295"/>
    </row>
    <row r="91">
      <c r="B91" s="293" t="s">
        <v>636</v>
      </c>
      <c r="BV91" s="294"/>
      <c r="BW91" s="294"/>
      <c r="BX91" s="294"/>
      <c r="BY91" s="294"/>
      <c r="BZ91" s="296"/>
      <c r="CA91" s="296"/>
      <c r="CB91" s="296"/>
      <c r="CC91" s="296"/>
      <c r="CD91" s="296"/>
      <c r="CE91" s="296"/>
      <c r="CF91" s="296"/>
      <c r="CG91" s="296"/>
    </row>
    <row r="92">
      <c r="B92" s="293" t="s">
        <v>637</v>
      </c>
      <c r="BQ92" s="293"/>
      <c r="BR92" s="293"/>
      <c r="BS92" s="293"/>
      <c r="BT92" s="293"/>
      <c r="BU92" s="293"/>
      <c r="BV92" s="294"/>
      <c r="BW92" s="294"/>
      <c r="BX92" s="294"/>
      <c r="BY92" s="294"/>
      <c r="BZ92" s="295"/>
      <c r="CA92" s="295"/>
      <c r="CB92" s="295"/>
      <c r="CC92" s="295"/>
      <c r="CD92" s="295"/>
      <c r="CE92" s="295"/>
      <c r="CF92" s="295"/>
      <c r="CG92" s="295"/>
    </row>
    <row r="93">
      <c r="A93" s="292" t="s">
        <v>638</v>
      </c>
      <c r="B93" s="293" t="s">
        <v>639</v>
      </c>
      <c r="BQ93" s="293"/>
      <c r="BR93" s="293"/>
      <c r="BS93" s="293"/>
      <c r="BT93" s="293"/>
      <c r="BU93" s="293"/>
      <c r="BV93" s="294"/>
      <c r="BW93" s="294"/>
      <c r="BX93" s="294"/>
      <c r="BY93" s="294"/>
      <c r="BZ93" s="296"/>
      <c r="CA93" s="296"/>
      <c r="CB93" s="296"/>
      <c r="CC93" s="296"/>
      <c r="CD93" s="296"/>
      <c r="CE93" s="296"/>
      <c r="CF93" s="296"/>
      <c r="CG93" s="296"/>
    </row>
    <row r="94">
      <c r="A94" s="292" t="s">
        <v>270</v>
      </c>
      <c r="B94" s="293" t="s">
        <v>640</v>
      </c>
      <c r="BV94" s="294"/>
      <c r="BW94" s="294"/>
      <c r="BX94" s="294"/>
      <c r="BY94" s="294"/>
      <c r="BZ94" s="295"/>
      <c r="CA94" s="295"/>
      <c r="CB94" s="295"/>
      <c r="CC94" s="295"/>
      <c r="CD94" s="295"/>
      <c r="CE94" s="295"/>
      <c r="CF94" s="295"/>
      <c r="CG94" s="295"/>
    </row>
    <row r="95">
      <c r="A95" s="292" t="s">
        <v>272</v>
      </c>
      <c r="B95" s="293" t="s">
        <v>641</v>
      </c>
      <c r="BV95" s="294"/>
      <c r="BW95" s="294"/>
      <c r="BX95" s="294"/>
      <c r="BY95" s="294"/>
      <c r="BZ95" s="296"/>
      <c r="CA95" s="296"/>
      <c r="CB95" s="296"/>
      <c r="CC95" s="296"/>
      <c r="CD95" s="296"/>
      <c r="CE95" s="296"/>
      <c r="CF95" s="296"/>
      <c r="CG95" s="296"/>
    </row>
    <row r="96">
      <c r="A96" s="292" t="s">
        <v>642</v>
      </c>
      <c r="B96" s="293" t="s">
        <v>643</v>
      </c>
      <c r="BV96" s="294"/>
      <c r="BW96" s="294"/>
      <c r="BX96" s="294"/>
      <c r="BY96" s="294"/>
      <c r="BZ96" s="295"/>
      <c r="CA96" s="295"/>
      <c r="CB96" s="295"/>
      <c r="CC96" s="295"/>
      <c r="CD96" s="295"/>
      <c r="CE96" s="295"/>
      <c r="CF96" s="295"/>
      <c r="CG96" s="295"/>
    </row>
    <row r="97">
      <c r="B97" s="293" t="s">
        <v>644</v>
      </c>
      <c r="BV97" s="294"/>
      <c r="BW97" s="294"/>
      <c r="BX97" s="294"/>
      <c r="BY97" s="294"/>
      <c r="BZ97" s="296"/>
      <c r="CA97" s="296"/>
      <c r="CB97" s="296"/>
      <c r="CC97" s="296"/>
      <c r="CD97" s="296"/>
      <c r="CE97" s="296"/>
      <c r="CF97" s="296"/>
      <c r="CG97" s="296"/>
    </row>
    <row r="98">
      <c r="B98" s="293" t="s">
        <v>645</v>
      </c>
      <c r="BV98" s="294"/>
      <c r="BW98" s="294"/>
      <c r="BX98" s="294"/>
      <c r="BY98" s="294"/>
      <c r="BZ98" s="295"/>
      <c r="CA98" s="295"/>
      <c r="CB98" s="295"/>
      <c r="CC98" s="295"/>
      <c r="CD98" s="295"/>
      <c r="CE98" s="295"/>
      <c r="CF98" s="295"/>
      <c r="CG98" s="295"/>
    </row>
    <row r="99">
      <c r="B99" s="293" t="s">
        <v>646</v>
      </c>
      <c r="BQ99" s="293"/>
      <c r="BR99" s="293"/>
      <c r="BS99" s="293"/>
      <c r="BT99" s="293"/>
      <c r="BU99" s="293"/>
      <c r="BV99" s="294"/>
      <c r="BW99" s="294"/>
      <c r="BX99" s="294"/>
      <c r="BY99" s="294"/>
      <c r="BZ99" s="296"/>
      <c r="CA99" s="296"/>
      <c r="CB99" s="296"/>
      <c r="CC99" s="296"/>
      <c r="CD99" s="296"/>
      <c r="CE99" s="296"/>
      <c r="CF99" s="296"/>
      <c r="CG99" s="296"/>
    </row>
    <row r="100">
      <c r="A100" s="292" t="s">
        <v>647</v>
      </c>
      <c r="B100" s="293" t="s">
        <v>648</v>
      </c>
      <c r="BV100" s="294"/>
      <c r="BW100" s="294"/>
      <c r="BX100" s="294"/>
      <c r="BY100" s="294"/>
      <c r="BZ100" s="295"/>
      <c r="CA100" s="295"/>
      <c r="CB100" s="295"/>
      <c r="CC100" s="295"/>
      <c r="CD100" s="295"/>
      <c r="CE100" s="295"/>
      <c r="CF100" s="295"/>
      <c r="CG100" s="295"/>
    </row>
    <row r="101">
      <c r="A101" s="292" t="s">
        <v>649</v>
      </c>
      <c r="B101" s="293" t="s">
        <v>650</v>
      </c>
      <c r="BV101" s="294"/>
      <c r="BW101" s="294"/>
      <c r="BX101" s="294"/>
      <c r="BY101" s="294"/>
      <c r="BZ101" s="296"/>
      <c r="CA101" s="296"/>
      <c r="CB101" s="296"/>
      <c r="CC101" s="296"/>
      <c r="CD101" s="296"/>
      <c r="CE101" s="296"/>
      <c r="CF101" s="296"/>
      <c r="CG101" s="296"/>
    </row>
    <row r="102">
      <c r="A102" s="292" t="s">
        <v>281</v>
      </c>
      <c r="B102" s="293" t="s">
        <v>648</v>
      </c>
      <c r="BV102" s="294"/>
      <c r="BW102" s="294"/>
      <c r="BX102" s="294"/>
      <c r="BY102" s="294"/>
      <c r="BZ102" s="295"/>
      <c r="CA102" s="295"/>
      <c r="CB102" s="295"/>
      <c r="CC102" s="295"/>
      <c r="CD102" s="295"/>
      <c r="CE102" s="295"/>
      <c r="CF102" s="295"/>
      <c r="CG102" s="295"/>
    </row>
    <row r="103">
      <c r="A103" s="298" t="s">
        <v>281</v>
      </c>
      <c r="B103" s="299" t="s">
        <v>651</v>
      </c>
      <c r="BZ103" s="232"/>
      <c r="CA103" s="232"/>
      <c r="CB103" s="232"/>
      <c r="CC103" s="232"/>
      <c r="CD103" s="232"/>
      <c r="CE103" s="232"/>
      <c r="CF103" s="232"/>
      <c r="CG103" s="232"/>
    </row>
    <row r="104">
      <c r="A104" s="292" t="s">
        <v>652</v>
      </c>
      <c r="B104" s="293" t="s">
        <v>653</v>
      </c>
      <c r="BV104" s="294"/>
      <c r="BW104" s="294"/>
      <c r="BX104" s="294"/>
      <c r="BY104" s="294"/>
      <c r="BZ104" s="295"/>
      <c r="CA104" s="295"/>
      <c r="CB104" s="295"/>
      <c r="CC104" s="295"/>
      <c r="CD104" s="295"/>
      <c r="CE104" s="295"/>
      <c r="CF104" s="295"/>
      <c r="CG104" s="295"/>
    </row>
    <row r="105">
      <c r="A105" s="292" t="s">
        <v>654</v>
      </c>
      <c r="B105" s="293" t="s">
        <v>655</v>
      </c>
      <c r="BV105" s="294"/>
      <c r="BW105" s="294"/>
      <c r="BX105" s="294"/>
      <c r="BY105" s="294"/>
      <c r="BZ105" s="296"/>
      <c r="CA105" s="296"/>
      <c r="CB105" s="296"/>
      <c r="CC105" s="296"/>
      <c r="CD105" s="296"/>
      <c r="CE105" s="296"/>
      <c r="CF105" s="296"/>
      <c r="CG105" s="296"/>
    </row>
    <row r="106">
      <c r="A106" s="292" t="s">
        <v>656</v>
      </c>
      <c r="B106" s="293" t="s">
        <v>657</v>
      </c>
      <c r="BV106" s="294"/>
      <c r="BW106" s="294"/>
      <c r="BX106" s="294"/>
      <c r="BY106" s="294"/>
      <c r="BZ106" s="295"/>
      <c r="CA106" s="295"/>
      <c r="CB106" s="295"/>
      <c r="CC106" s="295"/>
      <c r="CD106" s="295"/>
      <c r="CE106" s="295"/>
      <c r="CF106" s="295"/>
      <c r="CG106" s="295"/>
    </row>
    <row r="107">
      <c r="B107" s="293" t="s">
        <v>658</v>
      </c>
      <c r="BV107" s="294"/>
      <c r="BW107" s="294"/>
      <c r="BX107" s="294"/>
      <c r="BY107" s="294"/>
      <c r="BZ107" s="296"/>
      <c r="CA107" s="296"/>
      <c r="CB107" s="296"/>
      <c r="CC107" s="296"/>
      <c r="CD107" s="296"/>
      <c r="CE107" s="296"/>
      <c r="CF107" s="296"/>
      <c r="CG107" s="296"/>
    </row>
    <row r="108">
      <c r="B108" s="293" t="s">
        <v>659</v>
      </c>
      <c r="BQ108" s="293"/>
      <c r="BR108" s="293"/>
      <c r="BS108" s="293"/>
      <c r="BT108" s="293"/>
      <c r="BU108" s="293"/>
      <c r="BV108" s="294"/>
      <c r="BW108" s="294"/>
      <c r="BX108" s="294"/>
      <c r="BY108" s="294"/>
      <c r="BZ108" s="295"/>
      <c r="CA108" s="295"/>
      <c r="CB108" s="295"/>
      <c r="CC108" s="295"/>
      <c r="CD108" s="295"/>
      <c r="CE108" s="295"/>
      <c r="CF108" s="295"/>
      <c r="CG108" s="295"/>
    </row>
    <row r="109">
      <c r="A109" s="292" t="s">
        <v>660</v>
      </c>
      <c r="B109" s="293" t="s">
        <v>661</v>
      </c>
      <c r="BV109" s="294"/>
      <c r="BW109" s="294"/>
      <c r="BX109" s="294"/>
      <c r="BY109" s="294"/>
      <c r="BZ109" s="296"/>
      <c r="CA109" s="296"/>
      <c r="CB109" s="296"/>
      <c r="CC109" s="296"/>
      <c r="CD109" s="296"/>
      <c r="CE109" s="296"/>
      <c r="CF109" s="296"/>
      <c r="CG109" s="296"/>
    </row>
    <row r="110">
      <c r="A110" s="292" t="s">
        <v>283</v>
      </c>
      <c r="B110" s="293" t="s">
        <v>662</v>
      </c>
      <c r="BV110" s="294"/>
      <c r="BW110" s="294"/>
      <c r="BX110" s="294"/>
      <c r="BY110" s="294"/>
      <c r="BZ110" s="295"/>
      <c r="CA110" s="295"/>
      <c r="CB110" s="295"/>
      <c r="CC110" s="295"/>
      <c r="CD110" s="295"/>
      <c r="CE110" s="295"/>
      <c r="CF110" s="295"/>
      <c r="CG110" s="295"/>
    </row>
    <row r="111">
      <c r="A111" s="292" t="s">
        <v>663</v>
      </c>
      <c r="B111" s="293" t="s">
        <v>664</v>
      </c>
      <c r="BQ111" s="293"/>
      <c r="BR111" s="293"/>
      <c r="BS111" s="293"/>
      <c r="BT111" s="293"/>
      <c r="BU111" s="293"/>
      <c r="BV111" s="294"/>
      <c r="BW111" s="294"/>
      <c r="BX111" s="294"/>
      <c r="BY111" s="294"/>
      <c r="BZ111" s="296"/>
      <c r="CA111" s="296"/>
      <c r="CB111" s="296"/>
      <c r="CC111" s="296"/>
      <c r="CD111" s="296"/>
      <c r="CE111" s="296"/>
      <c r="CF111" s="296"/>
      <c r="CG111" s="296"/>
    </row>
    <row r="112">
      <c r="A112" s="292" t="s">
        <v>665</v>
      </c>
      <c r="B112" s="293" t="s">
        <v>666</v>
      </c>
      <c r="BV112" s="294"/>
      <c r="BW112" s="294"/>
      <c r="BX112" s="294"/>
      <c r="BY112" s="294"/>
      <c r="BZ112" s="295"/>
      <c r="CA112" s="295"/>
      <c r="CB112" s="295"/>
      <c r="CC112" s="295"/>
      <c r="CD112" s="295"/>
      <c r="CE112" s="295"/>
      <c r="CF112" s="295"/>
      <c r="CG112" s="295"/>
    </row>
    <row r="113">
      <c r="B113" s="293" t="s">
        <v>667</v>
      </c>
      <c r="BV113" s="294"/>
      <c r="BW113" s="294"/>
      <c r="BX113" s="294"/>
      <c r="BY113" s="294"/>
      <c r="BZ113" s="296"/>
      <c r="CA113" s="296"/>
      <c r="CB113" s="296"/>
      <c r="CC113" s="296"/>
      <c r="CD113" s="296"/>
      <c r="CE113" s="296"/>
      <c r="CF113" s="296"/>
      <c r="CG113" s="296"/>
    </row>
    <row r="114">
      <c r="B114" s="293" t="s">
        <v>668</v>
      </c>
      <c r="BQ114" s="293"/>
      <c r="BR114" s="293"/>
      <c r="BS114" s="293"/>
      <c r="BT114" s="293"/>
      <c r="BU114" s="293"/>
      <c r="BV114" s="294"/>
      <c r="BW114" s="294"/>
      <c r="BX114" s="294"/>
      <c r="BY114" s="294"/>
      <c r="BZ114" s="295"/>
      <c r="CA114" s="295"/>
      <c r="CB114" s="295"/>
      <c r="CC114" s="295"/>
      <c r="CD114" s="295"/>
      <c r="CE114" s="295"/>
      <c r="CF114" s="295"/>
      <c r="CG114" s="295"/>
    </row>
    <row r="115">
      <c r="A115" s="292" t="s">
        <v>669</v>
      </c>
      <c r="B115" s="293" t="s">
        <v>670</v>
      </c>
      <c r="BV115" s="294"/>
      <c r="BW115" s="294"/>
      <c r="BX115" s="294"/>
      <c r="BY115" s="294"/>
      <c r="BZ115" s="296"/>
      <c r="CA115" s="296"/>
      <c r="CB115" s="296"/>
      <c r="CC115" s="296"/>
      <c r="CD115" s="296"/>
      <c r="CE115" s="296"/>
      <c r="CF115" s="296"/>
      <c r="CG115" s="296"/>
    </row>
    <row r="116">
      <c r="A116" s="292" t="s">
        <v>671</v>
      </c>
      <c r="B116" s="293" t="s">
        <v>672</v>
      </c>
      <c r="BQ116" s="293"/>
      <c r="BR116" s="293"/>
      <c r="BS116" s="293"/>
      <c r="BT116" s="293"/>
      <c r="BU116" s="293"/>
      <c r="BV116" s="294"/>
      <c r="BW116" s="294"/>
      <c r="BX116" s="294"/>
      <c r="BY116" s="294"/>
      <c r="BZ116" s="295"/>
      <c r="CA116" s="295"/>
      <c r="CB116" s="295"/>
      <c r="CC116" s="295"/>
      <c r="CD116" s="295"/>
      <c r="CE116" s="295"/>
      <c r="CF116" s="295"/>
      <c r="CG116" s="295"/>
    </row>
    <row r="117">
      <c r="A117" s="292" t="s">
        <v>673</v>
      </c>
      <c r="B117" s="293" t="s">
        <v>674</v>
      </c>
      <c r="BQ117" s="293"/>
      <c r="BR117" s="293"/>
      <c r="BS117" s="293"/>
      <c r="BT117" s="293"/>
      <c r="BU117" s="293"/>
      <c r="BV117" s="294"/>
      <c r="BW117" s="294"/>
      <c r="BX117" s="294"/>
      <c r="BY117" s="294"/>
      <c r="BZ117" s="296"/>
      <c r="CA117" s="296"/>
      <c r="CB117" s="296"/>
      <c r="CC117" s="296"/>
      <c r="CD117" s="296"/>
      <c r="CE117" s="296"/>
      <c r="CF117" s="296"/>
      <c r="CG117" s="296"/>
    </row>
    <row r="118">
      <c r="A118" s="292" t="s">
        <v>675</v>
      </c>
      <c r="B118" s="293" t="s">
        <v>676</v>
      </c>
      <c r="BV118" s="294"/>
      <c r="BW118" s="294"/>
      <c r="BX118" s="294"/>
      <c r="BY118" s="294"/>
      <c r="BZ118" s="295"/>
      <c r="CA118" s="295"/>
      <c r="CB118" s="295"/>
      <c r="CC118" s="295"/>
      <c r="CD118" s="295"/>
      <c r="CE118" s="295"/>
      <c r="CF118" s="295"/>
      <c r="CG118" s="295"/>
    </row>
    <row r="119">
      <c r="A119" s="294" t="s">
        <v>677</v>
      </c>
      <c r="B119" s="294" t="s">
        <v>678</v>
      </c>
      <c r="BZ119" s="296"/>
      <c r="CA119" s="296"/>
      <c r="CB119" s="296"/>
      <c r="CC119" s="296"/>
      <c r="CD119" s="296"/>
      <c r="CE119" s="296"/>
      <c r="CF119" s="296"/>
      <c r="CG119" s="296"/>
    </row>
    <row r="120">
      <c r="A120" s="294" t="s">
        <v>679</v>
      </c>
      <c r="B120" s="294" t="s">
        <v>680</v>
      </c>
      <c r="BZ120" s="295"/>
      <c r="CA120" s="295"/>
      <c r="CB120" s="295"/>
      <c r="CC120" s="295"/>
      <c r="CD120" s="295"/>
      <c r="CE120" s="295"/>
      <c r="CF120" s="295"/>
      <c r="CG120" s="295"/>
    </row>
    <row r="121">
      <c r="A121" s="292" t="s">
        <v>681</v>
      </c>
      <c r="B121" s="293" t="s">
        <v>682</v>
      </c>
      <c r="BV121" s="294"/>
      <c r="BW121" s="294"/>
      <c r="BX121" s="294"/>
      <c r="BY121" s="294"/>
      <c r="BZ121" s="296"/>
      <c r="CA121" s="296"/>
      <c r="CB121" s="296"/>
      <c r="CC121" s="296"/>
      <c r="CD121" s="296"/>
      <c r="CE121" s="296"/>
      <c r="CF121" s="296"/>
      <c r="CG121" s="296"/>
    </row>
    <row r="122">
      <c r="A122" s="294" t="s">
        <v>683</v>
      </c>
      <c r="B122" s="294" t="s">
        <v>684</v>
      </c>
      <c r="BZ122" s="295"/>
      <c r="CA122" s="295"/>
      <c r="CB122" s="295"/>
      <c r="CC122" s="295"/>
      <c r="CD122" s="295"/>
      <c r="CE122" s="295"/>
      <c r="CF122" s="295"/>
      <c r="CG122" s="295"/>
    </row>
    <row r="123">
      <c r="A123" s="298" t="s">
        <v>685</v>
      </c>
      <c r="B123" s="299" t="s">
        <v>686</v>
      </c>
      <c r="BZ123" s="232"/>
      <c r="CA123" s="232"/>
      <c r="CB123" s="232"/>
      <c r="CC123" s="232"/>
      <c r="CD123" s="232"/>
      <c r="CE123" s="232"/>
      <c r="CF123" s="232"/>
      <c r="CG123" s="232"/>
    </row>
    <row r="124">
      <c r="A124" s="292" t="s">
        <v>687</v>
      </c>
      <c r="B124" s="293" t="s">
        <v>688</v>
      </c>
      <c r="BV124" s="294"/>
      <c r="BW124" s="294"/>
      <c r="BX124" s="294"/>
      <c r="BY124" s="294"/>
      <c r="BZ124" s="295"/>
      <c r="CA124" s="295"/>
      <c r="CB124" s="295"/>
      <c r="CC124" s="295"/>
      <c r="CD124" s="295"/>
      <c r="CE124" s="295"/>
      <c r="CF124" s="295"/>
      <c r="CG124" s="295"/>
    </row>
    <row r="125">
      <c r="A125" s="294" t="s">
        <v>689</v>
      </c>
      <c r="B125" s="294" t="s">
        <v>690</v>
      </c>
      <c r="BZ125" s="296"/>
      <c r="CA125" s="296"/>
      <c r="CB125" s="296"/>
      <c r="CC125" s="296"/>
      <c r="CD125" s="296"/>
      <c r="CE125" s="296"/>
      <c r="CF125" s="296"/>
      <c r="CG125" s="296"/>
    </row>
    <row r="126">
      <c r="A126" s="294" t="s">
        <v>691</v>
      </c>
      <c r="B126" s="294" t="s">
        <v>680</v>
      </c>
      <c r="BZ126" s="295"/>
      <c r="CA126" s="295"/>
      <c r="CB126" s="295"/>
      <c r="CC126" s="295"/>
      <c r="CD126" s="295"/>
      <c r="CE126" s="295"/>
      <c r="CF126" s="295"/>
      <c r="CG126" s="295"/>
    </row>
    <row r="127">
      <c r="A127" s="300" t="s">
        <v>692</v>
      </c>
      <c r="B127" s="301" t="s">
        <v>693</v>
      </c>
      <c r="BY127" s="294"/>
      <c r="BZ127" s="296"/>
      <c r="CA127" s="296"/>
      <c r="CB127" s="296"/>
      <c r="CC127" s="296"/>
      <c r="CD127" s="296"/>
      <c r="CE127" s="296"/>
      <c r="CF127" s="296"/>
      <c r="CG127" s="296"/>
    </row>
    <row r="128">
      <c r="A128" s="292" t="s">
        <v>694</v>
      </c>
      <c r="B128" s="293" t="s">
        <v>695</v>
      </c>
      <c r="BV128" s="294"/>
      <c r="BW128" s="294"/>
      <c r="BX128" s="294"/>
      <c r="BY128" s="294"/>
      <c r="BZ128" s="295"/>
      <c r="CA128" s="295"/>
      <c r="CB128" s="295"/>
      <c r="CC128" s="295"/>
      <c r="CD128" s="295"/>
      <c r="CE128" s="295"/>
      <c r="CF128" s="295"/>
      <c r="CG128" s="295"/>
    </row>
    <row r="129">
      <c r="A129" s="294" t="s">
        <v>696</v>
      </c>
      <c r="B129" s="294" t="s">
        <v>680</v>
      </c>
      <c r="BZ129" s="296"/>
      <c r="CA129" s="296"/>
      <c r="CB129" s="296"/>
      <c r="CC129" s="296"/>
      <c r="CD129" s="296"/>
      <c r="CE129" s="296"/>
      <c r="CF129" s="296"/>
      <c r="CG129" s="296"/>
    </row>
    <row r="130">
      <c r="A130" s="292" t="s">
        <v>307</v>
      </c>
      <c r="B130" s="293" t="s">
        <v>697</v>
      </c>
      <c r="BV130" s="294"/>
      <c r="BW130" s="294"/>
      <c r="BX130" s="294"/>
      <c r="BY130" s="294"/>
      <c r="BZ130" s="295"/>
      <c r="CA130" s="295"/>
      <c r="CB130" s="295"/>
      <c r="CC130" s="295"/>
      <c r="CD130" s="295"/>
      <c r="CE130" s="295"/>
      <c r="CF130" s="295"/>
      <c r="CG130" s="295"/>
    </row>
    <row r="131">
      <c r="A131" s="294" t="s">
        <v>698</v>
      </c>
      <c r="B131" s="294" t="s">
        <v>699</v>
      </c>
      <c r="BZ131" s="296"/>
      <c r="CA131" s="296"/>
      <c r="CB131" s="296"/>
      <c r="CC131" s="296"/>
      <c r="CD131" s="296"/>
      <c r="CE131" s="296"/>
      <c r="CF131" s="296"/>
      <c r="CG131" s="296"/>
    </row>
    <row r="132">
      <c r="A132" s="292" t="s">
        <v>700</v>
      </c>
      <c r="B132" s="293" t="s">
        <v>701</v>
      </c>
      <c r="BV132" s="294"/>
      <c r="BW132" s="294"/>
      <c r="BX132" s="294"/>
      <c r="BY132" s="294"/>
      <c r="BZ132" s="295"/>
      <c r="CA132" s="295"/>
      <c r="CB132" s="295"/>
      <c r="CC132" s="295"/>
      <c r="CD132" s="295"/>
      <c r="CE132" s="295"/>
      <c r="CF132" s="295"/>
      <c r="CG132" s="295"/>
    </row>
    <row r="133">
      <c r="A133" s="294" t="s">
        <v>702</v>
      </c>
      <c r="B133" s="294" t="s">
        <v>703</v>
      </c>
      <c r="BZ133" s="296"/>
      <c r="CA133" s="296"/>
      <c r="CB133" s="296"/>
      <c r="CC133" s="296"/>
      <c r="CD133" s="296"/>
      <c r="CE133" s="296"/>
      <c r="CF133" s="296"/>
      <c r="CG133" s="296"/>
    </row>
    <row r="134">
      <c r="A134" s="300" t="s">
        <v>704</v>
      </c>
      <c r="B134" s="301" t="s">
        <v>705</v>
      </c>
      <c r="BY134" s="294"/>
      <c r="BZ134" s="295"/>
      <c r="CA134" s="295"/>
      <c r="CB134" s="295"/>
      <c r="CC134" s="295"/>
      <c r="CD134" s="295"/>
      <c r="CE134" s="295"/>
      <c r="CF134" s="295"/>
      <c r="CG134" s="295"/>
    </row>
    <row r="135">
      <c r="A135" s="300" t="s">
        <v>706</v>
      </c>
      <c r="B135" s="301" t="s">
        <v>707</v>
      </c>
      <c r="BY135" s="294"/>
      <c r="BZ135" s="296"/>
      <c r="CA135" s="296"/>
      <c r="CB135" s="296"/>
      <c r="CC135" s="296"/>
      <c r="CD135" s="296"/>
      <c r="CE135" s="296"/>
      <c r="CF135" s="296"/>
      <c r="CG135" s="296"/>
    </row>
    <row r="136">
      <c r="A136" s="292" t="s">
        <v>708</v>
      </c>
      <c r="B136" s="293" t="s">
        <v>709</v>
      </c>
      <c r="BY136" s="294"/>
      <c r="BZ136" s="295"/>
      <c r="CA136" s="295"/>
      <c r="CB136" s="295"/>
      <c r="CC136" s="295"/>
      <c r="CD136" s="295"/>
      <c r="CE136" s="295"/>
      <c r="CF136" s="295"/>
      <c r="CG136" s="295"/>
    </row>
    <row r="137">
      <c r="A137" s="294" t="s">
        <v>710</v>
      </c>
      <c r="B137" s="294" t="s">
        <v>711</v>
      </c>
      <c r="BZ137" s="296"/>
      <c r="CA137" s="296"/>
      <c r="CB137" s="296"/>
      <c r="CC137" s="296"/>
      <c r="CD137" s="296"/>
      <c r="CE137" s="296"/>
      <c r="CF137" s="296"/>
      <c r="CG137" s="296"/>
    </row>
    <row r="138">
      <c r="A138" s="294" t="s">
        <v>712</v>
      </c>
      <c r="B138" s="294" t="s">
        <v>713</v>
      </c>
      <c r="BZ138" s="295"/>
      <c r="CA138" s="295"/>
      <c r="CB138" s="295"/>
      <c r="CC138" s="295"/>
      <c r="CD138" s="295"/>
      <c r="CE138" s="295"/>
      <c r="CF138" s="295"/>
      <c r="CG138" s="295"/>
    </row>
    <row r="139">
      <c r="A139" s="300" t="s">
        <v>714</v>
      </c>
      <c r="B139" s="301" t="s">
        <v>715</v>
      </c>
      <c r="BY139" s="294"/>
      <c r="BZ139" s="296"/>
      <c r="CA139" s="296"/>
      <c r="CB139" s="296"/>
      <c r="CC139" s="296"/>
      <c r="CD139" s="296"/>
      <c r="CE139" s="296"/>
      <c r="CF139" s="296"/>
      <c r="CG139" s="296"/>
    </row>
    <row r="140">
      <c r="A140" s="292" t="s">
        <v>716</v>
      </c>
      <c r="B140" s="293" t="s">
        <v>717</v>
      </c>
      <c r="BV140" s="294"/>
      <c r="BW140" s="294"/>
      <c r="BX140" s="294"/>
      <c r="BY140" s="294"/>
      <c r="BZ140" s="295"/>
      <c r="CA140" s="295"/>
      <c r="CB140" s="295"/>
      <c r="CC140" s="295"/>
      <c r="CD140" s="295"/>
      <c r="CE140" s="295"/>
      <c r="CF140" s="295"/>
      <c r="CG140" s="295"/>
    </row>
    <row r="141">
      <c r="A141" s="300" t="s">
        <v>716</v>
      </c>
      <c r="B141" s="301" t="s">
        <v>718</v>
      </c>
      <c r="BY141" s="294"/>
      <c r="BZ141" s="296"/>
      <c r="CA141" s="296"/>
      <c r="CB141" s="296"/>
      <c r="CC141" s="296"/>
      <c r="CD141" s="296"/>
      <c r="CE141" s="296"/>
      <c r="CF141" s="296"/>
      <c r="CG141" s="296"/>
    </row>
    <row r="142">
      <c r="B142" s="301" t="s">
        <v>719</v>
      </c>
      <c r="BY142" s="294"/>
      <c r="BZ142" s="295"/>
      <c r="CA142" s="295"/>
      <c r="CB142" s="295"/>
      <c r="CC142" s="295"/>
      <c r="CD142" s="295"/>
      <c r="CE142" s="295"/>
      <c r="CF142" s="295"/>
      <c r="CG142" s="295"/>
    </row>
    <row r="143">
      <c r="A143" s="294" t="s">
        <v>720</v>
      </c>
      <c r="B143" s="294" t="s">
        <v>713</v>
      </c>
      <c r="BZ143" s="296"/>
      <c r="CA143" s="296"/>
      <c r="CB143" s="296"/>
      <c r="CC143" s="296"/>
      <c r="CD143" s="296"/>
      <c r="CE143" s="296"/>
      <c r="CF143" s="296"/>
      <c r="CG143" s="296"/>
    </row>
    <row r="144">
      <c r="A144" s="300" t="s">
        <v>721</v>
      </c>
      <c r="B144" s="301" t="s">
        <v>247</v>
      </c>
      <c r="BQ144" s="294"/>
      <c r="BR144" s="294"/>
      <c r="BS144" s="294"/>
      <c r="BT144" s="294"/>
      <c r="BU144" s="294"/>
      <c r="BV144" s="294"/>
      <c r="BW144" s="294"/>
      <c r="BX144" s="294"/>
      <c r="BY144" s="294"/>
      <c r="BZ144" s="295"/>
      <c r="CA144" s="295"/>
      <c r="CB144" s="295"/>
      <c r="CC144" s="295"/>
      <c r="CD144" s="295"/>
      <c r="CE144" s="295"/>
      <c r="CF144" s="295"/>
      <c r="CG144" s="295"/>
    </row>
    <row r="145">
      <c r="A145" s="292" t="s">
        <v>721</v>
      </c>
      <c r="B145" s="293" t="s">
        <v>722</v>
      </c>
      <c r="BV145" s="294"/>
      <c r="BW145" s="294"/>
      <c r="BX145" s="294"/>
      <c r="BY145" s="294"/>
      <c r="BZ145" s="296"/>
      <c r="CA145" s="296"/>
      <c r="CB145" s="296"/>
      <c r="CC145" s="296"/>
      <c r="CD145" s="296"/>
      <c r="CE145" s="296"/>
      <c r="CF145" s="296"/>
      <c r="CG145" s="296"/>
    </row>
    <row r="146">
      <c r="A146" s="292" t="s">
        <v>337</v>
      </c>
      <c r="B146" s="293" t="s">
        <v>723</v>
      </c>
      <c r="BV146" s="294"/>
      <c r="BW146" s="294"/>
      <c r="BX146" s="294"/>
      <c r="BY146" s="294"/>
      <c r="BZ146" s="295"/>
      <c r="CA146" s="295"/>
      <c r="CB146" s="295"/>
      <c r="CC146" s="295"/>
      <c r="CD146" s="295"/>
      <c r="CE146" s="295"/>
      <c r="CF146" s="295"/>
      <c r="CG146" s="295"/>
    </row>
    <row r="147">
      <c r="A147" s="292" t="s">
        <v>339</v>
      </c>
      <c r="B147" s="293" t="s">
        <v>724</v>
      </c>
      <c r="BV147" s="294"/>
      <c r="BW147" s="294"/>
      <c r="BX147" s="294"/>
      <c r="BY147" s="294"/>
      <c r="BZ147" s="296"/>
      <c r="CA147" s="296"/>
      <c r="CB147" s="296"/>
      <c r="CC147" s="296"/>
      <c r="CD147" s="296"/>
      <c r="CE147" s="296"/>
      <c r="CF147" s="296"/>
      <c r="CG147" s="296"/>
    </row>
    <row r="148">
      <c r="A148" s="294" t="s">
        <v>725</v>
      </c>
      <c r="B148" s="294" t="s">
        <v>713</v>
      </c>
      <c r="BZ148" s="295"/>
      <c r="CA148" s="295"/>
      <c r="CB148" s="295"/>
      <c r="CC148" s="295"/>
      <c r="CD148" s="295"/>
      <c r="CE148" s="295"/>
      <c r="CF148" s="295"/>
      <c r="CG148" s="295"/>
    </row>
    <row r="149">
      <c r="A149" s="298" t="s">
        <v>726</v>
      </c>
      <c r="B149" s="299" t="s">
        <v>727</v>
      </c>
      <c r="BZ149" s="232"/>
      <c r="CA149" s="232"/>
      <c r="CB149" s="232"/>
      <c r="CC149" s="232"/>
      <c r="CD149" s="232"/>
      <c r="CE149" s="232"/>
      <c r="CF149" s="232"/>
      <c r="CG149" s="232"/>
    </row>
    <row r="150">
      <c r="A150" s="294" t="s">
        <v>728</v>
      </c>
      <c r="B150" s="294" t="s">
        <v>713</v>
      </c>
      <c r="BZ150" s="295"/>
      <c r="CA150" s="295"/>
      <c r="CB150" s="295"/>
      <c r="CC150" s="295"/>
      <c r="CD150" s="295"/>
      <c r="CE150" s="295"/>
      <c r="CF150" s="295"/>
      <c r="CG150" s="295"/>
    </row>
    <row r="151">
      <c r="A151" s="292" t="s">
        <v>729</v>
      </c>
      <c r="B151" s="293" t="s">
        <v>730</v>
      </c>
      <c r="BQ151" s="293"/>
      <c r="BR151" s="293"/>
      <c r="BS151" s="293"/>
      <c r="BT151" s="293"/>
      <c r="BU151" s="293"/>
      <c r="BV151" s="294"/>
      <c r="BW151" s="294"/>
      <c r="BX151" s="294"/>
      <c r="BY151" s="294"/>
      <c r="BZ151" s="296"/>
      <c r="CA151" s="296"/>
      <c r="CB151" s="296"/>
      <c r="CC151" s="296"/>
      <c r="CD151" s="296"/>
      <c r="CE151" s="296"/>
      <c r="CF151" s="296"/>
      <c r="CG151" s="296"/>
    </row>
    <row r="152">
      <c r="A152" s="292" t="s">
        <v>353</v>
      </c>
      <c r="B152" s="293" t="s">
        <v>731</v>
      </c>
      <c r="BV152" s="294"/>
      <c r="BW152" s="294"/>
      <c r="BX152" s="294"/>
      <c r="BY152" s="294"/>
      <c r="BZ152" s="295"/>
      <c r="CA152" s="295"/>
      <c r="CB152" s="295"/>
      <c r="CC152" s="295"/>
      <c r="CD152" s="295"/>
      <c r="CE152" s="295"/>
      <c r="CF152" s="295"/>
      <c r="CG152" s="295"/>
    </row>
    <row r="153">
      <c r="A153" s="294" t="s">
        <v>732</v>
      </c>
      <c r="B153" s="294" t="s">
        <v>713</v>
      </c>
      <c r="BZ153" s="296"/>
      <c r="CA153" s="296"/>
      <c r="CB153" s="296"/>
      <c r="CC153" s="296"/>
      <c r="CD153" s="296"/>
      <c r="CE153" s="296"/>
      <c r="CF153" s="296"/>
      <c r="CG153" s="296"/>
    </row>
    <row r="154">
      <c r="A154" s="292" t="s">
        <v>733</v>
      </c>
      <c r="B154" s="293" t="s">
        <v>734</v>
      </c>
      <c r="BV154" s="294"/>
      <c r="BW154" s="294"/>
      <c r="BX154" s="294"/>
      <c r="BY154" s="294"/>
      <c r="BZ154" s="295"/>
      <c r="CA154" s="295"/>
      <c r="CB154" s="295"/>
      <c r="CC154" s="295"/>
      <c r="CD154" s="295"/>
      <c r="CE154" s="295"/>
      <c r="CF154" s="295"/>
      <c r="CG154" s="295"/>
    </row>
    <row r="155">
      <c r="A155" s="300" t="s">
        <v>735</v>
      </c>
      <c r="B155" s="301" t="s">
        <v>736</v>
      </c>
      <c r="BQ155" s="294"/>
      <c r="BR155" s="294"/>
      <c r="BS155" s="294"/>
      <c r="BT155" s="294"/>
      <c r="BU155" s="294"/>
      <c r="BV155" s="294"/>
      <c r="BW155" s="294"/>
      <c r="BX155" s="294"/>
      <c r="BY155" s="294"/>
      <c r="BZ155" s="296"/>
      <c r="CA155" s="296"/>
      <c r="CB155" s="296"/>
      <c r="CC155" s="296"/>
      <c r="CD155" s="296"/>
      <c r="CE155" s="296"/>
      <c r="CF155" s="296"/>
      <c r="CG155" s="296"/>
    </row>
    <row r="156">
      <c r="A156" s="292" t="s">
        <v>735</v>
      </c>
      <c r="B156" s="293" t="s">
        <v>737</v>
      </c>
      <c r="BQ156" s="293"/>
      <c r="BR156" s="293"/>
      <c r="BS156" s="293"/>
      <c r="BT156" s="293"/>
      <c r="BU156" s="293"/>
      <c r="BV156" s="294"/>
      <c r="BW156" s="294"/>
      <c r="BX156" s="294"/>
      <c r="BY156" s="294"/>
      <c r="BZ156" s="295"/>
      <c r="CA156" s="295"/>
      <c r="CB156" s="295"/>
      <c r="CC156" s="295"/>
      <c r="CD156" s="295"/>
      <c r="CE156" s="295"/>
      <c r="CF156" s="295"/>
      <c r="CG156" s="295"/>
    </row>
    <row r="157">
      <c r="A157" s="292" t="s">
        <v>738</v>
      </c>
      <c r="B157" s="293" t="s">
        <v>739</v>
      </c>
      <c r="BV157" s="294"/>
      <c r="BW157" s="294"/>
      <c r="BX157" s="294"/>
      <c r="BY157" s="294"/>
      <c r="BZ157" s="296"/>
      <c r="CA157" s="296"/>
      <c r="CB157" s="296"/>
      <c r="CC157" s="296"/>
      <c r="CD157" s="296"/>
      <c r="CE157" s="296"/>
      <c r="CF157" s="296"/>
      <c r="CG157" s="296"/>
    </row>
    <row r="158">
      <c r="A158" s="292" t="s">
        <v>740</v>
      </c>
      <c r="B158" s="293" t="s">
        <v>741</v>
      </c>
      <c r="BQ158" s="294"/>
      <c r="BR158" s="294"/>
      <c r="BS158" s="294"/>
      <c r="BT158" s="294"/>
      <c r="BU158" s="294"/>
      <c r="BV158" s="294"/>
      <c r="BW158" s="294"/>
      <c r="BX158" s="294"/>
      <c r="BY158" s="294"/>
      <c r="BZ158" s="295"/>
      <c r="CA158" s="295"/>
      <c r="CB158" s="295"/>
      <c r="CC158" s="295"/>
      <c r="CD158" s="295"/>
      <c r="CE158" s="295"/>
      <c r="CF158" s="295"/>
      <c r="CG158" s="295"/>
    </row>
    <row r="159">
      <c r="B159" s="293" t="s">
        <v>742</v>
      </c>
      <c r="BQ159" s="294"/>
      <c r="BR159" s="294"/>
      <c r="BS159" s="294"/>
      <c r="BT159" s="294"/>
      <c r="BU159" s="294"/>
      <c r="BV159" s="294"/>
      <c r="BW159" s="294"/>
      <c r="BX159" s="294"/>
      <c r="BY159" s="294"/>
      <c r="BZ159" s="296"/>
      <c r="CA159" s="296"/>
      <c r="CB159" s="296"/>
      <c r="CC159" s="296"/>
      <c r="CD159" s="296"/>
      <c r="CE159" s="296"/>
      <c r="CF159" s="296"/>
      <c r="CG159" s="296"/>
    </row>
    <row r="160">
      <c r="A160" s="294" t="s">
        <v>743</v>
      </c>
      <c r="B160" s="294" t="s">
        <v>713</v>
      </c>
      <c r="BZ160" s="295"/>
      <c r="CA160" s="295"/>
      <c r="CB160" s="295"/>
      <c r="CC160" s="295"/>
      <c r="CD160" s="295"/>
      <c r="CE160" s="295"/>
      <c r="CF160" s="295"/>
      <c r="CG160" s="295"/>
    </row>
    <row r="161">
      <c r="A161" s="292" t="s">
        <v>364</v>
      </c>
      <c r="B161" s="293" t="s">
        <v>650</v>
      </c>
      <c r="BV161" s="294"/>
      <c r="BW161" s="294"/>
      <c r="BX161" s="294"/>
      <c r="BY161" s="294"/>
      <c r="BZ161" s="296"/>
      <c r="CA161" s="296"/>
      <c r="CB161" s="296"/>
      <c r="CC161" s="296"/>
      <c r="CD161" s="296"/>
      <c r="CE161" s="296"/>
      <c r="CF161" s="296"/>
      <c r="CG161" s="296"/>
    </row>
    <row r="162">
      <c r="A162" s="300" t="s">
        <v>367</v>
      </c>
      <c r="B162" s="301" t="s">
        <v>736</v>
      </c>
      <c r="BQ162" s="294"/>
      <c r="BR162" s="294"/>
      <c r="BS162" s="294"/>
      <c r="BT162" s="294"/>
      <c r="BU162" s="294"/>
      <c r="BV162" s="294"/>
      <c r="BW162" s="294"/>
      <c r="BX162" s="294"/>
      <c r="BY162" s="294"/>
      <c r="BZ162" s="295"/>
      <c r="CA162" s="295"/>
      <c r="CB162" s="295"/>
      <c r="CC162" s="295"/>
      <c r="CD162" s="295"/>
      <c r="CE162" s="295"/>
      <c r="CF162" s="295"/>
      <c r="CG162" s="295"/>
    </row>
    <row r="163">
      <c r="A163" s="292" t="s">
        <v>367</v>
      </c>
      <c r="B163" s="293" t="s">
        <v>744</v>
      </c>
      <c r="BV163" s="294"/>
      <c r="BW163" s="294"/>
      <c r="BX163" s="294"/>
      <c r="BY163" s="294"/>
      <c r="BZ163" s="296"/>
      <c r="CA163" s="296"/>
      <c r="CB163" s="296"/>
      <c r="CC163" s="296"/>
      <c r="CD163" s="296"/>
      <c r="CE163" s="296"/>
      <c r="CF163" s="296"/>
      <c r="CG163" s="296"/>
    </row>
    <row r="164">
      <c r="A164" s="292" t="s">
        <v>745</v>
      </c>
      <c r="B164" s="293" t="s">
        <v>746</v>
      </c>
      <c r="BV164" s="294"/>
      <c r="BW164" s="294"/>
      <c r="BX164" s="294"/>
      <c r="BY164" s="294"/>
      <c r="BZ164" s="295"/>
      <c r="CA164" s="295"/>
      <c r="CB164" s="295"/>
      <c r="CC164" s="295"/>
      <c r="CD164" s="295"/>
      <c r="CE164" s="295"/>
      <c r="CF164" s="295"/>
      <c r="CG164" s="295"/>
    </row>
    <row r="165">
      <c r="A165" s="292" t="s">
        <v>747</v>
      </c>
      <c r="B165" s="293" t="s">
        <v>748</v>
      </c>
      <c r="BQ165" s="294"/>
      <c r="BR165" s="294"/>
      <c r="BS165" s="294"/>
      <c r="BT165" s="294"/>
      <c r="BU165" s="294"/>
      <c r="BV165" s="294"/>
      <c r="BW165" s="294"/>
      <c r="BX165" s="294"/>
      <c r="BY165" s="294"/>
      <c r="BZ165" s="296"/>
      <c r="CA165" s="296"/>
      <c r="CB165" s="296"/>
      <c r="CC165" s="296"/>
      <c r="CD165" s="296"/>
      <c r="CE165" s="296"/>
      <c r="CF165" s="296"/>
      <c r="CG165" s="296"/>
    </row>
    <row r="166">
      <c r="B166" s="293" t="s">
        <v>749</v>
      </c>
      <c r="BQ166" s="294"/>
      <c r="BR166" s="294"/>
      <c r="BS166" s="294"/>
      <c r="BT166" s="294"/>
      <c r="BU166" s="294"/>
      <c r="BV166" s="294"/>
      <c r="BW166" s="294"/>
      <c r="BX166" s="294"/>
      <c r="BY166" s="294"/>
      <c r="BZ166" s="295"/>
      <c r="CA166" s="295"/>
      <c r="CB166" s="295"/>
      <c r="CC166" s="295"/>
      <c r="CD166" s="295"/>
      <c r="CE166" s="295"/>
      <c r="CF166" s="295"/>
      <c r="CG166" s="295"/>
    </row>
    <row r="167">
      <c r="B167" s="293" t="s">
        <v>750</v>
      </c>
      <c r="BQ167" s="294"/>
      <c r="BR167" s="294"/>
      <c r="BS167" s="294"/>
      <c r="BT167" s="294"/>
      <c r="BU167" s="294"/>
      <c r="BV167" s="294"/>
      <c r="BW167" s="294"/>
      <c r="BX167" s="294"/>
      <c r="BY167" s="294"/>
      <c r="BZ167" s="296"/>
      <c r="CA167" s="296"/>
      <c r="CB167" s="296"/>
      <c r="CC167" s="296"/>
      <c r="CD167" s="296"/>
      <c r="CE167" s="296"/>
      <c r="CF167" s="296"/>
      <c r="CG167" s="296"/>
    </row>
    <row r="168">
      <c r="A168" s="294" t="s">
        <v>751</v>
      </c>
      <c r="B168" s="294" t="s">
        <v>752</v>
      </c>
      <c r="BZ168" s="295"/>
      <c r="CA168" s="295"/>
      <c r="CB168" s="295"/>
      <c r="CC168" s="295"/>
      <c r="CD168" s="295"/>
      <c r="CE168" s="295"/>
      <c r="CF168" s="295"/>
      <c r="CG168" s="295"/>
    </row>
    <row r="169">
      <c r="A169" s="292" t="s">
        <v>373</v>
      </c>
      <c r="B169" s="293" t="s">
        <v>753</v>
      </c>
      <c r="BQ169" s="293"/>
      <c r="BR169" s="293"/>
      <c r="BS169" s="293"/>
      <c r="BT169" s="293"/>
      <c r="BU169" s="293"/>
      <c r="BV169" s="294"/>
      <c r="BW169" s="294"/>
      <c r="BX169" s="294"/>
      <c r="BY169" s="294"/>
      <c r="BZ169" s="296"/>
      <c r="CA169" s="296"/>
      <c r="CB169" s="296"/>
      <c r="CC169" s="296"/>
      <c r="CD169" s="296"/>
      <c r="CE169" s="296"/>
      <c r="CF169" s="296"/>
      <c r="CG169" s="296"/>
    </row>
    <row r="170">
      <c r="A170" s="292" t="s">
        <v>754</v>
      </c>
      <c r="B170" s="293" t="s">
        <v>755</v>
      </c>
      <c r="BQ170" s="293"/>
      <c r="BR170" s="293"/>
      <c r="BS170" s="293"/>
      <c r="BT170" s="293"/>
      <c r="BU170" s="293"/>
      <c r="BV170" s="294"/>
      <c r="BW170" s="294"/>
      <c r="BX170" s="294"/>
      <c r="BY170" s="294"/>
      <c r="BZ170" s="295"/>
      <c r="CA170" s="295"/>
      <c r="CB170" s="295"/>
      <c r="CC170" s="295"/>
      <c r="CD170" s="295"/>
      <c r="CE170" s="295"/>
      <c r="CF170" s="295"/>
      <c r="CG170" s="295"/>
    </row>
    <row r="171">
      <c r="A171" s="292" t="s">
        <v>756</v>
      </c>
      <c r="B171" s="293" t="s">
        <v>757</v>
      </c>
      <c r="BV171" s="294"/>
      <c r="BW171" s="294"/>
      <c r="BX171" s="294"/>
      <c r="BY171" s="294"/>
      <c r="BZ171" s="296"/>
      <c r="CA171" s="296"/>
      <c r="CB171" s="296"/>
      <c r="CC171" s="296"/>
      <c r="CD171" s="296"/>
      <c r="CE171" s="296"/>
      <c r="CF171" s="296"/>
      <c r="CG171" s="296"/>
    </row>
    <row r="172">
      <c r="A172" s="300" t="s">
        <v>376</v>
      </c>
      <c r="B172" s="301" t="s">
        <v>736</v>
      </c>
      <c r="BQ172" s="294"/>
      <c r="BR172" s="294"/>
      <c r="BS172" s="294"/>
      <c r="BT172" s="294"/>
      <c r="BU172" s="294"/>
      <c r="BV172" s="294"/>
      <c r="BW172" s="294"/>
      <c r="BX172" s="294"/>
      <c r="BY172" s="294"/>
      <c r="BZ172" s="295"/>
      <c r="CA172" s="295"/>
      <c r="CB172" s="295"/>
      <c r="CC172" s="295"/>
      <c r="CD172" s="295"/>
      <c r="CE172" s="295"/>
      <c r="CF172" s="295"/>
      <c r="CG172" s="295"/>
    </row>
    <row r="173">
      <c r="A173" s="292" t="s">
        <v>376</v>
      </c>
      <c r="B173" s="293" t="s">
        <v>758</v>
      </c>
      <c r="BQ173" s="294"/>
      <c r="BR173" s="294"/>
      <c r="BS173" s="294"/>
      <c r="BT173" s="294"/>
      <c r="BU173" s="294"/>
      <c r="BV173" s="294"/>
      <c r="BW173" s="294"/>
      <c r="BX173" s="294"/>
      <c r="BY173" s="294"/>
      <c r="BZ173" s="296"/>
      <c r="CA173" s="296"/>
      <c r="CB173" s="296"/>
      <c r="CC173" s="296"/>
      <c r="CD173" s="296"/>
      <c r="CE173" s="296"/>
      <c r="CF173" s="296"/>
      <c r="CG173" s="296"/>
    </row>
    <row r="174">
      <c r="B174" s="293" t="s">
        <v>759</v>
      </c>
      <c r="BQ174" s="294"/>
      <c r="BR174" s="294"/>
      <c r="BS174" s="294"/>
      <c r="BT174" s="294"/>
      <c r="BU174" s="294"/>
      <c r="BV174" s="294"/>
      <c r="BW174" s="294"/>
      <c r="BX174" s="294"/>
      <c r="BY174" s="294"/>
      <c r="BZ174" s="295"/>
      <c r="CA174" s="295"/>
      <c r="CB174" s="295"/>
      <c r="CC174" s="295"/>
      <c r="CD174" s="295"/>
      <c r="CE174" s="295"/>
      <c r="CF174" s="295"/>
      <c r="CG174" s="295"/>
    </row>
    <row r="175">
      <c r="B175" s="293" t="s">
        <v>760</v>
      </c>
      <c r="BQ175" s="294"/>
      <c r="BR175" s="294"/>
      <c r="BS175" s="294"/>
      <c r="BT175" s="294"/>
      <c r="BU175" s="294"/>
      <c r="BV175" s="294"/>
      <c r="BW175" s="294"/>
      <c r="BX175" s="294"/>
      <c r="BY175" s="294"/>
      <c r="BZ175" s="296"/>
      <c r="CA175" s="296"/>
      <c r="CB175" s="296"/>
      <c r="CC175" s="296"/>
      <c r="CD175" s="296"/>
      <c r="CE175" s="296"/>
      <c r="CF175" s="296"/>
      <c r="CG175" s="296"/>
    </row>
    <row r="176">
      <c r="A176" s="294" t="s">
        <v>761</v>
      </c>
      <c r="B176" s="294" t="s">
        <v>762</v>
      </c>
      <c r="BZ176" s="295"/>
      <c r="CA176" s="295"/>
      <c r="CB176" s="295"/>
      <c r="CC176" s="295"/>
      <c r="CD176" s="295"/>
      <c r="CE176" s="295"/>
      <c r="CF176" s="295"/>
      <c r="CG176" s="295"/>
    </row>
    <row r="177">
      <c r="A177" s="292" t="s">
        <v>378</v>
      </c>
      <c r="B177" s="293" t="s">
        <v>763</v>
      </c>
      <c r="BQ177" s="294"/>
      <c r="BR177" s="294"/>
      <c r="BS177" s="294"/>
      <c r="BT177" s="294"/>
      <c r="BU177" s="294"/>
      <c r="BV177" s="294"/>
      <c r="BW177" s="294"/>
      <c r="BX177" s="294"/>
      <c r="BY177" s="294"/>
      <c r="BZ177" s="296"/>
      <c r="CA177" s="296"/>
      <c r="CB177" s="296"/>
      <c r="CC177" s="296"/>
      <c r="CD177" s="296"/>
      <c r="CE177" s="296"/>
      <c r="CF177" s="296"/>
      <c r="CG177" s="296"/>
    </row>
    <row r="178">
      <c r="A178" s="292" t="s">
        <v>764</v>
      </c>
      <c r="B178" s="293" t="s">
        <v>765</v>
      </c>
      <c r="BQ178" s="294"/>
      <c r="BR178" s="294"/>
      <c r="BS178" s="294"/>
      <c r="BT178" s="294"/>
      <c r="BU178" s="294"/>
      <c r="BV178" s="294"/>
      <c r="BW178" s="294"/>
      <c r="BX178" s="294"/>
      <c r="BY178" s="294"/>
      <c r="BZ178" s="295"/>
      <c r="CA178" s="295"/>
      <c r="CB178" s="295"/>
      <c r="CC178" s="295"/>
      <c r="CD178" s="295"/>
      <c r="CE178" s="295"/>
      <c r="CF178" s="295"/>
      <c r="CG178" s="295"/>
    </row>
    <row r="179">
      <c r="A179" s="300" t="s">
        <v>381</v>
      </c>
      <c r="B179" s="301" t="s">
        <v>766</v>
      </c>
      <c r="BQ179" s="294"/>
      <c r="BR179" s="294"/>
      <c r="BS179" s="294"/>
      <c r="BT179" s="294"/>
      <c r="BU179" s="294"/>
      <c r="BV179" s="294"/>
      <c r="BW179" s="294"/>
      <c r="BX179" s="294"/>
      <c r="BY179" s="294"/>
      <c r="BZ179" s="296"/>
      <c r="CA179" s="296"/>
      <c r="CB179" s="296"/>
      <c r="CC179" s="296"/>
      <c r="CD179" s="296"/>
      <c r="CE179" s="296"/>
      <c r="CF179" s="296"/>
      <c r="CG179" s="296"/>
    </row>
    <row r="180">
      <c r="A180" s="294" t="s">
        <v>767</v>
      </c>
      <c r="B180" s="294" t="s">
        <v>768</v>
      </c>
      <c r="BZ180" s="295"/>
      <c r="CA180" s="295"/>
      <c r="CB180" s="295"/>
      <c r="CC180" s="295"/>
      <c r="CD180" s="295"/>
      <c r="CE180" s="295"/>
      <c r="CF180" s="295"/>
      <c r="CG180" s="295"/>
    </row>
    <row r="181">
      <c r="A181" s="292" t="s">
        <v>769</v>
      </c>
      <c r="B181" s="293" t="s">
        <v>336</v>
      </c>
      <c r="BV181" s="294"/>
      <c r="BW181" s="294"/>
      <c r="BX181" s="294"/>
      <c r="BY181" s="294"/>
      <c r="BZ181" s="296"/>
      <c r="CA181" s="296"/>
      <c r="CB181" s="296"/>
      <c r="CC181" s="296"/>
      <c r="CD181" s="296"/>
      <c r="CE181" s="296"/>
      <c r="CF181" s="296"/>
      <c r="CG181" s="296"/>
    </row>
    <row r="182">
      <c r="A182" s="292" t="s">
        <v>770</v>
      </c>
      <c r="B182" s="293" t="s">
        <v>237</v>
      </c>
      <c r="BQ182" s="293"/>
      <c r="BR182" s="293"/>
      <c r="BS182" s="293"/>
      <c r="BT182" s="293"/>
      <c r="BU182" s="293"/>
      <c r="BV182" s="294"/>
      <c r="BW182" s="294"/>
      <c r="BX182" s="294"/>
      <c r="BY182" s="294"/>
      <c r="BZ182" s="295"/>
      <c r="CA182" s="295"/>
      <c r="CB182" s="295"/>
      <c r="CC182" s="295"/>
      <c r="CD182" s="295"/>
      <c r="CE182" s="295"/>
      <c r="CF182" s="295"/>
      <c r="CG182" s="295"/>
    </row>
    <row r="183">
      <c r="A183" s="292" t="s">
        <v>771</v>
      </c>
      <c r="B183" s="293" t="s">
        <v>772</v>
      </c>
      <c r="BV183" s="294"/>
      <c r="BW183" s="294"/>
      <c r="BX183" s="294"/>
      <c r="BY183" s="294"/>
      <c r="BZ183" s="296"/>
      <c r="CA183" s="296"/>
      <c r="CB183" s="296"/>
      <c r="CC183" s="296"/>
      <c r="CD183" s="296"/>
      <c r="CE183" s="296"/>
      <c r="CF183" s="296"/>
      <c r="CG183" s="296"/>
    </row>
    <row r="184">
      <c r="A184" s="292" t="s">
        <v>773</v>
      </c>
      <c r="B184" s="293" t="s">
        <v>774</v>
      </c>
      <c r="BQ184" s="293"/>
      <c r="BR184" s="293"/>
      <c r="BS184" s="293"/>
      <c r="BT184" s="293"/>
      <c r="BU184" s="293"/>
      <c r="BV184" s="294"/>
      <c r="BW184" s="294"/>
      <c r="BX184" s="294"/>
      <c r="BY184" s="294"/>
      <c r="BZ184" s="295"/>
      <c r="CA184" s="295"/>
      <c r="CB184" s="295"/>
      <c r="CC184" s="295"/>
      <c r="CD184" s="295"/>
      <c r="CE184" s="295"/>
      <c r="CF184" s="295"/>
      <c r="CG184" s="295"/>
    </row>
    <row r="185">
      <c r="B185" s="293" t="s">
        <v>775</v>
      </c>
      <c r="BQ185" s="293"/>
      <c r="BR185" s="293"/>
      <c r="BS185" s="293"/>
      <c r="BT185" s="293"/>
      <c r="BU185" s="293"/>
      <c r="BV185" s="294"/>
      <c r="BW185" s="294"/>
      <c r="BX185" s="294"/>
      <c r="BY185" s="294"/>
      <c r="BZ185" s="296"/>
      <c r="CA185" s="296"/>
      <c r="CB185" s="296"/>
      <c r="CC185" s="296"/>
      <c r="CD185" s="296"/>
      <c r="CE185" s="296"/>
      <c r="CF185" s="296"/>
      <c r="CG185" s="296"/>
    </row>
    <row r="186">
      <c r="A186" s="294" t="s">
        <v>776</v>
      </c>
      <c r="B186" s="294" t="s">
        <v>777</v>
      </c>
      <c r="BZ186" s="295"/>
      <c r="CA186" s="295"/>
      <c r="CB186" s="295"/>
      <c r="CC186" s="295"/>
      <c r="CD186" s="295"/>
      <c r="CE186" s="295"/>
      <c r="CF186" s="295"/>
      <c r="CG186" s="295"/>
    </row>
    <row r="187">
      <c r="A187" s="292" t="s">
        <v>778</v>
      </c>
      <c r="B187" s="293" t="s">
        <v>779</v>
      </c>
      <c r="BV187" s="294"/>
      <c r="BW187" s="294"/>
      <c r="BX187" s="294"/>
      <c r="BY187" s="294"/>
      <c r="BZ187" s="296"/>
      <c r="CA187" s="296"/>
      <c r="CB187" s="296"/>
      <c r="CC187" s="296"/>
      <c r="CD187" s="296"/>
      <c r="CE187" s="296"/>
      <c r="CF187" s="296"/>
      <c r="CG187" s="296"/>
    </row>
    <row r="188">
      <c r="A188" s="292" t="s">
        <v>780</v>
      </c>
      <c r="B188" s="293" t="s">
        <v>781</v>
      </c>
      <c r="BQ188" s="293"/>
      <c r="BR188" s="293"/>
      <c r="BS188" s="293"/>
      <c r="BT188" s="293"/>
      <c r="BU188" s="293"/>
      <c r="BV188" s="294"/>
      <c r="BW188" s="294"/>
      <c r="BX188" s="294"/>
      <c r="BY188" s="294"/>
      <c r="BZ188" s="295"/>
      <c r="CA188" s="295"/>
      <c r="CB188" s="295"/>
      <c r="CC188" s="295"/>
      <c r="CD188" s="295"/>
      <c r="CE188" s="295"/>
      <c r="CF188" s="295"/>
      <c r="CG188" s="295"/>
    </row>
    <row r="189">
      <c r="B189" s="293" t="s">
        <v>782</v>
      </c>
      <c r="BQ189" s="293"/>
      <c r="BR189" s="293"/>
      <c r="BS189" s="293"/>
      <c r="BT189" s="293"/>
      <c r="BU189" s="293"/>
      <c r="BV189" s="294"/>
      <c r="BW189" s="294"/>
      <c r="BX189" s="294"/>
      <c r="BY189" s="294"/>
      <c r="BZ189" s="296"/>
      <c r="CA189" s="296"/>
      <c r="CB189" s="296"/>
      <c r="CC189" s="296"/>
      <c r="CD189" s="296"/>
      <c r="CE189" s="296"/>
      <c r="CF189" s="296"/>
      <c r="CG189" s="296"/>
    </row>
    <row r="190">
      <c r="A190" s="292" t="s">
        <v>783</v>
      </c>
      <c r="B190" s="293" t="s">
        <v>784</v>
      </c>
      <c r="BV190" s="294"/>
      <c r="BW190" s="294"/>
      <c r="BX190" s="294"/>
      <c r="BY190" s="294"/>
      <c r="BZ190" s="295"/>
      <c r="CA190" s="295"/>
      <c r="CB190" s="295"/>
      <c r="CC190" s="295"/>
      <c r="CD190" s="295"/>
      <c r="CE190" s="295"/>
      <c r="CF190" s="295"/>
      <c r="CG190" s="295"/>
    </row>
    <row r="191">
      <c r="A191" s="292" t="s">
        <v>392</v>
      </c>
      <c r="B191" s="293" t="s">
        <v>785</v>
      </c>
      <c r="BV191" s="294"/>
      <c r="BW191" s="294"/>
      <c r="BX191" s="294"/>
      <c r="BY191" s="294"/>
      <c r="BZ191" s="296"/>
      <c r="CA191" s="296"/>
      <c r="CB191" s="296"/>
      <c r="CC191" s="296"/>
      <c r="CD191" s="296"/>
      <c r="CE191" s="296"/>
      <c r="CF191" s="296"/>
      <c r="CG191" s="296"/>
    </row>
    <row r="192">
      <c r="A192" s="292" t="s">
        <v>395</v>
      </c>
      <c r="B192" s="293" t="s">
        <v>786</v>
      </c>
      <c r="BV192" s="294"/>
      <c r="BW192" s="294"/>
      <c r="BX192" s="294"/>
      <c r="BY192" s="294"/>
      <c r="BZ192" s="295"/>
      <c r="CA192" s="295"/>
      <c r="CB192" s="295"/>
      <c r="CC192" s="295"/>
      <c r="CD192" s="295"/>
      <c r="CE192" s="295"/>
      <c r="CF192" s="295"/>
      <c r="CG192" s="295"/>
    </row>
    <row r="193">
      <c r="A193" s="294" t="s">
        <v>787</v>
      </c>
      <c r="B193" s="294" t="s">
        <v>788</v>
      </c>
      <c r="BZ193" s="296"/>
      <c r="CA193" s="296"/>
      <c r="CB193" s="296"/>
      <c r="CC193" s="296"/>
      <c r="CD193" s="296"/>
      <c r="CE193" s="296"/>
      <c r="CF193" s="296"/>
      <c r="CG193" s="296"/>
    </row>
    <row r="194">
      <c r="A194" s="292" t="s">
        <v>789</v>
      </c>
      <c r="B194" s="293" t="s">
        <v>790</v>
      </c>
      <c r="BQ194" s="293"/>
      <c r="BR194" s="293"/>
      <c r="BS194" s="293"/>
      <c r="BT194" s="293"/>
      <c r="BU194" s="293"/>
      <c r="BV194" s="301"/>
      <c r="BW194" s="301"/>
      <c r="BX194" s="301"/>
      <c r="BY194" s="302"/>
      <c r="BZ194" s="295"/>
      <c r="CA194" s="295"/>
      <c r="CB194" s="295"/>
      <c r="CC194" s="295"/>
      <c r="CD194" s="295"/>
      <c r="CE194" s="295"/>
      <c r="CF194" s="295"/>
      <c r="CG194" s="295"/>
    </row>
    <row r="195">
      <c r="B195" s="293" t="s">
        <v>791</v>
      </c>
      <c r="BQ195" s="293"/>
      <c r="BR195" s="293"/>
      <c r="BS195" s="293"/>
      <c r="BT195" s="293"/>
      <c r="BU195" s="293"/>
      <c r="BV195" s="301"/>
      <c r="BW195" s="301"/>
      <c r="BX195" s="301"/>
      <c r="BY195" s="302"/>
      <c r="BZ195" s="296"/>
      <c r="CA195" s="296"/>
      <c r="CB195" s="296"/>
      <c r="CC195" s="296"/>
      <c r="CD195" s="296"/>
      <c r="CE195" s="296"/>
      <c r="CF195" s="296"/>
      <c r="CG195" s="296"/>
    </row>
    <row r="196">
      <c r="B196" s="293" t="s">
        <v>792</v>
      </c>
      <c r="BQ196" s="293"/>
      <c r="BR196" s="293"/>
      <c r="BS196" s="293"/>
      <c r="BT196" s="293"/>
      <c r="BU196" s="293"/>
      <c r="BV196" s="301"/>
      <c r="BW196" s="301"/>
      <c r="BX196" s="301"/>
      <c r="BY196" s="302"/>
      <c r="BZ196" s="295"/>
      <c r="CA196" s="295"/>
      <c r="CB196" s="295"/>
      <c r="CC196" s="295"/>
      <c r="CD196" s="295"/>
      <c r="CE196" s="295"/>
      <c r="CF196" s="295"/>
      <c r="CG196" s="295"/>
    </row>
    <row r="197">
      <c r="A197" s="292" t="s">
        <v>793</v>
      </c>
      <c r="B197" s="293" t="s">
        <v>794</v>
      </c>
      <c r="BV197" s="301"/>
      <c r="BW197" s="301"/>
      <c r="BX197" s="301"/>
      <c r="BY197" s="302"/>
      <c r="BZ197" s="296"/>
      <c r="CA197" s="296"/>
      <c r="CB197" s="296"/>
      <c r="CC197" s="296"/>
      <c r="CD197" s="296"/>
      <c r="CE197" s="296"/>
      <c r="CF197" s="296"/>
      <c r="CG197" s="296"/>
    </row>
    <row r="198">
      <c r="A198" s="292" t="s">
        <v>795</v>
      </c>
      <c r="B198" s="293" t="s">
        <v>796</v>
      </c>
      <c r="BQ198" s="301"/>
      <c r="BR198" s="301"/>
      <c r="BS198" s="301"/>
      <c r="BT198" s="301"/>
      <c r="BU198" s="301"/>
      <c r="BV198" s="301"/>
      <c r="BW198" s="301"/>
      <c r="BX198" s="301"/>
      <c r="BY198" s="302"/>
      <c r="BZ198" s="295"/>
      <c r="CA198" s="295"/>
      <c r="CB198" s="295"/>
      <c r="CC198" s="295"/>
      <c r="CD198" s="295"/>
      <c r="CE198" s="295"/>
      <c r="CF198" s="295"/>
      <c r="CG198" s="295"/>
    </row>
    <row r="199">
      <c r="B199" s="293" t="s">
        <v>797</v>
      </c>
      <c r="BQ199" s="301"/>
      <c r="BR199" s="301"/>
      <c r="BS199" s="301"/>
      <c r="BT199" s="301"/>
      <c r="BU199" s="301"/>
      <c r="BV199" s="301"/>
      <c r="BW199" s="301"/>
      <c r="BX199" s="301"/>
      <c r="BY199" s="302"/>
      <c r="BZ199" s="296"/>
      <c r="CA199" s="296"/>
      <c r="CB199" s="296"/>
      <c r="CC199" s="296"/>
      <c r="CD199" s="296"/>
      <c r="CE199" s="296"/>
      <c r="CF199" s="296"/>
      <c r="CG199" s="296"/>
    </row>
    <row r="200">
      <c r="A200" s="303" t="s">
        <v>798</v>
      </c>
      <c r="B200" s="301" t="s">
        <v>799</v>
      </c>
      <c r="BY200" s="302"/>
      <c r="BZ200" s="295"/>
      <c r="CA200" s="295"/>
      <c r="CB200" s="295"/>
      <c r="CC200" s="295"/>
      <c r="CD200" s="295"/>
      <c r="CE200" s="295"/>
      <c r="CF200" s="295"/>
      <c r="CG200" s="295"/>
    </row>
    <row r="201">
      <c r="A201" s="294" t="s">
        <v>800</v>
      </c>
      <c r="B201" s="294" t="s">
        <v>801</v>
      </c>
      <c r="BZ201" s="296"/>
      <c r="CA201" s="296"/>
      <c r="CB201" s="296"/>
      <c r="CC201" s="296"/>
      <c r="CD201" s="296"/>
      <c r="CE201" s="296"/>
      <c r="CF201" s="296"/>
      <c r="CG201" s="296"/>
    </row>
    <row r="202">
      <c r="A202" s="298" t="s">
        <v>802</v>
      </c>
      <c r="B202" s="299" t="s">
        <v>803</v>
      </c>
      <c r="BZ202" s="291"/>
      <c r="CA202" s="291"/>
      <c r="CB202" s="291"/>
      <c r="CC202" s="291"/>
      <c r="CD202" s="291"/>
      <c r="CE202" s="291"/>
      <c r="CF202" s="291"/>
      <c r="CG202" s="291"/>
    </row>
    <row r="203">
      <c r="A203" s="292" t="s">
        <v>804</v>
      </c>
      <c r="B203" s="293" t="s">
        <v>805</v>
      </c>
      <c r="BU203" s="293"/>
      <c r="BV203" s="293"/>
      <c r="BW203" s="293"/>
      <c r="BX203" s="293"/>
      <c r="BY203" s="294"/>
      <c r="BZ203" s="296"/>
      <c r="CA203" s="296"/>
      <c r="CB203" s="296"/>
      <c r="CC203" s="296"/>
      <c r="CD203" s="296"/>
      <c r="CE203" s="296"/>
      <c r="CF203" s="296"/>
      <c r="CG203" s="296"/>
    </row>
    <row r="204">
      <c r="A204" s="292" t="s">
        <v>806</v>
      </c>
      <c r="B204" s="293" t="s">
        <v>807</v>
      </c>
      <c r="BY204" s="294"/>
      <c r="BZ204" s="295"/>
      <c r="CA204" s="295"/>
      <c r="CB204" s="295"/>
      <c r="CC204" s="295"/>
      <c r="CD204" s="295"/>
      <c r="CE204" s="295"/>
      <c r="CF204" s="295"/>
      <c r="CG204" s="295"/>
    </row>
    <row r="205">
      <c r="A205" s="294" t="s">
        <v>808</v>
      </c>
      <c r="B205" s="294" t="s">
        <v>801</v>
      </c>
      <c r="BZ205" s="296"/>
      <c r="CA205" s="296"/>
      <c r="CB205" s="296"/>
      <c r="CC205" s="296"/>
      <c r="CD205" s="296"/>
      <c r="CE205" s="296"/>
      <c r="CF205" s="296"/>
      <c r="CG205" s="296"/>
    </row>
    <row r="206">
      <c r="A206" s="292" t="s">
        <v>809</v>
      </c>
      <c r="B206" s="293" t="s">
        <v>810</v>
      </c>
      <c r="BY206" s="294"/>
      <c r="BZ206" s="295"/>
      <c r="CA206" s="295"/>
      <c r="CB206" s="295"/>
      <c r="CC206" s="295"/>
      <c r="CD206" s="295"/>
      <c r="CE206" s="295"/>
      <c r="CF206" s="295"/>
      <c r="CG206" s="295"/>
    </row>
    <row r="207">
      <c r="A207" s="292" t="s">
        <v>811</v>
      </c>
      <c r="B207" s="293" t="s">
        <v>805</v>
      </c>
      <c r="BU207" s="293"/>
      <c r="BV207" s="293"/>
      <c r="BW207" s="293"/>
      <c r="BX207" s="293"/>
      <c r="BY207" s="294"/>
      <c r="BZ207" s="296"/>
      <c r="CA207" s="296"/>
      <c r="CB207" s="296"/>
      <c r="CC207" s="296"/>
      <c r="CD207" s="296"/>
      <c r="CE207" s="296"/>
      <c r="CF207" s="296"/>
      <c r="CG207" s="296"/>
    </row>
    <row r="208">
      <c r="A208" s="292" t="s">
        <v>812</v>
      </c>
      <c r="B208" s="293" t="s">
        <v>813</v>
      </c>
      <c r="BY208" s="294"/>
      <c r="BZ208" s="295"/>
      <c r="CA208" s="295"/>
      <c r="CB208" s="295"/>
      <c r="CC208" s="295"/>
      <c r="CD208" s="295"/>
      <c r="CE208" s="295"/>
      <c r="CF208" s="295"/>
      <c r="CG208" s="295"/>
    </row>
    <row r="209">
      <c r="A209" s="292" t="s">
        <v>814</v>
      </c>
      <c r="B209" s="293" t="s">
        <v>815</v>
      </c>
      <c r="BY209" s="294"/>
      <c r="BZ209" s="296"/>
      <c r="CA209" s="296"/>
      <c r="CB209" s="296"/>
      <c r="CC209" s="296"/>
      <c r="CD209" s="296"/>
      <c r="CE209" s="296"/>
      <c r="CF209" s="296"/>
      <c r="CG209" s="296"/>
    </row>
    <row r="210">
      <c r="A210" s="294" t="s">
        <v>816</v>
      </c>
      <c r="B210" s="294" t="s">
        <v>801</v>
      </c>
      <c r="BZ210" s="295"/>
      <c r="CA210" s="295"/>
      <c r="CB210" s="295"/>
      <c r="CC210" s="295"/>
      <c r="CD210" s="295"/>
      <c r="CE210" s="295"/>
      <c r="CF210" s="295"/>
      <c r="CG210" s="295"/>
    </row>
    <row r="211">
      <c r="A211" s="292" t="s">
        <v>407</v>
      </c>
      <c r="B211" s="293" t="s">
        <v>817</v>
      </c>
      <c r="BY211" s="294"/>
      <c r="BZ211" s="296"/>
      <c r="CA211" s="296"/>
      <c r="CB211" s="296"/>
      <c r="CC211" s="296"/>
      <c r="CD211" s="296"/>
      <c r="CE211" s="296"/>
      <c r="CF211" s="296"/>
      <c r="CG211" s="296"/>
    </row>
    <row r="212">
      <c r="A212" s="292" t="s">
        <v>413</v>
      </c>
      <c r="B212" s="293" t="s">
        <v>818</v>
      </c>
      <c r="BY212" s="294"/>
      <c r="BZ212" s="295"/>
      <c r="CA212" s="295"/>
      <c r="CB212" s="295"/>
      <c r="CC212" s="295"/>
      <c r="CD212" s="295"/>
      <c r="CE212" s="295"/>
      <c r="CF212" s="295"/>
      <c r="CG212" s="295"/>
    </row>
    <row r="213">
      <c r="A213" s="294" t="s">
        <v>819</v>
      </c>
      <c r="B213" s="294" t="s">
        <v>801</v>
      </c>
      <c r="BZ213" s="296"/>
      <c r="CA213" s="296"/>
      <c r="CB213" s="296"/>
      <c r="CC213" s="296"/>
      <c r="CD213" s="296"/>
      <c r="CE213" s="296"/>
      <c r="CF213" s="296"/>
      <c r="CG213" s="296"/>
    </row>
    <row r="214">
      <c r="A214" s="292" t="s">
        <v>820</v>
      </c>
      <c r="B214" s="293" t="s">
        <v>821</v>
      </c>
      <c r="BQ214" s="291"/>
      <c r="BR214" s="291"/>
      <c r="BS214" s="291"/>
      <c r="BT214" s="291"/>
      <c r="BU214" s="291"/>
      <c r="BV214" s="291"/>
      <c r="BW214" s="291"/>
      <c r="BX214" s="291"/>
      <c r="BY214" s="291"/>
      <c r="BZ214" s="291"/>
      <c r="CA214" s="291"/>
      <c r="CB214" s="291"/>
      <c r="CC214" s="291"/>
      <c r="CD214" s="291"/>
      <c r="CE214" s="291"/>
      <c r="CF214" s="291"/>
      <c r="CG214" s="291"/>
    </row>
    <row r="215">
      <c r="A215" s="294" t="s">
        <v>822</v>
      </c>
      <c r="B215" s="294" t="s">
        <v>823</v>
      </c>
      <c r="BZ215" s="296"/>
      <c r="CA215" s="296"/>
      <c r="CB215" s="296"/>
      <c r="CC215" s="296"/>
      <c r="CD215" s="296"/>
      <c r="CE215" s="296"/>
      <c r="CF215" s="296"/>
      <c r="CG215" s="296"/>
    </row>
    <row r="216">
      <c r="A216" s="292" t="s">
        <v>824</v>
      </c>
      <c r="B216" s="293" t="s">
        <v>825</v>
      </c>
      <c r="BQ216" s="291"/>
      <c r="BR216" s="291"/>
      <c r="BS216" s="291"/>
      <c r="BT216" s="291"/>
      <c r="BU216" s="291"/>
      <c r="BV216" s="291"/>
      <c r="BW216" s="291"/>
      <c r="BX216" s="291"/>
      <c r="BY216" s="291"/>
      <c r="BZ216" s="291"/>
      <c r="CA216" s="291"/>
      <c r="CB216" s="291"/>
      <c r="CC216" s="291"/>
      <c r="CD216" s="291"/>
      <c r="CE216" s="291"/>
      <c r="CF216" s="291"/>
      <c r="CG216" s="291"/>
    </row>
    <row r="217">
      <c r="A217" s="294" t="s">
        <v>826</v>
      </c>
      <c r="B217" s="294" t="s">
        <v>801</v>
      </c>
      <c r="BZ217" s="296"/>
      <c r="CA217" s="296"/>
      <c r="CB217" s="296"/>
      <c r="CC217" s="296"/>
      <c r="CD217" s="296"/>
      <c r="CE217" s="296"/>
      <c r="CF217" s="296"/>
      <c r="CG217" s="296"/>
    </row>
    <row r="218">
      <c r="A218" s="303" t="s">
        <v>827</v>
      </c>
      <c r="B218" s="301" t="s">
        <v>828</v>
      </c>
      <c r="BY218" s="302"/>
      <c r="BZ218" s="295"/>
      <c r="CA218" s="295"/>
      <c r="CB218" s="295"/>
      <c r="CC218" s="295"/>
      <c r="CD218" s="295"/>
      <c r="CE218" s="295"/>
      <c r="CF218" s="295"/>
      <c r="CG218" s="295"/>
    </row>
    <row r="219">
      <c r="A219" s="303" t="s">
        <v>829</v>
      </c>
      <c r="B219" s="303" t="s">
        <v>650</v>
      </c>
      <c r="BY219" s="302"/>
      <c r="BZ219" s="296"/>
      <c r="CA219" s="296"/>
      <c r="CB219" s="296"/>
      <c r="CC219" s="296"/>
      <c r="CD219" s="296"/>
      <c r="CE219" s="296"/>
      <c r="CF219" s="296"/>
      <c r="CG219" s="296"/>
    </row>
    <row r="220">
      <c r="A220" s="294" t="s">
        <v>830</v>
      </c>
      <c r="B220" s="294" t="s">
        <v>831</v>
      </c>
      <c r="BZ220" s="295"/>
      <c r="CA220" s="295"/>
      <c r="CB220" s="295"/>
      <c r="CC220" s="295"/>
      <c r="CD220" s="295"/>
      <c r="CE220" s="295"/>
      <c r="CF220" s="295"/>
      <c r="CG220" s="295"/>
    </row>
    <row r="221">
      <c r="A221" s="300" t="s">
        <v>832</v>
      </c>
      <c r="B221" s="301" t="s">
        <v>821</v>
      </c>
      <c r="BY221" s="232"/>
      <c r="BZ221" s="232"/>
      <c r="CA221" s="232"/>
      <c r="CB221" s="232"/>
      <c r="CC221" s="232"/>
      <c r="CD221" s="232"/>
      <c r="CE221" s="232"/>
      <c r="CF221" s="232"/>
      <c r="CG221" s="232"/>
    </row>
    <row r="222">
      <c r="B222" s="301" t="s">
        <v>833</v>
      </c>
      <c r="BY222" s="291"/>
      <c r="BZ222" s="291"/>
      <c r="CA222" s="291"/>
      <c r="CB222" s="291"/>
      <c r="CC222" s="291"/>
      <c r="CD222" s="291"/>
      <c r="CE222" s="291"/>
      <c r="CF222" s="291"/>
      <c r="CG222" s="291"/>
    </row>
    <row r="223">
      <c r="A223" s="300" t="s">
        <v>425</v>
      </c>
      <c r="B223" s="301" t="s">
        <v>834</v>
      </c>
      <c r="BY223" s="232"/>
      <c r="BZ223" s="232"/>
      <c r="CA223" s="232"/>
      <c r="CB223" s="232"/>
      <c r="CC223" s="232"/>
      <c r="CD223" s="232"/>
      <c r="CE223" s="232"/>
      <c r="CF223" s="232"/>
      <c r="CG223" s="232"/>
    </row>
    <row r="224">
      <c r="A224" s="300" t="s">
        <v>835</v>
      </c>
      <c r="B224" s="301" t="s">
        <v>836</v>
      </c>
      <c r="BY224" s="294"/>
      <c r="BZ224" s="295"/>
      <c r="CA224" s="295"/>
      <c r="CB224" s="295"/>
      <c r="CC224" s="295"/>
      <c r="CD224" s="295"/>
      <c r="CE224" s="295"/>
      <c r="CF224" s="295"/>
      <c r="CG224" s="295"/>
    </row>
    <row r="225">
      <c r="A225" s="300" t="s">
        <v>837</v>
      </c>
      <c r="B225" s="301" t="s">
        <v>838</v>
      </c>
      <c r="BY225" s="294"/>
      <c r="BZ225" s="296"/>
      <c r="CA225" s="296"/>
      <c r="CB225" s="296"/>
      <c r="CC225" s="296"/>
      <c r="CD225" s="296"/>
      <c r="CE225" s="296"/>
      <c r="CF225" s="296"/>
      <c r="CG225" s="296"/>
    </row>
    <row r="226">
      <c r="A226" s="294" t="s">
        <v>839</v>
      </c>
      <c r="B226" s="294" t="s">
        <v>840</v>
      </c>
      <c r="BZ226" s="295"/>
      <c r="CA226" s="295"/>
      <c r="CB226" s="295"/>
      <c r="CC226" s="295"/>
      <c r="CD226" s="295"/>
      <c r="CE226" s="295"/>
      <c r="CF226" s="295"/>
      <c r="CG226" s="295"/>
    </row>
    <row r="227">
      <c r="A227" s="294" t="s">
        <v>841</v>
      </c>
      <c r="B227" s="294" t="s">
        <v>842</v>
      </c>
      <c r="BZ227" s="296"/>
      <c r="CA227" s="296"/>
      <c r="CB227" s="296"/>
      <c r="CC227" s="296"/>
      <c r="CD227" s="296"/>
      <c r="CE227" s="296"/>
      <c r="CF227" s="296"/>
      <c r="CG227" s="296"/>
    </row>
    <row r="228">
      <c r="A228" s="294" t="s">
        <v>843</v>
      </c>
      <c r="B228" s="294" t="s">
        <v>844</v>
      </c>
      <c r="BZ228" s="295"/>
      <c r="CA228" s="295"/>
      <c r="CB228" s="295"/>
      <c r="CC228" s="295"/>
      <c r="CD228" s="295"/>
      <c r="CE228" s="295"/>
      <c r="CF228" s="295"/>
      <c r="CG228" s="295"/>
    </row>
    <row r="229">
      <c r="A229" s="300" t="s">
        <v>845</v>
      </c>
      <c r="B229" s="301" t="s">
        <v>846</v>
      </c>
      <c r="BY229" s="232"/>
      <c r="BZ229" s="232"/>
      <c r="CA229" s="232"/>
      <c r="CB229" s="232"/>
      <c r="CC229" s="232"/>
      <c r="CD229" s="232"/>
      <c r="CE229" s="232"/>
      <c r="CF229" s="232"/>
      <c r="CG229" s="232"/>
    </row>
    <row r="230">
      <c r="A230" s="294" t="s">
        <v>847</v>
      </c>
      <c r="B230" s="294" t="s">
        <v>844</v>
      </c>
      <c r="BZ230" s="295"/>
      <c r="CA230" s="295"/>
      <c r="CB230" s="295"/>
      <c r="CC230" s="295"/>
      <c r="CD230" s="295"/>
      <c r="CE230" s="295"/>
      <c r="CF230" s="295"/>
      <c r="CG230" s="295"/>
    </row>
    <row r="231">
      <c r="A231" s="300" t="s">
        <v>848</v>
      </c>
      <c r="B231" s="301" t="s">
        <v>849</v>
      </c>
      <c r="BY231" s="232"/>
      <c r="BZ231" s="232"/>
      <c r="CA231" s="232"/>
      <c r="CB231" s="232"/>
      <c r="CC231" s="232"/>
      <c r="CD231" s="232"/>
      <c r="CE231" s="232"/>
      <c r="CF231" s="232"/>
      <c r="CG231" s="232"/>
    </row>
    <row r="232">
      <c r="A232" s="294" t="s">
        <v>850</v>
      </c>
      <c r="B232" s="294" t="s">
        <v>851</v>
      </c>
      <c r="BZ232" s="295"/>
      <c r="CA232" s="295"/>
      <c r="CB232" s="295"/>
      <c r="CC232" s="295"/>
      <c r="CD232" s="295"/>
      <c r="CE232" s="295"/>
      <c r="CF232" s="295"/>
      <c r="CG232" s="295"/>
    </row>
    <row r="233">
      <c r="A233" s="294" t="s">
        <v>852</v>
      </c>
      <c r="B233" s="294" t="s">
        <v>851</v>
      </c>
      <c r="BZ233" s="296"/>
      <c r="CA233" s="296"/>
      <c r="CB233" s="296"/>
      <c r="CC233" s="296"/>
      <c r="CD233" s="296"/>
      <c r="CE233" s="296"/>
      <c r="CF233" s="296"/>
      <c r="CG233" s="296"/>
    </row>
    <row r="234">
      <c r="A234" s="298" t="s">
        <v>853</v>
      </c>
      <c r="B234" s="299" t="s">
        <v>854</v>
      </c>
      <c r="BZ234" s="291"/>
      <c r="CA234" s="291"/>
      <c r="CB234" s="291"/>
      <c r="CC234" s="291"/>
      <c r="CD234" s="291"/>
      <c r="CE234" s="291"/>
      <c r="CF234" s="291"/>
      <c r="CG234" s="291"/>
    </row>
    <row r="235">
      <c r="A235" s="300" t="s">
        <v>853</v>
      </c>
      <c r="B235" s="301" t="s">
        <v>855</v>
      </c>
      <c r="BY235" s="232"/>
      <c r="BZ235" s="232"/>
      <c r="CA235" s="232"/>
      <c r="CB235" s="232"/>
      <c r="CC235" s="232"/>
      <c r="CD235" s="232"/>
      <c r="CE235" s="232"/>
      <c r="CF235" s="232"/>
      <c r="CG235" s="232"/>
    </row>
    <row r="236">
      <c r="A236" s="294" t="s">
        <v>856</v>
      </c>
      <c r="B236" s="294" t="s">
        <v>857</v>
      </c>
      <c r="BZ236" s="295"/>
      <c r="CA236" s="295"/>
      <c r="CB236" s="295"/>
      <c r="CC236" s="295"/>
      <c r="CD236" s="295"/>
      <c r="CE236" s="295"/>
      <c r="CF236" s="295"/>
      <c r="CG236" s="295"/>
    </row>
    <row r="237">
      <c r="A237" s="300" t="s">
        <v>858</v>
      </c>
      <c r="B237" s="301" t="s">
        <v>859</v>
      </c>
      <c r="BY237" s="232"/>
      <c r="BZ237" s="232"/>
      <c r="CA237" s="232"/>
      <c r="CB237" s="232"/>
      <c r="CC237" s="232"/>
      <c r="CD237" s="232"/>
      <c r="CE237" s="232"/>
      <c r="CF237" s="232"/>
      <c r="CG237" s="232"/>
    </row>
    <row r="238">
      <c r="A238" s="300" t="s">
        <v>860</v>
      </c>
      <c r="B238" s="301" t="s">
        <v>861</v>
      </c>
      <c r="BY238" s="291"/>
      <c r="BZ238" s="291"/>
      <c r="CA238" s="291"/>
      <c r="CB238" s="291"/>
      <c r="CC238" s="291"/>
      <c r="CD238" s="291"/>
      <c r="CE238" s="291"/>
      <c r="CF238" s="291"/>
      <c r="CG238" s="291"/>
    </row>
    <row r="239">
      <c r="B239" s="301" t="s">
        <v>862</v>
      </c>
      <c r="BY239" s="232"/>
      <c r="BZ239" s="232"/>
      <c r="CA239" s="232"/>
      <c r="CB239" s="232"/>
      <c r="CC239" s="232"/>
      <c r="CD239" s="232"/>
      <c r="CE239" s="232"/>
      <c r="CF239" s="232"/>
      <c r="CG239" s="232"/>
    </row>
    <row r="240">
      <c r="A240" s="300" t="s">
        <v>863</v>
      </c>
      <c r="B240" s="301" t="s">
        <v>864</v>
      </c>
      <c r="BU240" s="301"/>
      <c r="BV240" s="301"/>
      <c r="BW240" s="301"/>
      <c r="BX240" s="301"/>
      <c r="BY240" s="291"/>
      <c r="BZ240" s="291"/>
      <c r="CA240" s="291"/>
      <c r="CB240" s="291"/>
      <c r="CC240" s="291"/>
      <c r="CD240" s="291"/>
      <c r="CE240" s="291"/>
      <c r="CF240" s="291"/>
      <c r="CG240" s="291"/>
    </row>
    <row r="241">
      <c r="A241" s="300" t="s">
        <v>865</v>
      </c>
      <c r="B241" s="301" t="s">
        <v>866</v>
      </c>
      <c r="BY241" s="232"/>
      <c r="BZ241" s="232"/>
      <c r="CA241" s="232"/>
      <c r="CB241" s="232"/>
      <c r="CC241" s="232"/>
      <c r="CD241" s="232"/>
      <c r="CE241" s="232"/>
      <c r="CF241" s="232"/>
      <c r="CG241" s="232"/>
    </row>
    <row r="242">
      <c r="A242" s="294" t="s">
        <v>867</v>
      </c>
      <c r="B242" s="294" t="s">
        <v>857</v>
      </c>
      <c r="BZ242" s="295"/>
      <c r="CA242" s="295"/>
      <c r="CB242" s="295"/>
      <c r="CC242" s="295"/>
      <c r="CD242" s="295"/>
      <c r="CE242" s="295"/>
      <c r="CF242" s="295"/>
      <c r="CG242" s="295"/>
    </row>
    <row r="243">
      <c r="A243" s="300" t="s">
        <v>868</v>
      </c>
      <c r="B243" s="301" t="s">
        <v>869</v>
      </c>
      <c r="BY243" s="232"/>
      <c r="BZ243" s="232"/>
      <c r="CA243" s="232"/>
      <c r="CB243" s="232"/>
      <c r="CC243" s="232"/>
      <c r="CD243" s="232"/>
      <c r="CE243" s="232"/>
      <c r="CF243" s="232"/>
      <c r="CG243" s="232"/>
    </row>
    <row r="244">
      <c r="A244" s="300" t="s">
        <v>870</v>
      </c>
      <c r="B244" s="301" t="s">
        <v>821</v>
      </c>
      <c r="BY244" s="291"/>
      <c r="BZ244" s="291"/>
      <c r="CA244" s="291"/>
      <c r="CB244" s="291"/>
      <c r="CC244" s="291"/>
      <c r="CD244" s="291"/>
      <c r="CE244" s="291"/>
      <c r="CF244" s="291"/>
      <c r="CG244" s="291"/>
    </row>
    <row r="245">
      <c r="A245" s="300" t="s">
        <v>871</v>
      </c>
      <c r="B245" s="301" t="s">
        <v>872</v>
      </c>
      <c r="BU245" s="232"/>
      <c r="BV245" s="232"/>
      <c r="BW245" s="232"/>
      <c r="BX245" s="232"/>
      <c r="BY245" s="232"/>
      <c r="BZ245" s="232"/>
      <c r="CA245" s="232"/>
      <c r="CB245" s="232"/>
      <c r="CC245" s="232"/>
      <c r="CD245" s="232"/>
      <c r="CE245" s="232"/>
      <c r="CF245" s="232"/>
      <c r="CG245" s="232"/>
    </row>
    <row r="246">
      <c r="A246" s="292" t="s">
        <v>871</v>
      </c>
      <c r="B246" s="293" t="s">
        <v>873</v>
      </c>
      <c r="BU246" s="291"/>
      <c r="BV246" s="291"/>
      <c r="BW246" s="291"/>
      <c r="BX246" s="291"/>
      <c r="BY246" s="291"/>
      <c r="BZ246" s="291"/>
      <c r="CA246" s="291"/>
      <c r="CB246" s="291"/>
      <c r="CC246" s="291"/>
      <c r="CD246" s="291"/>
      <c r="CE246" s="291"/>
      <c r="CF246" s="291"/>
      <c r="CG246" s="291"/>
    </row>
    <row r="247">
      <c r="A247" s="294" t="s">
        <v>874</v>
      </c>
      <c r="B247" s="294" t="s">
        <v>875</v>
      </c>
      <c r="BZ247" s="296"/>
      <c r="CA247" s="296"/>
      <c r="CB247" s="296"/>
      <c r="CC247" s="296"/>
      <c r="CD247" s="296"/>
      <c r="CE247" s="296"/>
      <c r="CF247" s="296"/>
      <c r="CG247" s="296"/>
    </row>
    <row r="248">
      <c r="A248" s="300" t="s">
        <v>876</v>
      </c>
      <c r="B248" s="301" t="s">
        <v>877</v>
      </c>
      <c r="BY248" s="291"/>
      <c r="BZ248" s="291"/>
      <c r="CA248" s="291"/>
      <c r="CB248" s="291"/>
      <c r="CC248" s="291"/>
      <c r="CD248" s="291"/>
      <c r="CE248" s="291"/>
      <c r="CF248" s="291"/>
      <c r="CG248" s="291"/>
    </row>
    <row r="249">
      <c r="A249" s="300" t="s">
        <v>878</v>
      </c>
      <c r="B249" s="301" t="s">
        <v>879</v>
      </c>
      <c r="BY249" s="232"/>
      <c r="BZ249" s="232"/>
      <c r="CA249" s="232"/>
      <c r="CB249" s="232"/>
      <c r="CC249" s="232"/>
      <c r="CD249" s="232"/>
      <c r="CE249" s="232"/>
      <c r="CF249" s="232"/>
      <c r="CG249" s="232"/>
    </row>
    <row r="250">
      <c r="A250" s="300" t="s">
        <v>880</v>
      </c>
      <c r="B250" s="301" t="s">
        <v>881</v>
      </c>
      <c r="BY250" s="291"/>
      <c r="BZ250" s="291"/>
      <c r="CA250" s="291"/>
      <c r="CB250" s="291"/>
      <c r="CC250" s="291"/>
      <c r="CD250" s="291"/>
      <c r="CE250" s="291"/>
      <c r="CF250" s="291"/>
      <c r="CG250" s="291"/>
    </row>
    <row r="251">
      <c r="A251" s="300" t="s">
        <v>882</v>
      </c>
      <c r="B251" s="301" t="s">
        <v>883</v>
      </c>
      <c r="BY251" s="232"/>
      <c r="BZ251" s="232"/>
      <c r="CA251" s="232"/>
      <c r="CB251" s="232"/>
      <c r="CC251" s="232"/>
      <c r="CD251" s="232"/>
      <c r="CE251" s="232"/>
      <c r="CF251" s="232"/>
      <c r="CG251" s="232"/>
    </row>
    <row r="252">
      <c r="A252" s="294" t="s">
        <v>884</v>
      </c>
      <c r="B252" s="294" t="s">
        <v>885</v>
      </c>
      <c r="BZ252" s="295"/>
      <c r="CA252" s="295"/>
      <c r="CB252" s="295"/>
      <c r="CC252" s="295"/>
      <c r="CD252" s="295"/>
      <c r="CE252" s="295"/>
      <c r="CF252" s="295"/>
      <c r="CG252" s="295"/>
    </row>
    <row r="253">
      <c r="A253" s="300" t="s">
        <v>886</v>
      </c>
      <c r="B253" s="301" t="s">
        <v>887</v>
      </c>
      <c r="BY253" s="232"/>
      <c r="BZ253" s="232"/>
      <c r="CA253" s="232"/>
      <c r="CB253" s="232"/>
      <c r="CC253" s="232"/>
      <c r="CD253" s="232"/>
      <c r="CE253" s="232"/>
      <c r="CF253" s="232"/>
      <c r="CG253" s="232"/>
    </row>
    <row r="254">
      <c r="A254" s="292" t="s">
        <v>886</v>
      </c>
      <c r="B254" s="293" t="s">
        <v>250</v>
      </c>
      <c r="BU254" s="291"/>
      <c r="BV254" s="291"/>
      <c r="BW254" s="291"/>
      <c r="BX254" s="291"/>
      <c r="BY254" s="291"/>
      <c r="BZ254" s="291"/>
      <c r="CA254" s="291"/>
      <c r="CB254" s="291"/>
      <c r="CC254" s="291"/>
      <c r="CD254" s="291"/>
      <c r="CE254" s="291"/>
      <c r="CF254" s="291"/>
      <c r="CG254" s="291"/>
    </row>
    <row r="255">
      <c r="A255" s="294" t="s">
        <v>888</v>
      </c>
      <c r="B255" s="294" t="s">
        <v>889</v>
      </c>
      <c r="BZ255" s="296"/>
      <c r="CA255" s="296"/>
      <c r="CB255" s="296"/>
      <c r="CC255" s="296"/>
      <c r="CD255" s="296"/>
      <c r="CE255" s="296"/>
      <c r="CF255" s="296"/>
      <c r="CG255" s="296"/>
    </row>
    <row r="256">
      <c r="A256" s="303" t="s">
        <v>890</v>
      </c>
      <c r="B256" s="303" t="s">
        <v>650</v>
      </c>
      <c r="BY256" s="302"/>
      <c r="BZ256" s="295"/>
      <c r="CA256" s="295"/>
      <c r="CB256" s="295"/>
      <c r="CC256" s="295"/>
      <c r="CD256" s="295"/>
      <c r="CE256" s="295"/>
      <c r="CF256" s="295"/>
      <c r="CG256" s="295"/>
    </row>
    <row r="257">
      <c r="A257" s="300" t="s">
        <v>214</v>
      </c>
      <c r="B257" s="301" t="s">
        <v>891</v>
      </c>
      <c r="BY257" s="232"/>
      <c r="BZ257" s="232"/>
      <c r="CA257" s="232"/>
      <c r="CB257" s="232"/>
      <c r="CC257" s="232"/>
      <c r="CD257" s="232"/>
      <c r="CE257" s="232"/>
      <c r="CF257" s="232"/>
      <c r="CG257" s="232"/>
    </row>
    <row r="258">
      <c r="A258" s="292" t="s">
        <v>892</v>
      </c>
      <c r="B258" s="293" t="s">
        <v>893</v>
      </c>
      <c r="BU258" s="291"/>
      <c r="BV258" s="291"/>
      <c r="BW258" s="291"/>
      <c r="BX258" s="291"/>
      <c r="BY258" s="291"/>
      <c r="BZ258" s="291"/>
      <c r="CA258" s="291"/>
      <c r="CB258" s="291"/>
      <c r="CC258" s="291"/>
      <c r="CD258" s="291"/>
      <c r="CE258" s="291"/>
      <c r="CF258" s="291"/>
      <c r="CG258" s="291"/>
    </row>
    <row r="259">
      <c r="A259" s="300" t="s">
        <v>892</v>
      </c>
      <c r="B259" s="301" t="s">
        <v>894</v>
      </c>
      <c r="BY259" s="294"/>
      <c r="BZ259" s="296"/>
      <c r="CA259" s="296"/>
      <c r="CB259" s="296"/>
      <c r="CC259" s="296"/>
      <c r="CD259" s="296"/>
      <c r="CE259" s="296"/>
      <c r="CF259" s="296"/>
      <c r="CG259" s="296"/>
    </row>
    <row r="260">
      <c r="B260" s="301" t="s">
        <v>895</v>
      </c>
      <c r="BY260" s="294"/>
      <c r="BZ260" s="295"/>
      <c r="CA260" s="295"/>
      <c r="CB260" s="295"/>
      <c r="CC260" s="295"/>
      <c r="CD260" s="295"/>
      <c r="CE260" s="295"/>
      <c r="CF260" s="295"/>
      <c r="CG260" s="295"/>
    </row>
    <row r="261">
      <c r="A261" s="294" t="s">
        <v>896</v>
      </c>
      <c r="B261" s="294" t="s">
        <v>889</v>
      </c>
      <c r="BZ261" s="296"/>
      <c r="CA261" s="296"/>
      <c r="CB261" s="296"/>
      <c r="CC261" s="296"/>
      <c r="CD261" s="296"/>
      <c r="CE261" s="296"/>
      <c r="CF261" s="296"/>
      <c r="CG261" s="296"/>
    </row>
    <row r="262">
      <c r="A262" s="292" t="s">
        <v>897</v>
      </c>
      <c r="B262" s="293" t="s">
        <v>208</v>
      </c>
      <c r="BU262" s="291"/>
      <c r="BV262" s="291"/>
      <c r="BW262" s="291"/>
      <c r="BX262" s="291"/>
      <c r="BY262" s="291"/>
      <c r="BZ262" s="291"/>
      <c r="CA262" s="291"/>
      <c r="CB262" s="291"/>
      <c r="CC262" s="291"/>
      <c r="CD262" s="291"/>
      <c r="CE262" s="291"/>
      <c r="CF262" s="291"/>
      <c r="CG262" s="291"/>
    </row>
    <row r="263">
      <c r="A263" s="300" t="s">
        <v>898</v>
      </c>
      <c r="B263" s="301" t="s">
        <v>899</v>
      </c>
      <c r="BY263" s="294"/>
      <c r="BZ263" s="296"/>
      <c r="CA263" s="296"/>
      <c r="CB263" s="296"/>
      <c r="CC263" s="296"/>
      <c r="CD263" s="296"/>
      <c r="CE263" s="296"/>
      <c r="CF263" s="296"/>
      <c r="CG263" s="296"/>
    </row>
    <row r="264">
      <c r="A264" s="294" t="s">
        <v>900</v>
      </c>
      <c r="B264" s="294" t="s">
        <v>901</v>
      </c>
      <c r="BZ264" s="295"/>
      <c r="CA264" s="295"/>
      <c r="CB264" s="295"/>
      <c r="CC264" s="295"/>
      <c r="CD264" s="295"/>
      <c r="CE264" s="295"/>
      <c r="CF264" s="295"/>
      <c r="CG264" s="295"/>
    </row>
    <row r="265">
      <c r="A265" s="300" t="s">
        <v>902</v>
      </c>
      <c r="B265" s="301" t="s">
        <v>903</v>
      </c>
      <c r="BY265" s="294"/>
      <c r="BZ265" s="296"/>
      <c r="CA265" s="296"/>
      <c r="CB265" s="296"/>
      <c r="CC265" s="296"/>
      <c r="CD265" s="296"/>
      <c r="CE265" s="296"/>
      <c r="CF265" s="296"/>
      <c r="CG265" s="296"/>
    </row>
    <row r="266">
      <c r="A266" s="292" t="s">
        <v>904</v>
      </c>
      <c r="B266" s="293" t="s">
        <v>287</v>
      </c>
      <c r="BU266" s="291"/>
      <c r="BV266" s="291"/>
      <c r="BW266" s="291"/>
      <c r="BX266" s="291"/>
      <c r="BY266" s="291"/>
      <c r="BZ266" s="291"/>
      <c r="CA266" s="291"/>
      <c r="CB266" s="291"/>
      <c r="CC266" s="291"/>
      <c r="CD266" s="291"/>
      <c r="CE266" s="291"/>
      <c r="CF266" s="291"/>
      <c r="CG266" s="291"/>
    </row>
    <row r="267">
      <c r="A267" s="300" t="s">
        <v>905</v>
      </c>
      <c r="B267" s="301" t="s">
        <v>906</v>
      </c>
      <c r="BY267" s="294"/>
      <c r="BZ267" s="296"/>
      <c r="CA267" s="296"/>
      <c r="CB267" s="296"/>
      <c r="CC267" s="296"/>
      <c r="CD267" s="296"/>
      <c r="CE267" s="296"/>
      <c r="CF267" s="296"/>
      <c r="CG267" s="296"/>
    </row>
    <row r="268">
      <c r="A268" s="300" t="s">
        <v>907</v>
      </c>
      <c r="B268" s="301" t="s">
        <v>908</v>
      </c>
      <c r="BY268" s="294"/>
      <c r="BZ268" s="295"/>
      <c r="CA268" s="295"/>
      <c r="CB268" s="295"/>
      <c r="CC268" s="295"/>
      <c r="CD268" s="295"/>
      <c r="CE268" s="295"/>
      <c r="CF268" s="295"/>
      <c r="CG268" s="295"/>
    </row>
    <row r="269">
      <c r="A269" s="294" t="s">
        <v>909</v>
      </c>
      <c r="B269" s="294" t="s">
        <v>901</v>
      </c>
      <c r="BZ269" s="296"/>
      <c r="CA269" s="296"/>
      <c r="CB269" s="296"/>
      <c r="CC269" s="296"/>
      <c r="CD269" s="296"/>
      <c r="CE269" s="296"/>
      <c r="CF269" s="296"/>
      <c r="CG269" s="296"/>
    </row>
    <row r="270">
      <c r="A270" s="294" t="s">
        <v>910</v>
      </c>
      <c r="B270" s="294" t="s">
        <v>911</v>
      </c>
      <c r="BZ270" s="295"/>
      <c r="CA270" s="295"/>
      <c r="CB270" s="295"/>
      <c r="CC270" s="295"/>
      <c r="CD270" s="295"/>
      <c r="CE270" s="295"/>
      <c r="CF270" s="295"/>
      <c r="CG270" s="295"/>
    </row>
    <row r="271">
      <c r="A271" s="300" t="s">
        <v>238</v>
      </c>
      <c r="B271" s="301" t="s">
        <v>912</v>
      </c>
      <c r="BY271" s="294"/>
      <c r="BZ271" s="296"/>
      <c r="CA271" s="296"/>
      <c r="CB271" s="296"/>
      <c r="CC271" s="296"/>
      <c r="CD271" s="296"/>
      <c r="CE271" s="296"/>
      <c r="CF271" s="296"/>
      <c r="CG271" s="296"/>
    </row>
    <row r="272">
      <c r="A272" s="300" t="s">
        <v>913</v>
      </c>
      <c r="B272" s="301" t="s">
        <v>914</v>
      </c>
      <c r="BY272" s="294"/>
      <c r="BZ272" s="295"/>
      <c r="CA272" s="295"/>
      <c r="CB272" s="295"/>
      <c r="CC272" s="295"/>
      <c r="CD272" s="295"/>
      <c r="CE272" s="295"/>
      <c r="CF272" s="295"/>
      <c r="CG272" s="295"/>
    </row>
    <row r="273">
      <c r="B273" s="301" t="s">
        <v>915</v>
      </c>
      <c r="BY273" s="294"/>
      <c r="BZ273" s="296"/>
      <c r="CA273" s="296"/>
      <c r="CB273" s="296"/>
      <c r="CC273" s="296"/>
      <c r="CD273" s="296"/>
      <c r="CE273" s="296"/>
      <c r="CF273" s="296"/>
      <c r="CG273" s="296"/>
    </row>
    <row r="274">
      <c r="B274" s="301" t="s">
        <v>916</v>
      </c>
      <c r="BY274" s="294"/>
      <c r="BZ274" s="295"/>
      <c r="CA274" s="295"/>
      <c r="CB274" s="295"/>
      <c r="CC274" s="295"/>
      <c r="CD274" s="295"/>
      <c r="CE274" s="295"/>
      <c r="CF274" s="295"/>
      <c r="CG274" s="295"/>
    </row>
    <row r="275">
      <c r="A275" s="294" t="s">
        <v>917</v>
      </c>
      <c r="B275" s="294" t="s">
        <v>918</v>
      </c>
      <c r="BZ275" s="296"/>
      <c r="CA275" s="296"/>
      <c r="CB275" s="296"/>
      <c r="CC275" s="296"/>
      <c r="CD275" s="296"/>
      <c r="CE275" s="296"/>
      <c r="CF275" s="296"/>
      <c r="CG275" s="296"/>
    </row>
    <row r="276">
      <c r="A276" s="300" t="s">
        <v>243</v>
      </c>
      <c r="B276" s="301" t="s">
        <v>919</v>
      </c>
      <c r="BY276" s="294"/>
      <c r="BZ276" s="295"/>
      <c r="CA276" s="295"/>
      <c r="CB276" s="295"/>
      <c r="CC276" s="295"/>
      <c r="CD276" s="295"/>
      <c r="CE276" s="295"/>
      <c r="CF276" s="295"/>
      <c r="CG276" s="295"/>
    </row>
    <row r="277">
      <c r="A277" s="300" t="s">
        <v>920</v>
      </c>
      <c r="B277" s="301" t="s">
        <v>921</v>
      </c>
      <c r="BY277" s="294"/>
      <c r="BZ277" s="296"/>
      <c r="CA277" s="296"/>
      <c r="CB277" s="296"/>
      <c r="CC277" s="296"/>
      <c r="CD277" s="296"/>
      <c r="CE277" s="296"/>
      <c r="CF277" s="296"/>
      <c r="CG277" s="296"/>
    </row>
    <row r="278">
      <c r="A278" s="300" t="s">
        <v>922</v>
      </c>
      <c r="B278" s="301" t="s">
        <v>923</v>
      </c>
      <c r="BY278" s="294"/>
      <c r="BZ278" s="295"/>
      <c r="CA278" s="295"/>
      <c r="CB278" s="295"/>
      <c r="CC278" s="295"/>
      <c r="CD278" s="295"/>
      <c r="CE278" s="295"/>
      <c r="CF278" s="295"/>
      <c r="CG278" s="295"/>
    </row>
    <row r="279">
      <c r="B279" s="301" t="s">
        <v>924</v>
      </c>
      <c r="BY279" s="294"/>
      <c r="BZ279" s="296"/>
      <c r="CA279" s="296"/>
      <c r="CB279" s="296"/>
      <c r="CC279" s="296"/>
      <c r="CD279" s="296"/>
      <c r="CE279" s="296"/>
      <c r="CF279" s="296"/>
      <c r="CG279" s="296"/>
    </row>
    <row r="280">
      <c r="B280" s="301" t="s">
        <v>925</v>
      </c>
      <c r="BY280" s="294"/>
      <c r="BZ280" s="295"/>
      <c r="CA280" s="295"/>
      <c r="CB280" s="295"/>
      <c r="CC280" s="295"/>
      <c r="CD280" s="295"/>
      <c r="CE280" s="295"/>
      <c r="CF280" s="295"/>
      <c r="CG280" s="295"/>
    </row>
    <row r="281">
      <c r="A281" s="294" t="s">
        <v>926</v>
      </c>
      <c r="B281" s="294" t="s">
        <v>927</v>
      </c>
      <c r="BZ281" s="296"/>
      <c r="CA281" s="296"/>
      <c r="CB281" s="296"/>
      <c r="CC281" s="296"/>
      <c r="CD281" s="296"/>
      <c r="CE281" s="296"/>
      <c r="CF281" s="296"/>
      <c r="CG281" s="296"/>
    </row>
    <row r="282">
      <c r="A282" s="300" t="s">
        <v>928</v>
      </c>
      <c r="B282" s="300" t="s">
        <v>929</v>
      </c>
      <c r="BY282" s="291"/>
      <c r="BZ282" s="291"/>
      <c r="CA282" s="291"/>
      <c r="CB282" s="291"/>
      <c r="CC282" s="291"/>
      <c r="CD282" s="291"/>
      <c r="CE282" s="291"/>
      <c r="CF282" s="291"/>
      <c r="CG282" s="291"/>
    </row>
    <row r="283">
      <c r="A283" s="294" t="s">
        <v>930</v>
      </c>
      <c r="B283" s="294" t="s">
        <v>931</v>
      </c>
      <c r="BZ283" s="296"/>
      <c r="CA283" s="296"/>
      <c r="CB283" s="296"/>
      <c r="CC283" s="296"/>
      <c r="CD283" s="296"/>
      <c r="CE283" s="296"/>
      <c r="CF283" s="296"/>
      <c r="CG283" s="296"/>
    </row>
    <row r="284">
      <c r="A284" s="292" t="s">
        <v>598</v>
      </c>
      <c r="B284" s="293" t="s">
        <v>932</v>
      </c>
      <c r="BQ284" s="291"/>
      <c r="BR284" s="291"/>
      <c r="BS284" s="291"/>
      <c r="BT284" s="291"/>
      <c r="BU284" s="291"/>
      <c r="BV284" s="291"/>
      <c r="BW284" s="291"/>
      <c r="BX284" s="291"/>
      <c r="BY284" s="291"/>
      <c r="BZ284" s="291"/>
      <c r="CA284" s="291"/>
      <c r="CB284" s="291"/>
      <c r="CC284" s="291"/>
      <c r="CD284" s="291"/>
      <c r="CE284" s="291"/>
      <c r="CF284" s="291"/>
      <c r="CG284" s="291"/>
    </row>
    <row r="285">
      <c r="A285" s="300" t="s">
        <v>602</v>
      </c>
      <c r="B285" s="301" t="s">
        <v>933</v>
      </c>
      <c r="BY285" s="294"/>
      <c r="BZ285" s="296"/>
      <c r="CA285" s="296"/>
      <c r="CB285" s="296"/>
      <c r="CC285" s="296"/>
      <c r="CD285" s="296"/>
      <c r="CE285" s="296"/>
      <c r="CF285" s="296"/>
      <c r="CG285" s="296"/>
    </row>
    <row r="286">
      <c r="A286" s="292" t="s">
        <v>602</v>
      </c>
      <c r="B286" s="293" t="s">
        <v>786</v>
      </c>
      <c r="BV286" s="291"/>
      <c r="BW286" s="291"/>
      <c r="BX286" s="291"/>
      <c r="BY286" s="291"/>
      <c r="BZ286" s="291"/>
      <c r="CA286" s="291"/>
      <c r="CB286" s="291"/>
      <c r="CC286" s="291"/>
      <c r="CD286" s="291"/>
      <c r="CE286" s="291"/>
      <c r="CF286" s="291"/>
      <c r="CG286" s="291"/>
    </row>
    <row r="287">
      <c r="A287" s="292" t="s">
        <v>934</v>
      </c>
      <c r="B287" s="293" t="s">
        <v>935</v>
      </c>
      <c r="BQ287" s="293"/>
      <c r="BR287" s="293"/>
      <c r="BS287" s="293"/>
      <c r="BT287" s="293"/>
      <c r="BU287" s="232"/>
      <c r="BV287" s="232"/>
      <c r="BW287" s="232"/>
      <c r="BX287" s="232"/>
      <c r="BY287" s="232"/>
      <c r="BZ287" s="232"/>
      <c r="CA287" s="232"/>
      <c r="CB287" s="232"/>
      <c r="CC287" s="232"/>
      <c r="CD287" s="232"/>
      <c r="CE287" s="232"/>
      <c r="CF287" s="232"/>
      <c r="CG287" s="232"/>
    </row>
    <row r="288">
      <c r="A288" s="300" t="s">
        <v>934</v>
      </c>
      <c r="B288" s="301" t="s">
        <v>287</v>
      </c>
      <c r="BY288" s="294"/>
      <c r="BZ288" s="295"/>
      <c r="CA288" s="295"/>
      <c r="CB288" s="295"/>
      <c r="CC288" s="295"/>
      <c r="CD288" s="295"/>
      <c r="CE288" s="295"/>
      <c r="CF288" s="295"/>
      <c r="CG288" s="295"/>
    </row>
    <row r="289">
      <c r="A289" s="294" t="s">
        <v>936</v>
      </c>
      <c r="B289" s="294" t="s">
        <v>931</v>
      </c>
      <c r="BZ289" s="296"/>
      <c r="CA289" s="296"/>
      <c r="CB289" s="296"/>
      <c r="CC289" s="296"/>
      <c r="CD289" s="296"/>
      <c r="CE289" s="296"/>
      <c r="CF289" s="296"/>
      <c r="CG289" s="296"/>
    </row>
    <row r="290">
      <c r="A290" s="292" t="s">
        <v>255</v>
      </c>
      <c r="B290" s="293" t="s">
        <v>937</v>
      </c>
      <c r="BV290" s="291"/>
      <c r="BW290" s="291"/>
      <c r="BX290" s="291"/>
      <c r="BY290" s="291"/>
      <c r="BZ290" s="291"/>
      <c r="CA290" s="291"/>
      <c r="CB290" s="291"/>
      <c r="CC290" s="291"/>
      <c r="CD290" s="291"/>
      <c r="CE290" s="291"/>
      <c r="CF290" s="291"/>
      <c r="CG290" s="291"/>
    </row>
    <row r="291">
      <c r="A291" s="292" t="s">
        <v>257</v>
      </c>
      <c r="B291" s="293" t="s">
        <v>938</v>
      </c>
      <c r="BQ291" s="293"/>
      <c r="BR291" s="293"/>
      <c r="BS291" s="293"/>
      <c r="BT291" s="293"/>
      <c r="BU291" s="232"/>
      <c r="BV291" s="232"/>
      <c r="BW291" s="232"/>
      <c r="BX291" s="232"/>
      <c r="BY291" s="232"/>
      <c r="BZ291" s="232"/>
      <c r="CA291" s="232"/>
      <c r="CB291" s="232"/>
      <c r="CC291" s="232"/>
      <c r="CD291" s="232"/>
      <c r="CE291" s="232"/>
      <c r="CF291" s="232"/>
      <c r="CG291" s="232"/>
    </row>
    <row r="292">
      <c r="A292" s="292" t="s">
        <v>614</v>
      </c>
      <c r="B292" s="293" t="s">
        <v>939</v>
      </c>
      <c r="BQ292" s="293"/>
      <c r="BR292" s="293"/>
      <c r="BS292" s="293"/>
      <c r="BT292" s="293"/>
      <c r="BU292" s="291"/>
      <c r="BV292" s="291"/>
      <c r="BW292" s="291"/>
      <c r="BX292" s="291"/>
      <c r="BY292" s="291"/>
      <c r="BZ292" s="291"/>
      <c r="CA292" s="291"/>
      <c r="CB292" s="291"/>
      <c r="CC292" s="291"/>
      <c r="CD292" s="291"/>
      <c r="CE292" s="291"/>
      <c r="CF292" s="291"/>
      <c r="CG292" s="291"/>
    </row>
    <row r="293">
      <c r="A293" s="294" t="s">
        <v>940</v>
      </c>
      <c r="B293" s="304" t="s">
        <v>941</v>
      </c>
      <c r="BZ293" s="232"/>
      <c r="CA293" s="232"/>
      <c r="CB293" s="232"/>
      <c r="CC293" s="232"/>
      <c r="CD293" s="232"/>
      <c r="CE293" s="232"/>
      <c r="CF293" s="232"/>
      <c r="CG293" s="232"/>
    </row>
    <row r="294">
      <c r="A294" s="294" t="s">
        <v>942</v>
      </c>
      <c r="B294" s="294" t="s">
        <v>943</v>
      </c>
      <c r="BZ294" s="295"/>
      <c r="CA294" s="295"/>
      <c r="CB294" s="295"/>
      <c r="CC294" s="295"/>
      <c r="CD294" s="295"/>
      <c r="CE294" s="295"/>
      <c r="CF294" s="295"/>
      <c r="CG294" s="295"/>
    </row>
    <row r="295">
      <c r="A295" s="292" t="s">
        <v>944</v>
      </c>
      <c r="B295" s="293" t="s">
        <v>287</v>
      </c>
      <c r="BU295" s="232"/>
      <c r="BV295" s="232"/>
      <c r="BW295" s="232"/>
      <c r="BX295" s="232"/>
      <c r="BY295" s="232"/>
      <c r="BZ295" s="232"/>
      <c r="CA295" s="232"/>
      <c r="CB295" s="232"/>
      <c r="CC295" s="232"/>
      <c r="CD295" s="232"/>
      <c r="CE295" s="232"/>
      <c r="CF295" s="232"/>
      <c r="CG295" s="232"/>
    </row>
    <row r="296">
      <c r="A296" s="292" t="s">
        <v>945</v>
      </c>
      <c r="B296" s="293" t="s">
        <v>946</v>
      </c>
      <c r="BV296" s="291"/>
      <c r="BW296" s="291"/>
      <c r="BX296" s="291"/>
      <c r="BY296" s="291"/>
      <c r="BZ296" s="291"/>
      <c r="CA296" s="291"/>
      <c r="CB296" s="291"/>
      <c r="CC296" s="291"/>
      <c r="CD296" s="291"/>
      <c r="CE296" s="291"/>
      <c r="CF296" s="291"/>
      <c r="CG296" s="291"/>
    </row>
    <row r="297">
      <c r="A297" s="294" t="s">
        <v>947</v>
      </c>
      <c r="B297" s="294" t="s">
        <v>948</v>
      </c>
      <c r="BZ297" s="296"/>
      <c r="CA297" s="296"/>
      <c r="CB297" s="296"/>
      <c r="CC297" s="296"/>
      <c r="CD297" s="296"/>
      <c r="CE297" s="296"/>
      <c r="CF297" s="296"/>
      <c r="CG297" s="296"/>
    </row>
    <row r="298">
      <c r="A298" s="294" t="s">
        <v>949</v>
      </c>
      <c r="B298" s="294" t="s">
        <v>950</v>
      </c>
      <c r="BZ298" s="295"/>
      <c r="CA298" s="295"/>
      <c r="CB298" s="295"/>
      <c r="CC298" s="295"/>
      <c r="CD298" s="295"/>
      <c r="CE298" s="295"/>
      <c r="CF298" s="295"/>
      <c r="CG298" s="295"/>
    </row>
    <row r="299">
      <c r="A299" s="292" t="s">
        <v>951</v>
      </c>
      <c r="B299" s="293" t="s">
        <v>952</v>
      </c>
      <c r="BQ299" s="305"/>
      <c r="BR299" s="305"/>
      <c r="BS299" s="305"/>
      <c r="BT299" s="305"/>
      <c r="BU299" s="305"/>
      <c r="BV299" s="232"/>
      <c r="BW299" s="232"/>
      <c r="BX299" s="232"/>
      <c r="BY299" s="232"/>
      <c r="BZ299" s="232"/>
      <c r="CA299" s="232"/>
      <c r="CB299" s="232"/>
      <c r="CC299" s="232"/>
      <c r="CD299" s="232"/>
      <c r="CE299" s="232"/>
      <c r="CF299" s="232"/>
      <c r="CG299" s="232"/>
    </row>
    <row r="300">
      <c r="A300" s="292" t="s">
        <v>953</v>
      </c>
      <c r="B300" s="293" t="s">
        <v>954</v>
      </c>
      <c r="BQ300" s="305"/>
      <c r="BR300" s="305"/>
      <c r="BS300" s="305"/>
      <c r="BT300" s="305"/>
      <c r="BU300" s="305"/>
      <c r="BV300" s="291"/>
      <c r="BW300" s="291"/>
      <c r="BX300" s="291"/>
      <c r="BY300" s="291"/>
      <c r="BZ300" s="291"/>
      <c r="CA300" s="291"/>
      <c r="CB300" s="291"/>
      <c r="CC300" s="291"/>
      <c r="CD300" s="291"/>
      <c r="CE300" s="291"/>
      <c r="CF300" s="291"/>
      <c r="CG300" s="291"/>
    </row>
    <row r="301">
      <c r="A301" s="294" t="s">
        <v>955</v>
      </c>
      <c r="B301" s="294" t="s">
        <v>950</v>
      </c>
      <c r="BZ301" s="296"/>
      <c r="CA301" s="296"/>
      <c r="CB301" s="296"/>
      <c r="CC301" s="296"/>
      <c r="CD301" s="296"/>
      <c r="CE301" s="296"/>
      <c r="CF301" s="296"/>
      <c r="CG301" s="296"/>
    </row>
    <row r="302">
      <c r="A302" s="292" t="s">
        <v>270</v>
      </c>
      <c r="B302" s="293" t="s">
        <v>956</v>
      </c>
      <c r="BV302" s="291"/>
      <c r="BW302" s="291"/>
      <c r="BX302" s="291"/>
      <c r="BY302" s="291"/>
      <c r="BZ302" s="291"/>
      <c r="CA302" s="291"/>
      <c r="CB302" s="291"/>
      <c r="CC302" s="291"/>
      <c r="CD302" s="291"/>
      <c r="CE302" s="291"/>
      <c r="CF302" s="291"/>
      <c r="CG302" s="291"/>
    </row>
    <row r="303">
      <c r="A303" s="294" t="s">
        <v>957</v>
      </c>
      <c r="B303" s="294" t="s">
        <v>950</v>
      </c>
      <c r="BZ303" s="296"/>
      <c r="CA303" s="296"/>
      <c r="CB303" s="296"/>
      <c r="CC303" s="296"/>
      <c r="CD303" s="296"/>
      <c r="CE303" s="296"/>
      <c r="CF303" s="296"/>
      <c r="CG303" s="296"/>
    </row>
    <row r="304">
      <c r="A304" s="292" t="s">
        <v>278</v>
      </c>
      <c r="B304" s="293" t="s">
        <v>946</v>
      </c>
      <c r="BV304" s="291"/>
      <c r="BW304" s="291"/>
      <c r="BX304" s="291"/>
      <c r="BY304" s="291"/>
      <c r="BZ304" s="291"/>
      <c r="CA304" s="291"/>
      <c r="CB304" s="291"/>
      <c r="CC304" s="291"/>
      <c r="CD304" s="291"/>
      <c r="CE304" s="291"/>
      <c r="CF304" s="291"/>
      <c r="CG304" s="291"/>
    </row>
    <row r="305">
      <c r="A305" s="292" t="s">
        <v>958</v>
      </c>
      <c r="B305" s="293" t="s">
        <v>959</v>
      </c>
      <c r="BQ305" s="232"/>
      <c r="BR305" s="232"/>
      <c r="BS305" s="232"/>
      <c r="BT305" s="232"/>
      <c r="BU305" s="232"/>
      <c r="BV305" s="232"/>
      <c r="BW305" s="232"/>
      <c r="BX305" s="232"/>
      <c r="BY305" s="232"/>
      <c r="BZ305" s="232"/>
      <c r="CA305" s="232"/>
      <c r="CB305" s="232"/>
      <c r="CC305" s="232"/>
      <c r="CD305" s="232"/>
      <c r="CE305" s="232"/>
      <c r="CF305" s="232"/>
      <c r="CG305" s="232"/>
    </row>
    <row r="306">
      <c r="A306" s="292" t="s">
        <v>960</v>
      </c>
      <c r="B306" s="293" t="s">
        <v>961</v>
      </c>
      <c r="BQ306" s="291"/>
      <c r="BR306" s="291"/>
      <c r="BS306" s="291"/>
      <c r="BT306" s="291"/>
      <c r="BU306" s="291"/>
      <c r="BV306" s="291"/>
      <c r="BW306" s="291"/>
      <c r="BX306" s="291"/>
      <c r="BY306" s="291"/>
      <c r="BZ306" s="291"/>
      <c r="CA306" s="291"/>
      <c r="CB306" s="291"/>
      <c r="CC306" s="291"/>
      <c r="CD306" s="291"/>
      <c r="CE306" s="291"/>
      <c r="CF306" s="291"/>
      <c r="CG306" s="291"/>
    </row>
    <row r="307">
      <c r="A307" s="294" t="s">
        <v>962</v>
      </c>
      <c r="B307" s="294" t="s">
        <v>950</v>
      </c>
      <c r="BZ307" s="296"/>
      <c r="CA307" s="296"/>
      <c r="CB307" s="296"/>
      <c r="CC307" s="296"/>
      <c r="CD307" s="296"/>
      <c r="CE307" s="296"/>
      <c r="CF307" s="296"/>
      <c r="CG307" s="296"/>
    </row>
    <row r="308">
      <c r="A308" s="292" t="s">
        <v>958</v>
      </c>
      <c r="B308" s="293" t="s">
        <v>963</v>
      </c>
      <c r="BQ308" s="291"/>
      <c r="BR308" s="291"/>
      <c r="BS308" s="291"/>
      <c r="BT308" s="291"/>
      <c r="BU308" s="291"/>
      <c r="BV308" s="291"/>
      <c r="BW308" s="291"/>
      <c r="BX308" s="291"/>
      <c r="BY308" s="291"/>
      <c r="BZ308" s="291"/>
      <c r="CA308" s="291"/>
      <c r="CB308" s="291"/>
      <c r="CC308" s="291"/>
      <c r="CD308" s="291"/>
      <c r="CE308" s="291"/>
      <c r="CF308" s="291"/>
      <c r="CG308" s="291"/>
    </row>
    <row r="309">
      <c r="A309" s="294" t="s">
        <v>964</v>
      </c>
      <c r="B309" s="294" t="s">
        <v>965</v>
      </c>
      <c r="BZ309" s="296"/>
      <c r="CA309" s="296"/>
      <c r="CB309" s="296"/>
      <c r="CC309" s="296"/>
      <c r="CD309" s="296"/>
      <c r="CE309" s="296"/>
      <c r="CF309" s="296"/>
      <c r="CG309" s="296"/>
    </row>
    <row r="310">
      <c r="A310" s="300" t="s">
        <v>966</v>
      </c>
      <c r="B310" s="301" t="s">
        <v>967</v>
      </c>
      <c r="BY310" s="291"/>
      <c r="BZ310" s="291"/>
      <c r="CA310" s="291"/>
      <c r="CB310" s="291"/>
      <c r="CC310" s="291"/>
      <c r="CD310" s="291"/>
      <c r="CE310" s="291"/>
      <c r="CF310" s="291"/>
      <c r="CG310" s="291"/>
    </row>
    <row r="311">
      <c r="A311" s="292" t="s">
        <v>966</v>
      </c>
      <c r="B311" s="293" t="s">
        <v>968</v>
      </c>
      <c r="BQ311" s="232"/>
      <c r="BR311" s="232"/>
      <c r="BS311" s="232"/>
      <c r="BT311" s="232"/>
      <c r="BU311" s="232"/>
      <c r="BV311" s="232"/>
      <c r="BW311" s="232"/>
      <c r="BX311" s="232"/>
      <c r="BY311" s="232"/>
      <c r="BZ311" s="232"/>
      <c r="CA311" s="232"/>
      <c r="CB311" s="232"/>
      <c r="CC311" s="232"/>
      <c r="CD311" s="232"/>
      <c r="CE311" s="232"/>
      <c r="CF311" s="232"/>
      <c r="CG311" s="232"/>
    </row>
    <row r="312">
      <c r="A312" s="294" t="s">
        <v>964</v>
      </c>
      <c r="B312" s="297" t="s">
        <v>965</v>
      </c>
      <c r="BZ312" s="291"/>
      <c r="CA312" s="291"/>
      <c r="CB312" s="291"/>
      <c r="CC312" s="291"/>
      <c r="CD312" s="291"/>
      <c r="CE312" s="291"/>
      <c r="CF312" s="291"/>
      <c r="CG312" s="291"/>
    </row>
    <row r="313">
      <c r="A313" s="292" t="s">
        <v>665</v>
      </c>
      <c r="B313" s="293" t="s">
        <v>969</v>
      </c>
      <c r="BQ313" s="293"/>
      <c r="BR313" s="293"/>
      <c r="BS313" s="293"/>
      <c r="BT313" s="293"/>
      <c r="BU313" s="293"/>
      <c r="BV313" s="293"/>
      <c r="BW313" s="293"/>
      <c r="BX313" s="293"/>
      <c r="BY313" s="293"/>
      <c r="BZ313" s="232"/>
      <c r="CA313" s="232"/>
      <c r="CB313" s="232"/>
      <c r="CC313" s="232"/>
      <c r="CD313" s="232"/>
      <c r="CE313" s="232"/>
      <c r="CF313" s="232"/>
      <c r="CG313" s="232"/>
    </row>
    <row r="314">
      <c r="A314" s="292" t="s">
        <v>669</v>
      </c>
      <c r="B314" s="293" t="s">
        <v>970</v>
      </c>
      <c r="BZ314" s="291"/>
      <c r="CA314" s="291"/>
      <c r="CB314" s="291"/>
      <c r="CC314" s="291"/>
      <c r="CD314" s="291"/>
      <c r="CE314" s="291"/>
      <c r="CF314" s="291"/>
      <c r="CG314" s="291"/>
    </row>
    <row r="315">
      <c r="A315" s="292" t="s">
        <v>671</v>
      </c>
      <c r="B315" s="306" t="s">
        <v>208</v>
      </c>
      <c r="BU315" s="232"/>
      <c r="BV315" s="232"/>
      <c r="BW315" s="232"/>
      <c r="BX315" s="232"/>
      <c r="BY315" s="232"/>
      <c r="BZ315" s="232"/>
      <c r="CA315" s="232"/>
      <c r="CB315" s="232"/>
      <c r="CC315" s="232"/>
      <c r="CD315" s="232"/>
      <c r="CE315" s="232"/>
      <c r="CF315" s="232"/>
      <c r="CG315" s="232"/>
    </row>
    <row r="316">
      <c r="A316" s="292" t="s">
        <v>673</v>
      </c>
      <c r="B316" s="293" t="s">
        <v>971</v>
      </c>
      <c r="BV316" s="291"/>
      <c r="BW316" s="291"/>
      <c r="BX316" s="291"/>
      <c r="BY316" s="291"/>
      <c r="BZ316" s="291"/>
      <c r="CA316" s="291"/>
      <c r="CB316" s="291"/>
      <c r="CC316" s="291"/>
      <c r="CD316" s="291"/>
      <c r="CE316" s="291"/>
      <c r="CF316" s="291"/>
      <c r="CG316" s="291"/>
    </row>
    <row r="317">
      <c r="A317" s="307" t="s">
        <v>972</v>
      </c>
      <c r="B317" s="307" t="s">
        <v>973</v>
      </c>
      <c r="BZ317" s="296"/>
      <c r="CA317" s="296"/>
      <c r="CB317" s="296"/>
      <c r="CC317" s="296"/>
      <c r="CD317" s="296"/>
      <c r="CE317" s="296"/>
      <c r="CF317" s="296"/>
      <c r="CG317" s="296"/>
    </row>
    <row r="318">
      <c r="A318" s="294" t="s">
        <v>974</v>
      </c>
      <c r="B318" s="297" t="s">
        <v>975</v>
      </c>
      <c r="BZ318" s="291"/>
      <c r="CA318" s="291"/>
      <c r="CB318" s="291"/>
      <c r="CC318" s="291"/>
      <c r="CD318" s="291"/>
      <c r="CE318" s="291"/>
      <c r="CF318" s="291"/>
      <c r="CG318" s="291"/>
    </row>
    <row r="319">
      <c r="A319" s="294" t="s">
        <v>976</v>
      </c>
      <c r="B319" s="294" t="s">
        <v>977</v>
      </c>
      <c r="BZ319" s="296"/>
      <c r="CA319" s="296"/>
      <c r="CB319" s="296"/>
      <c r="CC319" s="296"/>
      <c r="CD319" s="296"/>
      <c r="CE319" s="296"/>
      <c r="CF319" s="296"/>
      <c r="CG319" s="296"/>
    </row>
    <row r="320">
      <c r="A320" s="292" t="s">
        <v>978</v>
      </c>
      <c r="B320" s="293" t="s">
        <v>979</v>
      </c>
      <c r="BQ320" s="291"/>
      <c r="BR320" s="291"/>
      <c r="BS320" s="291"/>
      <c r="BT320" s="291"/>
      <c r="BU320" s="291"/>
      <c r="BV320" s="291"/>
      <c r="BW320" s="291"/>
      <c r="BX320" s="291"/>
      <c r="BY320" s="291"/>
      <c r="BZ320" s="291"/>
      <c r="CA320" s="291"/>
      <c r="CB320" s="291"/>
      <c r="CC320" s="291"/>
      <c r="CD320" s="291"/>
      <c r="CE320" s="291"/>
      <c r="CF320" s="291"/>
      <c r="CG320" s="291"/>
    </row>
    <row r="321">
      <c r="B321" s="293" t="s">
        <v>980</v>
      </c>
      <c r="BQ321" s="232"/>
      <c r="BR321" s="232"/>
      <c r="BS321" s="232"/>
      <c r="BT321" s="232"/>
      <c r="BU321" s="232"/>
      <c r="BV321" s="232"/>
      <c r="BW321" s="232"/>
      <c r="BX321" s="232"/>
      <c r="BY321" s="232"/>
      <c r="BZ321" s="232"/>
      <c r="CA321" s="232"/>
      <c r="CB321" s="232"/>
      <c r="CC321" s="232"/>
      <c r="CD321" s="232"/>
      <c r="CE321" s="232"/>
      <c r="CF321" s="232"/>
      <c r="CG321" s="232"/>
    </row>
    <row r="322">
      <c r="A322" s="294" t="s">
        <v>981</v>
      </c>
      <c r="B322" s="297" t="s">
        <v>982</v>
      </c>
      <c r="BZ322" s="291"/>
      <c r="CA322" s="291"/>
      <c r="CB322" s="291"/>
      <c r="CC322" s="291"/>
      <c r="CD322" s="291"/>
      <c r="CE322" s="291"/>
      <c r="CF322" s="291"/>
      <c r="CG322" s="291"/>
    </row>
    <row r="323">
      <c r="A323" s="292" t="s">
        <v>983</v>
      </c>
      <c r="B323" s="293" t="s">
        <v>984</v>
      </c>
      <c r="BQ323" s="232"/>
      <c r="BR323" s="232"/>
      <c r="BS323" s="232"/>
      <c r="BT323" s="232"/>
      <c r="BU323" s="232"/>
      <c r="BV323" s="232"/>
      <c r="BW323" s="232"/>
      <c r="BX323" s="232"/>
      <c r="BY323" s="232"/>
      <c r="BZ323" s="232"/>
      <c r="CA323" s="232"/>
      <c r="CB323" s="232"/>
      <c r="CC323" s="232"/>
      <c r="CD323" s="232"/>
      <c r="CE323" s="232"/>
      <c r="CF323" s="232"/>
      <c r="CG323" s="232"/>
    </row>
    <row r="324">
      <c r="A324" s="292" t="s">
        <v>985</v>
      </c>
      <c r="B324" s="293" t="s">
        <v>986</v>
      </c>
      <c r="BQ324" s="291"/>
      <c r="BR324" s="291"/>
      <c r="BS324" s="291"/>
      <c r="BT324" s="291"/>
      <c r="BU324" s="291"/>
      <c r="BV324" s="291"/>
      <c r="BW324" s="291"/>
      <c r="BX324" s="291"/>
      <c r="BY324" s="291"/>
      <c r="BZ324" s="291"/>
      <c r="CA324" s="291"/>
      <c r="CB324" s="291"/>
      <c r="CC324" s="291"/>
      <c r="CD324" s="291"/>
      <c r="CE324" s="291"/>
      <c r="CF324" s="291"/>
      <c r="CG324" s="291"/>
    </row>
    <row r="325">
      <c r="A325" s="294" t="s">
        <v>987</v>
      </c>
      <c r="B325" s="297" t="s">
        <v>988</v>
      </c>
      <c r="BZ325" s="232"/>
      <c r="CA325" s="232"/>
      <c r="CB325" s="232"/>
      <c r="CC325" s="232"/>
      <c r="CD325" s="232"/>
      <c r="CE325" s="232"/>
      <c r="CF325" s="232"/>
      <c r="CG325" s="232"/>
    </row>
    <row r="326">
      <c r="A326" s="292" t="s">
        <v>989</v>
      </c>
      <c r="B326" s="293" t="s">
        <v>963</v>
      </c>
      <c r="BQ326" s="291"/>
      <c r="BR326" s="291"/>
      <c r="BS326" s="291"/>
      <c r="BT326" s="291"/>
      <c r="BU326" s="291"/>
      <c r="BV326" s="291"/>
      <c r="BW326" s="291"/>
      <c r="BX326" s="291"/>
      <c r="BY326" s="291"/>
      <c r="BZ326" s="291"/>
      <c r="CA326" s="291"/>
      <c r="CB326" s="291"/>
      <c r="CC326" s="291"/>
      <c r="CD326" s="291"/>
      <c r="CE326" s="291"/>
      <c r="CF326" s="291"/>
      <c r="CG326" s="291"/>
    </row>
    <row r="327">
      <c r="A327" s="292" t="s">
        <v>299</v>
      </c>
      <c r="B327" s="293" t="s">
        <v>990</v>
      </c>
      <c r="BQ327" s="232"/>
      <c r="BR327" s="232"/>
      <c r="BS327" s="232"/>
      <c r="BT327" s="232"/>
      <c r="BU327" s="232"/>
      <c r="BV327" s="232"/>
      <c r="BW327" s="232"/>
      <c r="BX327" s="232"/>
      <c r="BY327" s="232"/>
      <c r="BZ327" s="232"/>
      <c r="CA327" s="232"/>
      <c r="CB327" s="232"/>
      <c r="CC327" s="232"/>
      <c r="CD327" s="232"/>
      <c r="CE327" s="232"/>
      <c r="CF327" s="232"/>
      <c r="CG327" s="232"/>
    </row>
    <row r="328">
      <c r="A328" s="294" t="s">
        <v>991</v>
      </c>
      <c r="B328" s="297" t="s">
        <v>992</v>
      </c>
      <c r="BZ328" s="291"/>
      <c r="CA328" s="291"/>
      <c r="CB328" s="291"/>
      <c r="CC328" s="291"/>
      <c r="CD328" s="291"/>
      <c r="CE328" s="291"/>
      <c r="CF328" s="291"/>
      <c r="CG328" s="291"/>
    </row>
    <row r="329">
      <c r="A329" s="308">
        <v>45685.0</v>
      </c>
      <c r="B329" s="301" t="s">
        <v>993</v>
      </c>
      <c r="BY329" s="232"/>
      <c r="BZ329" s="232"/>
      <c r="CA329" s="232"/>
      <c r="CB329" s="232"/>
      <c r="CC329" s="232"/>
      <c r="CD329" s="232"/>
      <c r="CE329" s="232"/>
      <c r="CF329" s="232"/>
      <c r="CG329" s="232"/>
    </row>
    <row r="330">
      <c r="B330" s="301" t="s">
        <v>994</v>
      </c>
      <c r="BY330" s="291"/>
      <c r="BZ330" s="291"/>
      <c r="CA330" s="291"/>
      <c r="CB330" s="291"/>
      <c r="CC330" s="291"/>
      <c r="CD330" s="291"/>
      <c r="CE330" s="291"/>
      <c r="CF330" s="291"/>
      <c r="CG330" s="291"/>
    </row>
    <row r="331">
      <c r="B331" s="301" t="s">
        <v>995</v>
      </c>
      <c r="BY331" s="232"/>
      <c r="BZ331" s="232"/>
      <c r="CA331" s="232"/>
      <c r="CB331" s="232"/>
      <c r="CC331" s="232"/>
      <c r="CD331" s="232"/>
      <c r="CE331" s="232"/>
      <c r="CF331" s="232"/>
      <c r="CG331" s="232"/>
    </row>
    <row r="332">
      <c r="A332" s="292" t="s">
        <v>996</v>
      </c>
      <c r="B332" s="306" t="s">
        <v>997</v>
      </c>
      <c r="BQ332" s="291"/>
      <c r="BR332" s="291"/>
      <c r="BS332" s="291"/>
      <c r="BT332" s="291"/>
      <c r="BU332" s="291"/>
      <c r="BV332" s="291"/>
      <c r="BW332" s="291"/>
      <c r="BX332" s="291"/>
      <c r="BY332" s="291"/>
      <c r="BZ332" s="291"/>
      <c r="CA332" s="291"/>
      <c r="CB332" s="291"/>
      <c r="CC332" s="291"/>
      <c r="CD332" s="291"/>
      <c r="CE332" s="291"/>
      <c r="CF332" s="291"/>
      <c r="CG332" s="291"/>
    </row>
    <row r="333">
      <c r="A333" s="294" t="s">
        <v>998</v>
      </c>
      <c r="B333" s="297" t="s">
        <v>999</v>
      </c>
      <c r="BZ333" s="232"/>
      <c r="CA333" s="232"/>
      <c r="CB333" s="232"/>
      <c r="CC333" s="232"/>
      <c r="CD333" s="232"/>
      <c r="CE333" s="232"/>
      <c r="CF333" s="232"/>
      <c r="CG333" s="232"/>
    </row>
    <row r="334">
      <c r="A334" s="300" t="s">
        <v>305</v>
      </c>
      <c r="B334" s="301" t="s">
        <v>1000</v>
      </c>
      <c r="BY334" s="291"/>
      <c r="BZ334" s="291"/>
      <c r="CA334" s="291"/>
      <c r="CB334" s="291"/>
      <c r="CC334" s="291"/>
      <c r="CD334" s="291"/>
      <c r="CE334" s="291"/>
      <c r="CF334" s="291"/>
      <c r="CG334" s="291"/>
    </row>
    <row r="335">
      <c r="A335" s="294" t="s">
        <v>1001</v>
      </c>
      <c r="B335" s="297" t="s">
        <v>1002</v>
      </c>
      <c r="BZ335" s="232"/>
      <c r="CA335" s="232"/>
      <c r="CB335" s="232"/>
      <c r="CC335" s="232"/>
      <c r="CD335" s="232"/>
      <c r="CE335" s="232"/>
      <c r="CF335" s="232"/>
      <c r="CG335" s="232"/>
    </row>
    <row r="336">
      <c r="A336" s="292" t="s">
        <v>1003</v>
      </c>
      <c r="B336" s="293" t="s">
        <v>208</v>
      </c>
      <c r="BU336" s="291"/>
      <c r="BV336" s="291"/>
      <c r="BW336" s="291"/>
      <c r="BX336" s="291"/>
      <c r="BY336" s="291"/>
      <c r="BZ336" s="291"/>
      <c r="CA336" s="291"/>
      <c r="CB336" s="291"/>
      <c r="CC336" s="291"/>
      <c r="CD336" s="291"/>
      <c r="CE336" s="291"/>
      <c r="CF336" s="291"/>
      <c r="CG336" s="291"/>
    </row>
    <row r="337">
      <c r="A337" s="292" t="s">
        <v>1004</v>
      </c>
      <c r="B337" s="293" t="s">
        <v>244</v>
      </c>
      <c r="BV337" s="232"/>
      <c r="BW337" s="232"/>
      <c r="BX337" s="232"/>
      <c r="BY337" s="232"/>
      <c r="BZ337" s="232"/>
      <c r="CA337" s="232"/>
      <c r="CB337" s="232"/>
      <c r="CC337" s="232"/>
      <c r="CD337" s="232"/>
      <c r="CE337" s="232"/>
      <c r="CF337" s="232"/>
      <c r="CG337" s="232"/>
    </row>
    <row r="338">
      <c r="A338" s="294" t="s">
        <v>1005</v>
      </c>
      <c r="B338" s="297" t="s">
        <v>1006</v>
      </c>
      <c r="BZ338" s="291"/>
      <c r="CA338" s="291"/>
      <c r="CB338" s="291"/>
      <c r="CC338" s="291"/>
      <c r="CD338" s="291"/>
      <c r="CE338" s="291"/>
      <c r="CF338" s="291"/>
      <c r="CG338" s="291"/>
    </row>
    <row r="339">
      <c r="A339" s="294" t="s">
        <v>1007</v>
      </c>
      <c r="B339" s="297" t="s">
        <v>1006</v>
      </c>
      <c r="BZ339" s="232"/>
      <c r="CA339" s="232"/>
      <c r="CB339" s="232"/>
      <c r="CC339" s="232"/>
      <c r="CD339" s="232"/>
      <c r="CE339" s="232"/>
      <c r="CF339" s="232"/>
      <c r="CG339" s="232"/>
    </row>
    <row r="340">
      <c r="A340" s="308">
        <v>45666.0</v>
      </c>
      <c r="B340" s="301" t="s">
        <v>1008</v>
      </c>
      <c r="BY340" s="309"/>
      <c r="BZ340" s="291"/>
      <c r="CA340" s="291"/>
      <c r="CB340" s="291"/>
      <c r="CC340" s="291"/>
      <c r="CD340" s="291"/>
      <c r="CE340" s="291"/>
      <c r="CF340" s="291"/>
      <c r="CG340" s="291"/>
    </row>
    <row r="341">
      <c r="A341" s="294" t="s">
        <v>1009</v>
      </c>
      <c r="B341" s="297" t="s">
        <v>1006</v>
      </c>
      <c r="BZ341" s="232"/>
      <c r="CA341" s="232"/>
      <c r="CB341" s="232"/>
      <c r="CC341" s="232"/>
      <c r="CD341" s="232"/>
      <c r="CE341" s="232"/>
      <c r="CF341" s="232"/>
      <c r="CG341" s="232"/>
    </row>
    <row r="342">
      <c r="A342" s="310" t="s">
        <v>321</v>
      </c>
      <c r="B342" s="304" t="s">
        <v>941</v>
      </c>
      <c r="BZ342" s="291"/>
      <c r="CA342" s="291"/>
      <c r="CB342" s="291"/>
      <c r="CC342" s="291"/>
      <c r="CD342" s="291"/>
      <c r="CE342" s="291"/>
      <c r="CF342" s="291"/>
      <c r="CG342" s="291"/>
    </row>
    <row r="343">
      <c r="A343" s="311" t="s">
        <v>1010</v>
      </c>
      <c r="B343" s="312" t="s">
        <v>1011</v>
      </c>
      <c r="BY343" s="232"/>
      <c r="BZ343" s="232"/>
      <c r="CA343" s="232"/>
      <c r="CB343" s="232"/>
      <c r="CC343" s="232"/>
      <c r="CD343" s="232"/>
      <c r="CE343" s="232"/>
      <c r="CF343" s="232"/>
      <c r="CG343" s="232"/>
    </row>
    <row r="344">
      <c r="A344" s="313" t="s">
        <v>1012</v>
      </c>
      <c r="B344" s="312" t="s">
        <v>1013</v>
      </c>
      <c r="BY344" s="291"/>
      <c r="BZ344" s="291"/>
      <c r="CA344" s="291"/>
      <c r="CB344" s="291"/>
      <c r="CC344" s="291"/>
      <c r="CD344" s="291"/>
      <c r="CE344" s="291"/>
      <c r="CF344" s="291"/>
      <c r="CG344" s="291"/>
    </row>
    <row r="345">
      <c r="A345" s="313" t="s">
        <v>333</v>
      </c>
      <c r="B345" s="312" t="s">
        <v>1014</v>
      </c>
      <c r="BY345" s="232"/>
      <c r="BZ345" s="232"/>
      <c r="CA345" s="232"/>
      <c r="CB345" s="232"/>
      <c r="CC345" s="232"/>
      <c r="CD345" s="232"/>
      <c r="CE345" s="232"/>
      <c r="CF345" s="232"/>
      <c r="CG345" s="232"/>
    </row>
    <row r="346">
      <c r="A346" s="314" t="s">
        <v>1015</v>
      </c>
      <c r="B346" s="315" t="s">
        <v>1016</v>
      </c>
      <c r="BZ346" s="291"/>
      <c r="CA346" s="291"/>
      <c r="CB346" s="291"/>
      <c r="CC346" s="291"/>
      <c r="CD346" s="291"/>
      <c r="CE346" s="291"/>
      <c r="CF346" s="291"/>
      <c r="CG346" s="291"/>
    </row>
    <row r="347">
      <c r="A347" s="316" t="s">
        <v>721</v>
      </c>
      <c r="B347" s="306" t="s">
        <v>997</v>
      </c>
      <c r="BQ347" s="232"/>
      <c r="BR347" s="232"/>
      <c r="BS347" s="232"/>
      <c r="BT347" s="232"/>
      <c r="BU347" s="232"/>
      <c r="BV347" s="232"/>
      <c r="BW347" s="232"/>
      <c r="BX347" s="232"/>
      <c r="BY347" s="232"/>
      <c r="BZ347" s="232"/>
      <c r="CA347" s="232"/>
      <c r="CB347" s="232"/>
      <c r="CC347" s="232"/>
      <c r="CD347" s="232"/>
      <c r="CE347" s="232"/>
      <c r="CF347" s="232"/>
      <c r="CG347" s="232"/>
    </row>
    <row r="348">
      <c r="A348" s="310" t="s">
        <v>1017</v>
      </c>
      <c r="B348" s="297" t="s">
        <v>1006</v>
      </c>
      <c r="BZ348" s="291"/>
      <c r="CA348" s="291"/>
      <c r="CB348" s="291"/>
      <c r="CC348" s="291"/>
      <c r="CD348" s="291"/>
      <c r="CE348" s="291"/>
      <c r="CF348" s="291"/>
      <c r="CG348" s="291"/>
    </row>
    <row r="349">
      <c r="A349" s="313" t="s">
        <v>339</v>
      </c>
      <c r="B349" s="312" t="s">
        <v>1018</v>
      </c>
      <c r="BY349" s="232"/>
      <c r="BZ349" s="232"/>
      <c r="CA349" s="232"/>
      <c r="CB349" s="232"/>
      <c r="CC349" s="232"/>
      <c r="CD349" s="232"/>
      <c r="CE349" s="232"/>
      <c r="CF349" s="232"/>
      <c r="CG349" s="232"/>
    </row>
    <row r="350">
      <c r="A350" s="313" t="s">
        <v>341</v>
      </c>
      <c r="B350" s="312" t="s">
        <v>1014</v>
      </c>
      <c r="BY350" s="291"/>
      <c r="BZ350" s="291"/>
      <c r="CA350" s="291"/>
      <c r="CB350" s="291"/>
      <c r="CC350" s="291"/>
      <c r="CD350" s="291"/>
      <c r="CE350" s="291"/>
      <c r="CF350" s="291"/>
      <c r="CG350" s="291"/>
    </row>
    <row r="351">
      <c r="A351" s="314" t="s">
        <v>1019</v>
      </c>
      <c r="B351" s="315" t="s">
        <v>1020</v>
      </c>
      <c r="BZ351" s="232"/>
      <c r="CA351" s="232"/>
      <c r="CB351" s="232"/>
      <c r="CC351" s="232"/>
      <c r="CD351" s="232"/>
      <c r="CE351" s="232"/>
      <c r="CF351" s="232"/>
      <c r="CG351" s="232"/>
    </row>
    <row r="352">
      <c r="A352" s="310" t="s">
        <v>1021</v>
      </c>
      <c r="B352" s="304" t="s">
        <v>1022</v>
      </c>
      <c r="BZ352" s="291"/>
      <c r="CA352" s="291"/>
      <c r="CB352" s="291"/>
      <c r="CC352" s="291"/>
      <c r="CD352" s="291"/>
      <c r="CE352" s="291"/>
      <c r="CF352" s="291"/>
      <c r="CG352" s="291"/>
    </row>
    <row r="353">
      <c r="A353" s="316" t="s">
        <v>1023</v>
      </c>
      <c r="B353" s="306" t="s">
        <v>1024</v>
      </c>
      <c r="BY353" s="232"/>
      <c r="BZ353" s="232"/>
      <c r="CA353" s="232"/>
      <c r="CB353" s="232"/>
      <c r="CC353" s="232"/>
      <c r="CD353" s="232"/>
      <c r="CE353" s="232"/>
      <c r="CF353" s="232"/>
      <c r="CG353" s="232"/>
    </row>
    <row r="354">
      <c r="A354" s="313" t="s">
        <v>347</v>
      </c>
      <c r="B354" s="312" t="s">
        <v>208</v>
      </c>
      <c r="BY354" s="291"/>
      <c r="BZ354" s="291"/>
      <c r="CA354" s="291"/>
      <c r="CB354" s="291"/>
      <c r="CC354" s="291"/>
      <c r="CD354" s="291"/>
      <c r="CE354" s="291"/>
      <c r="CF354" s="291"/>
      <c r="CG354" s="291"/>
    </row>
    <row r="355">
      <c r="A355" s="310" t="s">
        <v>1025</v>
      </c>
      <c r="B355" s="304" t="s">
        <v>1022</v>
      </c>
      <c r="BZ355" s="232"/>
      <c r="CA355" s="232"/>
      <c r="CB355" s="232"/>
      <c r="CC355" s="232"/>
      <c r="CD355" s="232"/>
      <c r="CE355" s="232"/>
      <c r="CF355" s="232"/>
      <c r="CG355" s="232"/>
    </row>
    <row r="356">
      <c r="A356" s="310" t="s">
        <v>1026</v>
      </c>
      <c r="B356" s="304" t="s">
        <v>1027</v>
      </c>
      <c r="BZ356" s="291"/>
      <c r="CA356" s="291"/>
      <c r="CB356" s="291"/>
      <c r="CC356" s="291"/>
      <c r="CD356" s="291"/>
      <c r="CE356" s="291"/>
      <c r="CF356" s="291"/>
      <c r="CG356" s="291"/>
    </row>
    <row r="357">
      <c r="A357" s="310" t="s">
        <v>1028</v>
      </c>
      <c r="B357" s="304" t="s">
        <v>1022</v>
      </c>
      <c r="BZ357" s="232"/>
      <c r="CA357" s="232"/>
      <c r="CB357" s="232"/>
      <c r="CC357" s="232"/>
      <c r="CD357" s="232"/>
      <c r="CE357" s="232"/>
      <c r="CF357" s="232"/>
      <c r="CG357" s="232"/>
    </row>
    <row r="358">
      <c r="A358" s="316" t="s">
        <v>357</v>
      </c>
      <c r="B358" s="306" t="s">
        <v>1029</v>
      </c>
    </row>
    <row r="359">
      <c r="A359" s="313" t="s">
        <v>738</v>
      </c>
      <c r="B359" s="312" t="s">
        <v>1024</v>
      </c>
      <c r="BY359" s="232"/>
      <c r="BZ359" s="232"/>
      <c r="CA359" s="232"/>
      <c r="CB359" s="232"/>
      <c r="CC359" s="232"/>
      <c r="CD359" s="232"/>
      <c r="CE359" s="232"/>
      <c r="CF359" s="232"/>
      <c r="CG359" s="232"/>
    </row>
    <row r="360">
      <c r="A360" s="316" t="s">
        <v>740</v>
      </c>
      <c r="B360" s="306" t="s">
        <v>287</v>
      </c>
      <c r="BU360" s="291"/>
      <c r="BV360" s="291"/>
      <c r="BW360" s="291"/>
      <c r="BX360" s="291"/>
      <c r="BY360" s="291"/>
      <c r="BZ360" s="291"/>
      <c r="CA360" s="291"/>
      <c r="CB360" s="291"/>
      <c r="CC360" s="291"/>
      <c r="CD360" s="291"/>
      <c r="CE360" s="291"/>
      <c r="CF360" s="291"/>
      <c r="CG360" s="291"/>
    </row>
    <row r="361">
      <c r="A361" s="310" t="s">
        <v>1030</v>
      </c>
      <c r="B361" s="297" t="s">
        <v>1006</v>
      </c>
      <c r="BZ361" s="232"/>
      <c r="CA361" s="232"/>
      <c r="CB361" s="232"/>
      <c r="CC361" s="232"/>
      <c r="CD361" s="232"/>
      <c r="CE361" s="232"/>
      <c r="CF361" s="232"/>
      <c r="CG361" s="232"/>
    </row>
    <row r="362">
      <c r="A362" s="313" t="s">
        <v>745</v>
      </c>
      <c r="B362" s="312" t="s">
        <v>1024</v>
      </c>
      <c r="BY362" s="291"/>
      <c r="BZ362" s="291"/>
      <c r="CA362" s="291"/>
      <c r="CB362" s="291"/>
      <c r="CC362" s="291"/>
      <c r="CD362" s="291"/>
      <c r="CE362" s="291"/>
      <c r="CF362" s="291"/>
      <c r="CG362" s="291"/>
    </row>
    <row r="363">
      <c r="A363" s="310" t="s">
        <v>1031</v>
      </c>
      <c r="B363" s="304" t="s">
        <v>1032</v>
      </c>
      <c r="BZ363" s="232"/>
      <c r="CA363" s="232"/>
      <c r="CB363" s="232"/>
      <c r="CC363" s="232"/>
      <c r="CD363" s="232"/>
      <c r="CE363" s="232"/>
      <c r="CF363" s="232"/>
      <c r="CG363" s="232"/>
    </row>
    <row r="364">
      <c r="A364" s="316" t="s">
        <v>754</v>
      </c>
      <c r="B364" s="306" t="s">
        <v>1033</v>
      </c>
    </row>
    <row r="365">
      <c r="A365" s="316" t="s">
        <v>374</v>
      </c>
      <c r="B365" s="306" t="s">
        <v>1034</v>
      </c>
      <c r="BQ365" s="305"/>
      <c r="BR365" s="305"/>
      <c r="BS365" s="305"/>
      <c r="BT365" s="305"/>
      <c r="BU365" s="305"/>
      <c r="BV365" s="305"/>
      <c r="BW365" s="305"/>
      <c r="BX365" s="305"/>
      <c r="BY365" s="305"/>
      <c r="BZ365" s="305"/>
      <c r="CA365" s="305"/>
      <c r="CB365" s="305"/>
      <c r="CC365" s="305"/>
      <c r="CD365" s="305"/>
      <c r="CE365" s="305"/>
      <c r="CF365" s="305"/>
      <c r="CG365" s="305"/>
    </row>
    <row r="366">
      <c r="A366" s="314" t="s">
        <v>376</v>
      </c>
      <c r="B366" s="315" t="s">
        <v>1035</v>
      </c>
      <c r="BZ366" s="291"/>
      <c r="CA366" s="291"/>
      <c r="CB366" s="291"/>
      <c r="CC366" s="291"/>
      <c r="CD366" s="291"/>
      <c r="CE366" s="291"/>
      <c r="CF366" s="291"/>
      <c r="CG366" s="291"/>
    </row>
    <row r="367">
      <c r="A367" s="316" t="s">
        <v>764</v>
      </c>
      <c r="B367" s="306" t="s">
        <v>1036</v>
      </c>
      <c r="BQ367" s="232"/>
      <c r="BR367" s="232"/>
      <c r="BS367" s="232"/>
      <c r="BT367" s="232"/>
      <c r="BU367" s="232"/>
      <c r="BV367" s="232"/>
      <c r="BW367" s="232"/>
      <c r="BX367" s="232"/>
      <c r="BY367" s="232"/>
      <c r="BZ367" s="232"/>
      <c r="CA367" s="232"/>
      <c r="CB367" s="232"/>
      <c r="CC367" s="232"/>
      <c r="CD367" s="232"/>
      <c r="CE367" s="232"/>
      <c r="CF367" s="232"/>
      <c r="CG367" s="232"/>
    </row>
    <row r="368">
      <c r="A368" s="316" t="s">
        <v>769</v>
      </c>
      <c r="B368" s="306" t="s">
        <v>1037</v>
      </c>
      <c r="BQ368" s="291"/>
      <c r="BR368" s="291"/>
      <c r="BS368" s="291"/>
      <c r="BT368" s="291"/>
      <c r="BU368" s="291"/>
      <c r="BV368" s="291"/>
      <c r="BW368" s="291"/>
      <c r="BX368" s="291"/>
      <c r="BY368" s="291"/>
      <c r="BZ368" s="291"/>
      <c r="CA368" s="291"/>
      <c r="CB368" s="291"/>
      <c r="CC368" s="291"/>
      <c r="CD368" s="291"/>
      <c r="CE368" s="291"/>
      <c r="CF368" s="291"/>
      <c r="CG368" s="291"/>
    </row>
    <row r="369">
      <c r="A369" s="313" t="s">
        <v>386</v>
      </c>
      <c r="B369" s="312" t="s">
        <v>1024</v>
      </c>
      <c r="BY369" s="232"/>
      <c r="BZ369" s="232"/>
      <c r="CA369" s="232"/>
      <c r="CB369" s="232"/>
      <c r="CC369" s="232"/>
      <c r="CD369" s="232"/>
      <c r="CE369" s="232"/>
      <c r="CF369" s="232"/>
      <c r="CG369" s="232"/>
    </row>
    <row r="370">
      <c r="A370" s="316" t="s">
        <v>773</v>
      </c>
      <c r="B370" s="293" t="s">
        <v>1038</v>
      </c>
      <c r="BV370" s="291"/>
      <c r="BW370" s="291"/>
      <c r="BX370" s="291"/>
      <c r="BY370" s="291"/>
      <c r="BZ370" s="291"/>
      <c r="CA370" s="291"/>
      <c r="CB370" s="291"/>
      <c r="CC370" s="291"/>
      <c r="CD370" s="291"/>
      <c r="CE370" s="291"/>
      <c r="CF370" s="291"/>
      <c r="CG370" s="291"/>
    </row>
    <row r="371">
      <c r="A371" s="316" t="s">
        <v>780</v>
      </c>
      <c r="B371" s="306" t="s">
        <v>1039</v>
      </c>
      <c r="BV371" s="232"/>
      <c r="BW371" s="232"/>
      <c r="BX371" s="232"/>
      <c r="BY371" s="232"/>
      <c r="BZ371" s="232"/>
      <c r="CA371" s="232"/>
      <c r="CB371" s="232"/>
      <c r="CC371" s="232"/>
      <c r="CD371" s="232"/>
      <c r="CE371" s="232"/>
      <c r="CF371" s="232"/>
      <c r="CG371" s="232"/>
    </row>
    <row r="372">
      <c r="A372" s="316" t="s">
        <v>1040</v>
      </c>
      <c r="B372" s="306" t="s">
        <v>1041</v>
      </c>
      <c r="BQ372" s="305"/>
      <c r="BR372" s="305"/>
      <c r="BS372" s="305"/>
      <c r="BT372" s="305"/>
      <c r="BU372" s="305"/>
      <c r="BV372" s="291"/>
      <c r="BW372" s="291"/>
      <c r="BX372" s="291"/>
      <c r="BY372" s="291"/>
      <c r="BZ372" s="291"/>
      <c r="CA372" s="291"/>
      <c r="CB372" s="291"/>
      <c r="CC372" s="291"/>
      <c r="CD372" s="291"/>
      <c r="CE372" s="291"/>
      <c r="CF372" s="291"/>
      <c r="CG372" s="291"/>
    </row>
    <row r="373">
      <c r="A373" s="316" t="s">
        <v>1042</v>
      </c>
      <c r="B373" s="306" t="s">
        <v>1043</v>
      </c>
      <c r="BQ373" s="305"/>
      <c r="BR373" s="305"/>
      <c r="BS373" s="305"/>
      <c r="BT373" s="305"/>
      <c r="BU373" s="305"/>
      <c r="BV373" s="232"/>
      <c r="BW373" s="232"/>
      <c r="BX373" s="232"/>
      <c r="BY373" s="232"/>
      <c r="BZ373" s="232"/>
      <c r="CA373" s="232"/>
      <c r="CB373" s="232"/>
      <c r="CC373" s="232"/>
      <c r="CD373" s="232"/>
      <c r="CE373" s="232"/>
      <c r="CF373" s="232"/>
      <c r="CG373" s="232"/>
    </row>
    <row r="374">
      <c r="A374" s="317" t="s">
        <v>395</v>
      </c>
      <c r="B374" s="318" t="s">
        <v>1044</v>
      </c>
    </row>
    <row r="375">
      <c r="A375" s="317" t="s">
        <v>789</v>
      </c>
      <c r="B375" s="318" t="s">
        <v>1045</v>
      </c>
      <c r="BV375" s="319"/>
      <c r="BW375" s="319"/>
      <c r="BX375" s="249"/>
      <c r="BY375" s="249"/>
      <c r="BZ375" s="249"/>
      <c r="CA375" s="249"/>
      <c r="CB375" s="249"/>
      <c r="CC375" s="249"/>
      <c r="CD375" s="249"/>
      <c r="CE375" s="249"/>
      <c r="CF375" s="249"/>
      <c r="CG375" s="249"/>
    </row>
    <row r="376">
      <c r="B376" s="318" t="s">
        <v>1046</v>
      </c>
      <c r="BQ376" s="320"/>
      <c r="BR376" s="320"/>
      <c r="BS376" s="320"/>
      <c r="BT376" s="320"/>
      <c r="BU376" s="320"/>
      <c r="BV376" s="319"/>
      <c r="BW376" s="319"/>
      <c r="BX376" s="256"/>
      <c r="BY376" s="256"/>
      <c r="BZ376" s="256"/>
      <c r="CA376" s="256"/>
      <c r="CB376" s="256"/>
      <c r="CC376" s="256"/>
      <c r="CD376" s="256"/>
      <c r="CE376" s="256"/>
      <c r="CF376" s="256"/>
      <c r="CG376" s="256"/>
    </row>
    <row r="377">
      <c r="B377" s="318" t="s">
        <v>1047</v>
      </c>
      <c r="BQ377" s="320"/>
      <c r="BR377" s="320"/>
      <c r="BS377" s="320"/>
      <c r="BT377" s="320"/>
      <c r="BU377" s="320"/>
      <c r="BV377" s="319"/>
      <c r="BW377" s="319"/>
      <c r="BX377" s="249"/>
      <c r="BY377" s="249"/>
      <c r="BZ377" s="249"/>
      <c r="CA377" s="249"/>
      <c r="CB377" s="249"/>
      <c r="CC377" s="249"/>
      <c r="CD377" s="249"/>
      <c r="CE377" s="249"/>
      <c r="CF377" s="249"/>
      <c r="CG377" s="249"/>
    </row>
    <row r="378">
      <c r="A378" s="317" t="s">
        <v>1048</v>
      </c>
      <c r="B378" s="318" t="s">
        <v>1049</v>
      </c>
      <c r="BV378" s="319"/>
      <c r="BW378" s="319"/>
      <c r="BX378" s="256"/>
      <c r="BY378" s="256"/>
      <c r="BZ378" s="256"/>
      <c r="CA378" s="256"/>
      <c r="CB378" s="256"/>
      <c r="CC378" s="256"/>
      <c r="CD378" s="256"/>
      <c r="CE378" s="256"/>
      <c r="CF378" s="256"/>
      <c r="CG378" s="256"/>
    </row>
    <row r="379">
      <c r="A379" s="317" t="s">
        <v>1050</v>
      </c>
      <c r="B379" s="318" t="s">
        <v>208</v>
      </c>
      <c r="BU379" s="320"/>
      <c r="BV379" s="321"/>
      <c r="BW379" s="321"/>
      <c r="BX379" s="249"/>
      <c r="BY379" s="249"/>
      <c r="BZ379" s="249"/>
      <c r="CA379" s="249"/>
      <c r="CB379" s="249"/>
      <c r="CC379" s="249"/>
      <c r="CD379" s="249"/>
      <c r="CE379" s="249"/>
      <c r="CF379" s="249"/>
      <c r="CG379" s="249"/>
    </row>
    <row r="380">
      <c r="A380" s="317" t="s">
        <v>802</v>
      </c>
      <c r="B380" s="318" t="s">
        <v>1051</v>
      </c>
      <c r="BQ380" s="320"/>
      <c r="BR380" s="320"/>
      <c r="BS380" s="256"/>
      <c r="BT380" s="256"/>
      <c r="BU380" s="256"/>
      <c r="BV380" s="256"/>
      <c r="BW380" s="256"/>
      <c r="BX380" s="256"/>
      <c r="BY380" s="256"/>
      <c r="BZ380" s="256"/>
      <c r="CA380" s="256"/>
      <c r="CB380" s="256"/>
      <c r="CC380" s="256"/>
      <c r="CD380" s="256"/>
      <c r="CE380" s="256"/>
      <c r="CF380" s="256"/>
      <c r="CG380" s="256"/>
    </row>
    <row r="381">
      <c r="A381" s="322" t="s">
        <v>1052</v>
      </c>
      <c r="B381" s="323" t="s">
        <v>1053</v>
      </c>
      <c r="BY381" s="249"/>
      <c r="BZ381" s="249"/>
      <c r="CA381" s="249"/>
      <c r="CB381" s="249"/>
      <c r="CC381" s="249"/>
      <c r="CD381" s="249"/>
      <c r="CE381" s="249"/>
      <c r="CF381" s="249"/>
      <c r="CG381" s="249"/>
    </row>
    <row r="382">
      <c r="A382" s="324" t="s">
        <v>1054</v>
      </c>
      <c r="B382" s="325" t="s">
        <v>1055</v>
      </c>
      <c r="BZ382" s="256"/>
      <c r="CA382" s="256"/>
      <c r="CB382" s="256"/>
      <c r="CC382" s="256"/>
      <c r="CD382" s="256"/>
      <c r="CE382" s="256"/>
      <c r="CF382" s="256"/>
      <c r="CG382" s="256"/>
    </row>
    <row r="383">
      <c r="A383" s="322" t="s">
        <v>1056</v>
      </c>
      <c r="B383" s="323" t="s">
        <v>1057</v>
      </c>
      <c r="BY383" s="249"/>
      <c r="BZ383" s="249"/>
      <c r="CA383" s="249"/>
      <c r="CB383" s="249"/>
      <c r="CC383" s="249"/>
      <c r="CD383" s="249"/>
      <c r="CE383" s="249"/>
      <c r="CF383" s="249"/>
      <c r="CG383" s="249"/>
    </row>
    <row r="384">
      <c r="A384" s="322" t="s">
        <v>806</v>
      </c>
      <c r="B384" s="323" t="s">
        <v>1058</v>
      </c>
      <c r="BY384" s="256"/>
      <c r="BZ384" s="256"/>
      <c r="CA384" s="256"/>
      <c r="CB384" s="256"/>
      <c r="CC384" s="256"/>
      <c r="CD384" s="256"/>
      <c r="CE384" s="256"/>
      <c r="CF384" s="256"/>
      <c r="CG384" s="256"/>
    </row>
    <row r="385">
      <c r="B385" s="323" t="s">
        <v>1059</v>
      </c>
      <c r="BY385" s="249"/>
      <c r="BZ385" s="249"/>
      <c r="CA385" s="249"/>
      <c r="CB385" s="249"/>
      <c r="CC385" s="249"/>
      <c r="CD385" s="249"/>
      <c r="CE385" s="249"/>
      <c r="CF385" s="249"/>
      <c r="CG385" s="249"/>
    </row>
    <row r="386">
      <c r="B386" s="323" t="s">
        <v>1060</v>
      </c>
      <c r="BY386" s="256"/>
      <c r="BZ386" s="256"/>
      <c r="CA386" s="256"/>
      <c r="CB386" s="256"/>
      <c r="CC386" s="256"/>
      <c r="CD386" s="256"/>
      <c r="CE386" s="256"/>
      <c r="CF386" s="256"/>
      <c r="CG386" s="256"/>
    </row>
    <row r="387">
      <c r="A387" s="322" t="s">
        <v>1061</v>
      </c>
      <c r="B387" s="323" t="s">
        <v>828</v>
      </c>
      <c r="BY387" s="249"/>
      <c r="BZ387" s="249"/>
      <c r="CA387" s="249"/>
      <c r="CB387" s="249"/>
      <c r="CC387" s="249"/>
      <c r="CD387" s="249"/>
      <c r="CE387" s="249"/>
      <c r="CF387" s="249"/>
      <c r="CG387" s="249"/>
    </row>
    <row r="388">
      <c r="A388" s="322" t="s">
        <v>1062</v>
      </c>
      <c r="B388" s="323" t="s">
        <v>1063</v>
      </c>
      <c r="BY388" s="256"/>
      <c r="BZ388" s="256"/>
      <c r="CA388" s="256"/>
      <c r="CB388" s="256"/>
      <c r="CC388" s="256"/>
      <c r="CD388" s="256"/>
      <c r="CE388" s="256"/>
      <c r="CF388" s="256"/>
      <c r="CG388" s="256"/>
    </row>
    <row r="389">
      <c r="A389" s="322" t="s">
        <v>1064</v>
      </c>
      <c r="B389" s="323" t="s">
        <v>1058</v>
      </c>
      <c r="BY389" s="321"/>
      <c r="BZ389" s="249"/>
      <c r="CA389" s="249"/>
      <c r="CB389" s="249"/>
      <c r="CC389" s="249"/>
      <c r="CD389" s="249"/>
      <c r="CE389" s="249"/>
      <c r="CF389" s="249"/>
      <c r="CG389" s="249"/>
    </row>
    <row r="390">
      <c r="B390" s="323" t="s">
        <v>1065</v>
      </c>
      <c r="BY390" s="321"/>
      <c r="BZ390" s="256"/>
      <c r="CA390" s="256"/>
      <c r="CB390" s="256"/>
      <c r="CC390" s="256"/>
      <c r="CD390" s="256"/>
      <c r="CE390" s="256"/>
      <c r="CF390" s="256"/>
      <c r="CG390" s="256"/>
    </row>
    <row r="391">
      <c r="B391" s="323" t="s">
        <v>1066</v>
      </c>
      <c r="BY391" s="321"/>
      <c r="BZ391" s="249"/>
      <c r="CA391" s="249"/>
      <c r="CB391" s="249"/>
      <c r="CC391" s="249"/>
      <c r="CD391" s="249"/>
      <c r="CE391" s="249"/>
      <c r="CF391" s="249"/>
      <c r="CG391" s="249"/>
    </row>
    <row r="392">
      <c r="A392" s="322" t="s">
        <v>814</v>
      </c>
      <c r="B392" s="323" t="s">
        <v>1067</v>
      </c>
      <c r="BY392" s="321"/>
      <c r="BZ392" s="256"/>
      <c r="CA392" s="256"/>
      <c r="CB392" s="256"/>
      <c r="CC392" s="256"/>
      <c r="CD392" s="256"/>
      <c r="CE392" s="256"/>
      <c r="CF392" s="256"/>
      <c r="CG392" s="256"/>
    </row>
    <row r="393">
      <c r="A393" s="322" t="s">
        <v>1068</v>
      </c>
      <c r="B393" s="323" t="s">
        <v>1069</v>
      </c>
      <c r="BY393" s="319"/>
      <c r="BZ393" s="249"/>
      <c r="CA393" s="249"/>
      <c r="CB393" s="249"/>
      <c r="CC393" s="249"/>
      <c r="CD393" s="249"/>
      <c r="CE393" s="249"/>
      <c r="CF393" s="249"/>
      <c r="CG393" s="249"/>
    </row>
    <row r="394">
      <c r="A394" s="322" t="s">
        <v>1070</v>
      </c>
      <c r="B394" s="323" t="s">
        <v>1071</v>
      </c>
      <c r="BY394" s="319"/>
      <c r="BZ394" s="256"/>
      <c r="CA394" s="256"/>
      <c r="CB394" s="256"/>
      <c r="CC394" s="256"/>
      <c r="CD394" s="256"/>
      <c r="CE394" s="256"/>
      <c r="CF394" s="256"/>
      <c r="CG394" s="256"/>
    </row>
    <row r="395">
      <c r="A395" s="322" t="s">
        <v>407</v>
      </c>
      <c r="B395" s="323" t="s">
        <v>1072</v>
      </c>
      <c r="BY395" s="249"/>
      <c r="BZ395" s="249"/>
      <c r="CA395" s="249"/>
      <c r="CB395" s="249"/>
      <c r="CC395" s="249"/>
      <c r="CD395" s="249"/>
      <c r="CE395" s="249"/>
      <c r="CF395" s="249"/>
      <c r="CG395" s="249"/>
    </row>
    <row r="396">
      <c r="A396" s="322" t="s">
        <v>411</v>
      </c>
      <c r="B396" s="323" t="s">
        <v>1073</v>
      </c>
      <c r="BY396" s="256"/>
      <c r="BZ396" s="256"/>
      <c r="CA396" s="256"/>
      <c r="CB396" s="256"/>
      <c r="CC396" s="256"/>
      <c r="CD396" s="256"/>
      <c r="CE396" s="256"/>
      <c r="CF396" s="256"/>
      <c r="CG396" s="256"/>
    </row>
    <row r="397">
      <c r="B397" s="323" t="s">
        <v>1074</v>
      </c>
      <c r="BY397" s="249"/>
      <c r="BZ397" s="249"/>
      <c r="CA397" s="249"/>
      <c r="CB397" s="249"/>
      <c r="CC397" s="249"/>
      <c r="CD397" s="249"/>
      <c r="CE397" s="249"/>
      <c r="CF397" s="249"/>
      <c r="CG397" s="249"/>
    </row>
    <row r="398">
      <c r="B398" s="323" t="s">
        <v>1075</v>
      </c>
      <c r="BY398" s="256"/>
      <c r="BZ398" s="256"/>
      <c r="CA398" s="256"/>
      <c r="CB398" s="256"/>
      <c r="CC398" s="256"/>
      <c r="CD398" s="256"/>
      <c r="CE398" s="256"/>
      <c r="CF398" s="256"/>
      <c r="CG398" s="256"/>
    </row>
    <row r="399">
      <c r="A399" s="322" t="s">
        <v>413</v>
      </c>
      <c r="B399" s="323" t="s">
        <v>1076</v>
      </c>
      <c r="BY399" s="249"/>
      <c r="BZ399" s="249"/>
      <c r="CA399" s="249"/>
      <c r="CB399" s="249"/>
      <c r="CC399" s="249"/>
      <c r="CD399" s="249"/>
      <c r="CE399" s="249"/>
      <c r="CF399" s="249"/>
      <c r="CG399" s="249"/>
    </row>
    <row r="400">
      <c r="A400" s="317" t="s">
        <v>413</v>
      </c>
      <c r="B400" s="318" t="s">
        <v>1077</v>
      </c>
      <c r="BQ400" s="320"/>
      <c r="BR400" s="320"/>
      <c r="BS400" s="256"/>
      <c r="BT400" s="256"/>
      <c r="BU400" s="256"/>
      <c r="BV400" s="256"/>
      <c r="BW400" s="256"/>
      <c r="BX400" s="256"/>
      <c r="BY400" s="256"/>
      <c r="BZ400" s="256"/>
      <c r="CA400" s="256"/>
      <c r="CB400" s="256"/>
      <c r="CC400" s="256"/>
      <c r="CD400" s="256"/>
      <c r="CE400" s="256"/>
      <c r="CF400" s="256"/>
      <c r="CG400" s="256"/>
    </row>
    <row r="401">
      <c r="A401" s="322" t="s">
        <v>1078</v>
      </c>
      <c r="B401" s="323" t="s">
        <v>1079</v>
      </c>
      <c r="BY401" s="249"/>
      <c r="BZ401" s="249"/>
      <c r="CA401" s="249"/>
      <c r="CB401" s="249"/>
      <c r="CC401" s="249"/>
      <c r="CD401" s="249"/>
      <c r="CE401" s="249"/>
      <c r="CF401" s="249"/>
      <c r="CG401" s="249"/>
    </row>
    <row r="402">
      <c r="B402" s="323" t="s">
        <v>1080</v>
      </c>
      <c r="BY402" s="256"/>
      <c r="BZ402" s="256"/>
      <c r="CA402" s="256"/>
      <c r="CB402" s="256"/>
      <c r="CC402" s="256"/>
      <c r="CD402" s="256"/>
      <c r="CE402" s="256"/>
      <c r="CF402" s="256"/>
      <c r="CG402" s="256"/>
    </row>
    <row r="403">
      <c r="B403" s="323" t="s">
        <v>1081</v>
      </c>
      <c r="BY403" s="249"/>
      <c r="BZ403" s="249"/>
      <c r="CA403" s="249"/>
      <c r="CB403" s="249"/>
      <c r="CC403" s="249"/>
      <c r="CD403" s="249"/>
      <c r="CE403" s="249"/>
      <c r="CF403" s="249"/>
      <c r="CG403" s="249"/>
    </row>
    <row r="404">
      <c r="A404" s="322" t="s">
        <v>1078</v>
      </c>
      <c r="B404" s="323" t="s">
        <v>1082</v>
      </c>
      <c r="BY404" s="256"/>
      <c r="BZ404" s="256"/>
      <c r="CA404" s="256"/>
      <c r="CB404" s="256"/>
      <c r="CC404" s="256"/>
      <c r="CD404" s="256"/>
      <c r="CE404" s="256"/>
      <c r="CF404" s="256"/>
      <c r="CG404" s="256"/>
    </row>
    <row r="405">
      <c r="A405" s="313" t="s">
        <v>1083</v>
      </c>
      <c r="B405" s="312" t="s">
        <v>1084</v>
      </c>
      <c r="BY405" s="309"/>
      <c r="BZ405" s="161"/>
      <c r="CA405" s="161"/>
      <c r="CB405" s="161"/>
      <c r="CC405" s="161"/>
      <c r="CD405" s="161"/>
      <c r="CE405" s="161"/>
      <c r="CF405" s="161"/>
      <c r="CG405" s="161"/>
    </row>
    <row r="406">
      <c r="A406" s="314" t="s">
        <v>820</v>
      </c>
      <c r="B406" s="315" t="s">
        <v>1085</v>
      </c>
      <c r="BZ406" s="161"/>
      <c r="CA406" s="161"/>
      <c r="CB406" s="161"/>
      <c r="CC406" s="161"/>
      <c r="CD406" s="161"/>
      <c r="CE406" s="161"/>
      <c r="CF406" s="161"/>
      <c r="CG406" s="161"/>
    </row>
    <row r="407">
      <c r="A407" s="313" t="s">
        <v>820</v>
      </c>
      <c r="B407" s="312" t="s">
        <v>1086</v>
      </c>
      <c r="BY407" s="309"/>
      <c r="BZ407" s="161"/>
      <c r="CA407" s="161"/>
      <c r="CB407" s="161"/>
      <c r="CC407" s="161"/>
      <c r="CD407" s="161"/>
      <c r="CE407" s="161"/>
      <c r="CF407" s="161"/>
      <c r="CG407" s="161"/>
    </row>
    <row r="408">
      <c r="B408" s="312" t="s">
        <v>1087</v>
      </c>
      <c r="BY408" s="309"/>
      <c r="BZ408" s="161"/>
      <c r="CA408" s="161"/>
      <c r="CB408" s="161"/>
      <c r="CC408" s="161"/>
      <c r="CD408" s="161"/>
      <c r="CE408" s="161"/>
      <c r="CF408" s="161"/>
      <c r="CG408" s="161"/>
    </row>
    <row r="409">
      <c r="B409" s="312" t="s">
        <v>1088</v>
      </c>
      <c r="BY409" s="309"/>
      <c r="BZ409" s="161"/>
      <c r="CA409" s="161"/>
      <c r="CB409" s="161"/>
      <c r="CC409" s="161"/>
      <c r="CD409" s="161"/>
      <c r="CE409" s="161"/>
      <c r="CF409" s="161"/>
      <c r="CG409" s="161"/>
    </row>
    <row r="410">
      <c r="A410" s="313" t="s">
        <v>1089</v>
      </c>
      <c r="B410" s="312" t="s">
        <v>1090</v>
      </c>
      <c r="BY410" s="309"/>
      <c r="BZ410" s="161"/>
      <c r="CA410" s="161"/>
      <c r="CB410" s="161"/>
      <c r="CC410" s="161"/>
      <c r="CD410" s="161"/>
      <c r="CE410" s="161"/>
      <c r="CF410" s="161"/>
      <c r="CG410" s="161"/>
    </row>
    <row r="411">
      <c r="A411" s="313" t="s">
        <v>1091</v>
      </c>
      <c r="B411" s="312" t="s">
        <v>1092</v>
      </c>
      <c r="BY411" s="309"/>
      <c r="BZ411" s="161"/>
      <c r="CA411" s="161"/>
      <c r="CB411" s="161"/>
      <c r="CC411" s="161"/>
      <c r="CD411" s="161"/>
      <c r="CE411" s="161"/>
      <c r="CF411" s="161"/>
      <c r="CG411" s="161"/>
    </row>
    <row r="412">
      <c r="B412" s="312" t="s">
        <v>1093</v>
      </c>
      <c r="BY412" s="309"/>
      <c r="BZ412" s="161"/>
      <c r="CA412" s="161"/>
      <c r="CB412" s="161"/>
      <c r="CC412" s="161"/>
      <c r="CD412" s="161"/>
      <c r="CE412" s="161"/>
      <c r="CF412" s="161"/>
      <c r="CG412" s="161"/>
    </row>
    <row r="413">
      <c r="B413" s="312" t="s">
        <v>1094</v>
      </c>
      <c r="BY413" s="309"/>
      <c r="BZ413" s="161"/>
      <c r="CA413" s="161"/>
      <c r="CB413" s="161"/>
      <c r="CC413" s="161"/>
      <c r="CD413" s="161"/>
      <c r="CE413" s="161"/>
      <c r="CF413" s="161"/>
      <c r="CG413" s="161"/>
    </row>
    <row r="414">
      <c r="A414" s="313" t="s">
        <v>418</v>
      </c>
      <c r="B414" s="312" t="s">
        <v>1095</v>
      </c>
      <c r="BY414" s="309"/>
      <c r="BZ414" s="161"/>
      <c r="CA414" s="161"/>
      <c r="CB414" s="161"/>
      <c r="CC414" s="161"/>
      <c r="CD414" s="161"/>
      <c r="CE414" s="161"/>
      <c r="CF414" s="161"/>
      <c r="CG414" s="161"/>
    </row>
    <row r="415">
      <c r="B415" s="312" t="s">
        <v>1096</v>
      </c>
      <c r="BY415" s="309"/>
      <c r="BZ415" s="161"/>
      <c r="CA415" s="161"/>
      <c r="CB415" s="161"/>
      <c r="CC415" s="161"/>
      <c r="CD415" s="161"/>
      <c r="CE415" s="161"/>
      <c r="CF415" s="161"/>
      <c r="CG415" s="161"/>
    </row>
    <row r="416">
      <c r="A416" s="313" t="s">
        <v>1097</v>
      </c>
      <c r="B416" s="312" t="s">
        <v>1098</v>
      </c>
      <c r="BY416" s="309"/>
      <c r="BZ416" s="161"/>
      <c r="CA416" s="161"/>
      <c r="CB416" s="161"/>
      <c r="CC416" s="161"/>
      <c r="CD416" s="161"/>
      <c r="CE416" s="161"/>
      <c r="CF416" s="161"/>
      <c r="CG416" s="161"/>
    </row>
    <row r="417">
      <c r="A417" s="313" t="s">
        <v>1099</v>
      </c>
      <c r="B417" s="312" t="s">
        <v>1100</v>
      </c>
      <c r="BY417" s="309"/>
      <c r="BZ417" s="161"/>
      <c r="CA417" s="161"/>
      <c r="CB417" s="161"/>
      <c r="CC417" s="161"/>
      <c r="CD417" s="161"/>
      <c r="CE417" s="161"/>
      <c r="CF417" s="161"/>
      <c r="CG417" s="161"/>
    </row>
    <row r="418">
      <c r="B418" s="312" t="s">
        <v>1101</v>
      </c>
      <c r="BY418" s="309"/>
      <c r="BZ418" s="161"/>
      <c r="CA418" s="161"/>
      <c r="CB418" s="161"/>
      <c r="CC418" s="161"/>
      <c r="CD418" s="161"/>
      <c r="CE418" s="161"/>
      <c r="CF418" s="161"/>
      <c r="CG418" s="161"/>
    </row>
    <row r="419">
      <c r="A419" s="313" t="s">
        <v>827</v>
      </c>
      <c r="B419" s="312" t="s">
        <v>1102</v>
      </c>
      <c r="BY419" s="309"/>
      <c r="BZ419" s="161"/>
      <c r="CA419" s="161"/>
      <c r="CB419" s="161"/>
      <c r="CC419" s="161"/>
      <c r="CD419" s="161"/>
      <c r="CE419" s="161"/>
      <c r="CF419" s="161"/>
      <c r="CG419" s="161"/>
    </row>
    <row r="420">
      <c r="B420" s="312" t="s">
        <v>1103</v>
      </c>
      <c r="BY420" s="309"/>
      <c r="BZ420" s="161"/>
      <c r="CA420" s="161"/>
      <c r="CB420" s="161"/>
      <c r="CC420" s="161"/>
      <c r="CD420" s="161"/>
      <c r="CE420" s="161"/>
      <c r="CF420" s="161"/>
      <c r="CG420" s="161"/>
    </row>
    <row r="421">
      <c r="A421" s="314" t="s">
        <v>1104</v>
      </c>
      <c r="B421" s="315" t="s">
        <v>1105</v>
      </c>
      <c r="BZ421" s="161"/>
      <c r="CA421" s="161"/>
      <c r="CB421" s="161"/>
      <c r="CC421" s="161"/>
      <c r="CD421" s="161"/>
      <c r="CE421" s="161"/>
      <c r="CF421" s="161"/>
      <c r="CG421" s="161"/>
    </row>
    <row r="422">
      <c r="A422" s="313" t="s">
        <v>423</v>
      </c>
      <c r="B422" s="312" t="s">
        <v>650</v>
      </c>
      <c r="BY422" s="309"/>
      <c r="BZ422" s="161"/>
      <c r="CA422" s="161"/>
      <c r="CB422" s="161"/>
      <c r="CC422" s="161"/>
      <c r="CD422" s="161"/>
      <c r="CE422" s="161"/>
      <c r="CF422" s="161"/>
      <c r="CG422" s="161"/>
    </row>
    <row r="423">
      <c r="A423" s="313" t="s">
        <v>829</v>
      </c>
      <c r="B423" s="312" t="s">
        <v>1106</v>
      </c>
      <c r="BY423" s="326"/>
      <c r="BZ423" s="161"/>
      <c r="CA423" s="161"/>
      <c r="CB423" s="161"/>
      <c r="CC423" s="161"/>
      <c r="CD423" s="161"/>
      <c r="CE423" s="161"/>
      <c r="CF423" s="161"/>
      <c r="CG423" s="161"/>
    </row>
    <row r="424">
      <c r="A424" s="313" t="s">
        <v>1107</v>
      </c>
      <c r="B424" s="312" t="s">
        <v>1108</v>
      </c>
      <c r="BY424" s="326"/>
      <c r="BZ424" s="161"/>
      <c r="CA424" s="161"/>
      <c r="CB424" s="161"/>
      <c r="CC424" s="161"/>
      <c r="CD424" s="161"/>
      <c r="CE424" s="161"/>
      <c r="CF424" s="161"/>
      <c r="CG424" s="161"/>
    </row>
    <row r="425">
      <c r="A425" s="313" t="s">
        <v>1109</v>
      </c>
      <c r="B425" s="312" t="s">
        <v>1110</v>
      </c>
      <c r="BY425" s="326"/>
      <c r="BZ425" s="161"/>
      <c r="CA425" s="161"/>
      <c r="CB425" s="161"/>
      <c r="CC425" s="161"/>
      <c r="CD425" s="161"/>
      <c r="CE425" s="161"/>
      <c r="CF425" s="161"/>
      <c r="CG425" s="161"/>
    </row>
    <row r="426">
      <c r="A426" s="313" t="s">
        <v>832</v>
      </c>
      <c r="B426" s="312" t="s">
        <v>1111</v>
      </c>
      <c r="BY426" s="326"/>
      <c r="BZ426" s="161"/>
      <c r="CA426" s="161"/>
      <c r="CB426" s="161"/>
      <c r="CC426" s="161"/>
      <c r="CD426" s="161"/>
      <c r="CE426" s="161"/>
      <c r="CF426" s="161"/>
      <c r="CG426" s="161"/>
    </row>
    <row r="427">
      <c r="B427" s="312" t="s">
        <v>1112</v>
      </c>
      <c r="BY427" s="326"/>
      <c r="BZ427" s="161"/>
      <c r="CA427" s="161"/>
      <c r="CB427" s="161"/>
      <c r="CC427" s="161"/>
      <c r="CD427" s="161"/>
      <c r="CE427" s="161"/>
      <c r="CF427" s="161"/>
      <c r="CG427" s="161"/>
    </row>
    <row r="428">
      <c r="B428" s="312" t="s">
        <v>1113</v>
      </c>
      <c r="BY428" s="326"/>
      <c r="BZ428" s="161"/>
      <c r="CA428" s="161"/>
      <c r="CB428" s="161"/>
      <c r="CC428" s="161"/>
      <c r="CD428" s="161"/>
      <c r="CE428" s="161"/>
      <c r="CF428" s="161"/>
      <c r="CG428" s="161"/>
    </row>
    <row r="429">
      <c r="A429" s="310" t="s">
        <v>1114</v>
      </c>
      <c r="B429" s="304" t="s">
        <v>1115</v>
      </c>
      <c r="BZ429" s="161"/>
      <c r="CA429" s="161"/>
      <c r="CB429" s="161"/>
      <c r="CC429" s="161"/>
      <c r="CD429" s="161"/>
      <c r="CE429" s="161"/>
      <c r="CF429" s="161"/>
      <c r="CG429" s="161"/>
    </row>
    <row r="430">
      <c r="A430" s="313" t="s">
        <v>429</v>
      </c>
      <c r="B430" s="312" t="s">
        <v>1116</v>
      </c>
      <c r="BY430" s="309"/>
      <c r="BZ430" s="161"/>
      <c r="CA430" s="161"/>
      <c r="CB430" s="161"/>
      <c r="CC430" s="161"/>
      <c r="CD430" s="161"/>
      <c r="CE430" s="161"/>
      <c r="CF430" s="161"/>
      <c r="CG430" s="161"/>
    </row>
    <row r="431">
      <c r="A431" s="313" t="s">
        <v>431</v>
      </c>
      <c r="B431" s="312" t="s">
        <v>1117</v>
      </c>
      <c r="BY431" s="309"/>
      <c r="BZ431" s="161"/>
      <c r="CA431" s="161"/>
      <c r="CB431" s="161"/>
      <c r="CC431" s="161"/>
      <c r="CD431" s="161"/>
      <c r="CE431" s="161"/>
      <c r="CF431" s="161"/>
      <c r="CG431" s="161"/>
    </row>
    <row r="432">
      <c r="B432" s="312" t="s">
        <v>1118</v>
      </c>
      <c r="BY432" s="309"/>
      <c r="BZ432" s="161"/>
      <c r="CA432" s="161"/>
      <c r="CB432" s="161"/>
      <c r="CC432" s="161"/>
      <c r="CD432" s="161"/>
      <c r="CE432" s="161"/>
      <c r="CF432" s="161"/>
      <c r="CG432" s="161"/>
    </row>
    <row r="433">
      <c r="A433" s="313" t="s">
        <v>835</v>
      </c>
      <c r="B433" s="312" t="s">
        <v>1119</v>
      </c>
      <c r="BY433" s="309"/>
      <c r="BZ433" s="161"/>
      <c r="CA433" s="161"/>
      <c r="CB433" s="161"/>
      <c r="CC433" s="161"/>
      <c r="CD433" s="161"/>
      <c r="CE433" s="161"/>
      <c r="CF433" s="161"/>
      <c r="CG433" s="161"/>
    </row>
    <row r="434">
      <c r="B434" s="312" t="s">
        <v>1120</v>
      </c>
      <c r="BY434" s="309"/>
      <c r="BZ434" s="161"/>
      <c r="CA434" s="161"/>
      <c r="CB434" s="161"/>
      <c r="CC434" s="161"/>
      <c r="CD434" s="161"/>
      <c r="CE434" s="161"/>
      <c r="CF434" s="161"/>
      <c r="CG434" s="161"/>
    </row>
    <row r="435">
      <c r="B435" s="312" t="s">
        <v>1121</v>
      </c>
      <c r="BY435" s="309"/>
      <c r="BZ435" s="161"/>
      <c r="CA435" s="161"/>
      <c r="CB435" s="161"/>
      <c r="CC435" s="161"/>
      <c r="CD435" s="161"/>
      <c r="CE435" s="161"/>
      <c r="CF435" s="161"/>
      <c r="CG435" s="161"/>
    </row>
    <row r="436">
      <c r="A436" s="313" t="s">
        <v>837</v>
      </c>
      <c r="B436" s="312" t="s">
        <v>1122</v>
      </c>
      <c r="BY436" s="309"/>
      <c r="BZ436" s="161"/>
      <c r="CA436" s="161"/>
      <c r="CB436" s="161"/>
      <c r="CC436" s="161"/>
      <c r="CD436" s="161"/>
      <c r="CE436" s="161"/>
      <c r="CF436" s="161"/>
      <c r="CG436" s="161"/>
    </row>
    <row r="437">
      <c r="A437" s="313" t="s">
        <v>1123</v>
      </c>
      <c r="B437" s="312" t="s">
        <v>1124</v>
      </c>
      <c r="BY437" s="309"/>
      <c r="BZ437" s="161"/>
      <c r="CA437" s="161"/>
      <c r="CB437" s="161"/>
      <c r="CC437" s="161"/>
      <c r="CD437" s="161"/>
      <c r="CE437" s="161"/>
      <c r="CF437" s="161"/>
      <c r="CG437" s="161"/>
    </row>
    <row r="438">
      <c r="A438" s="310" t="s">
        <v>1125</v>
      </c>
      <c r="B438" s="304" t="s">
        <v>1126</v>
      </c>
      <c r="BZ438" s="161"/>
      <c r="CA438" s="161"/>
      <c r="CB438" s="161"/>
      <c r="CC438" s="161"/>
      <c r="CD438" s="161"/>
      <c r="CE438" s="161"/>
      <c r="CF438" s="161"/>
      <c r="CG438" s="161"/>
    </row>
    <row r="439">
      <c r="A439" s="313" t="s">
        <v>1127</v>
      </c>
      <c r="B439" s="312" t="s">
        <v>1128</v>
      </c>
      <c r="BY439" s="309"/>
      <c r="BZ439" s="161"/>
      <c r="CA439" s="161"/>
      <c r="CB439" s="161"/>
      <c r="CC439" s="161"/>
      <c r="CD439" s="161"/>
      <c r="CE439" s="161"/>
      <c r="CF439" s="161"/>
      <c r="CG439" s="161"/>
    </row>
    <row r="440">
      <c r="A440" s="310" t="s">
        <v>1129</v>
      </c>
      <c r="B440" s="304" t="s">
        <v>1130</v>
      </c>
      <c r="BZ440" s="161"/>
      <c r="CA440" s="161"/>
      <c r="CB440" s="161"/>
      <c r="CC440" s="161"/>
      <c r="CD440" s="161"/>
      <c r="CE440" s="161"/>
      <c r="CF440" s="161"/>
      <c r="CG440" s="161"/>
    </row>
    <row r="441">
      <c r="A441" s="313" t="s">
        <v>1131</v>
      </c>
      <c r="B441" s="312" t="s">
        <v>1132</v>
      </c>
      <c r="BY441" s="309"/>
      <c r="BZ441" s="161"/>
      <c r="CA441" s="161"/>
      <c r="CB441" s="161"/>
      <c r="CC441" s="161"/>
      <c r="CD441" s="161"/>
      <c r="CE441" s="161"/>
      <c r="CF441" s="161"/>
      <c r="CG441" s="161"/>
    </row>
    <row r="442">
      <c r="A442" s="313" t="s">
        <v>1133</v>
      </c>
      <c r="B442" s="312" t="s">
        <v>1134</v>
      </c>
      <c r="BY442" s="309"/>
      <c r="BZ442" s="161"/>
      <c r="CA442" s="161"/>
      <c r="CB442" s="161"/>
      <c r="CC442" s="161"/>
      <c r="CD442" s="161"/>
      <c r="CE442" s="161"/>
      <c r="CF442" s="161"/>
      <c r="CG442" s="161"/>
    </row>
    <row r="443">
      <c r="B443" s="312" t="s">
        <v>1135</v>
      </c>
      <c r="BY443" s="309"/>
      <c r="BZ443" s="161"/>
      <c r="CA443" s="161"/>
      <c r="CB443" s="161"/>
      <c r="CC443" s="161"/>
      <c r="CD443" s="161"/>
      <c r="CE443" s="161"/>
      <c r="CF443" s="161"/>
      <c r="CG443" s="161"/>
    </row>
    <row r="444">
      <c r="B444" s="312" t="s">
        <v>1136</v>
      </c>
      <c r="BY444" s="309"/>
      <c r="BZ444" s="161"/>
      <c r="CA444" s="161"/>
      <c r="CB444" s="161"/>
      <c r="CC444" s="161"/>
      <c r="CD444" s="161"/>
      <c r="CE444" s="161"/>
      <c r="CF444" s="161"/>
      <c r="CG444" s="161"/>
    </row>
    <row r="445">
      <c r="A445" s="313" t="s">
        <v>444</v>
      </c>
      <c r="B445" s="312" t="s">
        <v>1137</v>
      </c>
      <c r="BY445" s="309"/>
      <c r="BZ445" s="161"/>
      <c r="CA445" s="161"/>
      <c r="CB445" s="161"/>
      <c r="CC445" s="161"/>
      <c r="CD445" s="161"/>
      <c r="CE445" s="161"/>
      <c r="CF445" s="161"/>
      <c r="CG445" s="161"/>
    </row>
    <row r="446">
      <c r="A446" s="313" t="s">
        <v>446</v>
      </c>
      <c r="B446" s="312" t="s">
        <v>1138</v>
      </c>
      <c r="BY446" s="309"/>
      <c r="BZ446" s="161"/>
      <c r="CA446" s="161"/>
      <c r="CB446" s="161"/>
      <c r="CC446" s="161"/>
      <c r="CD446" s="161"/>
      <c r="CE446" s="161"/>
      <c r="CF446" s="161"/>
      <c r="CG446" s="161"/>
    </row>
    <row r="447">
      <c r="B447" s="312" t="s">
        <v>1139</v>
      </c>
      <c r="BY447" s="309"/>
      <c r="BZ447" s="161"/>
      <c r="CA447" s="161"/>
      <c r="CB447" s="161"/>
      <c r="CC447" s="161"/>
      <c r="CD447" s="161"/>
      <c r="CE447" s="161"/>
      <c r="CF447" s="161"/>
      <c r="CG447" s="161"/>
    </row>
    <row r="448">
      <c r="A448" s="310" t="s">
        <v>1140</v>
      </c>
      <c r="B448" s="304" t="s">
        <v>1055</v>
      </c>
      <c r="BZ448" s="161"/>
      <c r="CA448" s="161"/>
      <c r="CB448" s="161"/>
      <c r="CC448" s="161"/>
      <c r="CD448" s="161"/>
      <c r="CE448" s="161"/>
      <c r="CF448" s="161"/>
      <c r="CG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A449" s="161"/>
      <c r="CB449" s="161"/>
      <c r="CC449" s="161"/>
      <c r="CD449" s="161"/>
      <c r="CE449" s="161"/>
      <c r="CF449" s="161"/>
      <c r="CG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A450" s="161"/>
      <c r="CB450" s="161"/>
      <c r="CC450" s="161"/>
      <c r="CD450" s="161"/>
      <c r="CE450" s="161"/>
      <c r="CF450" s="161"/>
      <c r="CG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A451" s="161"/>
      <c r="CB451" s="161"/>
      <c r="CC451" s="161"/>
      <c r="CD451" s="161"/>
      <c r="CE451" s="161"/>
      <c r="CF451" s="161"/>
      <c r="CG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A452" s="161"/>
      <c r="CB452" s="161"/>
      <c r="CC452" s="161"/>
      <c r="CD452" s="161"/>
      <c r="CE452" s="161"/>
      <c r="CF452" s="161"/>
      <c r="CG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A453" s="161"/>
      <c r="CB453" s="161"/>
      <c r="CC453" s="161"/>
      <c r="CD453" s="161"/>
      <c r="CE453" s="161"/>
      <c r="CF453" s="161"/>
      <c r="CG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A454" s="161"/>
      <c r="CB454" s="161"/>
      <c r="CC454" s="161"/>
      <c r="CD454" s="161"/>
      <c r="CE454" s="161"/>
      <c r="CF454" s="161"/>
      <c r="CG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A455" s="161"/>
      <c r="CB455" s="161"/>
      <c r="CC455" s="161"/>
      <c r="CD455" s="161"/>
      <c r="CE455" s="161"/>
      <c r="CF455" s="161"/>
      <c r="CG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A456" s="161"/>
      <c r="CB456" s="161"/>
      <c r="CC456" s="161"/>
      <c r="CD456" s="161"/>
      <c r="CE456" s="161"/>
      <c r="CF456" s="161"/>
      <c r="CG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A457" s="161"/>
      <c r="CB457" s="161"/>
      <c r="CC457" s="161"/>
      <c r="CD457" s="161"/>
      <c r="CE457" s="161"/>
      <c r="CF457" s="161"/>
      <c r="CG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A458" s="161"/>
      <c r="CB458" s="161"/>
      <c r="CC458" s="161"/>
      <c r="CD458" s="161"/>
      <c r="CE458" s="161"/>
      <c r="CF458" s="161"/>
      <c r="CG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A459" s="161"/>
      <c r="CB459" s="161"/>
      <c r="CC459" s="161"/>
      <c r="CD459" s="161"/>
      <c r="CE459" s="161"/>
      <c r="CF459" s="161"/>
      <c r="CG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A460" s="161"/>
      <c r="CB460" s="161"/>
      <c r="CC460" s="161"/>
      <c r="CD460" s="161"/>
      <c r="CE460" s="161"/>
      <c r="CF460" s="161"/>
      <c r="CG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A461" s="161"/>
      <c r="CB461" s="161"/>
      <c r="CC461" s="161"/>
      <c r="CD461" s="161"/>
      <c r="CE461" s="161"/>
      <c r="CF461" s="161"/>
      <c r="CG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A462" s="161"/>
      <c r="CB462" s="161"/>
      <c r="CC462" s="161"/>
      <c r="CD462" s="161"/>
      <c r="CE462" s="161"/>
      <c r="CF462" s="161"/>
      <c r="CG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A463" s="161"/>
      <c r="CB463" s="161"/>
      <c r="CC463" s="161"/>
      <c r="CD463" s="161"/>
      <c r="CE463" s="161"/>
      <c r="CF463" s="161"/>
      <c r="CG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A464" s="161"/>
      <c r="CB464" s="161"/>
      <c r="CC464" s="161"/>
      <c r="CD464" s="161"/>
      <c r="CE464" s="161"/>
      <c r="CF464" s="161"/>
      <c r="CG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A465" s="161"/>
      <c r="CB465" s="161"/>
      <c r="CC465" s="161"/>
      <c r="CD465" s="161"/>
      <c r="CE465" s="161"/>
      <c r="CF465" s="161"/>
      <c r="CG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A466" s="161"/>
      <c r="CB466" s="161"/>
      <c r="CC466" s="161"/>
      <c r="CD466" s="161"/>
      <c r="CE466" s="161"/>
      <c r="CF466" s="161"/>
      <c r="CG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1"/>
      <c r="CC467" s="161"/>
      <c r="CD467" s="161"/>
      <c r="CE467" s="161"/>
      <c r="CF467" s="161"/>
      <c r="CG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A468" s="161"/>
      <c r="CB468" s="161"/>
      <c r="CC468" s="161"/>
      <c r="CD468" s="161"/>
      <c r="CE468" s="161"/>
      <c r="CF468" s="161"/>
      <c r="CG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A469" s="161"/>
      <c r="CB469" s="161"/>
      <c r="CC469" s="161"/>
      <c r="CD469" s="161"/>
      <c r="CE469" s="161"/>
      <c r="CF469" s="161"/>
      <c r="CG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A470" s="161"/>
      <c r="CB470" s="161"/>
      <c r="CC470" s="161"/>
      <c r="CD470" s="161"/>
      <c r="CE470" s="161"/>
      <c r="CF470" s="161"/>
      <c r="CG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A471" s="161"/>
      <c r="CB471" s="161"/>
      <c r="CC471" s="161"/>
      <c r="CD471" s="161"/>
      <c r="CE471" s="161"/>
      <c r="CF471" s="161"/>
      <c r="CG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A472" s="161"/>
      <c r="CB472" s="161"/>
      <c r="CC472" s="161"/>
      <c r="CD472" s="161"/>
      <c r="CE472" s="161"/>
      <c r="CF472" s="161"/>
      <c r="CG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A473" s="161"/>
      <c r="CB473" s="161"/>
      <c r="CC473" s="161"/>
      <c r="CD473" s="161"/>
      <c r="CE473" s="161"/>
      <c r="CF473" s="161"/>
      <c r="CG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A474" s="161"/>
      <c r="CB474" s="161"/>
      <c r="CC474" s="161"/>
      <c r="CD474" s="161"/>
      <c r="CE474" s="161"/>
      <c r="CF474" s="161"/>
      <c r="CG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A475" s="161"/>
      <c r="CB475" s="161"/>
      <c r="CC475" s="161"/>
      <c r="CD475" s="161"/>
      <c r="CE475" s="161"/>
      <c r="CF475" s="161"/>
      <c r="CG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A476" s="161"/>
      <c r="CB476" s="161"/>
      <c r="CC476" s="161"/>
      <c r="CD476" s="161"/>
      <c r="CE476" s="161"/>
      <c r="CF476" s="161"/>
      <c r="CG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A477" s="161"/>
      <c r="CB477" s="161"/>
      <c r="CC477" s="161"/>
      <c r="CD477" s="161"/>
      <c r="CE477" s="161"/>
      <c r="CF477" s="161"/>
      <c r="CG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A478" s="161"/>
      <c r="CB478" s="161"/>
      <c r="CC478" s="161"/>
      <c r="CD478" s="161"/>
      <c r="CE478" s="161"/>
      <c r="CF478" s="161"/>
      <c r="CG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A479" s="161"/>
      <c r="CB479" s="161"/>
      <c r="CC479" s="161"/>
      <c r="CD479" s="161"/>
      <c r="CE479" s="161"/>
      <c r="CF479" s="161"/>
      <c r="CG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A480" s="161"/>
      <c r="CB480" s="161"/>
      <c r="CC480" s="161"/>
      <c r="CD480" s="161"/>
      <c r="CE480" s="161"/>
      <c r="CF480" s="161"/>
      <c r="CG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A481" s="161"/>
      <c r="CB481" s="161"/>
      <c r="CC481" s="161"/>
      <c r="CD481" s="161"/>
      <c r="CE481" s="161"/>
      <c r="CF481" s="161"/>
      <c r="CG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A482" s="161"/>
      <c r="CB482" s="161"/>
      <c r="CC482" s="161"/>
      <c r="CD482" s="161"/>
      <c r="CE482" s="161"/>
      <c r="CF482" s="161"/>
      <c r="CG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A483" s="161"/>
      <c r="CB483" s="161"/>
      <c r="CC483" s="161"/>
      <c r="CD483" s="161"/>
      <c r="CE483" s="161"/>
      <c r="CF483" s="161"/>
      <c r="CG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A484" s="161"/>
      <c r="CB484" s="161"/>
      <c r="CC484" s="161"/>
      <c r="CD484" s="161"/>
      <c r="CE484" s="161"/>
      <c r="CF484" s="161"/>
      <c r="CG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A485" s="161"/>
      <c r="CB485" s="161"/>
      <c r="CC485" s="161"/>
      <c r="CD485" s="161"/>
      <c r="CE485" s="161"/>
      <c r="CF485" s="161"/>
      <c r="CG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A486" s="161"/>
      <c r="CB486" s="161"/>
      <c r="CC486" s="161"/>
      <c r="CD486" s="161"/>
      <c r="CE486" s="161"/>
      <c r="CF486" s="161"/>
      <c r="CG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A487" s="161"/>
      <c r="CB487" s="161"/>
      <c r="CC487" s="161"/>
      <c r="CD487" s="161"/>
      <c r="CE487" s="161"/>
      <c r="CF487" s="161"/>
      <c r="CG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A488" s="161"/>
      <c r="CB488" s="161"/>
      <c r="CC488" s="161"/>
      <c r="CD488" s="161"/>
      <c r="CE488" s="161"/>
      <c r="CF488" s="161"/>
      <c r="CG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A489" s="161"/>
      <c r="CB489" s="161"/>
      <c r="CC489" s="161"/>
      <c r="CD489" s="161"/>
      <c r="CE489" s="161"/>
      <c r="CF489" s="161"/>
      <c r="CG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A490" s="161"/>
      <c r="CB490" s="161"/>
      <c r="CC490" s="161"/>
      <c r="CD490" s="161"/>
      <c r="CE490" s="161"/>
      <c r="CF490" s="161"/>
      <c r="CG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A491" s="161"/>
      <c r="CB491" s="161"/>
      <c r="CC491" s="161"/>
      <c r="CD491" s="161"/>
      <c r="CE491" s="161"/>
      <c r="CF491" s="161"/>
      <c r="CG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A492" s="161"/>
      <c r="CB492" s="161"/>
      <c r="CC492" s="161"/>
      <c r="CD492" s="161"/>
      <c r="CE492" s="161"/>
      <c r="CF492" s="161"/>
      <c r="CG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A493" s="161"/>
      <c r="CB493" s="161"/>
      <c r="CC493" s="161"/>
      <c r="CD493" s="161"/>
      <c r="CE493" s="161"/>
      <c r="CF493" s="161"/>
      <c r="CG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A494" s="161"/>
      <c r="CB494" s="161"/>
      <c r="CC494" s="161"/>
      <c r="CD494" s="161"/>
      <c r="CE494" s="161"/>
      <c r="CF494" s="161"/>
      <c r="CG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A495" s="161"/>
      <c r="CB495" s="161"/>
      <c r="CC495" s="161"/>
      <c r="CD495" s="161"/>
      <c r="CE495" s="161"/>
      <c r="CF495" s="161"/>
      <c r="CG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A496" s="161"/>
      <c r="CB496" s="161"/>
      <c r="CC496" s="161"/>
      <c r="CD496" s="161"/>
      <c r="CE496" s="161"/>
      <c r="CF496" s="161"/>
      <c r="CG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A497" s="161"/>
      <c r="CB497" s="161"/>
      <c r="CC497" s="161"/>
      <c r="CD497" s="161"/>
      <c r="CE497" s="161"/>
      <c r="CF497" s="161"/>
      <c r="CG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A498" s="161"/>
      <c r="CB498" s="161"/>
      <c r="CC498" s="161"/>
      <c r="CD498" s="161"/>
      <c r="CE498" s="161"/>
      <c r="CF498" s="161"/>
      <c r="CG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A499" s="161"/>
      <c r="CB499" s="161"/>
      <c r="CC499" s="161"/>
      <c r="CD499" s="161"/>
      <c r="CE499" s="161"/>
      <c r="CF499" s="161"/>
      <c r="CG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1"/>
      <c r="CC500" s="161"/>
      <c r="CD500" s="161"/>
      <c r="CE500" s="161"/>
      <c r="CF500" s="161"/>
      <c r="CG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1"/>
      <c r="CC501" s="161"/>
      <c r="CD501" s="161"/>
      <c r="CE501" s="161"/>
      <c r="CF501" s="161"/>
      <c r="CG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A502" s="161"/>
      <c r="CB502" s="161"/>
      <c r="CC502" s="161"/>
      <c r="CD502" s="161"/>
      <c r="CE502" s="161"/>
      <c r="CF502" s="161"/>
      <c r="CG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A503" s="161"/>
      <c r="CB503" s="161"/>
      <c r="CC503" s="161"/>
      <c r="CD503" s="161"/>
      <c r="CE503" s="161"/>
      <c r="CF503" s="161"/>
      <c r="CG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1"/>
      <c r="CC504" s="161"/>
      <c r="CD504" s="161"/>
      <c r="CE504" s="161"/>
      <c r="CF504" s="161"/>
      <c r="CG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A505" s="161"/>
      <c r="CB505" s="161"/>
      <c r="CC505" s="161"/>
      <c r="CD505" s="161"/>
      <c r="CE505" s="161"/>
      <c r="CF505" s="161"/>
      <c r="CG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1"/>
      <c r="CC506" s="161"/>
      <c r="CD506" s="161"/>
      <c r="CE506" s="161"/>
      <c r="CF506" s="161"/>
      <c r="CG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A507" s="161"/>
      <c r="CB507" s="161"/>
      <c r="CC507" s="161"/>
      <c r="CD507" s="161"/>
      <c r="CE507" s="161"/>
      <c r="CF507" s="161"/>
      <c r="CG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A508" s="161"/>
      <c r="CB508" s="161"/>
      <c r="CC508" s="161"/>
      <c r="CD508" s="161"/>
      <c r="CE508" s="161"/>
      <c r="CF508" s="161"/>
      <c r="CG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A509" s="161"/>
      <c r="CB509" s="161"/>
      <c r="CC509" s="161"/>
      <c r="CD509" s="161"/>
      <c r="CE509" s="161"/>
      <c r="CF509" s="161"/>
      <c r="CG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1"/>
      <c r="CC510" s="161"/>
      <c r="CD510" s="161"/>
      <c r="CE510" s="161"/>
      <c r="CF510" s="161"/>
      <c r="CG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  <c r="CC511" s="161"/>
      <c r="CD511" s="161"/>
      <c r="CE511" s="161"/>
      <c r="CF511" s="161"/>
      <c r="CG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A512" s="161"/>
      <c r="CB512" s="161"/>
      <c r="CC512" s="161"/>
      <c r="CD512" s="161"/>
      <c r="CE512" s="161"/>
      <c r="CF512" s="161"/>
      <c r="CG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A513" s="161"/>
      <c r="CB513" s="161"/>
      <c r="CC513" s="161"/>
      <c r="CD513" s="161"/>
      <c r="CE513" s="161"/>
      <c r="CF513" s="161"/>
      <c r="CG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  <c r="CC514" s="161"/>
      <c r="CD514" s="161"/>
      <c r="CE514" s="161"/>
      <c r="CF514" s="161"/>
      <c r="CG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  <c r="CC515" s="161"/>
      <c r="CD515" s="161"/>
      <c r="CE515" s="161"/>
      <c r="CF515" s="161"/>
      <c r="CG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A516" s="161"/>
      <c r="CB516" s="161"/>
      <c r="CC516" s="161"/>
      <c r="CD516" s="161"/>
      <c r="CE516" s="161"/>
      <c r="CF516" s="161"/>
      <c r="CG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A517" s="161"/>
      <c r="CB517" s="161"/>
      <c r="CC517" s="161"/>
      <c r="CD517" s="161"/>
      <c r="CE517" s="161"/>
      <c r="CF517" s="161"/>
      <c r="CG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A518" s="161"/>
      <c r="CB518" s="161"/>
      <c r="CC518" s="161"/>
      <c r="CD518" s="161"/>
      <c r="CE518" s="161"/>
      <c r="CF518" s="161"/>
      <c r="CG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1"/>
      <c r="CC519" s="161"/>
      <c r="CD519" s="161"/>
      <c r="CE519" s="161"/>
      <c r="CF519" s="161"/>
      <c r="CG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  <c r="CC520" s="161"/>
      <c r="CD520" s="161"/>
      <c r="CE520" s="161"/>
      <c r="CF520" s="161"/>
      <c r="CG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A521" s="161"/>
      <c r="CB521" s="161"/>
      <c r="CC521" s="161"/>
      <c r="CD521" s="161"/>
      <c r="CE521" s="161"/>
      <c r="CF521" s="161"/>
      <c r="CG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  <c r="CC522" s="161"/>
      <c r="CD522" s="161"/>
      <c r="CE522" s="161"/>
      <c r="CF522" s="161"/>
      <c r="CG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A523" s="161"/>
      <c r="CB523" s="161"/>
      <c r="CC523" s="161"/>
      <c r="CD523" s="161"/>
      <c r="CE523" s="161"/>
      <c r="CF523" s="161"/>
      <c r="CG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A524" s="161"/>
      <c r="CB524" s="161"/>
      <c r="CC524" s="161"/>
      <c r="CD524" s="161"/>
      <c r="CE524" s="161"/>
      <c r="CF524" s="161"/>
      <c r="CG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A525" s="161"/>
      <c r="CB525" s="161"/>
      <c r="CC525" s="161"/>
      <c r="CD525" s="161"/>
      <c r="CE525" s="161"/>
      <c r="CF525" s="161"/>
      <c r="CG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1"/>
      <c r="CC526" s="161"/>
      <c r="CD526" s="161"/>
      <c r="CE526" s="161"/>
      <c r="CF526" s="161"/>
      <c r="CG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A527" s="161"/>
      <c r="CB527" s="161"/>
      <c r="CC527" s="161"/>
      <c r="CD527" s="161"/>
      <c r="CE527" s="161"/>
      <c r="CF527" s="161"/>
      <c r="CG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A528" s="161"/>
      <c r="CB528" s="161"/>
      <c r="CC528" s="161"/>
      <c r="CD528" s="161"/>
      <c r="CE528" s="161"/>
      <c r="CF528" s="161"/>
      <c r="CG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A529" s="161"/>
      <c r="CB529" s="161"/>
      <c r="CC529" s="161"/>
      <c r="CD529" s="161"/>
      <c r="CE529" s="161"/>
      <c r="CF529" s="161"/>
      <c r="CG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A530" s="161"/>
      <c r="CB530" s="161"/>
      <c r="CC530" s="161"/>
      <c r="CD530" s="161"/>
      <c r="CE530" s="161"/>
      <c r="CF530" s="161"/>
      <c r="CG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1"/>
      <c r="CC531" s="161"/>
      <c r="CD531" s="161"/>
      <c r="CE531" s="161"/>
      <c r="CF531" s="161"/>
      <c r="CG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A532" s="161"/>
      <c r="CB532" s="161"/>
      <c r="CC532" s="161"/>
      <c r="CD532" s="161"/>
      <c r="CE532" s="161"/>
      <c r="CF532" s="161"/>
      <c r="CG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1"/>
      <c r="CC533" s="161"/>
      <c r="CD533" s="161"/>
      <c r="CE533" s="161"/>
      <c r="CF533" s="161"/>
      <c r="CG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  <c r="CC534" s="161"/>
      <c r="CD534" s="161"/>
      <c r="CE534" s="161"/>
      <c r="CF534" s="161"/>
      <c r="CG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1"/>
      <c r="CC535" s="161"/>
      <c r="CD535" s="161"/>
      <c r="CE535" s="161"/>
      <c r="CF535" s="161"/>
      <c r="CG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1"/>
      <c r="CC536" s="161"/>
      <c r="CD536" s="161"/>
      <c r="CE536" s="161"/>
      <c r="CF536" s="161"/>
      <c r="CG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1"/>
      <c r="CC537" s="161"/>
      <c r="CD537" s="161"/>
      <c r="CE537" s="161"/>
      <c r="CF537" s="161"/>
      <c r="CG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A538" s="161"/>
      <c r="CB538" s="161"/>
      <c r="CC538" s="161"/>
      <c r="CD538" s="161"/>
      <c r="CE538" s="161"/>
      <c r="CF538" s="161"/>
      <c r="CG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A539" s="161"/>
      <c r="CB539" s="161"/>
      <c r="CC539" s="161"/>
      <c r="CD539" s="161"/>
      <c r="CE539" s="161"/>
      <c r="CF539" s="161"/>
      <c r="CG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  <c r="CC540" s="161"/>
      <c r="CD540" s="161"/>
      <c r="CE540" s="161"/>
      <c r="CF540" s="161"/>
      <c r="CG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A541" s="161"/>
      <c r="CB541" s="161"/>
      <c r="CC541" s="161"/>
      <c r="CD541" s="161"/>
      <c r="CE541" s="161"/>
      <c r="CF541" s="161"/>
      <c r="CG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A542" s="161"/>
      <c r="CB542" s="161"/>
      <c r="CC542" s="161"/>
      <c r="CD542" s="161"/>
      <c r="CE542" s="161"/>
      <c r="CF542" s="161"/>
      <c r="CG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A543" s="161"/>
      <c r="CB543" s="161"/>
      <c r="CC543" s="161"/>
      <c r="CD543" s="161"/>
      <c r="CE543" s="161"/>
      <c r="CF543" s="161"/>
      <c r="CG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A544" s="161"/>
      <c r="CB544" s="161"/>
      <c r="CC544" s="161"/>
      <c r="CD544" s="161"/>
      <c r="CE544" s="161"/>
      <c r="CF544" s="161"/>
      <c r="CG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A545" s="161"/>
      <c r="CB545" s="161"/>
      <c r="CC545" s="161"/>
      <c r="CD545" s="161"/>
      <c r="CE545" s="161"/>
      <c r="CF545" s="161"/>
      <c r="CG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A546" s="161"/>
      <c r="CB546" s="161"/>
      <c r="CC546" s="161"/>
      <c r="CD546" s="161"/>
      <c r="CE546" s="161"/>
      <c r="CF546" s="161"/>
      <c r="CG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A547" s="161"/>
      <c r="CB547" s="161"/>
      <c r="CC547" s="161"/>
      <c r="CD547" s="161"/>
      <c r="CE547" s="161"/>
      <c r="CF547" s="161"/>
      <c r="CG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A548" s="161"/>
      <c r="CB548" s="161"/>
      <c r="CC548" s="161"/>
      <c r="CD548" s="161"/>
      <c r="CE548" s="161"/>
      <c r="CF548" s="161"/>
      <c r="CG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1"/>
      <c r="CC549" s="161"/>
      <c r="CD549" s="161"/>
      <c r="CE549" s="161"/>
      <c r="CF549" s="161"/>
      <c r="CG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A550" s="161"/>
      <c r="CB550" s="161"/>
      <c r="CC550" s="161"/>
      <c r="CD550" s="161"/>
      <c r="CE550" s="161"/>
      <c r="CF550" s="161"/>
      <c r="CG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A551" s="161"/>
      <c r="CB551" s="161"/>
      <c r="CC551" s="161"/>
      <c r="CD551" s="161"/>
      <c r="CE551" s="161"/>
      <c r="CF551" s="161"/>
      <c r="CG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  <c r="CC552" s="161"/>
      <c r="CD552" s="161"/>
      <c r="CE552" s="161"/>
      <c r="CF552" s="161"/>
      <c r="CG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A553" s="161"/>
      <c r="CB553" s="161"/>
      <c r="CC553" s="161"/>
      <c r="CD553" s="161"/>
      <c r="CE553" s="161"/>
      <c r="CF553" s="161"/>
      <c r="CG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A554" s="161"/>
      <c r="CB554" s="161"/>
      <c r="CC554" s="161"/>
      <c r="CD554" s="161"/>
      <c r="CE554" s="161"/>
      <c r="CF554" s="161"/>
      <c r="CG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A555" s="161"/>
      <c r="CB555" s="161"/>
      <c r="CC555" s="161"/>
      <c r="CD555" s="161"/>
      <c r="CE555" s="161"/>
      <c r="CF555" s="161"/>
      <c r="CG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A556" s="161"/>
      <c r="CB556" s="161"/>
      <c r="CC556" s="161"/>
      <c r="CD556" s="161"/>
      <c r="CE556" s="161"/>
      <c r="CF556" s="161"/>
      <c r="CG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  <c r="CC557" s="161"/>
      <c r="CD557" s="161"/>
      <c r="CE557" s="161"/>
      <c r="CF557" s="161"/>
      <c r="CG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  <c r="CC558" s="161"/>
      <c r="CD558" s="161"/>
      <c r="CE558" s="161"/>
      <c r="CF558" s="161"/>
      <c r="CG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A559" s="161"/>
      <c r="CB559" s="161"/>
      <c r="CC559" s="161"/>
      <c r="CD559" s="161"/>
      <c r="CE559" s="161"/>
      <c r="CF559" s="161"/>
      <c r="CG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A560" s="161"/>
      <c r="CB560" s="161"/>
      <c r="CC560" s="161"/>
      <c r="CD560" s="161"/>
      <c r="CE560" s="161"/>
      <c r="CF560" s="161"/>
      <c r="CG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A561" s="161"/>
      <c r="CB561" s="161"/>
      <c r="CC561" s="161"/>
      <c r="CD561" s="161"/>
      <c r="CE561" s="161"/>
      <c r="CF561" s="161"/>
      <c r="CG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A562" s="161"/>
      <c r="CB562" s="161"/>
      <c r="CC562" s="161"/>
      <c r="CD562" s="161"/>
      <c r="CE562" s="161"/>
      <c r="CF562" s="161"/>
      <c r="CG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A563" s="161"/>
      <c r="CB563" s="161"/>
      <c r="CC563" s="161"/>
      <c r="CD563" s="161"/>
      <c r="CE563" s="161"/>
      <c r="CF563" s="161"/>
      <c r="CG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A564" s="161"/>
      <c r="CB564" s="161"/>
      <c r="CC564" s="161"/>
      <c r="CD564" s="161"/>
      <c r="CE564" s="161"/>
      <c r="CF564" s="161"/>
      <c r="CG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A565" s="161"/>
      <c r="CB565" s="161"/>
      <c r="CC565" s="161"/>
      <c r="CD565" s="161"/>
      <c r="CE565" s="161"/>
      <c r="CF565" s="161"/>
      <c r="CG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A566" s="161"/>
      <c r="CB566" s="161"/>
      <c r="CC566" s="161"/>
      <c r="CD566" s="161"/>
      <c r="CE566" s="161"/>
      <c r="CF566" s="161"/>
      <c r="CG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A567" s="161"/>
      <c r="CB567" s="161"/>
      <c r="CC567" s="161"/>
      <c r="CD567" s="161"/>
      <c r="CE567" s="161"/>
      <c r="CF567" s="161"/>
      <c r="CG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A568" s="161"/>
      <c r="CB568" s="161"/>
      <c r="CC568" s="161"/>
      <c r="CD568" s="161"/>
      <c r="CE568" s="161"/>
      <c r="CF568" s="161"/>
      <c r="CG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A569" s="161"/>
      <c r="CB569" s="161"/>
      <c r="CC569" s="161"/>
      <c r="CD569" s="161"/>
      <c r="CE569" s="161"/>
      <c r="CF569" s="161"/>
      <c r="CG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A570" s="161"/>
      <c r="CB570" s="161"/>
      <c r="CC570" s="161"/>
      <c r="CD570" s="161"/>
      <c r="CE570" s="161"/>
      <c r="CF570" s="161"/>
      <c r="CG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A571" s="161"/>
      <c r="CB571" s="161"/>
      <c r="CC571" s="161"/>
      <c r="CD571" s="161"/>
      <c r="CE571" s="161"/>
      <c r="CF571" s="161"/>
      <c r="CG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A572" s="161"/>
      <c r="CB572" s="161"/>
      <c r="CC572" s="161"/>
      <c r="CD572" s="161"/>
      <c r="CE572" s="161"/>
      <c r="CF572" s="161"/>
      <c r="CG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A573" s="161"/>
      <c r="CB573" s="161"/>
      <c r="CC573" s="161"/>
      <c r="CD573" s="161"/>
      <c r="CE573" s="161"/>
      <c r="CF573" s="161"/>
      <c r="CG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A574" s="161"/>
      <c r="CB574" s="161"/>
      <c r="CC574" s="161"/>
      <c r="CD574" s="161"/>
      <c r="CE574" s="161"/>
      <c r="CF574" s="161"/>
      <c r="CG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A575" s="161"/>
      <c r="CB575" s="161"/>
      <c r="CC575" s="161"/>
      <c r="CD575" s="161"/>
      <c r="CE575" s="161"/>
      <c r="CF575" s="161"/>
      <c r="CG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A576" s="161"/>
      <c r="CB576" s="161"/>
      <c r="CC576" s="161"/>
      <c r="CD576" s="161"/>
      <c r="CE576" s="161"/>
      <c r="CF576" s="161"/>
      <c r="CG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A577" s="161"/>
      <c r="CB577" s="161"/>
      <c r="CC577" s="161"/>
      <c r="CD577" s="161"/>
      <c r="CE577" s="161"/>
      <c r="CF577" s="161"/>
      <c r="CG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A578" s="161"/>
      <c r="CB578" s="161"/>
      <c r="CC578" s="161"/>
      <c r="CD578" s="161"/>
      <c r="CE578" s="161"/>
      <c r="CF578" s="161"/>
      <c r="CG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A579" s="161"/>
      <c r="CB579" s="161"/>
      <c r="CC579" s="161"/>
      <c r="CD579" s="161"/>
      <c r="CE579" s="161"/>
      <c r="CF579" s="161"/>
      <c r="CG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A580" s="161"/>
      <c r="CB580" s="161"/>
      <c r="CC580" s="161"/>
      <c r="CD580" s="161"/>
      <c r="CE580" s="161"/>
      <c r="CF580" s="161"/>
      <c r="CG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A581" s="161"/>
      <c r="CB581" s="161"/>
      <c r="CC581" s="161"/>
      <c r="CD581" s="161"/>
      <c r="CE581" s="161"/>
      <c r="CF581" s="161"/>
      <c r="CG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A582" s="161"/>
      <c r="CB582" s="161"/>
      <c r="CC582" s="161"/>
      <c r="CD582" s="161"/>
      <c r="CE582" s="161"/>
      <c r="CF582" s="161"/>
      <c r="CG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A583" s="161"/>
      <c r="CB583" s="161"/>
      <c r="CC583" s="161"/>
      <c r="CD583" s="161"/>
      <c r="CE583" s="161"/>
      <c r="CF583" s="161"/>
      <c r="CG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A584" s="161"/>
      <c r="CB584" s="161"/>
      <c r="CC584" s="161"/>
      <c r="CD584" s="161"/>
      <c r="CE584" s="161"/>
      <c r="CF584" s="161"/>
      <c r="CG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A585" s="161"/>
      <c r="CB585" s="161"/>
      <c r="CC585" s="161"/>
      <c r="CD585" s="161"/>
      <c r="CE585" s="161"/>
      <c r="CF585" s="161"/>
      <c r="CG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A586" s="161"/>
      <c r="CB586" s="161"/>
      <c r="CC586" s="161"/>
      <c r="CD586" s="161"/>
      <c r="CE586" s="161"/>
      <c r="CF586" s="161"/>
      <c r="CG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A587" s="161"/>
      <c r="CB587" s="161"/>
      <c r="CC587" s="161"/>
      <c r="CD587" s="161"/>
      <c r="CE587" s="161"/>
      <c r="CF587" s="161"/>
      <c r="CG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A588" s="161"/>
      <c r="CB588" s="161"/>
      <c r="CC588" s="161"/>
      <c r="CD588" s="161"/>
      <c r="CE588" s="161"/>
      <c r="CF588" s="161"/>
      <c r="CG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A589" s="161"/>
      <c r="CB589" s="161"/>
      <c r="CC589" s="161"/>
      <c r="CD589" s="161"/>
      <c r="CE589" s="161"/>
      <c r="CF589" s="161"/>
      <c r="CG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A590" s="161"/>
      <c r="CB590" s="161"/>
      <c r="CC590" s="161"/>
      <c r="CD590" s="161"/>
      <c r="CE590" s="161"/>
      <c r="CF590" s="161"/>
      <c r="CG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A591" s="161"/>
      <c r="CB591" s="161"/>
      <c r="CC591" s="161"/>
      <c r="CD591" s="161"/>
      <c r="CE591" s="161"/>
      <c r="CF591" s="161"/>
      <c r="CG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A592" s="161"/>
      <c r="CB592" s="161"/>
      <c r="CC592" s="161"/>
      <c r="CD592" s="161"/>
      <c r="CE592" s="161"/>
      <c r="CF592" s="161"/>
      <c r="CG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A593" s="161"/>
      <c r="CB593" s="161"/>
      <c r="CC593" s="161"/>
      <c r="CD593" s="161"/>
      <c r="CE593" s="161"/>
      <c r="CF593" s="161"/>
      <c r="CG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A594" s="161"/>
      <c r="CB594" s="161"/>
      <c r="CC594" s="161"/>
      <c r="CD594" s="161"/>
      <c r="CE594" s="161"/>
      <c r="CF594" s="161"/>
      <c r="CG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A595" s="161"/>
      <c r="CB595" s="161"/>
      <c r="CC595" s="161"/>
      <c r="CD595" s="161"/>
      <c r="CE595" s="161"/>
      <c r="CF595" s="161"/>
      <c r="CG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A596" s="161"/>
      <c r="CB596" s="161"/>
      <c r="CC596" s="161"/>
      <c r="CD596" s="161"/>
      <c r="CE596" s="161"/>
      <c r="CF596" s="161"/>
      <c r="CG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A597" s="161"/>
      <c r="CB597" s="161"/>
      <c r="CC597" s="161"/>
      <c r="CD597" s="161"/>
      <c r="CE597" s="161"/>
      <c r="CF597" s="161"/>
      <c r="CG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A598" s="161"/>
      <c r="CB598" s="161"/>
      <c r="CC598" s="161"/>
      <c r="CD598" s="161"/>
      <c r="CE598" s="161"/>
      <c r="CF598" s="161"/>
      <c r="CG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A599" s="161"/>
      <c r="CB599" s="161"/>
      <c r="CC599" s="161"/>
      <c r="CD599" s="161"/>
      <c r="CE599" s="161"/>
      <c r="CF599" s="161"/>
      <c r="CG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A600" s="161"/>
      <c r="CB600" s="161"/>
      <c r="CC600" s="161"/>
      <c r="CD600" s="161"/>
      <c r="CE600" s="161"/>
      <c r="CF600" s="161"/>
      <c r="CG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A601" s="161"/>
      <c r="CB601" s="161"/>
      <c r="CC601" s="161"/>
      <c r="CD601" s="161"/>
      <c r="CE601" s="161"/>
      <c r="CF601" s="161"/>
      <c r="CG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A602" s="161"/>
      <c r="CB602" s="161"/>
      <c r="CC602" s="161"/>
      <c r="CD602" s="161"/>
      <c r="CE602" s="161"/>
      <c r="CF602" s="161"/>
      <c r="CG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A603" s="161"/>
      <c r="CB603" s="161"/>
      <c r="CC603" s="161"/>
      <c r="CD603" s="161"/>
      <c r="CE603" s="161"/>
      <c r="CF603" s="161"/>
      <c r="CG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A604" s="161"/>
      <c r="CB604" s="161"/>
      <c r="CC604" s="161"/>
      <c r="CD604" s="161"/>
      <c r="CE604" s="161"/>
      <c r="CF604" s="161"/>
      <c r="CG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A605" s="161"/>
      <c r="CB605" s="161"/>
      <c r="CC605" s="161"/>
      <c r="CD605" s="161"/>
      <c r="CE605" s="161"/>
      <c r="CF605" s="161"/>
      <c r="CG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A606" s="161"/>
      <c r="CB606" s="161"/>
      <c r="CC606" s="161"/>
      <c r="CD606" s="161"/>
      <c r="CE606" s="161"/>
      <c r="CF606" s="161"/>
      <c r="CG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A607" s="161"/>
      <c r="CB607" s="161"/>
      <c r="CC607" s="161"/>
      <c r="CD607" s="161"/>
      <c r="CE607" s="161"/>
      <c r="CF607" s="161"/>
      <c r="CG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A608" s="161"/>
      <c r="CB608" s="161"/>
      <c r="CC608" s="161"/>
      <c r="CD608" s="161"/>
      <c r="CE608" s="161"/>
      <c r="CF608" s="161"/>
      <c r="CG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A609" s="161"/>
      <c r="CB609" s="161"/>
      <c r="CC609" s="161"/>
      <c r="CD609" s="161"/>
      <c r="CE609" s="161"/>
      <c r="CF609" s="161"/>
      <c r="CG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A610" s="161"/>
      <c r="CB610" s="161"/>
      <c r="CC610" s="161"/>
      <c r="CD610" s="161"/>
      <c r="CE610" s="161"/>
      <c r="CF610" s="161"/>
      <c r="CG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A611" s="161"/>
      <c r="CB611" s="161"/>
      <c r="CC611" s="161"/>
      <c r="CD611" s="161"/>
      <c r="CE611" s="161"/>
      <c r="CF611" s="161"/>
      <c r="CG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A612" s="161"/>
      <c r="CB612" s="161"/>
      <c r="CC612" s="161"/>
      <c r="CD612" s="161"/>
      <c r="CE612" s="161"/>
      <c r="CF612" s="161"/>
      <c r="CG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A613" s="161"/>
      <c r="CB613" s="161"/>
      <c r="CC613" s="161"/>
      <c r="CD613" s="161"/>
      <c r="CE613" s="161"/>
      <c r="CF613" s="161"/>
      <c r="CG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A614" s="161"/>
      <c r="CB614" s="161"/>
      <c r="CC614" s="161"/>
      <c r="CD614" s="161"/>
      <c r="CE614" s="161"/>
      <c r="CF614" s="161"/>
      <c r="CG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A615" s="161"/>
      <c r="CB615" s="161"/>
      <c r="CC615" s="161"/>
      <c r="CD615" s="161"/>
      <c r="CE615" s="161"/>
      <c r="CF615" s="161"/>
      <c r="CG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A616" s="161"/>
      <c r="CB616" s="161"/>
      <c r="CC616" s="161"/>
      <c r="CD616" s="161"/>
      <c r="CE616" s="161"/>
      <c r="CF616" s="161"/>
      <c r="CG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A617" s="161"/>
      <c r="CB617" s="161"/>
      <c r="CC617" s="161"/>
      <c r="CD617" s="161"/>
      <c r="CE617" s="161"/>
      <c r="CF617" s="161"/>
      <c r="CG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A618" s="161"/>
      <c r="CB618" s="161"/>
      <c r="CC618" s="161"/>
      <c r="CD618" s="161"/>
      <c r="CE618" s="161"/>
      <c r="CF618" s="161"/>
      <c r="CG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A619" s="161"/>
      <c r="CB619" s="161"/>
      <c r="CC619" s="161"/>
      <c r="CD619" s="161"/>
      <c r="CE619" s="161"/>
      <c r="CF619" s="161"/>
      <c r="CG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A620" s="161"/>
      <c r="CB620" s="161"/>
      <c r="CC620" s="161"/>
      <c r="CD620" s="161"/>
      <c r="CE620" s="161"/>
      <c r="CF620" s="161"/>
      <c r="CG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A621" s="161"/>
      <c r="CB621" s="161"/>
      <c r="CC621" s="161"/>
      <c r="CD621" s="161"/>
      <c r="CE621" s="161"/>
      <c r="CF621" s="161"/>
      <c r="CG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A622" s="161"/>
      <c r="CB622" s="161"/>
      <c r="CC622" s="161"/>
      <c r="CD622" s="161"/>
      <c r="CE622" s="161"/>
      <c r="CF622" s="161"/>
      <c r="CG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A623" s="161"/>
      <c r="CB623" s="161"/>
      <c r="CC623" s="161"/>
      <c r="CD623" s="161"/>
      <c r="CE623" s="161"/>
      <c r="CF623" s="161"/>
      <c r="CG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A624" s="161"/>
      <c r="CB624" s="161"/>
      <c r="CC624" s="161"/>
      <c r="CD624" s="161"/>
      <c r="CE624" s="161"/>
      <c r="CF624" s="161"/>
      <c r="CG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A625" s="161"/>
      <c r="CB625" s="161"/>
      <c r="CC625" s="161"/>
      <c r="CD625" s="161"/>
      <c r="CE625" s="161"/>
      <c r="CF625" s="161"/>
      <c r="CG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A626" s="161"/>
      <c r="CB626" s="161"/>
      <c r="CC626" s="161"/>
      <c r="CD626" s="161"/>
      <c r="CE626" s="161"/>
      <c r="CF626" s="161"/>
      <c r="CG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A627" s="161"/>
      <c r="CB627" s="161"/>
      <c r="CC627" s="161"/>
      <c r="CD627" s="161"/>
      <c r="CE627" s="161"/>
      <c r="CF627" s="161"/>
      <c r="CG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A628" s="161"/>
      <c r="CB628" s="161"/>
      <c r="CC628" s="161"/>
      <c r="CD628" s="161"/>
      <c r="CE628" s="161"/>
      <c r="CF628" s="161"/>
      <c r="CG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A629" s="161"/>
      <c r="CB629" s="161"/>
      <c r="CC629" s="161"/>
      <c r="CD629" s="161"/>
      <c r="CE629" s="161"/>
      <c r="CF629" s="161"/>
      <c r="CG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A630" s="161"/>
      <c r="CB630" s="161"/>
      <c r="CC630" s="161"/>
      <c r="CD630" s="161"/>
      <c r="CE630" s="161"/>
      <c r="CF630" s="161"/>
      <c r="CG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A631" s="161"/>
      <c r="CB631" s="161"/>
      <c r="CC631" s="161"/>
      <c r="CD631" s="161"/>
      <c r="CE631" s="161"/>
      <c r="CF631" s="161"/>
      <c r="CG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A632" s="161"/>
      <c r="CB632" s="161"/>
      <c r="CC632" s="161"/>
      <c r="CD632" s="161"/>
      <c r="CE632" s="161"/>
      <c r="CF632" s="161"/>
      <c r="CG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A633" s="161"/>
      <c r="CB633" s="161"/>
      <c r="CC633" s="161"/>
      <c r="CD633" s="161"/>
      <c r="CE633" s="161"/>
      <c r="CF633" s="161"/>
      <c r="CG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A634" s="161"/>
      <c r="CB634" s="161"/>
      <c r="CC634" s="161"/>
      <c r="CD634" s="161"/>
      <c r="CE634" s="161"/>
      <c r="CF634" s="161"/>
      <c r="CG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  <c r="BY635" s="161"/>
      <c r="BZ635" s="161"/>
      <c r="CA635" s="161"/>
      <c r="CB635" s="161"/>
      <c r="CC635" s="161"/>
      <c r="CD635" s="161"/>
      <c r="CE635" s="161"/>
      <c r="CF635" s="161"/>
      <c r="CG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  <c r="BY636" s="161"/>
      <c r="BZ636" s="161"/>
      <c r="CA636" s="161"/>
      <c r="CB636" s="161"/>
      <c r="CC636" s="161"/>
      <c r="CD636" s="161"/>
      <c r="CE636" s="161"/>
      <c r="CF636" s="161"/>
      <c r="CG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  <c r="BY637" s="161"/>
      <c r="BZ637" s="161"/>
      <c r="CA637" s="161"/>
      <c r="CB637" s="161"/>
      <c r="CC637" s="161"/>
      <c r="CD637" s="161"/>
      <c r="CE637" s="161"/>
      <c r="CF637" s="161"/>
      <c r="CG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  <c r="BY638" s="161"/>
      <c r="BZ638" s="161"/>
      <c r="CA638" s="161"/>
      <c r="CB638" s="161"/>
      <c r="CC638" s="161"/>
      <c r="CD638" s="161"/>
      <c r="CE638" s="161"/>
      <c r="CF638" s="161"/>
      <c r="CG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  <c r="BY639" s="161"/>
      <c r="BZ639" s="161"/>
      <c r="CA639" s="161"/>
      <c r="CB639" s="161"/>
      <c r="CC639" s="161"/>
      <c r="CD639" s="161"/>
      <c r="CE639" s="161"/>
      <c r="CF639" s="161"/>
      <c r="CG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  <c r="BY640" s="161"/>
      <c r="BZ640" s="161"/>
      <c r="CA640" s="161"/>
      <c r="CB640" s="161"/>
      <c r="CC640" s="161"/>
      <c r="CD640" s="161"/>
      <c r="CE640" s="161"/>
      <c r="CF640" s="161"/>
      <c r="CG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  <c r="BY641" s="161"/>
      <c r="BZ641" s="161"/>
      <c r="CA641" s="161"/>
      <c r="CB641" s="161"/>
      <c r="CC641" s="161"/>
      <c r="CD641" s="161"/>
      <c r="CE641" s="161"/>
      <c r="CF641" s="161"/>
      <c r="CG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  <c r="BY642" s="161"/>
      <c r="BZ642" s="161"/>
      <c r="CA642" s="161"/>
      <c r="CB642" s="161"/>
      <c r="CC642" s="161"/>
      <c r="CD642" s="161"/>
      <c r="CE642" s="161"/>
      <c r="CF642" s="161"/>
      <c r="CG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  <c r="BY643" s="161"/>
      <c r="BZ643" s="161"/>
      <c r="CA643" s="161"/>
      <c r="CB643" s="161"/>
      <c r="CC643" s="161"/>
      <c r="CD643" s="161"/>
      <c r="CE643" s="161"/>
      <c r="CF643" s="161"/>
      <c r="CG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  <c r="BY644" s="161"/>
      <c r="BZ644" s="161"/>
      <c r="CA644" s="161"/>
      <c r="CB644" s="161"/>
      <c r="CC644" s="161"/>
      <c r="CD644" s="161"/>
      <c r="CE644" s="161"/>
      <c r="CF644" s="161"/>
      <c r="CG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  <c r="BY645" s="161"/>
      <c r="BZ645" s="161"/>
      <c r="CA645" s="161"/>
      <c r="CB645" s="161"/>
      <c r="CC645" s="161"/>
      <c r="CD645" s="161"/>
      <c r="CE645" s="161"/>
      <c r="CF645" s="161"/>
      <c r="CG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  <c r="BY646" s="161"/>
      <c r="BZ646" s="161"/>
      <c r="CA646" s="161"/>
      <c r="CB646" s="161"/>
      <c r="CC646" s="161"/>
      <c r="CD646" s="161"/>
      <c r="CE646" s="161"/>
      <c r="CF646" s="161"/>
      <c r="CG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1"/>
      <c r="BI647" s="161"/>
      <c r="BJ647" s="161"/>
      <c r="BK647" s="161"/>
      <c r="BL647" s="161"/>
      <c r="BM647" s="161"/>
      <c r="BN647" s="161"/>
      <c r="BO647" s="161"/>
      <c r="BP647" s="161"/>
      <c r="BQ647" s="161"/>
      <c r="BR647" s="161"/>
      <c r="BS647" s="161"/>
      <c r="BT647" s="161"/>
      <c r="BU647" s="161"/>
      <c r="BV647" s="161"/>
      <c r="BW647" s="161"/>
      <c r="BX647" s="161"/>
      <c r="BY647" s="161"/>
      <c r="BZ647" s="161"/>
      <c r="CA647" s="161"/>
      <c r="CB647" s="161"/>
      <c r="CC647" s="161"/>
      <c r="CD647" s="161"/>
      <c r="CE647" s="161"/>
      <c r="CF647" s="161"/>
      <c r="CG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F648" s="161"/>
      <c r="BG648" s="161"/>
      <c r="BH648" s="161"/>
      <c r="BI648" s="161"/>
      <c r="BJ648" s="161"/>
      <c r="BK648" s="161"/>
      <c r="BL648" s="161"/>
      <c r="BM648" s="161"/>
      <c r="BN648" s="161"/>
      <c r="BO648" s="161"/>
      <c r="BP648" s="161"/>
      <c r="BQ648" s="161"/>
      <c r="BR648" s="161"/>
      <c r="BS648" s="161"/>
      <c r="BT648" s="161"/>
      <c r="BU648" s="161"/>
      <c r="BV648" s="161"/>
      <c r="BW648" s="161"/>
      <c r="BX648" s="161"/>
      <c r="BY648" s="161"/>
      <c r="BZ648" s="161"/>
      <c r="CA648" s="161"/>
      <c r="CB648" s="161"/>
      <c r="CC648" s="161"/>
      <c r="CD648" s="161"/>
      <c r="CE648" s="161"/>
      <c r="CF648" s="161"/>
      <c r="CG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161"/>
      <c r="BH649" s="161"/>
      <c r="BI649" s="161"/>
      <c r="BJ649" s="161"/>
      <c r="BK649" s="161"/>
      <c r="BL649" s="161"/>
      <c r="BM649" s="161"/>
      <c r="BN649" s="161"/>
      <c r="BO649" s="161"/>
      <c r="BP649" s="161"/>
      <c r="BQ649" s="161"/>
      <c r="BR649" s="161"/>
      <c r="BS649" s="161"/>
      <c r="BT649" s="161"/>
      <c r="BU649" s="161"/>
      <c r="BV649" s="161"/>
      <c r="BW649" s="161"/>
      <c r="BX649" s="161"/>
      <c r="BY649" s="161"/>
      <c r="BZ649" s="161"/>
      <c r="CA649" s="161"/>
      <c r="CB649" s="161"/>
      <c r="CC649" s="161"/>
      <c r="CD649" s="161"/>
      <c r="CE649" s="161"/>
      <c r="CF649" s="161"/>
      <c r="CG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F650" s="161"/>
      <c r="BG650" s="161"/>
      <c r="BH650" s="161"/>
      <c r="BI650" s="161"/>
      <c r="BJ650" s="161"/>
      <c r="BK650" s="161"/>
      <c r="BL650" s="161"/>
      <c r="BM650" s="161"/>
      <c r="BN650" s="161"/>
      <c r="BO650" s="161"/>
      <c r="BP650" s="161"/>
      <c r="BQ650" s="161"/>
      <c r="BR650" s="161"/>
      <c r="BS650" s="161"/>
      <c r="BT650" s="161"/>
      <c r="BU650" s="161"/>
      <c r="BV650" s="161"/>
      <c r="BW650" s="161"/>
      <c r="BX650" s="161"/>
      <c r="BY650" s="161"/>
      <c r="BZ650" s="161"/>
      <c r="CA650" s="161"/>
      <c r="CB650" s="161"/>
      <c r="CC650" s="161"/>
      <c r="CD650" s="161"/>
      <c r="CE650" s="161"/>
      <c r="CF650" s="161"/>
      <c r="CG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/>
      <c r="BG651" s="161"/>
      <c r="BH651" s="161"/>
      <c r="BI651" s="161"/>
      <c r="BJ651" s="161"/>
      <c r="BK651" s="161"/>
      <c r="BL651" s="161"/>
      <c r="BM651" s="161"/>
      <c r="BN651" s="161"/>
      <c r="BO651" s="161"/>
      <c r="BP651" s="161"/>
      <c r="BQ651" s="161"/>
      <c r="BR651" s="161"/>
      <c r="BS651" s="161"/>
      <c r="BT651" s="161"/>
      <c r="BU651" s="161"/>
      <c r="BV651" s="161"/>
      <c r="BW651" s="161"/>
      <c r="BX651" s="161"/>
      <c r="BY651" s="161"/>
      <c r="BZ651" s="161"/>
      <c r="CA651" s="161"/>
      <c r="CB651" s="161"/>
      <c r="CC651" s="161"/>
      <c r="CD651" s="161"/>
      <c r="CE651" s="161"/>
      <c r="CF651" s="161"/>
      <c r="CG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161"/>
      <c r="BH652" s="161"/>
      <c r="BI652" s="161"/>
      <c r="BJ652" s="161"/>
      <c r="BK652" s="161"/>
      <c r="BL652" s="161"/>
      <c r="BM652" s="161"/>
      <c r="BN652" s="161"/>
      <c r="BO652" s="161"/>
      <c r="BP652" s="161"/>
      <c r="BQ652" s="161"/>
      <c r="BR652" s="161"/>
      <c r="BS652" s="161"/>
      <c r="BT652" s="161"/>
      <c r="BU652" s="161"/>
      <c r="BV652" s="161"/>
      <c r="BW652" s="161"/>
      <c r="BX652" s="161"/>
      <c r="BY652" s="161"/>
      <c r="BZ652" s="161"/>
      <c r="CA652" s="161"/>
      <c r="CB652" s="161"/>
      <c r="CC652" s="161"/>
      <c r="CD652" s="161"/>
      <c r="CE652" s="161"/>
      <c r="CF652" s="161"/>
      <c r="CG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/>
      <c r="BG653" s="161"/>
      <c r="BH653" s="161"/>
      <c r="BI653" s="161"/>
      <c r="BJ653" s="161"/>
      <c r="BK653" s="161"/>
      <c r="BL653" s="161"/>
      <c r="BM653" s="161"/>
      <c r="BN653" s="161"/>
      <c r="BO653" s="161"/>
      <c r="BP653" s="161"/>
      <c r="BQ653" s="161"/>
      <c r="BR653" s="161"/>
      <c r="BS653" s="161"/>
      <c r="BT653" s="161"/>
      <c r="BU653" s="161"/>
      <c r="BV653" s="161"/>
      <c r="BW653" s="161"/>
      <c r="BX653" s="161"/>
      <c r="BY653" s="161"/>
      <c r="BZ653" s="161"/>
      <c r="CA653" s="161"/>
      <c r="CB653" s="161"/>
      <c r="CC653" s="161"/>
      <c r="CD653" s="161"/>
      <c r="CE653" s="161"/>
      <c r="CF653" s="161"/>
      <c r="CG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161"/>
      <c r="BH654" s="161"/>
      <c r="BI654" s="161"/>
      <c r="BJ654" s="161"/>
      <c r="BK654" s="161"/>
      <c r="BL654" s="161"/>
      <c r="BM654" s="161"/>
      <c r="BN654" s="161"/>
      <c r="BO654" s="161"/>
      <c r="BP654" s="161"/>
      <c r="BQ654" s="161"/>
      <c r="BR654" s="161"/>
      <c r="BS654" s="161"/>
      <c r="BT654" s="161"/>
      <c r="BU654" s="161"/>
      <c r="BV654" s="161"/>
      <c r="BW654" s="161"/>
      <c r="BX654" s="161"/>
      <c r="BY654" s="161"/>
      <c r="BZ654" s="161"/>
      <c r="CA654" s="161"/>
      <c r="CB654" s="161"/>
      <c r="CC654" s="161"/>
      <c r="CD654" s="161"/>
      <c r="CE654" s="161"/>
      <c r="CF654" s="161"/>
      <c r="CG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161"/>
      <c r="BH655" s="161"/>
      <c r="BI655" s="161"/>
      <c r="BJ655" s="161"/>
      <c r="BK655" s="161"/>
      <c r="BL655" s="161"/>
      <c r="BM655" s="161"/>
      <c r="BN655" s="161"/>
      <c r="BO655" s="161"/>
      <c r="BP655" s="161"/>
      <c r="BQ655" s="161"/>
      <c r="BR655" s="161"/>
      <c r="BS655" s="161"/>
      <c r="BT655" s="161"/>
      <c r="BU655" s="161"/>
      <c r="BV655" s="161"/>
      <c r="BW655" s="161"/>
      <c r="BX655" s="161"/>
      <c r="BY655" s="161"/>
      <c r="BZ655" s="161"/>
      <c r="CA655" s="161"/>
      <c r="CB655" s="161"/>
      <c r="CC655" s="161"/>
      <c r="CD655" s="161"/>
      <c r="CE655" s="161"/>
      <c r="CF655" s="161"/>
      <c r="CG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161"/>
      <c r="BH656" s="161"/>
      <c r="BI656" s="161"/>
      <c r="BJ656" s="161"/>
      <c r="BK656" s="161"/>
      <c r="BL656" s="161"/>
      <c r="BM656" s="161"/>
      <c r="BN656" s="161"/>
      <c r="BO656" s="161"/>
      <c r="BP656" s="161"/>
      <c r="BQ656" s="161"/>
      <c r="BR656" s="161"/>
      <c r="BS656" s="161"/>
      <c r="BT656" s="161"/>
      <c r="BU656" s="161"/>
      <c r="BV656" s="161"/>
      <c r="BW656" s="161"/>
      <c r="BX656" s="161"/>
      <c r="BY656" s="161"/>
      <c r="BZ656" s="161"/>
      <c r="CA656" s="161"/>
      <c r="CB656" s="161"/>
      <c r="CC656" s="161"/>
      <c r="CD656" s="161"/>
      <c r="CE656" s="161"/>
      <c r="CF656" s="161"/>
      <c r="CG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161"/>
      <c r="BH657" s="161"/>
      <c r="BI657" s="161"/>
      <c r="BJ657" s="161"/>
      <c r="BK657" s="161"/>
      <c r="BL657" s="161"/>
      <c r="BM657" s="161"/>
      <c r="BN657" s="161"/>
      <c r="BO657" s="161"/>
      <c r="BP657" s="161"/>
      <c r="BQ657" s="161"/>
      <c r="BR657" s="161"/>
      <c r="BS657" s="161"/>
      <c r="BT657" s="161"/>
      <c r="BU657" s="161"/>
      <c r="BV657" s="161"/>
      <c r="BW657" s="161"/>
      <c r="BX657" s="161"/>
      <c r="BY657" s="161"/>
      <c r="BZ657" s="161"/>
      <c r="CA657" s="161"/>
      <c r="CB657" s="161"/>
      <c r="CC657" s="161"/>
      <c r="CD657" s="161"/>
      <c r="CE657" s="161"/>
      <c r="CF657" s="161"/>
      <c r="CG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161"/>
      <c r="BH658" s="161"/>
      <c r="BI658" s="161"/>
      <c r="BJ658" s="161"/>
      <c r="BK658" s="161"/>
      <c r="BL658" s="161"/>
      <c r="BM658" s="161"/>
      <c r="BN658" s="161"/>
      <c r="BO658" s="161"/>
      <c r="BP658" s="161"/>
      <c r="BQ658" s="161"/>
      <c r="BR658" s="161"/>
      <c r="BS658" s="161"/>
      <c r="BT658" s="161"/>
      <c r="BU658" s="161"/>
      <c r="BV658" s="161"/>
      <c r="BW658" s="161"/>
      <c r="BX658" s="161"/>
      <c r="BY658" s="161"/>
      <c r="BZ658" s="161"/>
      <c r="CA658" s="161"/>
      <c r="CB658" s="161"/>
      <c r="CC658" s="161"/>
      <c r="CD658" s="161"/>
      <c r="CE658" s="161"/>
      <c r="CF658" s="161"/>
      <c r="CG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F659" s="161"/>
      <c r="BG659" s="161"/>
      <c r="BH659" s="161"/>
      <c r="BI659" s="161"/>
      <c r="BJ659" s="161"/>
      <c r="BK659" s="161"/>
      <c r="BL659" s="161"/>
      <c r="BM659" s="161"/>
      <c r="BN659" s="161"/>
      <c r="BO659" s="161"/>
      <c r="BP659" s="161"/>
      <c r="BQ659" s="161"/>
      <c r="BR659" s="161"/>
      <c r="BS659" s="161"/>
      <c r="BT659" s="161"/>
      <c r="BU659" s="161"/>
      <c r="BV659" s="161"/>
      <c r="BW659" s="161"/>
      <c r="BX659" s="161"/>
      <c r="BY659" s="161"/>
      <c r="BZ659" s="161"/>
      <c r="CA659" s="161"/>
      <c r="CB659" s="161"/>
      <c r="CC659" s="161"/>
      <c r="CD659" s="161"/>
      <c r="CE659" s="161"/>
      <c r="CF659" s="161"/>
      <c r="CG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161"/>
      <c r="BH660" s="161"/>
      <c r="BI660" s="161"/>
      <c r="BJ660" s="161"/>
      <c r="BK660" s="161"/>
      <c r="BL660" s="161"/>
      <c r="BM660" s="161"/>
      <c r="BN660" s="161"/>
      <c r="BO660" s="161"/>
      <c r="BP660" s="161"/>
      <c r="BQ660" s="161"/>
      <c r="BR660" s="161"/>
      <c r="BS660" s="161"/>
      <c r="BT660" s="161"/>
      <c r="BU660" s="161"/>
      <c r="BV660" s="161"/>
      <c r="BW660" s="161"/>
      <c r="BX660" s="161"/>
      <c r="BY660" s="161"/>
      <c r="BZ660" s="161"/>
      <c r="CA660" s="161"/>
      <c r="CB660" s="161"/>
      <c r="CC660" s="161"/>
      <c r="CD660" s="161"/>
      <c r="CE660" s="161"/>
      <c r="CF660" s="161"/>
      <c r="CG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F661" s="161"/>
      <c r="BG661" s="161"/>
      <c r="BH661" s="161"/>
      <c r="BI661" s="161"/>
      <c r="BJ661" s="161"/>
      <c r="BK661" s="161"/>
      <c r="BL661" s="161"/>
      <c r="BM661" s="161"/>
      <c r="BN661" s="161"/>
      <c r="BO661" s="161"/>
      <c r="BP661" s="161"/>
      <c r="BQ661" s="161"/>
      <c r="BR661" s="161"/>
      <c r="BS661" s="161"/>
      <c r="BT661" s="161"/>
      <c r="BU661" s="161"/>
      <c r="BV661" s="161"/>
      <c r="BW661" s="161"/>
      <c r="BX661" s="161"/>
      <c r="BY661" s="161"/>
      <c r="BZ661" s="161"/>
      <c r="CA661" s="161"/>
      <c r="CB661" s="161"/>
      <c r="CC661" s="161"/>
      <c r="CD661" s="161"/>
      <c r="CE661" s="161"/>
      <c r="CF661" s="161"/>
      <c r="CG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F662" s="161"/>
      <c r="BG662" s="161"/>
      <c r="BH662" s="161"/>
      <c r="BI662" s="161"/>
      <c r="BJ662" s="161"/>
      <c r="BK662" s="161"/>
      <c r="BL662" s="161"/>
      <c r="BM662" s="161"/>
      <c r="BN662" s="161"/>
      <c r="BO662" s="161"/>
      <c r="BP662" s="161"/>
      <c r="BQ662" s="161"/>
      <c r="BR662" s="161"/>
      <c r="BS662" s="161"/>
      <c r="BT662" s="161"/>
      <c r="BU662" s="161"/>
      <c r="BV662" s="161"/>
      <c r="BW662" s="161"/>
      <c r="BX662" s="161"/>
      <c r="BY662" s="161"/>
      <c r="BZ662" s="161"/>
      <c r="CA662" s="161"/>
      <c r="CB662" s="161"/>
      <c r="CC662" s="161"/>
      <c r="CD662" s="161"/>
      <c r="CE662" s="161"/>
      <c r="CF662" s="161"/>
      <c r="CG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161"/>
      <c r="BH663" s="161"/>
      <c r="BI663" s="161"/>
      <c r="BJ663" s="161"/>
      <c r="BK663" s="161"/>
      <c r="BL663" s="161"/>
      <c r="BM663" s="161"/>
      <c r="BN663" s="161"/>
      <c r="BO663" s="161"/>
      <c r="BP663" s="161"/>
      <c r="BQ663" s="161"/>
      <c r="BR663" s="161"/>
      <c r="BS663" s="161"/>
      <c r="BT663" s="161"/>
      <c r="BU663" s="161"/>
      <c r="BV663" s="161"/>
      <c r="BW663" s="161"/>
      <c r="BX663" s="161"/>
      <c r="BY663" s="161"/>
      <c r="BZ663" s="161"/>
      <c r="CA663" s="161"/>
      <c r="CB663" s="161"/>
      <c r="CC663" s="161"/>
      <c r="CD663" s="161"/>
      <c r="CE663" s="161"/>
      <c r="CF663" s="161"/>
      <c r="CG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161"/>
      <c r="BH664" s="161"/>
      <c r="BI664" s="161"/>
      <c r="BJ664" s="161"/>
      <c r="BK664" s="161"/>
      <c r="BL664" s="161"/>
      <c r="BM664" s="161"/>
      <c r="BN664" s="161"/>
      <c r="BO664" s="161"/>
      <c r="BP664" s="161"/>
      <c r="BQ664" s="161"/>
      <c r="BR664" s="161"/>
      <c r="BS664" s="161"/>
      <c r="BT664" s="161"/>
      <c r="BU664" s="161"/>
      <c r="BV664" s="161"/>
      <c r="BW664" s="161"/>
      <c r="BX664" s="161"/>
      <c r="BY664" s="161"/>
      <c r="BZ664" s="161"/>
      <c r="CA664" s="161"/>
      <c r="CB664" s="161"/>
      <c r="CC664" s="161"/>
      <c r="CD664" s="161"/>
      <c r="CE664" s="161"/>
      <c r="CF664" s="161"/>
      <c r="CG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/>
      <c r="BG665" s="161"/>
      <c r="BH665" s="161"/>
      <c r="BI665" s="161"/>
      <c r="BJ665" s="161"/>
      <c r="BK665" s="161"/>
      <c r="BL665" s="161"/>
      <c r="BM665" s="161"/>
      <c r="BN665" s="161"/>
      <c r="BO665" s="161"/>
      <c r="BP665" s="161"/>
      <c r="BQ665" s="161"/>
      <c r="BR665" s="161"/>
      <c r="BS665" s="161"/>
      <c r="BT665" s="161"/>
      <c r="BU665" s="161"/>
      <c r="BV665" s="161"/>
      <c r="BW665" s="161"/>
      <c r="BX665" s="161"/>
      <c r="BY665" s="161"/>
      <c r="BZ665" s="161"/>
      <c r="CA665" s="161"/>
      <c r="CB665" s="161"/>
      <c r="CC665" s="161"/>
      <c r="CD665" s="161"/>
      <c r="CE665" s="161"/>
      <c r="CF665" s="161"/>
      <c r="CG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/>
      <c r="BG666" s="161"/>
      <c r="BH666" s="161"/>
      <c r="BI666" s="161"/>
      <c r="BJ666" s="161"/>
      <c r="BK666" s="161"/>
      <c r="BL666" s="161"/>
      <c r="BM666" s="161"/>
      <c r="BN666" s="161"/>
      <c r="BO666" s="161"/>
      <c r="BP666" s="161"/>
      <c r="BQ666" s="161"/>
      <c r="BR666" s="161"/>
      <c r="BS666" s="161"/>
      <c r="BT666" s="161"/>
      <c r="BU666" s="161"/>
      <c r="BV666" s="161"/>
      <c r="BW666" s="161"/>
      <c r="BX666" s="161"/>
      <c r="BY666" s="161"/>
      <c r="BZ666" s="161"/>
      <c r="CA666" s="161"/>
      <c r="CB666" s="161"/>
      <c r="CC666" s="161"/>
      <c r="CD666" s="161"/>
      <c r="CE666" s="161"/>
      <c r="CF666" s="161"/>
      <c r="CG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F667" s="161"/>
      <c r="BG667" s="161"/>
      <c r="BH667" s="161"/>
      <c r="BI667" s="161"/>
      <c r="BJ667" s="161"/>
      <c r="BK667" s="161"/>
      <c r="BL667" s="161"/>
      <c r="BM667" s="161"/>
      <c r="BN667" s="161"/>
      <c r="BO667" s="161"/>
      <c r="BP667" s="161"/>
      <c r="BQ667" s="161"/>
      <c r="BR667" s="161"/>
      <c r="BS667" s="161"/>
      <c r="BT667" s="161"/>
      <c r="BU667" s="161"/>
      <c r="BV667" s="161"/>
      <c r="BW667" s="161"/>
      <c r="BX667" s="161"/>
      <c r="BY667" s="161"/>
      <c r="BZ667" s="161"/>
      <c r="CA667" s="161"/>
      <c r="CB667" s="161"/>
      <c r="CC667" s="161"/>
      <c r="CD667" s="161"/>
      <c r="CE667" s="161"/>
      <c r="CF667" s="161"/>
      <c r="CG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161"/>
      <c r="BH668" s="161"/>
      <c r="BI668" s="161"/>
      <c r="BJ668" s="161"/>
      <c r="BK668" s="161"/>
      <c r="BL668" s="161"/>
      <c r="BM668" s="161"/>
      <c r="BN668" s="161"/>
      <c r="BO668" s="161"/>
      <c r="BP668" s="161"/>
      <c r="BQ668" s="161"/>
      <c r="BR668" s="161"/>
      <c r="BS668" s="161"/>
      <c r="BT668" s="161"/>
      <c r="BU668" s="161"/>
      <c r="BV668" s="161"/>
      <c r="BW668" s="161"/>
      <c r="BX668" s="161"/>
      <c r="BY668" s="161"/>
      <c r="BZ668" s="161"/>
      <c r="CA668" s="161"/>
      <c r="CB668" s="161"/>
      <c r="CC668" s="161"/>
      <c r="CD668" s="161"/>
      <c r="CE668" s="161"/>
      <c r="CF668" s="161"/>
      <c r="CG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F669" s="161"/>
      <c r="BG669" s="161"/>
      <c r="BH669" s="161"/>
      <c r="BI669" s="161"/>
      <c r="BJ669" s="161"/>
      <c r="BK669" s="161"/>
      <c r="BL669" s="161"/>
      <c r="BM669" s="161"/>
      <c r="BN669" s="161"/>
      <c r="BO669" s="161"/>
      <c r="BP669" s="161"/>
      <c r="BQ669" s="161"/>
      <c r="BR669" s="161"/>
      <c r="BS669" s="161"/>
      <c r="BT669" s="161"/>
      <c r="BU669" s="161"/>
      <c r="BV669" s="161"/>
      <c r="BW669" s="161"/>
      <c r="BX669" s="161"/>
      <c r="BY669" s="161"/>
      <c r="BZ669" s="161"/>
      <c r="CA669" s="161"/>
      <c r="CB669" s="161"/>
      <c r="CC669" s="161"/>
      <c r="CD669" s="161"/>
      <c r="CE669" s="161"/>
      <c r="CF669" s="161"/>
      <c r="CG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161"/>
      <c r="BH670" s="161"/>
      <c r="BI670" s="161"/>
      <c r="BJ670" s="161"/>
      <c r="BK670" s="161"/>
      <c r="BL670" s="161"/>
      <c r="BM670" s="161"/>
      <c r="BN670" s="161"/>
      <c r="BO670" s="161"/>
      <c r="BP670" s="161"/>
      <c r="BQ670" s="161"/>
      <c r="BR670" s="161"/>
      <c r="BS670" s="161"/>
      <c r="BT670" s="161"/>
      <c r="BU670" s="161"/>
      <c r="BV670" s="161"/>
      <c r="BW670" s="161"/>
      <c r="BX670" s="161"/>
      <c r="BY670" s="161"/>
      <c r="BZ670" s="161"/>
      <c r="CA670" s="161"/>
      <c r="CB670" s="161"/>
      <c r="CC670" s="161"/>
      <c r="CD670" s="161"/>
      <c r="CE670" s="161"/>
      <c r="CF670" s="161"/>
      <c r="CG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161"/>
      <c r="BH671" s="161"/>
      <c r="BI671" s="161"/>
      <c r="BJ671" s="161"/>
      <c r="BK671" s="161"/>
      <c r="BL671" s="161"/>
      <c r="BM671" s="161"/>
      <c r="BN671" s="161"/>
      <c r="BO671" s="161"/>
      <c r="BP671" s="161"/>
      <c r="BQ671" s="161"/>
      <c r="BR671" s="161"/>
      <c r="BS671" s="161"/>
      <c r="BT671" s="161"/>
      <c r="BU671" s="161"/>
      <c r="BV671" s="161"/>
      <c r="BW671" s="161"/>
      <c r="BX671" s="161"/>
      <c r="BY671" s="161"/>
      <c r="BZ671" s="161"/>
      <c r="CA671" s="161"/>
      <c r="CB671" s="161"/>
      <c r="CC671" s="161"/>
      <c r="CD671" s="161"/>
      <c r="CE671" s="161"/>
      <c r="CF671" s="161"/>
      <c r="CG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161"/>
      <c r="BH672" s="161"/>
      <c r="BI672" s="161"/>
      <c r="BJ672" s="161"/>
      <c r="BK672" s="161"/>
      <c r="BL672" s="161"/>
      <c r="BM672" s="161"/>
      <c r="BN672" s="161"/>
      <c r="BO672" s="161"/>
      <c r="BP672" s="161"/>
      <c r="BQ672" s="161"/>
      <c r="BR672" s="161"/>
      <c r="BS672" s="161"/>
      <c r="BT672" s="161"/>
      <c r="BU672" s="161"/>
      <c r="BV672" s="161"/>
      <c r="BW672" s="161"/>
      <c r="BX672" s="161"/>
      <c r="BY672" s="161"/>
      <c r="BZ672" s="161"/>
      <c r="CA672" s="161"/>
      <c r="CB672" s="161"/>
      <c r="CC672" s="161"/>
      <c r="CD672" s="161"/>
      <c r="CE672" s="161"/>
      <c r="CF672" s="161"/>
      <c r="CG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161"/>
      <c r="BH673" s="161"/>
      <c r="BI673" s="161"/>
      <c r="BJ673" s="161"/>
      <c r="BK673" s="161"/>
      <c r="BL673" s="161"/>
      <c r="BM673" s="161"/>
      <c r="BN673" s="161"/>
      <c r="BO673" s="161"/>
      <c r="BP673" s="161"/>
      <c r="BQ673" s="161"/>
      <c r="BR673" s="161"/>
      <c r="BS673" s="161"/>
      <c r="BT673" s="161"/>
      <c r="BU673" s="161"/>
      <c r="BV673" s="161"/>
      <c r="BW673" s="161"/>
      <c r="BX673" s="161"/>
      <c r="BY673" s="161"/>
      <c r="BZ673" s="161"/>
      <c r="CA673" s="161"/>
      <c r="CB673" s="161"/>
      <c r="CC673" s="161"/>
      <c r="CD673" s="161"/>
      <c r="CE673" s="161"/>
      <c r="CF673" s="161"/>
      <c r="CG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161"/>
      <c r="BH674" s="161"/>
      <c r="BI674" s="161"/>
      <c r="BJ674" s="161"/>
      <c r="BK674" s="161"/>
      <c r="BL674" s="161"/>
      <c r="BM674" s="161"/>
      <c r="BN674" s="161"/>
      <c r="BO674" s="161"/>
      <c r="BP674" s="161"/>
      <c r="BQ674" s="161"/>
      <c r="BR674" s="161"/>
      <c r="BS674" s="161"/>
      <c r="BT674" s="161"/>
      <c r="BU674" s="161"/>
      <c r="BV674" s="161"/>
      <c r="BW674" s="161"/>
      <c r="BX674" s="161"/>
      <c r="BY674" s="161"/>
      <c r="BZ674" s="161"/>
      <c r="CA674" s="161"/>
      <c r="CB674" s="161"/>
      <c r="CC674" s="161"/>
      <c r="CD674" s="161"/>
      <c r="CE674" s="161"/>
      <c r="CF674" s="161"/>
      <c r="CG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161"/>
      <c r="BH675" s="161"/>
      <c r="BI675" s="161"/>
      <c r="BJ675" s="161"/>
      <c r="BK675" s="161"/>
      <c r="BL675" s="161"/>
      <c r="BM675" s="161"/>
      <c r="BN675" s="161"/>
      <c r="BO675" s="161"/>
      <c r="BP675" s="161"/>
      <c r="BQ675" s="161"/>
      <c r="BR675" s="161"/>
      <c r="BS675" s="161"/>
      <c r="BT675" s="161"/>
      <c r="BU675" s="161"/>
      <c r="BV675" s="161"/>
      <c r="BW675" s="161"/>
      <c r="BX675" s="161"/>
      <c r="BY675" s="161"/>
      <c r="BZ675" s="161"/>
      <c r="CA675" s="161"/>
      <c r="CB675" s="161"/>
      <c r="CC675" s="161"/>
      <c r="CD675" s="161"/>
      <c r="CE675" s="161"/>
      <c r="CF675" s="161"/>
      <c r="CG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161"/>
      <c r="BH676" s="161"/>
      <c r="BI676" s="161"/>
      <c r="BJ676" s="161"/>
      <c r="BK676" s="161"/>
      <c r="BL676" s="161"/>
      <c r="BM676" s="161"/>
      <c r="BN676" s="161"/>
      <c r="BO676" s="161"/>
      <c r="BP676" s="161"/>
      <c r="BQ676" s="161"/>
      <c r="BR676" s="161"/>
      <c r="BS676" s="161"/>
      <c r="BT676" s="161"/>
      <c r="BU676" s="161"/>
      <c r="BV676" s="161"/>
      <c r="BW676" s="161"/>
      <c r="BX676" s="161"/>
      <c r="BY676" s="161"/>
      <c r="BZ676" s="161"/>
      <c r="CA676" s="161"/>
      <c r="CB676" s="161"/>
      <c r="CC676" s="161"/>
      <c r="CD676" s="161"/>
      <c r="CE676" s="161"/>
      <c r="CF676" s="161"/>
      <c r="CG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161"/>
      <c r="BH677" s="161"/>
      <c r="BI677" s="161"/>
      <c r="BJ677" s="161"/>
      <c r="BK677" s="161"/>
      <c r="BL677" s="161"/>
      <c r="BM677" s="161"/>
      <c r="BN677" s="161"/>
      <c r="BO677" s="161"/>
      <c r="BP677" s="161"/>
      <c r="BQ677" s="161"/>
      <c r="BR677" s="161"/>
      <c r="BS677" s="161"/>
      <c r="BT677" s="161"/>
      <c r="BU677" s="161"/>
      <c r="BV677" s="161"/>
      <c r="BW677" s="161"/>
      <c r="BX677" s="161"/>
      <c r="BY677" s="161"/>
      <c r="BZ677" s="161"/>
      <c r="CA677" s="161"/>
      <c r="CB677" s="161"/>
      <c r="CC677" s="161"/>
      <c r="CD677" s="161"/>
      <c r="CE677" s="161"/>
      <c r="CF677" s="161"/>
      <c r="CG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161"/>
      <c r="BH678" s="161"/>
      <c r="BI678" s="161"/>
      <c r="BJ678" s="161"/>
      <c r="BK678" s="161"/>
      <c r="BL678" s="161"/>
      <c r="BM678" s="161"/>
      <c r="BN678" s="161"/>
      <c r="BO678" s="161"/>
      <c r="BP678" s="161"/>
      <c r="BQ678" s="161"/>
      <c r="BR678" s="161"/>
      <c r="BS678" s="161"/>
      <c r="BT678" s="161"/>
      <c r="BU678" s="161"/>
      <c r="BV678" s="161"/>
      <c r="BW678" s="161"/>
      <c r="BX678" s="161"/>
      <c r="BY678" s="161"/>
      <c r="BZ678" s="161"/>
      <c r="CA678" s="161"/>
      <c r="CB678" s="161"/>
      <c r="CC678" s="161"/>
      <c r="CD678" s="161"/>
      <c r="CE678" s="161"/>
      <c r="CF678" s="161"/>
      <c r="CG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161"/>
      <c r="BH679" s="161"/>
      <c r="BI679" s="161"/>
      <c r="BJ679" s="161"/>
      <c r="BK679" s="161"/>
      <c r="BL679" s="161"/>
      <c r="BM679" s="161"/>
      <c r="BN679" s="161"/>
      <c r="BO679" s="161"/>
      <c r="BP679" s="161"/>
      <c r="BQ679" s="161"/>
      <c r="BR679" s="161"/>
      <c r="BS679" s="161"/>
      <c r="BT679" s="161"/>
      <c r="BU679" s="161"/>
      <c r="BV679" s="161"/>
      <c r="BW679" s="161"/>
      <c r="BX679" s="161"/>
      <c r="BY679" s="161"/>
      <c r="BZ679" s="161"/>
      <c r="CA679" s="161"/>
      <c r="CB679" s="161"/>
      <c r="CC679" s="161"/>
      <c r="CD679" s="161"/>
      <c r="CE679" s="161"/>
      <c r="CF679" s="161"/>
      <c r="CG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/>
      <c r="BG680" s="161"/>
      <c r="BH680" s="161"/>
      <c r="BI680" s="161"/>
      <c r="BJ680" s="161"/>
      <c r="BK680" s="161"/>
      <c r="BL680" s="161"/>
      <c r="BM680" s="161"/>
      <c r="BN680" s="161"/>
      <c r="BO680" s="161"/>
      <c r="BP680" s="161"/>
      <c r="BQ680" s="161"/>
      <c r="BR680" s="161"/>
      <c r="BS680" s="161"/>
      <c r="BT680" s="161"/>
      <c r="BU680" s="161"/>
      <c r="BV680" s="161"/>
      <c r="BW680" s="161"/>
      <c r="BX680" s="161"/>
      <c r="BY680" s="161"/>
      <c r="BZ680" s="161"/>
      <c r="CA680" s="161"/>
      <c r="CB680" s="161"/>
      <c r="CC680" s="161"/>
      <c r="CD680" s="161"/>
      <c r="CE680" s="161"/>
      <c r="CF680" s="161"/>
      <c r="CG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/>
      <c r="BG681" s="161"/>
      <c r="BH681" s="161"/>
      <c r="BI681" s="161"/>
      <c r="BJ681" s="161"/>
      <c r="BK681" s="161"/>
      <c r="BL681" s="161"/>
      <c r="BM681" s="161"/>
      <c r="BN681" s="161"/>
      <c r="BO681" s="161"/>
      <c r="BP681" s="161"/>
      <c r="BQ681" s="161"/>
      <c r="BR681" s="161"/>
      <c r="BS681" s="161"/>
      <c r="BT681" s="161"/>
      <c r="BU681" s="161"/>
      <c r="BV681" s="161"/>
      <c r="BW681" s="161"/>
      <c r="BX681" s="161"/>
      <c r="BY681" s="161"/>
      <c r="BZ681" s="161"/>
      <c r="CA681" s="161"/>
      <c r="CB681" s="161"/>
      <c r="CC681" s="161"/>
      <c r="CD681" s="161"/>
      <c r="CE681" s="161"/>
      <c r="CF681" s="161"/>
      <c r="CG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161"/>
      <c r="BH682" s="161"/>
      <c r="BI682" s="161"/>
      <c r="BJ682" s="161"/>
      <c r="BK682" s="161"/>
      <c r="BL682" s="161"/>
      <c r="BM682" s="161"/>
      <c r="BN682" s="161"/>
      <c r="BO682" s="161"/>
      <c r="BP682" s="161"/>
      <c r="BQ682" s="161"/>
      <c r="BR682" s="161"/>
      <c r="BS682" s="161"/>
      <c r="BT682" s="161"/>
      <c r="BU682" s="161"/>
      <c r="BV682" s="161"/>
      <c r="BW682" s="161"/>
      <c r="BX682" s="161"/>
      <c r="BY682" s="161"/>
      <c r="BZ682" s="161"/>
      <c r="CA682" s="161"/>
      <c r="CB682" s="161"/>
      <c r="CC682" s="161"/>
      <c r="CD682" s="161"/>
      <c r="CE682" s="161"/>
      <c r="CF682" s="161"/>
      <c r="CG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161"/>
      <c r="BH683" s="161"/>
      <c r="BI683" s="161"/>
      <c r="BJ683" s="161"/>
      <c r="BK683" s="161"/>
      <c r="BL683" s="161"/>
      <c r="BM683" s="161"/>
      <c r="BN683" s="161"/>
      <c r="BO683" s="161"/>
      <c r="BP683" s="161"/>
      <c r="BQ683" s="161"/>
      <c r="BR683" s="161"/>
      <c r="BS683" s="161"/>
      <c r="BT683" s="161"/>
      <c r="BU683" s="161"/>
      <c r="BV683" s="161"/>
      <c r="BW683" s="161"/>
      <c r="BX683" s="161"/>
      <c r="BY683" s="161"/>
      <c r="BZ683" s="161"/>
      <c r="CA683" s="161"/>
      <c r="CB683" s="161"/>
      <c r="CC683" s="161"/>
      <c r="CD683" s="161"/>
      <c r="CE683" s="161"/>
      <c r="CF683" s="161"/>
      <c r="CG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161"/>
      <c r="BH684" s="161"/>
      <c r="BI684" s="161"/>
      <c r="BJ684" s="161"/>
      <c r="BK684" s="161"/>
      <c r="BL684" s="161"/>
      <c r="BM684" s="161"/>
      <c r="BN684" s="161"/>
      <c r="BO684" s="161"/>
      <c r="BP684" s="161"/>
      <c r="BQ684" s="161"/>
      <c r="BR684" s="161"/>
      <c r="BS684" s="161"/>
      <c r="BT684" s="161"/>
      <c r="BU684" s="161"/>
      <c r="BV684" s="161"/>
      <c r="BW684" s="161"/>
      <c r="BX684" s="161"/>
      <c r="BY684" s="161"/>
      <c r="BZ684" s="161"/>
      <c r="CA684" s="161"/>
      <c r="CB684" s="161"/>
      <c r="CC684" s="161"/>
      <c r="CD684" s="161"/>
      <c r="CE684" s="161"/>
      <c r="CF684" s="161"/>
      <c r="CG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161"/>
      <c r="BH685" s="161"/>
      <c r="BI685" s="161"/>
      <c r="BJ685" s="161"/>
      <c r="BK685" s="161"/>
      <c r="BL685" s="161"/>
      <c r="BM685" s="161"/>
      <c r="BN685" s="161"/>
      <c r="BO685" s="161"/>
      <c r="BP685" s="161"/>
      <c r="BQ685" s="161"/>
      <c r="BR685" s="161"/>
      <c r="BS685" s="161"/>
      <c r="BT685" s="161"/>
      <c r="BU685" s="161"/>
      <c r="BV685" s="161"/>
      <c r="BW685" s="161"/>
      <c r="BX685" s="161"/>
      <c r="BY685" s="161"/>
      <c r="BZ685" s="161"/>
      <c r="CA685" s="161"/>
      <c r="CB685" s="161"/>
      <c r="CC685" s="161"/>
      <c r="CD685" s="161"/>
      <c r="CE685" s="161"/>
      <c r="CF685" s="161"/>
      <c r="CG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161"/>
      <c r="BH686" s="161"/>
      <c r="BI686" s="161"/>
      <c r="BJ686" s="161"/>
      <c r="BK686" s="161"/>
      <c r="BL686" s="161"/>
      <c r="BM686" s="161"/>
      <c r="BN686" s="161"/>
      <c r="BO686" s="161"/>
      <c r="BP686" s="161"/>
      <c r="BQ686" s="161"/>
      <c r="BR686" s="161"/>
      <c r="BS686" s="161"/>
      <c r="BT686" s="161"/>
      <c r="BU686" s="161"/>
      <c r="BV686" s="161"/>
      <c r="BW686" s="161"/>
      <c r="BX686" s="161"/>
      <c r="BY686" s="161"/>
      <c r="BZ686" s="161"/>
      <c r="CA686" s="161"/>
      <c r="CB686" s="161"/>
      <c r="CC686" s="161"/>
      <c r="CD686" s="161"/>
      <c r="CE686" s="161"/>
      <c r="CF686" s="161"/>
      <c r="CG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161"/>
      <c r="BH687" s="161"/>
      <c r="BI687" s="161"/>
      <c r="BJ687" s="161"/>
      <c r="BK687" s="161"/>
      <c r="BL687" s="161"/>
      <c r="BM687" s="161"/>
      <c r="BN687" s="161"/>
      <c r="BO687" s="161"/>
      <c r="BP687" s="161"/>
      <c r="BQ687" s="161"/>
      <c r="BR687" s="161"/>
      <c r="BS687" s="161"/>
      <c r="BT687" s="161"/>
      <c r="BU687" s="161"/>
      <c r="BV687" s="161"/>
      <c r="BW687" s="161"/>
      <c r="BX687" s="161"/>
      <c r="BY687" s="161"/>
      <c r="BZ687" s="161"/>
      <c r="CA687" s="161"/>
      <c r="CB687" s="161"/>
      <c r="CC687" s="161"/>
      <c r="CD687" s="161"/>
      <c r="CE687" s="161"/>
      <c r="CF687" s="161"/>
      <c r="CG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161"/>
      <c r="BH688" s="161"/>
      <c r="BI688" s="161"/>
      <c r="BJ688" s="161"/>
      <c r="BK688" s="161"/>
      <c r="BL688" s="161"/>
      <c r="BM688" s="161"/>
      <c r="BN688" s="161"/>
      <c r="BO688" s="161"/>
      <c r="BP688" s="161"/>
      <c r="BQ688" s="161"/>
      <c r="BR688" s="161"/>
      <c r="BS688" s="161"/>
      <c r="BT688" s="161"/>
      <c r="BU688" s="161"/>
      <c r="BV688" s="161"/>
      <c r="BW688" s="161"/>
      <c r="BX688" s="161"/>
      <c r="BY688" s="161"/>
      <c r="BZ688" s="161"/>
      <c r="CA688" s="161"/>
      <c r="CB688" s="161"/>
      <c r="CC688" s="161"/>
      <c r="CD688" s="161"/>
      <c r="CE688" s="161"/>
      <c r="CF688" s="161"/>
      <c r="CG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161"/>
      <c r="BH689" s="161"/>
      <c r="BI689" s="161"/>
      <c r="BJ689" s="161"/>
      <c r="BK689" s="161"/>
      <c r="BL689" s="161"/>
      <c r="BM689" s="161"/>
      <c r="BN689" s="161"/>
      <c r="BO689" s="161"/>
      <c r="BP689" s="161"/>
      <c r="BQ689" s="161"/>
      <c r="BR689" s="161"/>
      <c r="BS689" s="161"/>
      <c r="BT689" s="161"/>
      <c r="BU689" s="161"/>
      <c r="BV689" s="161"/>
      <c r="BW689" s="161"/>
      <c r="BX689" s="161"/>
      <c r="BY689" s="161"/>
      <c r="BZ689" s="161"/>
      <c r="CA689" s="161"/>
      <c r="CB689" s="161"/>
      <c r="CC689" s="161"/>
      <c r="CD689" s="161"/>
      <c r="CE689" s="161"/>
      <c r="CF689" s="161"/>
      <c r="CG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161"/>
      <c r="BH690" s="161"/>
      <c r="BI690" s="161"/>
      <c r="BJ690" s="161"/>
      <c r="BK690" s="161"/>
      <c r="BL690" s="161"/>
      <c r="BM690" s="161"/>
      <c r="BN690" s="161"/>
      <c r="BO690" s="161"/>
      <c r="BP690" s="161"/>
      <c r="BQ690" s="161"/>
      <c r="BR690" s="161"/>
      <c r="BS690" s="161"/>
      <c r="BT690" s="161"/>
      <c r="BU690" s="161"/>
      <c r="BV690" s="161"/>
      <c r="BW690" s="161"/>
      <c r="BX690" s="161"/>
      <c r="BY690" s="161"/>
      <c r="BZ690" s="161"/>
      <c r="CA690" s="161"/>
      <c r="CB690" s="161"/>
      <c r="CC690" s="161"/>
      <c r="CD690" s="161"/>
      <c r="CE690" s="161"/>
      <c r="CF690" s="161"/>
      <c r="CG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161"/>
      <c r="BH691" s="161"/>
      <c r="BI691" s="161"/>
      <c r="BJ691" s="161"/>
      <c r="BK691" s="161"/>
      <c r="BL691" s="161"/>
      <c r="BM691" s="161"/>
      <c r="BN691" s="161"/>
      <c r="BO691" s="161"/>
      <c r="BP691" s="161"/>
      <c r="BQ691" s="161"/>
      <c r="BR691" s="161"/>
      <c r="BS691" s="161"/>
      <c r="BT691" s="161"/>
      <c r="BU691" s="161"/>
      <c r="BV691" s="161"/>
      <c r="BW691" s="161"/>
      <c r="BX691" s="161"/>
      <c r="BY691" s="161"/>
      <c r="BZ691" s="161"/>
      <c r="CA691" s="161"/>
      <c r="CB691" s="161"/>
      <c r="CC691" s="161"/>
      <c r="CD691" s="161"/>
      <c r="CE691" s="161"/>
      <c r="CF691" s="161"/>
      <c r="CG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/>
      <c r="BG692" s="161"/>
      <c r="BH692" s="161"/>
      <c r="BI692" s="161"/>
      <c r="BJ692" s="161"/>
      <c r="BK692" s="161"/>
      <c r="BL692" s="161"/>
      <c r="BM692" s="161"/>
      <c r="BN692" s="161"/>
      <c r="BO692" s="161"/>
      <c r="BP692" s="161"/>
      <c r="BQ692" s="161"/>
      <c r="BR692" s="161"/>
      <c r="BS692" s="161"/>
      <c r="BT692" s="161"/>
      <c r="BU692" s="161"/>
      <c r="BV692" s="161"/>
      <c r="BW692" s="161"/>
      <c r="BX692" s="161"/>
      <c r="BY692" s="161"/>
      <c r="BZ692" s="161"/>
      <c r="CA692" s="161"/>
      <c r="CB692" s="161"/>
      <c r="CC692" s="161"/>
      <c r="CD692" s="161"/>
      <c r="CE692" s="161"/>
      <c r="CF692" s="161"/>
      <c r="CG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1"/>
      <c r="BI693" s="161"/>
      <c r="BJ693" s="161"/>
      <c r="BK693" s="161"/>
      <c r="BL693" s="161"/>
      <c r="BM693" s="161"/>
      <c r="BN693" s="161"/>
      <c r="BO693" s="161"/>
      <c r="BP693" s="161"/>
      <c r="BQ693" s="161"/>
      <c r="BR693" s="161"/>
      <c r="BS693" s="161"/>
      <c r="BT693" s="161"/>
      <c r="BU693" s="161"/>
      <c r="BV693" s="161"/>
      <c r="BW693" s="161"/>
      <c r="BX693" s="161"/>
      <c r="BY693" s="161"/>
      <c r="BZ693" s="161"/>
      <c r="CA693" s="161"/>
      <c r="CB693" s="161"/>
      <c r="CC693" s="161"/>
      <c r="CD693" s="161"/>
      <c r="CE693" s="161"/>
      <c r="CF693" s="161"/>
      <c r="CG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F694" s="161"/>
      <c r="BG694" s="161"/>
      <c r="BH694" s="161"/>
      <c r="BI694" s="161"/>
      <c r="BJ694" s="161"/>
      <c r="BK694" s="161"/>
      <c r="BL694" s="161"/>
      <c r="BM694" s="161"/>
      <c r="BN694" s="161"/>
      <c r="BO694" s="161"/>
      <c r="BP694" s="161"/>
      <c r="BQ694" s="161"/>
      <c r="BR694" s="161"/>
      <c r="BS694" s="161"/>
      <c r="BT694" s="161"/>
      <c r="BU694" s="161"/>
      <c r="BV694" s="161"/>
      <c r="BW694" s="161"/>
      <c r="BX694" s="161"/>
      <c r="BY694" s="161"/>
      <c r="BZ694" s="161"/>
      <c r="CA694" s="161"/>
      <c r="CB694" s="161"/>
      <c r="CC694" s="161"/>
      <c r="CD694" s="161"/>
      <c r="CE694" s="161"/>
      <c r="CF694" s="161"/>
      <c r="CG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161"/>
      <c r="BH695" s="161"/>
      <c r="BI695" s="161"/>
      <c r="BJ695" s="161"/>
      <c r="BK695" s="161"/>
      <c r="BL695" s="161"/>
      <c r="BM695" s="161"/>
      <c r="BN695" s="161"/>
      <c r="BO695" s="161"/>
      <c r="BP695" s="161"/>
      <c r="BQ695" s="161"/>
      <c r="BR695" s="161"/>
      <c r="BS695" s="161"/>
      <c r="BT695" s="161"/>
      <c r="BU695" s="161"/>
      <c r="BV695" s="161"/>
      <c r="BW695" s="161"/>
      <c r="BX695" s="161"/>
      <c r="BY695" s="161"/>
      <c r="BZ695" s="161"/>
      <c r="CA695" s="161"/>
      <c r="CB695" s="161"/>
      <c r="CC695" s="161"/>
      <c r="CD695" s="161"/>
      <c r="CE695" s="161"/>
      <c r="CF695" s="161"/>
      <c r="CG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161"/>
      <c r="BH696" s="161"/>
      <c r="BI696" s="161"/>
      <c r="BJ696" s="161"/>
      <c r="BK696" s="161"/>
      <c r="BL696" s="161"/>
      <c r="BM696" s="161"/>
      <c r="BN696" s="161"/>
      <c r="BO696" s="161"/>
      <c r="BP696" s="161"/>
      <c r="BQ696" s="161"/>
      <c r="BR696" s="161"/>
      <c r="BS696" s="161"/>
      <c r="BT696" s="161"/>
      <c r="BU696" s="161"/>
      <c r="BV696" s="161"/>
      <c r="BW696" s="161"/>
      <c r="BX696" s="161"/>
      <c r="BY696" s="161"/>
      <c r="BZ696" s="161"/>
      <c r="CA696" s="161"/>
      <c r="CB696" s="161"/>
      <c r="CC696" s="161"/>
      <c r="CD696" s="161"/>
      <c r="CE696" s="161"/>
      <c r="CF696" s="161"/>
      <c r="CG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161"/>
      <c r="BH697" s="161"/>
      <c r="BI697" s="161"/>
      <c r="BJ697" s="161"/>
      <c r="BK697" s="161"/>
      <c r="BL697" s="161"/>
      <c r="BM697" s="161"/>
      <c r="BN697" s="161"/>
      <c r="BO697" s="161"/>
      <c r="BP697" s="161"/>
      <c r="BQ697" s="161"/>
      <c r="BR697" s="161"/>
      <c r="BS697" s="161"/>
      <c r="BT697" s="161"/>
      <c r="BU697" s="161"/>
      <c r="BV697" s="161"/>
      <c r="BW697" s="161"/>
      <c r="BX697" s="161"/>
      <c r="BY697" s="161"/>
      <c r="BZ697" s="161"/>
      <c r="CA697" s="161"/>
      <c r="CB697" s="161"/>
      <c r="CC697" s="161"/>
      <c r="CD697" s="161"/>
      <c r="CE697" s="161"/>
      <c r="CF697" s="161"/>
      <c r="CG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161"/>
      <c r="BH698" s="161"/>
      <c r="BI698" s="161"/>
      <c r="BJ698" s="161"/>
      <c r="BK698" s="161"/>
      <c r="BL698" s="161"/>
      <c r="BM698" s="161"/>
      <c r="BN698" s="161"/>
      <c r="BO698" s="161"/>
      <c r="BP698" s="161"/>
      <c r="BQ698" s="161"/>
      <c r="BR698" s="161"/>
      <c r="BS698" s="161"/>
      <c r="BT698" s="161"/>
      <c r="BU698" s="161"/>
      <c r="BV698" s="161"/>
      <c r="BW698" s="161"/>
      <c r="BX698" s="161"/>
      <c r="BY698" s="161"/>
      <c r="BZ698" s="161"/>
      <c r="CA698" s="161"/>
      <c r="CB698" s="161"/>
      <c r="CC698" s="161"/>
      <c r="CD698" s="161"/>
      <c r="CE698" s="161"/>
      <c r="CF698" s="161"/>
      <c r="CG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161"/>
      <c r="BH699" s="161"/>
      <c r="BI699" s="161"/>
      <c r="BJ699" s="161"/>
      <c r="BK699" s="161"/>
      <c r="BL699" s="161"/>
      <c r="BM699" s="161"/>
      <c r="BN699" s="161"/>
      <c r="BO699" s="161"/>
      <c r="BP699" s="161"/>
      <c r="BQ699" s="161"/>
      <c r="BR699" s="161"/>
      <c r="BS699" s="161"/>
      <c r="BT699" s="161"/>
      <c r="BU699" s="161"/>
      <c r="BV699" s="161"/>
      <c r="BW699" s="161"/>
      <c r="BX699" s="161"/>
      <c r="BY699" s="161"/>
      <c r="BZ699" s="161"/>
      <c r="CA699" s="161"/>
      <c r="CB699" s="161"/>
      <c r="CC699" s="161"/>
      <c r="CD699" s="161"/>
      <c r="CE699" s="161"/>
      <c r="CF699" s="161"/>
      <c r="CG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161"/>
      <c r="BH700" s="161"/>
      <c r="BI700" s="161"/>
      <c r="BJ700" s="161"/>
      <c r="BK700" s="161"/>
      <c r="BL700" s="161"/>
      <c r="BM700" s="161"/>
      <c r="BN700" s="161"/>
      <c r="BO700" s="161"/>
      <c r="BP700" s="161"/>
      <c r="BQ700" s="161"/>
      <c r="BR700" s="161"/>
      <c r="BS700" s="161"/>
      <c r="BT700" s="161"/>
      <c r="BU700" s="161"/>
      <c r="BV700" s="161"/>
      <c r="BW700" s="161"/>
      <c r="BX700" s="161"/>
      <c r="BY700" s="161"/>
      <c r="BZ700" s="161"/>
      <c r="CA700" s="161"/>
      <c r="CB700" s="161"/>
      <c r="CC700" s="161"/>
      <c r="CD700" s="161"/>
      <c r="CE700" s="161"/>
      <c r="CF700" s="161"/>
      <c r="CG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/>
      <c r="BG701" s="161"/>
      <c r="BH701" s="161"/>
      <c r="BI701" s="161"/>
      <c r="BJ701" s="161"/>
      <c r="BK701" s="161"/>
      <c r="BL701" s="161"/>
      <c r="BM701" s="161"/>
      <c r="BN701" s="161"/>
      <c r="BO701" s="161"/>
      <c r="BP701" s="161"/>
      <c r="BQ701" s="161"/>
      <c r="BR701" s="161"/>
      <c r="BS701" s="161"/>
      <c r="BT701" s="161"/>
      <c r="BU701" s="161"/>
      <c r="BV701" s="161"/>
      <c r="BW701" s="161"/>
      <c r="BX701" s="161"/>
      <c r="BY701" s="161"/>
      <c r="BZ701" s="161"/>
      <c r="CA701" s="161"/>
      <c r="CB701" s="161"/>
      <c r="CC701" s="161"/>
      <c r="CD701" s="161"/>
      <c r="CE701" s="161"/>
      <c r="CF701" s="161"/>
      <c r="CG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F702" s="161"/>
      <c r="BG702" s="161"/>
      <c r="BH702" s="161"/>
      <c r="BI702" s="161"/>
      <c r="BJ702" s="161"/>
      <c r="BK702" s="161"/>
      <c r="BL702" s="161"/>
      <c r="BM702" s="161"/>
      <c r="BN702" s="161"/>
      <c r="BO702" s="161"/>
      <c r="BP702" s="161"/>
      <c r="BQ702" s="161"/>
      <c r="BR702" s="161"/>
      <c r="BS702" s="161"/>
      <c r="BT702" s="161"/>
      <c r="BU702" s="161"/>
      <c r="BV702" s="161"/>
      <c r="BW702" s="161"/>
      <c r="BX702" s="161"/>
      <c r="BY702" s="161"/>
      <c r="BZ702" s="161"/>
      <c r="CA702" s="161"/>
      <c r="CB702" s="161"/>
      <c r="CC702" s="161"/>
      <c r="CD702" s="161"/>
      <c r="CE702" s="161"/>
      <c r="CF702" s="161"/>
      <c r="CG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161"/>
      <c r="BH703" s="161"/>
      <c r="BI703" s="161"/>
      <c r="BJ703" s="161"/>
      <c r="BK703" s="161"/>
      <c r="BL703" s="161"/>
      <c r="BM703" s="161"/>
      <c r="BN703" s="161"/>
      <c r="BO703" s="161"/>
      <c r="BP703" s="161"/>
      <c r="BQ703" s="161"/>
      <c r="BR703" s="161"/>
      <c r="BS703" s="161"/>
      <c r="BT703" s="161"/>
      <c r="BU703" s="161"/>
      <c r="BV703" s="161"/>
      <c r="BW703" s="161"/>
      <c r="BX703" s="161"/>
      <c r="BY703" s="161"/>
      <c r="BZ703" s="161"/>
      <c r="CA703" s="161"/>
      <c r="CB703" s="161"/>
      <c r="CC703" s="161"/>
      <c r="CD703" s="161"/>
      <c r="CE703" s="161"/>
      <c r="CF703" s="161"/>
      <c r="CG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F704" s="161"/>
      <c r="BG704" s="161"/>
      <c r="BH704" s="161"/>
      <c r="BI704" s="161"/>
      <c r="BJ704" s="161"/>
      <c r="BK704" s="161"/>
      <c r="BL704" s="161"/>
      <c r="BM704" s="161"/>
      <c r="BN704" s="161"/>
      <c r="BO704" s="161"/>
      <c r="BP704" s="161"/>
      <c r="BQ704" s="161"/>
      <c r="BR704" s="161"/>
      <c r="BS704" s="161"/>
      <c r="BT704" s="161"/>
      <c r="BU704" s="161"/>
      <c r="BV704" s="161"/>
      <c r="BW704" s="161"/>
      <c r="BX704" s="161"/>
      <c r="BY704" s="161"/>
      <c r="BZ704" s="161"/>
      <c r="CA704" s="161"/>
      <c r="CB704" s="161"/>
      <c r="CC704" s="161"/>
      <c r="CD704" s="161"/>
      <c r="CE704" s="161"/>
      <c r="CF704" s="161"/>
      <c r="CG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161"/>
      <c r="BH705" s="161"/>
      <c r="BI705" s="161"/>
      <c r="BJ705" s="161"/>
      <c r="BK705" s="161"/>
      <c r="BL705" s="161"/>
      <c r="BM705" s="161"/>
      <c r="BN705" s="161"/>
      <c r="BO705" s="161"/>
      <c r="BP705" s="161"/>
      <c r="BQ705" s="161"/>
      <c r="BR705" s="161"/>
      <c r="BS705" s="161"/>
      <c r="BT705" s="161"/>
      <c r="BU705" s="161"/>
      <c r="BV705" s="161"/>
      <c r="BW705" s="161"/>
      <c r="BX705" s="161"/>
      <c r="BY705" s="161"/>
      <c r="BZ705" s="161"/>
      <c r="CA705" s="161"/>
      <c r="CB705" s="161"/>
      <c r="CC705" s="161"/>
      <c r="CD705" s="161"/>
      <c r="CE705" s="161"/>
      <c r="CF705" s="161"/>
      <c r="CG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F706" s="161"/>
      <c r="BG706" s="161"/>
      <c r="BH706" s="161"/>
      <c r="BI706" s="161"/>
      <c r="BJ706" s="161"/>
      <c r="BK706" s="161"/>
      <c r="BL706" s="161"/>
      <c r="BM706" s="161"/>
      <c r="BN706" s="161"/>
      <c r="BO706" s="161"/>
      <c r="BP706" s="161"/>
      <c r="BQ706" s="161"/>
      <c r="BR706" s="161"/>
      <c r="BS706" s="161"/>
      <c r="BT706" s="161"/>
      <c r="BU706" s="161"/>
      <c r="BV706" s="161"/>
      <c r="BW706" s="161"/>
      <c r="BX706" s="161"/>
      <c r="BY706" s="161"/>
      <c r="BZ706" s="161"/>
      <c r="CA706" s="161"/>
      <c r="CB706" s="161"/>
      <c r="CC706" s="161"/>
      <c r="CD706" s="161"/>
      <c r="CE706" s="161"/>
      <c r="CF706" s="161"/>
      <c r="CG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F707" s="161"/>
      <c r="BG707" s="161"/>
      <c r="BH707" s="161"/>
      <c r="BI707" s="161"/>
      <c r="BJ707" s="161"/>
      <c r="BK707" s="161"/>
      <c r="BL707" s="161"/>
      <c r="BM707" s="161"/>
      <c r="BN707" s="161"/>
      <c r="BO707" s="161"/>
      <c r="BP707" s="161"/>
      <c r="BQ707" s="161"/>
      <c r="BR707" s="161"/>
      <c r="BS707" s="161"/>
      <c r="BT707" s="161"/>
      <c r="BU707" s="161"/>
      <c r="BV707" s="161"/>
      <c r="BW707" s="161"/>
      <c r="BX707" s="161"/>
      <c r="BY707" s="161"/>
      <c r="BZ707" s="161"/>
      <c r="CA707" s="161"/>
      <c r="CB707" s="161"/>
      <c r="CC707" s="161"/>
      <c r="CD707" s="161"/>
      <c r="CE707" s="161"/>
      <c r="CF707" s="161"/>
      <c r="CG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F708" s="161"/>
      <c r="BG708" s="161"/>
      <c r="BH708" s="161"/>
      <c r="BI708" s="161"/>
      <c r="BJ708" s="161"/>
      <c r="BK708" s="161"/>
      <c r="BL708" s="161"/>
      <c r="BM708" s="161"/>
      <c r="BN708" s="161"/>
      <c r="BO708" s="161"/>
      <c r="BP708" s="161"/>
      <c r="BQ708" s="161"/>
      <c r="BR708" s="161"/>
      <c r="BS708" s="161"/>
      <c r="BT708" s="161"/>
      <c r="BU708" s="161"/>
      <c r="BV708" s="161"/>
      <c r="BW708" s="161"/>
      <c r="BX708" s="161"/>
      <c r="BY708" s="161"/>
      <c r="BZ708" s="161"/>
      <c r="CA708" s="161"/>
      <c r="CB708" s="161"/>
      <c r="CC708" s="161"/>
      <c r="CD708" s="161"/>
      <c r="CE708" s="161"/>
      <c r="CF708" s="161"/>
      <c r="CG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  <c r="BY709" s="161"/>
      <c r="BZ709" s="161"/>
      <c r="CA709" s="161"/>
      <c r="CB709" s="161"/>
      <c r="CC709" s="161"/>
      <c r="CD709" s="161"/>
      <c r="CE709" s="161"/>
      <c r="CF709" s="161"/>
      <c r="CG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  <c r="BY710" s="161"/>
      <c r="BZ710" s="161"/>
      <c r="CA710" s="161"/>
      <c r="CB710" s="161"/>
      <c r="CC710" s="161"/>
      <c r="CD710" s="161"/>
      <c r="CE710" s="161"/>
      <c r="CF710" s="161"/>
      <c r="CG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1"/>
      <c r="CC711" s="161"/>
      <c r="CD711" s="161"/>
      <c r="CE711" s="161"/>
      <c r="CF711" s="161"/>
      <c r="CG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  <c r="BY712" s="161"/>
      <c r="BZ712" s="161"/>
      <c r="CA712" s="161"/>
      <c r="CB712" s="161"/>
      <c r="CC712" s="161"/>
      <c r="CD712" s="161"/>
      <c r="CE712" s="161"/>
      <c r="CF712" s="161"/>
      <c r="CG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  <c r="BY713" s="161"/>
      <c r="BZ713" s="161"/>
      <c r="CA713" s="161"/>
      <c r="CB713" s="161"/>
      <c r="CC713" s="161"/>
      <c r="CD713" s="161"/>
      <c r="CE713" s="161"/>
      <c r="CF713" s="161"/>
      <c r="CG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F714" s="161"/>
      <c r="BG714" s="161"/>
      <c r="BH714" s="161"/>
      <c r="BI714" s="161"/>
      <c r="BJ714" s="161"/>
      <c r="BK714" s="161"/>
      <c r="BL714" s="161"/>
      <c r="BM714" s="161"/>
      <c r="BN714" s="161"/>
      <c r="BO714" s="161"/>
      <c r="BP714" s="161"/>
      <c r="BQ714" s="161"/>
      <c r="BR714" s="161"/>
      <c r="BS714" s="161"/>
      <c r="BT714" s="161"/>
      <c r="BU714" s="161"/>
      <c r="BV714" s="161"/>
      <c r="BW714" s="161"/>
      <c r="BX714" s="161"/>
      <c r="BY714" s="161"/>
      <c r="BZ714" s="161"/>
      <c r="CA714" s="161"/>
      <c r="CB714" s="161"/>
      <c r="CC714" s="161"/>
      <c r="CD714" s="161"/>
      <c r="CE714" s="161"/>
      <c r="CF714" s="161"/>
      <c r="CG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  <c r="BY715" s="161"/>
      <c r="BZ715" s="161"/>
      <c r="CA715" s="161"/>
      <c r="CB715" s="161"/>
      <c r="CC715" s="161"/>
      <c r="CD715" s="161"/>
      <c r="CE715" s="161"/>
      <c r="CF715" s="161"/>
      <c r="CG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F716" s="161"/>
      <c r="BG716" s="161"/>
      <c r="BH716" s="161"/>
      <c r="BI716" s="161"/>
      <c r="BJ716" s="161"/>
      <c r="BK716" s="161"/>
      <c r="BL716" s="161"/>
      <c r="BM716" s="161"/>
      <c r="BN716" s="161"/>
      <c r="BO716" s="161"/>
      <c r="BP716" s="161"/>
      <c r="BQ716" s="161"/>
      <c r="BR716" s="161"/>
      <c r="BS716" s="161"/>
      <c r="BT716" s="161"/>
      <c r="BU716" s="161"/>
      <c r="BV716" s="161"/>
      <c r="BW716" s="161"/>
      <c r="BX716" s="161"/>
      <c r="BY716" s="161"/>
      <c r="BZ716" s="161"/>
      <c r="CA716" s="161"/>
      <c r="CB716" s="161"/>
      <c r="CC716" s="161"/>
      <c r="CD716" s="161"/>
      <c r="CE716" s="161"/>
      <c r="CF716" s="161"/>
      <c r="CG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  <c r="BY717" s="161"/>
      <c r="BZ717" s="161"/>
      <c r="CA717" s="161"/>
      <c r="CB717" s="161"/>
      <c r="CC717" s="161"/>
      <c r="CD717" s="161"/>
      <c r="CE717" s="161"/>
      <c r="CF717" s="161"/>
      <c r="CG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  <c r="BY718" s="161"/>
      <c r="BZ718" s="161"/>
      <c r="CA718" s="161"/>
      <c r="CB718" s="161"/>
      <c r="CC718" s="161"/>
      <c r="CD718" s="161"/>
      <c r="CE718" s="161"/>
      <c r="CF718" s="161"/>
      <c r="CG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161"/>
      <c r="BH719" s="161"/>
      <c r="BI719" s="161"/>
      <c r="BJ719" s="161"/>
      <c r="BK719" s="161"/>
      <c r="BL719" s="161"/>
      <c r="BM719" s="161"/>
      <c r="BN719" s="161"/>
      <c r="BO719" s="161"/>
      <c r="BP719" s="161"/>
      <c r="BQ719" s="161"/>
      <c r="BR719" s="161"/>
      <c r="BS719" s="161"/>
      <c r="BT719" s="161"/>
      <c r="BU719" s="161"/>
      <c r="BV719" s="161"/>
      <c r="BW719" s="161"/>
      <c r="BX719" s="161"/>
      <c r="BY719" s="161"/>
      <c r="BZ719" s="161"/>
      <c r="CA719" s="161"/>
      <c r="CB719" s="161"/>
      <c r="CC719" s="161"/>
      <c r="CD719" s="161"/>
      <c r="CE719" s="161"/>
      <c r="CF719" s="161"/>
      <c r="CG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  <c r="BY720" s="161"/>
      <c r="BZ720" s="161"/>
      <c r="CA720" s="161"/>
      <c r="CB720" s="161"/>
      <c r="CC720" s="161"/>
      <c r="CD720" s="161"/>
      <c r="CE720" s="161"/>
      <c r="CF720" s="161"/>
      <c r="CG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161"/>
      <c r="BH721" s="161"/>
      <c r="BI721" s="161"/>
      <c r="BJ721" s="161"/>
      <c r="BK721" s="161"/>
      <c r="BL721" s="161"/>
      <c r="BM721" s="161"/>
      <c r="BN721" s="161"/>
      <c r="BO721" s="161"/>
      <c r="BP721" s="161"/>
      <c r="BQ721" s="161"/>
      <c r="BR721" s="161"/>
      <c r="BS721" s="161"/>
      <c r="BT721" s="161"/>
      <c r="BU721" s="161"/>
      <c r="BV721" s="161"/>
      <c r="BW721" s="161"/>
      <c r="BX721" s="161"/>
      <c r="BY721" s="161"/>
      <c r="BZ721" s="161"/>
      <c r="CA721" s="161"/>
      <c r="CB721" s="161"/>
      <c r="CC721" s="161"/>
      <c r="CD721" s="161"/>
      <c r="CE721" s="161"/>
      <c r="CF721" s="161"/>
      <c r="CG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  <c r="BY722" s="161"/>
      <c r="BZ722" s="161"/>
      <c r="CA722" s="161"/>
      <c r="CB722" s="161"/>
      <c r="CC722" s="161"/>
      <c r="CD722" s="161"/>
      <c r="CE722" s="161"/>
      <c r="CF722" s="161"/>
      <c r="CG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1"/>
      <c r="CC723" s="161"/>
      <c r="CD723" s="161"/>
      <c r="CE723" s="161"/>
      <c r="CF723" s="161"/>
      <c r="CG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F724" s="161"/>
      <c r="BG724" s="161"/>
      <c r="BH724" s="161"/>
      <c r="BI724" s="161"/>
      <c r="BJ724" s="161"/>
      <c r="BK724" s="161"/>
      <c r="BL724" s="161"/>
      <c r="BM724" s="161"/>
      <c r="BN724" s="161"/>
      <c r="BO724" s="161"/>
      <c r="BP724" s="161"/>
      <c r="BQ724" s="161"/>
      <c r="BR724" s="161"/>
      <c r="BS724" s="161"/>
      <c r="BT724" s="161"/>
      <c r="BU724" s="161"/>
      <c r="BV724" s="161"/>
      <c r="BW724" s="161"/>
      <c r="BX724" s="161"/>
      <c r="BY724" s="161"/>
      <c r="BZ724" s="161"/>
      <c r="CA724" s="161"/>
      <c r="CB724" s="161"/>
      <c r="CC724" s="161"/>
      <c r="CD724" s="161"/>
      <c r="CE724" s="161"/>
      <c r="CF724" s="161"/>
      <c r="CG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  <c r="BY725" s="161"/>
      <c r="BZ725" s="161"/>
      <c r="CA725" s="161"/>
      <c r="CB725" s="161"/>
      <c r="CC725" s="161"/>
      <c r="CD725" s="161"/>
      <c r="CE725" s="161"/>
      <c r="CF725" s="161"/>
      <c r="CG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161"/>
      <c r="BH726" s="161"/>
      <c r="BI726" s="161"/>
      <c r="BJ726" s="161"/>
      <c r="BK726" s="161"/>
      <c r="BL726" s="161"/>
      <c r="BM726" s="161"/>
      <c r="BN726" s="161"/>
      <c r="BO726" s="161"/>
      <c r="BP726" s="161"/>
      <c r="BQ726" s="161"/>
      <c r="BR726" s="161"/>
      <c r="BS726" s="161"/>
      <c r="BT726" s="161"/>
      <c r="BU726" s="161"/>
      <c r="BV726" s="161"/>
      <c r="BW726" s="161"/>
      <c r="BX726" s="161"/>
      <c r="BY726" s="161"/>
      <c r="BZ726" s="161"/>
      <c r="CA726" s="161"/>
      <c r="CB726" s="161"/>
      <c r="CC726" s="161"/>
      <c r="CD726" s="161"/>
      <c r="CE726" s="161"/>
      <c r="CF726" s="161"/>
      <c r="CG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161"/>
      <c r="BH727" s="161"/>
      <c r="BI727" s="161"/>
      <c r="BJ727" s="161"/>
      <c r="BK727" s="161"/>
      <c r="BL727" s="161"/>
      <c r="BM727" s="161"/>
      <c r="BN727" s="161"/>
      <c r="BO727" s="161"/>
      <c r="BP727" s="161"/>
      <c r="BQ727" s="161"/>
      <c r="BR727" s="161"/>
      <c r="BS727" s="161"/>
      <c r="BT727" s="161"/>
      <c r="BU727" s="161"/>
      <c r="BV727" s="161"/>
      <c r="BW727" s="161"/>
      <c r="BX727" s="161"/>
      <c r="BY727" s="161"/>
      <c r="BZ727" s="161"/>
      <c r="CA727" s="161"/>
      <c r="CB727" s="161"/>
      <c r="CC727" s="161"/>
      <c r="CD727" s="161"/>
      <c r="CE727" s="161"/>
      <c r="CF727" s="161"/>
      <c r="CG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161"/>
      <c r="BH728" s="161"/>
      <c r="BI728" s="161"/>
      <c r="BJ728" s="161"/>
      <c r="BK728" s="161"/>
      <c r="BL728" s="161"/>
      <c r="BM728" s="161"/>
      <c r="BN728" s="161"/>
      <c r="BO728" s="161"/>
      <c r="BP728" s="161"/>
      <c r="BQ728" s="161"/>
      <c r="BR728" s="161"/>
      <c r="BS728" s="161"/>
      <c r="BT728" s="161"/>
      <c r="BU728" s="161"/>
      <c r="BV728" s="161"/>
      <c r="BW728" s="161"/>
      <c r="BX728" s="161"/>
      <c r="BY728" s="161"/>
      <c r="BZ728" s="161"/>
      <c r="CA728" s="161"/>
      <c r="CB728" s="161"/>
      <c r="CC728" s="161"/>
      <c r="CD728" s="161"/>
      <c r="CE728" s="161"/>
      <c r="CF728" s="161"/>
      <c r="CG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/>
      <c r="BG729" s="161"/>
      <c r="BH729" s="161"/>
      <c r="BI729" s="161"/>
      <c r="BJ729" s="161"/>
      <c r="BK729" s="161"/>
      <c r="BL729" s="161"/>
      <c r="BM729" s="161"/>
      <c r="BN729" s="161"/>
      <c r="BO729" s="161"/>
      <c r="BP729" s="161"/>
      <c r="BQ729" s="161"/>
      <c r="BR729" s="161"/>
      <c r="BS729" s="161"/>
      <c r="BT729" s="161"/>
      <c r="BU729" s="161"/>
      <c r="BV729" s="161"/>
      <c r="BW729" s="161"/>
      <c r="BX729" s="161"/>
      <c r="BY729" s="161"/>
      <c r="BZ729" s="161"/>
      <c r="CA729" s="161"/>
      <c r="CB729" s="161"/>
      <c r="CC729" s="161"/>
      <c r="CD729" s="161"/>
      <c r="CE729" s="161"/>
      <c r="CF729" s="161"/>
      <c r="CG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161"/>
      <c r="BH730" s="161"/>
      <c r="BI730" s="161"/>
      <c r="BJ730" s="161"/>
      <c r="BK730" s="161"/>
      <c r="BL730" s="161"/>
      <c r="BM730" s="161"/>
      <c r="BN730" s="161"/>
      <c r="BO730" s="161"/>
      <c r="BP730" s="161"/>
      <c r="BQ730" s="161"/>
      <c r="BR730" s="161"/>
      <c r="BS730" s="161"/>
      <c r="BT730" s="161"/>
      <c r="BU730" s="161"/>
      <c r="BV730" s="161"/>
      <c r="BW730" s="161"/>
      <c r="BX730" s="161"/>
      <c r="BY730" s="161"/>
      <c r="BZ730" s="161"/>
      <c r="CA730" s="161"/>
      <c r="CB730" s="161"/>
      <c r="CC730" s="161"/>
      <c r="CD730" s="161"/>
      <c r="CE730" s="161"/>
      <c r="CF730" s="161"/>
      <c r="CG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1"/>
      <c r="CC731" s="161"/>
      <c r="CD731" s="161"/>
      <c r="CE731" s="161"/>
      <c r="CF731" s="161"/>
      <c r="CG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1"/>
      <c r="CC732" s="161"/>
      <c r="CD732" s="161"/>
      <c r="CE732" s="161"/>
      <c r="CF732" s="161"/>
      <c r="CG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161"/>
      <c r="BH733" s="161"/>
      <c r="BI733" s="161"/>
      <c r="BJ733" s="161"/>
      <c r="BK733" s="161"/>
      <c r="BL733" s="161"/>
      <c r="BM733" s="161"/>
      <c r="BN733" s="161"/>
      <c r="BO733" s="161"/>
      <c r="BP733" s="161"/>
      <c r="BQ733" s="161"/>
      <c r="BR733" s="161"/>
      <c r="BS733" s="161"/>
      <c r="BT733" s="161"/>
      <c r="BU733" s="161"/>
      <c r="BV733" s="161"/>
      <c r="BW733" s="161"/>
      <c r="BX733" s="161"/>
      <c r="BY733" s="161"/>
      <c r="BZ733" s="161"/>
      <c r="CA733" s="161"/>
      <c r="CB733" s="161"/>
      <c r="CC733" s="161"/>
      <c r="CD733" s="161"/>
      <c r="CE733" s="161"/>
      <c r="CF733" s="161"/>
      <c r="CG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161"/>
      <c r="BH734" s="161"/>
      <c r="BI734" s="161"/>
      <c r="BJ734" s="161"/>
      <c r="BK734" s="161"/>
      <c r="BL734" s="161"/>
      <c r="BM734" s="161"/>
      <c r="BN734" s="161"/>
      <c r="BO734" s="161"/>
      <c r="BP734" s="161"/>
      <c r="BQ734" s="161"/>
      <c r="BR734" s="161"/>
      <c r="BS734" s="161"/>
      <c r="BT734" s="161"/>
      <c r="BU734" s="161"/>
      <c r="BV734" s="161"/>
      <c r="BW734" s="161"/>
      <c r="BX734" s="161"/>
      <c r="BY734" s="161"/>
      <c r="BZ734" s="161"/>
      <c r="CA734" s="161"/>
      <c r="CB734" s="161"/>
      <c r="CC734" s="161"/>
      <c r="CD734" s="161"/>
      <c r="CE734" s="161"/>
      <c r="CF734" s="161"/>
      <c r="CG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161"/>
      <c r="BH735" s="161"/>
      <c r="BI735" s="161"/>
      <c r="BJ735" s="161"/>
      <c r="BK735" s="161"/>
      <c r="BL735" s="161"/>
      <c r="BM735" s="161"/>
      <c r="BN735" s="161"/>
      <c r="BO735" s="161"/>
      <c r="BP735" s="161"/>
      <c r="BQ735" s="161"/>
      <c r="BR735" s="161"/>
      <c r="BS735" s="161"/>
      <c r="BT735" s="161"/>
      <c r="BU735" s="161"/>
      <c r="BV735" s="161"/>
      <c r="BW735" s="161"/>
      <c r="BX735" s="161"/>
      <c r="BY735" s="161"/>
      <c r="BZ735" s="161"/>
      <c r="CA735" s="161"/>
      <c r="CB735" s="161"/>
      <c r="CC735" s="161"/>
      <c r="CD735" s="161"/>
      <c r="CE735" s="161"/>
      <c r="CF735" s="161"/>
      <c r="CG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/>
      <c r="BG736" s="161"/>
      <c r="BH736" s="161"/>
      <c r="BI736" s="161"/>
      <c r="BJ736" s="161"/>
      <c r="BK736" s="161"/>
      <c r="BL736" s="161"/>
      <c r="BM736" s="161"/>
      <c r="BN736" s="161"/>
      <c r="BO736" s="161"/>
      <c r="BP736" s="161"/>
      <c r="BQ736" s="161"/>
      <c r="BR736" s="161"/>
      <c r="BS736" s="161"/>
      <c r="BT736" s="161"/>
      <c r="BU736" s="161"/>
      <c r="BV736" s="161"/>
      <c r="BW736" s="161"/>
      <c r="BX736" s="161"/>
      <c r="BY736" s="161"/>
      <c r="BZ736" s="161"/>
      <c r="CA736" s="161"/>
      <c r="CB736" s="161"/>
      <c r="CC736" s="161"/>
      <c r="CD736" s="161"/>
      <c r="CE736" s="161"/>
      <c r="CF736" s="161"/>
      <c r="CG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/>
      <c r="BG737" s="161"/>
      <c r="BH737" s="161"/>
      <c r="BI737" s="161"/>
      <c r="BJ737" s="161"/>
      <c r="BK737" s="161"/>
      <c r="BL737" s="161"/>
      <c r="BM737" s="161"/>
      <c r="BN737" s="161"/>
      <c r="BO737" s="161"/>
      <c r="BP737" s="161"/>
      <c r="BQ737" s="161"/>
      <c r="BR737" s="161"/>
      <c r="BS737" s="161"/>
      <c r="BT737" s="161"/>
      <c r="BU737" s="161"/>
      <c r="BV737" s="161"/>
      <c r="BW737" s="161"/>
      <c r="BX737" s="161"/>
      <c r="BY737" s="161"/>
      <c r="BZ737" s="161"/>
      <c r="CA737" s="161"/>
      <c r="CB737" s="161"/>
      <c r="CC737" s="161"/>
      <c r="CD737" s="161"/>
      <c r="CE737" s="161"/>
      <c r="CF737" s="161"/>
      <c r="CG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/>
      <c r="BG738" s="161"/>
      <c r="BH738" s="161"/>
      <c r="BI738" s="161"/>
      <c r="BJ738" s="161"/>
      <c r="BK738" s="161"/>
      <c r="BL738" s="161"/>
      <c r="BM738" s="161"/>
      <c r="BN738" s="161"/>
      <c r="BO738" s="161"/>
      <c r="BP738" s="161"/>
      <c r="BQ738" s="161"/>
      <c r="BR738" s="161"/>
      <c r="BS738" s="161"/>
      <c r="BT738" s="161"/>
      <c r="BU738" s="161"/>
      <c r="BV738" s="161"/>
      <c r="BW738" s="161"/>
      <c r="BX738" s="161"/>
      <c r="BY738" s="161"/>
      <c r="BZ738" s="161"/>
      <c r="CA738" s="161"/>
      <c r="CB738" s="161"/>
      <c r="CC738" s="161"/>
      <c r="CD738" s="161"/>
      <c r="CE738" s="161"/>
      <c r="CF738" s="161"/>
      <c r="CG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1"/>
      <c r="BI739" s="161"/>
      <c r="BJ739" s="161"/>
      <c r="BK739" s="161"/>
      <c r="BL739" s="161"/>
      <c r="BM739" s="161"/>
      <c r="BN739" s="161"/>
      <c r="BO739" s="161"/>
      <c r="BP739" s="161"/>
      <c r="BQ739" s="161"/>
      <c r="BR739" s="161"/>
      <c r="BS739" s="161"/>
      <c r="BT739" s="161"/>
      <c r="BU739" s="161"/>
      <c r="BV739" s="161"/>
      <c r="BW739" s="161"/>
      <c r="BX739" s="161"/>
      <c r="BY739" s="161"/>
      <c r="BZ739" s="161"/>
      <c r="CA739" s="161"/>
      <c r="CB739" s="161"/>
      <c r="CC739" s="161"/>
      <c r="CD739" s="161"/>
      <c r="CE739" s="161"/>
      <c r="CF739" s="161"/>
      <c r="CG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161"/>
      <c r="BH740" s="161"/>
      <c r="BI740" s="161"/>
      <c r="BJ740" s="161"/>
      <c r="BK740" s="161"/>
      <c r="BL740" s="161"/>
      <c r="BM740" s="161"/>
      <c r="BN740" s="161"/>
      <c r="BO740" s="161"/>
      <c r="BP740" s="161"/>
      <c r="BQ740" s="161"/>
      <c r="BR740" s="161"/>
      <c r="BS740" s="161"/>
      <c r="BT740" s="161"/>
      <c r="BU740" s="161"/>
      <c r="BV740" s="161"/>
      <c r="BW740" s="161"/>
      <c r="BX740" s="161"/>
      <c r="BY740" s="161"/>
      <c r="BZ740" s="161"/>
      <c r="CA740" s="161"/>
      <c r="CB740" s="161"/>
      <c r="CC740" s="161"/>
      <c r="CD740" s="161"/>
      <c r="CE740" s="161"/>
      <c r="CF740" s="161"/>
      <c r="CG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161"/>
      <c r="BH741" s="161"/>
      <c r="BI741" s="161"/>
      <c r="BJ741" s="161"/>
      <c r="BK741" s="161"/>
      <c r="BL741" s="161"/>
      <c r="BM741" s="161"/>
      <c r="BN741" s="161"/>
      <c r="BO741" s="161"/>
      <c r="BP741" s="161"/>
      <c r="BQ741" s="161"/>
      <c r="BR741" s="161"/>
      <c r="BS741" s="161"/>
      <c r="BT741" s="161"/>
      <c r="BU741" s="161"/>
      <c r="BV741" s="161"/>
      <c r="BW741" s="161"/>
      <c r="BX741" s="161"/>
      <c r="BY741" s="161"/>
      <c r="BZ741" s="161"/>
      <c r="CA741" s="161"/>
      <c r="CB741" s="161"/>
      <c r="CC741" s="161"/>
      <c r="CD741" s="161"/>
      <c r="CE741" s="161"/>
      <c r="CF741" s="161"/>
      <c r="CG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161"/>
      <c r="BH742" s="161"/>
      <c r="BI742" s="161"/>
      <c r="BJ742" s="161"/>
      <c r="BK742" s="161"/>
      <c r="BL742" s="161"/>
      <c r="BM742" s="161"/>
      <c r="BN742" s="161"/>
      <c r="BO742" s="161"/>
      <c r="BP742" s="161"/>
      <c r="BQ742" s="161"/>
      <c r="BR742" s="161"/>
      <c r="BS742" s="161"/>
      <c r="BT742" s="161"/>
      <c r="BU742" s="161"/>
      <c r="BV742" s="161"/>
      <c r="BW742" s="161"/>
      <c r="BX742" s="161"/>
      <c r="BY742" s="161"/>
      <c r="BZ742" s="161"/>
      <c r="CA742" s="161"/>
      <c r="CB742" s="161"/>
      <c r="CC742" s="161"/>
      <c r="CD742" s="161"/>
      <c r="CE742" s="161"/>
      <c r="CF742" s="161"/>
      <c r="CG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F743" s="161"/>
      <c r="BG743" s="161"/>
      <c r="BH743" s="161"/>
      <c r="BI743" s="161"/>
      <c r="BJ743" s="161"/>
      <c r="BK743" s="161"/>
      <c r="BL743" s="161"/>
      <c r="BM743" s="161"/>
      <c r="BN743" s="161"/>
      <c r="BO743" s="161"/>
      <c r="BP743" s="161"/>
      <c r="BQ743" s="161"/>
      <c r="BR743" s="161"/>
      <c r="BS743" s="161"/>
      <c r="BT743" s="161"/>
      <c r="BU743" s="161"/>
      <c r="BV743" s="161"/>
      <c r="BW743" s="161"/>
      <c r="BX743" s="161"/>
      <c r="BY743" s="161"/>
      <c r="BZ743" s="161"/>
      <c r="CA743" s="161"/>
      <c r="CB743" s="161"/>
      <c r="CC743" s="161"/>
      <c r="CD743" s="161"/>
      <c r="CE743" s="161"/>
      <c r="CF743" s="161"/>
      <c r="CG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F744" s="161"/>
      <c r="BG744" s="161"/>
      <c r="BH744" s="161"/>
      <c r="BI744" s="161"/>
      <c r="BJ744" s="161"/>
      <c r="BK744" s="161"/>
      <c r="BL744" s="161"/>
      <c r="BM744" s="161"/>
      <c r="BN744" s="161"/>
      <c r="BO744" s="161"/>
      <c r="BP744" s="161"/>
      <c r="BQ744" s="161"/>
      <c r="BR744" s="161"/>
      <c r="BS744" s="161"/>
      <c r="BT744" s="161"/>
      <c r="BU744" s="161"/>
      <c r="BV744" s="161"/>
      <c r="BW744" s="161"/>
      <c r="BX744" s="161"/>
      <c r="BY744" s="161"/>
      <c r="BZ744" s="161"/>
      <c r="CA744" s="161"/>
      <c r="CB744" s="161"/>
      <c r="CC744" s="161"/>
      <c r="CD744" s="161"/>
      <c r="CE744" s="161"/>
      <c r="CF744" s="161"/>
      <c r="CG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F745" s="161"/>
      <c r="BG745" s="161"/>
      <c r="BH745" s="161"/>
      <c r="BI745" s="161"/>
      <c r="BJ745" s="161"/>
      <c r="BK745" s="161"/>
      <c r="BL745" s="161"/>
      <c r="BM745" s="161"/>
      <c r="BN745" s="161"/>
      <c r="BO745" s="161"/>
      <c r="BP745" s="161"/>
      <c r="BQ745" s="161"/>
      <c r="BR745" s="161"/>
      <c r="BS745" s="161"/>
      <c r="BT745" s="161"/>
      <c r="BU745" s="161"/>
      <c r="BV745" s="161"/>
      <c r="BW745" s="161"/>
      <c r="BX745" s="161"/>
      <c r="BY745" s="161"/>
      <c r="BZ745" s="161"/>
      <c r="CA745" s="161"/>
      <c r="CB745" s="161"/>
      <c r="CC745" s="161"/>
      <c r="CD745" s="161"/>
      <c r="CE745" s="161"/>
      <c r="CF745" s="161"/>
      <c r="CG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161"/>
      <c r="BH746" s="161"/>
      <c r="BI746" s="161"/>
      <c r="BJ746" s="161"/>
      <c r="BK746" s="161"/>
      <c r="BL746" s="161"/>
      <c r="BM746" s="161"/>
      <c r="BN746" s="161"/>
      <c r="BO746" s="161"/>
      <c r="BP746" s="161"/>
      <c r="BQ746" s="161"/>
      <c r="BR746" s="161"/>
      <c r="BS746" s="161"/>
      <c r="BT746" s="161"/>
      <c r="BU746" s="161"/>
      <c r="BV746" s="161"/>
      <c r="BW746" s="161"/>
      <c r="BX746" s="161"/>
      <c r="BY746" s="161"/>
      <c r="BZ746" s="161"/>
      <c r="CA746" s="161"/>
      <c r="CB746" s="161"/>
      <c r="CC746" s="161"/>
      <c r="CD746" s="161"/>
      <c r="CE746" s="161"/>
      <c r="CF746" s="161"/>
      <c r="CG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161"/>
      <c r="BH747" s="161"/>
      <c r="BI747" s="161"/>
      <c r="BJ747" s="161"/>
      <c r="BK747" s="161"/>
      <c r="BL747" s="161"/>
      <c r="BM747" s="161"/>
      <c r="BN747" s="161"/>
      <c r="BO747" s="161"/>
      <c r="BP747" s="161"/>
      <c r="BQ747" s="161"/>
      <c r="BR747" s="161"/>
      <c r="BS747" s="161"/>
      <c r="BT747" s="161"/>
      <c r="BU747" s="161"/>
      <c r="BV747" s="161"/>
      <c r="BW747" s="161"/>
      <c r="BX747" s="161"/>
      <c r="BY747" s="161"/>
      <c r="BZ747" s="161"/>
      <c r="CA747" s="161"/>
      <c r="CB747" s="161"/>
      <c r="CC747" s="161"/>
      <c r="CD747" s="161"/>
      <c r="CE747" s="161"/>
      <c r="CF747" s="161"/>
      <c r="CG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161"/>
      <c r="BH748" s="161"/>
      <c r="BI748" s="161"/>
      <c r="BJ748" s="161"/>
      <c r="BK748" s="161"/>
      <c r="BL748" s="161"/>
      <c r="BM748" s="161"/>
      <c r="BN748" s="161"/>
      <c r="BO748" s="161"/>
      <c r="BP748" s="161"/>
      <c r="BQ748" s="161"/>
      <c r="BR748" s="161"/>
      <c r="BS748" s="161"/>
      <c r="BT748" s="161"/>
      <c r="BU748" s="161"/>
      <c r="BV748" s="161"/>
      <c r="BW748" s="161"/>
      <c r="BX748" s="161"/>
      <c r="BY748" s="161"/>
      <c r="BZ748" s="161"/>
      <c r="CA748" s="161"/>
      <c r="CB748" s="161"/>
      <c r="CC748" s="161"/>
      <c r="CD748" s="161"/>
      <c r="CE748" s="161"/>
      <c r="CF748" s="161"/>
      <c r="CG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161"/>
      <c r="BH749" s="161"/>
      <c r="BI749" s="161"/>
      <c r="BJ749" s="161"/>
      <c r="BK749" s="161"/>
      <c r="BL749" s="161"/>
      <c r="BM749" s="161"/>
      <c r="BN749" s="161"/>
      <c r="BO749" s="161"/>
      <c r="BP749" s="161"/>
      <c r="BQ749" s="161"/>
      <c r="BR749" s="161"/>
      <c r="BS749" s="161"/>
      <c r="BT749" s="161"/>
      <c r="BU749" s="161"/>
      <c r="BV749" s="161"/>
      <c r="BW749" s="161"/>
      <c r="BX749" s="161"/>
      <c r="BY749" s="161"/>
      <c r="BZ749" s="161"/>
      <c r="CA749" s="161"/>
      <c r="CB749" s="161"/>
      <c r="CC749" s="161"/>
      <c r="CD749" s="161"/>
      <c r="CE749" s="161"/>
      <c r="CF749" s="161"/>
      <c r="CG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161"/>
      <c r="BH750" s="161"/>
      <c r="BI750" s="161"/>
      <c r="BJ750" s="161"/>
      <c r="BK750" s="161"/>
      <c r="BL750" s="161"/>
      <c r="BM750" s="161"/>
      <c r="BN750" s="161"/>
      <c r="BO750" s="161"/>
      <c r="BP750" s="161"/>
      <c r="BQ750" s="161"/>
      <c r="BR750" s="161"/>
      <c r="BS750" s="161"/>
      <c r="BT750" s="161"/>
      <c r="BU750" s="161"/>
      <c r="BV750" s="161"/>
      <c r="BW750" s="161"/>
      <c r="BX750" s="161"/>
      <c r="BY750" s="161"/>
      <c r="BZ750" s="161"/>
      <c r="CA750" s="161"/>
      <c r="CB750" s="161"/>
      <c r="CC750" s="161"/>
      <c r="CD750" s="161"/>
      <c r="CE750" s="161"/>
      <c r="CF750" s="161"/>
      <c r="CG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161"/>
      <c r="BH751" s="161"/>
      <c r="BI751" s="161"/>
      <c r="BJ751" s="161"/>
      <c r="BK751" s="161"/>
      <c r="BL751" s="161"/>
      <c r="BM751" s="161"/>
      <c r="BN751" s="161"/>
      <c r="BO751" s="161"/>
      <c r="BP751" s="161"/>
      <c r="BQ751" s="161"/>
      <c r="BR751" s="161"/>
      <c r="BS751" s="161"/>
      <c r="BT751" s="161"/>
      <c r="BU751" s="161"/>
      <c r="BV751" s="161"/>
      <c r="BW751" s="161"/>
      <c r="BX751" s="161"/>
      <c r="BY751" s="161"/>
      <c r="BZ751" s="161"/>
      <c r="CA751" s="161"/>
      <c r="CB751" s="161"/>
      <c r="CC751" s="161"/>
      <c r="CD751" s="161"/>
      <c r="CE751" s="161"/>
      <c r="CF751" s="161"/>
      <c r="CG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/>
      <c r="BG752" s="161"/>
      <c r="BH752" s="161"/>
      <c r="BI752" s="161"/>
      <c r="BJ752" s="161"/>
      <c r="BK752" s="161"/>
      <c r="BL752" s="161"/>
      <c r="BM752" s="161"/>
      <c r="BN752" s="161"/>
      <c r="BO752" s="161"/>
      <c r="BP752" s="161"/>
      <c r="BQ752" s="161"/>
      <c r="BR752" s="161"/>
      <c r="BS752" s="161"/>
      <c r="BT752" s="161"/>
      <c r="BU752" s="161"/>
      <c r="BV752" s="161"/>
      <c r="BW752" s="161"/>
      <c r="BX752" s="161"/>
      <c r="BY752" s="161"/>
      <c r="BZ752" s="161"/>
      <c r="CA752" s="161"/>
      <c r="CB752" s="161"/>
      <c r="CC752" s="161"/>
      <c r="CD752" s="161"/>
      <c r="CE752" s="161"/>
      <c r="CF752" s="161"/>
      <c r="CG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/>
      <c r="BG753" s="161"/>
      <c r="BH753" s="161"/>
      <c r="BI753" s="161"/>
      <c r="BJ753" s="161"/>
      <c r="BK753" s="161"/>
      <c r="BL753" s="161"/>
      <c r="BM753" s="161"/>
      <c r="BN753" s="161"/>
      <c r="BO753" s="161"/>
      <c r="BP753" s="161"/>
      <c r="BQ753" s="161"/>
      <c r="BR753" s="161"/>
      <c r="BS753" s="161"/>
      <c r="BT753" s="161"/>
      <c r="BU753" s="161"/>
      <c r="BV753" s="161"/>
      <c r="BW753" s="161"/>
      <c r="BX753" s="161"/>
      <c r="BY753" s="161"/>
      <c r="BZ753" s="161"/>
      <c r="CA753" s="161"/>
      <c r="CB753" s="161"/>
      <c r="CC753" s="161"/>
      <c r="CD753" s="161"/>
      <c r="CE753" s="161"/>
      <c r="CF753" s="161"/>
      <c r="CG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161"/>
      <c r="BH754" s="161"/>
      <c r="BI754" s="161"/>
      <c r="BJ754" s="161"/>
      <c r="BK754" s="161"/>
      <c r="BL754" s="161"/>
      <c r="BM754" s="161"/>
      <c r="BN754" s="161"/>
      <c r="BO754" s="161"/>
      <c r="BP754" s="161"/>
      <c r="BQ754" s="161"/>
      <c r="BR754" s="161"/>
      <c r="BS754" s="161"/>
      <c r="BT754" s="161"/>
      <c r="BU754" s="161"/>
      <c r="BV754" s="161"/>
      <c r="BW754" s="161"/>
      <c r="BX754" s="161"/>
      <c r="BY754" s="161"/>
      <c r="BZ754" s="161"/>
      <c r="CA754" s="161"/>
      <c r="CB754" s="161"/>
      <c r="CC754" s="161"/>
      <c r="CD754" s="161"/>
      <c r="CE754" s="161"/>
      <c r="CF754" s="161"/>
      <c r="CG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161"/>
      <c r="BH755" s="161"/>
      <c r="BI755" s="161"/>
      <c r="BJ755" s="161"/>
      <c r="BK755" s="161"/>
      <c r="BL755" s="161"/>
      <c r="BM755" s="161"/>
      <c r="BN755" s="161"/>
      <c r="BO755" s="161"/>
      <c r="BP755" s="161"/>
      <c r="BQ755" s="161"/>
      <c r="BR755" s="161"/>
      <c r="BS755" s="161"/>
      <c r="BT755" s="161"/>
      <c r="BU755" s="161"/>
      <c r="BV755" s="161"/>
      <c r="BW755" s="161"/>
      <c r="BX755" s="161"/>
      <c r="BY755" s="161"/>
      <c r="BZ755" s="161"/>
      <c r="CA755" s="161"/>
      <c r="CB755" s="161"/>
      <c r="CC755" s="161"/>
      <c r="CD755" s="161"/>
      <c r="CE755" s="161"/>
      <c r="CF755" s="161"/>
      <c r="CG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161"/>
      <c r="BH756" s="161"/>
      <c r="BI756" s="161"/>
      <c r="BJ756" s="161"/>
      <c r="BK756" s="161"/>
      <c r="BL756" s="161"/>
      <c r="BM756" s="161"/>
      <c r="BN756" s="161"/>
      <c r="BO756" s="161"/>
      <c r="BP756" s="161"/>
      <c r="BQ756" s="161"/>
      <c r="BR756" s="161"/>
      <c r="BS756" s="161"/>
      <c r="BT756" s="161"/>
      <c r="BU756" s="161"/>
      <c r="BV756" s="161"/>
      <c r="BW756" s="161"/>
      <c r="BX756" s="161"/>
      <c r="BY756" s="161"/>
      <c r="BZ756" s="161"/>
      <c r="CA756" s="161"/>
      <c r="CB756" s="161"/>
      <c r="CC756" s="161"/>
      <c r="CD756" s="161"/>
      <c r="CE756" s="161"/>
      <c r="CF756" s="161"/>
      <c r="CG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161"/>
      <c r="BH757" s="161"/>
      <c r="BI757" s="161"/>
      <c r="BJ757" s="161"/>
      <c r="BK757" s="161"/>
      <c r="BL757" s="161"/>
      <c r="BM757" s="161"/>
      <c r="BN757" s="161"/>
      <c r="BO757" s="161"/>
      <c r="BP757" s="161"/>
      <c r="BQ757" s="161"/>
      <c r="BR757" s="161"/>
      <c r="BS757" s="161"/>
      <c r="BT757" s="161"/>
      <c r="BU757" s="161"/>
      <c r="BV757" s="161"/>
      <c r="BW757" s="161"/>
      <c r="BX757" s="161"/>
      <c r="BY757" s="161"/>
      <c r="BZ757" s="161"/>
      <c r="CA757" s="161"/>
      <c r="CB757" s="161"/>
      <c r="CC757" s="161"/>
      <c r="CD757" s="161"/>
      <c r="CE757" s="161"/>
      <c r="CF757" s="161"/>
      <c r="CG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161"/>
      <c r="BH758" s="161"/>
      <c r="BI758" s="161"/>
      <c r="BJ758" s="161"/>
      <c r="BK758" s="161"/>
      <c r="BL758" s="161"/>
      <c r="BM758" s="161"/>
      <c r="BN758" s="161"/>
      <c r="BO758" s="161"/>
      <c r="BP758" s="161"/>
      <c r="BQ758" s="161"/>
      <c r="BR758" s="161"/>
      <c r="BS758" s="161"/>
      <c r="BT758" s="161"/>
      <c r="BU758" s="161"/>
      <c r="BV758" s="161"/>
      <c r="BW758" s="161"/>
      <c r="BX758" s="161"/>
      <c r="BY758" s="161"/>
      <c r="BZ758" s="161"/>
      <c r="CA758" s="161"/>
      <c r="CB758" s="161"/>
      <c r="CC758" s="161"/>
      <c r="CD758" s="161"/>
      <c r="CE758" s="161"/>
      <c r="CF758" s="161"/>
      <c r="CG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F759" s="161"/>
      <c r="BG759" s="161"/>
      <c r="BH759" s="161"/>
      <c r="BI759" s="161"/>
      <c r="BJ759" s="161"/>
      <c r="BK759" s="161"/>
      <c r="BL759" s="161"/>
      <c r="BM759" s="161"/>
      <c r="BN759" s="161"/>
      <c r="BO759" s="161"/>
      <c r="BP759" s="161"/>
      <c r="BQ759" s="161"/>
      <c r="BR759" s="161"/>
      <c r="BS759" s="161"/>
      <c r="BT759" s="161"/>
      <c r="BU759" s="161"/>
      <c r="BV759" s="161"/>
      <c r="BW759" s="161"/>
      <c r="BX759" s="161"/>
      <c r="BY759" s="161"/>
      <c r="BZ759" s="161"/>
      <c r="CA759" s="161"/>
      <c r="CB759" s="161"/>
      <c r="CC759" s="161"/>
      <c r="CD759" s="161"/>
      <c r="CE759" s="161"/>
      <c r="CF759" s="161"/>
      <c r="CG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161"/>
      <c r="BH760" s="161"/>
      <c r="BI760" s="161"/>
      <c r="BJ760" s="161"/>
      <c r="BK760" s="161"/>
      <c r="BL760" s="161"/>
      <c r="BM760" s="161"/>
      <c r="BN760" s="161"/>
      <c r="BO760" s="161"/>
      <c r="BP760" s="161"/>
      <c r="BQ760" s="161"/>
      <c r="BR760" s="161"/>
      <c r="BS760" s="161"/>
      <c r="BT760" s="161"/>
      <c r="BU760" s="161"/>
      <c r="BV760" s="161"/>
      <c r="BW760" s="161"/>
      <c r="BX760" s="161"/>
      <c r="BY760" s="161"/>
      <c r="BZ760" s="161"/>
      <c r="CA760" s="161"/>
      <c r="CB760" s="161"/>
      <c r="CC760" s="161"/>
      <c r="CD760" s="161"/>
      <c r="CE760" s="161"/>
      <c r="CF760" s="161"/>
      <c r="CG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161"/>
      <c r="BH761" s="161"/>
      <c r="BI761" s="161"/>
      <c r="BJ761" s="161"/>
      <c r="BK761" s="161"/>
      <c r="BL761" s="161"/>
      <c r="BM761" s="161"/>
      <c r="BN761" s="161"/>
      <c r="BO761" s="161"/>
      <c r="BP761" s="161"/>
      <c r="BQ761" s="161"/>
      <c r="BR761" s="161"/>
      <c r="BS761" s="161"/>
      <c r="BT761" s="161"/>
      <c r="BU761" s="161"/>
      <c r="BV761" s="161"/>
      <c r="BW761" s="161"/>
      <c r="BX761" s="161"/>
      <c r="BY761" s="161"/>
      <c r="BZ761" s="161"/>
      <c r="CA761" s="161"/>
      <c r="CB761" s="161"/>
      <c r="CC761" s="161"/>
      <c r="CD761" s="161"/>
      <c r="CE761" s="161"/>
      <c r="CF761" s="161"/>
      <c r="CG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161"/>
      <c r="BH762" s="161"/>
      <c r="BI762" s="161"/>
      <c r="BJ762" s="161"/>
      <c r="BK762" s="161"/>
      <c r="BL762" s="161"/>
      <c r="BM762" s="161"/>
      <c r="BN762" s="161"/>
      <c r="BO762" s="161"/>
      <c r="BP762" s="161"/>
      <c r="BQ762" s="161"/>
      <c r="BR762" s="161"/>
      <c r="BS762" s="161"/>
      <c r="BT762" s="161"/>
      <c r="BU762" s="161"/>
      <c r="BV762" s="161"/>
      <c r="BW762" s="161"/>
      <c r="BX762" s="161"/>
      <c r="BY762" s="161"/>
      <c r="BZ762" s="161"/>
      <c r="CA762" s="161"/>
      <c r="CB762" s="161"/>
      <c r="CC762" s="161"/>
      <c r="CD762" s="161"/>
      <c r="CE762" s="161"/>
      <c r="CF762" s="161"/>
      <c r="CG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161"/>
      <c r="BH763" s="161"/>
      <c r="BI763" s="161"/>
      <c r="BJ763" s="161"/>
      <c r="BK763" s="161"/>
      <c r="BL763" s="161"/>
      <c r="BM763" s="161"/>
      <c r="BN763" s="161"/>
      <c r="BO763" s="161"/>
      <c r="BP763" s="161"/>
      <c r="BQ763" s="161"/>
      <c r="BR763" s="161"/>
      <c r="BS763" s="161"/>
      <c r="BT763" s="161"/>
      <c r="BU763" s="161"/>
      <c r="BV763" s="161"/>
      <c r="BW763" s="161"/>
      <c r="BX763" s="161"/>
      <c r="BY763" s="161"/>
      <c r="BZ763" s="161"/>
      <c r="CA763" s="161"/>
      <c r="CB763" s="161"/>
      <c r="CC763" s="161"/>
      <c r="CD763" s="161"/>
      <c r="CE763" s="161"/>
      <c r="CF763" s="161"/>
      <c r="CG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F764" s="161"/>
      <c r="BG764" s="161"/>
      <c r="BH764" s="161"/>
      <c r="BI764" s="161"/>
      <c r="BJ764" s="161"/>
      <c r="BK764" s="161"/>
      <c r="BL764" s="161"/>
      <c r="BM764" s="161"/>
      <c r="BN764" s="161"/>
      <c r="BO764" s="161"/>
      <c r="BP764" s="161"/>
      <c r="BQ764" s="161"/>
      <c r="BR764" s="161"/>
      <c r="BS764" s="161"/>
      <c r="BT764" s="161"/>
      <c r="BU764" s="161"/>
      <c r="BV764" s="161"/>
      <c r="BW764" s="161"/>
      <c r="BX764" s="161"/>
      <c r="BY764" s="161"/>
      <c r="BZ764" s="161"/>
      <c r="CA764" s="161"/>
      <c r="CB764" s="161"/>
      <c r="CC764" s="161"/>
      <c r="CD764" s="161"/>
      <c r="CE764" s="161"/>
      <c r="CF764" s="161"/>
      <c r="CG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161"/>
      <c r="BH765" s="161"/>
      <c r="BI765" s="161"/>
      <c r="BJ765" s="161"/>
      <c r="BK765" s="161"/>
      <c r="BL765" s="161"/>
      <c r="BM765" s="161"/>
      <c r="BN765" s="161"/>
      <c r="BO765" s="161"/>
      <c r="BP765" s="161"/>
      <c r="BQ765" s="161"/>
      <c r="BR765" s="161"/>
      <c r="BS765" s="161"/>
      <c r="BT765" s="161"/>
      <c r="BU765" s="161"/>
      <c r="BV765" s="161"/>
      <c r="BW765" s="161"/>
      <c r="BX765" s="161"/>
      <c r="BY765" s="161"/>
      <c r="BZ765" s="161"/>
      <c r="CA765" s="161"/>
      <c r="CB765" s="161"/>
      <c r="CC765" s="161"/>
      <c r="CD765" s="161"/>
      <c r="CE765" s="161"/>
      <c r="CF765" s="161"/>
      <c r="CG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F766" s="161"/>
      <c r="BG766" s="161"/>
      <c r="BH766" s="161"/>
      <c r="BI766" s="161"/>
      <c r="BJ766" s="161"/>
      <c r="BK766" s="161"/>
      <c r="BL766" s="161"/>
      <c r="BM766" s="161"/>
      <c r="BN766" s="161"/>
      <c r="BO766" s="161"/>
      <c r="BP766" s="161"/>
      <c r="BQ766" s="161"/>
      <c r="BR766" s="161"/>
      <c r="BS766" s="161"/>
      <c r="BT766" s="161"/>
      <c r="BU766" s="161"/>
      <c r="BV766" s="161"/>
      <c r="BW766" s="161"/>
      <c r="BX766" s="161"/>
      <c r="BY766" s="161"/>
      <c r="BZ766" s="161"/>
      <c r="CA766" s="161"/>
      <c r="CB766" s="161"/>
      <c r="CC766" s="161"/>
      <c r="CD766" s="161"/>
      <c r="CE766" s="161"/>
      <c r="CF766" s="161"/>
      <c r="CG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161"/>
      <c r="BH767" s="161"/>
      <c r="BI767" s="161"/>
      <c r="BJ767" s="161"/>
      <c r="BK767" s="161"/>
      <c r="BL767" s="161"/>
      <c r="BM767" s="161"/>
      <c r="BN767" s="161"/>
      <c r="BO767" s="161"/>
      <c r="BP767" s="161"/>
      <c r="BQ767" s="161"/>
      <c r="BR767" s="161"/>
      <c r="BS767" s="161"/>
      <c r="BT767" s="161"/>
      <c r="BU767" s="161"/>
      <c r="BV767" s="161"/>
      <c r="BW767" s="161"/>
      <c r="BX767" s="161"/>
      <c r="BY767" s="161"/>
      <c r="BZ767" s="161"/>
      <c r="CA767" s="161"/>
      <c r="CB767" s="161"/>
      <c r="CC767" s="161"/>
      <c r="CD767" s="161"/>
      <c r="CE767" s="161"/>
      <c r="CF767" s="161"/>
      <c r="CG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161"/>
      <c r="BH768" s="161"/>
      <c r="BI768" s="161"/>
      <c r="BJ768" s="161"/>
      <c r="BK768" s="161"/>
      <c r="BL768" s="161"/>
      <c r="BM768" s="161"/>
      <c r="BN768" s="161"/>
      <c r="BO768" s="161"/>
      <c r="BP768" s="161"/>
      <c r="BQ768" s="161"/>
      <c r="BR768" s="161"/>
      <c r="BS768" s="161"/>
      <c r="BT768" s="161"/>
      <c r="BU768" s="161"/>
      <c r="BV768" s="161"/>
      <c r="BW768" s="161"/>
      <c r="BX768" s="161"/>
      <c r="BY768" s="161"/>
      <c r="BZ768" s="161"/>
      <c r="CA768" s="161"/>
      <c r="CB768" s="161"/>
      <c r="CC768" s="161"/>
      <c r="CD768" s="161"/>
      <c r="CE768" s="161"/>
      <c r="CF768" s="161"/>
      <c r="CG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F769" s="161"/>
      <c r="BG769" s="161"/>
      <c r="BH769" s="161"/>
      <c r="BI769" s="161"/>
      <c r="BJ769" s="161"/>
      <c r="BK769" s="161"/>
      <c r="BL769" s="161"/>
      <c r="BM769" s="161"/>
      <c r="BN769" s="161"/>
      <c r="BO769" s="161"/>
      <c r="BP769" s="161"/>
      <c r="BQ769" s="161"/>
      <c r="BR769" s="161"/>
      <c r="BS769" s="161"/>
      <c r="BT769" s="161"/>
      <c r="BU769" s="161"/>
      <c r="BV769" s="161"/>
      <c r="BW769" s="161"/>
      <c r="BX769" s="161"/>
      <c r="BY769" s="161"/>
      <c r="BZ769" s="161"/>
      <c r="CA769" s="161"/>
      <c r="CB769" s="161"/>
      <c r="CC769" s="161"/>
      <c r="CD769" s="161"/>
      <c r="CE769" s="161"/>
      <c r="CF769" s="161"/>
      <c r="CG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161"/>
      <c r="BH770" s="161"/>
      <c r="BI770" s="161"/>
      <c r="BJ770" s="161"/>
      <c r="BK770" s="161"/>
      <c r="BL770" s="161"/>
      <c r="BM770" s="161"/>
      <c r="BN770" s="161"/>
      <c r="BO770" s="161"/>
      <c r="BP770" s="161"/>
      <c r="BQ770" s="161"/>
      <c r="BR770" s="161"/>
      <c r="BS770" s="161"/>
      <c r="BT770" s="161"/>
      <c r="BU770" s="161"/>
      <c r="BV770" s="161"/>
      <c r="BW770" s="161"/>
      <c r="BX770" s="161"/>
      <c r="BY770" s="161"/>
      <c r="BZ770" s="161"/>
      <c r="CA770" s="161"/>
      <c r="CB770" s="161"/>
      <c r="CC770" s="161"/>
      <c r="CD770" s="161"/>
      <c r="CE770" s="161"/>
      <c r="CF770" s="161"/>
      <c r="CG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161"/>
      <c r="BH771" s="161"/>
      <c r="BI771" s="161"/>
      <c r="BJ771" s="161"/>
      <c r="BK771" s="161"/>
      <c r="BL771" s="161"/>
      <c r="BM771" s="161"/>
      <c r="BN771" s="161"/>
      <c r="BO771" s="161"/>
      <c r="BP771" s="161"/>
      <c r="BQ771" s="161"/>
      <c r="BR771" s="161"/>
      <c r="BS771" s="161"/>
      <c r="BT771" s="161"/>
      <c r="BU771" s="161"/>
      <c r="BV771" s="161"/>
      <c r="BW771" s="161"/>
      <c r="BX771" s="161"/>
      <c r="BY771" s="161"/>
      <c r="BZ771" s="161"/>
      <c r="CA771" s="161"/>
      <c r="CB771" s="161"/>
      <c r="CC771" s="161"/>
      <c r="CD771" s="161"/>
      <c r="CE771" s="161"/>
      <c r="CF771" s="161"/>
      <c r="CG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161"/>
      <c r="BH772" s="161"/>
      <c r="BI772" s="161"/>
      <c r="BJ772" s="161"/>
      <c r="BK772" s="161"/>
      <c r="BL772" s="161"/>
      <c r="BM772" s="161"/>
      <c r="BN772" s="161"/>
      <c r="BO772" s="161"/>
      <c r="BP772" s="161"/>
      <c r="BQ772" s="161"/>
      <c r="BR772" s="161"/>
      <c r="BS772" s="161"/>
      <c r="BT772" s="161"/>
      <c r="BU772" s="161"/>
      <c r="BV772" s="161"/>
      <c r="BW772" s="161"/>
      <c r="BX772" s="161"/>
      <c r="BY772" s="161"/>
      <c r="BZ772" s="161"/>
      <c r="CA772" s="161"/>
      <c r="CB772" s="161"/>
      <c r="CC772" s="161"/>
      <c r="CD772" s="161"/>
      <c r="CE772" s="161"/>
      <c r="CF772" s="161"/>
      <c r="CG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161"/>
      <c r="BH773" s="161"/>
      <c r="BI773" s="161"/>
      <c r="BJ773" s="161"/>
      <c r="BK773" s="161"/>
      <c r="BL773" s="161"/>
      <c r="BM773" s="161"/>
      <c r="BN773" s="161"/>
      <c r="BO773" s="161"/>
      <c r="BP773" s="161"/>
      <c r="BQ773" s="161"/>
      <c r="BR773" s="161"/>
      <c r="BS773" s="161"/>
      <c r="BT773" s="161"/>
      <c r="BU773" s="161"/>
      <c r="BV773" s="161"/>
      <c r="BW773" s="161"/>
      <c r="BX773" s="161"/>
      <c r="BY773" s="161"/>
      <c r="BZ773" s="161"/>
      <c r="CA773" s="161"/>
      <c r="CB773" s="161"/>
      <c r="CC773" s="161"/>
      <c r="CD773" s="161"/>
      <c r="CE773" s="161"/>
      <c r="CF773" s="161"/>
      <c r="CG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161"/>
      <c r="BH774" s="161"/>
      <c r="BI774" s="161"/>
      <c r="BJ774" s="161"/>
      <c r="BK774" s="161"/>
      <c r="BL774" s="161"/>
      <c r="BM774" s="161"/>
      <c r="BN774" s="161"/>
      <c r="BO774" s="161"/>
      <c r="BP774" s="161"/>
      <c r="BQ774" s="161"/>
      <c r="BR774" s="161"/>
      <c r="BS774" s="161"/>
      <c r="BT774" s="161"/>
      <c r="BU774" s="161"/>
      <c r="BV774" s="161"/>
      <c r="BW774" s="161"/>
      <c r="BX774" s="161"/>
      <c r="BY774" s="161"/>
      <c r="BZ774" s="161"/>
      <c r="CA774" s="161"/>
      <c r="CB774" s="161"/>
      <c r="CC774" s="161"/>
      <c r="CD774" s="161"/>
      <c r="CE774" s="161"/>
      <c r="CF774" s="161"/>
      <c r="CG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161"/>
      <c r="BH775" s="161"/>
      <c r="BI775" s="161"/>
      <c r="BJ775" s="161"/>
      <c r="BK775" s="161"/>
      <c r="BL775" s="161"/>
      <c r="BM775" s="161"/>
      <c r="BN775" s="161"/>
      <c r="BO775" s="161"/>
      <c r="BP775" s="161"/>
      <c r="BQ775" s="161"/>
      <c r="BR775" s="161"/>
      <c r="BS775" s="161"/>
      <c r="BT775" s="161"/>
      <c r="BU775" s="161"/>
      <c r="BV775" s="161"/>
      <c r="BW775" s="161"/>
      <c r="BX775" s="161"/>
      <c r="BY775" s="161"/>
      <c r="BZ775" s="161"/>
      <c r="CA775" s="161"/>
      <c r="CB775" s="161"/>
      <c r="CC775" s="161"/>
      <c r="CD775" s="161"/>
      <c r="CE775" s="161"/>
      <c r="CF775" s="161"/>
      <c r="CG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F776" s="161"/>
      <c r="BG776" s="161"/>
      <c r="BH776" s="161"/>
      <c r="BI776" s="161"/>
      <c r="BJ776" s="161"/>
      <c r="BK776" s="161"/>
      <c r="BL776" s="161"/>
      <c r="BM776" s="161"/>
      <c r="BN776" s="161"/>
      <c r="BO776" s="161"/>
      <c r="BP776" s="161"/>
      <c r="BQ776" s="161"/>
      <c r="BR776" s="161"/>
      <c r="BS776" s="161"/>
      <c r="BT776" s="161"/>
      <c r="BU776" s="161"/>
      <c r="BV776" s="161"/>
      <c r="BW776" s="161"/>
      <c r="BX776" s="161"/>
      <c r="BY776" s="161"/>
      <c r="BZ776" s="161"/>
      <c r="CA776" s="161"/>
      <c r="CB776" s="161"/>
      <c r="CC776" s="161"/>
      <c r="CD776" s="161"/>
      <c r="CE776" s="161"/>
      <c r="CF776" s="161"/>
      <c r="CG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161"/>
      <c r="BH777" s="161"/>
      <c r="BI777" s="161"/>
      <c r="BJ777" s="161"/>
      <c r="BK777" s="161"/>
      <c r="BL777" s="161"/>
      <c r="BM777" s="161"/>
      <c r="BN777" s="161"/>
      <c r="BO777" s="161"/>
      <c r="BP777" s="161"/>
      <c r="BQ777" s="161"/>
      <c r="BR777" s="161"/>
      <c r="BS777" s="161"/>
      <c r="BT777" s="161"/>
      <c r="BU777" s="161"/>
      <c r="BV777" s="161"/>
      <c r="BW777" s="161"/>
      <c r="BX777" s="161"/>
      <c r="BY777" s="161"/>
      <c r="BZ777" s="161"/>
      <c r="CA777" s="161"/>
      <c r="CB777" s="161"/>
      <c r="CC777" s="161"/>
      <c r="CD777" s="161"/>
      <c r="CE777" s="161"/>
      <c r="CF777" s="161"/>
      <c r="CG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F778" s="161"/>
      <c r="BG778" s="161"/>
      <c r="BH778" s="161"/>
      <c r="BI778" s="161"/>
      <c r="BJ778" s="161"/>
      <c r="BK778" s="161"/>
      <c r="BL778" s="161"/>
      <c r="BM778" s="161"/>
      <c r="BN778" s="161"/>
      <c r="BO778" s="161"/>
      <c r="BP778" s="161"/>
      <c r="BQ778" s="161"/>
      <c r="BR778" s="161"/>
      <c r="BS778" s="161"/>
      <c r="BT778" s="161"/>
      <c r="BU778" s="161"/>
      <c r="BV778" s="161"/>
      <c r="BW778" s="161"/>
      <c r="BX778" s="161"/>
      <c r="BY778" s="161"/>
      <c r="BZ778" s="161"/>
      <c r="CA778" s="161"/>
      <c r="CB778" s="161"/>
      <c r="CC778" s="161"/>
      <c r="CD778" s="161"/>
      <c r="CE778" s="161"/>
      <c r="CF778" s="161"/>
      <c r="CG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161"/>
      <c r="BH779" s="161"/>
      <c r="BI779" s="161"/>
      <c r="BJ779" s="161"/>
      <c r="BK779" s="161"/>
      <c r="BL779" s="161"/>
      <c r="BM779" s="161"/>
      <c r="BN779" s="161"/>
      <c r="BO779" s="161"/>
      <c r="BP779" s="161"/>
      <c r="BQ779" s="161"/>
      <c r="BR779" s="161"/>
      <c r="BS779" s="161"/>
      <c r="BT779" s="161"/>
      <c r="BU779" s="161"/>
      <c r="BV779" s="161"/>
      <c r="BW779" s="161"/>
      <c r="BX779" s="161"/>
      <c r="BY779" s="161"/>
      <c r="BZ779" s="161"/>
      <c r="CA779" s="161"/>
      <c r="CB779" s="161"/>
      <c r="CC779" s="161"/>
      <c r="CD779" s="161"/>
      <c r="CE779" s="161"/>
      <c r="CF779" s="161"/>
      <c r="CG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161"/>
      <c r="BH780" s="161"/>
      <c r="BI780" s="161"/>
      <c r="BJ780" s="161"/>
      <c r="BK780" s="161"/>
      <c r="BL780" s="161"/>
      <c r="BM780" s="161"/>
      <c r="BN780" s="161"/>
      <c r="BO780" s="161"/>
      <c r="BP780" s="161"/>
      <c r="BQ780" s="161"/>
      <c r="BR780" s="161"/>
      <c r="BS780" s="161"/>
      <c r="BT780" s="161"/>
      <c r="BU780" s="161"/>
      <c r="BV780" s="161"/>
      <c r="BW780" s="161"/>
      <c r="BX780" s="161"/>
      <c r="BY780" s="161"/>
      <c r="BZ780" s="161"/>
      <c r="CA780" s="161"/>
      <c r="CB780" s="161"/>
      <c r="CC780" s="161"/>
      <c r="CD780" s="161"/>
      <c r="CE780" s="161"/>
      <c r="CF780" s="161"/>
      <c r="CG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/>
      <c r="BG781" s="161"/>
      <c r="BH781" s="161"/>
      <c r="BI781" s="161"/>
      <c r="BJ781" s="161"/>
      <c r="BK781" s="161"/>
      <c r="BL781" s="161"/>
      <c r="BM781" s="161"/>
      <c r="BN781" s="161"/>
      <c r="BO781" s="161"/>
      <c r="BP781" s="161"/>
      <c r="BQ781" s="161"/>
      <c r="BR781" s="161"/>
      <c r="BS781" s="161"/>
      <c r="BT781" s="161"/>
      <c r="BU781" s="161"/>
      <c r="BV781" s="161"/>
      <c r="BW781" s="161"/>
      <c r="BX781" s="161"/>
      <c r="BY781" s="161"/>
      <c r="BZ781" s="161"/>
      <c r="CA781" s="161"/>
      <c r="CB781" s="161"/>
      <c r="CC781" s="161"/>
      <c r="CD781" s="161"/>
      <c r="CE781" s="161"/>
      <c r="CF781" s="161"/>
      <c r="CG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F782" s="161"/>
      <c r="BG782" s="161"/>
      <c r="BH782" s="161"/>
      <c r="BI782" s="161"/>
      <c r="BJ782" s="161"/>
      <c r="BK782" s="161"/>
      <c r="BL782" s="161"/>
      <c r="BM782" s="161"/>
      <c r="BN782" s="161"/>
      <c r="BO782" s="161"/>
      <c r="BP782" s="161"/>
      <c r="BQ782" s="161"/>
      <c r="BR782" s="161"/>
      <c r="BS782" s="161"/>
      <c r="BT782" s="161"/>
      <c r="BU782" s="161"/>
      <c r="BV782" s="161"/>
      <c r="BW782" s="161"/>
      <c r="BX782" s="161"/>
      <c r="BY782" s="161"/>
      <c r="BZ782" s="161"/>
      <c r="CA782" s="161"/>
      <c r="CB782" s="161"/>
      <c r="CC782" s="161"/>
      <c r="CD782" s="161"/>
      <c r="CE782" s="161"/>
      <c r="CF782" s="161"/>
      <c r="CG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161"/>
      <c r="BH783" s="161"/>
      <c r="BI783" s="161"/>
      <c r="BJ783" s="161"/>
      <c r="BK783" s="161"/>
      <c r="BL783" s="161"/>
      <c r="BM783" s="161"/>
      <c r="BN783" s="161"/>
      <c r="BO783" s="161"/>
      <c r="BP783" s="161"/>
      <c r="BQ783" s="161"/>
      <c r="BR783" s="161"/>
      <c r="BS783" s="161"/>
      <c r="BT783" s="161"/>
      <c r="BU783" s="161"/>
      <c r="BV783" s="161"/>
      <c r="BW783" s="161"/>
      <c r="BX783" s="161"/>
      <c r="BY783" s="161"/>
      <c r="BZ783" s="161"/>
      <c r="CA783" s="161"/>
      <c r="CB783" s="161"/>
      <c r="CC783" s="161"/>
      <c r="CD783" s="161"/>
      <c r="CE783" s="161"/>
      <c r="CF783" s="161"/>
      <c r="CG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161"/>
      <c r="BH784" s="161"/>
      <c r="BI784" s="161"/>
      <c r="BJ784" s="161"/>
      <c r="BK784" s="161"/>
      <c r="BL784" s="161"/>
      <c r="BM784" s="161"/>
      <c r="BN784" s="161"/>
      <c r="BO784" s="161"/>
      <c r="BP784" s="161"/>
      <c r="BQ784" s="161"/>
      <c r="BR784" s="161"/>
      <c r="BS784" s="161"/>
      <c r="BT784" s="161"/>
      <c r="BU784" s="161"/>
      <c r="BV784" s="161"/>
      <c r="BW784" s="161"/>
      <c r="BX784" s="161"/>
      <c r="BY784" s="161"/>
      <c r="BZ784" s="161"/>
      <c r="CA784" s="161"/>
      <c r="CB784" s="161"/>
      <c r="CC784" s="161"/>
      <c r="CD784" s="161"/>
      <c r="CE784" s="161"/>
      <c r="CF784" s="161"/>
      <c r="CG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1"/>
      <c r="BI785" s="161"/>
      <c r="BJ785" s="161"/>
      <c r="BK785" s="161"/>
      <c r="BL785" s="161"/>
      <c r="BM785" s="161"/>
      <c r="BN785" s="161"/>
      <c r="BO785" s="161"/>
      <c r="BP785" s="161"/>
      <c r="BQ785" s="161"/>
      <c r="BR785" s="161"/>
      <c r="BS785" s="161"/>
      <c r="BT785" s="161"/>
      <c r="BU785" s="161"/>
      <c r="BV785" s="161"/>
      <c r="BW785" s="161"/>
      <c r="BX785" s="161"/>
      <c r="BY785" s="161"/>
      <c r="BZ785" s="161"/>
      <c r="CA785" s="161"/>
      <c r="CB785" s="161"/>
      <c r="CC785" s="161"/>
      <c r="CD785" s="161"/>
      <c r="CE785" s="161"/>
      <c r="CF785" s="161"/>
      <c r="CG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F786" s="161"/>
      <c r="BG786" s="161"/>
      <c r="BH786" s="161"/>
      <c r="BI786" s="161"/>
      <c r="BJ786" s="161"/>
      <c r="BK786" s="161"/>
      <c r="BL786" s="161"/>
      <c r="BM786" s="161"/>
      <c r="BN786" s="161"/>
      <c r="BO786" s="161"/>
      <c r="BP786" s="161"/>
      <c r="BQ786" s="161"/>
      <c r="BR786" s="161"/>
      <c r="BS786" s="161"/>
      <c r="BT786" s="161"/>
      <c r="BU786" s="161"/>
      <c r="BV786" s="161"/>
      <c r="BW786" s="161"/>
      <c r="BX786" s="161"/>
      <c r="BY786" s="161"/>
      <c r="BZ786" s="161"/>
      <c r="CA786" s="161"/>
      <c r="CB786" s="161"/>
      <c r="CC786" s="161"/>
      <c r="CD786" s="161"/>
      <c r="CE786" s="161"/>
      <c r="CF786" s="161"/>
      <c r="CG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161"/>
      <c r="BH787" s="161"/>
      <c r="BI787" s="161"/>
      <c r="BJ787" s="161"/>
      <c r="BK787" s="161"/>
      <c r="BL787" s="161"/>
      <c r="BM787" s="161"/>
      <c r="BN787" s="161"/>
      <c r="BO787" s="161"/>
      <c r="BP787" s="161"/>
      <c r="BQ787" s="161"/>
      <c r="BR787" s="161"/>
      <c r="BS787" s="161"/>
      <c r="BT787" s="161"/>
      <c r="BU787" s="161"/>
      <c r="BV787" s="161"/>
      <c r="BW787" s="161"/>
      <c r="BX787" s="161"/>
      <c r="BY787" s="161"/>
      <c r="BZ787" s="161"/>
      <c r="CA787" s="161"/>
      <c r="CB787" s="161"/>
      <c r="CC787" s="161"/>
      <c r="CD787" s="161"/>
      <c r="CE787" s="161"/>
      <c r="CF787" s="161"/>
      <c r="CG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161"/>
      <c r="BH788" s="161"/>
      <c r="BI788" s="161"/>
      <c r="BJ788" s="161"/>
      <c r="BK788" s="161"/>
      <c r="BL788" s="161"/>
      <c r="BM788" s="161"/>
      <c r="BN788" s="161"/>
      <c r="BO788" s="161"/>
      <c r="BP788" s="161"/>
      <c r="BQ788" s="161"/>
      <c r="BR788" s="161"/>
      <c r="BS788" s="161"/>
      <c r="BT788" s="161"/>
      <c r="BU788" s="161"/>
      <c r="BV788" s="161"/>
      <c r="BW788" s="161"/>
      <c r="BX788" s="161"/>
      <c r="BY788" s="161"/>
      <c r="BZ788" s="161"/>
      <c r="CA788" s="161"/>
      <c r="CB788" s="161"/>
      <c r="CC788" s="161"/>
      <c r="CD788" s="161"/>
      <c r="CE788" s="161"/>
      <c r="CF788" s="161"/>
      <c r="CG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F789" s="161"/>
      <c r="BG789" s="161"/>
      <c r="BH789" s="161"/>
      <c r="BI789" s="161"/>
      <c r="BJ789" s="161"/>
      <c r="BK789" s="161"/>
      <c r="BL789" s="161"/>
      <c r="BM789" s="161"/>
      <c r="BN789" s="161"/>
      <c r="BO789" s="161"/>
      <c r="BP789" s="161"/>
      <c r="BQ789" s="161"/>
      <c r="BR789" s="161"/>
      <c r="BS789" s="161"/>
      <c r="BT789" s="161"/>
      <c r="BU789" s="161"/>
      <c r="BV789" s="161"/>
      <c r="BW789" s="161"/>
      <c r="BX789" s="161"/>
      <c r="BY789" s="161"/>
      <c r="BZ789" s="161"/>
      <c r="CA789" s="161"/>
      <c r="CB789" s="161"/>
      <c r="CC789" s="161"/>
      <c r="CD789" s="161"/>
      <c r="CE789" s="161"/>
      <c r="CF789" s="161"/>
      <c r="CG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F790" s="161"/>
      <c r="BG790" s="161"/>
      <c r="BH790" s="161"/>
      <c r="BI790" s="161"/>
      <c r="BJ790" s="161"/>
      <c r="BK790" s="161"/>
      <c r="BL790" s="161"/>
      <c r="BM790" s="161"/>
      <c r="BN790" s="161"/>
      <c r="BO790" s="161"/>
      <c r="BP790" s="161"/>
      <c r="BQ790" s="161"/>
      <c r="BR790" s="161"/>
      <c r="BS790" s="161"/>
      <c r="BT790" s="161"/>
      <c r="BU790" s="161"/>
      <c r="BV790" s="161"/>
      <c r="BW790" s="161"/>
      <c r="BX790" s="161"/>
      <c r="BY790" s="161"/>
      <c r="BZ790" s="161"/>
      <c r="CA790" s="161"/>
      <c r="CB790" s="161"/>
      <c r="CC790" s="161"/>
      <c r="CD790" s="161"/>
      <c r="CE790" s="161"/>
      <c r="CF790" s="161"/>
      <c r="CG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161"/>
      <c r="BH791" s="161"/>
      <c r="BI791" s="161"/>
      <c r="BJ791" s="161"/>
      <c r="BK791" s="161"/>
      <c r="BL791" s="161"/>
      <c r="BM791" s="161"/>
      <c r="BN791" s="161"/>
      <c r="BO791" s="161"/>
      <c r="BP791" s="161"/>
      <c r="BQ791" s="161"/>
      <c r="BR791" s="161"/>
      <c r="BS791" s="161"/>
      <c r="BT791" s="161"/>
      <c r="BU791" s="161"/>
      <c r="BV791" s="161"/>
      <c r="BW791" s="161"/>
      <c r="BX791" s="161"/>
      <c r="BY791" s="161"/>
      <c r="BZ791" s="161"/>
      <c r="CA791" s="161"/>
      <c r="CB791" s="161"/>
      <c r="CC791" s="161"/>
      <c r="CD791" s="161"/>
      <c r="CE791" s="161"/>
      <c r="CF791" s="161"/>
      <c r="CG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F792" s="161"/>
      <c r="BG792" s="161"/>
      <c r="BH792" s="161"/>
      <c r="BI792" s="161"/>
      <c r="BJ792" s="161"/>
      <c r="BK792" s="161"/>
      <c r="BL792" s="161"/>
      <c r="BM792" s="161"/>
      <c r="BN792" s="161"/>
      <c r="BO792" s="161"/>
      <c r="BP792" s="161"/>
      <c r="BQ792" s="161"/>
      <c r="BR792" s="161"/>
      <c r="BS792" s="161"/>
      <c r="BT792" s="161"/>
      <c r="BU792" s="161"/>
      <c r="BV792" s="161"/>
      <c r="BW792" s="161"/>
      <c r="BX792" s="161"/>
      <c r="BY792" s="161"/>
      <c r="BZ792" s="161"/>
      <c r="CA792" s="161"/>
      <c r="CB792" s="161"/>
      <c r="CC792" s="161"/>
      <c r="CD792" s="161"/>
      <c r="CE792" s="161"/>
      <c r="CF792" s="161"/>
      <c r="CG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161"/>
      <c r="BH793" s="161"/>
      <c r="BI793" s="161"/>
      <c r="BJ793" s="161"/>
      <c r="BK793" s="161"/>
      <c r="BL793" s="161"/>
      <c r="BM793" s="161"/>
      <c r="BN793" s="161"/>
      <c r="BO793" s="161"/>
      <c r="BP793" s="161"/>
      <c r="BQ793" s="161"/>
      <c r="BR793" s="161"/>
      <c r="BS793" s="161"/>
      <c r="BT793" s="161"/>
      <c r="BU793" s="161"/>
      <c r="BV793" s="161"/>
      <c r="BW793" s="161"/>
      <c r="BX793" s="161"/>
      <c r="BY793" s="161"/>
      <c r="BZ793" s="161"/>
      <c r="CA793" s="161"/>
      <c r="CB793" s="161"/>
      <c r="CC793" s="161"/>
      <c r="CD793" s="161"/>
      <c r="CE793" s="161"/>
      <c r="CF793" s="161"/>
      <c r="CG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F794" s="161"/>
      <c r="BG794" s="161"/>
      <c r="BH794" s="161"/>
      <c r="BI794" s="161"/>
      <c r="BJ794" s="161"/>
      <c r="BK794" s="161"/>
      <c r="BL794" s="161"/>
      <c r="BM794" s="161"/>
      <c r="BN794" s="161"/>
      <c r="BO794" s="161"/>
      <c r="BP794" s="161"/>
      <c r="BQ794" s="161"/>
      <c r="BR794" s="161"/>
      <c r="BS794" s="161"/>
      <c r="BT794" s="161"/>
      <c r="BU794" s="161"/>
      <c r="BV794" s="161"/>
      <c r="BW794" s="161"/>
      <c r="BX794" s="161"/>
      <c r="BY794" s="161"/>
      <c r="BZ794" s="161"/>
      <c r="CA794" s="161"/>
      <c r="CB794" s="161"/>
      <c r="CC794" s="161"/>
      <c r="CD794" s="161"/>
      <c r="CE794" s="161"/>
      <c r="CF794" s="161"/>
      <c r="CG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161"/>
      <c r="BH795" s="161"/>
      <c r="BI795" s="161"/>
      <c r="BJ795" s="161"/>
      <c r="BK795" s="161"/>
      <c r="BL795" s="161"/>
      <c r="BM795" s="161"/>
      <c r="BN795" s="161"/>
      <c r="BO795" s="161"/>
      <c r="BP795" s="161"/>
      <c r="BQ795" s="161"/>
      <c r="BR795" s="161"/>
      <c r="BS795" s="161"/>
      <c r="BT795" s="161"/>
      <c r="BU795" s="161"/>
      <c r="BV795" s="161"/>
      <c r="BW795" s="161"/>
      <c r="BX795" s="161"/>
      <c r="BY795" s="161"/>
      <c r="BZ795" s="161"/>
      <c r="CA795" s="161"/>
      <c r="CB795" s="161"/>
      <c r="CC795" s="161"/>
      <c r="CD795" s="161"/>
      <c r="CE795" s="161"/>
      <c r="CF795" s="161"/>
      <c r="CG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F796" s="161"/>
      <c r="BG796" s="161"/>
      <c r="BH796" s="161"/>
      <c r="BI796" s="161"/>
      <c r="BJ796" s="161"/>
      <c r="BK796" s="161"/>
      <c r="BL796" s="161"/>
      <c r="BM796" s="161"/>
      <c r="BN796" s="161"/>
      <c r="BO796" s="161"/>
      <c r="BP796" s="161"/>
      <c r="BQ796" s="161"/>
      <c r="BR796" s="161"/>
      <c r="BS796" s="161"/>
      <c r="BT796" s="161"/>
      <c r="BU796" s="161"/>
      <c r="BV796" s="161"/>
      <c r="BW796" s="161"/>
      <c r="BX796" s="161"/>
      <c r="BY796" s="161"/>
      <c r="BZ796" s="161"/>
      <c r="CA796" s="161"/>
      <c r="CB796" s="161"/>
      <c r="CC796" s="161"/>
      <c r="CD796" s="161"/>
      <c r="CE796" s="161"/>
      <c r="CF796" s="161"/>
      <c r="CG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161"/>
      <c r="BH797" s="161"/>
      <c r="BI797" s="161"/>
      <c r="BJ797" s="161"/>
      <c r="BK797" s="161"/>
      <c r="BL797" s="161"/>
      <c r="BM797" s="161"/>
      <c r="BN797" s="161"/>
      <c r="BO797" s="161"/>
      <c r="BP797" s="161"/>
      <c r="BQ797" s="161"/>
      <c r="BR797" s="161"/>
      <c r="BS797" s="161"/>
      <c r="BT797" s="161"/>
      <c r="BU797" s="161"/>
      <c r="BV797" s="161"/>
      <c r="BW797" s="161"/>
      <c r="BX797" s="161"/>
      <c r="BY797" s="161"/>
      <c r="BZ797" s="161"/>
      <c r="CA797" s="161"/>
      <c r="CB797" s="161"/>
      <c r="CC797" s="161"/>
      <c r="CD797" s="161"/>
      <c r="CE797" s="161"/>
      <c r="CF797" s="161"/>
      <c r="CG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F798" s="161"/>
      <c r="BG798" s="161"/>
      <c r="BH798" s="161"/>
      <c r="BI798" s="161"/>
      <c r="BJ798" s="161"/>
      <c r="BK798" s="161"/>
      <c r="BL798" s="161"/>
      <c r="BM798" s="161"/>
      <c r="BN798" s="161"/>
      <c r="BO798" s="161"/>
      <c r="BP798" s="161"/>
      <c r="BQ798" s="161"/>
      <c r="BR798" s="161"/>
      <c r="BS798" s="161"/>
      <c r="BT798" s="161"/>
      <c r="BU798" s="161"/>
      <c r="BV798" s="161"/>
      <c r="BW798" s="161"/>
      <c r="BX798" s="161"/>
      <c r="BY798" s="161"/>
      <c r="BZ798" s="161"/>
      <c r="CA798" s="161"/>
      <c r="CB798" s="161"/>
      <c r="CC798" s="161"/>
      <c r="CD798" s="161"/>
      <c r="CE798" s="161"/>
      <c r="CF798" s="161"/>
      <c r="CG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/>
      <c r="BG799" s="161"/>
      <c r="BH799" s="161"/>
      <c r="BI799" s="161"/>
      <c r="BJ799" s="161"/>
      <c r="BK799" s="161"/>
      <c r="BL799" s="161"/>
      <c r="BM799" s="161"/>
      <c r="BN799" s="161"/>
      <c r="BO799" s="161"/>
      <c r="BP799" s="161"/>
      <c r="BQ799" s="161"/>
      <c r="BR799" s="161"/>
      <c r="BS799" s="161"/>
      <c r="BT799" s="161"/>
      <c r="BU799" s="161"/>
      <c r="BV799" s="161"/>
      <c r="BW799" s="161"/>
      <c r="BX799" s="161"/>
      <c r="BY799" s="161"/>
      <c r="BZ799" s="161"/>
      <c r="CA799" s="161"/>
      <c r="CB799" s="161"/>
      <c r="CC799" s="161"/>
      <c r="CD799" s="161"/>
      <c r="CE799" s="161"/>
      <c r="CF799" s="161"/>
      <c r="CG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F800" s="161"/>
      <c r="BG800" s="161"/>
      <c r="BH800" s="161"/>
      <c r="BI800" s="161"/>
      <c r="BJ800" s="161"/>
      <c r="BK800" s="161"/>
      <c r="BL800" s="161"/>
      <c r="BM800" s="161"/>
      <c r="BN800" s="161"/>
      <c r="BO800" s="161"/>
      <c r="BP800" s="161"/>
      <c r="BQ800" s="161"/>
      <c r="BR800" s="161"/>
      <c r="BS800" s="161"/>
      <c r="BT800" s="161"/>
      <c r="BU800" s="161"/>
      <c r="BV800" s="161"/>
      <c r="BW800" s="161"/>
      <c r="BX800" s="161"/>
      <c r="BY800" s="161"/>
      <c r="BZ800" s="161"/>
      <c r="CA800" s="161"/>
      <c r="CB800" s="161"/>
      <c r="CC800" s="161"/>
      <c r="CD800" s="161"/>
      <c r="CE800" s="161"/>
      <c r="CF800" s="161"/>
      <c r="CG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/>
      <c r="BG801" s="161"/>
      <c r="BH801" s="161"/>
      <c r="BI801" s="161"/>
      <c r="BJ801" s="161"/>
      <c r="BK801" s="161"/>
      <c r="BL801" s="161"/>
      <c r="BM801" s="161"/>
      <c r="BN801" s="161"/>
      <c r="BO801" s="161"/>
      <c r="BP801" s="161"/>
      <c r="BQ801" s="161"/>
      <c r="BR801" s="161"/>
      <c r="BS801" s="161"/>
      <c r="BT801" s="161"/>
      <c r="BU801" s="161"/>
      <c r="BV801" s="161"/>
      <c r="BW801" s="161"/>
      <c r="BX801" s="161"/>
      <c r="BY801" s="161"/>
      <c r="BZ801" s="161"/>
      <c r="CA801" s="161"/>
      <c r="CB801" s="161"/>
      <c r="CC801" s="161"/>
      <c r="CD801" s="161"/>
      <c r="CE801" s="161"/>
      <c r="CF801" s="161"/>
      <c r="CG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161"/>
      <c r="BH802" s="161"/>
      <c r="BI802" s="161"/>
      <c r="BJ802" s="161"/>
      <c r="BK802" s="161"/>
      <c r="BL802" s="161"/>
      <c r="BM802" s="161"/>
      <c r="BN802" s="161"/>
      <c r="BO802" s="161"/>
      <c r="BP802" s="161"/>
      <c r="BQ802" s="161"/>
      <c r="BR802" s="161"/>
      <c r="BS802" s="161"/>
      <c r="BT802" s="161"/>
      <c r="BU802" s="161"/>
      <c r="BV802" s="161"/>
      <c r="BW802" s="161"/>
      <c r="BX802" s="161"/>
      <c r="BY802" s="161"/>
      <c r="BZ802" s="161"/>
      <c r="CA802" s="161"/>
      <c r="CB802" s="161"/>
      <c r="CC802" s="161"/>
      <c r="CD802" s="161"/>
      <c r="CE802" s="161"/>
      <c r="CF802" s="161"/>
      <c r="CG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/>
      <c r="BG803" s="161"/>
      <c r="BH803" s="161"/>
      <c r="BI803" s="161"/>
      <c r="BJ803" s="161"/>
      <c r="BK803" s="161"/>
      <c r="BL803" s="161"/>
      <c r="BM803" s="161"/>
      <c r="BN803" s="161"/>
      <c r="BO803" s="161"/>
      <c r="BP803" s="161"/>
      <c r="BQ803" s="161"/>
      <c r="BR803" s="161"/>
      <c r="BS803" s="161"/>
      <c r="BT803" s="161"/>
      <c r="BU803" s="161"/>
      <c r="BV803" s="161"/>
      <c r="BW803" s="161"/>
      <c r="BX803" s="161"/>
      <c r="BY803" s="161"/>
      <c r="BZ803" s="161"/>
      <c r="CA803" s="161"/>
      <c r="CB803" s="161"/>
      <c r="CC803" s="161"/>
      <c r="CD803" s="161"/>
      <c r="CE803" s="161"/>
      <c r="CF803" s="161"/>
      <c r="CG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F804" s="161"/>
      <c r="BG804" s="161"/>
      <c r="BH804" s="161"/>
      <c r="BI804" s="161"/>
      <c r="BJ804" s="161"/>
      <c r="BK804" s="161"/>
      <c r="BL804" s="161"/>
      <c r="BM804" s="161"/>
      <c r="BN804" s="161"/>
      <c r="BO804" s="161"/>
      <c r="BP804" s="161"/>
      <c r="BQ804" s="161"/>
      <c r="BR804" s="161"/>
      <c r="BS804" s="161"/>
      <c r="BT804" s="161"/>
      <c r="BU804" s="161"/>
      <c r="BV804" s="161"/>
      <c r="BW804" s="161"/>
      <c r="BX804" s="161"/>
      <c r="BY804" s="161"/>
      <c r="BZ804" s="161"/>
      <c r="CA804" s="161"/>
      <c r="CB804" s="161"/>
      <c r="CC804" s="161"/>
      <c r="CD804" s="161"/>
      <c r="CE804" s="161"/>
      <c r="CF804" s="161"/>
      <c r="CG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F805" s="161"/>
      <c r="BG805" s="161"/>
      <c r="BH805" s="161"/>
      <c r="BI805" s="161"/>
      <c r="BJ805" s="161"/>
      <c r="BK805" s="161"/>
      <c r="BL805" s="161"/>
      <c r="BM805" s="161"/>
      <c r="BN805" s="161"/>
      <c r="BO805" s="161"/>
      <c r="BP805" s="161"/>
      <c r="BQ805" s="161"/>
      <c r="BR805" s="161"/>
      <c r="BS805" s="161"/>
      <c r="BT805" s="161"/>
      <c r="BU805" s="161"/>
      <c r="BV805" s="161"/>
      <c r="BW805" s="161"/>
      <c r="BX805" s="161"/>
      <c r="BY805" s="161"/>
      <c r="BZ805" s="161"/>
      <c r="CA805" s="161"/>
      <c r="CB805" s="161"/>
      <c r="CC805" s="161"/>
      <c r="CD805" s="161"/>
      <c r="CE805" s="161"/>
      <c r="CF805" s="161"/>
      <c r="CG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F806" s="161"/>
      <c r="BG806" s="161"/>
      <c r="BH806" s="161"/>
      <c r="BI806" s="161"/>
      <c r="BJ806" s="161"/>
      <c r="BK806" s="161"/>
      <c r="BL806" s="161"/>
      <c r="BM806" s="161"/>
      <c r="BN806" s="161"/>
      <c r="BO806" s="161"/>
      <c r="BP806" s="161"/>
      <c r="BQ806" s="161"/>
      <c r="BR806" s="161"/>
      <c r="BS806" s="161"/>
      <c r="BT806" s="161"/>
      <c r="BU806" s="161"/>
      <c r="BV806" s="161"/>
      <c r="BW806" s="161"/>
      <c r="BX806" s="161"/>
      <c r="BY806" s="161"/>
      <c r="BZ806" s="161"/>
      <c r="CA806" s="161"/>
      <c r="CB806" s="161"/>
      <c r="CC806" s="161"/>
      <c r="CD806" s="161"/>
      <c r="CE806" s="161"/>
      <c r="CF806" s="161"/>
      <c r="CG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161"/>
      <c r="BH807" s="161"/>
      <c r="BI807" s="161"/>
      <c r="BJ807" s="161"/>
      <c r="BK807" s="161"/>
      <c r="BL807" s="161"/>
      <c r="BM807" s="161"/>
      <c r="BN807" s="161"/>
      <c r="BO807" s="161"/>
      <c r="BP807" s="161"/>
      <c r="BQ807" s="161"/>
      <c r="BR807" s="161"/>
      <c r="BS807" s="161"/>
      <c r="BT807" s="161"/>
      <c r="BU807" s="161"/>
      <c r="BV807" s="161"/>
      <c r="BW807" s="161"/>
      <c r="BX807" s="161"/>
      <c r="BY807" s="161"/>
      <c r="BZ807" s="161"/>
      <c r="CA807" s="161"/>
      <c r="CB807" s="161"/>
      <c r="CC807" s="161"/>
      <c r="CD807" s="161"/>
      <c r="CE807" s="161"/>
      <c r="CF807" s="161"/>
      <c r="CG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161"/>
      <c r="BH808" s="161"/>
      <c r="BI808" s="161"/>
      <c r="BJ808" s="161"/>
      <c r="BK808" s="161"/>
      <c r="BL808" s="161"/>
      <c r="BM808" s="161"/>
      <c r="BN808" s="161"/>
      <c r="BO808" s="161"/>
      <c r="BP808" s="161"/>
      <c r="BQ808" s="161"/>
      <c r="BR808" s="161"/>
      <c r="BS808" s="161"/>
      <c r="BT808" s="161"/>
      <c r="BU808" s="161"/>
      <c r="BV808" s="161"/>
      <c r="BW808" s="161"/>
      <c r="BX808" s="161"/>
      <c r="BY808" s="161"/>
      <c r="BZ808" s="161"/>
      <c r="CA808" s="161"/>
      <c r="CB808" s="161"/>
      <c r="CC808" s="161"/>
      <c r="CD808" s="161"/>
      <c r="CE808" s="161"/>
      <c r="CF808" s="161"/>
      <c r="CG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161"/>
      <c r="BH809" s="161"/>
      <c r="BI809" s="161"/>
      <c r="BJ809" s="161"/>
      <c r="BK809" s="161"/>
      <c r="BL809" s="161"/>
      <c r="BM809" s="161"/>
      <c r="BN809" s="161"/>
      <c r="BO809" s="161"/>
      <c r="BP809" s="161"/>
      <c r="BQ809" s="161"/>
      <c r="BR809" s="161"/>
      <c r="BS809" s="161"/>
      <c r="BT809" s="161"/>
      <c r="BU809" s="161"/>
      <c r="BV809" s="161"/>
      <c r="BW809" s="161"/>
      <c r="BX809" s="161"/>
      <c r="BY809" s="161"/>
      <c r="BZ809" s="161"/>
      <c r="CA809" s="161"/>
      <c r="CB809" s="161"/>
      <c r="CC809" s="161"/>
      <c r="CD809" s="161"/>
      <c r="CE809" s="161"/>
      <c r="CF809" s="161"/>
      <c r="CG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/>
      <c r="BG810" s="161"/>
      <c r="BH810" s="161"/>
      <c r="BI810" s="161"/>
      <c r="BJ810" s="161"/>
      <c r="BK810" s="161"/>
      <c r="BL810" s="161"/>
      <c r="BM810" s="161"/>
      <c r="BN810" s="161"/>
      <c r="BO810" s="161"/>
      <c r="BP810" s="161"/>
      <c r="BQ810" s="161"/>
      <c r="BR810" s="161"/>
      <c r="BS810" s="161"/>
      <c r="BT810" s="161"/>
      <c r="BU810" s="161"/>
      <c r="BV810" s="161"/>
      <c r="BW810" s="161"/>
      <c r="BX810" s="161"/>
      <c r="BY810" s="161"/>
      <c r="BZ810" s="161"/>
      <c r="CA810" s="161"/>
      <c r="CB810" s="161"/>
      <c r="CC810" s="161"/>
      <c r="CD810" s="161"/>
      <c r="CE810" s="161"/>
      <c r="CF810" s="161"/>
      <c r="CG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/>
      <c r="BG811" s="161"/>
      <c r="BH811" s="161"/>
      <c r="BI811" s="161"/>
      <c r="BJ811" s="161"/>
      <c r="BK811" s="161"/>
      <c r="BL811" s="161"/>
      <c r="BM811" s="161"/>
      <c r="BN811" s="161"/>
      <c r="BO811" s="161"/>
      <c r="BP811" s="161"/>
      <c r="BQ811" s="161"/>
      <c r="BR811" s="161"/>
      <c r="BS811" s="161"/>
      <c r="BT811" s="161"/>
      <c r="BU811" s="161"/>
      <c r="BV811" s="161"/>
      <c r="BW811" s="161"/>
      <c r="BX811" s="161"/>
      <c r="BY811" s="161"/>
      <c r="BZ811" s="161"/>
      <c r="CA811" s="161"/>
      <c r="CB811" s="161"/>
      <c r="CC811" s="161"/>
      <c r="CD811" s="161"/>
      <c r="CE811" s="161"/>
      <c r="CF811" s="161"/>
      <c r="CG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F812" s="161"/>
      <c r="BG812" s="161"/>
      <c r="BH812" s="161"/>
      <c r="BI812" s="161"/>
      <c r="BJ812" s="161"/>
      <c r="BK812" s="161"/>
      <c r="BL812" s="161"/>
      <c r="BM812" s="161"/>
      <c r="BN812" s="161"/>
      <c r="BO812" s="161"/>
      <c r="BP812" s="161"/>
      <c r="BQ812" s="161"/>
      <c r="BR812" s="161"/>
      <c r="BS812" s="161"/>
      <c r="BT812" s="161"/>
      <c r="BU812" s="161"/>
      <c r="BV812" s="161"/>
      <c r="BW812" s="161"/>
      <c r="BX812" s="161"/>
      <c r="BY812" s="161"/>
      <c r="BZ812" s="161"/>
      <c r="CA812" s="161"/>
      <c r="CB812" s="161"/>
      <c r="CC812" s="161"/>
      <c r="CD812" s="161"/>
      <c r="CE812" s="161"/>
      <c r="CF812" s="161"/>
      <c r="CG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161"/>
      <c r="BH813" s="161"/>
      <c r="BI813" s="161"/>
      <c r="BJ813" s="161"/>
      <c r="BK813" s="161"/>
      <c r="BL813" s="161"/>
      <c r="BM813" s="161"/>
      <c r="BN813" s="161"/>
      <c r="BO813" s="161"/>
      <c r="BP813" s="161"/>
      <c r="BQ813" s="161"/>
      <c r="BR813" s="161"/>
      <c r="BS813" s="161"/>
      <c r="BT813" s="161"/>
      <c r="BU813" s="161"/>
      <c r="BV813" s="161"/>
      <c r="BW813" s="161"/>
      <c r="BX813" s="161"/>
      <c r="BY813" s="161"/>
      <c r="BZ813" s="161"/>
      <c r="CA813" s="161"/>
      <c r="CB813" s="161"/>
      <c r="CC813" s="161"/>
      <c r="CD813" s="161"/>
      <c r="CE813" s="161"/>
      <c r="CF813" s="161"/>
      <c r="CG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161"/>
      <c r="BH814" s="161"/>
      <c r="BI814" s="161"/>
      <c r="BJ814" s="161"/>
      <c r="BK814" s="161"/>
      <c r="BL814" s="161"/>
      <c r="BM814" s="161"/>
      <c r="BN814" s="161"/>
      <c r="BO814" s="161"/>
      <c r="BP814" s="161"/>
      <c r="BQ814" s="161"/>
      <c r="BR814" s="161"/>
      <c r="BS814" s="161"/>
      <c r="BT814" s="161"/>
      <c r="BU814" s="161"/>
      <c r="BV814" s="161"/>
      <c r="BW814" s="161"/>
      <c r="BX814" s="161"/>
      <c r="BY814" s="161"/>
      <c r="BZ814" s="161"/>
      <c r="CA814" s="161"/>
      <c r="CB814" s="161"/>
      <c r="CC814" s="161"/>
      <c r="CD814" s="161"/>
      <c r="CE814" s="161"/>
      <c r="CF814" s="161"/>
      <c r="CG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F815" s="161"/>
      <c r="BG815" s="161"/>
      <c r="BH815" s="161"/>
      <c r="BI815" s="161"/>
      <c r="BJ815" s="161"/>
      <c r="BK815" s="161"/>
      <c r="BL815" s="161"/>
      <c r="BM815" s="161"/>
      <c r="BN815" s="161"/>
      <c r="BO815" s="161"/>
      <c r="BP815" s="161"/>
      <c r="BQ815" s="161"/>
      <c r="BR815" s="161"/>
      <c r="BS815" s="161"/>
      <c r="BT815" s="161"/>
      <c r="BU815" s="161"/>
      <c r="BV815" s="161"/>
      <c r="BW815" s="161"/>
      <c r="BX815" s="161"/>
      <c r="BY815" s="161"/>
      <c r="BZ815" s="161"/>
      <c r="CA815" s="161"/>
      <c r="CB815" s="161"/>
      <c r="CC815" s="161"/>
      <c r="CD815" s="161"/>
      <c r="CE815" s="161"/>
      <c r="CF815" s="161"/>
      <c r="CG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161"/>
      <c r="BH816" s="161"/>
      <c r="BI816" s="161"/>
      <c r="BJ816" s="161"/>
      <c r="BK816" s="161"/>
      <c r="BL816" s="161"/>
      <c r="BM816" s="161"/>
      <c r="BN816" s="161"/>
      <c r="BO816" s="161"/>
      <c r="BP816" s="161"/>
      <c r="BQ816" s="161"/>
      <c r="BR816" s="161"/>
      <c r="BS816" s="161"/>
      <c r="BT816" s="161"/>
      <c r="BU816" s="161"/>
      <c r="BV816" s="161"/>
      <c r="BW816" s="161"/>
      <c r="BX816" s="161"/>
      <c r="BY816" s="161"/>
      <c r="BZ816" s="161"/>
      <c r="CA816" s="161"/>
      <c r="CB816" s="161"/>
      <c r="CC816" s="161"/>
      <c r="CD816" s="161"/>
      <c r="CE816" s="161"/>
      <c r="CF816" s="161"/>
      <c r="CG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F817" s="161"/>
      <c r="BG817" s="161"/>
      <c r="BH817" s="161"/>
      <c r="BI817" s="161"/>
      <c r="BJ817" s="161"/>
      <c r="BK817" s="161"/>
      <c r="BL817" s="161"/>
      <c r="BM817" s="161"/>
      <c r="BN817" s="161"/>
      <c r="BO817" s="161"/>
      <c r="BP817" s="161"/>
      <c r="BQ817" s="161"/>
      <c r="BR817" s="161"/>
      <c r="BS817" s="161"/>
      <c r="BT817" s="161"/>
      <c r="BU817" s="161"/>
      <c r="BV817" s="161"/>
      <c r="BW817" s="161"/>
      <c r="BX817" s="161"/>
      <c r="BY817" s="161"/>
      <c r="BZ817" s="161"/>
      <c r="CA817" s="161"/>
      <c r="CB817" s="161"/>
      <c r="CC817" s="161"/>
      <c r="CD817" s="161"/>
      <c r="CE817" s="161"/>
      <c r="CF817" s="161"/>
      <c r="CG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161"/>
      <c r="BH818" s="161"/>
      <c r="BI818" s="161"/>
      <c r="BJ818" s="161"/>
      <c r="BK818" s="161"/>
      <c r="BL818" s="161"/>
      <c r="BM818" s="161"/>
      <c r="BN818" s="161"/>
      <c r="BO818" s="161"/>
      <c r="BP818" s="161"/>
      <c r="BQ818" s="161"/>
      <c r="BR818" s="161"/>
      <c r="BS818" s="161"/>
      <c r="BT818" s="161"/>
      <c r="BU818" s="161"/>
      <c r="BV818" s="161"/>
      <c r="BW818" s="161"/>
      <c r="BX818" s="161"/>
      <c r="BY818" s="161"/>
      <c r="BZ818" s="161"/>
      <c r="CA818" s="161"/>
      <c r="CB818" s="161"/>
      <c r="CC818" s="161"/>
      <c r="CD818" s="161"/>
      <c r="CE818" s="161"/>
      <c r="CF818" s="161"/>
      <c r="CG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161"/>
      <c r="BH819" s="161"/>
      <c r="BI819" s="161"/>
      <c r="BJ819" s="161"/>
      <c r="BK819" s="161"/>
      <c r="BL819" s="161"/>
      <c r="BM819" s="161"/>
      <c r="BN819" s="161"/>
      <c r="BO819" s="161"/>
      <c r="BP819" s="161"/>
      <c r="BQ819" s="161"/>
      <c r="BR819" s="161"/>
      <c r="BS819" s="161"/>
      <c r="BT819" s="161"/>
      <c r="BU819" s="161"/>
      <c r="BV819" s="161"/>
      <c r="BW819" s="161"/>
      <c r="BX819" s="161"/>
      <c r="BY819" s="161"/>
      <c r="BZ819" s="161"/>
      <c r="CA819" s="161"/>
      <c r="CB819" s="161"/>
      <c r="CC819" s="161"/>
      <c r="CD819" s="161"/>
      <c r="CE819" s="161"/>
      <c r="CF819" s="161"/>
      <c r="CG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161"/>
      <c r="BH820" s="161"/>
      <c r="BI820" s="161"/>
      <c r="BJ820" s="161"/>
      <c r="BK820" s="161"/>
      <c r="BL820" s="161"/>
      <c r="BM820" s="161"/>
      <c r="BN820" s="161"/>
      <c r="BO820" s="161"/>
      <c r="BP820" s="161"/>
      <c r="BQ820" s="161"/>
      <c r="BR820" s="161"/>
      <c r="BS820" s="161"/>
      <c r="BT820" s="161"/>
      <c r="BU820" s="161"/>
      <c r="BV820" s="161"/>
      <c r="BW820" s="161"/>
      <c r="BX820" s="161"/>
      <c r="BY820" s="161"/>
      <c r="BZ820" s="161"/>
      <c r="CA820" s="161"/>
      <c r="CB820" s="161"/>
      <c r="CC820" s="161"/>
      <c r="CD820" s="161"/>
      <c r="CE820" s="161"/>
      <c r="CF820" s="161"/>
      <c r="CG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161"/>
      <c r="BH821" s="161"/>
      <c r="BI821" s="161"/>
      <c r="BJ821" s="161"/>
      <c r="BK821" s="161"/>
      <c r="BL821" s="161"/>
      <c r="BM821" s="161"/>
      <c r="BN821" s="161"/>
      <c r="BO821" s="161"/>
      <c r="BP821" s="161"/>
      <c r="BQ821" s="161"/>
      <c r="BR821" s="161"/>
      <c r="BS821" s="161"/>
      <c r="BT821" s="161"/>
      <c r="BU821" s="161"/>
      <c r="BV821" s="161"/>
      <c r="BW821" s="161"/>
      <c r="BX821" s="161"/>
      <c r="BY821" s="161"/>
      <c r="BZ821" s="161"/>
      <c r="CA821" s="161"/>
      <c r="CB821" s="161"/>
      <c r="CC821" s="161"/>
      <c r="CD821" s="161"/>
      <c r="CE821" s="161"/>
      <c r="CF821" s="161"/>
      <c r="CG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161"/>
      <c r="BH822" s="161"/>
      <c r="BI822" s="161"/>
      <c r="BJ822" s="161"/>
      <c r="BK822" s="161"/>
      <c r="BL822" s="161"/>
      <c r="BM822" s="161"/>
      <c r="BN822" s="161"/>
      <c r="BO822" s="161"/>
      <c r="BP822" s="161"/>
      <c r="BQ822" s="161"/>
      <c r="BR822" s="161"/>
      <c r="BS822" s="161"/>
      <c r="BT822" s="161"/>
      <c r="BU822" s="161"/>
      <c r="BV822" s="161"/>
      <c r="BW822" s="161"/>
      <c r="BX822" s="161"/>
      <c r="BY822" s="161"/>
      <c r="BZ822" s="161"/>
      <c r="CA822" s="161"/>
      <c r="CB822" s="161"/>
      <c r="CC822" s="161"/>
      <c r="CD822" s="161"/>
      <c r="CE822" s="161"/>
      <c r="CF822" s="161"/>
      <c r="CG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161"/>
      <c r="BH823" s="161"/>
      <c r="BI823" s="161"/>
      <c r="BJ823" s="161"/>
      <c r="BK823" s="161"/>
      <c r="BL823" s="161"/>
      <c r="BM823" s="161"/>
      <c r="BN823" s="161"/>
      <c r="BO823" s="161"/>
      <c r="BP823" s="161"/>
      <c r="BQ823" s="161"/>
      <c r="BR823" s="161"/>
      <c r="BS823" s="161"/>
      <c r="BT823" s="161"/>
      <c r="BU823" s="161"/>
      <c r="BV823" s="161"/>
      <c r="BW823" s="161"/>
      <c r="BX823" s="161"/>
      <c r="BY823" s="161"/>
      <c r="BZ823" s="161"/>
      <c r="CA823" s="161"/>
      <c r="CB823" s="161"/>
      <c r="CC823" s="161"/>
      <c r="CD823" s="161"/>
      <c r="CE823" s="161"/>
      <c r="CF823" s="161"/>
      <c r="CG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161"/>
      <c r="BH824" s="161"/>
      <c r="BI824" s="161"/>
      <c r="BJ824" s="161"/>
      <c r="BK824" s="161"/>
      <c r="BL824" s="161"/>
      <c r="BM824" s="161"/>
      <c r="BN824" s="161"/>
      <c r="BO824" s="161"/>
      <c r="BP824" s="161"/>
      <c r="BQ824" s="161"/>
      <c r="BR824" s="161"/>
      <c r="BS824" s="161"/>
      <c r="BT824" s="161"/>
      <c r="BU824" s="161"/>
      <c r="BV824" s="161"/>
      <c r="BW824" s="161"/>
      <c r="BX824" s="161"/>
      <c r="BY824" s="161"/>
      <c r="BZ824" s="161"/>
      <c r="CA824" s="161"/>
      <c r="CB824" s="161"/>
      <c r="CC824" s="161"/>
      <c r="CD824" s="161"/>
      <c r="CE824" s="161"/>
      <c r="CF824" s="161"/>
      <c r="CG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161"/>
      <c r="BH825" s="161"/>
      <c r="BI825" s="161"/>
      <c r="BJ825" s="161"/>
      <c r="BK825" s="161"/>
      <c r="BL825" s="161"/>
      <c r="BM825" s="161"/>
      <c r="BN825" s="161"/>
      <c r="BO825" s="161"/>
      <c r="BP825" s="161"/>
      <c r="BQ825" s="161"/>
      <c r="BR825" s="161"/>
      <c r="BS825" s="161"/>
      <c r="BT825" s="161"/>
      <c r="BU825" s="161"/>
      <c r="BV825" s="161"/>
      <c r="BW825" s="161"/>
      <c r="BX825" s="161"/>
      <c r="BY825" s="161"/>
      <c r="BZ825" s="161"/>
      <c r="CA825" s="161"/>
      <c r="CB825" s="161"/>
      <c r="CC825" s="161"/>
      <c r="CD825" s="161"/>
      <c r="CE825" s="161"/>
      <c r="CF825" s="161"/>
      <c r="CG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161"/>
      <c r="BH826" s="161"/>
      <c r="BI826" s="161"/>
      <c r="BJ826" s="161"/>
      <c r="BK826" s="161"/>
      <c r="BL826" s="161"/>
      <c r="BM826" s="161"/>
      <c r="BN826" s="161"/>
      <c r="BO826" s="161"/>
      <c r="BP826" s="161"/>
      <c r="BQ826" s="161"/>
      <c r="BR826" s="161"/>
      <c r="BS826" s="161"/>
      <c r="BT826" s="161"/>
      <c r="BU826" s="161"/>
      <c r="BV826" s="161"/>
      <c r="BW826" s="161"/>
      <c r="BX826" s="161"/>
      <c r="BY826" s="161"/>
      <c r="BZ826" s="161"/>
      <c r="CA826" s="161"/>
      <c r="CB826" s="161"/>
      <c r="CC826" s="161"/>
      <c r="CD826" s="161"/>
      <c r="CE826" s="161"/>
      <c r="CF826" s="161"/>
      <c r="CG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/>
      <c r="BG827" s="161"/>
      <c r="BH827" s="161"/>
      <c r="BI827" s="161"/>
      <c r="BJ827" s="161"/>
      <c r="BK827" s="161"/>
      <c r="BL827" s="161"/>
      <c r="BM827" s="161"/>
      <c r="BN827" s="161"/>
      <c r="BO827" s="161"/>
      <c r="BP827" s="161"/>
      <c r="BQ827" s="161"/>
      <c r="BR827" s="161"/>
      <c r="BS827" s="161"/>
      <c r="BT827" s="161"/>
      <c r="BU827" s="161"/>
      <c r="BV827" s="161"/>
      <c r="BW827" s="161"/>
      <c r="BX827" s="161"/>
      <c r="BY827" s="161"/>
      <c r="BZ827" s="161"/>
      <c r="CA827" s="161"/>
      <c r="CB827" s="161"/>
      <c r="CC827" s="161"/>
      <c r="CD827" s="161"/>
      <c r="CE827" s="161"/>
      <c r="CF827" s="161"/>
      <c r="CG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/>
      <c r="BG828" s="161"/>
      <c r="BH828" s="161"/>
      <c r="BI828" s="161"/>
      <c r="BJ828" s="161"/>
      <c r="BK828" s="161"/>
      <c r="BL828" s="161"/>
      <c r="BM828" s="161"/>
      <c r="BN828" s="161"/>
      <c r="BO828" s="161"/>
      <c r="BP828" s="161"/>
      <c r="BQ828" s="161"/>
      <c r="BR828" s="161"/>
      <c r="BS828" s="161"/>
      <c r="BT828" s="161"/>
      <c r="BU828" s="161"/>
      <c r="BV828" s="161"/>
      <c r="BW828" s="161"/>
      <c r="BX828" s="161"/>
      <c r="BY828" s="161"/>
      <c r="BZ828" s="161"/>
      <c r="CA828" s="161"/>
      <c r="CB828" s="161"/>
      <c r="CC828" s="161"/>
      <c r="CD828" s="161"/>
      <c r="CE828" s="161"/>
      <c r="CF828" s="161"/>
      <c r="CG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F829" s="161"/>
      <c r="BG829" s="161"/>
      <c r="BH829" s="161"/>
      <c r="BI829" s="161"/>
      <c r="BJ829" s="161"/>
      <c r="BK829" s="161"/>
      <c r="BL829" s="161"/>
      <c r="BM829" s="161"/>
      <c r="BN829" s="161"/>
      <c r="BO829" s="161"/>
      <c r="BP829" s="161"/>
      <c r="BQ829" s="161"/>
      <c r="BR829" s="161"/>
      <c r="BS829" s="161"/>
      <c r="BT829" s="161"/>
      <c r="BU829" s="161"/>
      <c r="BV829" s="161"/>
      <c r="BW829" s="161"/>
      <c r="BX829" s="161"/>
      <c r="BY829" s="161"/>
      <c r="BZ829" s="161"/>
      <c r="CA829" s="161"/>
      <c r="CB829" s="161"/>
      <c r="CC829" s="161"/>
      <c r="CD829" s="161"/>
      <c r="CE829" s="161"/>
      <c r="CF829" s="161"/>
      <c r="CG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161"/>
      <c r="BH830" s="161"/>
      <c r="BI830" s="161"/>
      <c r="BJ830" s="161"/>
      <c r="BK830" s="161"/>
      <c r="BL830" s="161"/>
      <c r="BM830" s="161"/>
      <c r="BN830" s="161"/>
      <c r="BO830" s="161"/>
      <c r="BP830" s="161"/>
      <c r="BQ830" s="161"/>
      <c r="BR830" s="161"/>
      <c r="BS830" s="161"/>
      <c r="BT830" s="161"/>
      <c r="BU830" s="161"/>
      <c r="BV830" s="161"/>
      <c r="BW830" s="161"/>
      <c r="BX830" s="161"/>
      <c r="BY830" s="161"/>
      <c r="BZ830" s="161"/>
      <c r="CA830" s="161"/>
      <c r="CB830" s="161"/>
      <c r="CC830" s="161"/>
      <c r="CD830" s="161"/>
      <c r="CE830" s="161"/>
      <c r="CF830" s="161"/>
      <c r="CG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1"/>
      <c r="BI831" s="161"/>
      <c r="BJ831" s="161"/>
      <c r="BK831" s="161"/>
      <c r="BL831" s="161"/>
      <c r="BM831" s="161"/>
      <c r="BN831" s="161"/>
      <c r="BO831" s="161"/>
      <c r="BP831" s="161"/>
      <c r="BQ831" s="161"/>
      <c r="BR831" s="161"/>
      <c r="BS831" s="161"/>
      <c r="BT831" s="161"/>
      <c r="BU831" s="161"/>
      <c r="BV831" s="161"/>
      <c r="BW831" s="161"/>
      <c r="BX831" s="161"/>
      <c r="BY831" s="161"/>
      <c r="BZ831" s="161"/>
      <c r="CA831" s="161"/>
      <c r="CB831" s="161"/>
      <c r="CC831" s="161"/>
      <c r="CD831" s="161"/>
      <c r="CE831" s="161"/>
      <c r="CF831" s="161"/>
      <c r="CG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161"/>
      <c r="BH832" s="161"/>
      <c r="BI832" s="161"/>
      <c r="BJ832" s="161"/>
      <c r="BK832" s="161"/>
      <c r="BL832" s="161"/>
      <c r="BM832" s="161"/>
      <c r="BN832" s="161"/>
      <c r="BO832" s="161"/>
      <c r="BP832" s="161"/>
      <c r="BQ832" s="161"/>
      <c r="BR832" s="161"/>
      <c r="BS832" s="161"/>
      <c r="BT832" s="161"/>
      <c r="BU832" s="161"/>
      <c r="BV832" s="161"/>
      <c r="BW832" s="161"/>
      <c r="BX832" s="161"/>
      <c r="BY832" s="161"/>
      <c r="BZ832" s="161"/>
      <c r="CA832" s="161"/>
      <c r="CB832" s="161"/>
      <c r="CC832" s="161"/>
      <c r="CD832" s="161"/>
      <c r="CE832" s="161"/>
      <c r="CF832" s="161"/>
      <c r="CG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161"/>
      <c r="BH833" s="161"/>
      <c r="BI833" s="161"/>
      <c r="BJ833" s="161"/>
      <c r="BK833" s="161"/>
      <c r="BL833" s="161"/>
      <c r="BM833" s="161"/>
      <c r="BN833" s="161"/>
      <c r="BO833" s="161"/>
      <c r="BP833" s="161"/>
      <c r="BQ833" s="161"/>
      <c r="BR833" s="161"/>
      <c r="BS833" s="161"/>
      <c r="BT833" s="161"/>
      <c r="BU833" s="161"/>
      <c r="BV833" s="161"/>
      <c r="BW833" s="161"/>
      <c r="BX833" s="161"/>
      <c r="BY833" s="161"/>
      <c r="BZ833" s="161"/>
      <c r="CA833" s="161"/>
      <c r="CB833" s="161"/>
      <c r="CC833" s="161"/>
      <c r="CD833" s="161"/>
      <c r="CE833" s="161"/>
      <c r="CF833" s="161"/>
      <c r="CG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F834" s="161"/>
      <c r="BG834" s="161"/>
      <c r="BH834" s="161"/>
      <c r="BI834" s="161"/>
      <c r="BJ834" s="161"/>
      <c r="BK834" s="161"/>
      <c r="BL834" s="161"/>
      <c r="BM834" s="161"/>
      <c r="BN834" s="161"/>
      <c r="BO834" s="161"/>
      <c r="BP834" s="161"/>
      <c r="BQ834" s="161"/>
      <c r="BR834" s="161"/>
      <c r="BS834" s="161"/>
      <c r="BT834" s="161"/>
      <c r="BU834" s="161"/>
      <c r="BV834" s="161"/>
      <c r="BW834" s="161"/>
      <c r="BX834" s="161"/>
      <c r="BY834" s="161"/>
      <c r="BZ834" s="161"/>
      <c r="CA834" s="161"/>
      <c r="CB834" s="161"/>
      <c r="CC834" s="161"/>
      <c r="CD834" s="161"/>
      <c r="CE834" s="161"/>
      <c r="CF834" s="161"/>
      <c r="CG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161"/>
      <c r="BH835" s="161"/>
      <c r="BI835" s="161"/>
      <c r="BJ835" s="161"/>
      <c r="BK835" s="161"/>
      <c r="BL835" s="161"/>
      <c r="BM835" s="161"/>
      <c r="BN835" s="161"/>
      <c r="BO835" s="161"/>
      <c r="BP835" s="161"/>
      <c r="BQ835" s="161"/>
      <c r="BR835" s="161"/>
      <c r="BS835" s="161"/>
      <c r="BT835" s="161"/>
      <c r="BU835" s="161"/>
      <c r="BV835" s="161"/>
      <c r="BW835" s="161"/>
      <c r="BX835" s="161"/>
      <c r="BY835" s="161"/>
      <c r="BZ835" s="161"/>
      <c r="CA835" s="161"/>
      <c r="CB835" s="161"/>
      <c r="CC835" s="161"/>
      <c r="CD835" s="161"/>
      <c r="CE835" s="161"/>
      <c r="CF835" s="161"/>
      <c r="CG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161"/>
      <c r="BH836" s="161"/>
      <c r="BI836" s="161"/>
      <c r="BJ836" s="161"/>
      <c r="BK836" s="161"/>
      <c r="BL836" s="161"/>
      <c r="BM836" s="161"/>
      <c r="BN836" s="161"/>
      <c r="BO836" s="161"/>
      <c r="BP836" s="161"/>
      <c r="BQ836" s="161"/>
      <c r="BR836" s="161"/>
      <c r="BS836" s="161"/>
      <c r="BT836" s="161"/>
      <c r="BU836" s="161"/>
      <c r="BV836" s="161"/>
      <c r="BW836" s="161"/>
      <c r="BX836" s="161"/>
      <c r="BY836" s="161"/>
      <c r="BZ836" s="161"/>
      <c r="CA836" s="161"/>
      <c r="CB836" s="161"/>
      <c r="CC836" s="161"/>
      <c r="CD836" s="161"/>
      <c r="CE836" s="161"/>
      <c r="CF836" s="161"/>
      <c r="CG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161"/>
      <c r="BH837" s="161"/>
      <c r="BI837" s="161"/>
      <c r="BJ837" s="161"/>
      <c r="BK837" s="161"/>
      <c r="BL837" s="161"/>
      <c r="BM837" s="161"/>
      <c r="BN837" s="161"/>
      <c r="BO837" s="161"/>
      <c r="BP837" s="161"/>
      <c r="BQ837" s="161"/>
      <c r="BR837" s="161"/>
      <c r="BS837" s="161"/>
      <c r="BT837" s="161"/>
      <c r="BU837" s="161"/>
      <c r="BV837" s="161"/>
      <c r="BW837" s="161"/>
      <c r="BX837" s="161"/>
      <c r="BY837" s="161"/>
      <c r="BZ837" s="161"/>
      <c r="CA837" s="161"/>
      <c r="CB837" s="161"/>
      <c r="CC837" s="161"/>
      <c r="CD837" s="161"/>
      <c r="CE837" s="161"/>
      <c r="CF837" s="161"/>
      <c r="CG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161"/>
      <c r="BH838" s="161"/>
      <c r="BI838" s="161"/>
      <c r="BJ838" s="161"/>
      <c r="BK838" s="161"/>
      <c r="BL838" s="161"/>
      <c r="BM838" s="161"/>
      <c r="BN838" s="161"/>
      <c r="BO838" s="161"/>
      <c r="BP838" s="161"/>
      <c r="BQ838" s="161"/>
      <c r="BR838" s="161"/>
      <c r="BS838" s="161"/>
      <c r="BT838" s="161"/>
      <c r="BU838" s="161"/>
      <c r="BV838" s="161"/>
      <c r="BW838" s="161"/>
      <c r="BX838" s="161"/>
      <c r="BY838" s="161"/>
      <c r="BZ838" s="161"/>
      <c r="CA838" s="161"/>
      <c r="CB838" s="161"/>
      <c r="CC838" s="161"/>
      <c r="CD838" s="161"/>
      <c r="CE838" s="161"/>
      <c r="CF838" s="161"/>
      <c r="CG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F839" s="161"/>
      <c r="BG839" s="161"/>
      <c r="BH839" s="161"/>
      <c r="BI839" s="161"/>
      <c r="BJ839" s="161"/>
      <c r="BK839" s="161"/>
      <c r="BL839" s="161"/>
      <c r="BM839" s="161"/>
      <c r="BN839" s="161"/>
      <c r="BO839" s="161"/>
      <c r="BP839" s="161"/>
      <c r="BQ839" s="161"/>
      <c r="BR839" s="161"/>
      <c r="BS839" s="161"/>
      <c r="BT839" s="161"/>
      <c r="BU839" s="161"/>
      <c r="BV839" s="161"/>
      <c r="BW839" s="161"/>
      <c r="BX839" s="161"/>
      <c r="BY839" s="161"/>
      <c r="BZ839" s="161"/>
      <c r="CA839" s="161"/>
      <c r="CB839" s="161"/>
      <c r="CC839" s="161"/>
      <c r="CD839" s="161"/>
      <c r="CE839" s="161"/>
      <c r="CF839" s="161"/>
      <c r="CG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161"/>
      <c r="BH840" s="161"/>
      <c r="BI840" s="161"/>
      <c r="BJ840" s="161"/>
      <c r="BK840" s="161"/>
      <c r="BL840" s="161"/>
      <c r="BM840" s="161"/>
      <c r="BN840" s="161"/>
      <c r="BO840" s="161"/>
      <c r="BP840" s="161"/>
      <c r="BQ840" s="161"/>
      <c r="BR840" s="161"/>
      <c r="BS840" s="161"/>
      <c r="BT840" s="161"/>
      <c r="BU840" s="161"/>
      <c r="BV840" s="161"/>
      <c r="BW840" s="161"/>
      <c r="BX840" s="161"/>
      <c r="BY840" s="161"/>
      <c r="BZ840" s="161"/>
      <c r="CA840" s="161"/>
      <c r="CB840" s="161"/>
      <c r="CC840" s="161"/>
      <c r="CD840" s="161"/>
      <c r="CE840" s="161"/>
      <c r="CF840" s="161"/>
      <c r="CG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161"/>
      <c r="BH841" s="161"/>
      <c r="BI841" s="161"/>
      <c r="BJ841" s="161"/>
      <c r="BK841" s="161"/>
      <c r="BL841" s="161"/>
      <c r="BM841" s="161"/>
      <c r="BN841" s="161"/>
      <c r="BO841" s="161"/>
      <c r="BP841" s="161"/>
      <c r="BQ841" s="161"/>
      <c r="BR841" s="161"/>
      <c r="BS841" s="161"/>
      <c r="BT841" s="161"/>
      <c r="BU841" s="161"/>
      <c r="BV841" s="161"/>
      <c r="BW841" s="161"/>
      <c r="BX841" s="161"/>
      <c r="BY841" s="161"/>
      <c r="BZ841" s="161"/>
      <c r="CA841" s="161"/>
      <c r="CB841" s="161"/>
      <c r="CC841" s="161"/>
      <c r="CD841" s="161"/>
      <c r="CE841" s="161"/>
      <c r="CF841" s="161"/>
      <c r="CG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/>
      <c r="BG842" s="161"/>
      <c r="BH842" s="161"/>
      <c r="BI842" s="161"/>
      <c r="BJ842" s="161"/>
      <c r="BK842" s="161"/>
      <c r="BL842" s="161"/>
      <c r="BM842" s="161"/>
      <c r="BN842" s="161"/>
      <c r="BO842" s="161"/>
      <c r="BP842" s="161"/>
      <c r="BQ842" s="161"/>
      <c r="BR842" s="161"/>
      <c r="BS842" s="161"/>
      <c r="BT842" s="161"/>
      <c r="BU842" s="161"/>
      <c r="BV842" s="161"/>
      <c r="BW842" s="161"/>
      <c r="BX842" s="161"/>
      <c r="BY842" s="161"/>
      <c r="BZ842" s="161"/>
      <c r="CA842" s="161"/>
      <c r="CB842" s="161"/>
      <c r="CC842" s="161"/>
      <c r="CD842" s="161"/>
      <c r="CE842" s="161"/>
      <c r="CF842" s="161"/>
      <c r="CG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161"/>
      <c r="BH843" s="161"/>
      <c r="BI843" s="161"/>
      <c r="BJ843" s="161"/>
      <c r="BK843" s="161"/>
      <c r="BL843" s="161"/>
      <c r="BM843" s="161"/>
      <c r="BN843" s="161"/>
      <c r="BO843" s="161"/>
      <c r="BP843" s="161"/>
      <c r="BQ843" s="161"/>
      <c r="BR843" s="161"/>
      <c r="BS843" s="161"/>
      <c r="BT843" s="161"/>
      <c r="BU843" s="161"/>
      <c r="BV843" s="161"/>
      <c r="BW843" s="161"/>
      <c r="BX843" s="161"/>
      <c r="BY843" s="161"/>
      <c r="BZ843" s="161"/>
      <c r="CA843" s="161"/>
      <c r="CB843" s="161"/>
      <c r="CC843" s="161"/>
      <c r="CD843" s="161"/>
      <c r="CE843" s="161"/>
      <c r="CF843" s="161"/>
      <c r="CG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161"/>
      <c r="BH844" s="161"/>
      <c r="BI844" s="161"/>
      <c r="BJ844" s="161"/>
      <c r="BK844" s="161"/>
      <c r="BL844" s="161"/>
      <c r="BM844" s="161"/>
      <c r="BN844" s="161"/>
      <c r="BO844" s="161"/>
      <c r="BP844" s="161"/>
      <c r="BQ844" s="161"/>
      <c r="BR844" s="161"/>
      <c r="BS844" s="161"/>
      <c r="BT844" s="161"/>
      <c r="BU844" s="161"/>
      <c r="BV844" s="161"/>
      <c r="BW844" s="161"/>
      <c r="BX844" s="161"/>
      <c r="BY844" s="161"/>
      <c r="BZ844" s="161"/>
      <c r="CA844" s="161"/>
      <c r="CB844" s="161"/>
      <c r="CC844" s="161"/>
      <c r="CD844" s="161"/>
      <c r="CE844" s="161"/>
      <c r="CF844" s="161"/>
      <c r="CG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161"/>
      <c r="BH845" s="161"/>
      <c r="BI845" s="161"/>
      <c r="BJ845" s="161"/>
      <c r="BK845" s="161"/>
      <c r="BL845" s="161"/>
      <c r="BM845" s="161"/>
      <c r="BN845" s="161"/>
      <c r="BO845" s="161"/>
      <c r="BP845" s="161"/>
      <c r="BQ845" s="161"/>
      <c r="BR845" s="161"/>
      <c r="BS845" s="161"/>
      <c r="BT845" s="161"/>
      <c r="BU845" s="161"/>
      <c r="BV845" s="161"/>
      <c r="BW845" s="161"/>
      <c r="BX845" s="161"/>
      <c r="BY845" s="161"/>
      <c r="BZ845" s="161"/>
      <c r="CA845" s="161"/>
      <c r="CB845" s="161"/>
      <c r="CC845" s="161"/>
      <c r="CD845" s="161"/>
      <c r="CE845" s="161"/>
      <c r="CF845" s="161"/>
      <c r="CG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161"/>
      <c r="BH846" s="161"/>
      <c r="BI846" s="161"/>
      <c r="BJ846" s="161"/>
      <c r="BK846" s="161"/>
      <c r="BL846" s="161"/>
      <c r="BM846" s="161"/>
      <c r="BN846" s="161"/>
      <c r="BO846" s="161"/>
      <c r="BP846" s="161"/>
      <c r="BQ846" s="161"/>
      <c r="BR846" s="161"/>
      <c r="BS846" s="161"/>
      <c r="BT846" s="161"/>
      <c r="BU846" s="161"/>
      <c r="BV846" s="161"/>
      <c r="BW846" s="161"/>
      <c r="BX846" s="161"/>
      <c r="BY846" s="161"/>
      <c r="BZ846" s="161"/>
      <c r="CA846" s="161"/>
      <c r="CB846" s="161"/>
      <c r="CC846" s="161"/>
      <c r="CD846" s="161"/>
      <c r="CE846" s="161"/>
      <c r="CF846" s="161"/>
      <c r="CG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161"/>
      <c r="BH847" s="161"/>
      <c r="BI847" s="161"/>
      <c r="BJ847" s="161"/>
      <c r="BK847" s="161"/>
      <c r="BL847" s="161"/>
      <c r="BM847" s="161"/>
      <c r="BN847" s="161"/>
      <c r="BO847" s="161"/>
      <c r="BP847" s="161"/>
      <c r="BQ847" s="161"/>
      <c r="BR847" s="161"/>
      <c r="BS847" s="161"/>
      <c r="BT847" s="161"/>
      <c r="BU847" s="161"/>
      <c r="BV847" s="161"/>
      <c r="BW847" s="161"/>
      <c r="BX847" s="161"/>
      <c r="BY847" s="161"/>
      <c r="BZ847" s="161"/>
      <c r="CA847" s="161"/>
      <c r="CB847" s="161"/>
      <c r="CC847" s="161"/>
      <c r="CD847" s="161"/>
      <c r="CE847" s="161"/>
      <c r="CF847" s="161"/>
      <c r="CG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F848" s="161"/>
      <c r="BG848" s="161"/>
      <c r="BH848" s="161"/>
      <c r="BI848" s="161"/>
      <c r="BJ848" s="161"/>
      <c r="BK848" s="161"/>
      <c r="BL848" s="161"/>
      <c r="BM848" s="161"/>
      <c r="BN848" s="161"/>
      <c r="BO848" s="161"/>
      <c r="BP848" s="161"/>
      <c r="BQ848" s="161"/>
      <c r="BR848" s="161"/>
      <c r="BS848" s="161"/>
      <c r="BT848" s="161"/>
      <c r="BU848" s="161"/>
      <c r="BV848" s="161"/>
      <c r="BW848" s="161"/>
      <c r="BX848" s="161"/>
      <c r="BY848" s="161"/>
      <c r="BZ848" s="161"/>
      <c r="CA848" s="161"/>
      <c r="CB848" s="161"/>
      <c r="CC848" s="161"/>
      <c r="CD848" s="161"/>
      <c r="CE848" s="161"/>
      <c r="CF848" s="161"/>
      <c r="CG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161"/>
      <c r="BH849" s="161"/>
      <c r="BI849" s="161"/>
      <c r="BJ849" s="161"/>
      <c r="BK849" s="161"/>
      <c r="BL849" s="161"/>
      <c r="BM849" s="161"/>
      <c r="BN849" s="161"/>
      <c r="BO849" s="161"/>
      <c r="BP849" s="161"/>
      <c r="BQ849" s="161"/>
      <c r="BR849" s="161"/>
      <c r="BS849" s="161"/>
      <c r="BT849" s="161"/>
      <c r="BU849" s="161"/>
      <c r="BV849" s="161"/>
      <c r="BW849" s="161"/>
      <c r="BX849" s="161"/>
      <c r="BY849" s="161"/>
      <c r="BZ849" s="161"/>
      <c r="CA849" s="161"/>
      <c r="CB849" s="161"/>
      <c r="CC849" s="161"/>
      <c r="CD849" s="161"/>
      <c r="CE849" s="161"/>
      <c r="CF849" s="161"/>
      <c r="CG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/>
      <c r="BG850" s="161"/>
      <c r="BH850" s="161"/>
      <c r="BI850" s="161"/>
      <c r="BJ850" s="161"/>
      <c r="BK850" s="161"/>
      <c r="BL850" s="161"/>
      <c r="BM850" s="161"/>
      <c r="BN850" s="161"/>
      <c r="BO850" s="161"/>
      <c r="BP850" s="161"/>
      <c r="BQ850" s="161"/>
      <c r="BR850" s="161"/>
      <c r="BS850" s="161"/>
      <c r="BT850" s="161"/>
      <c r="BU850" s="161"/>
      <c r="BV850" s="161"/>
      <c r="BW850" s="161"/>
      <c r="BX850" s="161"/>
      <c r="BY850" s="161"/>
      <c r="BZ850" s="161"/>
      <c r="CA850" s="161"/>
      <c r="CB850" s="161"/>
      <c r="CC850" s="161"/>
      <c r="CD850" s="161"/>
      <c r="CE850" s="161"/>
      <c r="CF850" s="161"/>
      <c r="CG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161"/>
      <c r="BH851" s="161"/>
      <c r="BI851" s="161"/>
      <c r="BJ851" s="161"/>
      <c r="BK851" s="161"/>
      <c r="BL851" s="161"/>
      <c r="BM851" s="161"/>
      <c r="BN851" s="161"/>
      <c r="BO851" s="161"/>
      <c r="BP851" s="161"/>
      <c r="BQ851" s="161"/>
      <c r="BR851" s="161"/>
      <c r="BS851" s="161"/>
      <c r="BT851" s="161"/>
      <c r="BU851" s="161"/>
      <c r="BV851" s="161"/>
      <c r="BW851" s="161"/>
      <c r="BX851" s="161"/>
      <c r="BY851" s="161"/>
      <c r="BZ851" s="161"/>
      <c r="CA851" s="161"/>
      <c r="CB851" s="161"/>
      <c r="CC851" s="161"/>
      <c r="CD851" s="161"/>
      <c r="CE851" s="161"/>
      <c r="CF851" s="161"/>
      <c r="CG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161"/>
      <c r="BH852" s="161"/>
      <c r="BI852" s="161"/>
      <c r="BJ852" s="161"/>
      <c r="BK852" s="161"/>
      <c r="BL852" s="161"/>
      <c r="BM852" s="161"/>
      <c r="BN852" s="161"/>
      <c r="BO852" s="161"/>
      <c r="BP852" s="161"/>
      <c r="BQ852" s="161"/>
      <c r="BR852" s="161"/>
      <c r="BS852" s="161"/>
      <c r="BT852" s="161"/>
      <c r="BU852" s="161"/>
      <c r="BV852" s="161"/>
      <c r="BW852" s="161"/>
      <c r="BX852" s="161"/>
      <c r="BY852" s="161"/>
      <c r="BZ852" s="161"/>
      <c r="CA852" s="161"/>
      <c r="CB852" s="161"/>
      <c r="CC852" s="161"/>
      <c r="CD852" s="161"/>
      <c r="CE852" s="161"/>
      <c r="CF852" s="161"/>
      <c r="CG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161"/>
      <c r="BH853" s="161"/>
      <c r="BI853" s="161"/>
      <c r="BJ853" s="161"/>
      <c r="BK853" s="161"/>
      <c r="BL853" s="161"/>
      <c r="BM853" s="161"/>
      <c r="BN853" s="161"/>
      <c r="BO853" s="161"/>
      <c r="BP853" s="161"/>
      <c r="BQ853" s="161"/>
      <c r="BR853" s="161"/>
      <c r="BS853" s="161"/>
      <c r="BT853" s="161"/>
      <c r="BU853" s="161"/>
      <c r="BV853" s="161"/>
      <c r="BW853" s="161"/>
      <c r="BX853" s="161"/>
      <c r="BY853" s="161"/>
      <c r="BZ853" s="161"/>
      <c r="CA853" s="161"/>
      <c r="CB853" s="161"/>
      <c r="CC853" s="161"/>
      <c r="CD853" s="161"/>
      <c r="CE853" s="161"/>
      <c r="CF853" s="161"/>
      <c r="CG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161"/>
      <c r="BH854" s="161"/>
      <c r="BI854" s="161"/>
      <c r="BJ854" s="161"/>
      <c r="BK854" s="161"/>
      <c r="BL854" s="161"/>
      <c r="BM854" s="161"/>
      <c r="BN854" s="161"/>
      <c r="BO854" s="161"/>
      <c r="BP854" s="161"/>
      <c r="BQ854" s="161"/>
      <c r="BR854" s="161"/>
      <c r="BS854" s="161"/>
      <c r="BT854" s="161"/>
      <c r="BU854" s="161"/>
      <c r="BV854" s="161"/>
      <c r="BW854" s="161"/>
      <c r="BX854" s="161"/>
      <c r="BY854" s="161"/>
      <c r="BZ854" s="161"/>
      <c r="CA854" s="161"/>
      <c r="CB854" s="161"/>
      <c r="CC854" s="161"/>
      <c r="CD854" s="161"/>
      <c r="CE854" s="161"/>
      <c r="CF854" s="161"/>
      <c r="CG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161"/>
      <c r="BH855" s="161"/>
      <c r="BI855" s="161"/>
      <c r="BJ855" s="161"/>
      <c r="BK855" s="161"/>
      <c r="BL855" s="161"/>
      <c r="BM855" s="161"/>
      <c r="BN855" s="161"/>
      <c r="BO855" s="161"/>
      <c r="BP855" s="161"/>
      <c r="BQ855" s="161"/>
      <c r="BR855" s="161"/>
      <c r="BS855" s="161"/>
      <c r="BT855" s="161"/>
      <c r="BU855" s="161"/>
      <c r="BV855" s="161"/>
      <c r="BW855" s="161"/>
      <c r="BX855" s="161"/>
      <c r="BY855" s="161"/>
      <c r="BZ855" s="161"/>
      <c r="CA855" s="161"/>
      <c r="CB855" s="161"/>
      <c r="CC855" s="161"/>
      <c r="CD855" s="161"/>
      <c r="CE855" s="161"/>
      <c r="CF855" s="161"/>
      <c r="CG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/>
      <c r="BG856" s="161"/>
      <c r="BH856" s="161"/>
      <c r="BI856" s="161"/>
      <c r="BJ856" s="161"/>
      <c r="BK856" s="161"/>
      <c r="BL856" s="161"/>
      <c r="BM856" s="161"/>
      <c r="BN856" s="161"/>
      <c r="BO856" s="161"/>
      <c r="BP856" s="161"/>
      <c r="BQ856" s="161"/>
      <c r="BR856" s="161"/>
      <c r="BS856" s="161"/>
      <c r="BT856" s="161"/>
      <c r="BU856" s="161"/>
      <c r="BV856" s="161"/>
      <c r="BW856" s="161"/>
      <c r="BX856" s="161"/>
      <c r="BY856" s="161"/>
      <c r="BZ856" s="161"/>
      <c r="CA856" s="161"/>
      <c r="CB856" s="161"/>
      <c r="CC856" s="161"/>
      <c r="CD856" s="161"/>
      <c r="CE856" s="161"/>
      <c r="CF856" s="161"/>
      <c r="CG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161"/>
      <c r="BH857" s="161"/>
      <c r="BI857" s="161"/>
      <c r="BJ857" s="161"/>
      <c r="BK857" s="161"/>
      <c r="BL857" s="161"/>
      <c r="BM857" s="161"/>
      <c r="BN857" s="161"/>
      <c r="BO857" s="161"/>
      <c r="BP857" s="161"/>
      <c r="BQ857" s="161"/>
      <c r="BR857" s="161"/>
      <c r="BS857" s="161"/>
      <c r="BT857" s="161"/>
      <c r="BU857" s="161"/>
      <c r="BV857" s="161"/>
      <c r="BW857" s="161"/>
      <c r="BX857" s="161"/>
      <c r="BY857" s="161"/>
      <c r="BZ857" s="161"/>
      <c r="CA857" s="161"/>
      <c r="CB857" s="161"/>
      <c r="CC857" s="161"/>
      <c r="CD857" s="161"/>
      <c r="CE857" s="161"/>
      <c r="CF857" s="161"/>
      <c r="CG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161"/>
      <c r="BH858" s="161"/>
      <c r="BI858" s="161"/>
      <c r="BJ858" s="161"/>
      <c r="BK858" s="161"/>
      <c r="BL858" s="161"/>
      <c r="BM858" s="161"/>
      <c r="BN858" s="161"/>
      <c r="BO858" s="161"/>
      <c r="BP858" s="161"/>
      <c r="BQ858" s="161"/>
      <c r="BR858" s="161"/>
      <c r="BS858" s="161"/>
      <c r="BT858" s="161"/>
      <c r="BU858" s="161"/>
      <c r="BV858" s="161"/>
      <c r="BW858" s="161"/>
      <c r="BX858" s="161"/>
      <c r="BY858" s="161"/>
      <c r="BZ858" s="161"/>
      <c r="CA858" s="161"/>
      <c r="CB858" s="161"/>
      <c r="CC858" s="161"/>
      <c r="CD858" s="161"/>
      <c r="CE858" s="161"/>
      <c r="CF858" s="161"/>
      <c r="CG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161"/>
      <c r="BH859" s="161"/>
      <c r="BI859" s="161"/>
      <c r="BJ859" s="161"/>
      <c r="BK859" s="161"/>
      <c r="BL859" s="161"/>
      <c r="BM859" s="161"/>
      <c r="BN859" s="161"/>
      <c r="BO859" s="161"/>
      <c r="BP859" s="161"/>
      <c r="BQ859" s="161"/>
      <c r="BR859" s="161"/>
      <c r="BS859" s="161"/>
      <c r="BT859" s="161"/>
      <c r="BU859" s="161"/>
      <c r="BV859" s="161"/>
      <c r="BW859" s="161"/>
      <c r="BX859" s="161"/>
      <c r="BY859" s="161"/>
      <c r="BZ859" s="161"/>
      <c r="CA859" s="161"/>
      <c r="CB859" s="161"/>
      <c r="CC859" s="161"/>
      <c r="CD859" s="161"/>
      <c r="CE859" s="161"/>
      <c r="CF859" s="161"/>
      <c r="CG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161"/>
      <c r="BH860" s="161"/>
      <c r="BI860" s="161"/>
      <c r="BJ860" s="161"/>
      <c r="BK860" s="161"/>
      <c r="BL860" s="161"/>
      <c r="BM860" s="161"/>
      <c r="BN860" s="161"/>
      <c r="BO860" s="161"/>
      <c r="BP860" s="161"/>
      <c r="BQ860" s="161"/>
      <c r="BR860" s="161"/>
      <c r="BS860" s="161"/>
      <c r="BT860" s="161"/>
      <c r="BU860" s="161"/>
      <c r="BV860" s="161"/>
      <c r="BW860" s="161"/>
      <c r="BX860" s="161"/>
      <c r="BY860" s="161"/>
      <c r="BZ860" s="161"/>
      <c r="CA860" s="161"/>
      <c r="CB860" s="161"/>
      <c r="CC860" s="161"/>
      <c r="CD860" s="161"/>
      <c r="CE860" s="161"/>
      <c r="CF860" s="161"/>
      <c r="CG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161"/>
      <c r="BH861" s="161"/>
      <c r="BI861" s="161"/>
      <c r="BJ861" s="161"/>
      <c r="BK861" s="161"/>
      <c r="BL861" s="161"/>
      <c r="BM861" s="161"/>
      <c r="BN861" s="161"/>
      <c r="BO861" s="161"/>
      <c r="BP861" s="161"/>
      <c r="BQ861" s="161"/>
      <c r="BR861" s="161"/>
      <c r="BS861" s="161"/>
      <c r="BT861" s="161"/>
      <c r="BU861" s="161"/>
      <c r="BV861" s="161"/>
      <c r="BW861" s="161"/>
      <c r="BX861" s="161"/>
      <c r="BY861" s="161"/>
      <c r="BZ861" s="161"/>
      <c r="CA861" s="161"/>
      <c r="CB861" s="161"/>
      <c r="CC861" s="161"/>
      <c r="CD861" s="161"/>
      <c r="CE861" s="161"/>
      <c r="CF861" s="161"/>
      <c r="CG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161"/>
      <c r="BH862" s="161"/>
      <c r="BI862" s="161"/>
      <c r="BJ862" s="161"/>
      <c r="BK862" s="161"/>
      <c r="BL862" s="161"/>
      <c r="BM862" s="161"/>
      <c r="BN862" s="161"/>
      <c r="BO862" s="161"/>
      <c r="BP862" s="161"/>
      <c r="BQ862" s="161"/>
      <c r="BR862" s="161"/>
      <c r="BS862" s="161"/>
      <c r="BT862" s="161"/>
      <c r="BU862" s="161"/>
      <c r="BV862" s="161"/>
      <c r="BW862" s="161"/>
      <c r="BX862" s="161"/>
      <c r="BY862" s="161"/>
      <c r="BZ862" s="161"/>
      <c r="CA862" s="161"/>
      <c r="CB862" s="161"/>
      <c r="CC862" s="161"/>
      <c r="CD862" s="161"/>
      <c r="CE862" s="161"/>
      <c r="CF862" s="161"/>
      <c r="CG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161"/>
      <c r="BH863" s="161"/>
      <c r="BI863" s="161"/>
      <c r="BJ863" s="161"/>
      <c r="BK863" s="161"/>
      <c r="BL863" s="161"/>
      <c r="BM863" s="161"/>
      <c r="BN863" s="161"/>
      <c r="BO863" s="161"/>
      <c r="BP863" s="161"/>
      <c r="BQ863" s="161"/>
      <c r="BR863" s="161"/>
      <c r="BS863" s="161"/>
      <c r="BT863" s="161"/>
      <c r="BU863" s="161"/>
      <c r="BV863" s="161"/>
      <c r="BW863" s="161"/>
      <c r="BX863" s="161"/>
      <c r="BY863" s="161"/>
      <c r="BZ863" s="161"/>
      <c r="CA863" s="161"/>
      <c r="CB863" s="161"/>
      <c r="CC863" s="161"/>
      <c r="CD863" s="161"/>
      <c r="CE863" s="161"/>
      <c r="CF863" s="161"/>
      <c r="CG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F864" s="161"/>
      <c r="BG864" s="161"/>
      <c r="BH864" s="161"/>
      <c r="BI864" s="161"/>
      <c r="BJ864" s="161"/>
      <c r="BK864" s="161"/>
      <c r="BL864" s="161"/>
      <c r="BM864" s="161"/>
      <c r="BN864" s="161"/>
      <c r="BO864" s="161"/>
      <c r="BP864" s="161"/>
      <c r="BQ864" s="161"/>
      <c r="BR864" s="161"/>
      <c r="BS864" s="161"/>
      <c r="BT864" s="161"/>
      <c r="BU864" s="161"/>
      <c r="BV864" s="161"/>
      <c r="BW864" s="161"/>
      <c r="BX864" s="161"/>
      <c r="BY864" s="161"/>
      <c r="BZ864" s="161"/>
      <c r="CA864" s="161"/>
      <c r="CB864" s="161"/>
      <c r="CC864" s="161"/>
      <c r="CD864" s="161"/>
      <c r="CE864" s="161"/>
      <c r="CF864" s="161"/>
      <c r="CG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161"/>
      <c r="BH865" s="161"/>
      <c r="BI865" s="161"/>
      <c r="BJ865" s="161"/>
      <c r="BK865" s="161"/>
      <c r="BL865" s="161"/>
      <c r="BM865" s="161"/>
      <c r="BN865" s="161"/>
      <c r="BO865" s="161"/>
      <c r="BP865" s="161"/>
      <c r="BQ865" s="161"/>
      <c r="BR865" s="161"/>
      <c r="BS865" s="161"/>
      <c r="BT865" s="161"/>
      <c r="BU865" s="161"/>
      <c r="BV865" s="161"/>
      <c r="BW865" s="161"/>
      <c r="BX865" s="161"/>
      <c r="BY865" s="161"/>
      <c r="BZ865" s="161"/>
      <c r="CA865" s="161"/>
      <c r="CB865" s="161"/>
      <c r="CC865" s="161"/>
      <c r="CD865" s="161"/>
      <c r="CE865" s="161"/>
      <c r="CF865" s="161"/>
      <c r="CG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F866" s="161"/>
      <c r="BG866" s="161"/>
      <c r="BH866" s="161"/>
      <c r="BI866" s="161"/>
      <c r="BJ866" s="161"/>
      <c r="BK866" s="161"/>
      <c r="BL866" s="161"/>
      <c r="BM866" s="161"/>
      <c r="BN866" s="161"/>
      <c r="BO866" s="161"/>
      <c r="BP866" s="161"/>
      <c r="BQ866" s="161"/>
      <c r="BR866" s="161"/>
      <c r="BS866" s="161"/>
      <c r="BT866" s="161"/>
      <c r="BU866" s="161"/>
      <c r="BV866" s="161"/>
      <c r="BW866" s="161"/>
      <c r="BX866" s="161"/>
      <c r="BY866" s="161"/>
      <c r="BZ866" s="161"/>
      <c r="CA866" s="161"/>
      <c r="CB866" s="161"/>
      <c r="CC866" s="161"/>
      <c r="CD866" s="161"/>
      <c r="CE866" s="161"/>
      <c r="CF866" s="161"/>
      <c r="CG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161"/>
      <c r="BH867" s="161"/>
      <c r="BI867" s="161"/>
      <c r="BJ867" s="161"/>
      <c r="BK867" s="161"/>
      <c r="BL867" s="161"/>
      <c r="BM867" s="161"/>
      <c r="BN867" s="161"/>
      <c r="BO867" s="161"/>
      <c r="BP867" s="161"/>
      <c r="BQ867" s="161"/>
      <c r="BR867" s="161"/>
      <c r="BS867" s="161"/>
      <c r="BT867" s="161"/>
      <c r="BU867" s="161"/>
      <c r="BV867" s="161"/>
      <c r="BW867" s="161"/>
      <c r="BX867" s="161"/>
      <c r="BY867" s="161"/>
      <c r="BZ867" s="161"/>
      <c r="CA867" s="161"/>
      <c r="CB867" s="161"/>
      <c r="CC867" s="161"/>
      <c r="CD867" s="161"/>
      <c r="CE867" s="161"/>
      <c r="CF867" s="161"/>
      <c r="CG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F868" s="161"/>
      <c r="BG868" s="161"/>
      <c r="BH868" s="161"/>
      <c r="BI868" s="161"/>
      <c r="BJ868" s="161"/>
      <c r="BK868" s="161"/>
      <c r="BL868" s="161"/>
      <c r="BM868" s="161"/>
      <c r="BN868" s="161"/>
      <c r="BO868" s="161"/>
      <c r="BP868" s="161"/>
      <c r="BQ868" s="161"/>
      <c r="BR868" s="161"/>
      <c r="BS868" s="161"/>
      <c r="BT868" s="161"/>
      <c r="BU868" s="161"/>
      <c r="BV868" s="161"/>
      <c r="BW868" s="161"/>
      <c r="BX868" s="161"/>
      <c r="BY868" s="161"/>
      <c r="BZ868" s="161"/>
      <c r="CA868" s="161"/>
      <c r="CB868" s="161"/>
      <c r="CC868" s="161"/>
      <c r="CD868" s="161"/>
      <c r="CE868" s="161"/>
      <c r="CF868" s="161"/>
      <c r="CG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161"/>
      <c r="BH869" s="161"/>
      <c r="BI869" s="161"/>
      <c r="BJ869" s="161"/>
      <c r="BK869" s="161"/>
      <c r="BL869" s="161"/>
      <c r="BM869" s="161"/>
      <c r="BN869" s="161"/>
      <c r="BO869" s="161"/>
      <c r="BP869" s="161"/>
      <c r="BQ869" s="161"/>
      <c r="BR869" s="161"/>
      <c r="BS869" s="161"/>
      <c r="BT869" s="161"/>
      <c r="BU869" s="161"/>
      <c r="BV869" s="161"/>
      <c r="BW869" s="161"/>
      <c r="BX869" s="161"/>
      <c r="BY869" s="161"/>
      <c r="BZ869" s="161"/>
      <c r="CA869" s="161"/>
      <c r="CB869" s="161"/>
      <c r="CC869" s="161"/>
      <c r="CD869" s="161"/>
      <c r="CE869" s="161"/>
      <c r="CF869" s="161"/>
      <c r="CG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161"/>
      <c r="BH870" s="161"/>
      <c r="BI870" s="161"/>
      <c r="BJ870" s="161"/>
      <c r="BK870" s="161"/>
      <c r="BL870" s="161"/>
      <c r="BM870" s="161"/>
      <c r="BN870" s="161"/>
      <c r="BO870" s="161"/>
      <c r="BP870" s="161"/>
      <c r="BQ870" s="161"/>
      <c r="BR870" s="161"/>
      <c r="BS870" s="161"/>
      <c r="BT870" s="161"/>
      <c r="BU870" s="161"/>
      <c r="BV870" s="161"/>
      <c r="BW870" s="161"/>
      <c r="BX870" s="161"/>
      <c r="BY870" s="161"/>
      <c r="BZ870" s="161"/>
      <c r="CA870" s="161"/>
      <c r="CB870" s="161"/>
      <c r="CC870" s="161"/>
      <c r="CD870" s="161"/>
      <c r="CE870" s="161"/>
      <c r="CF870" s="161"/>
      <c r="CG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161"/>
      <c r="BH871" s="161"/>
      <c r="BI871" s="161"/>
      <c r="BJ871" s="161"/>
      <c r="BK871" s="161"/>
      <c r="BL871" s="161"/>
      <c r="BM871" s="161"/>
      <c r="BN871" s="161"/>
      <c r="BO871" s="161"/>
      <c r="BP871" s="161"/>
      <c r="BQ871" s="161"/>
      <c r="BR871" s="161"/>
      <c r="BS871" s="161"/>
      <c r="BT871" s="161"/>
      <c r="BU871" s="161"/>
      <c r="BV871" s="161"/>
      <c r="BW871" s="161"/>
      <c r="BX871" s="161"/>
      <c r="BY871" s="161"/>
      <c r="BZ871" s="161"/>
      <c r="CA871" s="161"/>
      <c r="CB871" s="161"/>
      <c r="CC871" s="161"/>
      <c r="CD871" s="161"/>
      <c r="CE871" s="161"/>
      <c r="CF871" s="161"/>
      <c r="CG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F872" s="161"/>
      <c r="BG872" s="161"/>
      <c r="BH872" s="161"/>
      <c r="BI872" s="161"/>
      <c r="BJ872" s="161"/>
      <c r="BK872" s="161"/>
      <c r="BL872" s="161"/>
      <c r="BM872" s="161"/>
      <c r="BN872" s="161"/>
      <c r="BO872" s="161"/>
      <c r="BP872" s="161"/>
      <c r="BQ872" s="161"/>
      <c r="BR872" s="161"/>
      <c r="BS872" s="161"/>
      <c r="BT872" s="161"/>
      <c r="BU872" s="161"/>
      <c r="BV872" s="161"/>
      <c r="BW872" s="161"/>
      <c r="BX872" s="161"/>
      <c r="BY872" s="161"/>
      <c r="BZ872" s="161"/>
      <c r="CA872" s="161"/>
      <c r="CB872" s="161"/>
      <c r="CC872" s="161"/>
      <c r="CD872" s="161"/>
      <c r="CE872" s="161"/>
      <c r="CF872" s="161"/>
      <c r="CG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/>
      <c r="BG873" s="161"/>
      <c r="BH873" s="161"/>
      <c r="BI873" s="161"/>
      <c r="BJ873" s="161"/>
      <c r="BK873" s="161"/>
      <c r="BL873" s="161"/>
      <c r="BM873" s="161"/>
      <c r="BN873" s="161"/>
      <c r="BO873" s="161"/>
      <c r="BP873" s="161"/>
      <c r="BQ873" s="161"/>
      <c r="BR873" s="161"/>
      <c r="BS873" s="161"/>
      <c r="BT873" s="161"/>
      <c r="BU873" s="161"/>
      <c r="BV873" s="161"/>
      <c r="BW873" s="161"/>
      <c r="BX873" s="161"/>
      <c r="BY873" s="161"/>
      <c r="BZ873" s="161"/>
      <c r="CA873" s="161"/>
      <c r="CB873" s="161"/>
      <c r="CC873" s="161"/>
      <c r="CD873" s="161"/>
      <c r="CE873" s="161"/>
      <c r="CF873" s="161"/>
      <c r="CG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/>
      <c r="BG874" s="161"/>
      <c r="BH874" s="161"/>
      <c r="BI874" s="161"/>
      <c r="BJ874" s="161"/>
      <c r="BK874" s="161"/>
      <c r="BL874" s="161"/>
      <c r="BM874" s="161"/>
      <c r="BN874" s="161"/>
      <c r="BO874" s="161"/>
      <c r="BP874" s="161"/>
      <c r="BQ874" s="161"/>
      <c r="BR874" s="161"/>
      <c r="BS874" s="161"/>
      <c r="BT874" s="161"/>
      <c r="BU874" s="161"/>
      <c r="BV874" s="161"/>
      <c r="BW874" s="161"/>
      <c r="BX874" s="161"/>
      <c r="BY874" s="161"/>
      <c r="BZ874" s="161"/>
      <c r="CA874" s="161"/>
      <c r="CB874" s="161"/>
      <c r="CC874" s="161"/>
      <c r="CD874" s="161"/>
      <c r="CE874" s="161"/>
      <c r="CF874" s="161"/>
      <c r="CG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/>
      <c r="BG875" s="161"/>
      <c r="BH875" s="161"/>
      <c r="BI875" s="161"/>
      <c r="BJ875" s="161"/>
      <c r="BK875" s="161"/>
      <c r="BL875" s="161"/>
      <c r="BM875" s="161"/>
      <c r="BN875" s="161"/>
      <c r="BO875" s="161"/>
      <c r="BP875" s="161"/>
      <c r="BQ875" s="161"/>
      <c r="BR875" s="161"/>
      <c r="BS875" s="161"/>
      <c r="BT875" s="161"/>
      <c r="BU875" s="161"/>
      <c r="BV875" s="161"/>
      <c r="BW875" s="161"/>
      <c r="BX875" s="161"/>
      <c r="BY875" s="161"/>
      <c r="BZ875" s="161"/>
      <c r="CA875" s="161"/>
      <c r="CB875" s="161"/>
      <c r="CC875" s="161"/>
      <c r="CD875" s="161"/>
      <c r="CE875" s="161"/>
      <c r="CF875" s="161"/>
      <c r="CG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161"/>
      <c r="BH876" s="161"/>
      <c r="BI876" s="161"/>
      <c r="BJ876" s="161"/>
      <c r="BK876" s="161"/>
      <c r="BL876" s="161"/>
      <c r="BM876" s="161"/>
      <c r="BN876" s="161"/>
      <c r="BO876" s="161"/>
      <c r="BP876" s="161"/>
      <c r="BQ876" s="161"/>
      <c r="BR876" s="161"/>
      <c r="BS876" s="161"/>
      <c r="BT876" s="161"/>
      <c r="BU876" s="161"/>
      <c r="BV876" s="161"/>
      <c r="BW876" s="161"/>
      <c r="BX876" s="161"/>
      <c r="BY876" s="161"/>
      <c r="BZ876" s="161"/>
      <c r="CA876" s="161"/>
      <c r="CB876" s="161"/>
      <c r="CC876" s="161"/>
      <c r="CD876" s="161"/>
      <c r="CE876" s="161"/>
      <c r="CF876" s="161"/>
      <c r="CG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1"/>
      <c r="BI877" s="161"/>
      <c r="BJ877" s="161"/>
      <c r="BK877" s="161"/>
      <c r="BL877" s="161"/>
      <c r="BM877" s="161"/>
      <c r="BN877" s="161"/>
      <c r="BO877" s="161"/>
      <c r="BP877" s="161"/>
      <c r="BQ877" s="161"/>
      <c r="BR877" s="161"/>
      <c r="BS877" s="161"/>
      <c r="BT877" s="161"/>
      <c r="BU877" s="161"/>
      <c r="BV877" s="161"/>
      <c r="BW877" s="161"/>
      <c r="BX877" s="161"/>
      <c r="BY877" s="161"/>
      <c r="BZ877" s="161"/>
      <c r="CA877" s="161"/>
      <c r="CB877" s="161"/>
      <c r="CC877" s="161"/>
      <c r="CD877" s="161"/>
      <c r="CE877" s="161"/>
      <c r="CF877" s="161"/>
      <c r="CG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/>
      <c r="BG878" s="161"/>
      <c r="BH878" s="161"/>
      <c r="BI878" s="161"/>
      <c r="BJ878" s="161"/>
      <c r="BK878" s="161"/>
      <c r="BL878" s="161"/>
      <c r="BM878" s="161"/>
      <c r="BN878" s="161"/>
      <c r="BO878" s="161"/>
      <c r="BP878" s="161"/>
      <c r="BQ878" s="161"/>
      <c r="BR878" s="161"/>
      <c r="BS878" s="161"/>
      <c r="BT878" s="161"/>
      <c r="BU878" s="161"/>
      <c r="BV878" s="161"/>
      <c r="BW878" s="161"/>
      <c r="BX878" s="161"/>
      <c r="BY878" s="161"/>
      <c r="BZ878" s="161"/>
      <c r="CA878" s="161"/>
      <c r="CB878" s="161"/>
      <c r="CC878" s="161"/>
      <c r="CD878" s="161"/>
      <c r="CE878" s="161"/>
      <c r="CF878" s="161"/>
      <c r="CG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161"/>
      <c r="BH879" s="161"/>
      <c r="BI879" s="161"/>
      <c r="BJ879" s="161"/>
      <c r="BK879" s="161"/>
      <c r="BL879" s="161"/>
      <c r="BM879" s="161"/>
      <c r="BN879" s="161"/>
      <c r="BO879" s="161"/>
      <c r="BP879" s="161"/>
      <c r="BQ879" s="161"/>
      <c r="BR879" s="161"/>
      <c r="BS879" s="161"/>
      <c r="BT879" s="161"/>
      <c r="BU879" s="161"/>
      <c r="BV879" s="161"/>
      <c r="BW879" s="161"/>
      <c r="BX879" s="161"/>
      <c r="BY879" s="161"/>
      <c r="BZ879" s="161"/>
      <c r="CA879" s="161"/>
      <c r="CB879" s="161"/>
      <c r="CC879" s="161"/>
      <c r="CD879" s="161"/>
      <c r="CE879" s="161"/>
      <c r="CF879" s="161"/>
      <c r="CG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161"/>
      <c r="BH880" s="161"/>
      <c r="BI880" s="161"/>
      <c r="BJ880" s="161"/>
      <c r="BK880" s="161"/>
      <c r="BL880" s="161"/>
      <c r="BM880" s="161"/>
      <c r="BN880" s="161"/>
      <c r="BO880" s="161"/>
      <c r="BP880" s="161"/>
      <c r="BQ880" s="161"/>
      <c r="BR880" s="161"/>
      <c r="BS880" s="161"/>
      <c r="BT880" s="161"/>
      <c r="BU880" s="161"/>
      <c r="BV880" s="161"/>
      <c r="BW880" s="161"/>
      <c r="BX880" s="161"/>
      <c r="BY880" s="161"/>
      <c r="BZ880" s="161"/>
      <c r="CA880" s="161"/>
      <c r="CB880" s="161"/>
      <c r="CC880" s="161"/>
      <c r="CD880" s="161"/>
      <c r="CE880" s="161"/>
      <c r="CF880" s="161"/>
      <c r="CG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F881" s="161"/>
      <c r="BG881" s="161"/>
      <c r="BH881" s="161"/>
      <c r="BI881" s="161"/>
      <c r="BJ881" s="161"/>
      <c r="BK881" s="161"/>
      <c r="BL881" s="161"/>
      <c r="BM881" s="161"/>
      <c r="BN881" s="161"/>
      <c r="BO881" s="161"/>
      <c r="BP881" s="161"/>
      <c r="BQ881" s="161"/>
      <c r="BR881" s="161"/>
      <c r="BS881" s="161"/>
      <c r="BT881" s="161"/>
      <c r="BU881" s="161"/>
      <c r="BV881" s="161"/>
      <c r="BW881" s="161"/>
      <c r="BX881" s="161"/>
      <c r="BY881" s="161"/>
      <c r="BZ881" s="161"/>
      <c r="CA881" s="161"/>
      <c r="CB881" s="161"/>
      <c r="CC881" s="161"/>
      <c r="CD881" s="161"/>
      <c r="CE881" s="161"/>
      <c r="CF881" s="161"/>
      <c r="CG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161"/>
      <c r="BH882" s="161"/>
      <c r="BI882" s="161"/>
      <c r="BJ882" s="161"/>
      <c r="BK882" s="161"/>
      <c r="BL882" s="161"/>
      <c r="BM882" s="161"/>
      <c r="BN882" s="161"/>
      <c r="BO882" s="161"/>
      <c r="BP882" s="161"/>
      <c r="BQ882" s="161"/>
      <c r="BR882" s="161"/>
      <c r="BS882" s="161"/>
      <c r="BT882" s="161"/>
      <c r="BU882" s="161"/>
      <c r="BV882" s="161"/>
      <c r="BW882" s="161"/>
      <c r="BX882" s="161"/>
      <c r="BY882" s="161"/>
      <c r="BZ882" s="161"/>
      <c r="CA882" s="161"/>
      <c r="CB882" s="161"/>
      <c r="CC882" s="161"/>
      <c r="CD882" s="161"/>
      <c r="CE882" s="161"/>
      <c r="CF882" s="161"/>
      <c r="CG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161"/>
      <c r="BH883" s="161"/>
      <c r="BI883" s="161"/>
      <c r="BJ883" s="161"/>
      <c r="BK883" s="161"/>
      <c r="BL883" s="161"/>
      <c r="BM883" s="161"/>
      <c r="BN883" s="161"/>
      <c r="BO883" s="161"/>
      <c r="BP883" s="161"/>
      <c r="BQ883" s="161"/>
      <c r="BR883" s="161"/>
      <c r="BS883" s="161"/>
      <c r="BT883" s="161"/>
      <c r="BU883" s="161"/>
      <c r="BV883" s="161"/>
      <c r="BW883" s="161"/>
      <c r="BX883" s="161"/>
      <c r="BY883" s="161"/>
      <c r="BZ883" s="161"/>
      <c r="CA883" s="161"/>
      <c r="CB883" s="161"/>
      <c r="CC883" s="161"/>
      <c r="CD883" s="161"/>
      <c r="CE883" s="161"/>
      <c r="CF883" s="161"/>
      <c r="CG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161"/>
      <c r="BH884" s="161"/>
      <c r="BI884" s="161"/>
      <c r="BJ884" s="161"/>
      <c r="BK884" s="161"/>
      <c r="BL884" s="161"/>
      <c r="BM884" s="161"/>
      <c r="BN884" s="161"/>
      <c r="BO884" s="161"/>
      <c r="BP884" s="161"/>
      <c r="BQ884" s="161"/>
      <c r="BR884" s="161"/>
      <c r="BS884" s="161"/>
      <c r="BT884" s="161"/>
      <c r="BU884" s="161"/>
      <c r="BV884" s="161"/>
      <c r="BW884" s="161"/>
      <c r="BX884" s="161"/>
      <c r="BY884" s="161"/>
      <c r="BZ884" s="161"/>
      <c r="CA884" s="161"/>
      <c r="CB884" s="161"/>
      <c r="CC884" s="161"/>
      <c r="CD884" s="161"/>
      <c r="CE884" s="161"/>
      <c r="CF884" s="161"/>
      <c r="CG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F885" s="161"/>
      <c r="BG885" s="161"/>
      <c r="BH885" s="161"/>
      <c r="BI885" s="161"/>
      <c r="BJ885" s="161"/>
      <c r="BK885" s="161"/>
      <c r="BL885" s="161"/>
      <c r="BM885" s="161"/>
      <c r="BN885" s="161"/>
      <c r="BO885" s="161"/>
      <c r="BP885" s="161"/>
      <c r="BQ885" s="161"/>
      <c r="BR885" s="161"/>
      <c r="BS885" s="161"/>
      <c r="BT885" s="161"/>
      <c r="BU885" s="161"/>
      <c r="BV885" s="161"/>
      <c r="BW885" s="161"/>
      <c r="BX885" s="161"/>
      <c r="BY885" s="161"/>
      <c r="BZ885" s="161"/>
      <c r="CA885" s="161"/>
      <c r="CB885" s="161"/>
      <c r="CC885" s="161"/>
      <c r="CD885" s="161"/>
      <c r="CE885" s="161"/>
      <c r="CF885" s="161"/>
      <c r="CG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F886" s="161"/>
      <c r="BG886" s="161"/>
      <c r="BH886" s="161"/>
      <c r="BI886" s="161"/>
      <c r="BJ886" s="161"/>
      <c r="BK886" s="161"/>
      <c r="BL886" s="161"/>
      <c r="BM886" s="161"/>
      <c r="BN886" s="161"/>
      <c r="BO886" s="161"/>
      <c r="BP886" s="161"/>
      <c r="BQ886" s="161"/>
      <c r="BR886" s="161"/>
      <c r="BS886" s="161"/>
      <c r="BT886" s="161"/>
      <c r="BU886" s="161"/>
      <c r="BV886" s="161"/>
      <c r="BW886" s="161"/>
      <c r="BX886" s="161"/>
      <c r="BY886" s="161"/>
      <c r="BZ886" s="161"/>
      <c r="CA886" s="161"/>
      <c r="CB886" s="161"/>
      <c r="CC886" s="161"/>
      <c r="CD886" s="161"/>
      <c r="CE886" s="161"/>
      <c r="CF886" s="161"/>
      <c r="CG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161"/>
      <c r="BH887" s="161"/>
      <c r="BI887" s="161"/>
      <c r="BJ887" s="161"/>
      <c r="BK887" s="161"/>
      <c r="BL887" s="161"/>
      <c r="BM887" s="161"/>
      <c r="BN887" s="161"/>
      <c r="BO887" s="161"/>
      <c r="BP887" s="161"/>
      <c r="BQ887" s="161"/>
      <c r="BR887" s="161"/>
      <c r="BS887" s="161"/>
      <c r="BT887" s="161"/>
      <c r="BU887" s="161"/>
      <c r="BV887" s="161"/>
      <c r="BW887" s="161"/>
      <c r="BX887" s="161"/>
      <c r="BY887" s="161"/>
      <c r="BZ887" s="161"/>
      <c r="CA887" s="161"/>
      <c r="CB887" s="161"/>
      <c r="CC887" s="161"/>
      <c r="CD887" s="161"/>
      <c r="CE887" s="161"/>
      <c r="CF887" s="161"/>
      <c r="CG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/>
      <c r="BG888" s="161"/>
      <c r="BH888" s="161"/>
      <c r="BI888" s="161"/>
      <c r="BJ888" s="161"/>
      <c r="BK888" s="161"/>
      <c r="BL888" s="161"/>
      <c r="BM888" s="161"/>
      <c r="BN888" s="161"/>
      <c r="BO888" s="161"/>
      <c r="BP888" s="161"/>
      <c r="BQ888" s="161"/>
      <c r="BR888" s="161"/>
      <c r="BS888" s="161"/>
      <c r="BT888" s="161"/>
      <c r="BU888" s="161"/>
      <c r="BV888" s="161"/>
      <c r="BW888" s="161"/>
      <c r="BX888" s="161"/>
      <c r="BY888" s="161"/>
      <c r="BZ888" s="161"/>
      <c r="CA888" s="161"/>
      <c r="CB888" s="161"/>
      <c r="CC888" s="161"/>
      <c r="CD888" s="161"/>
      <c r="CE888" s="161"/>
      <c r="CF888" s="161"/>
      <c r="CG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F889" s="161"/>
      <c r="BG889" s="161"/>
      <c r="BH889" s="161"/>
      <c r="BI889" s="161"/>
      <c r="BJ889" s="161"/>
      <c r="BK889" s="161"/>
      <c r="BL889" s="161"/>
      <c r="BM889" s="161"/>
      <c r="BN889" s="161"/>
      <c r="BO889" s="161"/>
      <c r="BP889" s="161"/>
      <c r="BQ889" s="161"/>
      <c r="BR889" s="161"/>
      <c r="BS889" s="161"/>
      <c r="BT889" s="161"/>
      <c r="BU889" s="161"/>
      <c r="BV889" s="161"/>
      <c r="BW889" s="161"/>
      <c r="BX889" s="161"/>
      <c r="BY889" s="161"/>
      <c r="BZ889" s="161"/>
      <c r="CA889" s="161"/>
      <c r="CB889" s="161"/>
      <c r="CC889" s="161"/>
      <c r="CD889" s="161"/>
      <c r="CE889" s="161"/>
      <c r="CF889" s="161"/>
      <c r="CG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161"/>
      <c r="BH890" s="161"/>
      <c r="BI890" s="161"/>
      <c r="BJ890" s="161"/>
      <c r="BK890" s="161"/>
      <c r="BL890" s="161"/>
      <c r="BM890" s="161"/>
      <c r="BN890" s="161"/>
      <c r="BO890" s="161"/>
      <c r="BP890" s="161"/>
      <c r="BQ890" s="161"/>
      <c r="BR890" s="161"/>
      <c r="BS890" s="161"/>
      <c r="BT890" s="161"/>
      <c r="BU890" s="161"/>
      <c r="BV890" s="161"/>
      <c r="BW890" s="161"/>
      <c r="BX890" s="161"/>
      <c r="BY890" s="161"/>
      <c r="BZ890" s="161"/>
      <c r="CA890" s="161"/>
      <c r="CB890" s="161"/>
      <c r="CC890" s="161"/>
      <c r="CD890" s="161"/>
      <c r="CE890" s="161"/>
      <c r="CF890" s="161"/>
      <c r="CG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161"/>
      <c r="BH891" s="161"/>
      <c r="BI891" s="161"/>
      <c r="BJ891" s="161"/>
      <c r="BK891" s="161"/>
      <c r="BL891" s="161"/>
      <c r="BM891" s="161"/>
      <c r="BN891" s="161"/>
      <c r="BO891" s="161"/>
      <c r="BP891" s="161"/>
      <c r="BQ891" s="161"/>
      <c r="BR891" s="161"/>
      <c r="BS891" s="161"/>
      <c r="BT891" s="161"/>
      <c r="BU891" s="161"/>
      <c r="BV891" s="161"/>
      <c r="BW891" s="161"/>
      <c r="BX891" s="161"/>
      <c r="BY891" s="161"/>
      <c r="BZ891" s="161"/>
      <c r="CA891" s="161"/>
      <c r="CB891" s="161"/>
      <c r="CC891" s="161"/>
      <c r="CD891" s="161"/>
      <c r="CE891" s="161"/>
      <c r="CF891" s="161"/>
      <c r="CG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161"/>
      <c r="BH892" s="161"/>
      <c r="BI892" s="161"/>
      <c r="BJ892" s="161"/>
      <c r="BK892" s="161"/>
      <c r="BL892" s="161"/>
      <c r="BM892" s="161"/>
      <c r="BN892" s="161"/>
      <c r="BO892" s="161"/>
      <c r="BP892" s="161"/>
      <c r="BQ892" s="161"/>
      <c r="BR892" s="161"/>
      <c r="BS892" s="161"/>
      <c r="BT892" s="161"/>
      <c r="BU892" s="161"/>
      <c r="BV892" s="161"/>
      <c r="BW892" s="161"/>
      <c r="BX892" s="161"/>
      <c r="BY892" s="161"/>
      <c r="BZ892" s="161"/>
      <c r="CA892" s="161"/>
      <c r="CB892" s="161"/>
      <c r="CC892" s="161"/>
      <c r="CD892" s="161"/>
      <c r="CE892" s="161"/>
      <c r="CF892" s="161"/>
      <c r="CG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F893" s="161"/>
      <c r="BG893" s="161"/>
      <c r="BH893" s="161"/>
      <c r="BI893" s="161"/>
      <c r="BJ893" s="161"/>
      <c r="BK893" s="161"/>
      <c r="BL893" s="161"/>
      <c r="BM893" s="161"/>
      <c r="BN893" s="161"/>
      <c r="BO893" s="161"/>
      <c r="BP893" s="161"/>
      <c r="BQ893" s="161"/>
      <c r="BR893" s="161"/>
      <c r="BS893" s="161"/>
      <c r="BT893" s="161"/>
      <c r="BU893" s="161"/>
      <c r="BV893" s="161"/>
      <c r="BW893" s="161"/>
      <c r="BX893" s="161"/>
      <c r="BY893" s="161"/>
      <c r="BZ893" s="161"/>
      <c r="CA893" s="161"/>
      <c r="CB893" s="161"/>
      <c r="CC893" s="161"/>
      <c r="CD893" s="161"/>
      <c r="CE893" s="161"/>
      <c r="CF893" s="161"/>
      <c r="CG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161"/>
      <c r="BH894" s="161"/>
      <c r="BI894" s="161"/>
      <c r="BJ894" s="161"/>
      <c r="BK894" s="161"/>
      <c r="BL894" s="161"/>
      <c r="BM894" s="161"/>
      <c r="BN894" s="161"/>
      <c r="BO894" s="161"/>
      <c r="BP894" s="161"/>
      <c r="BQ894" s="161"/>
      <c r="BR894" s="161"/>
      <c r="BS894" s="161"/>
      <c r="BT894" s="161"/>
      <c r="BU894" s="161"/>
      <c r="BV894" s="161"/>
      <c r="BW894" s="161"/>
      <c r="BX894" s="161"/>
      <c r="BY894" s="161"/>
      <c r="BZ894" s="161"/>
      <c r="CA894" s="161"/>
      <c r="CB894" s="161"/>
      <c r="CC894" s="161"/>
      <c r="CD894" s="161"/>
      <c r="CE894" s="161"/>
      <c r="CF894" s="161"/>
      <c r="CG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161"/>
      <c r="BH895" s="161"/>
      <c r="BI895" s="161"/>
      <c r="BJ895" s="161"/>
      <c r="BK895" s="161"/>
      <c r="BL895" s="161"/>
      <c r="BM895" s="161"/>
      <c r="BN895" s="161"/>
      <c r="BO895" s="161"/>
      <c r="BP895" s="161"/>
      <c r="BQ895" s="161"/>
      <c r="BR895" s="161"/>
      <c r="BS895" s="161"/>
      <c r="BT895" s="161"/>
      <c r="BU895" s="161"/>
      <c r="BV895" s="161"/>
      <c r="BW895" s="161"/>
      <c r="BX895" s="161"/>
      <c r="BY895" s="161"/>
      <c r="BZ895" s="161"/>
      <c r="CA895" s="161"/>
      <c r="CB895" s="161"/>
      <c r="CC895" s="161"/>
      <c r="CD895" s="161"/>
      <c r="CE895" s="161"/>
      <c r="CF895" s="161"/>
      <c r="CG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161"/>
      <c r="BH896" s="161"/>
      <c r="BI896" s="161"/>
      <c r="BJ896" s="161"/>
      <c r="BK896" s="161"/>
      <c r="BL896" s="161"/>
      <c r="BM896" s="161"/>
      <c r="BN896" s="161"/>
      <c r="BO896" s="161"/>
      <c r="BP896" s="161"/>
      <c r="BQ896" s="161"/>
      <c r="BR896" s="161"/>
      <c r="BS896" s="161"/>
      <c r="BT896" s="161"/>
      <c r="BU896" s="161"/>
      <c r="BV896" s="161"/>
      <c r="BW896" s="161"/>
      <c r="BX896" s="161"/>
      <c r="BY896" s="161"/>
      <c r="BZ896" s="161"/>
      <c r="CA896" s="161"/>
      <c r="CB896" s="161"/>
      <c r="CC896" s="161"/>
      <c r="CD896" s="161"/>
      <c r="CE896" s="161"/>
      <c r="CF896" s="161"/>
      <c r="CG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161"/>
      <c r="BH897" s="161"/>
      <c r="BI897" s="161"/>
      <c r="BJ897" s="161"/>
      <c r="BK897" s="161"/>
      <c r="BL897" s="161"/>
      <c r="BM897" s="161"/>
      <c r="BN897" s="161"/>
      <c r="BO897" s="161"/>
      <c r="BP897" s="161"/>
      <c r="BQ897" s="161"/>
      <c r="BR897" s="161"/>
      <c r="BS897" s="161"/>
      <c r="BT897" s="161"/>
      <c r="BU897" s="161"/>
      <c r="BV897" s="161"/>
      <c r="BW897" s="161"/>
      <c r="BX897" s="161"/>
      <c r="BY897" s="161"/>
      <c r="BZ897" s="161"/>
      <c r="CA897" s="161"/>
      <c r="CB897" s="161"/>
      <c r="CC897" s="161"/>
      <c r="CD897" s="161"/>
      <c r="CE897" s="161"/>
      <c r="CF897" s="161"/>
      <c r="CG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161"/>
      <c r="BH898" s="161"/>
      <c r="BI898" s="161"/>
      <c r="BJ898" s="161"/>
      <c r="BK898" s="161"/>
      <c r="BL898" s="161"/>
      <c r="BM898" s="161"/>
      <c r="BN898" s="161"/>
      <c r="BO898" s="161"/>
      <c r="BP898" s="161"/>
      <c r="BQ898" s="161"/>
      <c r="BR898" s="161"/>
      <c r="BS898" s="161"/>
      <c r="BT898" s="161"/>
      <c r="BU898" s="161"/>
      <c r="BV898" s="161"/>
      <c r="BW898" s="161"/>
      <c r="BX898" s="161"/>
      <c r="BY898" s="161"/>
      <c r="BZ898" s="161"/>
      <c r="CA898" s="161"/>
      <c r="CB898" s="161"/>
      <c r="CC898" s="161"/>
      <c r="CD898" s="161"/>
      <c r="CE898" s="161"/>
      <c r="CF898" s="161"/>
      <c r="CG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161"/>
      <c r="BH899" s="161"/>
      <c r="BI899" s="161"/>
      <c r="BJ899" s="161"/>
      <c r="BK899" s="161"/>
      <c r="BL899" s="161"/>
      <c r="BM899" s="161"/>
      <c r="BN899" s="161"/>
      <c r="BO899" s="161"/>
      <c r="BP899" s="161"/>
      <c r="BQ899" s="161"/>
      <c r="BR899" s="161"/>
      <c r="BS899" s="161"/>
      <c r="BT899" s="161"/>
      <c r="BU899" s="161"/>
      <c r="BV899" s="161"/>
      <c r="BW899" s="161"/>
      <c r="BX899" s="161"/>
      <c r="BY899" s="161"/>
      <c r="BZ899" s="161"/>
      <c r="CA899" s="161"/>
      <c r="CB899" s="161"/>
      <c r="CC899" s="161"/>
      <c r="CD899" s="161"/>
      <c r="CE899" s="161"/>
      <c r="CF899" s="161"/>
      <c r="CG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/>
      <c r="BG900" s="161"/>
      <c r="BH900" s="161"/>
      <c r="BI900" s="161"/>
      <c r="BJ900" s="161"/>
      <c r="BK900" s="161"/>
      <c r="BL900" s="161"/>
      <c r="BM900" s="161"/>
      <c r="BN900" s="161"/>
      <c r="BO900" s="161"/>
      <c r="BP900" s="161"/>
      <c r="BQ900" s="161"/>
      <c r="BR900" s="161"/>
      <c r="BS900" s="161"/>
      <c r="BT900" s="161"/>
      <c r="BU900" s="161"/>
      <c r="BV900" s="161"/>
      <c r="BW900" s="161"/>
      <c r="BX900" s="161"/>
      <c r="BY900" s="161"/>
      <c r="BZ900" s="161"/>
      <c r="CA900" s="161"/>
      <c r="CB900" s="161"/>
      <c r="CC900" s="161"/>
      <c r="CD900" s="161"/>
      <c r="CE900" s="161"/>
      <c r="CF900" s="161"/>
      <c r="CG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/>
      <c r="BG901" s="161"/>
      <c r="BH901" s="161"/>
      <c r="BI901" s="161"/>
      <c r="BJ901" s="161"/>
      <c r="BK901" s="161"/>
      <c r="BL901" s="161"/>
      <c r="BM901" s="161"/>
      <c r="BN901" s="161"/>
      <c r="BO901" s="161"/>
      <c r="BP901" s="161"/>
      <c r="BQ901" s="161"/>
      <c r="BR901" s="161"/>
      <c r="BS901" s="161"/>
      <c r="BT901" s="161"/>
      <c r="BU901" s="161"/>
      <c r="BV901" s="161"/>
      <c r="BW901" s="161"/>
      <c r="BX901" s="161"/>
      <c r="BY901" s="161"/>
      <c r="BZ901" s="161"/>
      <c r="CA901" s="161"/>
      <c r="CB901" s="161"/>
      <c r="CC901" s="161"/>
      <c r="CD901" s="161"/>
      <c r="CE901" s="161"/>
      <c r="CF901" s="161"/>
      <c r="CG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F902" s="161"/>
      <c r="BG902" s="161"/>
      <c r="BH902" s="161"/>
      <c r="BI902" s="161"/>
      <c r="BJ902" s="161"/>
      <c r="BK902" s="161"/>
      <c r="BL902" s="161"/>
      <c r="BM902" s="161"/>
      <c r="BN902" s="161"/>
      <c r="BO902" s="161"/>
      <c r="BP902" s="161"/>
      <c r="BQ902" s="161"/>
      <c r="BR902" s="161"/>
      <c r="BS902" s="161"/>
      <c r="BT902" s="161"/>
      <c r="BU902" s="161"/>
      <c r="BV902" s="161"/>
      <c r="BW902" s="161"/>
      <c r="BX902" s="161"/>
      <c r="BY902" s="161"/>
      <c r="BZ902" s="161"/>
      <c r="CA902" s="161"/>
      <c r="CB902" s="161"/>
      <c r="CC902" s="161"/>
      <c r="CD902" s="161"/>
      <c r="CE902" s="161"/>
      <c r="CF902" s="161"/>
      <c r="CG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161"/>
      <c r="BH903" s="161"/>
      <c r="BI903" s="161"/>
      <c r="BJ903" s="161"/>
      <c r="BK903" s="161"/>
      <c r="BL903" s="161"/>
      <c r="BM903" s="161"/>
      <c r="BN903" s="161"/>
      <c r="BO903" s="161"/>
      <c r="BP903" s="161"/>
      <c r="BQ903" s="161"/>
      <c r="BR903" s="161"/>
      <c r="BS903" s="161"/>
      <c r="BT903" s="161"/>
      <c r="BU903" s="161"/>
      <c r="BV903" s="161"/>
      <c r="BW903" s="161"/>
      <c r="BX903" s="161"/>
      <c r="BY903" s="161"/>
      <c r="BZ903" s="161"/>
      <c r="CA903" s="161"/>
      <c r="CB903" s="161"/>
      <c r="CC903" s="161"/>
      <c r="CD903" s="161"/>
      <c r="CE903" s="161"/>
      <c r="CF903" s="161"/>
      <c r="CG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161"/>
      <c r="BH904" s="161"/>
      <c r="BI904" s="161"/>
      <c r="BJ904" s="161"/>
      <c r="BK904" s="161"/>
      <c r="BL904" s="161"/>
      <c r="BM904" s="161"/>
      <c r="BN904" s="161"/>
      <c r="BO904" s="161"/>
      <c r="BP904" s="161"/>
      <c r="BQ904" s="161"/>
      <c r="BR904" s="161"/>
      <c r="BS904" s="161"/>
      <c r="BT904" s="161"/>
      <c r="BU904" s="161"/>
      <c r="BV904" s="161"/>
      <c r="BW904" s="161"/>
      <c r="BX904" s="161"/>
      <c r="BY904" s="161"/>
      <c r="BZ904" s="161"/>
      <c r="CA904" s="161"/>
      <c r="CB904" s="161"/>
      <c r="CC904" s="161"/>
      <c r="CD904" s="161"/>
      <c r="CE904" s="161"/>
      <c r="CF904" s="161"/>
      <c r="CG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F905" s="161"/>
      <c r="BG905" s="161"/>
      <c r="BH905" s="161"/>
      <c r="BI905" s="161"/>
      <c r="BJ905" s="161"/>
      <c r="BK905" s="161"/>
      <c r="BL905" s="161"/>
      <c r="BM905" s="161"/>
      <c r="BN905" s="161"/>
      <c r="BO905" s="161"/>
      <c r="BP905" s="161"/>
      <c r="BQ905" s="161"/>
      <c r="BR905" s="161"/>
      <c r="BS905" s="161"/>
      <c r="BT905" s="161"/>
      <c r="BU905" s="161"/>
      <c r="BV905" s="161"/>
      <c r="BW905" s="161"/>
      <c r="BX905" s="161"/>
      <c r="BY905" s="161"/>
      <c r="BZ905" s="161"/>
      <c r="CA905" s="161"/>
      <c r="CB905" s="161"/>
      <c r="CC905" s="161"/>
      <c r="CD905" s="161"/>
      <c r="CE905" s="161"/>
      <c r="CF905" s="161"/>
      <c r="CG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161"/>
      <c r="BH906" s="161"/>
      <c r="BI906" s="161"/>
      <c r="BJ906" s="161"/>
      <c r="BK906" s="161"/>
      <c r="BL906" s="161"/>
      <c r="BM906" s="161"/>
      <c r="BN906" s="161"/>
      <c r="BO906" s="161"/>
      <c r="BP906" s="161"/>
      <c r="BQ906" s="161"/>
      <c r="BR906" s="161"/>
      <c r="BS906" s="161"/>
      <c r="BT906" s="161"/>
      <c r="BU906" s="161"/>
      <c r="BV906" s="161"/>
      <c r="BW906" s="161"/>
      <c r="BX906" s="161"/>
      <c r="BY906" s="161"/>
      <c r="BZ906" s="161"/>
      <c r="CA906" s="161"/>
      <c r="CB906" s="161"/>
      <c r="CC906" s="161"/>
      <c r="CD906" s="161"/>
      <c r="CE906" s="161"/>
      <c r="CF906" s="161"/>
      <c r="CG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161"/>
      <c r="BH907" s="161"/>
      <c r="BI907" s="161"/>
      <c r="BJ907" s="161"/>
      <c r="BK907" s="161"/>
      <c r="BL907" s="161"/>
      <c r="BM907" s="161"/>
      <c r="BN907" s="161"/>
      <c r="BO907" s="161"/>
      <c r="BP907" s="161"/>
      <c r="BQ907" s="161"/>
      <c r="BR907" s="161"/>
      <c r="BS907" s="161"/>
      <c r="BT907" s="161"/>
      <c r="BU907" s="161"/>
      <c r="BV907" s="161"/>
      <c r="BW907" s="161"/>
      <c r="BX907" s="161"/>
      <c r="BY907" s="161"/>
      <c r="BZ907" s="161"/>
      <c r="CA907" s="161"/>
      <c r="CB907" s="161"/>
      <c r="CC907" s="161"/>
      <c r="CD907" s="161"/>
      <c r="CE907" s="161"/>
      <c r="CF907" s="161"/>
      <c r="CG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F908" s="161"/>
      <c r="BG908" s="161"/>
      <c r="BH908" s="161"/>
      <c r="BI908" s="161"/>
      <c r="BJ908" s="161"/>
      <c r="BK908" s="161"/>
      <c r="BL908" s="161"/>
      <c r="BM908" s="161"/>
      <c r="BN908" s="161"/>
      <c r="BO908" s="161"/>
      <c r="BP908" s="161"/>
      <c r="BQ908" s="161"/>
      <c r="BR908" s="161"/>
      <c r="BS908" s="161"/>
      <c r="BT908" s="161"/>
      <c r="BU908" s="161"/>
      <c r="BV908" s="161"/>
      <c r="BW908" s="161"/>
      <c r="BX908" s="161"/>
      <c r="BY908" s="161"/>
      <c r="BZ908" s="161"/>
      <c r="CA908" s="161"/>
      <c r="CB908" s="161"/>
      <c r="CC908" s="161"/>
      <c r="CD908" s="161"/>
      <c r="CE908" s="161"/>
      <c r="CF908" s="161"/>
      <c r="CG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161"/>
      <c r="BH909" s="161"/>
      <c r="BI909" s="161"/>
      <c r="BJ909" s="161"/>
      <c r="BK909" s="161"/>
      <c r="BL909" s="161"/>
      <c r="BM909" s="161"/>
      <c r="BN909" s="161"/>
      <c r="BO909" s="161"/>
      <c r="BP909" s="161"/>
      <c r="BQ909" s="161"/>
      <c r="BR909" s="161"/>
      <c r="BS909" s="161"/>
      <c r="BT909" s="161"/>
      <c r="BU909" s="161"/>
      <c r="BV909" s="161"/>
      <c r="BW909" s="161"/>
      <c r="BX909" s="161"/>
      <c r="BY909" s="161"/>
      <c r="BZ909" s="161"/>
      <c r="CA909" s="161"/>
      <c r="CB909" s="161"/>
      <c r="CC909" s="161"/>
      <c r="CD909" s="161"/>
      <c r="CE909" s="161"/>
      <c r="CF909" s="161"/>
      <c r="CG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F910" s="161"/>
      <c r="BG910" s="161"/>
      <c r="BH910" s="161"/>
      <c r="BI910" s="161"/>
      <c r="BJ910" s="161"/>
      <c r="BK910" s="161"/>
      <c r="BL910" s="161"/>
      <c r="BM910" s="161"/>
      <c r="BN910" s="161"/>
      <c r="BO910" s="161"/>
      <c r="BP910" s="161"/>
      <c r="BQ910" s="161"/>
      <c r="BR910" s="161"/>
      <c r="BS910" s="161"/>
      <c r="BT910" s="161"/>
      <c r="BU910" s="161"/>
      <c r="BV910" s="161"/>
      <c r="BW910" s="161"/>
      <c r="BX910" s="161"/>
      <c r="BY910" s="161"/>
      <c r="BZ910" s="161"/>
      <c r="CA910" s="161"/>
      <c r="CB910" s="161"/>
      <c r="CC910" s="161"/>
      <c r="CD910" s="161"/>
      <c r="CE910" s="161"/>
      <c r="CF910" s="161"/>
      <c r="CG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/>
      <c r="BG911" s="161"/>
      <c r="BH911" s="161"/>
      <c r="BI911" s="161"/>
      <c r="BJ911" s="161"/>
      <c r="BK911" s="161"/>
      <c r="BL911" s="161"/>
      <c r="BM911" s="161"/>
      <c r="BN911" s="161"/>
      <c r="BO911" s="161"/>
      <c r="BP911" s="161"/>
      <c r="BQ911" s="161"/>
      <c r="BR911" s="161"/>
      <c r="BS911" s="161"/>
      <c r="BT911" s="161"/>
      <c r="BU911" s="161"/>
      <c r="BV911" s="161"/>
      <c r="BW911" s="161"/>
      <c r="BX911" s="161"/>
      <c r="BY911" s="161"/>
      <c r="BZ911" s="161"/>
      <c r="CA911" s="161"/>
      <c r="CB911" s="161"/>
      <c r="CC911" s="161"/>
      <c r="CD911" s="161"/>
      <c r="CE911" s="161"/>
      <c r="CF911" s="161"/>
      <c r="CG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/>
      <c r="BG912" s="161"/>
      <c r="BH912" s="161"/>
      <c r="BI912" s="161"/>
      <c r="BJ912" s="161"/>
      <c r="BK912" s="161"/>
      <c r="BL912" s="161"/>
      <c r="BM912" s="161"/>
      <c r="BN912" s="161"/>
      <c r="BO912" s="161"/>
      <c r="BP912" s="161"/>
      <c r="BQ912" s="161"/>
      <c r="BR912" s="161"/>
      <c r="BS912" s="161"/>
      <c r="BT912" s="161"/>
      <c r="BU912" s="161"/>
      <c r="BV912" s="161"/>
      <c r="BW912" s="161"/>
      <c r="BX912" s="161"/>
      <c r="BY912" s="161"/>
      <c r="BZ912" s="161"/>
      <c r="CA912" s="161"/>
      <c r="CB912" s="161"/>
      <c r="CC912" s="161"/>
      <c r="CD912" s="161"/>
      <c r="CE912" s="161"/>
      <c r="CF912" s="161"/>
      <c r="CG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F913" s="161"/>
      <c r="BG913" s="161"/>
      <c r="BH913" s="161"/>
      <c r="BI913" s="161"/>
      <c r="BJ913" s="161"/>
      <c r="BK913" s="161"/>
      <c r="BL913" s="161"/>
      <c r="BM913" s="161"/>
      <c r="BN913" s="161"/>
      <c r="BO913" s="161"/>
      <c r="BP913" s="161"/>
      <c r="BQ913" s="161"/>
      <c r="BR913" s="161"/>
      <c r="BS913" s="161"/>
      <c r="BT913" s="161"/>
      <c r="BU913" s="161"/>
      <c r="BV913" s="161"/>
      <c r="BW913" s="161"/>
      <c r="BX913" s="161"/>
      <c r="BY913" s="161"/>
      <c r="BZ913" s="161"/>
      <c r="CA913" s="161"/>
      <c r="CB913" s="161"/>
      <c r="CC913" s="161"/>
      <c r="CD913" s="161"/>
      <c r="CE913" s="161"/>
      <c r="CF913" s="161"/>
      <c r="CG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F914" s="161"/>
      <c r="BG914" s="161"/>
      <c r="BH914" s="161"/>
      <c r="BI914" s="161"/>
      <c r="BJ914" s="161"/>
      <c r="BK914" s="161"/>
      <c r="BL914" s="161"/>
      <c r="BM914" s="161"/>
      <c r="BN914" s="161"/>
      <c r="BO914" s="161"/>
      <c r="BP914" s="161"/>
      <c r="BQ914" s="161"/>
      <c r="BR914" s="161"/>
      <c r="BS914" s="161"/>
      <c r="BT914" s="161"/>
      <c r="BU914" s="161"/>
      <c r="BV914" s="161"/>
      <c r="BW914" s="161"/>
      <c r="BX914" s="161"/>
      <c r="BY914" s="161"/>
      <c r="BZ914" s="161"/>
      <c r="CA914" s="161"/>
      <c r="CB914" s="161"/>
      <c r="CC914" s="161"/>
      <c r="CD914" s="161"/>
      <c r="CE914" s="161"/>
      <c r="CF914" s="161"/>
      <c r="CG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/>
      <c r="BG915" s="161"/>
      <c r="BH915" s="161"/>
      <c r="BI915" s="161"/>
      <c r="BJ915" s="161"/>
      <c r="BK915" s="161"/>
      <c r="BL915" s="161"/>
      <c r="BM915" s="161"/>
      <c r="BN915" s="161"/>
      <c r="BO915" s="161"/>
      <c r="BP915" s="161"/>
      <c r="BQ915" s="161"/>
      <c r="BR915" s="161"/>
      <c r="BS915" s="161"/>
      <c r="BT915" s="161"/>
      <c r="BU915" s="161"/>
      <c r="BV915" s="161"/>
      <c r="BW915" s="161"/>
      <c r="BX915" s="161"/>
      <c r="BY915" s="161"/>
      <c r="BZ915" s="161"/>
      <c r="CA915" s="161"/>
      <c r="CB915" s="161"/>
      <c r="CC915" s="161"/>
      <c r="CD915" s="161"/>
      <c r="CE915" s="161"/>
      <c r="CF915" s="161"/>
      <c r="CG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/>
      <c r="BG916" s="161"/>
      <c r="BH916" s="161"/>
      <c r="BI916" s="161"/>
      <c r="BJ916" s="161"/>
      <c r="BK916" s="161"/>
      <c r="BL916" s="161"/>
      <c r="BM916" s="161"/>
      <c r="BN916" s="161"/>
      <c r="BO916" s="161"/>
      <c r="BP916" s="161"/>
      <c r="BQ916" s="161"/>
      <c r="BR916" s="161"/>
      <c r="BS916" s="161"/>
      <c r="BT916" s="161"/>
      <c r="BU916" s="161"/>
      <c r="BV916" s="161"/>
      <c r="BW916" s="161"/>
      <c r="BX916" s="161"/>
      <c r="BY916" s="161"/>
      <c r="BZ916" s="161"/>
      <c r="CA916" s="161"/>
      <c r="CB916" s="161"/>
      <c r="CC916" s="161"/>
      <c r="CD916" s="161"/>
      <c r="CE916" s="161"/>
      <c r="CF916" s="161"/>
      <c r="CG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F917" s="161"/>
      <c r="BG917" s="161"/>
      <c r="BH917" s="161"/>
      <c r="BI917" s="161"/>
      <c r="BJ917" s="161"/>
      <c r="BK917" s="161"/>
      <c r="BL917" s="161"/>
      <c r="BM917" s="161"/>
      <c r="BN917" s="161"/>
      <c r="BO917" s="161"/>
      <c r="BP917" s="161"/>
      <c r="BQ917" s="161"/>
      <c r="BR917" s="161"/>
      <c r="BS917" s="161"/>
      <c r="BT917" s="161"/>
      <c r="BU917" s="161"/>
      <c r="BV917" s="161"/>
      <c r="BW917" s="161"/>
      <c r="BX917" s="161"/>
      <c r="BY917" s="161"/>
      <c r="BZ917" s="161"/>
      <c r="CA917" s="161"/>
      <c r="CB917" s="161"/>
      <c r="CC917" s="161"/>
      <c r="CD917" s="161"/>
      <c r="CE917" s="161"/>
      <c r="CF917" s="161"/>
      <c r="CG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161"/>
      <c r="BH918" s="161"/>
      <c r="BI918" s="161"/>
      <c r="BJ918" s="161"/>
      <c r="BK918" s="161"/>
      <c r="BL918" s="161"/>
      <c r="BM918" s="161"/>
      <c r="BN918" s="161"/>
      <c r="BO918" s="161"/>
      <c r="BP918" s="161"/>
      <c r="BQ918" s="161"/>
      <c r="BR918" s="161"/>
      <c r="BS918" s="161"/>
      <c r="BT918" s="161"/>
      <c r="BU918" s="161"/>
      <c r="BV918" s="161"/>
      <c r="BW918" s="161"/>
      <c r="BX918" s="161"/>
      <c r="BY918" s="161"/>
      <c r="BZ918" s="161"/>
      <c r="CA918" s="161"/>
      <c r="CB918" s="161"/>
      <c r="CC918" s="161"/>
      <c r="CD918" s="161"/>
      <c r="CE918" s="161"/>
      <c r="CF918" s="161"/>
      <c r="CG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F919" s="161"/>
      <c r="BG919" s="161"/>
      <c r="BH919" s="161"/>
      <c r="BI919" s="161"/>
      <c r="BJ919" s="161"/>
      <c r="BK919" s="161"/>
      <c r="BL919" s="161"/>
      <c r="BM919" s="161"/>
      <c r="BN919" s="161"/>
      <c r="BO919" s="161"/>
      <c r="BP919" s="161"/>
      <c r="BQ919" s="161"/>
      <c r="BR919" s="161"/>
      <c r="BS919" s="161"/>
      <c r="BT919" s="161"/>
      <c r="BU919" s="161"/>
      <c r="BV919" s="161"/>
      <c r="BW919" s="161"/>
      <c r="BX919" s="161"/>
      <c r="BY919" s="161"/>
      <c r="BZ919" s="161"/>
      <c r="CA919" s="161"/>
      <c r="CB919" s="161"/>
      <c r="CC919" s="161"/>
      <c r="CD919" s="161"/>
      <c r="CE919" s="161"/>
      <c r="CF919" s="161"/>
      <c r="CG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F920" s="161"/>
      <c r="BG920" s="161"/>
      <c r="BH920" s="161"/>
      <c r="BI920" s="161"/>
      <c r="BJ920" s="161"/>
      <c r="BK920" s="161"/>
      <c r="BL920" s="161"/>
      <c r="BM920" s="161"/>
      <c r="BN920" s="161"/>
      <c r="BO920" s="161"/>
      <c r="BP920" s="161"/>
      <c r="BQ920" s="161"/>
      <c r="BR920" s="161"/>
      <c r="BS920" s="161"/>
      <c r="BT920" s="161"/>
      <c r="BU920" s="161"/>
      <c r="BV920" s="161"/>
      <c r="BW920" s="161"/>
      <c r="BX920" s="161"/>
      <c r="BY920" s="161"/>
      <c r="BZ920" s="161"/>
      <c r="CA920" s="161"/>
      <c r="CB920" s="161"/>
      <c r="CC920" s="161"/>
      <c r="CD920" s="161"/>
      <c r="CE920" s="161"/>
      <c r="CF920" s="161"/>
      <c r="CG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/>
      <c r="BG921" s="161"/>
      <c r="BH921" s="161"/>
      <c r="BI921" s="161"/>
      <c r="BJ921" s="161"/>
      <c r="BK921" s="161"/>
      <c r="BL921" s="161"/>
      <c r="BM921" s="161"/>
      <c r="BN921" s="161"/>
      <c r="BO921" s="161"/>
      <c r="BP921" s="161"/>
      <c r="BQ921" s="161"/>
      <c r="BR921" s="161"/>
      <c r="BS921" s="161"/>
      <c r="BT921" s="161"/>
      <c r="BU921" s="161"/>
      <c r="BV921" s="161"/>
      <c r="BW921" s="161"/>
      <c r="BX921" s="161"/>
      <c r="BY921" s="161"/>
      <c r="BZ921" s="161"/>
      <c r="CA921" s="161"/>
      <c r="CB921" s="161"/>
      <c r="CC921" s="161"/>
      <c r="CD921" s="161"/>
      <c r="CE921" s="161"/>
      <c r="CF921" s="161"/>
      <c r="CG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/>
      <c r="BG922" s="161"/>
      <c r="BH922" s="161"/>
      <c r="BI922" s="161"/>
      <c r="BJ922" s="161"/>
      <c r="BK922" s="161"/>
      <c r="BL922" s="161"/>
      <c r="BM922" s="161"/>
      <c r="BN922" s="161"/>
      <c r="BO922" s="161"/>
      <c r="BP922" s="161"/>
      <c r="BQ922" s="161"/>
      <c r="BR922" s="161"/>
      <c r="BS922" s="161"/>
      <c r="BT922" s="161"/>
      <c r="BU922" s="161"/>
      <c r="BV922" s="161"/>
      <c r="BW922" s="161"/>
      <c r="BX922" s="161"/>
      <c r="BY922" s="161"/>
      <c r="BZ922" s="161"/>
      <c r="CA922" s="161"/>
      <c r="CB922" s="161"/>
      <c r="CC922" s="161"/>
      <c r="CD922" s="161"/>
      <c r="CE922" s="161"/>
      <c r="CF922" s="161"/>
      <c r="CG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1"/>
      <c r="BI923" s="161"/>
      <c r="BJ923" s="161"/>
      <c r="BK923" s="161"/>
      <c r="BL923" s="161"/>
      <c r="BM923" s="161"/>
      <c r="BN923" s="161"/>
      <c r="BO923" s="161"/>
      <c r="BP923" s="161"/>
      <c r="BQ923" s="161"/>
      <c r="BR923" s="161"/>
      <c r="BS923" s="161"/>
      <c r="BT923" s="161"/>
      <c r="BU923" s="161"/>
      <c r="BV923" s="161"/>
      <c r="BW923" s="161"/>
      <c r="BX923" s="161"/>
      <c r="BY923" s="161"/>
      <c r="BZ923" s="161"/>
      <c r="CA923" s="161"/>
      <c r="CB923" s="161"/>
      <c r="CC923" s="161"/>
      <c r="CD923" s="161"/>
      <c r="CE923" s="161"/>
      <c r="CF923" s="161"/>
      <c r="CG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F924" s="161"/>
      <c r="BG924" s="161"/>
      <c r="BH924" s="161"/>
      <c r="BI924" s="161"/>
      <c r="BJ924" s="161"/>
      <c r="BK924" s="161"/>
      <c r="BL924" s="161"/>
      <c r="BM924" s="161"/>
      <c r="BN924" s="161"/>
      <c r="BO924" s="161"/>
      <c r="BP924" s="161"/>
      <c r="BQ924" s="161"/>
      <c r="BR924" s="161"/>
      <c r="BS924" s="161"/>
      <c r="BT924" s="161"/>
      <c r="BU924" s="161"/>
      <c r="BV924" s="161"/>
      <c r="BW924" s="161"/>
      <c r="BX924" s="161"/>
      <c r="BY924" s="161"/>
      <c r="BZ924" s="161"/>
      <c r="CA924" s="161"/>
      <c r="CB924" s="161"/>
      <c r="CC924" s="161"/>
      <c r="CD924" s="161"/>
      <c r="CE924" s="161"/>
      <c r="CF924" s="161"/>
      <c r="CG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F925" s="161"/>
      <c r="BG925" s="161"/>
      <c r="BH925" s="161"/>
      <c r="BI925" s="161"/>
      <c r="BJ925" s="161"/>
      <c r="BK925" s="161"/>
      <c r="BL925" s="161"/>
      <c r="BM925" s="161"/>
      <c r="BN925" s="161"/>
      <c r="BO925" s="161"/>
      <c r="BP925" s="161"/>
      <c r="BQ925" s="161"/>
      <c r="BR925" s="161"/>
      <c r="BS925" s="161"/>
      <c r="BT925" s="161"/>
      <c r="BU925" s="161"/>
      <c r="BV925" s="161"/>
      <c r="BW925" s="161"/>
      <c r="BX925" s="161"/>
      <c r="BY925" s="161"/>
      <c r="BZ925" s="161"/>
      <c r="CA925" s="161"/>
      <c r="CB925" s="161"/>
      <c r="CC925" s="161"/>
      <c r="CD925" s="161"/>
      <c r="CE925" s="161"/>
      <c r="CF925" s="161"/>
      <c r="CG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F926" s="161"/>
      <c r="BG926" s="161"/>
      <c r="BH926" s="161"/>
      <c r="BI926" s="161"/>
      <c r="BJ926" s="161"/>
      <c r="BK926" s="161"/>
      <c r="BL926" s="161"/>
      <c r="BM926" s="161"/>
      <c r="BN926" s="161"/>
      <c r="BO926" s="161"/>
      <c r="BP926" s="161"/>
      <c r="BQ926" s="161"/>
      <c r="BR926" s="161"/>
      <c r="BS926" s="161"/>
      <c r="BT926" s="161"/>
      <c r="BU926" s="161"/>
      <c r="BV926" s="161"/>
      <c r="BW926" s="161"/>
      <c r="BX926" s="161"/>
      <c r="BY926" s="161"/>
      <c r="BZ926" s="161"/>
      <c r="CA926" s="161"/>
      <c r="CB926" s="161"/>
      <c r="CC926" s="161"/>
      <c r="CD926" s="161"/>
      <c r="CE926" s="161"/>
      <c r="CF926" s="161"/>
      <c r="CG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F927" s="161"/>
      <c r="BG927" s="161"/>
      <c r="BH927" s="161"/>
      <c r="BI927" s="161"/>
      <c r="BJ927" s="161"/>
      <c r="BK927" s="161"/>
      <c r="BL927" s="161"/>
      <c r="BM927" s="161"/>
      <c r="BN927" s="161"/>
      <c r="BO927" s="161"/>
      <c r="BP927" s="161"/>
      <c r="BQ927" s="161"/>
      <c r="BR927" s="161"/>
      <c r="BS927" s="161"/>
      <c r="BT927" s="161"/>
      <c r="BU927" s="161"/>
      <c r="BV927" s="161"/>
      <c r="BW927" s="161"/>
      <c r="BX927" s="161"/>
      <c r="BY927" s="161"/>
      <c r="BZ927" s="161"/>
      <c r="CA927" s="161"/>
      <c r="CB927" s="161"/>
      <c r="CC927" s="161"/>
      <c r="CD927" s="161"/>
      <c r="CE927" s="161"/>
      <c r="CF927" s="161"/>
      <c r="CG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/>
      <c r="BG928" s="161"/>
      <c r="BH928" s="161"/>
      <c r="BI928" s="161"/>
      <c r="BJ928" s="161"/>
      <c r="BK928" s="161"/>
      <c r="BL928" s="161"/>
      <c r="BM928" s="161"/>
      <c r="BN928" s="161"/>
      <c r="BO928" s="161"/>
      <c r="BP928" s="161"/>
      <c r="BQ928" s="161"/>
      <c r="BR928" s="161"/>
      <c r="BS928" s="161"/>
      <c r="BT928" s="161"/>
      <c r="BU928" s="161"/>
      <c r="BV928" s="161"/>
      <c r="BW928" s="161"/>
      <c r="BX928" s="161"/>
      <c r="BY928" s="161"/>
      <c r="BZ928" s="161"/>
      <c r="CA928" s="161"/>
      <c r="CB928" s="161"/>
      <c r="CC928" s="161"/>
      <c r="CD928" s="161"/>
      <c r="CE928" s="161"/>
      <c r="CF928" s="161"/>
      <c r="CG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/>
      <c r="BG929" s="161"/>
      <c r="BH929" s="161"/>
      <c r="BI929" s="161"/>
      <c r="BJ929" s="161"/>
      <c r="BK929" s="161"/>
      <c r="BL929" s="161"/>
      <c r="BM929" s="161"/>
      <c r="BN929" s="161"/>
      <c r="BO929" s="161"/>
      <c r="BP929" s="161"/>
      <c r="BQ929" s="161"/>
      <c r="BR929" s="161"/>
      <c r="BS929" s="161"/>
      <c r="BT929" s="161"/>
      <c r="BU929" s="161"/>
      <c r="BV929" s="161"/>
      <c r="BW929" s="161"/>
      <c r="BX929" s="161"/>
      <c r="BY929" s="161"/>
      <c r="BZ929" s="161"/>
      <c r="CA929" s="161"/>
      <c r="CB929" s="161"/>
      <c r="CC929" s="161"/>
      <c r="CD929" s="161"/>
      <c r="CE929" s="161"/>
      <c r="CF929" s="161"/>
      <c r="CG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F930" s="161"/>
      <c r="BG930" s="161"/>
      <c r="BH930" s="161"/>
      <c r="BI930" s="161"/>
      <c r="BJ930" s="161"/>
      <c r="BK930" s="161"/>
      <c r="BL930" s="161"/>
      <c r="BM930" s="161"/>
      <c r="BN930" s="161"/>
      <c r="BO930" s="161"/>
      <c r="BP930" s="161"/>
      <c r="BQ930" s="161"/>
      <c r="BR930" s="161"/>
      <c r="BS930" s="161"/>
      <c r="BT930" s="161"/>
      <c r="BU930" s="161"/>
      <c r="BV930" s="161"/>
      <c r="BW930" s="161"/>
      <c r="BX930" s="161"/>
      <c r="BY930" s="161"/>
      <c r="BZ930" s="161"/>
      <c r="CA930" s="161"/>
      <c r="CB930" s="161"/>
      <c r="CC930" s="161"/>
      <c r="CD930" s="161"/>
      <c r="CE930" s="161"/>
      <c r="CF930" s="161"/>
      <c r="CG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F931" s="161"/>
      <c r="BG931" s="161"/>
      <c r="BH931" s="161"/>
      <c r="BI931" s="161"/>
      <c r="BJ931" s="161"/>
      <c r="BK931" s="161"/>
      <c r="BL931" s="161"/>
      <c r="BM931" s="161"/>
      <c r="BN931" s="161"/>
      <c r="BO931" s="161"/>
      <c r="BP931" s="161"/>
      <c r="BQ931" s="161"/>
      <c r="BR931" s="161"/>
      <c r="BS931" s="161"/>
      <c r="BT931" s="161"/>
      <c r="BU931" s="161"/>
      <c r="BV931" s="161"/>
      <c r="BW931" s="161"/>
      <c r="BX931" s="161"/>
      <c r="BY931" s="161"/>
      <c r="BZ931" s="161"/>
      <c r="CA931" s="161"/>
      <c r="CB931" s="161"/>
      <c r="CC931" s="161"/>
      <c r="CD931" s="161"/>
      <c r="CE931" s="161"/>
      <c r="CF931" s="161"/>
      <c r="CG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F932" s="161"/>
      <c r="BG932" s="161"/>
      <c r="BH932" s="161"/>
      <c r="BI932" s="161"/>
      <c r="BJ932" s="161"/>
      <c r="BK932" s="161"/>
      <c r="BL932" s="161"/>
      <c r="BM932" s="161"/>
      <c r="BN932" s="161"/>
      <c r="BO932" s="161"/>
      <c r="BP932" s="161"/>
      <c r="BQ932" s="161"/>
      <c r="BR932" s="161"/>
      <c r="BS932" s="161"/>
      <c r="BT932" s="161"/>
      <c r="BU932" s="161"/>
      <c r="BV932" s="161"/>
      <c r="BW932" s="161"/>
      <c r="BX932" s="161"/>
      <c r="BY932" s="161"/>
      <c r="BZ932" s="161"/>
      <c r="CA932" s="161"/>
      <c r="CB932" s="161"/>
      <c r="CC932" s="161"/>
      <c r="CD932" s="161"/>
      <c r="CE932" s="161"/>
      <c r="CF932" s="161"/>
      <c r="CG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161"/>
      <c r="BH933" s="161"/>
      <c r="BI933" s="161"/>
      <c r="BJ933" s="161"/>
      <c r="BK933" s="161"/>
      <c r="BL933" s="161"/>
      <c r="BM933" s="161"/>
      <c r="BN933" s="161"/>
      <c r="BO933" s="161"/>
      <c r="BP933" s="161"/>
      <c r="BQ933" s="161"/>
      <c r="BR933" s="161"/>
      <c r="BS933" s="161"/>
      <c r="BT933" s="161"/>
      <c r="BU933" s="161"/>
      <c r="BV933" s="161"/>
      <c r="BW933" s="161"/>
      <c r="BX933" s="161"/>
      <c r="BY933" s="161"/>
      <c r="BZ933" s="161"/>
      <c r="CA933" s="161"/>
      <c r="CB933" s="161"/>
      <c r="CC933" s="161"/>
      <c r="CD933" s="161"/>
      <c r="CE933" s="161"/>
      <c r="CF933" s="161"/>
      <c r="CG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F934" s="161"/>
      <c r="BG934" s="161"/>
      <c r="BH934" s="161"/>
      <c r="BI934" s="161"/>
      <c r="BJ934" s="161"/>
      <c r="BK934" s="161"/>
      <c r="BL934" s="161"/>
      <c r="BM934" s="161"/>
      <c r="BN934" s="161"/>
      <c r="BO934" s="161"/>
      <c r="BP934" s="161"/>
      <c r="BQ934" s="161"/>
      <c r="BR934" s="161"/>
      <c r="BS934" s="161"/>
      <c r="BT934" s="161"/>
      <c r="BU934" s="161"/>
      <c r="BV934" s="161"/>
      <c r="BW934" s="161"/>
      <c r="BX934" s="161"/>
      <c r="BY934" s="161"/>
      <c r="BZ934" s="161"/>
      <c r="CA934" s="161"/>
      <c r="CB934" s="161"/>
      <c r="CC934" s="161"/>
      <c r="CD934" s="161"/>
      <c r="CE934" s="161"/>
      <c r="CF934" s="161"/>
      <c r="CG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F935" s="161"/>
      <c r="BG935" s="161"/>
      <c r="BH935" s="161"/>
      <c r="BI935" s="161"/>
      <c r="BJ935" s="161"/>
      <c r="BK935" s="161"/>
      <c r="BL935" s="161"/>
      <c r="BM935" s="161"/>
      <c r="BN935" s="161"/>
      <c r="BO935" s="161"/>
      <c r="BP935" s="161"/>
      <c r="BQ935" s="161"/>
      <c r="BR935" s="161"/>
      <c r="BS935" s="161"/>
      <c r="BT935" s="161"/>
      <c r="BU935" s="161"/>
      <c r="BV935" s="161"/>
      <c r="BW935" s="161"/>
      <c r="BX935" s="161"/>
      <c r="BY935" s="161"/>
      <c r="BZ935" s="161"/>
      <c r="CA935" s="161"/>
      <c r="CB935" s="161"/>
      <c r="CC935" s="161"/>
      <c r="CD935" s="161"/>
      <c r="CE935" s="161"/>
      <c r="CF935" s="161"/>
      <c r="CG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F936" s="161"/>
      <c r="BG936" s="161"/>
      <c r="BH936" s="161"/>
      <c r="BI936" s="161"/>
      <c r="BJ936" s="161"/>
      <c r="BK936" s="161"/>
      <c r="BL936" s="161"/>
      <c r="BM936" s="161"/>
      <c r="BN936" s="161"/>
      <c r="BO936" s="161"/>
      <c r="BP936" s="161"/>
      <c r="BQ936" s="161"/>
      <c r="BR936" s="161"/>
      <c r="BS936" s="161"/>
      <c r="BT936" s="161"/>
      <c r="BU936" s="161"/>
      <c r="BV936" s="161"/>
      <c r="BW936" s="161"/>
      <c r="BX936" s="161"/>
      <c r="BY936" s="161"/>
      <c r="BZ936" s="161"/>
      <c r="CA936" s="161"/>
      <c r="CB936" s="161"/>
      <c r="CC936" s="161"/>
      <c r="CD936" s="161"/>
      <c r="CE936" s="161"/>
      <c r="CF936" s="161"/>
      <c r="CG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F937" s="161"/>
      <c r="BG937" s="161"/>
      <c r="BH937" s="161"/>
      <c r="BI937" s="161"/>
      <c r="BJ937" s="161"/>
      <c r="BK937" s="161"/>
      <c r="BL937" s="161"/>
      <c r="BM937" s="161"/>
      <c r="BN937" s="161"/>
      <c r="BO937" s="161"/>
      <c r="BP937" s="161"/>
      <c r="BQ937" s="161"/>
      <c r="BR937" s="161"/>
      <c r="BS937" s="161"/>
      <c r="BT937" s="161"/>
      <c r="BU937" s="161"/>
      <c r="BV937" s="161"/>
      <c r="BW937" s="161"/>
      <c r="BX937" s="161"/>
      <c r="BY937" s="161"/>
      <c r="BZ937" s="161"/>
      <c r="CA937" s="161"/>
      <c r="CB937" s="161"/>
      <c r="CC937" s="161"/>
      <c r="CD937" s="161"/>
      <c r="CE937" s="161"/>
      <c r="CF937" s="161"/>
      <c r="CG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F938" s="161"/>
      <c r="BG938" s="161"/>
      <c r="BH938" s="161"/>
      <c r="BI938" s="161"/>
      <c r="BJ938" s="161"/>
      <c r="BK938" s="161"/>
      <c r="BL938" s="161"/>
      <c r="BM938" s="161"/>
      <c r="BN938" s="161"/>
      <c r="BO938" s="161"/>
      <c r="BP938" s="161"/>
      <c r="BQ938" s="161"/>
      <c r="BR938" s="161"/>
      <c r="BS938" s="161"/>
      <c r="BT938" s="161"/>
      <c r="BU938" s="161"/>
      <c r="BV938" s="161"/>
      <c r="BW938" s="161"/>
      <c r="BX938" s="161"/>
      <c r="BY938" s="161"/>
      <c r="BZ938" s="161"/>
      <c r="CA938" s="161"/>
      <c r="CB938" s="161"/>
      <c r="CC938" s="161"/>
      <c r="CD938" s="161"/>
      <c r="CE938" s="161"/>
      <c r="CF938" s="161"/>
      <c r="CG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F939" s="161"/>
      <c r="BG939" s="161"/>
      <c r="BH939" s="161"/>
      <c r="BI939" s="161"/>
      <c r="BJ939" s="161"/>
      <c r="BK939" s="161"/>
      <c r="BL939" s="161"/>
      <c r="BM939" s="161"/>
      <c r="BN939" s="161"/>
      <c r="BO939" s="161"/>
      <c r="BP939" s="161"/>
      <c r="BQ939" s="161"/>
      <c r="BR939" s="161"/>
      <c r="BS939" s="161"/>
      <c r="BT939" s="161"/>
      <c r="BU939" s="161"/>
      <c r="BV939" s="161"/>
      <c r="BW939" s="161"/>
      <c r="BX939" s="161"/>
      <c r="BY939" s="161"/>
      <c r="BZ939" s="161"/>
      <c r="CA939" s="161"/>
      <c r="CB939" s="161"/>
      <c r="CC939" s="161"/>
      <c r="CD939" s="161"/>
      <c r="CE939" s="161"/>
      <c r="CF939" s="161"/>
      <c r="CG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F940" s="161"/>
      <c r="BG940" s="161"/>
      <c r="BH940" s="161"/>
      <c r="BI940" s="161"/>
      <c r="BJ940" s="161"/>
      <c r="BK940" s="161"/>
      <c r="BL940" s="161"/>
      <c r="BM940" s="161"/>
      <c r="BN940" s="161"/>
      <c r="BO940" s="161"/>
      <c r="BP940" s="161"/>
      <c r="BQ940" s="161"/>
      <c r="BR940" s="161"/>
      <c r="BS940" s="161"/>
      <c r="BT940" s="161"/>
      <c r="BU940" s="161"/>
      <c r="BV940" s="161"/>
      <c r="BW940" s="161"/>
      <c r="BX940" s="161"/>
      <c r="BY940" s="161"/>
      <c r="BZ940" s="161"/>
      <c r="CA940" s="161"/>
      <c r="CB940" s="161"/>
      <c r="CC940" s="161"/>
      <c r="CD940" s="161"/>
      <c r="CE940" s="161"/>
      <c r="CF940" s="161"/>
      <c r="CG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161"/>
      <c r="BH941" s="161"/>
      <c r="BI941" s="161"/>
      <c r="BJ941" s="161"/>
      <c r="BK941" s="161"/>
      <c r="BL941" s="161"/>
      <c r="BM941" s="161"/>
      <c r="BN941" s="161"/>
      <c r="BO941" s="161"/>
      <c r="BP941" s="161"/>
      <c r="BQ941" s="161"/>
      <c r="BR941" s="161"/>
      <c r="BS941" s="161"/>
      <c r="BT941" s="161"/>
      <c r="BU941" s="161"/>
      <c r="BV941" s="161"/>
      <c r="BW941" s="161"/>
      <c r="BX941" s="161"/>
      <c r="BY941" s="161"/>
      <c r="BZ941" s="161"/>
      <c r="CA941" s="161"/>
      <c r="CB941" s="161"/>
      <c r="CC941" s="161"/>
      <c r="CD941" s="161"/>
      <c r="CE941" s="161"/>
      <c r="CF941" s="161"/>
      <c r="CG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F942" s="161"/>
      <c r="BG942" s="161"/>
      <c r="BH942" s="161"/>
      <c r="BI942" s="161"/>
      <c r="BJ942" s="161"/>
      <c r="BK942" s="161"/>
      <c r="BL942" s="161"/>
      <c r="BM942" s="161"/>
      <c r="BN942" s="161"/>
      <c r="BO942" s="161"/>
      <c r="BP942" s="161"/>
      <c r="BQ942" s="161"/>
      <c r="BR942" s="161"/>
      <c r="BS942" s="161"/>
      <c r="BT942" s="161"/>
      <c r="BU942" s="161"/>
      <c r="BV942" s="161"/>
      <c r="BW942" s="161"/>
      <c r="BX942" s="161"/>
      <c r="BY942" s="161"/>
      <c r="BZ942" s="161"/>
      <c r="CA942" s="161"/>
      <c r="CB942" s="161"/>
      <c r="CC942" s="161"/>
      <c r="CD942" s="161"/>
      <c r="CE942" s="161"/>
      <c r="CF942" s="161"/>
      <c r="CG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F943" s="161"/>
      <c r="BG943" s="161"/>
      <c r="BH943" s="161"/>
      <c r="BI943" s="161"/>
      <c r="BJ943" s="161"/>
      <c r="BK943" s="161"/>
      <c r="BL943" s="161"/>
      <c r="BM943" s="161"/>
      <c r="BN943" s="161"/>
      <c r="BO943" s="161"/>
      <c r="BP943" s="161"/>
      <c r="BQ943" s="161"/>
      <c r="BR943" s="161"/>
      <c r="BS943" s="161"/>
      <c r="BT943" s="161"/>
      <c r="BU943" s="161"/>
      <c r="BV943" s="161"/>
      <c r="BW943" s="161"/>
      <c r="BX943" s="161"/>
      <c r="BY943" s="161"/>
      <c r="BZ943" s="161"/>
      <c r="CA943" s="161"/>
      <c r="CB943" s="161"/>
      <c r="CC943" s="161"/>
      <c r="CD943" s="161"/>
      <c r="CE943" s="161"/>
      <c r="CF943" s="161"/>
      <c r="CG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161"/>
      <c r="BH944" s="161"/>
      <c r="BI944" s="161"/>
      <c r="BJ944" s="161"/>
      <c r="BK944" s="161"/>
      <c r="BL944" s="161"/>
      <c r="BM944" s="161"/>
      <c r="BN944" s="161"/>
      <c r="BO944" s="161"/>
      <c r="BP944" s="161"/>
      <c r="BQ944" s="161"/>
      <c r="BR944" s="161"/>
      <c r="BS944" s="161"/>
      <c r="BT944" s="161"/>
      <c r="BU944" s="161"/>
      <c r="BV944" s="161"/>
      <c r="BW944" s="161"/>
      <c r="BX944" s="161"/>
      <c r="BY944" s="161"/>
      <c r="BZ944" s="161"/>
      <c r="CA944" s="161"/>
      <c r="CB944" s="161"/>
      <c r="CC944" s="161"/>
      <c r="CD944" s="161"/>
      <c r="CE944" s="161"/>
      <c r="CF944" s="161"/>
      <c r="CG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/>
      <c r="BG945" s="161"/>
      <c r="BH945" s="161"/>
      <c r="BI945" s="161"/>
      <c r="BJ945" s="161"/>
      <c r="BK945" s="161"/>
      <c r="BL945" s="161"/>
      <c r="BM945" s="161"/>
      <c r="BN945" s="161"/>
      <c r="BO945" s="161"/>
      <c r="BP945" s="161"/>
      <c r="BQ945" s="161"/>
      <c r="BR945" s="161"/>
      <c r="BS945" s="161"/>
      <c r="BT945" s="161"/>
      <c r="BU945" s="161"/>
      <c r="BV945" s="161"/>
      <c r="BW945" s="161"/>
      <c r="BX945" s="161"/>
      <c r="BY945" s="161"/>
      <c r="BZ945" s="161"/>
      <c r="CA945" s="161"/>
      <c r="CB945" s="161"/>
      <c r="CC945" s="161"/>
      <c r="CD945" s="161"/>
      <c r="CE945" s="161"/>
      <c r="CF945" s="161"/>
      <c r="CG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/>
      <c r="BG946" s="161"/>
      <c r="BH946" s="161"/>
      <c r="BI946" s="161"/>
      <c r="BJ946" s="161"/>
      <c r="BK946" s="161"/>
      <c r="BL946" s="161"/>
      <c r="BM946" s="161"/>
      <c r="BN946" s="161"/>
      <c r="BO946" s="161"/>
      <c r="BP946" s="161"/>
      <c r="BQ946" s="161"/>
      <c r="BR946" s="161"/>
      <c r="BS946" s="161"/>
      <c r="BT946" s="161"/>
      <c r="BU946" s="161"/>
      <c r="BV946" s="161"/>
      <c r="BW946" s="161"/>
      <c r="BX946" s="161"/>
      <c r="BY946" s="161"/>
      <c r="BZ946" s="161"/>
      <c r="CA946" s="161"/>
      <c r="CB946" s="161"/>
      <c r="CC946" s="161"/>
      <c r="CD946" s="161"/>
      <c r="CE946" s="161"/>
      <c r="CF946" s="161"/>
      <c r="CG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/>
      <c r="BG947" s="161"/>
      <c r="BH947" s="161"/>
      <c r="BI947" s="161"/>
      <c r="BJ947" s="161"/>
      <c r="BK947" s="161"/>
      <c r="BL947" s="161"/>
      <c r="BM947" s="161"/>
      <c r="BN947" s="161"/>
      <c r="BO947" s="161"/>
      <c r="BP947" s="161"/>
      <c r="BQ947" s="161"/>
      <c r="BR947" s="161"/>
      <c r="BS947" s="161"/>
      <c r="BT947" s="161"/>
      <c r="BU947" s="161"/>
      <c r="BV947" s="161"/>
      <c r="BW947" s="161"/>
      <c r="BX947" s="161"/>
      <c r="BY947" s="161"/>
      <c r="BZ947" s="161"/>
      <c r="CA947" s="161"/>
      <c r="CB947" s="161"/>
      <c r="CC947" s="161"/>
      <c r="CD947" s="161"/>
      <c r="CE947" s="161"/>
      <c r="CF947" s="161"/>
      <c r="CG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161"/>
      <c r="BH948" s="161"/>
      <c r="BI948" s="161"/>
      <c r="BJ948" s="161"/>
      <c r="BK948" s="161"/>
      <c r="BL948" s="161"/>
      <c r="BM948" s="161"/>
      <c r="BN948" s="161"/>
      <c r="BO948" s="161"/>
      <c r="BP948" s="161"/>
      <c r="BQ948" s="161"/>
      <c r="BR948" s="161"/>
      <c r="BS948" s="161"/>
      <c r="BT948" s="161"/>
      <c r="BU948" s="161"/>
      <c r="BV948" s="161"/>
      <c r="BW948" s="161"/>
      <c r="BX948" s="161"/>
      <c r="BY948" s="161"/>
      <c r="BZ948" s="161"/>
      <c r="CA948" s="161"/>
      <c r="CB948" s="161"/>
      <c r="CC948" s="161"/>
      <c r="CD948" s="161"/>
      <c r="CE948" s="161"/>
      <c r="CF948" s="161"/>
      <c r="CG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F949" s="161"/>
      <c r="BG949" s="161"/>
      <c r="BH949" s="161"/>
      <c r="BI949" s="161"/>
      <c r="BJ949" s="161"/>
      <c r="BK949" s="161"/>
      <c r="BL949" s="161"/>
      <c r="BM949" s="161"/>
      <c r="BN949" s="161"/>
      <c r="BO949" s="161"/>
      <c r="BP949" s="161"/>
      <c r="BQ949" s="161"/>
      <c r="BR949" s="161"/>
      <c r="BS949" s="161"/>
      <c r="BT949" s="161"/>
      <c r="BU949" s="161"/>
      <c r="BV949" s="161"/>
      <c r="BW949" s="161"/>
      <c r="BX949" s="161"/>
      <c r="BY949" s="161"/>
      <c r="BZ949" s="161"/>
      <c r="CA949" s="161"/>
      <c r="CB949" s="161"/>
      <c r="CC949" s="161"/>
      <c r="CD949" s="161"/>
      <c r="CE949" s="161"/>
      <c r="CF949" s="161"/>
      <c r="CG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161"/>
      <c r="BH950" s="161"/>
      <c r="BI950" s="161"/>
      <c r="BJ950" s="161"/>
      <c r="BK950" s="161"/>
      <c r="BL950" s="161"/>
      <c r="BM950" s="161"/>
      <c r="BN950" s="161"/>
      <c r="BO950" s="161"/>
      <c r="BP950" s="161"/>
      <c r="BQ950" s="161"/>
      <c r="BR950" s="161"/>
      <c r="BS950" s="161"/>
      <c r="BT950" s="161"/>
      <c r="BU950" s="161"/>
      <c r="BV950" s="161"/>
      <c r="BW950" s="161"/>
      <c r="BX950" s="161"/>
      <c r="BY950" s="161"/>
      <c r="BZ950" s="161"/>
      <c r="CA950" s="161"/>
      <c r="CB950" s="161"/>
      <c r="CC950" s="161"/>
      <c r="CD950" s="161"/>
      <c r="CE950" s="161"/>
      <c r="CF950" s="161"/>
      <c r="CG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/>
      <c r="BG951" s="161"/>
      <c r="BH951" s="161"/>
      <c r="BI951" s="161"/>
      <c r="BJ951" s="161"/>
      <c r="BK951" s="161"/>
      <c r="BL951" s="161"/>
      <c r="BM951" s="161"/>
      <c r="BN951" s="161"/>
      <c r="BO951" s="161"/>
      <c r="BP951" s="161"/>
      <c r="BQ951" s="161"/>
      <c r="BR951" s="161"/>
      <c r="BS951" s="161"/>
      <c r="BT951" s="161"/>
      <c r="BU951" s="161"/>
      <c r="BV951" s="161"/>
      <c r="BW951" s="161"/>
      <c r="BX951" s="161"/>
      <c r="BY951" s="161"/>
      <c r="BZ951" s="161"/>
      <c r="CA951" s="161"/>
      <c r="CB951" s="161"/>
      <c r="CC951" s="161"/>
      <c r="CD951" s="161"/>
      <c r="CE951" s="161"/>
      <c r="CF951" s="161"/>
      <c r="CG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F952" s="161"/>
      <c r="BG952" s="161"/>
      <c r="BH952" s="161"/>
      <c r="BI952" s="161"/>
      <c r="BJ952" s="161"/>
      <c r="BK952" s="161"/>
      <c r="BL952" s="161"/>
      <c r="BM952" s="161"/>
      <c r="BN952" s="161"/>
      <c r="BO952" s="161"/>
      <c r="BP952" s="161"/>
      <c r="BQ952" s="161"/>
      <c r="BR952" s="161"/>
      <c r="BS952" s="161"/>
      <c r="BT952" s="161"/>
      <c r="BU952" s="161"/>
      <c r="BV952" s="161"/>
      <c r="BW952" s="161"/>
      <c r="BX952" s="161"/>
      <c r="BY952" s="161"/>
      <c r="BZ952" s="161"/>
      <c r="CA952" s="161"/>
      <c r="CB952" s="161"/>
      <c r="CC952" s="161"/>
      <c r="CD952" s="161"/>
      <c r="CE952" s="161"/>
      <c r="CF952" s="161"/>
      <c r="CG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F953" s="161"/>
      <c r="BG953" s="161"/>
      <c r="BH953" s="161"/>
      <c r="BI953" s="161"/>
      <c r="BJ953" s="161"/>
      <c r="BK953" s="161"/>
      <c r="BL953" s="161"/>
      <c r="BM953" s="161"/>
      <c r="BN953" s="161"/>
      <c r="BO953" s="161"/>
      <c r="BP953" s="161"/>
      <c r="BQ953" s="161"/>
      <c r="BR953" s="161"/>
      <c r="BS953" s="161"/>
      <c r="BT953" s="161"/>
      <c r="BU953" s="161"/>
      <c r="BV953" s="161"/>
      <c r="BW953" s="161"/>
      <c r="BX953" s="161"/>
      <c r="BY953" s="161"/>
      <c r="BZ953" s="161"/>
      <c r="CA953" s="161"/>
      <c r="CB953" s="161"/>
      <c r="CC953" s="161"/>
      <c r="CD953" s="161"/>
      <c r="CE953" s="161"/>
      <c r="CF953" s="161"/>
      <c r="CG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F954" s="161"/>
      <c r="BG954" s="161"/>
      <c r="BH954" s="161"/>
      <c r="BI954" s="161"/>
      <c r="BJ954" s="161"/>
      <c r="BK954" s="161"/>
      <c r="BL954" s="161"/>
      <c r="BM954" s="161"/>
      <c r="BN954" s="161"/>
      <c r="BO954" s="161"/>
      <c r="BP954" s="161"/>
      <c r="BQ954" s="161"/>
      <c r="BR954" s="161"/>
      <c r="BS954" s="161"/>
      <c r="BT954" s="161"/>
      <c r="BU954" s="161"/>
      <c r="BV954" s="161"/>
      <c r="BW954" s="161"/>
      <c r="BX954" s="161"/>
      <c r="BY954" s="161"/>
      <c r="BZ954" s="161"/>
      <c r="CA954" s="161"/>
      <c r="CB954" s="161"/>
      <c r="CC954" s="161"/>
      <c r="CD954" s="161"/>
      <c r="CE954" s="161"/>
      <c r="CF954" s="161"/>
      <c r="CG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161"/>
      <c r="BH955" s="161"/>
      <c r="BI955" s="161"/>
      <c r="BJ955" s="161"/>
      <c r="BK955" s="161"/>
      <c r="BL955" s="161"/>
      <c r="BM955" s="161"/>
      <c r="BN955" s="161"/>
      <c r="BO955" s="161"/>
      <c r="BP955" s="161"/>
      <c r="BQ955" s="161"/>
      <c r="BR955" s="161"/>
      <c r="BS955" s="161"/>
      <c r="BT955" s="161"/>
      <c r="BU955" s="161"/>
      <c r="BV955" s="161"/>
      <c r="BW955" s="161"/>
      <c r="BX955" s="161"/>
      <c r="BY955" s="161"/>
      <c r="BZ955" s="161"/>
      <c r="CA955" s="161"/>
      <c r="CB955" s="161"/>
      <c r="CC955" s="161"/>
      <c r="CD955" s="161"/>
      <c r="CE955" s="161"/>
      <c r="CF955" s="161"/>
      <c r="CG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F956" s="161"/>
      <c r="BG956" s="161"/>
      <c r="BH956" s="161"/>
      <c r="BI956" s="161"/>
      <c r="BJ956" s="161"/>
      <c r="BK956" s="161"/>
      <c r="BL956" s="161"/>
      <c r="BM956" s="161"/>
      <c r="BN956" s="161"/>
      <c r="BO956" s="161"/>
      <c r="BP956" s="161"/>
      <c r="BQ956" s="161"/>
      <c r="BR956" s="161"/>
      <c r="BS956" s="161"/>
      <c r="BT956" s="161"/>
      <c r="BU956" s="161"/>
      <c r="BV956" s="161"/>
      <c r="BW956" s="161"/>
      <c r="BX956" s="161"/>
      <c r="BY956" s="161"/>
      <c r="BZ956" s="161"/>
      <c r="CA956" s="161"/>
      <c r="CB956" s="161"/>
      <c r="CC956" s="161"/>
      <c r="CD956" s="161"/>
      <c r="CE956" s="161"/>
      <c r="CF956" s="161"/>
      <c r="CG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F957" s="161"/>
      <c r="BG957" s="161"/>
      <c r="BH957" s="161"/>
      <c r="BI957" s="161"/>
      <c r="BJ957" s="161"/>
      <c r="BK957" s="161"/>
      <c r="BL957" s="161"/>
      <c r="BM957" s="161"/>
      <c r="BN957" s="161"/>
      <c r="BO957" s="161"/>
      <c r="BP957" s="161"/>
      <c r="BQ957" s="161"/>
      <c r="BR957" s="161"/>
      <c r="BS957" s="161"/>
      <c r="BT957" s="161"/>
      <c r="BU957" s="161"/>
      <c r="BV957" s="161"/>
      <c r="BW957" s="161"/>
      <c r="BX957" s="161"/>
      <c r="BY957" s="161"/>
      <c r="BZ957" s="161"/>
      <c r="CA957" s="161"/>
      <c r="CB957" s="161"/>
      <c r="CC957" s="161"/>
      <c r="CD957" s="161"/>
      <c r="CE957" s="161"/>
      <c r="CF957" s="161"/>
      <c r="CG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/>
      <c r="BG958" s="161"/>
      <c r="BH958" s="161"/>
      <c r="BI958" s="161"/>
      <c r="BJ958" s="161"/>
      <c r="BK958" s="161"/>
      <c r="BL958" s="161"/>
      <c r="BM958" s="161"/>
      <c r="BN958" s="161"/>
      <c r="BO958" s="161"/>
      <c r="BP958" s="161"/>
      <c r="BQ958" s="161"/>
      <c r="BR958" s="161"/>
      <c r="BS958" s="161"/>
      <c r="BT958" s="161"/>
      <c r="BU958" s="161"/>
      <c r="BV958" s="161"/>
      <c r="BW958" s="161"/>
      <c r="BX958" s="161"/>
      <c r="BY958" s="161"/>
      <c r="BZ958" s="161"/>
      <c r="CA958" s="161"/>
      <c r="CB958" s="161"/>
      <c r="CC958" s="161"/>
      <c r="CD958" s="161"/>
      <c r="CE958" s="161"/>
      <c r="CF958" s="161"/>
      <c r="CG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/>
      <c r="BG959" s="161"/>
      <c r="BH959" s="161"/>
      <c r="BI959" s="161"/>
      <c r="BJ959" s="161"/>
      <c r="BK959" s="161"/>
      <c r="BL959" s="161"/>
      <c r="BM959" s="161"/>
      <c r="BN959" s="161"/>
      <c r="BO959" s="161"/>
      <c r="BP959" s="161"/>
      <c r="BQ959" s="161"/>
      <c r="BR959" s="161"/>
      <c r="BS959" s="161"/>
      <c r="BT959" s="161"/>
      <c r="BU959" s="161"/>
      <c r="BV959" s="161"/>
      <c r="BW959" s="161"/>
      <c r="BX959" s="161"/>
      <c r="BY959" s="161"/>
      <c r="BZ959" s="161"/>
      <c r="CA959" s="161"/>
      <c r="CB959" s="161"/>
      <c r="CC959" s="161"/>
      <c r="CD959" s="161"/>
      <c r="CE959" s="161"/>
      <c r="CF959" s="161"/>
      <c r="CG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161"/>
      <c r="BH960" s="161"/>
      <c r="BI960" s="161"/>
      <c r="BJ960" s="161"/>
      <c r="BK960" s="161"/>
      <c r="BL960" s="161"/>
      <c r="BM960" s="161"/>
      <c r="BN960" s="161"/>
      <c r="BO960" s="161"/>
      <c r="BP960" s="161"/>
      <c r="BQ960" s="161"/>
      <c r="BR960" s="161"/>
      <c r="BS960" s="161"/>
      <c r="BT960" s="161"/>
      <c r="BU960" s="161"/>
      <c r="BV960" s="161"/>
      <c r="BW960" s="161"/>
      <c r="BX960" s="161"/>
      <c r="BY960" s="161"/>
      <c r="BZ960" s="161"/>
      <c r="CA960" s="161"/>
      <c r="CB960" s="161"/>
      <c r="CC960" s="161"/>
      <c r="CD960" s="161"/>
      <c r="CE960" s="161"/>
      <c r="CF960" s="161"/>
      <c r="CG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F961" s="161"/>
      <c r="BG961" s="161"/>
      <c r="BH961" s="161"/>
      <c r="BI961" s="161"/>
      <c r="BJ961" s="161"/>
      <c r="BK961" s="161"/>
      <c r="BL961" s="161"/>
      <c r="BM961" s="161"/>
      <c r="BN961" s="161"/>
      <c r="BO961" s="161"/>
      <c r="BP961" s="161"/>
      <c r="BQ961" s="161"/>
      <c r="BR961" s="161"/>
      <c r="BS961" s="161"/>
      <c r="BT961" s="161"/>
      <c r="BU961" s="161"/>
      <c r="BV961" s="161"/>
      <c r="BW961" s="161"/>
      <c r="BX961" s="161"/>
      <c r="BY961" s="161"/>
      <c r="BZ961" s="161"/>
      <c r="CA961" s="161"/>
      <c r="CB961" s="161"/>
      <c r="CC961" s="161"/>
      <c r="CD961" s="161"/>
      <c r="CE961" s="161"/>
      <c r="CF961" s="161"/>
      <c r="CG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161"/>
      <c r="BH962" s="161"/>
      <c r="BI962" s="161"/>
      <c r="BJ962" s="161"/>
      <c r="BK962" s="161"/>
      <c r="BL962" s="161"/>
      <c r="BM962" s="161"/>
      <c r="BN962" s="161"/>
      <c r="BO962" s="161"/>
      <c r="BP962" s="161"/>
      <c r="BQ962" s="161"/>
      <c r="BR962" s="161"/>
      <c r="BS962" s="161"/>
      <c r="BT962" s="161"/>
      <c r="BU962" s="161"/>
      <c r="BV962" s="161"/>
      <c r="BW962" s="161"/>
      <c r="BX962" s="161"/>
      <c r="BY962" s="161"/>
      <c r="BZ962" s="161"/>
      <c r="CA962" s="161"/>
      <c r="CB962" s="161"/>
      <c r="CC962" s="161"/>
      <c r="CD962" s="161"/>
      <c r="CE962" s="161"/>
      <c r="CF962" s="161"/>
      <c r="CG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F963" s="161"/>
      <c r="BG963" s="161"/>
      <c r="BH963" s="161"/>
      <c r="BI963" s="161"/>
      <c r="BJ963" s="161"/>
      <c r="BK963" s="161"/>
      <c r="BL963" s="161"/>
      <c r="BM963" s="161"/>
      <c r="BN963" s="161"/>
      <c r="BO963" s="161"/>
      <c r="BP963" s="161"/>
      <c r="BQ963" s="161"/>
      <c r="BR963" s="161"/>
      <c r="BS963" s="161"/>
      <c r="BT963" s="161"/>
      <c r="BU963" s="161"/>
      <c r="BV963" s="161"/>
      <c r="BW963" s="161"/>
      <c r="BX963" s="161"/>
      <c r="BY963" s="161"/>
      <c r="BZ963" s="161"/>
      <c r="CA963" s="161"/>
      <c r="CB963" s="161"/>
      <c r="CC963" s="161"/>
      <c r="CD963" s="161"/>
      <c r="CE963" s="161"/>
      <c r="CF963" s="161"/>
      <c r="CG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F964" s="161"/>
      <c r="BG964" s="161"/>
      <c r="BH964" s="161"/>
      <c r="BI964" s="161"/>
      <c r="BJ964" s="161"/>
      <c r="BK964" s="161"/>
      <c r="BL964" s="161"/>
      <c r="BM964" s="161"/>
      <c r="BN964" s="161"/>
      <c r="BO964" s="161"/>
      <c r="BP964" s="161"/>
      <c r="BQ964" s="161"/>
      <c r="BR964" s="161"/>
      <c r="BS964" s="161"/>
      <c r="BT964" s="161"/>
      <c r="BU964" s="161"/>
      <c r="BV964" s="161"/>
      <c r="BW964" s="161"/>
      <c r="BX964" s="161"/>
      <c r="BY964" s="161"/>
      <c r="BZ964" s="161"/>
      <c r="CA964" s="161"/>
      <c r="CB964" s="161"/>
      <c r="CC964" s="161"/>
      <c r="CD964" s="161"/>
      <c r="CE964" s="161"/>
      <c r="CF964" s="161"/>
      <c r="CG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F965" s="161"/>
      <c r="BG965" s="161"/>
      <c r="BH965" s="161"/>
      <c r="BI965" s="161"/>
      <c r="BJ965" s="161"/>
      <c r="BK965" s="161"/>
      <c r="BL965" s="161"/>
      <c r="BM965" s="161"/>
      <c r="BN965" s="161"/>
      <c r="BO965" s="161"/>
      <c r="BP965" s="161"/>
      <c r="BQ965" s="161"/>
      <c r="BR965" s="161"/>
      <c r="BS965" s="161"/>
      <c r="BT965" s="161"/>
      <c r="BU965" s="161"/>
      <c r="BV965" s="161"/>
      <c r="BW965" s="161"/>
      <c r="BX965" s="161"/>
      <c r="BY965" s="161"/>
      <c r="BZ965" s="161"/>
      <c r="CA965" s="161"/>
      <c r="CB965" s="161"/>
      <c r="CC965" s="161"/>
      <c r="CD965" s="161"/>
      <c r="CE965" s="161"/>
      <c r="CF965" s="161"/>
      <c r="CG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F966" s="161"/>
      <c r="BG966" s="161"/>
      <c r="BH966" s="161"/>
      <c r="BI966" s="161"/>
      <c r="BJ966" s="161"/>
      <c r="BK966" s="161"/>
      <c r="BL966" s="161"/>
      <c r="BM966" s="161"/>
      <c r="BN966" s="161"/>
      <c r="BO966" s="161"/>
      <c r="BP966" s="161"/>
      <c r="BQ966" s="161"/>
      <c r="BR966" s="161"/>
      <c r="BS966" s="161"/>
      <c r="BT966" s="161"/>
      <c r="BU966" s="161"/>
      <c r="BV966" s="161"/>
      <c r="BW966" s="161"/>
      <c r="BX966" s="161"/>
      <c r="BY966" s="161"/>
      <c r="BZ966" s="161"/>
      <c r="CA966" s="161"/>
      <c r="CB966" s="161"/>
      <c r="CC966" s="161"/>
      <c r="CD966" s="161"/>
      <c r="CE966" s="161"/>
      <c r="CF966" s="161"/>
      <c r="CG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F967" s="161"/>
      <c r="BG967" s="161"/>
      <c r="BH967" s="161"/>
      <c r="BI967" s="161"/>
      <c r="BJ967" s="161"/>
      <c r="BK967" s="161"/>
      <c r="BL967" s="161"/>
      <c r="BM967" s="161"/>
      <c r="BN967" s="161"/>
      <c r="BO967" s="161"/>
      <c r="BP967" s="161"/>
      <c r="BQ967" s="161"/>
      <c r="BR967" s="161"/>
      <c r="BS967" s="161"/>
      <c r="BT967" s="161"/>
      <c r="BU967" s="161"/>
      <c r="BV967" s="161"/>
      <c r="BW967" s="161"/>
      <c r="BX967" s="161"/>
      <c r="BY967" s="161"/>
      <c r="BZ967" s="161"/>
      <c r="CA967" s="161"/>
      <c r="CB967" s="161"/>
      <c r="CC967" s="161"/>
      <c r="CD967" s="161"/>
      <c r="CE967" s="161"/>
      <c r="CF967" s="161"/>
      <c r="CG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161"/>
      <c r="BH968" s="161"/>
      <c r="BI968" s="161"/>
      <c r="BJ968" s="161"/>
      <c r="BK968" s="161"/>
      <c r="BL968" s="161"/>
      <c r="BM968" s="161"/>
      <c r="BN968" s="161"/>
      <c r="BO968" s="161"/>
      <c r="BP968" s="161"/>
      <c r="BQ968" s="161"/>
      <c r="BR968" s="161"/>
      <c r="BS968" s="161"/>
      <c r="BT968" s="161"/>
      <c r="BU968" s="161"/>
      <c r="BV968" s="161"/>
      <c r="BW968" s="161"/>
      <c r="BX968" s="161"/>
      <c r="BY968" s="161"/>
      <c r="BZ968" s="161"/>
      <c r="CA968" s="161"/>
      <c r="CB968" s="161"/>
      <c r="CC968" s="161"/>
      <c r="CD968" s="161"/>
      <c r="CE968" s="161"/>
      <c r="CF968" s="161"/>
      <c r="CG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1"/>
      <c r="BI969" s="161"/>
      <c r="BJ969" s="161"/>
      <c r="BK969" s="161"/>
      <c r="BL969" s="161"/>
      <c r="BM969" s="161"/>
      <c r="BN969" s="161"/>
      <c r="BO969" s="161"/>
      <c r="BP969" s="161"/>
      <c r="BQ969" s="161"/>
      <c r="BR969" s="161"/>
      <c r="BS969" s="161"/>
      <c r="BT969" s="161"/>
      <c r="BU969" s="161"/>
      <c r="BV969" s="161"/>
      <c r="BW969" s="161"/>
      <c r="BX969" s="161"/>
      <c r="BY969" s="161"/>
      <c r="BZ969" s="161"/>
      <c r="CA969" s="161"/>
      <c r="CB969" s="161"/>
      <c r="CC969" s="161"/>
      <c r="CD969" s="161"/>
      <c r="CE969" s="161"/>
      <c r="CF969" s="161"/>
      <c r="CG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F970" s="161"/>
      <c r="BG970" s="161"/>
      <c r="BH970" s="161"/>
      <c r="BI970" s="161"/>
      <c r="BJ970" s="161"/>
      <c r="BK970" s="161"/>
      <c r="BL970" s="161"/>
      <c r="BM970" s="161"/>
      <c r="BN970" s="161"/>
      <c r="BO970" s="161"/>
      <c r="BP970" s="161"/>
      <c r="BQ970" s="161"/>
      <c r="BR970" s="161"/>
      <c r="BS970" s="161"/>
      <c r="BT970" s="161"/>
      <c r="BU970" s="161"/>
      <c r="BV970" s="161"/>
      <c r="BW970" s="161"/>
      <c r="BX970" s="161"/>
      <c r="BY970" s="161"/>
      <c r="BZ970" s="161"/>
      <c r="CA970" s="161"/>
      <c r="CB970" s="161"/>
      <c r="CC970" s="161"/>
      <c r="CD970" s="161"/>
      <c r="CE970" s="161"/>
      <c r="CF970" s="161"/>
      <c r="CG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161"/>
      <c r="BH971" s="161"/>
      <c r="BI971" s="161"/>
      <c r="BJ971" s="161"/>
      <c r="BK971" s="161"/>
      <c r="BL971" s="161"/>
      <c r="BM971" s="161"/>
      <c r="BN971" s="161"/>
      <c r="BO971" s="161"/>
      <c r="BP971" s="161"/>
      <c r="BQ971" s="161"/>
      <c r="BR971" s="161"/>
      <c r="BS971" s="161"/>
      <c r="BT971" s="161"/>
      <c r="BU971" s="161"/>
      <c r="BV971" s="161"/>
      <c r="BW971" s="161"/>
      <c r="BX971" s="161"/>
      <c r="BY971" s="161"/>
      <c r="BZ971" s="161"/>
      <c r="CA971" s="161"/>
      <c r="CB971" s="161"/>
      <c r="CC971" s="161"/>
      <c r="CD971" s="161"/>
      <c r="CE971" s="161"/>
      <c r="CF971" s="161"/>
      <c r="CG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161"/>
      <c r="BH972" s="161"/>
      <c r="BI972" s="161"/>
      <c r="BJ972" s="161"/>
      <c r="BK972" s="161"/>
      <c r="BL972" s="161"/>
      <c r="BM972" s="161"/>
      <c r="BN972" s="161"/>
      <c r="BO972" s="161"/>
      <c r="BP972" s="161"/>
      <c r="BQ972" s="161"/>
      <c r="BR972" s="161"/>
      <c r="BS972" s="161"/>
      <c r="BT972" s="161"/>
      <c r="BU972" s="161"/>
      <c r="BV972" s="161"/>
      <c r="BW972" s="161"/>
      <c r="BX972" s="161"/>
      <c r="BY972" s="161"/>
      <c r="BZ972" s="161"/>
      <c r="CA972" s="161"/>
      <c r="CB972" s="161"/>
      <c r="CC972" s="161"/>
      <c r="CD972" s="161"/>
      <c r="CE972" s="161"/>
      <c r="CF972" s="161"/>
      <c r="CG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161"/>
      <c r="BH973" s="161"/>
      <c r="BI973" s="161"/>
      <c r="BJ973" s="161"/>
      <c r="BK973" s="161"/>
      <c r="BL973" s="161"/>
      <c r="BM973" s="161"/>
      <c r="BN973" s="161"/>
      <c r="BO973" s="161"/>
      <c r="BP973" s="161"/>
      <c r="BQ973" s="161"/>
      <c r="BR973" s="161"/>
      <c r="BS973" s="161"/>
      <c r="BT973" s="161"/>
      <c r="BU973" s="161"/>
      <c r="BV973" s="161"/>
      <c r="BW973" s="161"/>
      <c r="BX973" s="161"/>
      <c r="BY973" s="161"/>
      <c r="BZ973" s="161"/>
      <c r="CA973" s="161"/>
      <c r="CB973" s="161"/>
      <c r="CC973" s="161"/>
      <c r="CD973" s="161"/>
      <c r="CE973" s="161"/>
      <c r="CF973" s="161"/>
      <c r="CG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/>
      <c r="BG974" s="161"/>
      <c r="BH974" s="161"/>
      <c r="BI974" s="161"/>
      <c r="BJ974" s="161"/>
      <c r="BK974" s="161"/>
      <c r="BL974" s="161"/>
      <c r="BM974" s="161"/>
      <c r="BN974" s="161"/>
      <c r="BO974" s="161"/>
      <c r="BP974" s="161"/>
      <c r="BQ974" s="161"/>
      <c r="BR974" s="161"/>
      <c r="BS974" s="161"/>
      <c r="BT974" s="161"/>
      <c r="BU974" s="161"/>
      <c r="BV974" s="161"/>
      <c r="BW974" s="161"/>
      <c r="BX974" s="161"/>
      <c r="BY974" s="161"/>
      <c r="BZ974" s="161"/>
      <c r="CA974" s="161"/>
      <c r="CB974" s="161"/>
      <c r="CC974" s="161"/>
      <c r="CD974" s="161"/>
      <c r="CE974" s="161"/>
      <c r="CF974" s="161"/>
      <c r="CG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/>
      <c r="BG975" s="161"/>
      <c r="BH975" s="161"/>
      <c r="BI975" s="161"/>
      <c r="BJ975" s="161"/>
      <c r="BK975" s="161"/>
      <c r="BL975" s="161"/>
      <c r="BM975" s="161"/>
      <c r="BN975" s="161"/>
      <c r="BO975" s="161"/>
      <c r="BP975" s="161"/>
      <c r="BQ975" s="161"/>
      <c r="BR975" s="161"/>
      <c r="BS975" s="161"/>
      <c r="BT975" s="161"/>
      <c r="BU975" s="161"/>
      <c r="BV975" s="161"/>
      <c r="BW975" s="161"/>
      <c r="BX975" s="161"/>
      <c r="BY975" s="161"/>
      <c r="BZ975" s="161"/>
      <c r="CA975" s="161"/>
      <c r="CB975" s="161"/>
      <c r="CC975" s="161"/>
      <c r="CD975" s="161"/>
      <c r="CE975" s="161"/>
      <c r="CF975" s="161"/>
      <c r="CG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F976" s="161"/>
      <c r="BG976" s="161"/>
      <c r="BH976" s="161"/>
      <c r="BI976" s="161"/>
      <c r="BJ976" s="161"/>
      <c r="BK976" s="161"/>
      <c r="BL976" s="161"/>
      <c r="BM976" s="161"/>
      <c r="BN976" s="161"/>
      <c r="BO976" s="161"/>
      <c r="BP976" s="161"/>
      <c r="BQ976" s="161"/>
      <c r="BR976" s="161"/>
      <c r="BS976" s="161"/>
      <c r="BT976" s="161"/>
      <c r="BU976" s="161"/>
      <c r="BV976" s="161"/>
      <c r="BW976" s="161"/>
      <c r="BX976" s="161"/>
      <c r="BY976" s="161"/>
      <c r="BZ976" s="161"/>
      <c r="CA976" s="161"/>
      <c r="CB976" s="161"/>
      <c r="CC976" s="161"/>
      <c r="CD976" s="161"/>
      <c r="CE976" s="161"/>
      <c r="CF976" s="161"/>
      <c r="CG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161"/>
      <c r="BH977" s="161"/>
      <c r="BI977" s="161"/>
      <c r="BJ977" s="161"/>
      <c r="BK977" s="161"/>
      <c r="BL977" s="161"/>
      <c r="BM977" s="161"/>
      <c r="BN977" s="161"/>
      <c r="BO977" s="161"/>
      <c r="BP977" s="161"/>
      <c r="BQ977" s="161"/>
      <c r="BR977" s="161"/>
      <c r="BS977" s="161"/>
      <c r="BT977" s="161"/>
      <c r="BU977" s="161"/>
      <c r="BV977" s="161"/>
      <c r="BW977" s="161"/>
      <c r="BX977" s="161"/>
      <c r="BY977" s="161"/>
      <c r="BZ977" s="161"/>
      <c r="CA977" s="161"/>
      <c r="CB977" s="161"/>
      <c r="CC977" s="161"/>
      <c r="CD977" s="161"/>
      <c r="CE977" s="161"/>
      <c r="CF977" s="161"/>
      <c r="CG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161"/>
      <c r="BH978" s="161"/>
      <c r="BI978" s="161"/>
      <c r="BJ978" s="161"/>
      <c r="BK978" s="161"/>
      <c r="BL978" s="161"/>
      <c r="BM978" s="161"/>
      <c r="BN978" s="161"/>
      <c r="BO978" s="161"/>
      <c r="BP978" s="161"/>
      <c r="BQ978" s="161"/>
      <c r="BR978" s="161"/>
      <c r="BS978" s="161"/>
      <c r="BT978" s="161"/>
      <c r="BU978" s="161"/>
      <c r="BV978" s="161"/>
      <c r="BW978" s="161"/>
      <c r="BX978" s="161"/>
      <c r="BY978" s="161"/>
      <c r="BZ978" s="161"/>
      <c r="CA978" s="161"/>
      <c r="CB978" s="161"/>
      <c r="CC978" s="161"/>
      <c r="CD978" s="161"/>
      <c r="CE978" s="161"/>
      <c r="CF978" s="161"/>
      <c r="CG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161"/>
      <c r="BH979" s="161"/>
      <c r="BI979" s="161"/>
      <c r="BJ979" s="161"/>
      <c r="BK979" s="161"/>
      <c r="BL979" s="161"/>
      <c r="BM979" s="161"/>
      <c r="BN979" s="161"/>
      <c r="BO979" s="161"/>
      <c r="BP979" s="161"/>
      <c r="BQ979" s="161"/>
      <c r="BR979" s="161"/>
      <c r="BS979" s="161"/>
      <c r="BT979" s="161"/>
      <c r="BU979" s="161"/>
      <c r="BV979" s="161"/>
      <c r="BW979" s="161"/>
      <c r="BX979" s="161"/>
      <c r="BY979" s="161"/>
      <c r="BZ979" s="161"/>
      <c r="CA979" s="161"/>
      <c r="CB979" s="161"/>
      <c r="CC979" s="161"/>
      <c r="CD979" s="161"/>
      <c r="CE979" s="161"/>
      <c r="CF979" s="161"/>
      <c r="CG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161"/>
      <c r="BH980" s="161"/>
      <c r="BI980" s="161"/>
      <c r="BJ980" s="161"/>
      <c r="BK980" s="161"/>
      <c r="BL980" s="161"/>
      <c r="BM980" s="161"/>
      <c r="BN980" s="161"/>
      <c r="BO980" s="161"/>
      <c r="BP980" s="161"/>
      <c r="BQ980" s="161"/>
      <c r="BR980" s="161"/>
      <c r="BS980" s="161"/>
      <c r="BT980" s="161"/>
      <c r="BU980" s="161"/>
      <c r="BV980" s="161"/>
      <c r="BW980" s="161"/>
      <c r="BX980" s="161"/>
      <c r="BY980" s="161"/>
      <c r="BZ980" s="161"/>
      <c r="CA980" s="161"/>
      <c r="CB980" s="161"/>
      <c r="CC980" s="161"/>
      <c r="CD980" s="161"/>
      <c r="CE980" s="161"/>
      <c r="CF980" s="161"/>
      <c r="CG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F981" s="161"/>
      <c r="BG981" s="161"/>
      <c r="BH981" s="161"/>
      <c r="BI981" s="161"/>
      <c r="BJ981" s="161"/>
      <c r="BK981" s="161"/>
      <c r="BL981" s="161"/>
      <c r="BM981" s="161"/>
      <c r="BN981" s="161"/>
      <c r="BO981" s="161"/>
      <c r="BP981" s="161"/>
      <c r="BQ981" s="161"/>
      <c r="BR981" s="161"/>
      <c r="BS981" s="161"/>
      <c r="BT981" s="161"/>
      <c r="BU981" s="161"/>
      <c r="BV981" s="161"/>
      <c r="BW981" s="161"/>
      <c r="BX981" s="161"/>
      <c r="BY981" s="161"/>
      <c r="BZ981" s="161"/>
      <c r="CA981" s="161"/>
      <c r="CB981" s="161"/>
      <c r="CC981" s="161"/>
      <c r="CD981" s="161"/>
      <c r="CE981" s="161"/>
      <c r="CF981" s="161"/>
      <c r="CG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161"/>
      <c r="BH982" s="161"/>
      <c r="BI982" s="161"/>
      <c r="BJ982" s="161"/>
      <c r="BK982" s="161"/>
      <c r="BL982" s="161"/>
      <c r="BM982" s="161"/>
      <c r="BN982" s="161"/>
      <c r="BO982" s="161"/>
      <c r="BP982" s="161"/>
      <c r="BQ982" s="161"/>
      <c r="BR982" s="161"/>
      <c r="BS982" s="161"/>
      <c r="BT982" s="161"/>
      <c r="BU982" s="161"/>
      <c r="BV982" s="161"/>
      <c r="BW982" s="161"/>
      <c r="BX982" s="161"/>
      <c r="BY982" s="161"/>
      <c r="BZ982" s="161"/>
      <c r="CA982" s="161"/>
      <c r="CB982" s="161"/>
      <c r="CC982" s="161"/>
      <c r="CD982" s="161"/>
      <c r="CE982" s="161"/>
      <c r="CF982" s="161"/>
      <c r="CG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161"/>
      <c r="BH983" s="161"/>
      <c r="BI983" s="161"/>
      <c r="BJ983" s="161"/>
      <c r="BK983" s="161"/>
      <c r="BL983" s="161"/>
      <c r="BM983" s="161"/>
      <c r="BN983" s="161"/>
      <c r="BO983" s="161"/>
      <c r="BP983" s="161"/>
      <c r="BQ983" s="161"/>
      <c r="BR983" s="161"/>
      <c r="BS983" s="161"/>
      <c r="BT983" s="161"/>
      <c r="BU983" s="161"/>
      <c r="BV983" s="161"/>
      <c r="BW983" s="161"/>
      <c r="BX983" s="161"/>
      <c r="BY983" s="161"/>
      <c r="BZ983" s="161"/>
      <c r="CA983" s="161"/>
      <c r="CB983" s="161"/>
      <c r="CC983" s="161"/>
      <c r="CD983" s="161"/>
      <c r="CE983" s="161"/>
      <c r="CF983" s="161"/>
      <c r="CG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161"/>
      <c r="BH984" s="161"/>
      <c r="BI984" s="161"/>
      <c r="BJ984" s="161"/>
      <c r="BK984" s="161"/>
      <c r="BL984" s="161"/>
      <c r="BM984" s="161"/>
      <c r="BN984" s="161"/>
      <c r="BO984" s="161"/>
      <c r="BP984" s="161"/>
      <c r="BQ984" s="161"/>
      <c r="BR984" s="161"/>
      <c r="BS984" s="161"/>
      <c r="BT984" s="161"/>
      <c r="BU984" s="161"/>
      <c r="BV984" s="161"/>
      <c r="BW984" s="161"/>
      <c r="BX984" s="161"/>
      <c r="BY984" s="161"/>
      <c r="BZ984" s="161"/>
      <c r="CA984" s="161"/>
      <c r="CB984" s="161"/>
      <c r="CC984" s="161"/>
      <c r="CD984" s="161"/>
      <c r="CE984" s="161"/>
      <c r="CF984" s="161"/>
      <c r="CG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161"/>
      <c r="BH985" s="161"/>
      <c r="BI985" s="161"/>
      <c r="BJ985" s="161"/>
      <c r="BK985" s="161"/>
      <c r="BL985" s="161"/>
      <c r="BM985" s="161"/>
      <c r="BN985" s="161"/>
      <c r="BO985" s="161"/>
      <c r="BP985" s="161"/>
      <c r="BQ985" s="161"/>
      <c r="BR985" s="161"/>
      <c r="BS985" s="161"/>
      <c r="BT985" s="161"/>
      <c r="BU985" s="161"/>
      <c r="BV985" s="161"/>
      <c r="BW985" s="161"/>
      <c r="BX985" s="161"/>
      <c r="BY985" s="161"/>
      <c r="BZ985" s="161"/>
      <c r="CA985" s="161"/>
      <c r="CB985" s="161"/>
      <c r="CC985" s="161"/>
      <c r="CD985" s="161"/>
      <c r="CE985" s="161"/>
      <c r="CF985" s="161"/>
      <c r="CG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161"/>
      <c r="BH986" s="161"/>
      <c r="BI986" s="161"/>
      <c r="BJ986" s="161"/>
      <c r="BK986" s="161"/>
      <c r="BL986" s="161"/>
      <c r="BM986" s="161"/>
      <c r="BN986" s="161"/>
      <c r="BO986" s="161"/>
      <c r="BP986" s="161"/>
      <c r="BQ986" s="161"/>
      <c r="BR986" s="161"/>
      <c r="BS986" s="161"/>
      <c r="BT986" s="161"/>
      <c r="BU986" s="161"/>
      <c r="BV986" s="161"/>
      <c r="BW986" s="161"/>
      <c r="BX986" s="161"/>
      <c r="BY986" s="161"/>
      <c r="BZ986" s="161"/>
      <c r="CA986" s="161"/>
      <c r="CB986" s="161"/>
      <c r="CC986" s="161"/>
      <c r="CD986" s="161"/>
      <c r="CE986" s="161"/>
      <c r="CF986" s="161"/>
      <c r="CG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161"/>
      <c r="BH987" s="161"/>
      <c r="BI987" s="161"/>
      <c r="BJ987" s="161"/>
      <c r="BK987" s="161"/>
      <c r="BL987" s="161"/>
      <c r="BM987" s="161"/>
      <c r="BN987" s="161"/>
      <c r="BO987" s="161"/>
      <c r="BP987" s="161"/>
      <c r="BQ987" s="161"/>
      <c r="BR987" s="161"/>
      <c r="BS987" s="161"/>
      <c r="BT987" s="161"/>
      <c r="BU987" s="161"/>
      <c r="BV987" s="161"/>
      <c r="BW987" s="161"/>
      <c r="BX987" s="161"/>
      <c r="BY987" s="161"/>
      <c r="BZ987" s="161"/>
      <c r="CA987" s="161"/>
      <c r="CB987" s="161"/>
      <c r="CC987" s="161"/>
      <c r="CD987" s="161"/>
      <c r="CE987" s="161"/>
      <c r="CF987" s="161"/>
      <c r="CG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161"/>
      <c r="BH988" s="161"/>
      <c r="BI988" s="161"/>
      <c r="BJ988" s="161"/>
      <c r="BK988" s="161"/>
      <c r="BL988" s="161"/>
      <c r="BM988" s="161"/>
      <c r="BN988" s="161"/>
      <c r="BO988" s="161"/>
      <c r="BP988" s="161"/>
      <c r="BQ988" s="161"/>
      <c r="BR988" s="161"/>
      <c r="BS988" s="161"/>
      <c r="BT988" s="161"/>
      <c r="BU988" s="161"/>
      <c r="BV988" s="161"/>
      <c r="BW988" s="161"/>
      <c r="BX988" s="161"/>
      <c r="BY988" s="161"/>
      <c r="BZ988" s="161"/>
      <c r="CA988" s="161"/>
      <c r="CB988" s="161"/>
      <c r="CC988" s="161"/>
      <c r="CD988" s="161"/>
      <c r="CE988" s="161"/>
      <c r="CF988" s="161"/>
      <c r="CG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161"/>
      <c r="BH989" s="161"/>
      <c r="BI989" s="161"/>
      <c r="BJ989" s="161"/>
      <c r="BK989" s="161"/>
      <c r="BL989" s="161"/>
      <c r="BM989" s="161"/>
      <c r="BN989" s="161"/>
      <c r="BO989" s="161"/>
      <c r="BP989" s="161"/>
      <c r="BQ989" s="161"/>
      <c r="BR989" s="161"/>
      <c r="BS989" s="161"/>
      <c r="BT989" s="161"/>
      <c r="BU989" s="161"/>
      <c r="BV989" s="161"/>
      <c r="BW989" s="161"/>
      <c r="BX989" s="161"/>
      <c r="BY989" s="161"/>
      <c r="BZ989" s="161"/>
      <c r="CA989" s="161"/>
      <c r="CB989" s="161"/>
      <c r="CC989" s="161"/>
      <c r="CD989" s="161"/>
      <c r="CE989" s="161"/>
      <c r="CF989" s="161"/>
      <c r="CG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F990" s="161"/>
      <c r="BG990" s="161"/>
      <c r="BH990" s="161"/>
      <c r="BI990" s="161"/>
      <c r="BJ990" s="161"/>
      <c r="BK990" s="161"/>
      <c r="BL990" s="161"/>
      <c r="BM990" s="161"/>
      <c r="BN990" s="161"/>
      <c r="BO990" s="161"/>
      <c r="BP990" s="161"/>
      <c r="BQ990" s="161"/>
      <c r="BR990" s="161"/>
      <c r="BS990" s="161"/>
      <c r="BT990" s="161"/>
      <c r="BU990" s="161"/>
      <c r="BV990" s="161"/>
      <c r="BW990" s="161"/>
      <c r="BX990" s="161"/>
      <c r="BY990" s="161"/>
      <c r="BZ990" s="161"/>
      <c r="CA990" s="161"/>
      <c r="CB990" s="161"/>
      <c r="CC990" s="161"/>
      <c r="CD990" s="161"/>
      <c r="CE990" s="161"/>
      <c r="CF990" s="161"/>
      <c r="CG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161"/>
      <c r="BH991" s="161"/>
      <c r="BI991" s="161"/>
      <c r="BJ991" s="161"/>
      <c r="BK991" s="161"/>
      <c r="BL991" s="161"/>
      <c r="BM991" s="161"/>
      <c r="BN991" s="161"/>
      <c r="BO991" s="161"/>
      <c r="BP991" s="161"/>
      <c r="BQ991" s="161"/>
      <c r="BR991" s="161"/>
      <c r="BS991" s="161"/>
      <c r="BT991" s="161"/>
      <c r="BU991" s="161"/>
      <c r="BV991" s="161"/>
      <c r="BW991" s="161"/>
      <c r="BX991" s="161"/>
      <c r="BY991" s="161"/>
      <c r="BZ991" s="161"/>
      <c r="CA991" s="161"/>
      <c r="CB991" s="161"/>
      <c r="CC991" s="161"/>
      <c r="CD991" s="161"/>
      <c r="CE991" s="161"/>
      <c r="CF991" s="161"/>
      <c r="CG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/>
      <c r="BG992" s="161"/>
      <c r="BH992" s="161"/>
      <c r="BI992" s="161"/>
      <c r="BJ992" s="161"/>
      <c r="BK992" s="161"/>
      <c r="BL992" s="161"/>
      <c r="BM992" s="161"/>
      <c r="BN992" s="161"/>
      <c r="BO992" s="161"/>
      <c r="BP992" s="161"/>
      <c r="BQ992" s="161"/>
      <c r="BR992" s="161"/>
      <c r="BS992" s="161"/>
      <c r="BT992" s="161"/>
      <c r="BU992" s="161"/>
      <c r="BV992" s="161"/>
      <c r="BW992" s="161"/>
      <c r="BX992" s="161"/>
      <c r="BY992" s="161"/>
      <c r="BZ992" s="161"/>
      <c r="CA992" s="161"/>
      <c r="CB992" s="161"/>
      <c r="CC992" s="161"/>
      <c r="CD992" s="161"/>
      <c r="CE992" s="161"/>
      <c r="CF992" s="161"/>
      <c r="CG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161"/>
      <c r="BH993" s="161"/>
      <c r="BI993" s="161"/>
      <c r="BJ993" s="161"/>
      <c r="BK993" s="161"/>
      <c r="BL993" s="161"/>
      <c r="BM993" s="161"/>
      <c r="BN993" s="161"/>
      <c r="BO993" s="161"/>
      <c r="BP993" s="161"/>
      <c r="BQ993" s="161"/>
      <c r="BR993" s="161"/>
      <c r="BS993" s="161"/>
      <c r="BT993" s="161"/>
      <c r="BU993" s="161"/>
      <c r="BV993" s="161"/>
      <c r="BW993" s="161"/>
      <c r="BX993" s="161"/>
      <c r="BY993" s="161"/>
      <c r="BZ993" s="161"/>
      <c r="CA993" s="161"/>
      <c r="CB993" s="161"/>
      <c r="CC993" s="161"/>
      <c r="CD993" s="161"/>
      <c r="CE993" s="161"/>
      <c r="CF993" s="161"/>
      <c r="CG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F994" s="161"/>
      <c r="BG994" s="161"/>
      <c r="BH994" s="161"/>
      <c r="BI994" s="161"/>
      <c r="BJ994" s="161"/>
      <c r="BK994" s="161"/>
      <c r="BL994" s="161"/>
      <c r="BM994" s="161"/>
      <c r="BN994" s="161"/>
      <c r="BO994" s="161"/>
      <c r="BP994" s="161"/>
      <c r="BQ994" s="161"/>
      <c r="BR994" s="161"/>
      <c r="BS994" s="161"/>
      <c r="BT994" s="161"/>
      <c r="BU994" s="161"/>
      <c r="BV994" s="161"/>
      <c r="BW994" s="161"/>
      <c r="BX994" s="161"/>
      <c r="BY994" s="161"/>
      <c r="BZ994" s="161"/>
      <c r="CA994" s="161"/>
      <c r="CB994" s="161"/>
      <c r="CC994" s="161"/>
      <c r="CD994" s="161"/>
      <c r="CE994" s="161"/>
      <c r="CF994" s="161"/>
      <c r="CG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161"/>
      <c r="BH995" s="161"/>
      <c r="BI995" s="161"/>
      <c r="BJ995" s="161"/>
      <c r="BK995" s="161"/>
      <c r="BL995" s="161"/>
      <c r="BM995" s="161"/>
      <c r="BN995" s="161"/>
      <c r="BO995" s="161"/>
      <c r="BP995" s="161"/>
      <c r="BQ995" s="161"/>
      <c r="BR995" s="161"/>
      <c r="BS995" s="161"/>
      <c r="BT995" s="161"/>
      <c r="BU995" s="161"/>
      <c r="BV995" s="161"/>
      <c r="BW995" s="161"/>
      <c r="BX995" s="161"/>
      <c r="BY995" s="161"/>
      <c r="BZ995" s="161"/>
      <c r="CA995" s="161"/>
      <c r="CB995" s="161"/>
      <c r="CC995" s="161"/>
      <c r="CD995" s="161"/>
      <c r="CE995" s="161"/>
      <c r="CF995" s="161"/>
      <c r="CG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F996" s="161"/>
      <c r="BG996" s="161"/>
      <c r="BH996" s="161"/>
      <c r="BI996" s="161"/>
      <c r="BJ996" s="161"/>
      <c r="BK996" s="161"/>
      <c r="BL996" s="161"/>
      <c r="BM996" s="161"/>
      <c r="BN996" s="161"/>
      <c r="BO996" s="161"/>
      <c r="BP996" s="161"/>
      <c r="BQ996" s="161"/>
      <c r="BR996" s="161"/>
      <c r="BS996" s="161"/>
      <c r="BT996" s="161"/>
      <c r="BU996" s="161"/>
      <c r="BV996" s="161"/>
      <c r="BW996" s="161"/>
      <c r="BX996" s="161"/>
      <c r="BY996" s="161"/>
      <c r="BZ996" s="161"/>
      <c r="CA996" s="161"/>
      <c r="CB996" s="161"/>
      <c r="CC996" s="161"/>
      <c r="CD996" s="161"/>
      <c r="CE996" s="161"/>
      <c r="CF996" s="161"/>
      <c r="CG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F997" s="161"/>
      <c r="BG997" s="161"/>
      <c r="BH997" s="161"/>
      <c r="BI997" s="161"/>
      <c r="BJ997" s="161"/>
      <c r="BK997" s="161"/>
      <c r="BL997" s="161"/>
      <c r="BM997" s="161"/>
      <c r="BN997" s="161"/>
      <c r="BO997" s="161"/>
      <c r="BP997" s="161"/>
      <c r="BQ997" s="161"/>
      <c r="BR997" s="161"/>
      <c r="BS997" s="161"/>
      <c r="BT997" s="161"/>
      <c r="BU997" s="161"/>
      <c r="BV997" s="161"/>
      <c r="BW997" s="161"/>
      <c r="BX997" s="161"/>
      <c r="BY997" s="161"/>
      <c r="BZ997" s="161"/>
      <c r="CA997" s="161"/>
      <c r="CB997" s="161"/>
      <c r="CC997" s="161"/>
      <c r="CD997" s="161"/>
      <c r="CE997" s="161"/>
      <c r="CF997" s="161"/>
      <c r="CG997" s="161"/>
    </row>
    <row r="998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161"/>
      <c r="BH998" s="161"/>
      <c r="BI998" s="161"/>
      <c r="BJ998" s="161"/>
      <c r="BK998" s="161"/>
      <c r="BL998" s="161"/>
      <c r="BM998" s="161"/>
      <c r="BN998" s="161"/>
      <c r="BO998" s="161"/>
      <c r="BP998" s="161"/>
      <c r="BQ998" s="161"/>
      <c r="BR998" s="161"/>
      <c r="BS998" s="161"/>
      <c r="BT998" s="161"/>
      <c r="BU998" s="161"/>
      <c r="BV998" s="161"/>
      <c r="BW998" s="161"/>
      <c r="BX998" s="161"/>
      <c r="BY998" s="161"/>
      <c r="BZ998" s="161"/>
      <c r="CA998" s="161"/>
      <c r="CB998" s="161"/>
      <c r="CC998" s="161"/>
      <c r="CD998" s="161"/>
      <c r="CE998" s="161"/>
      <c r="CF998" s="161"/>
      <c r="CG998" s="161"/>
    </row>
    <row r="999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/>
      <c r="BG999" s="161"/>
      <c r="BH999" s="161"/>
      <c r="BI999" s="161"/>
      <c r="BJ999" s="161"/>
      <c r="BK999" s="161"/>
      <c r="BL999" s="161"/>
      <c r="BM999" s="161"/>
      <c r="BN999" s="161"/>
      <c r="BO999" s="161"/>
      <c r="BP999" s="161"/>
      <c r="BQ999" s="161"/>
      <c r="BR999" s="161"/>
      <c r="BS999" s="161"/>
      <c r="BT999" s="161"/>
      <c r="BU999" s="161"/>
      <c r="BV999" s="161"/>
      <c r="BW999" s="161"/>
      <c r="BX999" s="161"/>
      <c r="BY999" s="161"/>
      <c r="BZ999" s="161"/>
      <c r="CA999" s="161"/>
      <c r="CB999" s="161"/>
      <c r="CC999" s="161"/>
      <c r="CD999" s="161"/>
      <c r="CE999" s="161"/>
      <c r="CF999" s="161"/>
      <c r="CG999" s="161"/>
    </row>
    <row r="1000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/>
      <c r="BG1000" s="161"/>
      <c r="BH1000" s="161"/>
      <c r="BI1000" s="161"/>
      <c r="BJ1000" s="161"/>
      <c r="BK1000" s="161"/>
      <c r="BL1000" s="161"/>
      <c r="BM1000" s="161"/>
      <c r="BN1000" s="161"/>
      <c r="BO1000" s="161"/>
      <c r="BP1000" s="161"/>
      <c r="BQ1000" s="161"/>
      <c r="BR1000" s="161"/>
      <c r="BS1000" s="161"/>
      <c r="BT1000" s="161"/>
      <c r="BU1000" s="161"/>
      <c r="BV1000" s="161"/>
      <c r="BW1000" s="161"/>
      <c r="BX1000" s="161"/>
      <c r="BY1000" s="161"/>
      <c r="BZ1000" s="161"/>
      <c r="CA1000" s="161"/>
      <c r="CB1000" s="161"/>
      <c r="CC1000" s="161"/>
      <c r="CD1000" s="161"/>
      <c r="CE1000" s="161"/>
      <c r="CF1000" s="161"/>
      <c r="CG1000" s="161"/>
    </row>
    <row r="100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  <c r="BD1001" s="161"/>
      <c r="BE1001" s="161"/>
      <c r="BF1001" s="161"/>
      <c r="BG1001" s="161"/>
      <c r="BH1001" s="161"/>
      <c r="BI1001" s="161"/>
      <c r="BJ1001" s="161"/>
      <c r="BK1001" s="161"/>
      <c r="BL1001" s="161"/>
      <c r="BM1001" s="161"/>
      <c r="BN1001" s="161"/>
      <c r="BO1001" s="161"/>
      <c r="BP1001" s="161"/>
      <c r="BQ1001" s="161"/>
      <c r="BR1001" s="161"/>
      <c r="BS1001" s="161"/>
      <c r="BT1001" s="161"/>
      <c r="BU1001" s="161"/>
      <c r="BV1001" s="161"/>
      <c r="BW1001" s="161"/>
      <c r="BX1001" s="161"/>
      <c r="BY1001" s="161"/>
      <c r="BZ1001" s="161"/>
      <c r="CA1001" s="161"/>
      <c r="CB1001" s="161"/>
      <c r="CC1001" s="161"/>
      <c r="CD1001" s="161"/>
      <c r="CE1001" s="161"/>
      <c r="CF1001" s="161"/>
      <c r="CG1001" s="161"/>
    </row>
    <row r="1002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1"/>
      <c r="AN1002" s="161"/>
      <c r="AO1002" s="161"/>
      <c r="AP1002" s="161"/>
      <c r="AQ1002" s="161"/>
      <c r="AR1002" s="161"/>
      <c r="AS1002" s="161"/>
      <c r="AT1002" s="161"/>
      <c r="AU1002" s="161"/>
      <c r="AV1002" s="161"/>
      <c r="AW1002" s="161"/>
      <c r="AX1002" s="161"/>
      <c r="AY1002" s="161"/>
      <c r="AZ1002" s="161"/>
      <c r="BA1002" s="161"/>
      <c r="BB1002" s="161"/>
      <c r="BC1002" s="161"/>
      <c r="BD1002" s="161"/>
      <c r="BE1002" s="161"/>
      <c r="BF1002" s="161"/>
      <c r="BG1002" s="161"/>
      <c r="BH1002" s="161"/>
      <c r="BI1002" s="161"/>
      <c r="BJ1002" s="161"/>
      <c r="BK1002" s="161"/>
      <c r="BL1002" s="161"/>
      <c r="BM1002" s="161"/>
      <c r="BN1002" s="161"/>
      <c r="BO1002" s="161"/>
      <c r="BP1002" s="161"/>
      <c r="BQ1002" s="161"/>
      <c r="BR1002" s="161"/>
      <c r="BS1002" s="161"/>
      <c r="BT1002" s="161"/>
      <c r="BU1002" s="161"/>
      <c r="BV1002" s="161"/>
      <c r="BW1002" s="161"/>
      <c r="BX1002" s="161"/>
      <c r="BY1002" s="161"/>
      <c r="BZ1002" s="161"/>
      <c r="CA1002" s="161"/>
      <c r="CB1002" s="161"/>
      <c r="CC1002" s="161"/>
      <c r="CD1002" s="161"/>
      <c r="CE1002" s="161"/>
      <c r="CF1002" s="161"/>
      <c r="CG1002" s="161"/>
    </row>
    <row r="1003">
      <c r="A1003" s="16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/>
      <c r="BA1003" s="161"/>
      <c r="BB1003" s="161"/>
      <c r="BC1003" s="161"/>
      <c r="BD1003" s="161"/>
      <c r="BE1003" s="161"/>
      <c r="BF1003" s="161"/>
      <c r="BG1003" s="161"/>
      <c r="BH1003" s="161"/>
      <c r="BI1003" s="161"/>
      <c r="BJ1003" s="161"/>
      <c r="BK1003" s="161"/>
      <c r="BL1003" s="161"/>
      <c r="BM1003" s="161"/>
      <c r="BN1003" s="161"/>
      <c r="BO1003" s="161"/>
      <c r="BP1003" s="161"/>
      <c r="BQ1003" s="161"/>
      <c r="BR1003" s="161"/>
      <c r="BS1003" s="161"/>
      <c r="BT1003" s="161"/>
      <c r="BU1003" s="161"/>
      <c r="BV1003" s="161"/>
      <c r="BW1003" s="161"/>
      <c r="BX1003" s="161"/>
      <c r="BY1003" s="161"/>
      <c r="BZ1003" s="161"/>
      <c r="CA1003" s="161"/>
      <c r="CB1003" s="161"/>
      <c r="CC1003" s="161"/>
      <c r="CD1003" s="161"/>
      <c r="CE1003" s="161"/>
      <c r="CF1003" s="161"/>
      <c r="CG1003" s="161"/>
    </row>
    <row r="1004">
      <c r="A1004" s="16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1"/>
      <c r="AN1004" s="161"/>
      <c r="AO1004" s="161"/>
      <c r="AP1004" s="161"/>
      <c r="AQ1004" s="161"/>
      <c r="AR1004" s="161"/>
      <c r="AS1004" s="161"/>
      <c r="AT1004" s="161"/>
      <c r="AU1004" s="161"/>
      <c r="AV1004" s="161"/>
      <c r="AW1004" s="161"/>
      <c r="AX1004" s="161"/>
      <c r="AY1004" s="161"/>
      <c r="AZ1004" s="161"/>
      <c r="BA1004" s="161"/>
      <c r="BB1004" s="161"/>
      <c r="BC1004" s="161"/>
      <c r="BD1004" s="161"/>
      <c r="BE1004" s="161"/>
      <c r="BF1004" s="161"/>
      <c r="BG1004" s="161"/>
      <c r="BH1004" s="161"/>
      <c r="BI1004" s="161"/>
      <c r="BJ1004" s="161"/>
      <c r="BK1004" s="161"/>
      <c r="BL1004" s="161"/>
      <c r="BM1004" s="161"/>
      <c r="BN1004" s="161"/>
      <c r="BO1004" s="161"/>
      <c r="BP1004" s="161"/>
      <c r="BQ1004" s="161"/>
      <c r="BR1004" s="161"/>
      <c r="BS1004" s="161"/>
      <c r="BT1004" s="161"/>
      <c r="BU1004" s="161"/>
      <c r="BV1004" s="161"/>
      <c r="BW1004" s="161"/>
      <c r="BX1004" s="161"/>
      <c r="BY1004" s="161"/>
      <c r="BZ1004" s="161"/>
      <c r="CA1004" s="161"/>
      <c r="CB1004" s="161"/>
      <c r="CC1004" s="161"/>
      <c r="CD1004" s="161"/>
      <c r="CE1004" s="161"/>
      <c r="CF1004" s="161"/>
      <c r="CG1004" s="161"/>
    </row>
    <row r="1005">
      <c r="A1005" s="16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  <c r="BD1005" s="161"/>
      <c r="BE1005" s="161"/>
      <c r="BF1005" s="161"/>
      <c r="BG1005" s="161"/>
      <c r="BH1005" s="161"/>
      <c r="BI1005" s="161"/>
      <c r="BJ1005" s="161"/>
      <c r="BK1005" s="161"/>
      <c r="BL1005" s="161"/>
      <c r="BM1005" s="161"/>
      <c r="BN1005" s="161"/>
      <c r="BO1005" s="161"/>
      <c r="BP1005" s="161"/>
      <c r="BQ1005" s="161"/>
      <c r="BR1005" s="161"/>
      <c r="BS1005" s="161"/>
      <c r="BT1005" s="161"/>
      <c r="BU1005" s="161"/>
      <c r="BV1005" s="161"/>
      <c r="BW1005" s="161"/>
      <c r="BX1005" s="161"/>
      <c r="BY1005" s="161"/>
      <c r="BZ1005" s="161"/>
      <c r="CA1005" s="161"/>
      <c r="CB1005" s="161"/>
      <c r="CC1005" s="161"/>
      <c r="CD1005" s="161"/>
      <c r="CE1005" s="161"/>
      <c r="CF1005" s="161"/>
      <c r="CG1005" s="161"/>
    </row>
    <row r="1006">
      <c r="A1006" s="16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1"/>
      <c r="AN1006" s="161"/>
      <c r="AO1006" s="161"/>
      <c r="AP1006" s="161"/>
      <c r="AQ1006" s="161"/>
      <c r="AR1006" s="161"/>
      <c r="AS1006" s="161"/>
      <c r="AT1006" s="161"/>
      <c r="AU1006" s="161"/>
      <c r="AV1006" s="161"/>
      <c r="AW1006" s="161"/>
      <c r="AX1006" s="161"/>
      <c r="AY1006" s="161"/>
      <c r="AZ1006" s="161"/>
      <c r="BA1006" s="161"/>
      <c r="BB1006" s="161"/>
      <c r="BC1006" s="161"/>
      <c r="BD1006" s="161"/>
      <c r="BE1006" s="161"/>
      <c r="BF1006" s="161"/>
      <c r="BG1006" s="161"/>
      <c r="BH1006" s="161"/>
      <c r="BI1006" s="161"/>
      <c r="BJ1006" s="161"/>
      <c r="BK1006" s="161"/>
      <c r="BL1006" s="161"/>
      <c r="BM1006" s="161"/>
      <c r="BN1006" s="161"/>
      <c r="BO1006" s="161"/>
      <c r="BP1006" s="161"/>
      <c r="BQ1006" s="161"/>
      <c r="BR1006" s="161"/>
      <c r="BS1006" s="161"/>
      <c r="BT1006" s="161"/>
      <c r="BU1006" s="161"/>
      <c r="BV1006" s="161"/>
      <c r="BW1006" s="161"/>
      <c r="BX1006" s="161"/>
      <c r="BY1006" s="161"/>
      <c r="BZ1006" s="161"/>
      <c r="CA1006" s="161"/>
      <c r="CB1006" s="161"/>
      <c r="CC1006" s="161"/>
      <c r="CD1006" s="161"/>
      <c r="CE1006" s="161"/>
      <c r="CF1006" s="161"/>
      <c r="CG1006" s="161"/>
    </row>
    <row r="1007">
      <c r="A1007" s="16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  <c r="BD1007" s="161"/>
      <c r="BE1007" s="161"/>
      <c r="BF1007" s="161"/>
      <c r="BG1007" s="161"/>
      <c r="BH1007" s="161"/>
      <c r="BI1007" s="161"/>
      <c r="BJ1007" s="161"/>
      <c r="BK1007" s="161"/>
      <c r="BL1007" s="161"/>
      <c r="BM1007" s="161"/>
      <c r="BN1007" s="161"/>
      <c r="BO1007" s="161"/>
      <c r="BP1007" s="161"/>
      <c r="BQ1007" s="161"/>
      <c r="BR1007" s="161"/>
      <c r="BS1007" s="161"/>
      <c r="BT1007" s="161"/>
      <c r="BU1007" s="161"/>
      <c r="BV1007" s="161"/>
      <c r="BW1007" s="161"/>
      <c r="BX1007" s="161"/>
      <c r="BY1007" s="161"/>
      <c r="BZ1007" s="161"/>
      <c r="CA1007" s="161"/>
      <c r="CB1007" s="161"/>
      <c r="CC1007" s="161"/>
      <c r="CD1007" s="161"/>
      <c r="CE1007" s="161"/>
      <c r="CF1007" s="161"/>
      <c r="CG1007" s="161"/>
    </row>
    <row r="1008">
      <c r="A1008" s="16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1"/>
      <c r="AN1008" s="161"/>
      <c r="AO1008" s="161"/>
      <c r="AP1008" s="161"/>
      <c r="AQ1008" s="161"/>
      <c r="AR1008" s="161"/>
      <c r="AS1008" s="161"/>
      <c r="AT1008" s="161"/>
      <c r="AU1008" s="161"/>
      <c r="AV1008" s="161"/>
      <c r="AW1008" s="161"/>
      <c r="AX1008" s="161"/>
      <c r="AY1008" s="161"/>
      <c r="AZ1008" s="161"/>
      <c r="BA1008" s="161"/>
      <c r="BB1008" s="161"/>
      <c r="BC1008" s="161"/>
      <c r="BD1008" s="161"/>
      <c r="BE1008" s="161"/>
      <c r="BF1008" s="161"/>
      <c r="BG1008" s="161"/>
      <c r="BH1008" s="161"/>
      <c r="BI1008" s="161"/>
      <c r="BJ1008" s="161"/>
      <c r="BK1008" s="161"/>
      <c r="BL1008" s="161"/>
      <c r="BM1008" s="161"/>
      <c r="BN1008" s="161"/>
      <c r="BO1008" s="161"/>
      <c r="BP1008" s="161"/>
      <c r="BQ1008" s="161"/>
      <c r="BR1008" s="161"/>
      <c r="BS1008" s="161"/>
      <c r="BT1008" s="161"/>
      <c r="BU1008" s="161"/>
      <c r="BV1008" s="161"/>
      <c r="BW1008" s="161"/>
      <c r="BX1008" s="161"/>
      <c r="BY1008" s="161"/>
      <c r="BZ1008" s="161"/>
      <c r="CA1008" s="161"/>
      <c r="CB1008" s="161"/>
      <c r="CC1008" s="161"/>
      <c r="CD1008" s="161"/>
      <c r="CE1008" s="161"/>
      <c r="CF1008" s="161"/>
      <c r="CG1008" s="161"/>
    </row>
    <row r="1009">
      <c r="A1009" s="16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  <c r="BD1009" s="161"/>
      <c r="BE1009" s="161"/>
      <c r="BF1009" s="161"/>
      <c r="BG1009" s="161"/>
      <c r="BH1009" s="161"/>
      <c r="BI1009" s="161"/>
      <c r="BJ1009" s="161"/>
      <c r="BK1009" s="161"/>
      <c r="BL1009" s="161"/>
      <c r="BM1009" s="161"/>
      <c r="BN1009" s="161"/>
      <c r="BO1009" s="161"/>
      <c r="BP1009" s="161"/>
      <c r="BQ1009" s="161"/>
      <c r="BR1009" s="161"/>
      <c r="BS1009" s="161"/>
      <c r="BT1009" s="161"/>
      <c r="BU1009" s="161"/>
      <c r="BV1009" s="161"/>
      <c r="BW1009" s="161"/>
      <c r="BX1009" s="161"/>
      <c r="BY1009" s="161"/>
      <c r="BZ1009" s="161"/>
      <c r="CA1009" s="161"/>
      <c r="CB1009" s="161"/>
      <c r="CC1009" s="161"/>
      <c r="CD1009" s="161"/>
      <c r="CE1009" s="161"/>
      <c r="CF1009" s="161"/>
      <c r="CG1009" s="161"/>
    </row>
    <row r="1010">
      <c r="A1010" s="16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1"/>
      <c r="AN1010" s="161"/>
      <c r="AO1010" s="161"/>
      <c r="AP1010" s="161"/>
      <c r="AQ1010" s="161"/>
      <c r="AR1010" s="161"/>
      <c r="AS1010" s="161"/>
      <c r="AT1010" s="161"/>
      <c r="AU1010" s="161"/>
      <c r="AV1010" s="161"/>
      <c r="AW1010" s="161"/>
      <c r="AX1010" s="161"/>
      <c r="AY1010" s="161"/>
      <c r="AZ1010" s="161"/>
      <c r="BA1010" s="161"/>
      <c r="BB1010" s="161"/>
      <c r="BC1010" s="161"/>
      <c r="BD1010" s="161"/>
      <c r="BE1010" s="161"/>
      <c r="BF1010" s="161"/>
      <c r="BG1010" s="161"/>
      <c r="BH1010" s="161"/>
      <c r="BI1010" s="161"/>
      <c r="BJ1010" s="161"/>
      <c r="BK1010" s="161"/>
      <c r="BL1010" s="161"/>
      <c r="BM1010" s="161"/>
      <c r="BN1010" s="161"/>
      <c r="BO1010" s="161"/>
      <c r="BP1010" s="161"/>
      <c r="BQ1010" s="161"/>
      <c r="BR1010" s="161"/>
      <c r="BS1010" s="161"/>
      <c r="BT1010" s="161"/>
      <c r="BU1010" s="161"/>
      <c r="BV1010" s="161"/>
      <c r="BW1010" s="161"/>
      <c r="BX1010" s="161"/>
      <c r="BY1010" s="161"/>
      <c r="BZ1010" s="161"/>
      <c r="CA1010" s="161"/>
      <c r="CB1010" s="161"/>
      <c r="CC1010" s="161"/>
      <c r="CD1010" s="161"/>
      <c r="CE1010" s="161"/>
      <c r="CF1010" s="161"/>
      <c r="CG1010" s="161"/>
    </row>
    <row r="1011">
      <c r="A1011" s="161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  <c r="BD1011" s="161"/>
      <c r="BE1011" s="161"/>
      <c r="BF1011" s="161"/>
      <c r="BG1011" s="161"/>
      <c r="BH1011" s="161"/>
      <c r="BI1011" s="161"/>
      <c r="BJ1011" s="161"/>
      <c r="BK1011" s="161"/>
      <c r="BL1011" s="161"/>
      <c r="BM1011" s="161"/>
      <c r="BN1011" s="161"/>
      <c r="BO1011" s="161"/>
      <c r="BP1011" s="161"/>
      <c r="BQ1011" s="161"/>
      <c r="BR1011" s="161"/>
      <c r="BS1011" s="161"/>
      <c r="BT1011" s="161"/>
      <c r="BU1011" s="161"/>
      <c r="BV1011" s="161"/>
      <c r="BW1011" s="161"/>
      <c r="BX1011" s="161"/>
      <c r="BY1011" s="161"/>
      <c r="BZ1011" s="161"/>
      <c r="CA1011" s="161"/>
      <c r="CB1011" s="161"/>
      <c r="CC1011" s="161"/>
      <c r="CD1011" s="161"/>
      <c r="CE1011" s="161"/>
      <c r="CF1011" s="161"/>
      <c r="CG1011" s="161"/>
    </row>
    <row r="1012">
      <c r="A1012" s="161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1"/>
      <c r="AN1012" s="161"/>
      <c r="AO1012" s="161"/>
      <c r="AP1012" s="161"/>
      <c r="AQ1012" s="161"/>
      <c r="AR1012" s="161"/>
      <c r="AS1012" s="161"/>
      <c r="AT1012" s="161"/>
      <c r="AU1012" s="161"/>
      <c r="AV1012" s="161"/>
      <c r="AW1012" s="161"/>
      <c r="AX1012" s="161"/>
      <c r="AY1012" s="161"/>
      <c r="AZ1012" s="161"/>
      <c r="BA1012" s="161"/>
      <c r="BB1012" s="161"/>
      <c r="BC1012" s="161"/>
      <c r="BD1012" s="161"/>
      <c r="BE1012" s="161"/>
      <c r="BF1012" s="161"/>
      <c r="BG1012" s="161"/>
      <c r="BH1012" s="161"/>
      <c r="BI1012" s="161"/>
      <c r="BJ1012" s="161"/>
      <c r="BK1012" s="161"/>
      <c r="BL1012" s="161"/>
      <c r="BM1012" s="161"/>
      <c r="BN1012" s="161"/>
      <c r="BO1012" s="161"/>
      <c r="BP1012" s="161"/>
      <c r="BQ1012" s="161"/>
      <c r="BR1012" s="161"/>
      <c r="BS1012" s="161"/>
      <c r="BT1012" s="161"/>
      <c r="BU1012" s="161"/>
      <c r="BV1012" s="161"/>
      <c r="BW1012" s="161"/>
      <c r="BX1012" s="161"/>
      <c r="BY1012" s="161"/>
      <c r="BZ1012" s="161"/>
      <c r="CA1012" s="161"/>
      <c r="CB1012" s="161"/>
      <c r="CC1012" s="161"/>
      <c r="CD1012" s="161"/>
      <c r="CE1012" s="161"/>
      <c r="CF1012" s="161"/>
      <c r="CG1012" s="161"/>
    </row>
    <row r="1013">
      <c r="A1013" s="161"/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  <c r="BD1013" s="161"/>
      <c r="BE1013" s="161"/>
      <c r="BF1013" s="161"/>
      <c r="BG1013" s="161"/>
      <c r="BH1013" s="161"/>
      <c r="BI1013" s="161"/>
      <c r="BJ1013" s="161"/>
      <c r="BK1013" s="161"/>
      <c r="BL1013" s="161"/>
      <c r="BM1013" s="161"/>
      <c r="BN1013" s="161"/>
      <c r="BO1013" s="161"/>
      <c r="BP1013" s="161"/>
      <c r="BQ1013" s="161"/>
      <c r="BR1013" s="161"/>
      <c r="BS1013" s="161"/>
      <c r="BT1013" s="161"/>
      <c r="BU1013" s="161"/>
      <c r="BV1013" s="161"/>
      <c r="BW1013" s="161"/>
      <c r="BX1013" s="161"/>
      <c r="BY1013" s="161"/>
      <c r="BZ1013" s="161"/>
      <c r="CA1013" s="161"/>
      <c r="CB1013" s="161"/>
      <c r="CC1013" s="161"/>
      <c r="CD1013" s="161"/>
      <c r="CE1013" s="161"/>
      <c r="CF1013" s="161"/>
      <c r="CG1013" s="161"/>
    </row>
    <row r="1014">
      <c r="A1014" s="161"/>
      <c r="B1014" s="161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1"/>
      <c r="AN1014" s="161"/>
      <c r="AO1014" s="161"/>
      <c r="AP1014" s="161"/>
      <c r="AQ1014" s="161"/>
      <c r="AR1014" s="161"/>
      <c r="AS1014" s="161"/>
      <c r="AT1014" s="161"/>
      <c r="AU1014" s="161"/>
      <c r="AV1014" s="161"/>
      <c r="AW1014" s="161"/>
      <c r="AX1014" s="161"/>
      <c r="AY1014" s="161"/>
      <c r="AZ1014" s="161"/>
      <c r="BA1014" s="161"/>
      <c r="BB1014" s="161"/>
      <c r="BC1014" s="161"/>
      <c r="BD1014" s="161"/>
      <c r="BE1014" s="161"/>
      <c r="BF1014" s="161"/>
      <c r="BG1014" s="161"/>
      <c r="BH1014" s="161"/>
      <c r="BI1014" s="161"/>
      <c r="BJ1014" s="161"/>
      <c r="BK1014" s="161"/>
      <c r="BL1014" s="161"/>
      <c r="BM1014" s="161"/>
      <c r="BN1014" s="161"/>
      <c r="BO1014" s="161"/>
      <c r="BP1014" s="161"/>
      <c r="BQ1014" s="161"/>
      <c r="BR1014" s="161"/>
      <c r="BS1014" s="161"/>
      <c r="BT1014" s="161"/>
      <c r="BU1014" s="161"/>
      <c r="BV1014" s="161"/>
      <c r="BW1014" s="161"/>
      <c r="BX1014" s="161"/>
      <c r="BY1014" s="161"/>
      <c r="BZ1014" s="161"/>
      <c r="CA1014" s="161"/>
      <c r="CB1014" s="161"/>
      <c r="CC1014" s="161"/>
      <c r="CD1014" s="161"/>
      <c r="CE1014" s="161"/>
      <c r="CF1014" s="161"/>
      <c r="CG1014" s="161"/>
    </row>
    <row r="1015">
      <c r="A1015" s="161"/>
      <c r="B1015" s="161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1"/>
      <c r="BE1015" s="161"/>
      <c r="BF1015" s="161"/>
      <c r="BG1015" s="161"/>
      <c r="BH1015" s="161"/>
      <c r="BI1015" s="161"/>
      <c r="BJ1015" s="161"/>
      <c r="BK1015" s="161"/>
      <c r="BL1015" s="161"/>
      <c r="BM1015" s="161"/>
      <c r="BN1015" s="161"/>
      <c r="BO1015" s="161"/>
      <c r="BP1015" s="161"/>
      <c r="BQ1015" s="161"/>
      <c r="BR1015" s="161"/>
      <c r="BS1015" s="161"/>
      <c r="BT1015" s="161"/>
      <c r="BU1015" s="161"/>
      <c r="BV1015" s="161"/>
      <c r="BW1015" s="161"/>
      <c r="BX1015" s="161"/>
      <c r="BY1015" s="161"/>
      <c r="BZ1015" s="161"/>
      <c r="CA1015" s="161"/>
      <c r="CB1015" s="161"/>
      <c r="CC1015" s="161"/>
      <c r="CD1015" s="161"/>
      <c r="CE1015" s="161"/>
      <c r="CF1015" s="161"/>
      <c r="CG1015" s="161"/>
    </row>
    <row r="1016">
      <c r="A1016" s="161"/>
      <c r="B1016" s="161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1"/>
      <c r="AN1016" s="161"/>
      <c r="AO1016" s="161"/>
      <c r="AP1016" s="161"/>
      <c r="AQ1016" s="161"/>
      <c r="AR1016" s="161"/>
      <c r="AS1016" s="161"/>
      <c r="AT1016" s="161"/>
      <c r="AU1016" s="161"/>
      <c r="AV1016" s="161"/>
      <c r="AW1016" s="161"/>
      <c r="AX1016" s="161"/>
      <c r="AY1016" s="161"/>
      <c r="AZ1016" s="161"/>
      <c r="BA1016" s="161"/>
      <c r="BB1016" s="161"/>
      <c r="BC1016" s="161"/>
      <c r="BD1016" s="161"/>
      <c r="BE1016" s="161"/>
      <c r="BF1016" s="161"/>
      <c r="BG1016" s="161"/>
      <c r="BH1016" s="161"/>
      <c r="BI1016" s="161"/>
      <c r="BJ1016" s="161"/>
      <c r="BK1016" s="161"/>
      <c r="BL1016" s="161"/>
      <c r="BM1016" s="161"/>
      <c r="BN1016" s="161"/>
      <c r="BO1016" s="161"/>
      <c r="BP1016" s="161"/>
      <c r="BQ1016" s="161"/>
      <c r="BR1016" s="161"/>
      <c r="BS1016" s="161"/>
      <c r="BT1016" s="161"/>
      <c r="BU1016" s="161"/>
      <c r="BV1016" s="161"/>
      <c r="BW1016" s="161"/>
      <c r="BX1016" s="161"/>
      <c r="BY1016" s="161"/>
      <c r="BZ1016" s="161"/>
      <c r="CA1016" s="161"/>
      <c r="CB1016" s="161"/>
      <c r="CC1016" s="161"/>
      <c r="CD1016" s="161"/>
      <c r="CE1016" s="161"/>
      <c r="CF1016" s="161"/>
      <c r="CG1016" s="161"/>
    </row>
    <row r="1017">
      <c r="A1017" s="161"/>
      <c r="B1017" s="161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  <c r="BD1017" s="161"/>
      <c r="BE1017" s="161"/>
      <c r="BF1017" s="161"/>
      <c r="BG1017" s="161"/>
      <c r="BH1017" s="161"/>
      <c r="BI1017" s="161"/>
      <c r="BJ1017" s="161"/>
      <c r="BK1017" s="161"/>
      <c r="BL1017" s="161"/>
      <c r="BM1017" s="161"/>
      <c r="BN1017" s="161"/>
      <c r="BO1017" s="161"/>
      <c r="BP1017" s="161"/>
      <c r="BQ1017" s="161"/>
      <c r="BR1017" s="161"/>
      <c r="BS1017" s="161"/>
      <c r="BT1017" s="161"/>
      <c r="BU1017" s="161"/>
      <c r="BV1017" s="161"/>
      <c r="BW1017" s="161"/>
      <c r="BX1017" s="161"/>
      <c r="BY1017" s="161"/>
      <c r="BZ1017" s="161"/>
      <c r="CA1017" s="161"/>
      <c r="CB1017" s="161"/>
      <c r="CC1017" s="161"/>
      <c r="CD1017" s="161"/>
      <c r="CE1017" s="161"/>
      <c r="CF1017" s="161"/>
      <c r="CG1017" s="161"/>
    </row>
    <row r="1018">
      <c r="A1018" s="161"/>
      <c r="B1018" s="161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1"/>
      <c r="AN1018" s="161"/>
      <c r="AO1018" s="161"/>
      <c r="AP1018" s="161"/>
      <c r="AQ1018" s="161"/>
      <c r="AR1018" s="161"/>
      <c r="AS1018" s="161"/>
      <c r="AT1018" s="161"/>
      <c r="AU1018" s="161"/>
      <c r="AV1018" s="161"/>
      <c r="AW1018" s="161"/>
      <c r="AX1018" s="161"/>
      <c r="AY1018" s="161"/>
      <c r="AZ1018" s="161"/>
      <c r="BA1018" s="161"/>
      <c r="BB1018" s="161"/>
      <c r="BC1018" s="161"/>
      <c r="BD1018" s="161"/>
      <c r="BE1018" s="161"/>
      <c r="BF1018" s="161"/>
      <c r="BG1018" s="161"/>
      <c r="BH1018" s="161"/>
      <c r="BI1018" s="161"/>
      <c r="BJ1018" s="161"/>
      <c r="BK1018" s="161"/>
      <c r="BL1018" s="161"/>
      <c r="BM1018" s="161"/>
      <c r="BN1018" s="161"/>
      <c r="BO1018" s="161"/>
      <c r="BP1018" s="161"/>
      <c r="BQ1018" s="161"/>
      <c r="BR1018" s="161"/>
      <c r="BS1018" s="161"/>
      <c r="BT1018" s="161"/>
      <c r="BU1018" s="161"/>
      <c r="BV1018" s="161"/>
      <c r="BW1018" s="161"/>
      <c r="BX1018" s="161"/>
      <c r="BY1018" s="161"/>
      <c r="BZ1018" s="161"/>
      <c r="CA1018" s="161"/>
      <c r="CB1018" s="161"/>
      <c r="CC1018" s="161"/>
      <c r="CD1018" s="161"/>
      <c r="CE1018" s="161"/>
      <c r="CF1018" s="161"/>
      <c r="CG1018" s="161"/>
    </row>
    <row r="1019">
      <c r="A1019" s="161"/>
      <c r="B1019" s="161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  <c r="BD1019" s="161"/>
      <c r="BE1019" s="161"/>
      <c r="BF1019" s="161"/>
      <c r="BG1019" s="161"/>
      <c r="BH1019" s="161"/>
      <c r="BI1019" s="161"/>
      <c r="BJ1019" s="161"/>
      <c r="BK1019" s="161"/>
      <c r="BL1019" s="161"/>
      <c r="BM1019" s="161"/>
      <c r="BN1019" s="161"/>
      <c r="BO1019" s="161"/>
      <c r="BP1019" s="161"/>
      <c r="BQ1019" s="161"/>
      <c r="BR1019" s="161"/>
      <c r="BS1019" s="161"/>
      <c r="BT1019" s="161"/>
      <c r="BU1019" s="161"/>
      <c r="BV1019" s="161"/>
      <c r="BW1019" s="161"/>
      <c r="BX1019" s="161"/>
      <c r="BY1019" s="161"/>
      <c r="BZ1019" s="161"/>
      <c r="CA1019" s="161"/>
      <c r="CB1019" s="161"/>
      <c r="CC1019" s="161"/>
      <c r="CD1019" s="161"/>
      <c r="CE1019" s="161"/>
      <c r="CF1019" s="161"/>
      <c r="CG1019" s="161"/>
    </row>
    <row r="1020">
      <c r="A1020" s="161"/>
      <c r="B1020" s="161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1"/>
      <c r="AN1020" s="161"/>
      <c r="AO1020" s="161"/>
      <c r="AP1020" s="161"/>
      <c r="AQ1020" s="161"/>
      <c r="AR1020" s="161"/>
      <c r="AS1020" s="161"/>
      <c r="AT1020" s="161"/>
      <c r="AU1020" s="161"/>
      <c r="AV1020" s="161"/>
      <c r="AW1020" s="161"/>
      <c r="AX1020" s="161"/>
      <c r="AY1020" s="161"/>
      <c r="AZ1020" s="161"/>
      <c r="BA1020" s="161"/>
      <c r="BB1020" s="161"/>
      <c r="BC1020" s="161"/>
      <c r="BD1020" s="161"/>
      <c r="BE1020" s="161"/>
      <c r="BF1020" s="161"/>
      <c r="BG1020" s="161"/>
      <c r="BH1020" s="161"/>
      <c r="BI1020" s="161"/>
      <c r="BJ1020" s="161"/>
      <c r="BK1020" s="161"/>
      <c r="BL1020" s="161"/>
      <c r="BM1020" s="161"/>
      <c r="BN1020" s="161"/>
      <c r="BO1020" s="161"/>
      <c r="BP1020" s="161"/>
      <c r="BQ1020" s="161"/>
      <c r="BR1020" s="161"/>
      <c r="BS1020" s="161"/>
      <c r="BT1020" s="161"/>
      <c r="BU1020" s="161"/>
      <c r="BV1020" s="161"/>
      <c r="BW1020" s="161"/>
      <c r="BX1020" s="161"/>
      <c r="BY1020" s="161"/>
      <c r="BZ1020" s="161"/>
      <c r="CA1020" s="161"/>
      <c r="CB1020" s="161"/>
      <c r="CC1020" s="161"/>
      <c r="CD1020" s="161"/>
      <c r="CE1020" s="161"/>
      <c r="CF1020" s="161"/>
      <c r="CG1020" s="161"/>
    </row>
    <row r="1021">
      <c r="A1021" s="161"/>
      <c r="B1021" s="161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  <c r="BD1021" s="161"/>
      <c r="BE1021" s="161"/>
      <c r="BF1021" s="161"/>
      <c r="BG1021" s="161"/>
      <c r="BH1021" s="161"/>
      <c r="BI1021" s="161"/>
      <c r="BJ1021" s="161"/>
      <c r="BK1021" s="161"/>
      <c r="BL1021" s="161"/>
      <c r="BM1021" s="161"/>
      <c r="BN1021" s="161"/>
      <c r="BO1021" s="161"/>
      <c r="BP1021" s="161"/>
      <c r="BQ1021" s="161"/>
      <c r="BR1021" s="161"/>
      <c r="BS1021" s="161"/>
      <c r="BT1021" s="161"/>
      <c r="BU1021" s="161"/>
      <c r="BV1021" s="161"/>
      <c r="BW1021" s="161"/>
      <c r="BX1021" s="161"/>
      <c r="BY1021" s="161"/>
      <c r="BZ1021" s="161"/>
      <c r="CA1021" s="161"/>
      <c r="CB1021" s="161"/>
      <c r="CC1021" s="161"/>
      <c r="CD1021" s="161"/>
      <c r="CE1021" s="161"/>
      <c r="CF1021" s="161"/>
      <c r="CG1021" s="161"/>
    </row>
    <row r="1022">
      <c r="A1022" s="161"/>
      <c r="B1022" s="161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1"/>
      <c r="AN1022" s="161"/>
      <c r="AO1022" s="161"/>
      <c r="AP1022" s="161"/>
      <c r="AQ1022" s="161"/>
      <c r="AR1022" s="161"/>
      <c r="AS1022" s="161"/>
      <c r="AT1022" s="161"/>
      <c r="AU1022" s="161"/>
      <c r="AV1022" s="161"/>
      <c r="AW1022" s="161"/>
      <c r="AX1022" s="161"/>
      <c r="AY1022" s="161"/>
      <c r="AZ1022" s="161"/>
      <c r="BA1022" s="161"/>
      <c r="BB1022" s="161"/>
      <c r="BC1022" s="161"/>
      <c r="BD1022" s="161"/>
      <c r="BE1022" s="161"/>
      <c r="BF1022" s="161"/>
      <c r="BG1022" s="161"/>
      <c r="BH1022" s="161"/>
      <c r="BI1022" s="161"/>
      <c r="BJ1022" s="161"/>
      <c r="BK1022" s="161"/>
      <c r="BL1022" s="161"/>
      <c r="BM1022" s="161"/>
      <c r="BN1022" s="161"/>
      <c r="BO1022" s="161"/>
      <c r="BP1022" s="161"/>
      <c r="BQ1022" s="161"/>
      <c r="BR1022" s="161"/>
      <c r="BS1022" s="161"/>
      <c r="BT1022" s="161"/>
      <c r="BU1022" s="161"/>
      <c r="BV1022" s="161"/>
      <c r="BW1022" s="161"/>
      <c r="BX1022" s="161"/>
      <c r="BY1022" s="161"/>
      <c r="BZ1022" s="161"/>
      <c r="CA1022" s="161"/>
      <c r="CB1022" s="161"/>
      <c r="CC1022" s="161"/>
      <c r="CD1022" s="161"/>
      <c r="CE1022" s="161"/>
      <c r="CF1022" s="161"/>
      <c r="CG1022" s="161"/>
    </row>
    <row r="1023">
      <c r="A1023" s="161"/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1"/>
      <c r="BE1023" s="161"/>
      <c r="BF1023" s="161"/>
      <c r="BG1023" s="161"/>
      <c r="BH1023" s="161"/>
      <c r="BI1023" s="161"/>
      <c r="BJ1023" s="161"/>
      <c r="BK1023" s="161"/>
      <c r="BL1023" s="161"/>
      <c r="BM1023" s="161"/>
      <c r="BN1023" s="161"/>
      <c r="BO1023" s="161"/>
      <c r="BP1023" s="161"/>
      <c r="BQ1023" s="161"/>
      <c r="BR1023" s="161"/>
      <c r="BS1023" s="161"/>
      <c r="BT1023" s="161"/>
      <c r="BU1023" s="161"/>
      <c r="BV1023" s="161"/>
      <c r="BW1023" s="161"/>
      <c r="BX1023" s="161"/>
      <c r="BY1023" s="161"/>
      <c r="BZ1023" s="161"/>
      <c r="CA1023" s="161"/>
      <c r="CB1023" s="161"/>
      <c r="CC1023" s="161"/>
      <c r="CD1023" s="161"/>
      <c r="CE1023" s="161"/>
      <c r="CF1023" s="161"/>
      <c r="CG1023" s="161"/>
    </row>
    <row r="1024">
      <c r="A1024" s="161"/>
      <c r="B1024" s="161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1"/>
      <c r="AN1024" s="161"/>
      <c r="AO1024" s="161"/>
      <c r="AP1024" s="161"/>
      <c r="AQ1024" s="161"/>
      <c r="AR1024" s="161"/>
      <c r="AS1024" s="161"/>
      <c r="AT1024" s="161"/>
      <c r="AU1024" s="161"/>
      <c r="AV1024" s="161"/>
      <c r="AW1024" s="161"/>
      <c r="AX1024" s="161"/>
      <c r="AY1024" s="161"/>
      <c r="AZ1024" s="161"/>
      <c r="BA1024" s="161"/>
      <c r="BB1024" s="161"/>
      <c r="BC1024" s="161"/>
      <c r="BD1024" s="161"/>
      <c r="BE1024" s="161"/>
      <c r="BF1024" s="161"/>
      <c r="BG1024" s="161"/>
      <c r="BH1024" s="161"/>
      <c r="BI1024" s="161"/>
      <c r="BJ1024" s="161"/>
      <c r="BK1024" s="161"/>
      <c r="BL1024" s="161"/>
      <c r="BM1024" s="161"/>
      <c r="BN1024" s="161"/>
      <c r="BO1024" s="161"/>
      <c r="BP1024" s="161"/>
      <c r="BQ1024" s="161"/>
      <c r="BR1024" s="161"/>
      <c r="BS1024" s="161"/>
      <c r="BT1024" s="161"/>
      <c r="BU1024" s="161"/>
      <c r="BV1024" s="161"/>
      <c r="BW1024" s="161"/>
      <c r="BX1024" s="161"/>
      <c r="BY1024" s="161"/>
      <c r="BZ1024" s="161"/>
      <c r="CA1024" s="161"/>
      <c r="CB1024" s="161"/>
      <c r="CC1024" s="161"/>
      <c r="CD1024" s="161"/>
      <c r="CE1024" s="161"/>
      <c r="CF1024" s="161"/>
      <c r="CG1024" s="161"/>
    </row>
    <row r="1025">
      <c r="A1025" s="161"/>
      <c r="B1025" s="161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/>
      <c r="BA1025" s="161"/>
      <c r="BB1025" s="161"/>
      <c r="BC1025" s="161"/>
      <c r="BD1025" s="161"/>
      <c r="BE1025" s="161"/>
      <c r="BF1025" s="161"/>
      <c r="BG1025" s="161"/>
      <c r="BH1025" s="161"/>
      <c r="BI1025" s="161"/>
      <c r="BJ1025" s="161"/>
      <c r="BK1025" s="161"/>
      <c r="BL1025" s="161"/>
      <c r="BM1025" s="161"/>
      <c r="BN1025" s="161"/>
      <c r="BO1025" s="161"/>
      <c r="BP1025" s="161"/>
      <c r="BQ1025" s="161"/>
      <c r="BR1025" s="161"/>
      <c r="BS1025" s="161"/>
      <c r="BT1025" s="161"/>
      <c r="BU1025" s="161"/>
      <c r="BV1025" s="161"/>
      <c r="BW1025" s="161"/>
      <c r="BX1025" s="161"/>
      <c r="BY1025" s="161"/>
      <c r="BZ1025" s="161"/>
      <c r="CA1025" s="161"/>
      <c r="CB1025" s="161"/>
      <c r="CC1025" s="161"/>
      <c r="CD1025" s="161"/>
      <c r="CE1025" s="161"/>
      <c r="CF1025" s="161"/>
      <c r="CG1025" s="161"/>
    </row>
    <row r="1026">
      <c r="A1026" s="161"/>
      <c r="B1026" s="161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1"/>
      <c r="AN1026" s="161"/>
      <c r="AO1026" s="161"/>
      <c r="AP1026" s="161"/>
      <c r="AQ1026" s="161"/>
      <c r="AR1026" s="161"/>
      <c r="AS1026" s="161"/>
      <c r="AT1026" s="161"/>
      <c r="AU1026" s="161"/>
      <c r="AV1026" s="161"/>
      <c r="AW1026" s="161"/>
      <c r="AX1026" s="161"/>
      <c r="AY1026" s="161"/>
      <c r="AZ1026" s="161"/>
      <c r="BA1026" s="161"/>
      <c r="BB1026" s="161"/>
      <c r="BC1026" s="161"/>
      <c r="BD1026" s="161"/>
      <c r="BE1026" s="161"/>
      <c r="BF1026" s="161"/>
      <c r="BG1026" s="161"/>
      <c r="BH1026" s="161"/>
      <c r="BI1026" s="161"/>
      <c r="BJ1026" s="161"/>
      <c r="BK1026" s="161"/>
      <c r="BL1026" s="161"/>
      <c r="BM1026" s="161"/>
      <c r="BN1026" s="161"/>
      <c r="BO1026" s="161"/>
      <c r="BP1026" s="161"/>
      <c r="BQ1026" s="161"/>
      <c r="BR1026" s="161"/>
      <c r="BS1026" s="161"/>
      <c r="BT1026" s="161"/>
      <c r="BU1026" s="161"/>
      <c r="BV1026" s="161"/>
      <c r="BW1026" s="161"/>
      <c r="BX1026" s="161"/>
      <c r="BY1026" s="161"/>
      <c r="BZ1026" s="161"/>
      <c r="CA1026" s="161"/>
      <c r="CB1026" s="161"/>
      <c r="CC1026" s="161"/>
      <c r="CD1026" s="161"/>
      <c r="CE1026" s="161"/>
      <c r="CF1026" s="161"/>
      <c r="CG1026" s="161"/>
    </row>
    <row r="1027">
      <c r="A1027" s="161"/>
      <c r="B1027" s="161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  <c r="AV1027" s="161"/>
      <c r="AW1027" s="161"/>
      <c r="AX1027" s="161"/>
      <c r="AY1027" s="161"/>
      <c r="AZ1027" s="161"/>
      <c r="BA1027" s="161"/>
      <c r="BB1027" s="161"/>
      <c r="BC1027" s="161"/>
      <c r="BD1027" s="161"/>
      <c r="BE1027" s="161"/>
      <c r="BF1027" s="161"/>
      <c r="BG1027" s="161"/>
      <c r="BH1027" s="161"/>
      <c r="BI1027" s="161"/>
      <c r="BJ1027" s="161"/>
      <c r="BK1027" s="161"/>
      <c r="BL1027" s="161"/>
      <c r="BM1027" s="161"/>
      <c r="BN1027" s="161"/>
      <c r="BO1027" s="161"/>
      <c r="BP1027" s="161"/>
      <c r="BQ1027" s="161"/>
      <c r="BR1027" s="161"/>
      <c r="BS1027" s="161"/>
      <c r="BT1027" s="161"/>
      <c r="BU1027" s="161"/>
      <c r="BV1027" s="161"/>
      <c r="BW1027" s="161"/>
      <c r="BX1027" s="161"/>
      <c r="BY1027" s="161"/>
      <c r="BZ1027" s="161"/>
      <c r="CA1027" s="161"/>
      <c r="CB1027" s="161"/>
      <c r="CC1027" s="161"/>
      <c r="CD1027" s="161"/>
      <c r="CE1027" s="161"/>
      <c r="CF1027" s="161"/>
      <c r="CG1027" s="161"/>
    </row>
    <row r="1028">
      <c r="A1028" s="161"/>
      <c r="B1028" s="161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1"/>
      <c r="AN1028" s="161"/>
      <c r="AO1028" s="161"/>
      <c r="AP1028" s="161"/>
      <c r="AQ1028" s="161"/>
      <c r="AR1028" s="161"/>
      <c r="AS1028" s="161"/>
      <c r="AT1028" s="161"/>
      <c r="AU1028" s="161"/>
      <c r="AV1028" s="161"/>
      <c r="AW1028" s="161"/>
      <c r="AX1028" s="161"/>
      <c r="AY1028" s="161"/>
      <c r="AZ1028" s="161"/>
      <c r="BA1028" s="161"/>
      <c r="BB1028" s="161"/>
      <c r="BC1028" s="161"/>
      <c r="BD1028" s="161"/>
      <c r="BE1028" s="161"/>
      <c r="BF1028" s="161"/>
      <c r="BG1028" s="161"/>
      <c r="BH1028" s="161"/>
      <c r="BI1028" s="161"/>
      <c r="BJ1028" s="161"/>
      <c r="BK1028" s="161"/>
      <c r="BL1028" s="161"/>
      <c r="BM1028" s="161"/>
      <c r="BN1028" s="161"/>
      <c r="BO1028" s="161"/>
      <c r="BP1028" s="161"/>
      <c r="BQ1028" s="161"/>
      <c r="BR1028" s="161"/>
      <c r="BS1028" s="161"/>
      <c r="BT1028" s="161"/>
      <c r="BU1028" s="161"/>
      <c r="BV1028" s="161"/>
      <c r="BW1028" s="161"/>
      <c r="BX1028" s="161"/>
      <c r="BY1028" s="161"/>
      <c r="BZ1028" s="161"/>
      <c r="CA1028" s="161"/>
      <c r="CB1028" s="161"/>
      <c r="CC1028" s="161"/>
      <c r="CD1028" s="161"/>
      <c r="CE1028" s="161"/>
      <c r="CF1028" s="161"/>
      <c r="CG1028" s="161"/>
    </row>
    <row r="1029">
      <c r="A1029" s="161"/>
      <c r="B1029" s="161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/>
      <c r="BA1029" s="161"/>
      <c r="BB1029" s="161"/>
      <c r="BC1029" s="161"/>
      <c r="BD1029" s="161"/>
      <c r="BE1029" s="161"/>
      <c r="BF1029" s="161"/>
      <c r="BG1029" s="161"/>
      <c r="BH1029" s="161"/>
      <c r="BI1029" s="161"/>
      <c r="BJ1029" s="161"/>
      <c r="BK1029" s="161"/>
      <c r="BL1029" s="161"/>
      <c r="BM1029" s="161"/>
      <c r="BN1029" s="161"/>
      <c r="BO1029" s="161"/>
      <c r="BP1029" s="161"/>
      <c r="BQ1029" s="161"/>
      <c r="BR1029" s="161"/>
      <c r="BS1029" s="161"/>
      <c r="BT1029" s="161"/>
      <c r="BU1029" s="161"/>
      <c r="BV1029" s="161"/>
      <c r="BW1029" s="161"/>
      <c r="BX1029" s="161"/>
      <c r="BY1029" s="161"/>
      <c r="BZ1029" s="161"/>
      <c r="CA1029" s="161"/>
      <c r="CB1029" s="161"/>
      <c r="CC1029" s="161"/>
      <c r="CD1029" s="161"/>
      <c r="CE1029" s="161"/>
      <c r="CF1029" s="161"/>
      <c r="CG1029" s="161"/>
    </row>
    <row r="1030">
      <c r="A1030" s="161"/>
      <c r="B1030" s="161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1"/>
      <c r="AN1030" s="161"/>
      <c r="AO1030" s="161"/>
      <c r="AP1030" s="161"/>
      <c r="AQ1030" s="161"/>
      <c r="AR1030" s="161"/>
      <c r="AS1030" s="161"/>
      <c r="AT1030" s="161"/>
      <c r="AU1030" s="161"/>
      <c r="AV1030" s="161"/>
      <c r="AW1030" s="161"/>
      <c r="AX1030" s="161"/>
      <c r="AY1030" s="161"/>
      <c r="AZ1030" s="161"/>
      <c r="BA1030" s="161"/>
      <c r="BB1030" s="161"/>
      <c r="BC1030" s="161"/>
      <c r="BD1030" s="161"/>
      <c r="BE1030" s="161"/>
      <c r="BF1030" s="161"/>
      <c r="BG1030" s="161"/>
      <c r="BH1030" s="161"/>
      <c r="BI1030" s="161"/>
      <c r="BJ1030" s="161"/>
      <c r="BK1030" s="161"/>
      <c r="BL1030" s="161"/>
      <c r="BM1030" s="161"/>
      <c r="BN1030" s="161"/>
      <c r="BO1030" s="161"/>
      <c r="BP1030" s="161"/>
      <c r="BQ1030" s="161"/>
      <c r="BR1030" s="161"/>
      <c r="BS1030" s="161"/>
      <c r="BT1030" s="161"/>
      <c r="BU1030" s="161"/>
      <c r="BV1030" s="161"/>
      <c r="BW1030" s="161"/>
      <c r="BX1030" s="161"/>
      <c r="BY1030" s="161"/>
      <c r="BZ1030" s="161"/>
      <c r="CA1030" s="161"/>
      <c r="CB1030" s="161"/>
      <c r="CC1030" s="161"/>
      <c r="CD1030" s="161"/>
      <c r="CE1030" s="161"/>
      <c r="CF1030" s="161"/>
      <c r="CG1030" s="161"/>
    </row>
    <row r="1031">
      <c r="A1031" s="161"/>
      <c r="B1031" s="161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1"/>
      <c r="BE1031" s="161"/>
      <c r="BF1031" s="161"/>
      <c r="BG1031" s="161"/>
      <c r="BH1031" s="161"/>
      <c r="BI1031" s="161"/>
      <c r="BJ1031" s="161"/>
      <c r="BK1031" s="161"/>
      <c r="BL1031" s="161"/>
      <c r="BM1031" s="161"/>
      <c r="BN1031" s="161"/>
      <c r="BO1031" s="161"/>
      <c r="BP1031" s="161"/>
      <c r="BQ1031" s="161"/>
      <c r="BR1031" s="161"/>
      <c r="BS1031" s="161"/>
      <c r="BT1031" s="161"/>
      <c r="BU1031" s="161"/>
      <c r="BV1031" s="161"/>
      <c r="BW1031" s="161"/>
      <c r="BX1031" s="161"/>
      <c r="BY1031" s="161"/>
      <c r="BZ1031" s="161"/>
      <c r="CA1031" s="161"/>
      <c r="CB1031" s="161"/>
      <c r="CC1031" s="161"/>
      <c r="CD1031" s="161"/>
      <c r="CE1031" s="161"/>
      <c r="CF1031" s="161"/>
      <c r="CG1031" s="161"/>
    </row>
    <row r="1032">
      <c r="A1032" s="161"/>
      <c r="B1032" s="161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1"/>
      <c r="AN1032" s="161"/>
      <c r="AO1032" s="161"/>
      <c r="AP1032" s="161"/>
      <c r="AQ1032" s="161"/>
      <c r="AR1032" s="161"/>
      <c r="AS1032" s="161"/>
      <c r="AT1032" s="161"/>
      <c r="AU1032" s="161"/>
      <c r="AV1032" s="161"/>
      <c r="AW1032" s="161"/>
      <c r="AX1032" s="161"/>
      <c r="AY1032" s="161"/>
      <c r="AZ1032" s="161"/>
      <c r="BA1032" s="161"/>
      <c r="BB1032" s="161"/>
      <c r="BC1032" s="161"/>
      <c r="BD1032" s="161"/>
      <c r="BE1032" s="161"/>
      <c r="BF1032" s="161"/>
      <c r="BG1032" s="161"/>
      <c r="BH1032" s="161"/>
      <c r="BI1032" s="161"/>
      <c r="BJ1032" s="161"/>
      <c r="BK1032" s="161"/>
      <c r="BL1032" s="161"/>
      <c r="BM1032" s="161"/>
      <c r="BN1032" s="161"/>
      <c r="BO1032" s="161"/>
      <c r="BP1032" s="161"/>
      <c r="BQ1032" s="161"/>
      <c r="BR1032" s="161"/>
      <c r="BS1032" s="161"/>
      <c r="BT1032" s="161"/>
      <c r="BU1032" s="161"/>
      <c r="BV1032" s="161"/>
      <c r="BW1032" s="161"/>
      <c r="BX1032" s="161"/>
      <c r="BY1032" s="161"/>
      <c r="BZ1032" s="161"/>
      <c r="CA1032" s="161"/>
      <c r="CB1032" s="161"/>
      <c r="CC1032" s="161"/>
      <c r="CD1032" s="161"/>
      <c r="CE1032" s="161"/>
      <c r="CF1032" s="161"/>
      <c r="CG1032" s="161"/>
    </row>
    <row r="1033">
      <c r="A1033" s="161"/>
      <c r="B1033" s="161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  <c r="Y1033" s="161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/>
      <c r="BA1033" s="161"/>
      <c r="BB1033" s="161"/>
      <c r="BC1033" s="161"/>
      <c r="BD1033" s="161"/>
      <c r="BE1033" s="161"/>
      <c r="BF1033" s="161"/>
      <c r="BG1033" s="161"/>
      <c r="BH1033" s="161"/>
      <c r="BI1033" s="161"/>
      <c r="BJ1033" s="161"/>
      <c r="BK1033" s="161"/>
      <c r="BL1033" s="161"/>
      <c r="BM1033" s="161"/>
      <c r="BN1033" s="161"/>
      <c r="BO1033" s="161"/>
      <c r="BP1033" s="161"/>
      <c r="BQ1033" s="161"/>
      <c r="BR1033" s="161"/>
      <c r="BS1033" s="161"/>
      <c r="BT1033" s="161"/>
      <c r="BU1033" s="161"/>
      <c r="BV1033" s="161"/>
      <c r="BW1033" s="161"/>
      <c r="BX1033" s="161"/>
      <c r="BY1033" s="161"/>
      <c r="BZ1033" s="161"/>
      <c r="CA1033" s="161"/>
      <c r="CB1033" s="161"/>
      <c r="CC1033" s="161"/>
      <c r="CD1033" s="161"/>
      <c r="CE1033" s="161"/>
      <c r="CF1033" s="161"/>
      <c r="CG1033" s="161"/>
    </row>
    <row r="1034">
      <c r="A1034" s="161"/>
      <c r="B1034" s="161"/>
      <c r="C1034" s="161"/>
      <c r="D1034" s="161"/>
      <c r="E1034" s="161"/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  <c r="S1034" s="161"/>
      <c r="T1034" s="161"/>
      <c r="U1034" s="161"/>
      <c r="V1034" s="161"/>
      <c r="W1034" s="161"/>
      <c r="X1034" s="161"/>
      <c r="Y1034" s="161"/>
      <c r="Z1034" s="161"/>
      <c r="AA1034" s="161"/>
      <c r="AB1034" s="161"/>
      <c r="AC1034" s="161"/>
      <c r="AD1034" s="161"/>
      <c r="AE1034" s="161"/>
      <c r="AF1034" s="161"/>
      <c r="AG1034" s="161"/>
      <c r="AH1034" s="161"/>
      <c r="AI1034" s="161"/>
      <c r="AJ1034" s="161"/>
      <c r="AK1034" s="161"/>
      <c r="AL1034" s="161"/>
      <c r="AM1034" s="161"/>
      <c r="AN1034" s="161"/>
      <c r="AO1034" s="161"/>
      <c r="AP1034" s="161"/>
      <c r="AQ1034" s="161"/>
      <c r="AR1034" s="161"/>
      <c r="AS1034" s="161"/>
      <c r="AT1034" s="161"/>
      <c r="AU1034" s="161"/>
      <c r="AV1034" s="161"/>
      <c r="AW1034" s="161"/>
      <c r="AX1034" s="161"/>
      <c r="AY1034" s="161"/>
      <c r="AZ1034" s="161"/>
      <c r="BA1034" s="161"/>
      <c r="BB1034" s="161"/>
      <c r="BC1034" s="161"/>
      <c r="BD1034" s="161"/>
      <c r="BE1034" s="161"/>
      <c r="BF1034" s="161"/>
      <c r="BG1034" s="161"/>
      <c r="BH1034" s="161"/>
      <c r="BI1034" s="161"/>
      <c r="BJ1034" s="161"/>
      <c r="BK1034" s="161"/>
      <c r="BL1034" s="161"/>
      <c r="BM1034" s="161"/>
      <c r="BN1034" s="161"/>
      <c r="BO1034" s="161"/>
      <c r="BP1034" s="161"/>
      <c r="BQ1034" s="161"/>
      <c r="BR1034" s="161"/>
      <c r="BS1034" s="161"/>
      <c r="BT1034" s="161"/>
      <c r="BU1034" s="161"/>
      <c r="BV1034" s="161"/>
      <c r="BW1034" s="161"/>
      <c r="BX1034" s="161"/>
      <c r="BY1034" s="161"/>
      <c r="BZ1034" s="161"/>
      <c r="CA1034" s="161"/>
      <c r="CB1034" s="161"/>
      <c r="CC1034" s="161"/>
      <c r="CD1034" s="161"/>
      <c r="CE1034" s="161"/>
      <c r="CF1034" s="161"/>
      <c r="CG1034" s="161"/>
    </row>
    <row r="1035">
      <c r="A1035" s="161"/>
      <c r="B1035" s="161"/>
      <c r="C1035" s="161"/>
      <c r="D1035" s="161"/>
      <c r="E1035" s="161"/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  <c r="S1035" s="161"/>
      <c r="T1035" s="161"/>
      <c r="U1035" s="161"/>
      <c r="V1035" s="161"/>
      <c r="W1035" s="161"/>
      <c r="X1035" s="161"/>
      <c r="Y1035" s="161"/>
      <c r="Z1035" s="161"/>
      <c r="AA1035" s="161"/>
      <c r="AB1035" s="161"/>
      <c r="AC1035" s="161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1"/>
      <c r="BE1035" s="161"/>
      <c r="BF1035" s="161"/>
      <c r="BG1035" s="161"/>
      <c r="BH1035" s="161"/>
      <c r="BI1035" s="161"/>
      <c r="BJ1035" s="161"/>
      <c r="BK1035" s="161"/>
      <c r="BL1035" s="161"/>
      <c r="BM1035" s="161"/>
      <c r="BN1035" s="161"/>
      <c r="BO1035" s="161"/>
      <c r="BP1035" s="161"/>
      <c r="BQ1035" s="161"/>
      <c r="BR1035" s="161"/>
      <c r="BS1035" s="161"/>
      <c r="BT1035" s="161"/>
      <c r="BU1035" s="161"/>
      <c r="BV1035" s="161"/>
      <c r="BW1035" s="161"/>
      <c r="BX1035" s="161"/>
      <c r="BY1035" s="161"/>
      <c r="BZ1035" s="161"/>
      <c r="CA1035" s="161"/>
      <c r="CB1035" s="161"/>
      <c r="CC1035" s="161"/>
      <c r="CD1035" s="161"/>
      <c r="CE1035" s="161"/>
      <c r="CF1035" s="161"/>
      <c r="CG1035" s="161"/>
    </row>
    <row r="1036">
      <c r="A1036" s="161"/>
      <c r="B1036" s="161"/>
      <c r="C1036" s="161"/>
      <c r="D1036" s="161"/>
      <c r="E1036" s="161"/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161"/>
      <c r="T1036" s="161"/>
      <c r="U1036" s="161"/>
      <c r="V1036" s="161"/>
      <c r="W1036" s="161"/>
      <c r="X1036" s="161"/>
      <c r="Y1036" s="161"/>
      <c r="Z1036" s="161"/>
      <c r="AA1036" s="161"/>
      <c r="AB1036" s="161"/>
      <c r="AC1036" s="161"/>
      <c r="AD1036" s="161"/>
      <c r="AE1036" s="161"/>
      <c r="AF1036" s="161"/>
      <c r="AG1036" s="161"/>
      <c r="AH1036" s="161"/>
      <c r="AI1036" s="161"/>
      <c r="AJ1036" s="161"/>
      <c r="AK1036" s="161"/>
      <c r="AL1036" s="161"/>
      <c r="AM1036" s="161"/>
      <c r="AN1036" s="161"/>
      <c r="AO1036" s="161"/>
      <c r="AP1036" s="161"/>
      <c r="AQ1036" s="161"/>
      <c r="AR1036" s="161"/>
      <c r="AS1036" s="161"/>
      <c r="AT1036" s="161"/>
      <c r="AU1036" s="161"/>
      <c r="AV1036" s="161"/>
      <c r="AW1036" s="161"/>
      <c r="AX1036" s="161"/>
      <c r="AY1036" s="161"/>
      <c r="AZ1036" s="161"/>
      <c r="BA1036" s="161"/>
      <c r="BB1036" s="161"/>
      <c r="BC1036" s="161"/>
      <c r="BD1036" s="161"/>
      <c r="BE1036" s="161"/>
      <c r="BF1036" s="161"/>
      <c r="BG1036" s="161"/>
      <c r="BH1036" s="161"/>
      <c r="BI1036" s="161"/>
      <c r="BJ1036" s="161"/>
      <c r="BK1036" s="161"/>
      <c r="BL1036" s="161"/>
      <c r="BM1036" s="161"/>
      <c r="BN1036" s="161"/>
      <c r="BO1036" s="161"/>
      <c r="BP1036" s="161"/>
      <c r="BQ1036" s="161"/>
      <c r="BR1036" s="161"/>
      <c r="BS1036" s="161"/>
      <c r="BT1036" s="161"/>
      <c r="BU1036" s="161"/>
      <c r="BV1036" s="161"/>
      <c r="BW1036" s="161"/>
      <c r="BX1036" s="161"/>
      <c r="BY1036" s="161"/>
      <c r="BZ1036" s="161"/>
      <c r="CA1036" s="161"/>
      <c r="CB1036" s="161"/>
      <c r="CC1036" s="161"/>
      <c r="CD1036" s="161"/>
      <c r="CE1036" s="161"/>
      <c r="CF1036" s="161"/>
      <c r="CG1036" s="161"/>
    </row>
    <row r="1037">
      <c r="A1037" s="161"/>
      <c r="B1037" s="161"/>
      <c r="C1037" s="161"/>
      <c r="D1037" s="161"/>
      <c r="E1037" s="161"/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  <c r="S1037" s="161"/>
      <c r="T1037" s="161"/>
      <c r="U1037" s="161"/>
      <c r="V1037" s="161"/>
      <c r="W1037" s="161"/>
      <c r="X1037" s="161"/>
      <c r="Y1037" s="161"/>
      <c r="Z1037" s="161"/>
      <c r="AA1037" s="161"/>
      <c r="AB1037" s="161"/>
      <c r="AC1037" s="161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/>
      <c r="BA1037" s="161"/>
      <c r="BB1037" s="161"/>
      <c r="BC1037" s="161"/>
      <c r="BD1037" s="161"/>
      <c r="BE1037" s="161"/>
      <c r="BF1037" s="161"/>
      <c r="BG1037" s="161"/>
      <c r="BH1037" s="161"/>
      <c r="BI1037" s="161"/>
      <c r="BJ1037" s="161"/>
      <c r="BK1037" s="161"/>
      <c r="BL1037" s="161"/>
      <c r="BM1037" s="161"/>
      <c r="BN1037" s="161"/>
      <c r="BO1037" s="161"/>
      <c r="BP1037" s="161"/>
      <c r="BQ1037" s="161"/>
      <c r="BR1037" s="161"/>
      <c r="BS1037" s="161"/>
      <c r="BT1037" s="161"/>
      <c r="BU1037" s="161"/>
      <c r="BV1037" s="161"/>
      <c r="BW1037" s="161"/>
      <c r="BX1037" s="161"/>
      <c r="BY1037" s="161"/>
      <c r="BZ1037" s="161"/>
      <c r="CA1037" s="161"/>
      <c r="CB1037" s="161"/>
      <c r="CC1037" s="161"/>
      <c r="CD1037" s="161"/>
      <c r="CE1037" s="161"/>
      <c r="CF1037" s="161"/>
      <c r="CG1037" s="161"/>
    </row>
    <row r="1038">
      <c r="A1038" s="161"/>
      <c r="B1038" s="161"/>
      <c r="C1038" s="161"/>
      <c r="D1038" s="161"/>
      <c r="E1038" s="161"/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  <c r="S1038" s="161"/>
      <c r="T1038" s="161"/>
      <c r="U1038" s="161"/>
      <c r="V1038" s="161"/>
      <c r="W1038" s="161"/>
      <c r="X1038" s="161"/>
      <c r="Y1038" s="161"/>
      <c r="Z1038" s="161"/>
      <c r="AA1038" s="161"/>
      <c r="AB1038" s="161"/>
      <c r="AC1038" s="161"/>
      <c r="AD1038" s="161"/>
      <c r="AE1038" s="161"/>
      <c r="AF1038" s="161"/>
      <c r="AG1038" s="161"/>
      <c r="AH1038" s="161"/>
      <c r="AI1038" s="161"/>
      <c r="AJ1038" s="161"/>
      <c r="AK1038" s="161"/>
      <c r="AL1038" s="161"/>
      <c r="AM1038" s="161"/>
      <c r="AN1038" s="161"/>
      <c r="AO1038" s="161"/>
      <c r="AP1038" s="161"/>
      <c r="AQ1038" s="161"/>
      <c r="AR1038" s="161"/>
      <c r="AS1038" s="161"/>
      <c r="AT1038" s="161"/>
      <c r="AU1038" s="161"/>
      <c r="AV1038" s="161"/>
      <c r="AW1038" s="161"/>
      <c r="AX1038" s="161"/>
      <c r="AY1038" s="161"/>
      <c r="AZ1038" s="161"/>
      <c r="BA1038" s="161"/>
      <c r="BB1038" s="161"/>
      <c r="BC1038" s="161"/>
      <c r="BD1038" s="161"/>
      <c r="BE1038" s="161"/>
      <c r="BF1038" s="161"/>
      <c r="BG1038" s="161"/>
      <c r="BH1038" s="161"/>
      <c r="BI1038" s="161"/>
      <c r="BJ1038" s="161"/>
      <c r="BK1038" s="161"/>
      <c r="BL1038" s="161"/>
      <c r="BM1038" s="161"/>
      <c r="BN1038" s="161"/>
      <c r="BO1038" s="161"/>
      <c r="BP1038" s="161"/>
      <c r="BQ1038" s="161"/>
      <c r="BR1038" s="161"/>
      <c r="BS1038" s="161"/>
      <c r="BT1038" s="161"/>
      <c r="BU1038" s="161"/>
      <c r="BV1038" s="161"/>
      <c r="BW1038" s="161"/>
      <c r="BX1038" s="161"/>
      <c r="BY1038" s="161"/>
      <c r="BZ1038" s="161"/>
      <c r="CA1038" s="161"/>
      <c r="CB1038" s="161"/>
      <c r="CC1038" s="161"/>
      <c r="CD1038" s="161"/>
      <c r="CE1038" s="161"/>
      <c r="CF1038" s="161"/>
      <c r="CG1038" s="161"/>
    </row>
    <row r="1039">
      <c r="A1039" s="161"/>
      <c r="B1039" s="161"/>
      <c r="C1039" s="161"/>
      <c r="D1039" s="161"/>
      <c r="E1039" s="161"/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  <c r="S1039" s="161"/>
      <c r="T1039" s="161"/>
      <c r="U1039" s="161"/>
      <c r="V1039" s="161"/>
      <c r="W1039" s="161"/>
      <c r="X1039" s="161"/>
      <c r="Y1039" s="161"/>
      <c r="Z1039" s="161"/>
      <c r="AA1039" s="161"/>
      <c r="AB1039" s="161"/>
      <c r="AC1039" s="161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1"/>
      <c r="BE1039" s="161"/>
      <c r="BF1039" s="161"/>
      <c r="BG1039" s="161"/>
      <c r="BH1039" s="161"/>
      <c r="BI1039" s="161"/>
      <c r="BJ1039" s="161"/>
      <c r="BK1039" s="161"/>
      <c r="BL1039" s="161"/>
      <c r="BM1039" s="161"/>
      <c r="BN1039" s="161"/>
      <c r="BO1039" s="161"/>
      <c r="BP1039" s="161"/>
      <c r="BQ1039" s="161"/>
      <c r="BR1039" s="161"/>
      <c r="BS1039" s="161"/>
      <c r="BT1039" s="161"/>
      <c r="BU1039" s="161"/>
      <c r="BV1039" s="161"/>
      <c r="BW1039" s="161"/>
      <c r="BX1039" s="161"/>
      <c r="BY1039" s="161"/>
      <c r="BZ1039" s="161"/>
      <c r="CA1039" s="161"/>
      <c r="CB1039" s="161"/>
      <c r="CC1039" s="161"/>
      <c r="CD1039" s="161"/>
      <c r="CE1039" s="161"/>
      <c r="CF1039" s="161"/>
      <c r="CG1039" s="161"/>
    </row>
    <row r="1040">
      <c r="A1040" s="161"/>
      <c r="B1040" s="161"/>
      <c r="C1040" s="161"/>
      <c r="D1040" s="161"/>
      <c r="E1040" s="161"/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  <c r="S1040" s="161"/>
      <c r="T1040" s="161"/>
      <c r="U1040" s="161"/>
      <c r="V1040" s="161"/>
      <c r="W1040" s="161"/>
      <c r="X1040" s="161"/>
      <c r="Y1040" s="161"/>
      <c r="Z1040" s="161"/>
      <c r="AA1040" s="161"/>
      <c r="AB1040" s="161"/>
      <c r="AC1040" s="161"/>
      <c r="AD1040" s="161"/>
      <c r="AE1040" s="161"/>
      <c r="AF1040" s="161"/>
      <c r="AG1040" s="161"/>
      <c r="AH1040" s="161"/>
      <c r="AI1040" s="161"/>
      <c r="AJ1040" s="161"/>
      <c r="AK1040" s="161"/>
      <c r="AL1040" s="161"/>
      <c r="AM1040" s="161"/>
      <c r="AN1040" s="161"/>
      <c r="AO1040" s="161"/>
      <c r="AP1040" s="161"/>
      <c r="AQ1040" s="161"/>
      <c r="AR1040" s="161"/>
      <c r="AS1040" s="161"/>
      <c r="AT1040" s="161"/>
      <c r="AU1040" s="161"/>
      <c r="AV1040" s="161"/>
      <c r="AW1040" s="161"/>
      <c r="AX1040" s="161"/>
      <c r="AY1040" s="161"/>
      <c r="AZ1040" s="161"/>
      <c r="BA1040" s="161"/>
      <c r="BB1040" s="161"/>
      <c r="BC1040" s="161"/>
      <c r="BD1040" s="161"/>
      <c r="BE1040" s="161"/>
      <c r="BF1040" s="161"/>
      <c r="BG1040" s="161"/>
      <c r="BH1040" s="161"/>
      <c r="BI1040" s="161"/>
      <c r="BJ1040" s="161"/>
      <c r="BK1040" s="161"/>
      <c r="BL1040" s="161"/>
      <c r="BM1040" s="161"/>
      <c r="BN1040" s="161"/>
      <c r="BO1040" s="161"/>
      <c r="BP1040" s="161"/>
      <c r="BQ1040" s="161"/>
      <c r="BR1040" s="161"/>
      <c r="BS1040" s="161"/>
      <c r="BT1040" s="161"/>
      <c r="BU1040" s="161"/>
      <c r="BV1040" s="161"/>
      <c r="BW1040" s="161"/>
      <c r="BX1040" s="161"/>
      <c r="BY1040" s="161"/>
      <c r="BZ1040" s="161"/>
      <c r="CA1040" s="161"/>
      <c r="CB1040" s="161"/>
      <c r="CC1040" s="161"/>
      <c r="CD1040" s="161"/>
      <c r="CE1040" s="161"/>
      <c r="CF1040" s="161"/>
      <c r="CG1040" s="161"/>
    </row>
    <row r="1041">
      <c r="A1041" s="161"/>
      <c r="B1041" s="161"/>
      <c r="C1041" s="161"/>
      <c r="D1041" s="161"/>
      <c r="E1041" s="161"/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  <c r="S1041" s="161"/>
      <c r="T1041" s="161"/>
      <c r="U1041" s="161"/>
      <c r="V1041" s="161"/>
      <c r="W1041" s="161"/>
      <c r="X1041" s="161"/>
      <c r="Y1041" s="161"/>
      <c r="Z1041" s="161"/>
      <c r="AA1041" s="161"/>
      <c r="AB1041" s="161"/>
      <c r="AC1041" s="161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/>
      <c r="BD1041" s="161"/>
      <c r="BE1041" s="161"/>
      <c r="BF1041" s="161"/>
      <c r="BG1041" s="161"/>
      <c r="BH1041" s="161"/>
      <c r="BI1041" s="161"/>
      <c r="BJ1041" s="161"/>
      <c r="BK1041" s="161"/>
      <c r="BL1041" s="161"/>
      <c r="BM1041" s="161"/>
      <c r="BN1041" s="161"/>
      <c r="BO1041" s="161"/>
      <c r="BP1041" s="161"/>
      <c r="BQ1041" s="161"/>
      <c r="BR1041" s="161"/>
      <c r="BS1041" s="161"/>
      <c r="BT1041" s="161"/>
      <c r="BU1041" s="161"/>
      <c r="BV1041" s="161"/>
      <c r="BW1041" s="161"/>
      <c r="BX1041" s="161"/>
      <c r="BY1041" s="161"/>
      <c r="BZ1041" s="161"/>
      <c r="CA1041" s="161"/>
      <c r="CB1041" s="161"/>
      <c r="CC1041" s="161"/>
      <c r="CD1041" s="161"/>
      <c r="CE1041" s="161"/>
      <c r="CF1041" s="161"/>
      <c r="CG1041" s="161"/>
    </row>
    <row r="1042">
      <c r="A1042" s="161"/>
      <c r="B1042" s="161"/>
      <c r="C1042" s="161"/>
      <c r="D1042" s="161"/>
      <c r="E1042" s="161"/>
      <c r="F1042" s="161"/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161"/>
      <c r="R1042" s="161"/>
      <c r="S1042" s="161"/>
      <c r="T1042" s="161"/>
      <c r="U1042" s="161"/>
      <c r="V1042" s="161"/>
      <c r="W1042" s="161"/>
      <c r="X1042" s="161"/>
      <c r="Y1042" s="161"/>
      <c r="Z1042" s="161"/>
      <c r="AA1042" s="161"/>
      <c r="AB1042" s="161"/>
      <c r="AC1042" s="161"/>
      <c r="AD1042" s="161"/>
      <c r="AE1042" s="161"/>
      <c r="AF1042" s="161"/>
      <c r="AG1042" s="161"/>
      <c r="AH1042" s="161"/>
      <c r="AI1042" s="161"/>
      <c r="AJ1042" s="161"/>
      <c r="AK1042" s="161"/>
      <c r="AL1042" s="161"/>
      <c r="AM1042" s="161"/>
      <c r="AN1042" s="161"/>
      <c r="AO1042" s="161"/>
      <c r="AP1042" s="161"/>
      <c r="AQ1042" s="161"/>
      <c r="AR1042" s="161"/>
      <c r="AS1042" s="161"/>
      <c r="AT1042" s="161"/>
      <c r="AU1042" s="161"/>
      <c r="AV1042" s="161"/>
      <c r="AW1042" s="161"/>
      <c r="AX1042" s="161"/>
      <c r="AY1042" s="161"/>
      <c r="AZ1042" s="161"/>
      <c r="BA1042" s="161"/>
      <c r="BB1042" s="161"/>
      <c r="BC1042" s="161"/>
      <c r="BD1042" s="161"/>
      <c r="BE1042" s="161"/>
      <c r="BF1042" s="161"/>
      <c r="BG1042" s="161"/>
      <c r="BH1042" s="161"/>
      <c r="BI1042" s="161"/>
      <c r="BJ1042" s="161"/>
      <c r="BK1042" s="161"/>
      <c r="BL1042" s="161"/>
      <c r="BM1042" s="161"/>
      <c r="BN1042" s="161"/>
      <c r="BO1042" s="161"/>
      <c r="BP1042" s="161"/>
      <c r="BQ1042" s="161"/>
      <c r="BR1042" s="161"/>
      <c r="BS1042" s="161"/>
      <c r="BT1042" s="161"/>
      <c r="BU1042" s="161"/>
      <c r="BV1042" s="161"/>
      <c r="BW1042" s="161"/>
      <c r="BX1042" s="161"/>
      <c r="BY1042" s="161"/>
      <c r="BZ1042" s="161"/>
      <c r="CA1042" s="161"/>
      <c r="CB1042" s="161"/>
      <c r="CC1042" s="161"/>
      <c r="CD1042" s="161"/>
      <c r="CE1042" s="161"/>
      <c r="CF1042" s="161"/>
      <c r="CG1042" s="161"/>
    </row>
    <row r="1043">
      <c r="A1043" s="161"/>
      <c r="B1043" s="161"/>
      <c r="C1043" s="161"/>
      <c r="D1043" s="161"/>
      <c r="E1043" s="161"/>
      <c r="F1043" s="161"/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161"/>
      <c r="R1043" s="161"/>
      <c r="S1043" s="161"/>
      <c r="T1043" s="161"/>
      <c r="U1043" s="161"/>
      <c r="V1043" s="161"/>
      <c r="W1043" s="161"/>
      <c r="X1043" s="161"/>
      <c r="Y1043" s="161"/>
      <c r="Z1043" s="161"/>
      <c r="AA1043" s="161"/>
      <c r="AB1043" s="161"/>
      <c r="AC1043" s="161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1"/>
      <c r="BE1043" s="161"/>
      <c r="BF1043" s="161"/>
      <c r="BG1043" s="161"/>
      <c r="BH1043" s="161"/>
      <c r="BI1043" s="161"/>
      <c r="BJ1043" s="161"/>
      <c r="BK1043" s="161"/>
      <c r="BL1043" s="161"/>
      <c r="BM1043" s="161"/>
      <c r="BN1043" s="161"/>
      <c r="BO1043" s="161"/>
      <c r="BP1043" s="161"/>
      <c r="BQ1043" s="161"/>
      <c r="BR1043" s="161"/>
      <c r="BS1043" s="161"/>
      <c r="BT1043" s="161"/>
      <c r="BU1043" s="161"/>
      <c r="BV1043" s="161"/>
      <c r="BW1043" s="161"/>
      <c r="BX1043" s="161"/>
      <c r="BY1043" s="161"/>
      <c r="BZ1043" s="161"/>
      <c r="CA1043" s="161"/>
      <c r="CB1043" s="161"/>
      <c r="CC1043" s="161"/>
      <c r="CD1043" s="161"/>
      <c r="CE1043" s="161"/>
      <c r="CF1043" s="161"/>
      <c r="CG1043" s="161"/>
    </row>
    <row r="1044">
      <c r="A1044" s="161"/>
      <c r="B1044" s="161"/>
      <c r="C1044" s="161"/>
      <c r="D1044" s="161"/>
      <c r="E1044" s="161"/>
      <c r="F1044" s="161"/>
      <c r="G1044" s="161"/>
      <c r="H1044" s="161"/>
      <c r="I1044" s="161"/>
      <c r="J1044" s="161"/>
      <c r="K1044" s="161"/>
      <c r="L1044" s="161"/>
      <c r="M1044" s="161"/>
      <c r="N1044" s="161"/>
      <c r="O1044" s="161"/>
      <c r="P1044" s="161"/>
      <c r="Q1044" s="161"/>
      <c r="R1044" s="161"/>
      <c r="S1044" s="161"/>
      <c r="T1044" s="161"/>
      <c r="U1044" s="161"/>
      <c r="V1044" s="161"/>
      <c r="W1044" s="161"/>
      <c r="X1044" s="161"/>
      <c r="Y1044" s="161"/>
      <c r="Z1044" s="161"/>
      <c r="AA1044" s="161"/>
      <c r="AB1044" s="161"/>
      <c r="AC1044" s="161"/>
      <c r="AD1044" s="161"/>
      <c r="AE1044" s="161"/>
      <c r="AF1044" s="161"/>
      <c r="AG1044" s="161"/>
      <c r="AH1044" s="161"/>
      <c r="AI1044" s="161"/>
      <c r="AJ1044" s="161"/>
      <c r="AK1044" s="161"/>
      <c r="AL1044" s="161"/>
      <c r="AM1044" s="161"/>
      <c r="AN1044" s="161"/>
      <c r="AO1044" s="161"/>
      <c r="AP1044" s="161"/>
      <c r="AQ1044" s="161"/>
      <c r="AR1044" s="161"/>
      <c r="AS1044" s="161"/>
      <c r="AT1044" s="161"/>
      <c r="AU1044" s="161"/>
      <c r="AV1044" s="161"/>
      <c r="AW1044" s="161"/>
      <c r="AX1044" s="161"/>
      <c r="AY1044" s="161"/>
      <c r="AZ1044" s="161"/>
      <c r="BA1044" s="161"/>
      <c r="BB1044" s="161"/>
      <c r="BC1044" s="161"/>
      <c r="BD1044" s="161"/>
      <c r="BE1044" s="161"/>
      <c r="BF1044" s="161"/>
      <c r="BG1044" s="161"/>
      <c r="BH1044" s="161"/>
      <c r="BI1044" s="161"/>
      <c r="BJ1044" s="161"/>
      <c r="BK1044" s="161"/>
      <c r="BL1044" s="161"/>
      <c r="BM1044" s="161"/>
      <c r="BN1044" s="161"/>
      <c r="BO1044" s="161"/>
      <c r="BP1044" s="161"/>
      <c r="BQ1044" s="161"/>
      <c r="BR1044" s="161"/>
      <c r="BS1044" s="161"/>
      <c r="BT1044" s="161"/>
      <c r="BU1044" s="161"/>
      <c r="BV1044" s="161"/>
      <c r="BW1044" s="161"/>
      <c r="BX1044" s="161"/>
      <c r="BY1044" s="161"/>
      <c r="BZ1044" s="161"/>
      <c r="CA1044" s="161"/>
      <c r="CB1044" s="161"/>
      <c r="CC1044" s="161"/>
      <c r="CD1044" s="161"/>
      <c r="CE1044" s="161"/>
      <c r="CF1044" s="161"/>
      <c r="CG1044" s="161"/>
    </row>
    <row r="1045">
      <c r="A1045" s="161"/>
      <c r="B1045" s="161"/>
      <c r="C1045" s="161"/>
      <c r="D1045" s="161"/>
      <c r="E1045" s="161"/>
      <c r="F1045" s="161"/>
      <c r="G1045" s="161"/>
      <c r="H1045" s="161"/>
      <c r="I1045" s="161"/>
      <c r="J1045" s="161"/>
      <c r="K1045" s="161"/>
      <c r="L1045" s="161"/>
      <c r="M1045" s="161"/>
      <c r="N1045" s="161"/>
      <c r="O1045" s="161"/>
      <c r="P1045" s="161"/>
      <c r="Q1045" s="161"/>
      <c r="R1045" s="161"/>
      <c r="S1045" s="161"/>
      <c r="T1045" s="161"/>
      <c r="U1045" s="161"/>
      <c r="V1045" s="161"/>
      <c r="W1045" s="161"/>
      <c r="X1045" s="161"/>
      <c r="Y1045" s="161"/>
      <c r="Z1045" s="161"/>
      <c r="AA1045" s="161"/>
      <c r="AB1045" s="161"/>
      <c r="AC1045" s="161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1"/>
      <c r="BE1045" s="161"/>
      <c r="BF1045" s="161"/>
      <c r="BG1045" s="161"/>
      <c r="BH1045" s="161"/>
      <c r="BI1045" s="161"/>
      <c r="BJ1045" s="161"/>
      <c r="BK1045" s="161"/>
      <c r="BL1045" s="161"/>
      <c r="BM1045" s="161"/>
      <c r="BN1045" s="161"/>
      <c r="BO1045" s="161"/>
      <c r="BP1045" s="161"/>
      <c r="BQ1045" s="161"/>
      <c r="BR1045" s="161"/>
      <c r="BS1045" s="161"/>
      <c r="BT1045" s="161"/>
      <c r="BU1045" s="161"/>
      <c r="BV1045" s="161"/>
      <c r="BW1045" s="161"/>
      <c r="BX1045" s="161"/>
      <c r="BY1045" s="161"/>
      <c r="BZ1045" s="161"/>
      <c r="CA1045" s="161"/>
      <c r="CB1045" s="161"/>
      <c r="CC1045" s="161"/>
      <c r="CD1045" s="161"/>
      <c r="CE1045" s="161"/>
      <c r="CF1045" s="161"/>
      <c r="CG1045" s="161"/>
    </row>
    <row r="1046">
      <c r="A1046" s="161"/>
      <c r="B1046" s="161"/>
      <c r="C1046" s="161"/>
      <c r="D1046" s="161"/>
      <c r="E1046" s="161"/>
      <c r="F1046" s="161"/>
      <c r="G1046" s="161"/>
      <c r="H1046" s="161"/>
      <c r="I1046" s="161"/>
      <c r="J1046" s="161"/>
      <c r="K1046" s="161"/>
      <c r="L1046" s="161"/>
      <c r="M1046" s="161"/>
      <c r="N1046" s="161"/>
      <c r="O1046" s="161"/>
      <c r="P1046" s="161"/>
      <c r="Q1046" s="161"/>
      <c r="R1046" s="161"/>
      <c r="S1046" s="161"/>
      <c r="T1046" s="161"/>
      <c r="U1046" s="161"/>
      <c r="V1046" s="161"/>
      <c r="W1046" s="161"/>
      <c r="X1046" s="161"/>
      <c r="Y1046" s="161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1"/>
      <c r="AL1046" s="161"/>
      <c r="AM1046" s="161"/>
      <c r="AN1046" s="161"/>
      <c r="AO1046" s="161"/>
      <c r="AP1046" s="161"/>
      <c r="AQ1046" s="161"/>
      <c r="AR1046" s="161"/>
      <c r="AS1046" s="161"/>
      <c r="AT1046" s="161"/>
      <c r="AU1046" s="161"/>
      <c r="AV1046" s="161"/>
      <c r="AW1046" s="161"/>
      <c r="AX1046" s="161"/>
      <c r="AY1046" s="161"/>
      <c r="AZ1046" s="161"/>
      <c r="BA1046" s="161"/>
      <c r="BB1046" s="161"/>
      <c r="BC1046" s="161"/>
      <c r="BD1046" s="161"/>
      <c r="BE1046" s="161"/>
      <c r="BF1046" s="161"/>
      <c r="BG1046" s="161"/>
      <c r="BH1046" s="161"/>
      <c r="BI1046" s="161"/>
      <c r="BJ1046" s="161"/>
      <c r="BK1046" s="161"/>
      <c r="BL1046" s="161"/>
      <c r="BM1046" s="161"/>
      <c r="BN1046" s="161"/>
      <c r="BO1046" s="161"/>
      <c r="BP1046" s="161"/>
      <c r="BQ1046" s="161"/>
      <c r="BR1046" s="161"/>
      <c r="BS1046" s="161"/>
      <c r="BT1046" s="161"/>
      <c r="BU1046" s="161"/>
      <c r="BV1046" s="161"/>
      <c r="BW1046" s="161"/>
      <c r="BX1046" s="161"/>
      <c r="BY1046" s="161"/>
      <c r="BZ1046" s="161"/>
      <c r="CA1046" s="161"/>
      <c r="CB1046" s="161"/>
      <c r="CC1046" s="161"/>
      <c r="CD1046" s="161"/>
      <c r="CE1046" s="161"/>
      <c r="CF1046" s="161"/>
      <c r="CG1046" s="161"/>
    </row>
    <row r="1047">
      <c r="A1047" s="161"/>
      <c r="B1047" s="161"/>
      <c r="C1047" s="161"/>
      <c r="D1047" s="161"/>
      <c r="E1047" s="161"/>
      <c r="F1047" s="161"/>
      <c r="G1047" s="161"/>
      <c r="H1047" s="161"/>
      <c r="I1047" s="161"/>
      <c r="J1047" s="161"/>
      <c r="K1047" s="161"/>
      <c r="L1047" s="161"/>
      <c r="M1047" s="161"/>
      <c r="N1047" s="161"/>
      <c r="O1047" s="161"/>
      <c r="P1047" s="161"/>
      <c r="Q1047" s="161"/>
      <c r="R1047" s="161"/>
      <c r="S1047" s="161"/>
      <c r="T1047" s="161"/>
      <c r="U1047" s="161"/>
      <c r="V1047" s="161"/>
      <c r="W1047" s="161"/>
      <c r="X1047" s="161"/>
      <c r="Y1047" s="161"/>
      <c r="Z1047" s="161"/>
      <c r="AA1047" s="161"/>
      <c r="AB1047" s="161"/>
      <c r="AC1047" s="161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1"/>
      <c r="BE1047" s="161"/>
      <c r="BF1047" s="161"/>
      <c r="BG1047" s="161"/>
      <c r="BH1047" s="161"/>
      <c r="BI1047" s="161"/>
      <c r="BJ1047" s="161"/>
      <c r="BK1047" s="161"/>
      <c r="BL1047" s="161"/>
      <c r="BM1047" s="161"/>
      <c r="BN1047" s="161"/>
      <c r="BO1047" s="161"/>
      <c r="BP1047" s="161"/>
      <c r="BQ1047" s="161"/>
      <c r="BR1047" s="161"/>
      <c r="BS1047" s="161"/>
      <c r="BT1047" s="161"/>
      <c r="BU1047" s="161"/>
      <c r="BV1047" s="161"/>
      <c r="BW1047" s="161"/>
      <c r="BX1047" s="161"/>
      <c r="BY1047" s="161"/>
      <c r="BZ1047" s="161"/>
      <c r="CA1047" s="161"/>
      <c r="CB1047" s="161"/>
      <c r="CC1047" s="161"/>
      <c r="CD1047" s="161"/>
      <c r="CE1047" s="161"/>
      <c r="CF1047" s="161"/>
      <c r="CG1047" s="161"/>
    </row>
    <row r="1048">
      <c r="A1048" s="161"/>
      <c r="B1048" s="161"/>
      <c r="C1048" s="161"/>
      <c r="D1048" s="161"/>
      <c r="E1048" s="161"/>
      <c r="F1048" s="161"/>
      <c r="G1048" s="161"/>
      <c r="H1048" s="161"/>
      <c r="I1048" s="161"/>
      <c r="J1048" s="161"/>
      <c r="K1048" s="161"/>
      <c r="L1048" s="161"/>
      <c r="M1048" s="161"/>
      <c r="N1048" s="161"/>
      <c r="O1048" s="161"/>
      <c r="P1048" s="161"/>
      <c r="Q1048" s="161"/>
      <c r="R1048" s="161"/>
      <c r="S1048" s="161"/>
      <c r="T1048" s="161"/>
      <c r="U1048" s="161"/>
      <c r="V1048" s="161"/>
      <c r="W1048" s="161"/>
      <c r="X1048" s="161"/>
      <c r="Y1048" s="161"/>
      <c r="Z1048" s="161"/>
      <c r="AA1048" s="161"/>
      <c r="AB1048" s="161"/>
      <c r="AC1048" s="161"/>
      <c r="AD1048" s="161"/>
      <c r="AE1048" s="161"/>
      <c r="AF1048" s="161"/>
      <c r="AG1048" s="161"/>
      <c r="AH1048" s="161"/>
      <c r="AI1048" s="161"/>
      <c r="AJ1048" s="161"/>
      <c r="AK1048" s="161"/>
      <c r="AL1048" s="161"/>
      <c r="AM1048" s="161"/>
      <c r="AN1048" s="161"/>
      <c r="AO1048" s="161"/>
      <c r="AP1048" s="161"/>
      <c r="AQ1048" s="161"/>
      <c r="AR1048" s="161"/>
      <c r="AS1048" s="161"/>
      <c r="AT1048" s="161"/>
      <c r="AU1048" s="161"/>
      <c r="AV1048" s="161"/>
      <c r="AW1048" s="161"/>
      <c r="AX1048" s="161"/>
      <c r="AY1048" s="161"/>
      <c r="AZ1048" s="161"/>
      <c r="BA1048" s="161"/>
      <c r="BB1048" s="161"/>
      <c r="BC1048" s="161"/>
      <c r="BD1048" s="161"/>
      <c r="BE1048" s="161"/>
      <c r="BF1048" s="161"/>
      <c r="BG1048" s="161"/>
      <c r="BH1048" s="161"/>
      <c r="BI1048" s="161"/>
      <c r="BJ1048" s="161"/>
      <c r="BK1048" s="161"/>
      <c r="BL1048" s="161"/>
      <c r="BM1048" s="161"/>
      <c r="BN1048" s="161"/>
      <c r="BO1048" s="161"/>
      <c r="BP1048" s="161"/>
      <c r="BQ1048" s="161"/>
      <c r="BR1048" s="161"/>
      <c r="BS1048" s="161"/>
      <c r="BT1048" s="161"/>
      <c r="BU1048" s="161"/>
      <c r="BV1048" s="161"/>
      <c r="BW1048" s="161"/>
      <c r="BX1048" s="161"/>
      <c r="BY1048" s="161"/>
      <c r="BZ1048" s="161"/>
      <c r="CA1048" s="161"/>
      <c r="CB1048" s="161"/>
      <c r="CC1048" s="161"/>
      <c r="CD1048" s="161"/>
      <c r="CE1048" s="161"/>
      <c r="CF1048" s="161"/>
      <c r="CG1048" s="161"/>
    </row>
    <row r="1049">
      <c r="A1049" s="161"/>
      <c r="B1049" s="161"/>
      <c r="C1049" s="161"/>
      <c r="D1049" s="161"/>
      <c r="E1049" s="161"/>
      <c r="F1049" s="161"/>
      <c r="G1049" s="161"/>
      <c r="H1049" s="161"/>
      <c r="I1049" s="161"/>
      <c r="J1049" s="161"/>
      <c r="K1049" s="161"/>
      <c r="L1049" s="161"/>
      <c r="M1049" s="161"/>
      <c r="N1049" s="161"/>
      <c r="O1049" s="161"/>
      <c r="P1049" s="161"/>
      <c r="Q1049" s="161"/>
      <c r="R1049" s="161"/>
      <c r="S1049" s="161"/>
      <c r="T1049" s="161"/>
      <c r="U1049" s="161"/>
      <c r="V1049" s="161"/>
      <c r="W1049" s="161"/>
      <c r="X1049" s="161"/>
      <c r="Y1049" s="161"/>
      <c r="Z1049" s="161"/>
      <c r="AA1049" s="161"/>
      <c r="AB1049" s="161"/>
      <c r="AC1049" s="161"/>
      <c r="AD1049" s="161"/>
      <c r="AE1049" s="161"/>
      <c r="AF1049" s="161"/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/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1"/>
      <c r="BE1049" s="161"/>
      <c r="BF1049" s="161"/>
      <c r="BG1049" s="161"/>
      <c r="BH1049" s="161"/>
      <c r="BI1049" s="161"/>
      <c r="BJ1049" s="161"/>
      <c r="BK1049" s="161"/>
      <c r="BL1049" s="161"/>
      <c r="BM1049" s="161"/>
      <c r="BN1049" s="161"/>
      <c r="BO1049" s="161"/>
      <c r="BP1049" s="161"/>
      <c r="BQ1049" s="161"/>
      <c r="BR1049" s="161"/>
      <c r="BS1049" s="161"/>
      <c r="BT1049" s="161"/>
      <c r="BU1049" s="161"/>
      <c r="BV1049" s="161"/>
      <c r="BW1049" s="161"/>
      <c r="BX1049" s="161"/>
      <c r="BY1049" s="161"/>
      <c r="BZ1049" s="161"/>
      <c r="CA1049" s="161"/>
      <c r="CB1049" s="161"/>
      <c r="CC1049" s="161"/>
      <c r="CD1049" s="161"/>
      <c r="CE1049" s="161"/>
      <c r="CF1049" s="161"/>
      <c r="CG1049" s="161"/>
    </row>
    <row r="1050">
      <c r="A1050" s="161"/>
      <c r="B1050" s="161"/>
      <c r="C1050" s="161"/>
      <c r="D1050" s="161"/>
      <c r="E1050" s="161"/>
      <c r="F1050" s="161"/>
      <c r="G1050" s="161"/>
      <c r="H1050" s="161"/>
      <c r="I1050" s="161"/>
      <c r="J1050" s="161"/>
      <c r="K1050" s="161"/>
      <c r="L1050" s="161"/>
      <c r="M1050" s="161"/>
      <c r="N1050" s="161"/>
      <c r="O1050" s="161"/>
      <c r="P1050" s="161"/>
      <c r="Q1050" s="161"/>
      <c r="R1050" s="161"/>
      <c r="S1050" s="161"/>
      <c r="T1050" s="161"/>
      <c r="U1050" s="161"/>
      <c r="V1050" s="161"/>
      <c r="W1050" s="161"/>
      <c r="X1050" s="161"/>
      <c r="Y1050" s="161"/>
      <c r="Z1050" s="161"/>
      <c r="AA1050" s="161"/>
      <c r="AB1050" s="161"/>
      <c r="AC1050" s="161"/>
      <c r="AD1050" s="161"/>
      <c r="AE1050" s="161"/>
      <c r="AF1050" s="161"/>
      <c r="AG1050" s="161"/>
      <c r="AH1050" s="161"/>
      <c r="AI1050" s="161"/>
      <c r="AJ1050" s="161"/>
      <c r="AK1050" s="161"/>
      <c r="AL1050" s="161"/>
      <c r="AM1050" s="161"/>
      <c r="AN1050" s="161"/>
      <c r="AO1050" s="161"/>
      <c r="AP1050" s="161"/>
      <c r="AQ1050" s="161"/>
      <c r="AR1050" s="161"/>
      <c r="AS1050" s="161"/>
      <c r="AT1050" s="161"/>
      <c r="AU1050" s="161"/>
      <c r="AV1050" s="161"/>
      <c r="AW1050" s="161"/>
      <c r="AX1050" s="161"/>
      <c r="AY1050" s="161"/>
      <c r="AZ1050" s="161"/>
      <c r="BA1050" s="161"/>
      <c r="BB1050" s="161"/>
      <c r="BC1050" s="161"/>
      <c r="BD1050" s="161"/>
      <c r="BE1050" s="161"/>
      <c r="BF1050" s="161"/>
      <c r="BG1050" s="161"/>
      <c r="BH1050" s="161"/>
      <c r="BI1050" s="161"/>
      <c r="BJ1050" s="161"/>
      <c r="BK1050" s="161"/>
      <c r="BL1050" s="161"/>
      <c r="BM1050" s="161"/>
      <c r="BN1050" s="161"/>
      <c r="BO1050" s="161"/>
      <c r="BP1050" s="161"/>
      <c r="BQ1050" s="161"/>
      <c r="BR1050" s="161"/>
      <c r="BS1050" s="161"/>
      <c r="BT1050" s="161"/>
      <c r="BU1050" s="161"/>
      <c r="BV1050" s="161"/>
      <c r="BW1050" s="161"/>
      <c r="BX1050" s="161"/>
      <c r="BY1050" s="161"/>
      <c r="BZ1050" s="161"/>
      <c r="CA1050" s="161"/>
      <c r="CB1050" s="161"/>
      <c r="CC1050" s="161"/>
      <c r="CD1050" s="161"/>
      <c r="CE1050" s="161"/>
      <c r="CF1050" s="161"/>
      <c r="CG1050" s="161"/>
    </row>
    <row r="1051">
      <c r="A1051" s="161"/>
      <c r="B1051" s="161"/>
      <c r="C1051" s="161"/>
      <c r="D1051" s="161"/>
      <c r="E1051" s="161"/>
      <c r="F1051" s="161"/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161"/>
      <c r="R1051" s="161"/>
      <c r="S1051" s="161"/>
      <c r="T1051" s="161"/>
      <c r="U1051" s="161"/>
      <c r="V1051" s="161"/>
      <c r="W1051" s="161"/>
      <c r="X1051" s="161"/>
      <c r="Y1051" s="161"/>
      <c r="Z1051" s="161"/>
      <c r="AA1051" s="161"/>
      <c r="AB1051" s="161"/>
      <c r="AC1051" s="161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1"/>
      <c r="BE1051" s="161"/>
      <c r="BF1051" s="161"/>
      <c r="BG1051" s="161"/>
      <c r="BH1051" s="161"/>
      <c r="BI1051" s="161"/>
      <c r="BJ1051" s="161"/>
      <c r="BK1051" s="161"/>
      <c r="BL1051" s="161"/>
      <c r="BM1051" s="161"/>
      <c r="BN1051" s="161"/>
      <c r="BO1051" s="161"/>
      <c r="BP1051" s="161"/>
      <c r="BQ1051" s="161"/>
      <c r="BR1051" s="161"/>
      <c r="BS1051" s="161"/>
      <c r="BT1051" s="161"/>
      <c r="BU1051" s="161"/>
      <c r="BV1051" s="161"/>
      <c r="BW1051" s="161"/>
      <c r="BX1051" s="161"/>
      <c r="BY1051" s="161"/>
      <c r="BZ1051" s="161"/>
      <c r="CA1051" s="161"/>
      <c r="CB1051" s="161"/>
      <c r="CC1051" s="161"/>
      <c r="CD1051" s="161"/>
      <c r="CE1051" s="161"/>
      <c r="CF1051" s="161"/>
      <c r="CG1051" s="161"/>
    </row>
    <row r="1052">
      <c r="A1052" s="161"/>
      <c r="B1052" s="161"/>
      <c r="C1052" s="161"/>
      <c r="D1052" s="161"/>
      <c r="E1052" s="161"/>
      <c r="F1052" s="161"/>
      <c r="G1052" s="161"/>
      <c r="H1052" s="161"/>
      <c r="I1052" s="161"/>
      <c r="J1052" s="161"/>
      <c r="K1052" s="161"/>
      <c r="L1052" s="161"/>
      <c r="M1052" s="161"/>
      <c r="N1052" s="161"/>
      <c r="O1052" s="161"/>
      <c r="P1052" s="161"/>
      <c r="Q1052" s="161"/>
      <c r="R1052" s="161"/>
      <c r="S1052" s="161"/>
      <c r="T1052" s="161"/>
      <c r="U1052" s="161"/>
      <c r="V1052" s="161"/>
      <c r="W1052" s="161"/>
      <c r="X1052" s="161"/>
      <c r="Y1052" s="161"/>
      <c r="Z1052" s="161"/>
      <c r="AA1052" s="161"/>
      <c r="AB1052" s="161"/>
      <c r="AC1052" s="161"/>
      <c r="AD1052" s="161"/>
      <c r="AE1052" s="161"/>
      <c r="AF1052" s="161"/>
      <c r="AG1052" s="161"/>
      <c r="AH1052" s="161"/>
      <c r="AI1052" s="161"/>
      <c r="AJ1052" s="161"/>
      <c r="AK1052" s="161"/>
      <c r="AL1052" s="161"/>
      <c r="AM1052" s="161"/>
      <c r="AN1052" s="161"/>
      <c r="AO1052" s="161"/>
      <c r="AP1052" s="161"/>
      <c r="AQ1052" s="161"/>
      <c r="AR1052" s="161"/>
      <c r="AS1052" s="161"/>
      <c r="AT1052" s="161"/>
      <c r="AU1052" s="161"/>
      <c r="AV1052" s="161"/>
      <c r="AW1052" s="161"/>
      <c r="AX1052" s="161"/>
      <c r="AY1052" s="161"/>
      <c r="AZ1052" s="161"/>
      <c r="BA1052" s="161"/>
      <c r="BB1052" s="161"/>
      <c r="BC1052" s="161"/>
      <c r="BD1052" s="161"/>
      <c r="BE1052" s="161"/>
      <c r="BF1052" s="161"/>
      <c r="BG1052" s="161"/>
      <c r="BH1052" s="161"/>
      <c r="BI1052" s="161"/>
      <c r="BJ1052" s="161"/>
      <c r="BK1052" s="161"/>
      <c r="BL1052" s="161"/>
      <c r="BM1052" s="161"/>
      <c r="BN1052" s="161"/>
      <c r="BO1052" s="161"/>
      <c r="BP1052" s="161"/>
      <c r="BQ1052" s="161"/>
      <c r="BR1052" s="161"/>
      <c r="BS1052" s="161"/>
      <c r="BT1052" s="161"/>
      <c r="BU1052" s="161"/>
      <c r="BV1052" s="161"/>
      <c r="BW1052" s="161"/>
      <c r="BX1052" s="161"/>
      <c r="BY1052" s="161"/>
      <c r="BZ1052" s="161"/>
      <c r="CA1052" s="161"/>
      <c r="CB1052" s="161"/>
      <c r="CC1052" s="161"/>
      <c r="CD1052" s="161"/>
      <c r="CE1052" s="161"/>
      <c r="CF1052" s="161"/>
      <c r="CG1052" s="161"/>
    </row>
    <row r="1053">
      <c r="A1053" s="161"/>
      <c r="B1053" s="161"/>
      <c r="C1053" s="161"/>
      <c r="D1053" s="161"/>
      <c r="E1053" s="161"/>
      <c r="F1053" s="161"/>
      <c r="G1053" s="161"/>
      <c r="H1053" s="161"/>
      <c r="I1053" s="161"/>
      <c r="J1053" s="161"/>
      <c r="K1053" s="161"/>
      <c r="L1053" s="161"/>
      <c r="M1053" s="161"/>
      <c r="N1053" s="161"/>
      <c r="O1053" s="161"/>
      <c r="P1053" s="161"/>
      <c r="Q1053" s="161"/>
      <c r="R1053" s="161"/>
      <c r="S1053" s="161"/>
      <c r="T1053" s="161"/>
      <c r="U1053" s="161"/>
      <c r="V1053" s="161"/>
      <c r="W1053" s="161"/>
      <c r="X1053" s="161"/>
      <c r="Y1053" s="161"/>
      <c r="Z1053" s="161"/>
      <c r="AA1053" s="161"/>
      <c r="AB1053" s="161"/>
      <c r="AC1053" s="161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1"/>
      <c r="BE1053" s="161"/>
      <c r="BF1053" s="161"/>
      <c r="BG1053" s="161"/>
      <c r="BH1053" s="161"/>
      <c r="BI1053" s="161"/>
      <c r="BJ1053" s="161"/>
      <c r="BK1053" s="161"/>
      <c r="BL1053" s="161"/>
      <c r="BM1053" s="161"/>
      <c r="BN1053" s="161"/>
      <c r="BO1053" s="161"/>
      <c r="BP1053" s="161"/>
      <c r="BQ1053" s="161"/>
      <c r="BR1053" s="161"/>
      <c r="BS1053" s="161"/>
      <c r="BT1053" s="161"/>
      <c r="BU1053" s="161"/>
      <c r="BV1053" s="161"/>
      <c r="BW1053" s="161"/>
      <c r="BX1053" s="161"/>
      <c r="BY1053" s="161"/>
      <c r="BZ1053" s="161"/>
      <c r="CA1053" s="161"/>
      <c r="CB1053" s="161"/>
      <c r="CC1053" s="161"/>
      <c r="CD1053" s="161"/>
      <c r="CE1053" s="161"/>
      <c r="CF1053" s="161"/>
      <c r="CG1053" s="161"/>
    </row>
    <row r="1054">
      <c r="A1054" s="161"/>
      <c r="B1054" s="161"/>
      <c r="C1054" s="161"/>
      <c r="D1054" s="161"/>
      <c r="E1054" s="161"/>
      <c r="F1054" s="161"/>
      <c r="G1054" s="161"/>
      <c r="H1054" s="161"/>
      <c r="I1054" s="161"/>
      <c r="J1054" s="161"/>
      <c r="K1054" s="161"/>
      <c r="L1054" s="161"/>
      <c r="M1054" s="161"/>
      <c r="N1054" s="161"/>
      <c r="O1054" s="161"/>
      <c r="P1054" s="161"/>
      <c r="Q1054" s="161"/>
      <c r="R1054" s="161"/>
      <c r="S1054" s="161"/>
      <c r="T1054" s="161"/>
      <c r="U1054" s="161"/>
      <c r="V1054" s="161"/>
      <c r="W1054" s="161"/>
      <c r="X1054" s="161"/>
      <c r="Y1054" s="161"/>
      <c r="Z1054" s="161"/>
      <c r="AA1054" s="161"/>
      <c r="AB1054" s="161"/>
      <c r="AC1054" s="161"/>
      <c r="AD1054" s="161"/>
      <c r="AE1054" s="161"/>
      <c r="AF1054" s="161"/>
      <c r="AG1054" s="161"/>
      <c r="AH1054" s="161"/>
      <c r="AI1054" s="161"/>
      <c r="AJ1054" s="161"/>
      <c r="AK1054" s="161"/>
      <c r="AL1054" s="161"/>
      <c r="AM1054" s="161"/>
      <c r="AN1054" s="161"/>
      <c r="AO1054" s="161"/>
      <c r="AP1054" s="161"/>
      <c r="AQ1054" s="161"/>
      <c r="AR1054" s="161"/>
      <c r="AS1054" s="161"/>
      <c r="AT1054" s="161"/>
      <c r="AU1054" s="161"/>
      <c r="AV1054" s="161"/>
      <c r="AW1054" s="161"/>
      <c r="AX1054" s="161"/>
      <c r="AY1054" s="161"/>
      <c r="AZ1054" s="161"/>
      <c r="BA1054" s="161"/>
      <c r="BB1054" s="161"/>
      <c r="BC1054" s="161"/>
      <c r="BD1054" s="161"/>
      <c r="BE1054" s="161"/>
      <c r="BF1054" s="161"/>
      <c r="BG1054" s="161"/>
      <c r="BH1054" s="161"/>
      <c r="BI1054" s="161"/>
      <c r="BJ1054" s="161"/>
      <c r="BK1054" s="161"/>
      <c r="BL1054" s="161"/>
      <c r="BM1054" s="161"/>
      <c r="BN1054" s="161"/>
      <c r="BO1054" s="161"/>
      <c r="BP1054" s="161"/>
      <c r="BQ1054" s="161"/>
      <c r="BR1054" s="161"/>
      <c r="BS1054" s="161"/>
      <c r="BT1054" s="161"/>
      <c r="BU1054" s="161"/>
      <c r="BV1054" s="161"/>
      <c r="BW1054" s="161"/>
      <c r="BX1054" s="161"/>
      <c r="BY1054" s="161"/>
      <c r="BZ1054" s="161"/>
      <c r="CA1054" s="161"/>
      <c r="CB1054" s="161"/>
      <c r="CC1054" s="161"/>
      <c r="CD1054" s="161"/>
      <c r="CE1054" s="161"/>
      <c r="CF1054" s="161"/>
      <c r="CG1054" s="161"/>
    </row>
    <row r="1055">
      <c r="A1055" s="161"/>
      <c r="B1055" s="161"/>
      <c r="C1055" s="161"/>
      <c r="D1055" s="161"/>
      <c r="E1055" s="161"/>
      <c r="F1055" s="161"/>
      <c r="G1055" s="161"/>
      <c r="H1055" s="161"/>
      <c r="I1055" s="161"/>
      <c r="J1055" s="161"/>
      <c r="K1055" s="161"/>
      <c r="L1055" s="161"/>
      <c r="M1055" s="161"/>
      <c r="N1055" s="161"/>
      <c r="O1055" s="161"/>
      <c r="P1055" s="161"/>
      <c r="Q1055" s="161"/>
      <c r="R1055" s="161"/>
      <c r="S1055" s="161"/>
      <c r="T1055" s="161"/>
      <c r="U1055" s="161"/>
      <c r="V1055" s="161"/>
      <c r="W1055" s="161"/>
      <c r="X1055" s="161"/>
      <c r="Y1055" s="161"/>
      <c r="Z1055" s="161"/>
      <c r="AA1055" s="161"/>
      <c r="AB1055" s="161"/>
      <c r="AC1055" s="161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1"/>
      <c r="BE1055" s="161"/>
      <c r="BF1055" s="161"/>
      <c r="BG1055" s="161"/>
      <c r="BH1055" s="161"/>
      <c r="BI1055" s="161"/>
      <c r="BJ1055" s="161"/>
      <c r="BK1055" s="161"/>
      <c r="BL1055" s="161"/>
      <c r="BM1055" s="161"/>
      <c r="BN1055" s="161"/>
      <c r="BO1055" s="161"/>
      <c r="BP1055" s="161"/>
      <c r="BQ1055" s="161"/>
      <c r="BR1055" s="161"/>
      <c r="BS1055" s="161"/>
      <c r="BT1055" s="161"/>
      <c r="BU1055" s="161"/>
      <c r="BV1055" s="161"/>
      <c r="BW1055" s="161"/>
      <c r="BX1055" s="161"/>
      <c r="BY1055" s="161"/>
      <c r="BZ1055" s="161"/>
      <c r="CA1055" s="161"/>
      <c r="CB1055" s="161"/>
      <c r="CC1055" s="161"/>
      <c r="CD1055" s="161"/>
      <c r="CE1055" s="161"/>
      <c r="CF1055" s="161"/>
      <c r="CG1055" s="161"/>
    </row>
    <row r="1056">
      <c r="A1056" s="161"/>
      <c r="B1056" s="161"/>
      <c r="C1056" s="161"/>
      <c r="D1056" s="161"/>
      <c r="E1056" s="161"/>
      <c r="F1056" s="161"/>
      <c r="G1056" s="161"/>
      <c r="H1056" s="161"/>
      <c r="I1056" s="161"/>
      <c r="J1056" s="161"/>
      <c r="K1056" s="161"/>
      <c r="L1056" s="161"/>
      <c r="M1056" s="161"/>
      <c r="N1056" s="161"/>
      <c r="O1056" s="161"/>
      <c r="P1056" s="161"/>
      <c r="Q1056" s="161"/>
      <c r="R1056" s="161"/>
      <c r="S1056" s="161"/>
      <c r="T1056" s="161"/>
      <c r="U1056" s="161"/>
      <c r="V1056" s="161"/>
      <c r="W1056" s="161"/>
      <c r="X1056" s="161"/>
      <c r="Y1056" s="161"/>
      <c r="Z1056" s="161"/>
      <c r="AA1056" s="161"/>
      <c r="AB1056" s="161"/>
      <c r="AC1056" s="161"/>
      <c r="AD1056" s="161"/>
      <c r="AE1056" s="161"/>
      <c r="AF1056" s="161"/>
      <c r="AG1056" s="161"/>
      <c r="AH1056" s="161"/>
      <c r="AI1056" s="161"/>
      <c r="AJ1056" s="161"/>
      <c r="AK1056" s="161"/>
      <c r="AL1056" s="161"/>
      <c r="AM1056" s="161"/>
      <c r="AN1056" s="161"/>
      <c r="AO1056" s="161"/>
      <c r="AP1056" s="161"/>
      <c r="AQ1056" s="161"/>
      <c r="AR1056" s="161"/>
      <c r="AS1056" s="161"/>
      <c r="AT1056" s="161"/>
      <c r="AU1056" s="161"/>
      <c r="AV1056" s="161"/>
      <c r="AW1056" s="161"/>
      <c r="AX1056" s="161"/>
      <c r="AY1056" s="161"/>
      <c r="AZ1056" s="161"/>
      <c r="BA1056" s="161"/>
      <c r="BB1056" s="161"/>
      <c r="BC1056" s="161"/>
      <c r="BD1056" s="161"/>
      <c r="BE1056" s="161"/>
      <c r="BF1056" s="161"/>
      <c r="BG1056" s="161"/>
      <c r="BH1056" s="161"/>
      <c r="BI1056" s="161"/>
      <c r="BJ1056" s="161"/>
      <c r="BK1056" s="161"/>
      <c r="BL1056" s="161"/>
      <c r="BM1056" s="161"/>
      <c r="BN1056" s="161"/>
      <c r="BO1056" s="161"/>
      <c r="BP1056" s="161"/>
      <c r="BQ1056" s="161"/>
      <c r="BR1056" s="161"/>
      <c r="BS1056" s="161"/>
      <c r="BT1056" s="161"/>
      <c r="BU1056" s="161"/>
      <c r="BV1056" s="161"/>
      <c r="BW1056" s="161"/>
      <c r="BX1056" s="161"/>
      <c r="BY1056" s="161"/>
      <c r="BZ1056" s="161"/>
      <c r="CA1056" s="161"/>
      <c r="CB1056" s="161"/>
      <c r="CC1056" s="161"/>
      <c r="CD1056" s="161"/>
      <c r="CE1056" s="161"/>
      <c r="CF1056" s="161"/>
      <c r="CG1056" s="161"/>
    </row>
    <row r="1057">
      <c r="A1057" s="161"/>
      <c r="B1057" s="161"/>
      <c r="C1057" s="161"/>
      <c r="D1057" s="161"/>
      <c r="E1057" s="161"/>
      <c r="F1057" s="161"/>
      <c r="G1057" s="161"/>
      <c r="H1057" s="161"/>
      <c r="I1057" s="161"/>
      <c r="J1057" s="161"/>
      <c r="K1057" s="161"/>
      <c r="L1057" s="161"/>
      <c r="M1057" s="161"/>
      <c r="N1057" s="161"/>
      <c r="O1057" s="161"/>
      <c r="P1057" s="161"/>
      <c r="Q1057" s="161"/>
      <c r="R1057" s="161"/>
      <c r="S1057" s="161"/>
      <c r="T1057" s="161"/>
      <c r="U1057" s="161"/>
      <c r="V1057" s="161"/>
      <c r="W1057" s="161"/>
      <c r="X1057" s="161"/>
      <c r="Y1057" s="161"/>
      <c r="Z1057" s="161"/>
      <c r="AA1057" s="161"/>
      <c r="AB1057" s="161"/>
      <c r="AC1057" s="161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1"/>
      <c r="BE1057" s="161"/>
      <c r="BF1057" s="161"/>
      <c r="BG1057" s="161"/>
      <c r="BH1057" s="161"/>
      <c r="BI1057" s="161"/>
      <c r="BJ1057" s="161"/>
      <c r="BK1057" s="161"/>
      <c r="BL1057" s="161"/>
      <c r="BM1057" s="161"/>
      <c r="BN1057" s="161"/>
      <c r="BO1057" s="161"/>
      <c r="BP1057" s="161"/>
      <c r="BQ1057" s="161"/>
      <c r="BR1057" s="161"/>
      <c r="BS1057" s="161"/>
      <c r="BT1057" s="161"/>
      <c r="BU1057" s="161"/>
      <c r="BV1057" s="161"/>
      <c r="BW1057" s="161"/>
      <c r="BX1057" s="161"/>
      <c r="BY1057" s="161"/>
      <c r="BZ1057" s="161"/>
      <c r="CA1057" s="161"/>
      <c r="CB1057" s="161"/>
      <c r="CC1057" s="161"/>
      <c r="CD1057" s="161"/>
      <c r="CE1057" s="161"/>
      <c r="CF1057" s="161"/>
      <c r="CG1057" s="161"/>
    </row>
    <row r="1058">
      <c r="A1058" s="161"/>
      <c r="B1058" s="161"/>
      <c r="C1058" s="161"/>
      <c r="D1058" s="161"/>
      <c r="E1058" s="161"/>
      <c r="F1058" s="161"/>
      <c r="G1058" s="161"/>
      <c r="H1058" s="161"/>
      <c r="I1058" s="161"/>
      <c r="J1058" s="161"/>
      <c r="K1058" s="161"/>
      <c r="L1058" s="161"/>
      <c r="M1058" s="161"/>
      <c r="N1058" s="161"/>
      <c r="O1058" s="161"/>
      <c r="P1058" s="161"/>
      <c r="Q1058" s="161"/>
      <c r="R1058" s="161"/>
      <c r="S1058" s="161"/>
      <c r="T1058" s="161"/>
      <c r="U1058" s="161"/>
      <c r="V1058" s="161"/>
      <c r="W1058" s="161"/>
      <c r="X1058" s="161"/>
      <c r="Y1058" s="161"/>
      <c r="Z1058" s="161"/>
      <c r="AA1058" s="161"/>
      <c r="AB1058" s="161"/>
      <c r="AC1058" s="161"/>
      <c r="AD1058" s="161"/>
      <c r="AE1058" s="161"/>
      <c r="AF1058" s="161"/>
      <c r="AG1058" s="161"/>
      <c r="AH1058" s="161"/>
      <c r="AI1058" s="161"/>
      <c r="AJ1058" s="161"/>
      <c r="AK1058" s="161"/>
      <c r="AL1058" s="161"/>
      <c r="AM1058" s="161"/>
      <c r="AN1058" s="161"/>
      <c r="AO1058" s="161"/>
      <c r="AP1058" s="161"/>
      <c r="AQ1058" s="161"/>
      <c r="AR1058" s="161"/>
      <c r="AS1058" s="161"/>
      <c r="AT1058" s="161"/>
      <c r="AU1058" s="161"/>
      <c r="AV1058" s="161"/>
      <c r="AW1058" s="161"/>
      <c r="AX1058" s="161"/>
      <c r="AY1058" s="161"/>
      <c r="AZ1058" s="161"/>
      <c r="BA1058" s="161"/>
      <c r="BB1058" s="161"/>
      <c r="BC1058" s="161"/>
      <c r="BD1058" s="161"/>
      <c r="BE1058" s="161"/>
      <c r="BF1058" s="161"/>
      <c r="BG1058" s="161"/>
      <c r="BH1058" s="161"/>
      <c r="BI1058" s="161"/>
      <c r="BJ1058" s="161"/>
      <c r="BK1058" s="161"/>
      <c r="BL1058" s="161"/>
      <c r="BM1058" s="161"/>
      <c r="BN1058" s="161"/>
      <c r="BO1058" s="161"/>
      <c r="BP1058" s="161"/>
      <c r="BQ1058" s="161"/>
      <c r="BR1058" s="161"/>
      <c r="BS1058" s="161"/>
      <c r="BT1058" s="161"/>
      <c r="BU1058" s="161"/>
      <c r="BV1058" s="161"/>
      <c r="BW1058" s="161"/>
      <c r="BX1058" s="161"/>
      <c r="BY1058" s="161"/>
      <c r="BZ1058" s="161"/>
      <c r="CA1058" s="161"/>
      <c r="CB1058" s="161"/>
      <c r="CC1058" s="161"/>
      <c r="CD1058" s="161"/>
      <c r="CE1058" s="161"/>
      <c r="CF1058" s="161"/>
      <c r="CG1058" s="161"/>
    </row>
    <row r="1059">
      <c r="A1059" s="161"/>
      <c r="B1059" s="161"/>
      <c r="C1059" s="161"/>
      <c r="D1059" s="161"/>
      <c r="E1059" s="161"/>
      <c r="F1059" s="161"/>
      <c r="G1059" s="161"/>
      <c r="H1059" s="161"/>
      <c r="I1059" s="161"/>
      <c r="J1059" s="161"/>
      <c r="K1059" s="161"/>
      <c r="L1059" s="161"/>
      <c r="M1059" s="161"/>
      <c r="N1059" s="161"/>
      <c r="O1059" s="161"/>
      <c r="P1059" s="161"/>
      <c r="Q1059" s="161"/>
      <c r="R1059" s="161"/>
      <c r="S1059" s="161"/>
      <c r="T1059" s="161"/>
      <c r="U1059" s="161"/>
      <c r="V1059" s="161"/>
      <c r="W1059" s="161"/>
      <c r="X1059" s="161"/>
      <c r="Y1059" s="161"/>
      <c r="Z1059" s="161"/>
      <c r="AA1059" s="161"/>
      <c r="AB1059" s="161"/>
      <c r="AC1059" s="161"/>
      <c r="AD1059" s="161"/>
      <c r="AE1059" s="161"/>
      <c r="AF1059" s="161"/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1"/>
      <c r="BE1059" s="161"/>
      <c r="BF1059" s="161"/>
      <c r="BG1059" s="161"/>
      <c r="BH1059" s="161"/>
      <c r="BI1059" s="161"/>
      <c r="BJ1059" s="161"/>
      <c r="BK1059" s="161"/>
      <c r="BL1059" s="161"/>
      <c r="BM1059" s="161"/>
      <c r="BN1059" s="161"/>
      <c r="BO1059" s="161"/>
      <c r="BP1059" s="161"/>
      <c r="BQ1059" s="161"/>
      <c r="BR1059" s="161"/>
      <c r="BS1059" s="161"/>
      <c r="BT1059" s="161"/>
      <c r="BU1059" s="161"/>
      <c r="BV1059" s="161"/>
      <c r="BW1059" s="161"/>
      <c r="BX1059" s="161"/>
      <c r="BY1059" s="161"/>
      <c r="BZ1059" s="161"/>
      <c r="CA1059" s="161"/>
      <c r="CB1059" s="161"/>
      <c r="CC1059" s="161"/>
      <c r="CD1059" s="161"/>
      <c r="CE1059" s="161"/>
      <c r="CF1059" s="161"/>
      <c r="CG1059" s="161"/>
    </row>
    <row r="1060">
      <c r="A1060" s="161"/>
      <c r="B1060" s="161"/>
      <c r="C1060" s="161"/>
      <c r="D1060" s="161"/>
      <c r="E1060" s="161"/>
      <c r="F1060" s="161"/>
      <c r="G1060" s="161"/>
      <c r="H1060" s="161"/>
      <c r="I1060" s="161"/>
      <c r="J1060" s="161"/>
      <c r="K1060" s="161"/>
      <c r="L1060" s="161"/>
      <c r="M1060" s="161"/>
      <c r="N1060" s="161"/>
      <c r="O1060" s="161"/>
      <c r="P1060" s="161"/>
      <c r="Q1060" s="161"/>
      <c r="R1060" s="161"/>
      <c r="S1060" s="161"/>
      <c r="T1060" s="161"/>
      <c r="U1060" s="161"/>
      <c r="V1060" s="161"/>
      <c r="W1060" s="161"/>
      <c r="X1060" s="161"/>
      <c r="Y1060" s="161"/>
      <c r="Z1060" s="161"/>
      <c r="AA1060" s="161"/>
      <c r="AB1060" s="161"/>
      <c r="AC1060" s="161"/>
      <c r="AD1060" s="161"/>
      <c r="AE1060" s="161"/>
      <c r="AF1060" s="161"/>
      <c r="AG1060" s="161"/>
      <c r="AH1060" s="161"/>
      <c r="AI1060" s="161"/>
      <c r="AJ1060" s="161"/>
      <c r="AK1060" s="161"/>
      <c r="AL1060" s="161"/>
      <c r="AM1060" s="161"/>
      <c r="AN1060" s="161"/>
      <c r="AO1060" s="161"/>
      <c r="AP1060" s="161"/>
      <c r="AQ1060" s="161"/>
      <c r="AR1060" s="161"/>
      <c r="AS1060" s="161"/>
      <c r="AT1060" s="161"/>
      <c r="AU1060" s="161"/>
      <c r="AV1060" s="161"/>
      <c r="AW1060" s="161"/>
      <c r="AX1060" s="161"/>
      <c r="AY1060" s="161"/>
      <c r="AZ1060" s="161"/>
      <c r="BA1060" s="161"/>
      <c r="BB1060" s="161"/>
      <c r="BC1060" s="161"/>
      <c r="BD1060" s="161"/>
      <c r="BE1060" s="161"/>
      <c r="BF1060" s="161"/>
      <c r="BG1060" s="161"/>
      <c r="BH1060" s="161"/>
      <c r="BI1060" s="161"/>
      <c r="BJ1060" s="161"/>
      <c r="BK1060" s="161"/>
      <c r="BL1060" s="161"/>
      <c r="BM1060" s="161"/>
      <c r="BN1060" s="161"/>
      <c r="BO1060" s="161"/>
      <c r="BP1060" s="161"/>
      <c r="BQ1060" s="161"/>
      <c r="BR1060" s="161"/>
      <c r="BS1060" s="161"/>
      <c r="BT1060" s="161"/>
      <c r="BU1060" s="161"/>
      <c r="BV1060" s="161"/>
      <c r="BW1060" s="161"/>
      <c r="BX1060" s="161"/>
      <c r="BY1060" s="161"/>
      <c r="BZ1060" s="161"/>
      <c r="CA1060" s="161"/>
      <c r="CB1060" s="161"/>
      <c r="CC1060" s="161"/>
      <c r="CD1060" s="161"/>
      <c r="CE1060" s="161"/>
      <c r="CF1060" s="161"/>
      <c r="CG1060" s="161"/>
    </row>
    <row r="1061">
      <c r="A1061" s="161"/>
      <c r="B1061" s="161"/>
      <c r="C1061" s="161"/>
      <c r="D1061" s="161"/>
      <c r="E1061" s="161"/>
      <c r="F1061" s="161"/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161"/>
      <c r="R1061" s="161"/>
      <c r="S1061" s="161"/>
      <c r="T1061" s="161"/>
      <c r="U1061" s="161"/>
      <c r="V1061" s="161"/>
      <c r="W1061" s="161"/>
      <c r="X1061" s="161"/>
      <c r="Y1061" s="161"/>
      <c r="Z1061" s="161"/>
      <c r="AA1061" s="161"/>
      <c r="AB1061" s="161"/>
      <c r="AC1061" s="161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1"/>
      <c r="BE1061" s="161"/>
      <c r="BF1061" s="161"/>
      <c r="BG1061" s="161"/>
      <c r="BH1061" s="161"/>
      <c r="BI1061" s="161"/>
      <c r="BJ1061" s="161"/>
      <c r="BK1061" s="161"/>
      <c r="BL1061" s="161"/>
      <c r="BM1061" s="161"/>
      <c r="BN1061" s="161"/>
      <c r="BO1061" s="161"/>
      <c r="BP1061" s="161"/>
      <c r="BQ1061" s="161"/>
      <c r="BR1061" s="161"/>
      <c r="BS1061" s="161"/>
      <c r="BT1061" s="161"/>
      <c r="BU1061" s="161"/>
      <c r="BV1061" s="161"/>
      <c r="BW1061" s="161"/>
      <c r="BX1061" s="161"/>
      <c r="BY1061" s="161"/>
      <c r="BZ1061" s="161"/>
      <c r="CA1061" s="161"/>
      <c r="CB1061" s="161"/>
      <c r="CC1061" s="161"/>
      <c r="CD1061" s="161"/>
      <c r="CE1061" s="161"/>
      <c r="CF1061" s="161"/>
      <c r="CG1061" s="161"/>
    </row>
    <row r="1062">
      <c r="A1062" s="161"/>
      <c r="B1062" s="161"/>
      <c r="C1062" s="161"/>
      <c r="D1062" s="161"/>
      <c r="E1062" s="161"/>
      <c r="F1062" s="161"/>
      <c r="G1062" s="161"/>
      <c r="H1062" s="161"/>
      <c r="I1062" s="161"/>
      <c r="J1062" s="161"/>
      <c r="K1062" s="161"/>
      <c r="L1062" s="161"/>
      <c r="M1062" s="161"/>
      <c r="N1062" s="161"/>
      <c r="O1062" s="161"/>
      <c r="P1062" s="161"/>
      <c r="Q1062" s="161"/>
      <c r="R1062" s="161"/>
      <c r="S1062" s="161"/>
      <c r="T1062" s="161"/>
      <c r="U1062" s="161"/>
      <c r="V1062" s="161"/>
      <c r="W1062" s="161"/>
      <c r="X1062" s="161"/>
      <c r="Y1062" s="161"/>
      <c r="Z1062" s="161"/>
      <c r="AA1062" s="161"/>
      <c r="AB1062" s="161"/>
      <c r="AC1062" s="161"/>
      <c r="AD1062" s="161"/>
      <c r="AE1062" s="161"/>
      <c r="AF1062" s="161"/>
      <c r="AG1062" s="161"/>
      <c r="AH1062" s="161"/>
      <c r="AI1062" s="161"/>
      <c r="AJ1062" s="161"/>
      <c r="AK1062" s="161"/>
      <c r="AL1062" s="161"/>
      <c r="AM1062" s="161"/>
      <c r="AN1062" s="161"/>
      <c r="AO1062" s="161"/>
      <c r="AP1062" s="161"/>
      <c r="AQ1062" s="161"/>
      <c r="AR1062" s="161"/>
      <c r="AS1062" s="161"/>
      <c r="AT1062" s="161"/>
      <c r="AU1062" s="161"/>
      <c r="AV1062" s="161"/>
      <c r="AW1062" s="161"/>
      <c r="AX1062" s="161"/>
      <c r="AY1062" s="161"/>
      <c r="AZ1062" s="161"/>
      <c r="BA1062" s="161"/>
      <c r="BB1062" s="161"/>
      <c r="BC1062" s="161"/>
      <c r="BD1062" s="161"/>
      <c r="BE1062" s="161"/>
      <c r="BF1062" s="161"/>
      <c r="BG1062" s="161"/>
      <c r="BH1062" s="161"/>
      <c r="BI1062" s="161"/>
      <c r="BJ1062" s="161"/>
      <c r="BK1062" s="161"/>
      <c r="BL1062" s="161"/>
      <c r="BM1062" s="161"/>
      <c r="BN1062" s="161"/>
      <c r="BO1062" s="161"/>
      <c r="BP1062" s="161"/>
      <c r="BQ1062" s="161"/>
      <c r="BR1062" s="161"/>
      <c r="BS1062" s="161"/>
      <c r="BT1062" s="161"/>
      <c r="BU1062" s="161"/>
      <c r="BV1062" s="161"/>
      <c r="BW1062" s="161"/>
      <c r="BX1062" s="161"/>
      <c r="BY1062" s="161"/>
      <c r="BZ1062" s="161"/>
      <c r="CA1062" s="161"/>
      <c r="CB1062" s="161"/>
      <c r="CC1062" s="161"/>
      <c r="CD1062" s="161"/>
      <c r="CE1062" s="161"/>
      <c r="CF1062" s="161"/>
      <c r="CG1062" s="161"/>
    </row>
    <row r="1063">
      <c r="A1063" s="161"/>
      <c r="B1063" s="161"/>
      <c r="C1063" s="161"/>
      <c r="D1063" s="161"/>
      <c r="E1063" s="161"/>
      <c r="F1063" s="161"/>
      <c r="G1063" s="161"/>
      <c r="H1063" s="161"/>
      <c r="I1063" s="161"/>
      <c r="J1063" s="161"/>
      <c r="K1063" s="161"/>
      <c r="L1063" s="161"/>
      <c r="M1063" s="161"/>
      <c r="N1063" s="161"/>
      <c r="O1063" s="161"/>
      <c r="P1063" s="161"/>
      <c r="Q1063" s="161"/>
      <c r="R1063" s="161"/>
      <c r="S1063" s="161"/>
      <c r="T1063" s="161"/>
      <c r="U1063" s="161"/>
      <c r="V1063" s="161"/>
      <c r="W1063" s="161"/>
      <c r="X1063" s="161"/>
      <c r="Y1063" s="161"/>
      <c r="Z1063" s="161"/>
      <c r="AA1063" s="161"/>
      <c r="AB1063" s="161"/>
      <c r="AC1063" s="161"/>
      <c r="AD1063" s="161"/>
      <c r="AE1063" s="161"/>
      <c r="AF1063" s="161"/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1"/>
      <c r="BE1063" s="161"/>
      <c r="BF1063" s="161"/>
      <c r="BG1063" s="161"/>
      <c r="BH1063" s="161"/>
      <c r="BI1063" s="161"/>
      <c r="BJ1063" s="161"/>
      <c r="BK1063" s="161"/>
      <c r="BL1063" s="161"/>
      <c r="BM1063" s="161"/>
      <c r="BN1063" s="161"/>
      <c r="BO1063" s="161"/>
      <c r="BP1063" s="161"/>
      <c r="BQ1063" s="161"/>
      <c r="BR1063" s="161"/>
      <c r="BS1063" s="161"/>
      <c r="BT1063" s="161"/>
      <c r="BU1063" s="161"/>
      <c r="BV1063" s="161"/>
      <c r="BW1063" s="161"/>
      <c r="BX1063" s="161"/>
      <c r="BY1063" s="161"/>
      <c r="BZ1063" s="161"/>
      <c r="CA1063" s="161"/>
      <c r="CB1063" s="161"/>
      <c r="CC1063" s="161"/>
      <c r="CD1063" s="161"/>
      <c r="CE1063" s="161"/>
      <c r="CF1063" s="161"/>
      <c r="CG1063" s="161"/>
    </row>
    <row r="1064">
      <c r="A1064" s="161"/>
      <c r="B1064" s="161"/>
      <c r="C1064" s="161"/>
      <c r="D1064" s="161"/>
      <c r="E1064" s="161"/>
      <c r="F1064" s="161"/>
      <c r="G1064" s="161"/>
      <c r="H1064" s="161"/>
      <c r="I1064" s="161"/>
      <c r="J1064" s="161"/>
      <c r="K1064" s="161"/>
      <c r="L1064" s="161"/>
      <c r="M1064" s="161"/>
      <c r="N1064" s="161"/>
      <c r="O1064" s="161"/>
      <c r="P1064" s="161"/>
      <c r="Q1064" s="161"/>
      <c r="R1064" s="161"/>
      <c r="S1064" s="161"/>
      <c r="T1064" s="161"/>
      <c r="U1064" s="161"/>
      <c r="V1064" s="161"/>
      <c r="W1064" s="161"/>
      <c r="X1064" s="161"/>
      <c r="Y1064" s="161"/>
      <c r="Z1064" s="161"/>
      <c r="AA1064" s="161"/>
      <c r="AB1064" s="161"/>
      <c r="AC1064" s="161"/>
      <c r="AD1064" s="161"/>
      <c r="AE1064" s="161"/>
      <c r="AF1064" s="161"/>
      <c r="AG1064" s="161"/>
      <c r="AH1064" s="161"/>
      <c r="AI1064" s="161"/>
      <c r="AJ1064" s="161"/>
      <c r="AK1064" s="161"/>
      <c r="AL1064" s="161"/>
      <c r="AM1064" s="161"/>
      <c r="AN1064" s="161"/>
      <c r="AO1064" s="161"/>
      <c r="AP1064" s="161"/>
      <c r="AQ1064" s="161"/>
      <c r="AR1064" s="161"/>
      <c r="AS1064" s="161"/>
      <c r="AT1064" s="161"/>
      <c r="AU1064" s="161"/>
      <c r="AV1064" s="161"/>
      <c r="AW1064" s="161"/>
      <c r="AX1064" s="161"/>
      <c r="AY1064" s="161"/>
      <c r="AZ1064" s="161"/>
      <c r="BA1064" s="161"/>
      <c r="BB1064" s="161"/>
      <c r="BC1064" s="161"/>
      <c r="BD1064" s="161"/>
      <c r="BE1064" s="161"/>
      <c r="BF1064" s="161"/>
      <c r="BG1064" s="161"/>
      <c r="BH1064" s="161"/>
      <c r="BI1064" s="161"/>
      <c r="BJ1064" s="161"/>
      <c r="BK1064" s="161"/>
      <c r="BL1064" s="161"/>
      <c r="BM1064" s="161"/>
      <c r="BN1064" s="161"/>
      <c r="BO1064" s="161"/>
      <c r="BP1064" s="161"/>
      <c r="BQ1064" s="161"/>
      <c r="BR1064" s="161"/>
      <c r="BS1064" s="161"/>
      <c r="BT1064" s="161"/>
      <c r="BU1064" s="161"/>
      <c r="BV1064" s="161"/>
      <c r="BW1064" s="161"/>
      <c r="BX1064" s="161"/>
      <c r="BY1064" s="161"/>
      <c r="BZ1064" s="161"/>
      <c r="CA1064" s="161"/>
      <c r="CB1064" s="161"/>
      <c r="CC1064" s="161"/>
      <c r="CD1064" s="161"/>
      <c r="CE1064" s="161"/>
      <c r="CF1064" s="161"/>
      <c r="CG1064" s="161"/>
    </row>
    <row r="1065">
      <c r="A1065" s="161"/>
      <c r="B1065" s="161"/>
      <c r="C1065" s="161"/>
      <c r="D1065" s="161"/>
      <c r="E1065" s="161"/>
      <c r="F1065" s="161"/>
      <c r="G1065" s="161"/>
      <c r="H1065" s="161"/>
      <c r="I1065" s="161"/>
      <c r="J1065" s="161"/>
      <c r="K1065" s="161"/>
      <c r="L1065" s="161"/>
      <c r="M1065" s="161"/>
      <c r="N1065" s="161"/>
      <c r="O1065" s="161"/>
      <c r="P1065" s="161"/>
      <c r="Q1065" s="161"/>
      <c r="R1065" s="161"/>
      <c r="S1065" s="161"/>
      <c r="T1065" s="161"/>
      <c r="U1065" s="161"/>
      <c r="V1065" s="161"/>
      <c r="W1065" s="161"/>
      <c r="X1065" s="161"/>
      <c r="Y1065" s="161"/>
      <c r="Z1065" s="161"/>
      <c r="AA1065" s="161"/>
      <c r="AB1065" s="161"/>
      <c r="AC1065" s="161"/>
      <c r="AD1065" s="161"/>
      <c r="AE1065" s="161"/>
      <c r="AF1065" s="161"/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1"/>
      <c r="BE1065" s="161"/>
      <c r="BF1065" s="161"/>
      <c r="BG1065" s="161"/>
      <c r="BH1065" s="161"/>
      <c r="BI1065" s="161"/>
      <c r="BJ1065" s="161"/>
      <c r="BK1065" s="161"/>
      <c r="BL1065" s="161"/>
      <c r="BM1065" s="161"/>
      <c r="BN1065" s="161"/>
      <c r="BO1065" s="161"/>
      <c r="BP1065" s="161"/>
      <c r="BQ1065" s="161"/>
      <c r="BR1065" s="161"/>
      <c r="BS1065" s="161"/>
      <c r="BT1065" s="161"/>
      <c r="BU1065" s="161"/>
      <c r="BV1065" s="161"/>
      <c r="BW1065" s="161"/>
      <c r="BX1065" s="161"/>
      <c r="BY1065" s="161"/>
      <c r="BZ1065" s="161"/>
      <c r="CA1065" s="161"/>
      <c r="CB1065" s="161"/>
      <c r="CC1065" s="161"/>
      <c r="CD1065" s="161"/>
      <c r="CE1065" s="161"/>
      <c r="CF1065" s="161"/>
      <c r="CG1065" s="161"/>
    </row>
    <row r="1066">
      <c r="A1066" s="161"/>
      <c r="B1066" s="161"/>
      <c r="C1066" s="161"/>
      <c r="D1066" s="161"/>
      <c r="E1066" s="161"/>
      <c r="F1066" s="161"/>
      <c r="G1066" s="161"/>
      <c r="H1066" s="161"/>
      <c r="I1066" s="161"/>
      <c r="J1066" s="161"/>
      <c r="K1066" s="161"/>
      <c r="L1066" s="161"/>
      <c r="M1066" s="161"/>
      <c r="N1066" s="161"/>
      <c r="O1066" s="161"/>
      <c r="P1066" s="161"/>
      <c r="Q1066" s="161"/>
      <c r="R1066" s="161"/>
      <c r="S1066" s="161"/>
      <c r="T1066" s="161"/>
      <c r="U1066" s="161"/>
      <c r="V1066" s="161"/>
      <c r="W1066" s="161"/>
      <c r="X1066" s="161"/>
      <c r="Y1066" s="161"/>
      <c r="Z1066" s="161"/>
      <c r="AA1066" s="161"/>
      <c r="AB1066" s="161"/>
      <c r="AC1066" s="161"/>
      <c r="AD1066" s="161"/>
      <c r="AE1066" s="161"/>
      <c r="AF1066" s="161"/>
      <c r="AG1066" s="161"/>
      <c r="AH1066" s="161"/>
      <c r="AI1066" s="161"/>
      <c r="AJ1066" s="161"/>
      <c r="AK1066" s="161"/>
      <c r="AL1066" s="161"/>
      <c r="AM1066" s="161"/>
      <c r="AN1066" s="161"/>
      <c r="AO1066" s="161"/>
      <c r="AP1066" s="161"/>
      <c r="AQ1066" s="161"/>
      <c r="AR1066" s="161"/>
      <c r="AS1066" s="161"/>
      <c r="AT1066" s="161"/>
      <c r="AU1066" s="161"/>
      <c r="AV1066" s="161"/>
      <c r="AW1066" s="161"/>
      <c r="AX1066" s="161"/>
      <c r="AY1066" s="161"/>
      <c r="AZ1066" s="161"/>
      <c r="BA1066" s="161"/>
      <c r="BB1066" s="161"/>
      <c r="BC1066" s="161"/>
      <c r="BD1066" s="161"/>
      <c r="BE1066" s="161"/>
      <c r="BF1066" s="161"/>
      <c r="BG1066" s="161"/>
      <c r="BH1066" s="161"/>
      <c r="BI1066" s="161"/>
      <c r="BJ1066" s="161"/>
      <c r="BK1066" s="161"/>
      <c r="BL1066" s="161"/>
      <c r="BM1066" s="161"/>
      <c r="BN1066" s="161"/>
      <c r="BO1066" s="161"/>
      <c r="BP1066" s="161"/>
      <c r="BQ1066" s="161"/>
      <c r="BR1066" s="161"/>
      <c r="BS1066" s="161"/>
      <c r="BT1066" s="161"/>
      <c r="BU1066" s="161"/>
      <c r="BV1066" s="161"/>
      <c r="BW1066" s="161"/>
      <c r="BX1066" s="161"/>
      <c r="BY1066" s="161"/>
      <c r="BZ1066" s="161"/>
      <c r="CA1066" s="161"/>
      <c r="CB1066" s="161"/>
      <c r="CC1066" s="161"/>
      <c r="CD1066" s="161"/>
      <c r="CE1066" s="161"/>
      <c r="CF1066" s="161"/>
      <c r="CG1066" s="161"/>
    </row>
    <row r="1067">
      <c r="A1067" s="161"/>
      <c r="B1067" s="161"/>
      <c r="C1067" s="161"/>
      <c r="D1067" s="161"/>
      <c r="E1067" s="161"/>
      <c r="F1067" s="161"/>
      <c r="G1067" s="161"/>
      <c r="H1067" s="161"/>
      <c r="I1067" s="161"/>
      <c r="J1067" s="161"/>
      <c r="K1067" s="161"/>
      <c r="L1067" s="161"/>
      <c r="M1067" s="161"/>
      <c r="N1067" s="161"/>
      <c r="O1067" s="161"/>
      <c r="P1067" s="161"/>
      <c r="Q1067" s="161"/>
      <c r="R1067" s="161"/>
      <c r="S1067" s="161"/>
      <c r="T1067" s="161"/>
      <c r="U1067" s="161"/>
      <c r="V1067" s="161"/>
      <c r="W1067" s="161"/>
      <c r="X1067" s="161"/>
      <c r="Y1067" s="161"/>
      <c r="Z1067" s="161"/>
      <c r="AA1067" s="161"/>
      <c r="AB1067" s="161"/>
      <c r="AC1067" s="161"/>
      <c r="AD1067" s="161"/>
      <c r="AE1067" s="161"/>
      <c r="AF1067" s="161"/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1"/>
      <c r="BE1067" s="161"/>
      <c r="BF1067" s="161"/>
      <c r="BG1067" s="161"/>
      <c r="BH1067" s="161"/>
      <c r="BI1067" s="161"/>
      <c r="BJ1067" s="161"/>
      <c r="BK1067" s="161"/>
      <c r="BL1067" s="161"/>
      <c r="BM1067" s="161"/>
      <c r="BN1067" s="161"/>
      <c r="BO1067" s="161"/>
      <c r="BP1067" s="161"/>
      <c r="BQ1067" s="161"/>
      <c r="BR1067" s="161"/>
      <c r="BS1067" s="161"/>
      <c r="BT1067" s="161"/>
      <c r="BU1067" s="161"/>
      <c r="BV1067" s="161"/>
      <c r="BW1067" s="161"/>
      <c r="BX1067" s="161"/>
      <c r="BY1067" s="161"/>
      <c r="BZ1067" s="161"/>
      <c r="CA1067" s="161"/>
      <c r="CB1067" s="161"/>
      <c r="CC1067" s="161"/>
      <c r="CD1067" s="161"/>
      <c r="CE1067" s="161"/>
      <c r="CF1067" s="161"/>
      <c r="CG1067" s="161"/>
    </row>
    <row r="1068">
      <c r="A1068" s="161"/>
      <c r="B1068" s="161"/>
      <c r="C1068" s="161"/>
      <c r="D1068" s="161"/>
      <c r="E1068" s="161"/>
      <c r="F1068" s="161"/>
      <c r="G1068" s="161"/>
      <c r="H1068" s="161"/>
      <c r="I1068" s="161"/>
      <c r="J1068" s="161"/>
      <c r="K1068" s="161"/>
      <c r="L1068" s="161"/>
      <c r="M1068" s="161"/>
      <c r="N1068" s="161"/>
      <c r="O1068" s="161"/>
      <c r="P1068" s="161"/>
      <c r="Q1068" s="161"/>
      <c r="R1068" s="161"/>
      <c r="S1068" s="161"/>
      <c r="T1068" s="161"/>
      <c r="U1068" s="161"/>
      <c r="V1068" s="161"/>
      <c r="W1068" s="161"/>
      <c r="X1068" s="161"/>
      <c r="Y1068" s="161"/>
      <c r="Z1068" s="161"/>
      <c r="AA1068" s="161"/>
      <c r="AB1068" s="161"/>
      <c r="AC1068" s="161"/>
      <c r="AD1068" s="161"/>
      <c r="AE1068" s="161"/>
      <c r="AF1068" s="161"/>
      <c r="AG1068" s="161"/>
      <c r="AH1068" s="161"/>
      <c r="AI1068" s="161"/>
      <c r="AJ1068" s="161"/>
      <c r="AK1068" s="161"/>
      <c r="AL1068" s="161"/>
      <c r="AM1068" s="161"/>
      <c r="AN1068" s="161"/>
      <c r="AO1068" s="161"/>
      <c r="AP1068" s="161"/>
      <c r="AQ1068" s="161"/>
      <c r="AR1068" s="161"/>
      <c r="AS1068" s="161"/>
      <c r="AT1068" s="161"/>
      <c r="AU1068" s="161"/>
      <c r="AV1068" s="161"/>
      <c r="AW1068" s="161"/>
      <c r="AX1068" s="161"/>
      <c r="AY1068" s="161"/>
      <c r="AZ1068" s="161"/>
      <c r="BA1068" s="161"/>
      <c r="BB1068" s="161"/>
      <c r="BC1068" s="161"/>
      <c r="BD1068" s="161"/>
      <c r="BE1068" s="161"/>
      <c r="BF1068" s="161"/>
      <c r="BG1068" s="161"/>
      <c r="BH1068" s="161"/>
      <c r="BI1068" s="161"/>
      <c r="BJ1068" s="161"/>
      <c r="BK1068" s="161"/>
      <c r="BL1068" s="161"/>
      <c r="BM1068" s="161"/>
      <c r="BN1068" s="161"/>
      <c r="BO1068" s="161"/>
      <c r="BP1068" s="161"/>
      <c r="BQ1068" s="161"/>
      <c r="BR1068" s="161"/>
      <c r="BS1068" s="161"/>
      <c r="BT1068" s="161"/>
      <c r="BU1068" s="161"/>
      <c r="BV1068" s="161"/>
      <c r="BW1068" s="161"/>
      <c r="BX1068" s="161"/>
      <c r="BY1068" s="161"/>
      <c r="BZ1068" s="161"/>
      <c r="CA1068" s="161"/>
      <c r="CB1068" s="161"/>
      <c r="CC1068" s="161"/>
      <c r="CD1068" s="161"/>
      <c r="CE1068" s="161"/>
      <c r="CF1068" s="161"/>
      <c r="CG1068" s="161"/>
    </row>
    <row r="1069">
      <c r="A1069" s="161"/>
      <c r="B1069" s="161"/>
      <c r="C1069" s="161"/>
      <c r="D1069" s="161"/>
      <c r="E1069" s="161"/>
      <c r="F1069" s="161"/>
      <c r="G1069" s="161"/>
      <c r="H1069" s="161"/>
      <c r="I1069" s="161"/>
      <c r="J1069" s="161"/>
      <c r="K1069" s="161"/>
      <c r="L1069" s="161"/>
      <c r="M1069" s="161"/>
      <c r="N1069" s="161"/>
      <c r="O1069" s="161"/>
      <c r="P1069" s="161"/>
      <c r="Q1069" s="161"/>
      <c r="R1069" s="161"/>
      <c r="S1069" s="161"/>
      <c r="T1069" s="161"/>
      <c r="U1069" s="161"/>
      <c r="V1069" s="161"/>
      <c r="W1069" s="161"/>
      <c r="X1069" s="161"/>
      <c r="Y1069" s="161"/>
      <c r="Z1069" s="161"/>
      <c r="AA1069" s="161"/>
      <c r="AB1069" s="161"/>
      <c r="AC1069" s="161"/>
      <c r="AD1069" s="161"/>
      <c r="AE1069" s="161"/>
      <c r="AF1069" s="161"/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1"/>
      <c r="BE1069" s="161"/>
      <c r="BF1069" s="161"/>
      <c r="BG1069" s="161"/>
      <c r="BH1069" s="161"/>
      <c r="BI1069" s="161"/>
      <c r="BJ1069" s="161"/>
      <c r="BK1069" s="161"/>
      <c r="BL1069" s="161"/>
      <c r="BM1069" s="161"/>
      <c r="BN1069" s="161"/>
      <c r="BO1069" s="161"/>
      <c r="BP1069" s="161"/>
      <c r="BQ1069" s="161"/>
      <c r="BR1069" s="161"/>
      <c r="BS1069" s="161"/>
      <c r="BT1069" s="161"/>
      <c r="BU1069" s="161"/>
      <c r="BV1069" s="161"/>
      <c r="BW1069" s="161"/>
      <c r="BX1069" s="161"/>
      <c r="BY1069" s="161"/>
      <c r="BZ1069" s="161"/>
      <c r="CA1069" s="161"/>
      <c r="CB1069" s="161"/>
      <c r="CC1069" s="161"/>
      <c r="CD1069" s="161"/>
      <c r="CE1069" s="161"/>
      <c r="CF1069" s="161"/>
      <c r="CG1069" s="161"/>
    </row>
    <row r="1070">
      <c r="A1070" s="161"/>
      <c r="B1070" s="161"/>
      <c r="C1070" s="161"/>
      <c r="D1070" s="161"/>
      <c r="E1070" s="161"/>
      <c r="F1070" s="161"/>
      <c r="G1070" s="161"/>
      <c r="H1070" s="161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161"/>
      <c r="T1070" s="161"/>
      <c r="U1070" s="161"/>
      <c r="V1070" s="161"/>
      <c r="W1070" s="161"/>
      <c r="X1070" s="161"/>
      <c r="Y1070" s="161"/>
      <c r="Z1070" s="161"/>
      <c r="AA1070" s="161"/>
      <c r="AB1070" s="161"/>
      <c r="AC1070" s="161"/>
      <c r="AD1070" s="161"/>
      <c r="AE1070" s="161"/>
      <c r="AF1070" s="161"/>
      <c r="AG1070" s="161"/>
      <c r="AH1070" s="161"/>
      <c r="AI1070" s="161"/>
      <c r="AJ1070" s="161"/>
      <c r="AK1070" s="161"/>
      <c r="AL1070" s="161"/>
      <c r="AM1070" s="161"/>
      <c r="AN1070" s="161"/>
      <c r="AO1070" s="161"/>
      <c r="AP1070" s="161"/>
      <c r="AQ1070" s="161"/>
      <c r="AR1070" s="161"/>
      <c r="AS1070" s="161"/>
      <c r="AT1070" s="161"/>
      <c r="AU1070" s="161"/>
      <c r="AV1070" s="161"/>
      <c r="AW1070" s="161"/>
      <c r="AX1070" s="161"/>
      <c r="AY1070" s="161"/>
      <c r="AZ1070" s="161"/>
      <c r="BA1070" s="161"/>
      <c r="BB1070" s="161"/>
      <c r="BC1070" s="161"/>
      <c r="BD1070" s="161"/>
      <c r="BE1070" s="161"/>
      <c r="BF1070" s="161"/>
      <c r="BG1070" s="161"/>
      <c r="BH1070" s="161"/>
      <c r="BI1070" s="161"/>
      <c r="BJ1070" s="161"/>
      <c r="BK1070" s="161"/>
      <c r="BL1070" s="161"/>
      <c r="BM1070" s="161"/>
      <c r="BN1070" s="161"/>
      <c r="BO1070" s="161"/>
      <c r="BP1070" s="161"/>
      <c r="BQ1070" s="161"/>
      <c r="BR1070" s="161"/>
      <c r="BS1070" s="161"/>
      <c r="BT1070" s="161"/>
      <c r="BU1070" s="161"/>
      <c r="BV1070" s="161"/>
      <c r="BW1070" s="161"/>
      <c r="BX1070" s="161"/>
      <c r="BY1070" s="161"/>
      <c r="BZ1070" s="161"/>
      <c r="CA1070" s="161"/>
      <c r="CB1070" s="161"/>
      <c r="CC1070" s="161"/>
      <c r="CD1070" s="161"/>
      <c r="CE1070" s="161"/>
      <c r="CF1070" s="161"/>
      <c r="CG1070" s="161"/>
    </row>
    <row r="1071">
      <c r="A1071" s="161"/>
      <c r="B1071" s="161"/>
      <c r="C1071" s="161"/>
      <c r="D1071" s="161"/>
      <c r="E1071" s="161"/>
      <c r="F1071" s="161"/>
      <c r="G1071" s="161"/>
      <c r="H1071" s="161"/>
      <c r="I1071" s="161"/>
      <c r="J1071" s="161"/>
      <c r="K1071" s="161"/>
      <c r="L1071" s="161"/>
      <c r="M1071" s="161"/>
      <c r="N1071" s="161"/>
      <c r="O1071" s="161"/>
      <c r="P1071" s="161"/>
      <c r="Q1071" s="161"/>
      <c r="R1071" s="161"/>
      <c r="S1071" s="161"/>
      <c r="T1071" s="161"/>
      <c r="U1071" s="161"/>
      <c r="V1071" s="161"/>
      <c r="W1071" s="161"/>
      <c r="X1071" s="161"/>
      <c r="Y1071" s="161"/>
      <c r="Z1071" s="161"/>
      <c r="AA1071" s="161"/>
      <c r="AB1071" s="161"/>
      <c r="AC1071" s="161"/>
      <c r="AD1071" s="161"/>
      <c r="AE1071" s="161"/>
      <c r="AF1071" s="161"/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/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1"/>
      <c r="BE1071" s="161"/>
      <c r="BF1071" s="161"/>
      <c r="BG1071" s="161"/>
      <c r="BH1071" s="161"/>
      <c r="BI1071" s="161"/>
      <c r="BJ1071" s="161"/>
      <c r="BK1071" s="161"/>
      <c r="BL1071" s="161"/>
      <c r="BM1071" s="161"/>
      <c r="BN1071" s="161"/>
      <c r="BO1071" s="161"/>
      <c r="BP1071" s="161"/>
      <c r="BQ1071" s="161"/>
      <c r="BR1071" s="161"/>
      <c r="BS1071" s="161"/>
      <c r="BT1071" s="161"/>
      <c r="BU1071" s="161"/>
      <c r="BV1071" s="161"/>
      <c r="BW1071" s="161"/>
      <c r="BX1071" s="161"/>
      <c r="BY1071" s="161"/>
      <c r="BZ1071" s="161"/>
      <c r="CA1071" s="161"/>
      <c r="CB1071" s="161"/>
      <c r="CC1071" s="161"/>
      <c r="CD1071" s="161"/>
      <c r="CE1071" s="161"/>
      <c r="CF1071" s="161"/>
      <c r="CG1071" s="161"/>
    </row>
    <row r="1072">
      <c r="A1072" s="161"/>
      <c r="B1072" s="161"/>
      <c r="C1072" s="161"/>
      <c r="D1072" s="161"/>
      <c r="E1072" s="161"/>
      <c r="F1072" s="161"/>
      <c r="G1072" s="161"/>
      <c r="H1072" s="161"/>
      <c r="I1072" s="161"/>
      <c r="J1072" s="161"/>
      <c r="K1072" s="161"/>
      <c r="L1072" s="161"/>
      <c r="M1072" s="161"/>
      <c r="N1072" s="161"/>
      <c r="O1072" s="161"/>
      <c r="P1072" s="161"/>
      <c r="Q1072" s="161"/>
      <c r="R1072" s="161"/>
      <c r="S1072" s="161"/>
      <c r="T1072" s="161"/>
      <c r="U1072" s="161"/>
      <c r="V1072" s="161"/>
      <c r="W1072" s="161"/>
      <c r="X1072" s="161"/>
      <c r="Y1072" s="161"/>
      <c r="Z1072" s="161"/>
      <c r="AA1072" s="161"/>
      <c r="AB1072" s="161"/>
      <c r="AC1072" s="161"/>
      <c r="AD1072" s="161"/>
      <c r="AE1072" s="161"/>
      <c r="AF1072" s="161"/>
      <c r="AG1072" s="161"/>
      <c r="AH1072" s="161"/>
      <c r="AI1072" s="161"/>
      <c r="AJ1072" s="161"/>
      <c r="AK1072" s="161"/>
      <c r="AL1072" s="161"/>
      <c r="AM1072" s="161"/>
      <c r="AN1072" s="161"/>
      <c r="AO1072" s="161"/>
      <c r="AP1072" s="161"/>
      <c r="AQ1072" s="161"/>
      <c r="AR1072" s="161"/>
      <c r="AS1072" s="161"/>
      <c r="AT1072" s="161"/>
      <c r="AU1072" s="161"/>
      <c r="AV1072" s="161"/>
      <c r="AW1072" s="161"/>
      <c r="AX1072" s="161"/>
      <c r="AY1072" s="161"/>
      <c r="AZ1072" s="161"/>
      <c r="BA1072" s="161"/>
      <c r="BB1072" s="161"/>
      <c r="BC1072" s="161"/>
      <c r="BD1072" s="161"/>
      <c r="BE1072" s="161"/>
      <c r="BF1072" s="161"/>
      <c r="BG1072" s="161"/>
      <c r="BH1072" s="161"/>
      <c r="BI1072" s="161"/>
      <c r="BJ1072" s="161"/>
      <c r="BK1072" s="161"/>
      <c r="BL1072" s="161"/>
      <c r="BM1072" s="161"/>
      <c r="BN1072" s="161"/>
      <c r="BO1072" s="161"/>
      <c r="BP1072" s="161"/>
      <c r="BQ1072" s="161"/>
      <c r="BR1072" s="161"/>
      <c r="BS1072" s="161"/>
      <c r="BT1072" s="161"/>
      <c r="BU1072" s="161"/>
      <c r="BV1072" s="161"/>
      <c r="BW1072" s="161"/>
      <c r="BX1072" s="161"/>
      <c r="BY1072" s="161"/>
      <c r="BZ1072" s="161"/>
      <c r="CA1072" s="161"/>
      <c r="CB1072" s="161"/>
      <c r="CC1072" s="161"/>
      <c r="CD1072" s="161"/>
      <c r="CE1072" s="161"/>
      <c r="CF1072" s="161"/>
      <c r="CG1072" s="161"/>
    </row>
    <row r="1073">
      <c r="A1073" s="161"/>
      <c r="B1073" s="161"/>
      <c r="C1073" s="161"/>
      <c r="D1073" s="161"/>
      <c r="E1073" s="161"/>
      <c r="F1073" s="161"/>
      <c r="G1073" s="161"/>
      <c r="H1073" s="161"/>
      <c r="I1073" s="161"/>
      <c r="J1073" s="161"/>
      <c r="K1073" s="161"/>
      <c r="L1073" s="161"/>
      <c r="M1073" s="161"/>
      <c r="N1073" s="161"/>
      <c r="O1073" s="161"/>
      <c r="P1073" s="161"/>
      <c r="Q1073" s="161"/>
      <c r="R1073" s="161"/>
      <c r="S1073" s="161"/>
      <c r="T1073" s="161"/>
      <c r="U1073" s="161"/>
      <c r="V1073" s="161"/>
      <c r="W1073" s="161"/>
      <c r="X1073" s="161"/>
      <c r="Y1073" s="161"/>
      <c r="Z1073" s="161"/>
      <c r="AA1073" s="161"/>
      <c r="AB1073" s="161"/>
      <c r="AC1073" s="161"/>
      <c r="AD1073" s="161"/>
      <c r="AE1073" s="161"/>
      <c r="AF1073" s="161"/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/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1"/>
      <c r="BE1073" s="161"/>
      <c r="BF1073" s="161"/>
      <c r="BG1073" s="161"/>
      <c r="BH1073" s="161"/>
      <c r="BI1073" s="161"/>
      <c r="BJ1073" s="161"/>
      <c r="BK1073" s="161"/>
      <c r="BL1073" s="161"/>
      <c r="BM1073" s="161"/>
      <c r="BN1073" s="161"/>
      <c r="BO1073" s="161"/>
      <c r="BP1073" s="161"/>
      <c r="BQ1073" s="161"/>
      <c r="BR1073" s="161"/>
      <c r="BS1073" s="161"/>
      <c r="BT1073" s="161"/>
      <c r="BU1073" s="161"/>
      <c r="BV1073" s="161"/>
      <c r="BW1073" s="161"/>
      <c r="BX1073" s="161"/>
      <c r="BY1073" s="161"/>
      <c r="BZ1073" s="161"/>
      <c r="CA1073" s="161"/>
      <c r="CB1073" s="161"/>
      <c r="CC1073" s="161"/>
      <c r="CD1073" s="161"/>
      <c r="CE1073" s="161"/>
      <c r="CF1073" s="161"/>
      <c r="CG1073" s="161"/>
    </row>
    <row r="1074">
      <c r="A1074" s="161"/>
      <c r="B1074" s="161"/>
      <c r="C1074" s="161"/>
      <c r="D1074" s="161"/>
      <c r="E1074" s="161"/>
      <c r="F1074" s="161"/>
      <c r="G1074" s="161"/>
      <c r="H1074" s="161"/>
      <c r="I1074" s="161"/>
      <c r="J1074" s="161"/>
      <c r="K1074" s="161"/>
      <c r="L1074" s="161"/>
      <c r="M1074" s="161"/>
      <c r="N1074" s="161"/>
      <c r="O1074" s="161"/>
      <c r="P1074" s="161"/>
      <c r="Q1074" s="161"/>
      <c r="R1074" s="161"/>
      <c r="S1074" s="161"/>
      <c r="T1074" s="161"/>
      <c r="U1074" s="161"/>
      <c r="V1074" s="161"/>
      <c r="W1074" s="161"/>
      <c r="X1074" s="161"/>
      <c r="Y1074" s="161"/>
      <c r="Z1074" s="161"/>
      <c r="AA1074" s="161"/>
      <c r="AB1074" s="161"/>
      <c r="AC1074" s="161"/>
      <c r="AD1074" s="161"/>
      <c r="AE1074" s="161"/>
      <c r="AF1074" s="161"/>
      <c r="AG1074" s="161"/>
      <c r="AH1074" s="161"/>
      <c r="AI1074" s="161"/>
      <c r="AJ1074" s="161"/>
      <c r="AK1074" s="161"/>
      <c r="AL1074" s="161"/>
      <c r="AM1074" s="161"/>
      <c r="AN1074" s="161"/>
      <c r="AO1074" s="161"/>
      <c r="AP1074" s="161"/>
      <c r="AQ1074" s="161"/>
      <c r="AR1074" s="161"/>
      <c r="AS1074" s="161"/>
      <c r="AT1074" s="161"/>
      <c r="AU1074" s="161"/>
      <c r="AV1074" s="161"/>
      <c r="AW1074" s="161"/>
      <c r="AX1074" s="161"/>
      <c r="AY1074" s="161"/>
      <c r="AZ1074" s="161"/>
      <c r="BA1074" s="161"/>
      <c r="BB1074" s="161"/>
      <c r="BC1074" s="161"/>
      <c r="BD1074" s="161"/>
      <c r="BE1074" s="161"/>
      <c r="BF1074" s="161"/>
      <c r="BG1074" s="161"/>
      <c r="BH1074" s="161"/>
      <c r="BI1074" s="161"/>
      <c r="BJ1074" s="161"/>
      <c r="BK1074" s="161"/>
      <c r="BL1074" s="161"/>
      <c r="BM1074" s="161"/>
      <c r="BN1074" s="161"/>
      <c r="BO1074" s="161"/>
      <c r="BP1074" s="161"/>
      <c r="BQ1074" s="161"/>
      <c r="BR1074" s="161"/>
      <c r="BS1074" s="161"/>
      <c r="BT1074" s="161"/>
      <c r="BU1074" s="161"/>
      <c r="BV1074" s="161"/>
      <c r="BW1074" s="161"/>
      <c r="BX1074" s="161"/>
      <c r="BY1074" s="161"/>
      <c r="BZ1074" s="161"/>
      <c r="CA1074" s="161"/>
      <c r="CB1074" s="161"/>
      <c r="CC1074" s="161"/>
      <c r="CD1074" s="161"/>
      <c r="CE1074" s="161"/>
      <c r="CF1074" s="161"/>
      <c r="CG1074" s="161"/>
    </row>
    <row r="1075">
      <c r="A1075" s="161"/>
      <c r="B1075" s="161"/>
      <c r="C1075" s="161"/>
      <c r="D1075" s="161"/>
      <c r="E1075" s="161"/>
      <c r="F1075" s="161"/>
      <c r="G1075" s="161"/>
      <c r="H1075" s="161"/>
      <c r="I1075" s="161"/>
      <c r="J1075" s="161"/>
      <c r="K1075" s="161"/>
      <c r="L1075" s="161"/>
      <c r="M1075" s="161"/>
      <c r="N1075" s="161"/>
      <c r="O1075" s="161"/>
      <c r="P1075" s="161"/>
      <c r="Q1075" s="161"/>
      <c r="R1075" s="161"/>
      <c r="S1075" s="161"/>
      <c r="T1075" s="161"/>
      <c r="U1075" s="161"/>
      <c r="V1075" s="161"/>
      <c r="W1075" s="161"/>
      <c r="X1075" s="161"/>
      <c r="Y1075" s="161"/>
      <c r="Z1075" s="161"/>
      <c r="AA1075" s="161"/>
      <c r="AB1075" s="161"/>
      <c r="AC1075" s="161"/>
      <c r="AD1075" s="161"/>
      <c r="AE1075" s="161"/>
      <c r="AF1075" s="161"/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1"/>
      <c r="BE1075" s="161"/>
      <c r="BF1075" s="161"/>
      <c r="BG1075" s="161"/>
      <c r="BH1075" s="161"/>
      <c r="BI1075" s="161"/>
      <c r="BJ1075" s="161"/>
      <c r="BK1075" s="161"/>
      <c r="BL1075" s="161"/>
      <c r="BM1075" s="161"/>
      <c r="BN1075" s="161"/>
      <c r="BO1075" s="161"/>
      <c r="BP1075" s="161"/>
      <c r="BQ1075" s="161"/>
      <c r="BR1075" s="161"/>
      <c r="BS1075" s="161"/>
      <c r="BT1075" s="161"/>
      <c r="BU1075" s="161"/>
      <c r="BV1075" s="161"/>
      <c r="BW1075" s="161"/>
      <c r="BX1075" s="161"/>
      <c r="BY1075" s="161"/>
      <c r="BZ1075" s="161"/>
      <c r="CA1075" s="161"/>
      <c r="CB1075" s="161"/>
      <c r="CC1075" s="161"/>
      <c r="CD1075" s="161"/>
      <c r="CE1075" s="161"/>
      <c r="CF1075" s="161"/>
      <c r="CG1075" s="161"/>
    </row>
    <row r="1076">
      <c r="A1076" s="161"/>
      <c r="B1076" s="161"/>
      <c r="C1076" s="161"/>
      <c r="D1076" s="161"/>
      <c r="E1076" s="161"/>
      <c r="F1076" s="161"/>
      <c r="G1076" s="161"/>
      <c r="H1076" s="161"/>
      <c r="I1076" s="161"/>
      <c r="J1076" s="161"/>
      <c r="K1076" s="161"/>
      <c r="L1076" s="161"/>
      <c r="M1076" s="161"/>
      <c r="N1076" s="161"/>
      <c r="O1076" s="161"/>
      <c r="P1076" s="161"/>
      <c r="Q1076" s="161"/>
      <c r="R1076" s="161"/>
      <c r="S1076" s="161"/>
      <c r="T1076" s="161"/>
      <c r="U1076" s="161"/>
      <c r="V1076" s="161"/>
      <c r="W1076" s="161"/>
      <c r="X1076" s="161"/>
      <c r="Y1076" s="161"/>
      <c r="Z1076" s="161"/>
      <c r="AA1076" s="161"/>
      <c r="AB1076" s="161"/>
      <c r="AC1076" s="161"/>
      <c r="AD1076" s="161"/>
      <c r="AE1076" s="161"/>
      <c r="AF1076" s="161"/>
      <c r="AG1076" s="161"/>
      <c r="AH1076" s="161"/>
      <c r="AI1076" s="161"/>
      <c r="AJ1076" s="161"/>
      <c r="AK1076" s="161"/>
      <c r="AL1076" s="161"/>
      <c r="AM1076" s="161"/>
      <c r="AN1076" s="161"/>
      <c r="AO1076" s="161"/>
      <c r="AP1076" s="161"/>
      <c r="AQ1076" s="161"/>
      <c r="AR1076" s="161"/>
      <c r="AS1076" s="161"/>
      <c r="AT1076" s="161"/>
      <c r="AU1076" s="161"/>
      <c r="AV1076" s="161"/>
      <c r="AW1076" s="161"/>
      <c r="AX1076" s="161"/>
      <c r="AY1076" s="161"/>
      <c r="AZ1076" s="161"/>
      <c r="BA1076" s="161"/>
      <c r="BB1076" s="161"/>
      <c r="BC1076" s="161"/>
      <c r="BD1076" s="161"/>
      <c r="BE1076" s="161"/>
      <c r="BF1076" s="161"/>
      <c r="BG1076" s="161"/>
      <c r="BH1076" s="161"/>
      <c r="BI1076" s="161"/>
      <c r="BJ1076" s="161"/>
      <c r="BK1076" s="161"/>
      <c r="BL1076" s="161"/>
      <c r="BM1076" s="161"/>
      <c r="BN1076" s="161"/>
      <c r="BO1076" s="161"/>
      <c r="BP1076" s="161"/>
      <c r="BQ1076" s="161"/>
      <c r="BR1076" s="161"/>
      <c r="BS1076" s="161"/>
      <c r="BT1076" s="161"/>
      <c r="BU1076" s="161"/>
      <c r="BV1076" s="161"/>
      <c r="BW1076" s="161"/>
      <c r="BX1076" s="161"/>
      <c r="BY1076" s="161"/>
      <c r="BZ1076" s="161"/>
      <c r="CA1076" s="161"/>
      <c r="CB1076" s="161"/>
      <c r="CC1076" s="161"/>
      <c r="CD1076" s="161"/>
      <c r="CE1076" s="161"/>
      <c r="CF1076" s="161"/>
      <c r="CG1076" s="161"/>
    </row>
    <row r="1077">
      <c r="A1077" s="161"/>
      <c r="B1077" s="161"/>
      <c r="C1077" s="161"/>
      <c r="D1077" s="161"/>
      <c r="E1077" s="161"/>
      <c r="F1077" s="161"/>
      <c r="G1077" s="161"/>
      <c r="H1077" s="161"/>
      <c r="I1077" s="161"/>
      <c r="J1077" s="161"/>
      <c r="K1077" s="161"/>
      <c r="L1077" s="161"/>
      <c r="M1077" s="161"/>
      <c r="N1077" s="161"/>
      <c r="O1077" s="161"/>
      <c r="P1077" s="161"/>
      <c r="Q1077" s="161"/>
      <c r="R1077" s="161"/>
      <c r="S1077" s="161"/>
      <c r="T1077" s="161"/>
      <c r="U1077" s="161"/>
      <c r="V1077" s="161"/>
      <c r="W1077" s="161"/>
      <c r="X1077" s="161"/>
      <c r="Y1077" s="161"/>
      <c r="Z1077" s="161"/>
      <c r="AA1077" s="161"/>
      <c r="AB1077" s="161"/>
      <c r="AC1077" s="161"/>
      <c r="AD1077" s="161"/>
      <c r="AE1077" s="161"/>
      <c r="AF1077" s="161"/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  <c r="BD1077" s="161"/>
      <c r="BE1077" s="161"/>
      <c r="BF1077" s="161"/>
      <c r="BG1077" s="161"/>
      <c r="BH1077" s="161"/>
      <c r="BI1077" s="161"/>
      <c r="BJ1077" s="161"/>
      <c r="BK1077" s="161"/>
      <c r="BL1077" s="161"/>
      <c r="BM1077" s="161"/>
      <c r="BN1077" s="161"/>
      <c r="BO1077" s="161"/>
      <c r="BP1077" s="161"/>
      <c r="BQ1077" s="161"/>
      <c r="BR1077" s="161"/>
      <c r="BS1077" s="161"/>
      <c r="BT1077" s="161"/>
      <c r="BU1077" s="161"/>
      <c r="BV1077" s="161"/>
      <c r="BW1077" s="161"/>
      <c r="BX1077" s="161"/>
      <c r="BY1077" s="161"/>
      <c r="BZ1077" s="161"/>
      <c r="CA1077" s="161"/>
      <c r="CB1077" s="161"/>
      <c r="CC1077" s="161"/>
      <c r="CD1077" s="161"/>
      <c r="CE1077" s="161"/>
      <c r="CF1077" s="161"/>
      <c r="CG1077" s="161"/>
    </row>
    <row r="1078">
      <c r="A1078" s="161"/>
      <c r="B1078" s="161"/>
      <c r="C1078" s="161"/>
      <c r="D1078" s="161"/>
      <c r="E1078" s="161"/>
      <c r="F1078" s="161"/>
      <c r="G1078" s="161"/>
      <c r="H1078" s="161"/>
      <c r="I1078" s="161"/>
      <c r="J1078" s="161"/>
      <c r="K1078" s="161"/>
      <c r="L1078" s="161"/>
      <c r="M1078" s="161"/>
      <c r="N1078" s="161"/>
      <c r="O1078" s="161"/>
      <c r="P1078" s="161"/>
      <c r="Q1078" s="161"/>
      <c r="R1078" s="161"/>
      <c r="S1078" s="161"/>
      <c r="T1078" s="161"/>
      <c r="U1078" s="161"/>
      <c r="V1078" s="161"/>
      <c r="W1078" s="161"/>
      <c r="X1078" s="161"/>
      <c r="Y1078" s="161"/>
      <c r="Z1078" s="161"/>
      <c r="AA1078" s="161"/>
      <c r="AB1078" s="161"/>
      <c r="AC1078" s="161"/>
      <c r="AD1078" s="161"/>
      <c r="AE1078" s="161"/>
      <c r="AF1078" s="161"/>
      <c r="AG1078" s="161"/>
      <c r="AH1078" s="161"/>
      <c r="AI1078" s="161"/>
      <c r="AJ1078" s="161"/>
      <c r="AK1078" s="161"/>
      <c r="AL1078" s="161"/>
      <c r="AM1078" s="161"/>
      <c r="AN1078" s="161"/>
      <c r="AO1078" s="161"/>
      <c r="AP1078" s="161"/>
      <c r="AQ1078" s="161"/>
      <c r="AR1078" s="161"/>
      <c r="AS1078" s="161"/>
      <c r="AT1078" s="161"/>
      <c r="AU1078" s="161"/>
      <c r="AV1078" s="161"/>
      <c r="AW1078" s="161"/>
      <c r="AX1078" s="161"/>
      <c r="AY1078" s="161"/>
      <c r="AZ1078" s="161"/>
      <c r="BA1078" s="161"/>
      <c r="BB1078" s="161"/>
      <c r="BC1078" s="161"/>
      <c r="BD1078" s="161"/>
      <c r="BE1078" s="161"/>
      <c r="BF1078" s="161"/>
      <c r="BG1078" s="161"/>
      <c r="BH1078" s="161"/>
      <c r="BI1078" s="161"/>
      <c r="BJ1078" s="161"/>
      <c r="BK1078" s="161"/>
      <c r="BL1078" s="161"/>
      <c r="BM1078" s="161"/>
      <c r="BN1078" s="161"/>
      <c r="BO1078" s="161"/>
      <c r="BP1078" s="161"/>
      <c r="BQ1078" s="161"/>
      <c r="BR1078" s="161"/>
      <c r="BS1078" s="161"/>
      <c r="BT1078" s="161"/>
      <c r="BU1078" s="161"/>
      <c r="BV1078" s="161"/>
      <c r="BW1078" s="161"/>
      <c r="BX1078" s="161"/>
      <c r="BY1078" s="161"/>
      <c r="BZ1078" s="161"/>
      <c r="CA1078" s="161"/>
      <c r="CB1078" s="161"/>
      <c r="CC1078" s="161"/>
      <c r="CD1078" s="161"/>
      <c r="CE1078" s="161"/>
      <c r="CF1078" s="161"/>
      <c r="CG1078" s="161"/>
    </row>
    <row r="1079">
      <c r="A1079" s="161"/>
      <c r="B1079" s="161"/>
      <c r="C1079" s="161"/>
      <c r="D1079" s="161"/>
      <c r="E1079" s="161"/>
      <c r="F1079" s="161"/>
      <c r="G1079" s="161"/>
      <c r="H1079" s="161"/>
      <c r="I1079" s="161"/>
      <c r="J1079" s="161"/>
      <c r="K1079" s="161"/>
      <c r="L1079" s="161"/>
      <c r="M1079" s="161"/>
      <c r="N1079" s="161"/>
      <c r="O1079" s="161"/>
      <c r="P1079" s="161"/>
      <c r="Q1079" s="161"/>
      <c r="R1079" s="161"/>
      <c r="S1079" s="161"/>
      <c r="T1079" s="161"/>
      <c r="U1079" s="161"/>
      <c r="V1079" s="161"/>
      <c r="W1079" s="161"/>
      <c r="X1079" s="161"/>
      <c r="Y1079" s="161"/>
      <c r="Z1079" s="161"/>
      <c r="AA1079" s="161"/>
      <c r="AB1079" s="161"/>
      <c r="AC1079" s="161"/>
      <c r="AD1079" s="161"/>
      <c r="AE1079" s="161"/>
      <c r="AF1079" s="161"/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1"/>
      <c r="BE1079" s="161"/>
      <c r="BF1079" s="161"/>
      <c r="BG1079" s="161"/>
      <c r="BH1079" s="161"/>
      <c r="BI1079" s="161"/>
      <c r="BJ1079" s="161"/>
      <c r="BK1079" s="161"/>
      <c r="BL1079" s="161"/>
      <c r="BM1079" s="161"/>
      <c r="BN1079" s="161"/>
      <c r="BO1079" s="161"/>
      <c r="BP1079" s="161"/>
      <c r="BQ1079" s="161"/>
      <c r="BR1079" s="161"/>
      <c r="BS1079" s="161"/>
      <c r="BT1079" s="161"/>
      <c r="BU1079" s="161"/>
      <c r="BV1079" s="161"/>
      <c r="BW1079" s="161"/>
      <c r="BX1079" s="161"/>
      <c r="BY1079" s="161"/>
      <c r="BZ1079" s="161"/>
      <c r="CA1079" s="161"/>
      <c r="CB1079" s="161"/>
      <c r="CC1079" s="161"/>
      <c r="CD1079" s="161"/>
      <c r="CE1079" s="161"/>
      <c r="CF1079" s="161"/>
      <c r="CG1079" s="161"/>
    </row>
    <row r="1080">
      <c r="A1080" s="161"/>
      <c r="B1080" s="161"/>
      <c r="C1080" s="161"/>
      <c r="D1080" s="161"/>
      <c r="E1080" s="161"/>
      <c r="F1080" s="161"/>
      <c r="G1080" s="161"/>
      <c r="H1080" s="161"/>
      <c r="I1080" s="161"/>
      <c r="J1080" s="161"/>
      <c r="K1080" s="161"/>
      <c r="L1080" s="161"/>
      <c r="M1080" s="161"/>
      <c r="N1080" s="161"/>
      <c r="O1080" s="161"/>
      <c r="P1080" s="161"/>
      <c r="Q1080" s="161"/>
      <c r="R1080" s="161"/>
      <c r="S1080" s="161"/>
      <c r="T1080" s="161"/>
      <c r="U1080" s="161"/>
      <c r="V1080" s="161"/>
      <c r="W1080" s="161"/>
      <c r="X1080" s="161"/>
      <c r="Y1080" s="161"/>
      <c r="Z1080" s="161"/>
      <c r="AA1080" s="161"/>
      <c r="AB1080" s="161"/>
      <c r="AC1080" s="161"/>
      <c r="AD1080" s="161"/>
      <c r="AE1080" s="161"/>
      <c r="AF1080" s="161"/>
      <c r="AG1080" s="161"/>
      <c r="AH1080" s="161"/>
      <c r="AI1080" s="161"/>
      <c r="AJ1080" s="161"/>
      <c r="AK1080" s="161"/>
      <c r="AL1080" s="161"/>
      <c r="AM1080" s="161"/>
      <c r="AN1080" s="161"/>
      <c r="AO1080" s="161"/>
      <c r="AP1080" s="161"/>
      <c r="AQ1080" s="161"/>
      <c r="AR1080" s="161"/>
      <c r="AS1080" s="161"/>
      <c r="AT1080" s="161"/>
      <c r="AU1080" s="161"/>
      <c r="AV1080" s="161"/>
      <c r="AW1080" s="161"/>
      <c r="AX1080" s="161"/>
      <c r="AY1080" s="161"/>
      <c r="AZ1080" s="161"/>
      <c r="BA1080" s="161"/>
      <c r="BB1080" s="161"/>
      <c r="BC1080" s="161"/>
      <c r="BD1080" s="161"/>
      <c r="BE1080" s="161"/>
      <c r="BF1080" s="161"/>
      <c r="BG1080" s="161"/>
      <c r="BH1080" s="161"/>
      <c r="BI1080" s="161"/>
      <c r="BJ1080" s="161"/>
      <c r="BK1080" s="161"/>
      <c r="BL1080" s="161"/>
      <c r="BM1080" s="161"/>
      <c r="BN1080" s="161"/>
      <c r="BO1080" s="161"/>
      <c r="BP1080" s="161"/>
      <c r="BQ1080" s="161"/>
      <c r="BR1080" s="161"/>
      <c r="BS1080" s="161"/>
      <c r="BT1080" s="161"/>
      <c r="BU1080" s="161"/>
      <c r="BV1080" s="161"/>
      <c r="BW1080" s="161"/>
      <c r="BX1080" s="161"/>
      <c r="BY1080" s="161"/>
      <c r="BZ1080" s="161"/>
      <c r="CA1080" s="161"/>
      <c r="CB1080" s="161"/>
      <c r="CC1080" s="161"/>
      <c r="CD1080" s="161"/>
      <c r="CE1080" s="161"/>
      <c r="CF1080" s="161"/>
      <c r="CG1080" s="161"/>
    </row>
    <row r="1081">
      <c r="A1081" s="161"/>
      <c r="B1081" s="161"/>
      <c r="C1081" s="161"/>
      <c r="D1081" s="161"/>
      <c r="E1081" s="161"/>
      <c r="F1081" s="161"/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161"/>
      <c r="R1081" s="161"/>
      <c r="S1081" s="161"/>
      <c r="T1081" s="161"/>
      <c r="U1081" s="161"/>
      <c r="V1081" s="161"/>
      <c r="W1081" s="161"/>
      <c r="X1081" s="161"/>
      <c r="Y1081" s="161"/>
      <c r="Z1081" s="161"/>
      <c r="AA1081" s="161"/>
      <c r="AB1081" s="161"/>
      <c r="AC1081" s="161"/>
      <c r="AD1081" s="161"/>
      <c r="AE1081" s="161"/>
      <c r="AF1081" s="161"/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/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1"/>
      <c r="BE1081" s="161"/>
      <c r="BF1081" s="161"/>
      <c r="BG1081" s="161"/>
      <c r="BH1081" s="161"/>
      <c r="BI1081" s="161"/>
      <c r="BJ1081" s="161"/>
      <c r="BK1081" s="161"/>
      <c r="BL1081" s="161"/>
      <c r="BM1081" s="161"/>
      <c r="BN1081" s="161"/>
      <c r="BO1081" s="161"/>
      <c r="BP1081" s="161"/>
      <c r="BQ1081" s="161"/>
      <c r="BR1081" s="161"/>
      <c r="BS1081" s="161"/>
      <c r="BT1081" s="161"/>
      <c r="BU1081" s="161"/>
      <c r="BV1081" s="161"/>
      <c r="BW1081" s="161"/>
      <c r="BX1081" s="161"/>
      <c r="BY1081" s="161"/>
      <c r="BZ1081" s="161"/>
      <c r="CA1081" s="161"/>
      <c r="CB1081" s="161"/>
      <c r="CC1081" s="161"/>
      <c r="CD1081" s="161"/>
      <c r="CE1081" s="161"/>
      <c r="CF1081" s="161"/>
      <c r="CG1081" s="161"/>
    </row>
    <row r="1082">
      <c r="A1082" s="161"/>
      <c r="B1082" s="161"/>
      <c r="C1082" s="161"/>
      <c r="D1082" s="161"/>
      <c r="E1082" s="161"/>
      <c r="F1082" s="161"/>
      <c r="G1082" s="161"/>
      <c r="H1082" s="161"/>
      <c r="I1082" s="161"/>
      <c r="J1082" s="161"/>
      <c r="K1082" s="161"/>
      <c r="L1082" s="161"/>
      <c r="M1082" s="161"/>
      <c r="N1082" s="161"/>
      <c r="O1082" s="161"/>
      <c r="P1082" s="161"/>
      <c r="Q1082" s="161"/>
      <c r="R1082" s="161"/>
      <c r="S1082" s="161"/>
      <c r="T1082" s="161"/>
      <c r="U1082" s="161"/>
      <c r="V1082" s="161"/>
      <c r="W1082" s="161"/>
      <c r="X1082" s="161"/>
      <c r="Y1082" s="161"/>
      <c r="Z1082" s="161"/>
      <c r="AA1082" s="161"/>
      <c r="AB1082" s="161"/>
      <c r="AC1082" s="161"/>
      <c r="AD1082" s="161"/>
      <c r="AE1082" s="161"/>
      <c r="AF1082" s="161"/>
      <c r="AG1082" s="161"/>
      <c r="AH1082" s="161"/>
      <c r="AI1082" s="161"/>
      <c r="AJ1082" s="161"/>
      <c r="AK1082" s="161"/>
      <c r="AL1082" s="161"/>
      <c r="AM1082" s="161"/>
      <c r="AN1082" s="161"/>
      <c r="AO1082" s="161"/>
      <c r="AP1082" s="161"/>
      <c r="AQ1082" s="161"/>
      <c r="AR1082" s="161"/>
      <c r="AS1082" s="161"/>
      <c r="AT1082" s="161"/>
      <c r="AU1082" s="161"/>
      <c r="AV1082" s="161"/>
      <c r="AW1082" s="161"/>
      <c r="AX1082" s="161"/>
      <c r="AY1082" s="161"/>
      <c r="AZ1082" s="161"/>
      <c r="BA1082" s="161"/>
      <c r="BB1082" s="161"/>
      <c r="BC1082" s="161"/>
      <c r="BD1082" s="161"/>
      <c r="BE1082" s="161"/>
      <c r="BF1082" s="161"/>
      <c r="BG1082" s="161"/>
      <c r="BH1082" s="161"/>
      <c r="BI1082" s="161"/>
      <c r="BJ1082" s="161"/>
      <c r="BK1082" s="161"/>
      <c r="BL1082" s="161"/>
      <c r="BM1082" s="161"/>
      <c r="BN1082" s="161"/>
      <c r="BO1082" s="161"/>
      <c r="BP1082" s="161"/>
      <c r="BQ1082" s="161"/>
      <c r="BR1082" s="161"/>
      <c r="BS1082" s="161"/>
      <c r="BT1082" s="161"/>
      <c r="BU1082" s="161"/>
      <c r="BV1082" s="161"/>
      <c r="BW1082" s="161"/>
      <c r="BX1082" s="161"/>
      <c r="BY1082" s="161"/>
      <c r="BZ1082" s="161"/>
      <c r="CA1082" s="161"/>
      <c r="CB1082" s="161"/>
      <c r="CC1082" s="161"/>
      <c r="CD1082" s="161"/>
      <c r="CE1082" s="161"/>
      <c r="CF1082" s="161"/>
      <c r="CG1082" s="161"/>
    </row>
    <row r="1083">
      <c r="A1083" s="161"/>
      <c r="B1083" s="161"/>
      <c r="C1083" s="161"/>
      <c r="D1083" s="161"/>
      <c r="E1083" s="161"/>
      <c r="F1083" s="161"/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161"/>
      <c r="R1083" s="161"/>
      <c r="S1083" s="161"/>
      <c r="T1083" s="161"/>
      <c r="U1083" s="161"/>
      <c r="V1083" s="161"/>
      <c r="W1083" s="161"/>
      <c r="X1083" s="161"/>
      <c r="Y1083" s="161"/>
      <c r="Z1083" s="161"/>
      <c r="AA1083" s="161"/>
      <c r="AB1083" s="161"/>
      <c r="AC1083" s="161"/>
      <c r="AD1083" s="161"/>
      <c r="AE1083" s="161"/>
      <c r="AF1083" s="161"/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/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1"/>
      <c r="BE1083" s="161"/>
      <c r="BF1083" s="161"/>
      <c r="BG1083" s="161"/>
      <c r="BH1083" s="161"/>
      <c r="BI1083" s="161"/>
      <c r="BJ1083" s="161"/>
      <c r="BK1083" s="161"/>
      <c r="BL1083" s="161"/>
      <c r="BM1083" s="161"/>
      <c r="BN1083" s="161"/>
      <c r="BO1083" s="161"/>
      <c r="BP1083" s="161"/>
      <c r="BQ1083" s="161"/>
      <c r="BR1083" s="161"/>
      <c r="BS1083" s="161"/>
      <c r="BT1083" s="161"/>
      <c r="BU1083" s="161"/>
      <c r="BV1083" s="161"/>
      <c r="BW1083" s="161"/>
      <c r="BX1083" s="161"/>
      <c r="BY1083" s="161"/>
      <c r="BZ1083" s="161"/>
      <c r="CA1083" s="161"/>
      <c r="CB1083" s="161"/>
      <c r="CC1083" s="161"/>
      <c r="CD1083" s="161"/>
      <c r="CE1083" s="161"/>
      <c r="CF1083" s="161"/>
      <c r="CG1083" s="161"/>
    </row>
    <row r="1084">
      <c r="A1084" s="161"/>
      <c r="B1084" s="161"/>
      <c r="C1084" s="161"/>
      <c r="D1084" s="161"/>
      <c r="E1084" s="161"/>
      <c r="F1084" s="161"/>
      <c r="G1084" s="161"/>
      <c r="H1084" s="161"/>
      <c r="I1084" s="161"/>
      <c r="J1084" s="161"/>
      <c r="K1084" s="161"/>
      <c r="L1084" s="161"/>
      <c r="M1084" s="161"/>
      <c r="N1084" s="161"/>
      <c r="O1084" s="161"/>
      <c r="P1084" s="161"/>
      <c r="Q1084" s="161"/>
      <c r="R1084" s="161"/>
      <c r="S1084" s="161"/>
      <c r="T1084" s="161"/>
      <c r="U1084" s="161"/>
      <c r="V1084" s="161"/>
      <c r="W1084" s="161"/>
      <c r="X1084" s="161"/>
      <c r="Y1084" s="161"/>
      <c r="Z1084" s="161"/>
      <c r="AA1084" s="161"/>
      <c r="AB1084" s="161"/>
      <c r="AC1084" s="161"/>
      <c r="AD1084" s="161"/>
      <c r="AE1084" s="161"/>
      <c r="AF1084" s="161"/>
      <c r="AG1084" s="161"/>
      <c r="AH1084" s="161"/>
      <c r="AI1084" s="161"/>
      <c r="AJ1084" s="161"/>
      <c r="AK1084" s="161"/>
      <c r="AL1084" s="161"/>
      <c r="AM1084" s="161"/>
      <c r="AN1084" s="161"/>
      <c r="AO1084" s="161"/>
      <c r="AP1084" s="161"/>
      <c r="AQ1084" s="161"/>
      <c r="AR1084" s="161"/>
      <c r="AS1084" s="161"/>
      <c r="AT1084" s="161"/>
      <c r="AU1084" s="161"/>
      <c r="AV1084" s="161"/>
      <c r="AW1084" s="161"/>
      <c r="AX1084" s="161"/>
      <c r="AY1084" s="161"/>
      <c r="AZ1084" s="161"/>
      <c r="BA1084" s="161"/>
      <c r="BB1084" s="161"/>
      <c r="BC1084" s="161"/>
      <c r="BD1084" s="161"/>
      <c r="BE1084" s="161"/>
      <c r="BF1084" s="161"/>
      <c r="BG1084" s="161"/>
      <c r="BH1084" s="161"/>
      <c r="BI1084" s="161"/>
      <c r="BJ1084" s="161"/>
      <c r="BK1084" s="161"/>
      <c r="BL1084" s="161"/>
      <c r="BM1084" s="161"/>
      <c r="BN1084" s="161"/>
      <c r="BO1084" s="161"/>
      <c r="BP1084" s="161"/>
      <c r="BQ1084" s="161"/>
      <c r="BR1084" s="161"/>
      <c r="BS1084" s="161"/>
      <c r="BT1084" s="161"/>
      <c r="BU1084" s="161"/>
      <c r="BV1084" s="161"/>
      <c r="BW1084" s="161"/>
      <c r="BX1084" s="161"/>
      <c r="BY1084" s="161"/>
      <c r="BZ1084" s="161"/>
      <c r="CA1084" s="161"/>
      <c r="CB1084" s="161"/>
      <c r="CC1084" s="161"/>
      <c r="CD1084" s="161"/>
      <c r="CE1084" s="161"/>
      <c r="CF1084" s="161"/>
      <c r="CG1084" s="161"/>
    </row>
    <row r="1085">
      <c r="A1085" s="161"/>
      <c r="B1085" s="161"/>
      <c r="C1085" s="161"/>
      <c r="D1085" s="161"/>
      <c r="E1085" s="161"/>
      <c r="F1085" s="161"/>
      <c r="G1085" s="161"/>
      <c r="H1085" s="161"/>
      <c r="I1085" s="161"/>
      <c r="J1085" s="161"/>
      <c r="K1085" s="161"/>
      <c r="L1085" s="161"/>
      <c r="M1085" s="161"/>
      <c r="N1085" s="161"/>
      <c r="O1085" s="161"/>
      <c r="P1085" s="161"/>
      <c r="Q1085" s="161"/>
      <c r="R1085" s="161"/>
      <c r="S1085" s="161"/>
      <c r="T1085" s="161"/>
      <c r="U1085" s="161"/>
      <c r="V1085" s="161"/>
      <c r="W1085" s="161"/>
      <c r="X1085" s="161"/>
      <c r="Y1085" s="161"/>
      <c r="Z1085" s="161"/>
      <c r="AA1085" s="161"/>
      <c r="AB1085" s="161"/>
      <c r="AC1085" s="161"/>
      <c r="AD1085" s="161"/>
      <c r="AE1085" s="161"/>
      <c r="AF1085" s="161"/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/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1"/>
      <c r="BE1085" s="161"/>
      <c r="BF1085" s="161"/>
      <c r="BG1085" s="161"/>
      <c r="BH1085" s="161"/>
      <c r="BI1085" s="161"/>
      <c r="BJ1085" s="161"/>
      <c r="BK1085" s="161"/>
      <c r="BL1085" s="161"/>
      <c r="BM1085" s="161"/>
      <c r="BN1085" s="161"/>
      <c r="BO1085" s="161"/>
      <c r="BP1085" s="161"/>
      <c r="BQ1085" s="161"/>
      <c r="BR1085" s="161"/>
      <c r="BS1085" s="161"/>
      <c r="BT1085" s="161"/>
      <c r="BU1085" s="161"/>
      <c r="BV1085" s="161"/>
      <c r="BW1085" s="161"/>
      <c r="BX1085" s="161"/>
      <c r="BY1085" s="161"/>
      <c r="BZ1085" s="161"/>
      <c r="CA1085" s="161"/>
      <c r="CB1085" s="161"/>
      <c r="CC1085" s="161"/>
      <c r="CD1085" s="161"/>
      <c r="CE1085" s="161"/>
      <c r="CF1085" s="161"/>
      <c r="CG1085" s="161"/>
    </row>
    <row r="1086">
      <c r="A1086" s="161"/>
      <c r="B1086" s="161"/>
      <c r="C1086" s="161"/>
      <c r="D1086" s="161"/>
      <c r="E1086" s="161"/>
      <c r="F1086" s="161"/>
      <c r="G1086" s="161"/>
      <c r="H1086" s="161"/>
      <c r="I1086" s="161"/>
      <c r="J1086" s="161"/>
      <c r="K1086" s="161"/>
      <c r="L1086" s="161"/>
      <c r="M1086" s="161"/>
      <c r="N1086" s="161"/>
      <c r="O1086" s="161"/>
      <c r="P1086" s="161"/>
      <c r="Q1086" s="161"/>
      <c r="R1086" s="161"/>
      <c r="S1086" s="161"/>
      <c r="T1086" s="161"/>
      <c r="U1086" s="161"/>
      <c r="V1086" s="161"/>
      <c r="W1086" s="161"/>
      <c r="X1086" s="161"/>
      <c r="Y1086" s="161"/>
      <c r="Z1086" s="161"/>
      <c r="AA1086" s="161"/>
      <c r="AB1086" s="161"/>
      <c r="AC1086" s="161"/>
      <c r="AD1086" s="161"/>
      <c r="AE1086" s="161"/>
      <c r="AF1086" s="161"/>
      <c r="AG1086" s="161"/>
      <c r="AH1086" s="161"/>
      <c r="AI1086" s="161"/>
      <c r="AJ1086" s="161"/>
      <c r="AK1086" s="161"/>
      <c r="AL1086" s="161"/>
      <c r="AM1086" s="161"/>
      <c r="AN1086" s="161"/>
      <c r="AO1086" s="161"/>
      <c r="AP1086" s="161"/>
      <c r="AQ1086" s="161"/>
      <c r="AR1086" s="161"/>
      <c r="AS1086" s="161"/>
      <c r="AT1086" s="161"/>
      <c r="AU1086" s="161"/>
      <c r="AV1086" s="161"/>
      <c r="AW1086" s="161"/>
      <c r="AX1086" s="161"/>
      <c r="AY1086" s="161"/>
      <c r="AZ1086" s="161"/>
      <c r="BA1086" s="161"/>
      <c r="BB1086" s="161"/>
      <c r="BC1086" s="161"/>
      <c r="BD1086" s="161"/>
      <c r="BE1086" s="161"/>
      <c r="BF1086" s="161"/>
      <c r="BG1086" s="161"/>
      <c r="BH1086" s="161"/>
      <c r="BI1086" s="161"/>
      <c r="BJ1086" s="161"/>
      <c r="BK1086" s="161"/>
      <c r="BL1086" s="161"/>
      <c r="BM1086" s="161"/>
      <c r="BN1086" s="161"/>
      <c r="BO1086" s="161"/>
      <c r="BP1086" s="161"/>
      <c r="BQ1086" s="161"/>
      <c r="BR1086" s="161"/>
      <c r="BS1086" s="161"/>
      <c r="BT1086" s="161"/>
      <c r="BU1086" s="161"/>
      <c r="BV1086" s="161"/>
      <c r="BW1086" s="161"/>
      <c r="BX1086" s="161"/>
      <c r="BY1086" s="161"/>
      <c r="BZ1086" s="161"/>
      <c r="CA1086" s="161"/>
      <c r="CB1086" s="161"/>
      <c r="CC1086" s="161"/>
      <c r="CD1086" s="161"/>
      <c r="CE1086" s="161"/>
      <c r="CF1086" s="161"/>
      <c r="CG1086" s="161"/>
    </row>
    <row r="1087">
      <c r="A1087" s="161"/>
      <c r="B1087" s="161"/>
      <c r="C1087" s="161"/>
      <c r="D1087" s="161"/>
      <c r="E1087" s="161"/>
      <c r="F1087" s="161"/>
      <c r="G1087" s="161"/>
      <c r="H1087" s="161"/>
      <c r="I1087" s="161"/>
      <c r="J1087" s="161"/>
      <c r="K1087" s="161"/>
      <c r="L1087" s="161"/>
      <c r="M1087" s="161"/>
      <c r="N1087" s="161"/>
      <c r="O1087" s="161"/>
      <c r="P1087" s="161"/>
      <c r="Q1087" s="161"/>
      <c r="R1087" s="161"/>
      <c r="S1087" s="161"/>
      <c r="T1087" s="161"/>
      <c r="U1087" s="161"/>
      <c r="V1087" s="161"/>
      <c r="W1087" s="161"/>
      <c r="X1087" s="161"/>
      <c r="Y1087" s="161"/>
      <c r="Z1087" s="161"/>
      <c r="AA1087" s="161"/>
      <c r="AB1087" s="161"/>
      <c r="AC1087" s="161"/>
      <c r="AD1087" s="161"/>
      <c r="AE1087" s="161"/>
      <c r="AF1087" s="161"/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/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1"/>
      <c r="BE1087" s="161"/>
      <c r="BF1087" s="161"/>
      <c r="BG1087" s="161"/>
      <c r="BH1087" s="161"/>
      <c r="BI1087" s="161"/>
      <c r="BJ1087" s="161"/>
      <c r="BK1087" s="161"/>
      <c r="BL1087" s="161"/>
      <c r="BM1087" s="161"/>
      <c r="BN1087" s="161"/>
      <c r="BO1087" s="161"/>
      <c r="BP1087" s="161"/>
      <c r="BQ1087" s="161"/>
      <c r="BR1087" s="161"/>
      <c r="BS1087" s="161"/>
      <c r="BT1087" s="161"/>
      <c r="BU1087" s="161"/>
      <c r="BV1087" s="161"/>
      <c r="BW1087" s="161"/>
      <c r="BX1087" s="161"/>
      <c r="BY1087" s="161"/>
      <c r="BZ1087" s="161"/>
      <c r="CA1087" s="161"/>
      <c r="CB1087" s="161"/>
      <c r="CC1087" s="161"/>
      <c r="CD1087" s="161"/>
      <c r="CE1087" s="161"/>
      <c r="CF1087" s="161"/>
      <c r="CG1087" s="161"/>
    </row>
    <row r="1088">
      <c r="A1088" s="161"/>
      <c r="B1088" s="161"/>
      <c r="C1088" s="161"/>
      <c r="D1088" s="161"/>
      <c r="E1088" s="161"/>
      <c r="F1088" s="161"/>
      <c r="G1088" s="161"/>
      <c r="H1088" s="161"/>
      <c r="I1088" s="161"/>
      <c r="J1088" s="161"/>
      <c r="K1088" s="161"/>
      <c r="L1088" s="161"/>
      <c r="M1088" s="161"/>
      <c r="N1088" s="161"/>
      <c r="O1088" s="161"/>
      <c r="P1088" s="161"/>
      <c r="Q1088" s="161"/>
      <c r="R1088" s="161"/>
      <c r="S1088" s="161"/>
      <c r="T1088" s="161"/>
      <c r="U1088" s="161"/>
      <c r="V1088" s="161"/>
      <c r="W1088" s="161"/>
      <c r="X1088" s="161"/>
      <c r="Y1088" s="161"/>
      <c r="Z1088" s="161"/>
      <c r="AA1088" s="161"/>
      <c r="AB1088" s="161"/>
      <c r="AC1088" s="161"/>
      <c r="AD1088" s="161"/>
      <c r="AE1088" s="161"/>
      <c r="AF1088" s="161"/>
      <c r="AG1088" s="161"/>
      <c r="AH1088" s="161"/>
      <c r="AI1088" s="161"/>
      <c r="AJ1088" s="161"/>
      <c r="AK1088" s="161"/>
      <c r="AL1088" s="161"/>
      <c r="AM1088" s="161"/>
      <c r="AN1088" s="161"/>
      <c r="AO1088" s="161"/>
      <c r="AP1088" s="161"/>
      <c r="AQ1088" s="161"/>
      <c r="AR1088" s="161"/>
      <c r="AS1088" s="161"/>
      <c r="AT1088" s="161"/>
      <c r="AU1088" s="161"/>
      <c r="AV1088" s="161"/>
      <c r="AW1088" s="161"/>
      <c r="AX1088" s="161"/>
      <c r="AY1088" s="161"/>
      <c r="AZ1088" s="161"/>
      <c r="BA1088" s="161"/>
      <c r="BB1088" s="161"/>
      <c r="BC1088" s="161"/>
      <c r="BD1088" s="161"/>
      <c r="BE1088" s="161"/>
      <c r="BF1088" s="161"/>
      <c r="BG1088" s="161"/>
      <c r="BH1088" s="161"/>
      <c r="BI1088" s="161"/>
      <c r="BJ1088" s="161"/>
      <c r="BK1088" s="161"/>
      <c r="BL1088" s="161"/>
      <c r="BM1088" s="161"/>
      <c r="BN1088" s="161"/>
      <c r="BO1088" s="161"/>
      <c r="BP1088" s="161"/>
      <c r="BQ1088" s="161"/>
      <c r="BR1088" s="161"/>
      <c r="BS1088" s="161"/>
      <c r="BT1088" s="161"/>
      <c r="BU1088" s="161"/>
      <c r="BV1088" s="161"/>
      <c r="BW1088" s="161"/>
      <c r="BX1088" s="161"/>
      <c r="BY1088" s="161"/>
      <c r="BZ1088" s="161"/>
      <c r="CA1088" s="161"/>
      <c r="CB1088" s="161"/>
      <c r="CC1088" s="161"/>
      <c r="CD1088" s="161"/>
      <c r="CE1088" s="161"/>
      <c r="CF1088" s="161"/>
      <c r="CG1088" s="161"/>
    </row>
    <row r="1089">
      <c r="A1089" s="161"/>
      <c r="B1089" s="161"/>
      <c r="C1089" s="161"/>
      <c r="D1089" s="161"/>
      <c r="E1089" s="161"/>
      <c r="F1089" s="161"/>
      <c r="G1089" s="161"/>
      <c r="H1089" s="161"/>
      <c r="I1089" s="161"/>
      <c r="J1089" s="161"/>
      <c r="K1089" s="161"/>
      <c r="L1089" s="161"/>
      <c r="M1089" s="161"/>
      <c r="N1089" s="161"/>
      <c r="O1089" s="161"/>
      <c r="P1089" s="161"/>
      <c r="Q1089" s="161"/>
      <c r="R1089" s="161"/>
      <c r="S1089" s="161"/>
      <c r="T1089" s="161"/>
      <c r="U1089" s="161"/>
      <c r="V1089" s="161"/>
      <c r="W1089" s="161"/>
      <c r="X1089" s="161"/>
      <c r="Y1089" s="161"/>
      <c r="Z1089" s="161"/>
      <c r="AA1089" s="161"/>
      <c r="AB1089" s="161"/>
      <c r="AC1089" s="161"/>
      <c r="AD1089" s="161"/>
      <c r="AE1089" s="161"/>
      <c r="AF1089" s="161"/>
      <c r="AG1089" s="161"/>
      <c r="AH1089" s="161"/>
      <c r="AI1089" s="161"/>
      <c r="AJ1089" s="161"/>
      <c r="AK1089" s="161"/>
      <c r="AL1089" s="161"/>
      <c r="AM1089" s="161"/>
      <c r="AN1089" s="161"/>
      <c r="AO1089" s="161"/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1"/>
      <c r="BE1089" s="161"/>
      <c r="BF1089" s="161"/>
      <c r="BG1089" s="161"/>
      <c r="BH1089" s="161"/>
      <c r="BI1089" s="161"/>
      <c r="BJ1089" s="161"/>
      <c r="BK1089" s="161"/>
      <c r="BL1089" s="161"/>
      <c r="BM1089" s="161"/>
      <c r="BN1089" s="161"/>
      <c r="BO1089" s="161"/>
      <c r="BP1089" s="161"/>
      <c r="BQ1089" s="161"/>
      <c r="BR1089" s="161"/>
      <c r="BS1089" s="161"/>
      <c r="BT1089" s="161"/>
      <c r="BU1089" s="161"/>
      <c r="BV1089" s="161"/>
      <c r="BW1089" s="161"/>
      <c r="BX1089" s="161"/>
      <c r="BY1089" s="161"/>
      <c r="BZ1089" s="161"/>
      <c r="CA1089" s="161"/>
      <c r="CB1089" s="161"/>
      <c r="CC1089" s="161"/>
      <c r="CD1089" s="161"/>
      <c r="CE1089" s="161"/>
      <c r="CF1089" s="161"/>
      <c r="CG1089" s="161"/>
    </row>
    <row r="1090">
      <c r="A1090" s="161"/>
      <c r="B1090" s="161"/>
      <c r="C1090" s="161"/>
      <c r="D1090" s="161"/>
      <c r="E1090" s="161"/>
      <c r="F1090" s="161"/>
      <c r="G1090" s="161"/>
      <c r="H1090" s="161"/>
      <c r="I1090" s="161"/>
      <c r="J1090" s="161"/>
      <c r="K1090" s="161"/>
      <c r="L1090" s="161"/>
      <c r="M1090" s="161"/>
      <c r="N1090" s="161"/>
      <c r="O1090" s="161"/>
      <c r="P1090" s="161"/>
      <c r="Q1090" s="161"/>
      <c r="R1090" s="161"/>
      <c r="S1090" s="161"/>
      <c r="T1090" s="161"/>
      <c r="U1090" s="161"/>
      <c r="V1090" s="161"/>
      <c r="W1090" s="161"/>
      <c r="X1090" s="161"/>
      <c r="Y1090" s="161"/>
      <c r="Z1090" s="161"/>
      <c r="AA1090" s="161"/>
      <c r="AB1090" s="161"/>
      <c r="AC1090" s="161"/>
      <c r="AD1090" s="161"/>
      <c r="AE1090" s="161"/>
      <c r="AF1090" s="161"/>
      <c r="AG1090" s="161"/>
      <c r="AH1090" s="161"/>
      <c r="AI1090" s="161"/>
      <c r="AJ1090" s="161"/>
      <c r="AK1090" s="161"/>
      <c r="AL1090" s="161"/>
      <c r="AM1090" s="161"/>
      <c r="AN1090" s="161"/>
      <c r="AO1090" s="161"/>
      <c r="AP1090" s="161"/>
      <c r="AQ1090" s="161"/>
      <c r="AR1090" s="161"/>
      <c r="AS1090" s="161"/>
      <c r="AT1090" s="161"/>
      <c r="AU1090" s="161"/>
      <c r="AV1090" s="161"/>
      <c r="AW1090" s="161"/>
      <c r="AX1090" s="161"/>
      <c r="AY1090" s="161"/>
      <c r="AZ1090" s="161"/>
      <c r="BA1090" s="161"/>
      <c r="BB1090" s="161"/>
      <c r="BC1090" s="161"/>
      <c r="BD1090" s="161"/>
      <c r="BE1090" s="161"/>
      <c r="BF1090" s="161"/>
      <c r="BG1090" s="161"/>
      <c r="BH1090" s="161"/>
      <c r="BI1090" s="161"/>
      <c r="BJ1090" s="161"/>
      <c r="BK1090" s="161"/>
      <c r="BL1090" s="161"/>
      <c r="BM1090" s="161"/>
      <c r="BN1090" s="161"/>
      <c r="BO1090" s="161"/>
      <c r="BP1090" s="161"/>
      <c r="BQ1090" s="161"/>
      <c r="BR1090" s="161"/>
      <c r="BS1090" s="161"/>
      <c r="BT1090" s="161"/>
      <c r="BU1090" s="161"/>
      <c r="BV1090" s="161"/>
      <c r="BW1090" s="161"/>
      <c r="BX1090" s="161"/>
      <c r="BY1090" s="161"/>
      <c r="BZ1090" s="161"/>
      <c r="CA1090" s="161"/>
      <c r="CB1090" s="161"/>
      <c r="CC1090" s="161"/>
      <c r="CD1090" s="161"/>
      <c r="CE1090" s="161"/>
      <c r="CF1090" s="161"/>
      <c r="CG1090" s="161"/>
    </row>
    <row r="1091">
      <c r="A1091" s="161"/>
      <c r="B1091" s="161"/>
      <c r="C1091" s="161"/>
      <c r="D1091" s="161"/>
      <c r="E1091" s="161"/>
      <c r="F1091" s="161"/>
      <c r="G1091" s="161"/>
      <c r="H1091" s="161"/>
      <c r="I1091" s="161"/>
      <c r="J1091" s="161"/>
      <c r="K1091" s="161"/>
      <c r="L1091" s="161"/>
      <c r="M1091" s="161"/>
      <c r="N1091" s="161"/>
      <c r="O1091" s="161"/>
      <c r="P1091" s="161"/>
      <c r="Q1091" s="161"/>
      <c r="R1091" s="161"/>
      <c r="S1091" s="161"/>
      <c r="T1091" s="161"/>
      <c r="U1091" s="161"/>
      <c r="V1091" s="161"/>
      <c r="W1091" s="161"/>
      <c r="X1091" s="161"/>
      <c r="Y1091" s="161"/>
      <c r="Z1091" s="161"/>
      <c r="AA1091" s="161"/>
      <c r="AB1091" s="161"/>
      <c r="AC1091" s="161"/>
      <c r="AD1091" s="161"/>
      <c r="AE1091" s="161"/>
      <c r="AF1091" s="161"/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/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1"/>
      <c r="BE1091" s="161"/>
      <c r="BF1091" s="161"/>
      <c r="BG1091" s="161"/>
      <c r="BH1091" s="161"/>
      <c r="BI1091" s="161"/>
      <c r="BJ1091" s="161"/>
      <c r="BK1091" s="161"/>
      <c r="BL1091" s="161"/>
      <c r="BM1091" s="161"/>
      <c r="BN1091" s="161"/>
      <c r="BO1091" s="161"/>
      <c r="BP1091" s="161"/>
      <c r="BQ1091" s="161"/>
      <c r="BR1091" s="161"/>
      <c r="BS1091" s="161"/>
      <c r="BT1091" s="161"/>
      <c r="BU1091" s="161"/>
      <c r="BV1091" s="161"/>
      <c r="BW1091" s="161"/>
      <c r="BX1091" s="161"/>
      <c r="BY1091" s="161"/>
      <c r="BZ1091" s="161"/>
      <c r="CA1091" s="161"/>
      <c r="CB1091" s="161"/>
      <c r="CC1091" s="161"/>
      <c r="CD1091" s="161"/>
      <c r="CE1091" s="161"/>
      <c r="CF1091" s="161"/>
      <c r="CG1091" s="161"/>
    </row>
    <row r="1092">
      <c r="A1092" s="161"/>
      <c r="B1092" s="161"/>
      <c r="C1092" s="161"/>
      <c r="D1092" s="161"/>
      <c r="E1092" s="161"/>
      <c r="F1092" s="161"/>
      <c r="G1092" s="161"/>
      <c r="H1092" s="161"/>
      <c r="I1092" s="161"/>
      <c r="J1092" s="161"/>
      <c r="K1092" s="161"/>
      <c r="L1092" s="161"/>
      <c r="M1092" s="161"/>
      <c r="N1092" s="161"/>
      <c r="O1092" s="161"/>
      <c r="P1092" s="161"/>
      <c r="Q1092" s="161"/>
      <c r="R1092" s="161"/>
      <c r="S1092" s="161"/>
      <c r="T1092" s="161"/>
      <c r="U1092" s="161"/>
      <c r="V1092" s="161"/>
      <c r="W1092" s="161"/>
      <c r="X1092" s="161"/>
      <c r="Y1092" s="161"/>
      <c r="Z1092" s="161"/>
      <c r="AA1092" s="161"/>
      <c r="AB1092" s="161"/>
      <c r="AC1092" s="161"/>
      <c r="AD1092" s="161"/>
      <c r="AE1092" s="161"/>
      <c r="AF1092" s="161"/>
      <c r="AG1092" s="161"/>
      <c r="AH1092" s="161"/>
      <c r="AI1092" s="161"/>
      <c r="AJ1092" s="161"/>
      <c r="AK1092" s="161"/>
      <c r="AL1092" s="161"/>
      <c r="AM1092" s="161"/>
      <c r="AN1092" s="161"/>
      <c r="AO1092" s="161"/>
      <c r="AP1092" s="161"/>
      <c r="AQ1092" s="161"/>
      <c r="AR1092" s="161"/>
      <c r="AS1092" s="161"/>
      <c r="AT1092" s="161"/>
      <c r="AU1092" s="161"/>
      <c r="AV1092" s="161"/>
      <c r="AW1092" s="161"/>
      <c r="AX1092" s="161"/>
      <c r="AY1092" s="161"/>
      <c r="AZ1092" s="161"/>
      <c r="BA1092" s="161"/>
      <c r="BB1092" s="161"/>
      <c r="BC1092" s="161"/>
      <c r="BD1092" s="161"/>
      <c r="BE1092" s="161"/>
      <c r="BF1092" s="161"/>
      <c r="BG1092" s="161"/>
      <c r="BH1092" s="161"/>
      <c r="BI1092" s="161"/>
      <c r="BJ1092" s="161"/>
      <c r="BK1092" s="161"/>
      <c r="BL1092" s="161"/>
      <c r="BM1092" s="161"/>
      <c r="BN1092" s="161"/>
      <c r="BO1092" s="161"/>
      <c r="BP1092" s="161"/>
      <c r="BQ1092" s="161"/>
      <c r="BR1092" s="161"/>
      <c r="BS1092" s="161"/>
      <c r="BT1092" s="161"/>
      <c r="BU1092" s="161"/>
      <c r="BV1092" s="161"/>
      <c r="BW1092" s="161"/>
      <c r="BX1092" s="161"/>
      <c r="BY1092" s="161"/>
      <c r="BZ1092" s="161"/>
      <c r="CA1092" s="161"/>
      <c r="CB1092" s="161"/>
      <c r="CC1092" s="161"/>
      <c r="CD1092" s="161"/>
      <c r="CE1092" s="161"/>
      <c r="CF1092" s="161"/>
      <c r="CG1092" s="161"/>
    </row>
    <row r="1093">
      <c r="A1093" s="161"/>
      <c r="B1093" s="161"/>
      <c r="C1093" s="161"/>
      <c r="D1093" s="161"/>
      <c r="E1093" s="161"/>
      <c r="F1093" s="161"/>
      <c r="G1093" s="161"/>
      <c r="H1093" s="161"/>
      <c r="I1093" s="161"/>
      <c r="J1093" s="161"/>
      <c r="K1093" s="161"/>
      <c r="L1093" s="161"/>
      <c r="M1093" s="161"/>
      <c r="N1093" s="161"/>
      <c r="O1093" s="161"/>
      <c r="P1093" s="161"/>
      <c r="Q1093" s="161"/>
      <c r="R1093" s="161"/>
      <c r="S1093" s="161"/>
      <c r="T1093" s="161"/>
      <c r="U1093" s="161"/>
      <c r="V1093" s="161"/>
      <c r="W1093" s="161"/>
      <c r="X1093" s="161"/>
      <c r="Y1093" s="161"/>
      <c r="Z1093" s="161"/>
      <c r="AA1093" s="161"/>
      <c r="AB1093" s="161"/>
      <c r="AC1093" s="161"/>
      <c r="AD1093" s="161"/>
      <c r="AE1093" s="161"/>
      <c r="AF1093" s="161"/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/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  <c r="BD1093" s="161"/>
      <c r="BE1093" s="161"/>
      <c r="BF1093" s="161"/>
      <c r="BG1093" s="161"/>
      <c r="BH1093" s="161"/>
      <c r="BI1093" s="161"/>
      <c r="BJ1093" s="161"/>
      <c r="BK1093" s="161"/>
      <c r="BL1093" s="161"/>
      <c r="BM1093" s="161"/>
      <c r="BN1093" s="161"/>
      <c r="BO1093" s="161"/>
      <c r="BP1093" s="161"/>
      <c r="BQ1093" s="161"/>
      <c r="BR1093" s="161"/>
      <c r="BS1093" s="161"/>
      <c r="BT1093" s="161"/>
      <c r="BU1093" s="161"/>
      <c r="BV1093" s="161"/>
      <c r="BW1093" s="161"/>
      <c r="BX1093" s="161"/>
      <c r="BY1093" s="161"/>
      <c r="BZ1093" s="161"/>
      <c r="CA1093" s="161"/>
      <c r="CB1093" s="161"/>
      <c r="CC1093" s="161"/>
      <c r="CD1093" s="161"/>
      <c r="CE1093" s="161"/>
      <c r="CF1093" s="161"/>
      <c r="CG1093" s="161"/>
    </row>
    <row r="1094">
      <c r="A1094" s="161"/>
      <c r="B1094" s="161"/>
      <c r="C1094" s="161"/>
      <c r="D1094" s="161"/>
      <c r="E1094" s="161"/>
      <c r="F1094" s="161"/>
      <c r="G1094" s="161"/>
      <c r="H1094" s="161"/>
      <c r="I1094" s="161"/>
      <c r="J1094" s="161"/>
      <c r="K1094" s="161"/>
      <c r="L1094" s="161"/>
      <c r="M1094" s="161"/>
      <c r="N1094" s="161"/>
      <c r="O1094" s="161"/>
      <c r="P1094" s="161"/>
      <c r="Q1094" s="161"/>
      <c r="R1094" s="161"/>
      <c r="S1094" s="161"/>
      <c r="T1094" s="161"/>
      <c r="U1094" s="161"/>
      <c r="V1094" s="161"/>
      <c r="W1094" s="161"/>
      <c r="X1094" s="161"/>
      <c r="Y1094" s="161"/>
      <c r="Z1094" s="161"/>
      <c r="AA1094" s="161"/>
      <c r="AB1094" s="161"/>
      <c r="AC1094" s="161"/>
      <c r="AD1094" s="161"/>
      <c r="AE1094" s="161"/>
      <c r="AF1094" s="161"/>
      <c r="AG1094" s="161"/>
      <c r="AH1094" s="161"/>
      <c r="AI1094" s="161"/>
      <c r="AJ1094" s="161"/>
      <c r="AK1094" s="161"/>
      <c r="AL1094" s="161"/>
      <c r="AM1094" s="161"/>
      <c r="AN1094" s="161"/>
      <c r="AO1094" s="161"/>
      <c r="AP1094" s="161"/>
      <c r="AQ1094" s="161"/>
      <c r="AR1094" s="161"/>
      <c r="AS1094" s="161"/>
      <c r="AT1094" s="161"/>
      <c r="AU1094" s="161"/>
      <c r="AV1094" s="161"/>
      <c r="AW1094" s="161"/>
      <c r="AX1094" s="161"/>
      <c r="AY1094" s="161"/>
      <c r="AZ1094" s="161"/>
      <c r="BA1094" s="161"/>
      <c r="BB1094" s="161"/>
      <c r="BC1094" s="161"/>
      <c r="BD1094" s="161"/>
      <c r="BE1094" s="161"/>
      <c r="BF1094" s="161"/>
      <c r="BG1094" s="161"/>
      <c r="BH1094" s="161"/>
      <c r="BI1094" s="161"/>
      <c r="BJ1094" s="161"/>
      <c r="BK1094" s="161"/>
      <c r="BL1094" s="161"/>
      <c r="BM1094" s="161"/>
      <c r="BN1094" s="161"/>
      <c r="BO1094" s="161"/>
      <c r="BP1094" s="161"/>
      <c r="BQ1094" s="161"/>
      <c r="BR1094" s="161"/>
      <c r="BS1094" s="161"/>
      <c r="BT1094" s="161"/>
      <c r="BU1094" s="161"/>
      <c r="BV1094" s="161"/>
      <c r="BW1094" s="161"/>
      <c r="BX1094" s="161"/>
      <c r="BY1094" s="161"/>
      <c r="BZ1094" s="161"/>
      <c r="CA1094" s="161"/>
      <c r="CB1094" s="161"/>
      <c r="CC1094" s="161"/>
      <c r="CD1094" s="161"/>
      <c r="CE1094" s="161"/>
      <c r="CF1094" s="161"/>
      <c r="CG1094" s="161"/>
    </row>
    <row r="1095">
      <c r="A1095" s="161"/>
      <c r="B1095" s="161"/>
      <c r="C1095" s="161"/>
      <c r="D1095" s="161"/>
      <c r="E1095" s="161"/>
      <c r="F1095" s="161"/>
      <c r="G1095" s="161"/>
      <c r="H1095" s="161"/>
      <c r="I1095" s="161"/>
      <c r="J1095" s="161"/>
      <c r="K1095" s="161"/>
      <c r="L1095" s="161"/>
      <c r="M1095" s="161"/>
      <c r="N1095" s="161"/>
      <c r="O1095" s="161"/>
      <c r="P1095" s="161"/>
      <c r="Q1095" s="161"/>
      <c r="R1095" s="161"/>
      <c r="S1095" s="161"/>
      <c r="T1095" s="161"/>
      <c r="U1095" s="161"/>
      <c r="V1095" s="161"/>
      <c r="W1095" s="161"/>
      <c r="X1095" s="161"/>
      <c r="Y1095" s="161"/>
      <c r="Z1095" s="161"/>
      <c r="AA1095" s="161"/>
      <c r="AB1095" s="161"/>
      <c r="AC1095" s="161"/>
      <c r="AD1095" s="161"/>
      <c r="AE1095" s="161"/>
      <c r="AF1095" s="161"/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/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1"/>
      <c r="BE1095" s="161"/>
      <c r="BF1095" s="161"/>
      <c r="BG1095" s="161"/>
      <c r="BH1095" s="161"/>
      <c r="BI1095" s="161"/>
      <c r="BJ1095" s="161"/>
      <c r="BK1095" s="161"/>
      <c r="BL1095" s="161"/>
      <c r="BM1095" s="161"/>
      <c r="BN1095" s="161"/>
      <c r="BO1095" s="161"/>
      <c r="BP1095" s="161"/>
      <c r="BQ1095" s="161"/>
      <c r="BR1095" s="161"/>
      <c r="BS1095" s="161"/>
      <c r="BT1095" s="161"/>
      <c r="BU1095" s="161"/>
      <c r="BV1095" s="161"/>
      <c r="BW1095" s="161"/>
      <c r="BX1095" s="161"/>
      <c r="BY1095" s="161"/>
      <c r="BZ1095" s="161"/>
      <c r="CA1095" s="161"/>
      <c r="CB1095" s="161"/>
      <c r="CC1095" s="161"/>
      <c r="CD1095" s="161"/>
      <c r="CE1095" s="161"/>
      <c r="CF1095" s="161"/>
      <c r="CG1095" s="161"/>
    </row>
    <row r="1096">
      <c r="A1096" s="161"/>
      <c r="B1096" s="161"/>
      <c r="C1096" s="161"/>
      <c r="D1096" s="161"/>
      <c r="E1096" s="161"/>
      <c r="F1096" s="161"/>
      <c r="G1096" s="161"/>
      <c r="H1096" s="161"/>
      <c r="I1096" s="161"/>
      <c r="J1096" s="161"/>
      <c r="K1096" s="161"/>
      <c r="L1096" s="161"/>
      <c r="M1096" s="161"/>
      <c r="N1096" s="161"/>
      <c r="O1096" s="161"/>
      <c r="P1096" s="161"/>
      <c r="Q1096" s="161"/>
      <c r="R1096" s="161"/>
      <c r="S1096" s="161"/>
      <c r="T1096" s="161"/>
      <c r="U1096" s="161"/>
      <c r="V1096" s="161"/>
      <c r="W1096" s="161"/>
      <c r="X1096" s="161"/>
      <c r="Y1096" s="161"/>
      <c r="Z1096" s="161"/>
      <c r="AA1096" s="161"/>
      <c r="AB1096" s="161"/>
      <c r="AC1096" s="161"/>
      <c r="AD1096" s="161"/>
      <c r="AE1096" s="161"/>
      <c r="AF1096" s="161"/>
      <c r="AG1096" s="161"/>
      <c r="AH1096" s="161"/>
      <c r="AI1096" s="161"/>
      <c r="AJ1096" s="161"/>
      <c r="AK1096" s="161"/>
      <c r="AL1096" s="161"/>
      <c r="AM1096" s="161"/>
      <c r="AN1096" s="161"/>
      <c r="AO1096" s="161"/>
      <c r="AP1096" s="161"/>
      <c r="AQ1096" s="161"/>
      <c r="AR1096" s="161"/>
      <c r="AS1096" s="161"/>
      <c r="AT1096" s="161"/>
      <c r="AU1096" s="161"/>
      <c r="AV1096" s="161"/>
      <c r="AW1096" s="161"/>
      <c r="AX1096" s="161"/>
      <c r="AY1096" s="161"/>
      <c r="AZ1096" s="161"/>
      <c r="BA1096" s="161"/>
      <c r="BB1096" s="161"/>
      <c r="BC1096" s="161"/>
      <c r="BD1096" s="161"/>
      <c r="BE1096" s="161"/>
      <c r="BF1096" s="161"/>
      <c r="BG1096" s="161"/>
      <c r="BH1096" s="161"/>
      <c r="BI1096" s="161"/>
      <c r="BJ1096" s="161"/>
      <c r="BK1096" s="161"/>
      <c r="BL1096" s="161"/>
      <c r="BM1096" s="161"/>
      <c r="BN1096" s="161"/>
      <c r="BO1096" s="161"/>
      <c r="BP1096" s="161"/>
      <c r="BQ1096" s="161"/>
      <c r="BR1096" s="161"/>
      <c r="BS1096" s="161"/>
      <c r="BT1096" s="161"/>
      <c r="BU1096" s="161"/>
      <c r="BV1096" s="161"/>
      <c r="BW1096" s="161"/>
      <c r="BX1096" s="161"/>
      <c r="BY1096" s="161"/>
      <c r="BZ1096" s="161"/>
      <c r="CA1096" s="161"/>
      <c r="CB1096" s="161"/>
      <c r="CC1096" s="161"/>
      <c r="CD1096" s="161"/>
      <c r="CE1096" s="161"/>
      <c r="CF1096" s="161"/>
      <c r="CG1096" s="161"/>
    </row>
    <row r="1097">
      <c r="A1097" s="161"/>
      <c r="B1097" s="161"/>
      <c r="C1097" s="161"/>
      <c r="D1097" s="161"/>
      <c r="E1097" s="161"/>
      <c r="F1097" s="161"/>
      <c r="G1097" s="161"/>
      <c r="H1097" s="161"/>
      <c r="I1097" s="161"/>
      <c r="J1097" s="161"/>
      <c r="K1097" s="161"/>
      <c r="L1097" s="161"/>
      <c r="M1097" s="161"/>
      <c r="N1097" s="161"/>
      <c r="O1097" s="161"/>
      <c r="P1097" s="161"/>
      <c r="Q1097" s="161"/>
      <c r="R1097" s="161"/>
      <c r="S1097" s="161"/>
      <c r="T1097" s="161"/>
      <c r="U1097" s="161"/>
      <c r="V1097" s="161"/>
      <c r="W1097" s="161"/>
      <c r="X1097" s="161"/>
      <c r="Y1097" s="161"/>
      <c r="Z1097" s="161"/>
      <c r="AA1097" s="161"/>
      <c r="AB1097" s="161"/>
      <c r="AC1097" s="161"/>
      <c r="AD1097" s="161"/>
      <c r="AE1097" s="161"/>
      <c r="AF1097" s="161"/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1"/>
      <c r="BE1097" s="161"/>
      <c r="BF1097" s="161"/>
      <c r="BG1097" s="161"/>
      <c r="BH1097" s="161"/>
      <c r="BI1097" s="161"/>
      <c r="BJ1097" s="161"/>
      <c r="BK1097" s="161"/>
      <c r="BL1097" s="161"/>
      <c r="BM1097" s="161"/>
      <c r="BN1097" s="161"/>
      <c r="BO1097" s="161"/>
      <c r="BP1097" s="161"/>
      <c r="BQ1097" s="161"/>
      <c r="BR1097" s="161"/>
      <c r="BS1097" s="161"/>
      <c r="BT1097" s="161"/>
      <c r="BU1097" s="161"/>
      <c r="BV1097" s="161"/>
      <c r="BW1097" s="161"/>
      <c r="BX1097" s="161"/>
      <c r="BY1097" s="161"/>
      <c r="BZ1097" s="161"/>
      <c r="CA1097" s="161"/>
      <c r="CB1097" s="161"/>
      <c r="CC1097" s="161"/>
      <c r="CD1097" s="161"/>
      <c r="CE1097" s="161"/>
      <c r="CF1097" s="161"/>
      <c r="CG1097" s="161"/>
    </row>
    <row r="1098">
      <c r="A1098" s="161"/>
      <c r="B1098" s="161"/>
      <c r="C1098" s="161"/>
      <c r="D1098" s="161"/>
      <c r="E1098" s="161"/>
      <c r="F1098" s="161"/>
      <c r="G1098" s="161"/>
      <c r="H1098" s="161"/>
      <c r="I1098" s="161"/>
      <c r="J1098" s="161"/>
      <c r="K1098" s="161"/>
      <c r="L1098" s="161"/>
      <c r="M1098" s="161"/>
      <c r="N1098" s="161"/>
      <c r="O1098" s="161"/>
      <c r="P1098" s="161"/>
      <c r="Q1098" s="161"/>
      <c r="R1098" s="161"/>
      <c r="S1098" s="161"/>
      <c r="T1098" s="161"/>
      <c r="U1098" s="161"/>
      <c r="V1098" s="161"/>
      <c r="W1098" s="161"/>
      <c r="X1098" s="161"/>
      <c r="Y1098" s="161"/>
      <c r="Z1098" s="161"/>
      <c r="AA1098" s="161"/>
      <c r="AB1098" s="161"/>
      <c r="AC1098" s="161"/>
      <c r="AD1098" s="161"/>
      <c r="AE1098" s="161"/>
      <c r="AF1098" s="161"/>
      <c r="AG1098" s="161"/>
      <c r="AH1098" s="161"/>
      <c r="AI1098" s="161"/>
      <c r="AJ1098" s="161"/>
      <c r="AK1098" s="161"/>
      <c r="AL1098" s="161"/>
      <c r="AM1098" s="161"/>
      <c r="AN1098" s="161"/>
      <c r="AO1098" s="161"/>
      <c r="AP1098" s="161"/>
      <c r="AQ1098" s="161"/>
      <c r="AR1098" s="161"/>
      <c r="AS1098" s="161"/>
      <c r="AT1098" s="161"/>
      <c r="AU1098" s="161"/>
      <c r="AV1098" s="161"/>
      <c r="AW1098" s="161"/>
      <c r="AX1098" s="161"/>
      <c r="AY1098" s="161"/>
      <c r="AZ1098" s="161"/>
      <c r="BA1098" s="161"/>
      <c r="BB1098" s="161"/>
      <c r="BC1098" s="161"/>
      <c r="BD1098" s="161"/>
      <c r="BE1098" s="161"/>
      <c r="BF1098" s="161"/>
      <c r="BG1098" s="161"/>
      <c r="BH1098" s="161"/>
      <c r="BI1098" s="161"/>
      <c r="BJ1098" s="161"/>
      <c r="BK1098" s="161"/>
      <c r="BL1098" s="161"/>
      <c r="BM1098" s="161"/>
      <c r="BN1098" s="161"/>
      <c r="BO1098" s="161"/>
      <c r="BP1098" s="161"/>
      <c r="BQ1098" s="161"/>
      <c r="BR1098" s="161"/>
      <c r="BS1098" s="161"/>
      <c r="BT1098" s="161"/>
      <c r="BU1098" s="161"/>
      <c r="BV1098" s="161"/>
      <c r="BW1098" s="161"/>
      <c r="BX1098" s="161"/>
      <c r="BY1098" s="161"/>
      <c r="BZ1098" s="161"/>
      <c r="CA1098" s="161"/>
      <c r="CB1098" s="161"/>
      <c r="CC1098" s="161"/>
      <c r="CD1098" s="161"/>
      <c r="CE1098" s="161"/>
      <c r="CF1098" s="161"/>
      <c r="CG1098" s="161"/>
    </row>
    <row r="1099">
      <c r="A1099" s="161"/>
      <c r="B1099" s="161"/>
      <c r="C1099" s="161"/>
      <c r="D1099" s="161"/>
      <c r="E1099" s="161"/>
      <c r="F1099" s="161"/>
      <c r="G1099" s="161"/>
      <c r="H1099" s="161"/>
      <c r="I1099" s="161"/>
      <c r="J1099" s="161"/>
      <c r="K1099" s="161"/>
      <c r="L1099" s="161"/>
      <c r="M1099" s="161"/>
      <c r="N1099" s="161"/>
      <c r="O1099" s="161"/>
      <c r="P1099" s="161"/>
      <c r="Q1099" s="161"/>
      <c r="R1099" s="161"/>
      <c r="S1099" s="161"/>
      <c r="T1099" s="161"/>
      <c r="U1099" s="161"/>
      <c r="V1099" s="161"/>
      <c r="W1099" s="161"/>
      <c r="X1099" s="161"/>
      <c r="Y1099" s="161"/>
      <c r="Z1099" s="161"/>
      <c r="AA1099" s="161"/>
      <c r="AB1099" s="161"/>
      <c r="AC1099" s="161"/>
      <c r="AD1099" s="161"/>
      <c r="AE1099" s="161"/>
      <c r="AF1099" s="161"/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/>
      <c r="AQ1099" s="161"/>
      <c r="AR1099" s="161"/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1"/>
      <c r="BE1099" s="161"/>
      <c r="BF1099" s="161"/>
      <c r="BG1099" s="161"/>
      <c r="BH1099" s="161"/>
      <c r="BI1099" s="161"/>
      <c r="BJ1099" s="161"/>
      <c r="BK1099" s="161"/>
      <c r="BL1099" s="161"/>
      <c r="BM1099" s="161"/>
      <c r="BN1099" s="161"/>
      <c r="BO1099" s="161"/>
      <c r="BP1099" s="161"/>
      <c r="BQ1099" s="161"/>
      <c r="BR1099" s="161"/>
      <c r="BS1099" s="161"/>
      <c r="BT1099" s="161"/>
      <c r="BU1099" s="161"/>
      <c r="BV1099" s="161"/>
      <c r="BW1099" s="161"/>
      <c r="BX1099" s="161"/>
      <c r="BY1099" s="161"/>
      <c r="BZ1099" s="161"/>
      <c r="CA1099" s="161"/>
      <c r="CB1099" s="161"/>
      <c r="CC1099" s="161"/>
      <c r="CD1099" s="161"/>
      <c r="CE1099" s="161"/>
      <c r="CF1099" s="161"/>
      <c r="CG1099" s="161"/>
    </row>
    <row r="1100">
      <c r="A1100" s="161"/>
      <c r="B1100" s="161"/>
      <c r="C1100" s="161"/>
      <c r="D1100" s="161"/>
      <c r="E1100" s="161"/>
      <c r="F1100" s="161"/>
      <c r="G1100" s="161"/>
      <c r="H1100" s="161"/>
      <c r="I1100" s="161"/>
      <c r="J1100" s="161"/>
      <c r="K1100" s="161"/>
      <c r="L1100" s="161"/>
      <c r="M1100" s="161"/>
      <c r="N1100" s="161"/>
      <c r="O1100" s="161"/>
      <c r="P1100" s="161"/>
      <c r="Q1100" s="161"/>
      <c r="R1100" s="161"/>
      <c r="S1100" s="161"/>
      <c r="T1100" s="161"/>
      <c r="U1100" s="161"/>
      <c r="V1100" s="161"/>
      <c r="W1100" s="161"/>
      <c r="X1100" s="161"/>
      <c r="Y1100" s="161"/>
      <c r="Z1100" s="161"/>
      <c r="AA1100" s="161"/>
      <c r="AB1100" s="161"/>
      <c r="AC1100" s="161"/>
      <c r="AD1100" s="161"/>
      <c r="AE1100" s="161"/>
      <c r="AF1100" s="161"/>
      <c r="AG1100" s="161"/>
      <c r="AH1100" s="161"/>
      <c r="AI1100" s="161"/>
      <c r="AJ1100" s="161"/>
      <c r="AK1100" s="161"/>
      <c r="AL1100" s="161"/>
      <c r="AM1100" s="161"/>
      <c r="AN1100" s="161"/>
      <c r="AO1100" s="161"/>
      <c r="AP1100" s="161"/>
      <c r="AQ1100" s="161"/>
      <c r="AR1100" s="161"/>
      <c r="AS1100" s="161"/>
      <c r="AT1100" s="161"/>
      <c r="AU1100" s="161"/>
      <c r="AV1100" s="161"/>
      <c r="AW1100" s="161"/>
      <c r="AX1100" s="161"/>
      <c r="AY1100" s="161"/>
      <c r="AZ1100" s="161"/>
      <c r="BA1100" s="161"/>
      <c r="BB1100" s="161"/>
      <c r="BC1100" s="161"/>
      <c r="BD1100" s="161"/>
      <c r="BE1100" s="161"/>
      <c r="BF1100" s="161"/>
      <c r="BG1100" s="161"/>
      <c r="BH1100" s="161"/>
      <c r="BI1100" s="161"/>
      <c r="BJ1100" s="161"/>
      <c r="BK1100" s="161"/>
      <c r="BL1100" s="161"/>
      <c r="BM1100" s="161"/>
      <c r="BN1100" s="161"/>
      <c r="BO1100" s="161"/>
      <c r="BP1100" s="161"/>
      <c r="BQ1100" s="161"/>
      <c r="BR1100" s="161"/>
      <c r="BS1100" s="161"/>
      <c r="BT1100" s="161"/>
      <c r="BU1100" s="161"/>
      <c r="BV1100" s="161"/>
      <c r="BW1100" s="161"/>
      <c r="BX1100" s="161"/>
      <c r="BY1100" s="161"/>
      <c r="BZ1100" s="161"/>
      <c r="CA1100" s="161"/>
      <c r="CB1100" s="161"/>
      <c r="CC1100" s="161"/>
      <c r="CD1100" s="161"/>
      <c r="CE1100" s="161"/>
      <c r="CF1100" s="161"/>
      <c r="CG1100" s="161"/>
    </row>
    <row r="1101">
      <c r="A1101" s="161"/>
      <c r="B1101" s="161"/>
      <c r="C1101" s="161"/>
      <c r="D1101" s="161"/>
      <c r="E1101" s="161"/>
      <c r="F1101" s="161"/>
      <c r="G1101" s="161"/>
      <c r="H1101" s="161"/>
      <c r="I1101" s="161"/>
      <c r="J1101" s="161"/>
      <c r="K1101" s="161"/>
      <c r="L1101" s="161"/>
      <c r="M1101" s="161"/>
      <c r="N1101" s="161"/>
      <c r="O1101" s="161"/>
      <c r="P1101" s="161"/>
      <c r="Q1101" s="161"/>
      <c r="R1101" s="161"/>
      <c r="S1101" s="161"/>
      <c r="T1101" s="161"/>
      <c r="U1101" s="161"/>
      <c r="V1101" s="161"/>
      <c r="W1101" s="161"/>
      <c r="X1101" s="161"/>
      <c r="Y1101" s="161"/>
      <c r="Z1101" s="161"/>
      <c r="AA1101" s="161"/>
      <c r="AB1101" s="161"/>
      <c r="AC1101" s="161"/>
      <c r="AD1101" s="161"/>
      <c r="AE1101" s="161"/>
      <c r="AF1101" s="161"/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/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1"/>
      <c r="BE1101" s="161"/>
      <c r="BF1101" s="161"/>
      <c r="BG1101" s="161"/>
      <c r="BH1101" s="161"/>
      <c r="BI1101" s="161"/>
      <c r="BJ1101" s="161"/>
      <c r="BK1101" s="161"/>
      <c r="BL1101" s="161"/>
      <c r="BM1101" s="161"/>
      <c r="BN1101" s="161"/>
      <c r="BO1101" s="161"/>
      <c r="BP1101" s="161"/>
      <c r="BQ1101" s="161"/>
      <c r="BR1101" s="161"/>
      <c r="BS1101" s="161"/>
      <c r="BT1101" s="161"/>
      <c r="BU1101" s="161"/>
      <c r="BV1101" s="161"/>
      <c r="BW1101" s="161"/>
      <c r="BX1101" s="161"/>
      <c r="BY1101" s="161"/>
      <c r="BZ1101" s="161"/>
      <c r="CA1101" s="161"/>
      <c r="CB1101" s="161"/>
      <c r="CC1101" s="161"/>
      <c r="CD1101" s="161"/>
      <c r="CE1101" s="161"/>
      <c r="CF1101" s="161"/>
      <c r="CG1101" s="161"/>
    </row>
    <row r="1102">
      <c r="A1102" s="161"/>
      <c r="B1102" s="161"/>
      <c r="C1102" s="161"/>
      <c r="D1102" s="161"/>
      <c r="E1102" s="161"/>
      <c r="F1102" s="161"/>
      <c r="G1102" s="161"/>
      <c r="H1102" s="161"/>
      <c r="I1102" s="161"/>
      <c r="J1102" s="161"/>
      <c r="K1102" s="161"/>
      <c r="L1102" s="161"/>
      <c r="M1102" s="161"/>
      <c r="N1102" s="161"/>
      <c r="O1102" s="161"/>
      <c r="P1102" s="161"/>
      <c r="Q1102" s="161"/>
      <c r="R1102" s="161"/>
      <c r="S1102" s="161"/>
      <c r="T1102" s="161"/>
      <c r="U1102" s="161"/>
      <c r="V1102" s="161"/>
      <c r="W1102" s="161"/>
      <c r="X1102" s="161"/>
      <c r="Y1102" s="161"/>
      <c r="Z1102" s="161"/>
      <c r="AA1102" s="161"/>
      <c r="AB1102" s="161"/>
      <c r="AC1102" s="161"/>
      <c r="AD1102" s="161"/>
      <c r="AE1102" s="161"/>
      <c r="AF1102" s="161"/>
      <c r="AG1102" s="161"/>
      <c r="AH1102" s="161"/>
      <c r="AI1102" s="161"/>
      <c r="AJ1102" s="161"/>
      <c r="AK1102" s="161"/>
      <c r="AL1102" s="161"/>
      <c r="AM1102" s="161"/>
      <c r="AN1102" s="161"/>
      <c r="AO1102" s="161"/>
      <c r="AP1102" s="161"/>
      <c r="AQ1102" s="161"/>
      <c r="AR1102" s="161"/>
      <c r="AS1102" s="161"/>
      <c r="AT1102" s="161"/>
      <c r="AU1102" s="161"/>
      <c r="AV1102" s="161"/>
      <c r="AW1102" s="161"/>
      <c r="AX1102" s="161"/>
      <c r="AY1102" s="161"/>
      <c r="AZ1102" s="161"/>
      <c r="BA1102" s="161"/>
      <c r="BB1102" s="161"/>
      <c r="BC1102" s="161"/>
      <c r="BD1102" s="161"/>
      <c r="BE1102" s="161"/>
      <c r="BF1102" s="161"/>
      <c r="BG1102" s="161"/>
      <c r="BH1102" s="161"/>
      <c r="BI1102" s="161"/>
      <c r="BJ1102" s="161"/>
      <c r="BK1102" s="161"/>
      <c r="BL1102" s="161"/>
      <c r="BM1102" s="161"/>
      <c r="BN1102" s="161"/>
      <c r="BO1102" s="161"/>
      <c r="BP1102" s="161"/>
      <c r="BQ1102" s="161"/>
      <c r="BR1102" s="161"/>
      <c r="BS1102" s="161"/>
      <c r="BT1102" s="161"/>
      <c r="BU1102" s="161"/>
      <c r="BV1102" s="161"/>
      <c r="BW1102" s="161"/>
      <c r="BX1102" s="161"/>
      <c r="BY1102" s="161"/>
      <c r="BZ1102" s="161"/>
      <c r="CA1102" s="161"/>
      <c r="CB1102" s="161"/>
      <c r="CC1102" s="161"/>
      <c r="CD1102" s="161"/>
      <c r="CE1102" s="161"/>
      <c r="CF1102" s="161"/>
      <c r="CG1102" s="161"/>
    </row>
    <row r="1103">
      <c r="A1103" s="161"/>
      <c r="B1103" s="161"/>
      <c r="C1103" s="161"/>
      <c r="D1103" s="161"/>
      <c r="E1103" s="161"/>
      <c r="F1103" s="161"/>
      <c r="G1103" s="161"/>
      <c r="H1103" s="161"/>
      <c r="I1103" s="161"/>
      <c r="J1103" s="161"/>
      <c r="K1103" s="161"/>
      <c r="L1103" s="161"/>
      <c r="M1103" s="161"/>
      <c r="N1103" s="161"/>
      <c r="O1103" s="161"/>
      <c r="P1103" s="161"/>
      <c r="Q1103" s="161"/>
      <c r="R1103" s="161"/>
      <c r="S1103" s="161"/>
      <c r="T1103" s="161"/>
      <c r="U1103" s="161"/>
      <c r="V1103" s="161"/>
      <c r="W1103" s="161"/>
      <c r="X1103" s="161"/>
      <c r="Y1103" s="161"/>
      <c r="Z1103" s="161"/>
      <c r="AA1103" s="161"/>
      <c r="AB1103" s="161"/>
      <c r="AC1103" s="161"/>
      <c r="AD1103" s="161"/>
      <c r="AE1103" s="161"/>
      <c r="AF1103" s="161"/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/>
      <c r="AQ1103" s="161"/>
      <c r="AR1103" s="161"/>
      <c r="AS1103" s="161"/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  <c r="BD1103" s="161"/>
      <c r="BE1103" s="161"/>
      <c r="BF1103" s="161"/>
      <c r="BG1103" s="161"/>
      <c r="BH1103" s="161"/>
      <c r="BI1103" s="161"/>
      <c r="BJ1103" s="161"/>
      <c r="BK1103" s="161"/>
      <c r="BL1103" s="161"/>
      <c r="BM1103" s="161"/>
      <c r="BN1103" s="161"/>
      <c r="BO1103" s="161"/>
      <c r="BP1103" s="161"/>
      <c r="BQ1103" s="161"/>
      <c r="BR1103" s="161"/>
      <c r="BS1103" s="161"/>
      <c r="BT1103" s="161"/>
      <c r="BU1103" s="161"/>
      <c r="BV1103" s="161"/>
      <c r="BW1103" s="161"/>
      <c r="BX1103" s="161"/>
      <c r="BY1103" s="161"/>
      <c r="BZ1103" s="161"/>
      <c r="CA1103" s="161"/>
      <c r="CB1103" s="161"/>
      <c r="CC1103" s="161"/>
      <c r="CD1103" s="161"/>
      <c r="CE1103" s="161"/>
      <c r="CF1103" s="161"/>
      <c r="CG1103" s="161"/>
    </row>
    <row r="1104">
      <c r="A1104" s="161"/>
      <c r="B1104" s="161"/>
      <c r="C1104" s="161"/>
      <c r="D1104" s="161"/>
      <c r="E1104" s="161"/>
      <c r="F1104" s="161"/>
      <c r="G1104" s="161"/>
      <c r="H1104" s="161"/>
      <c r="I1104" s="161"/>
      <c r="J1104" s="161"/>
      <c r="K1104" s="161"/>
      <c r="L1104" s="161"/>
      <c r="M1104" s="161"/>
      <c r="N1104" s="161"/>
      <c r="O1104" s="161"/>
      <c r="P1104" s="161"/>
      <c r="Q1104" s="161"/>
      <c r="R1104" s="161"/>
      <c r="S1104" s="161"/>
      <c r="T1104" s="161"/>
      <c r="U1104" s="161"/>
      <c r="V1104" s="161"/>
      <c r="W1104" s="161"/>
      <c r="X1104" s="161"/>
      <c r="Y1104" s="161"/>
      <c r="Z1104" s="161"/>
      <c r="AA1104" s="161"/>
      <c r="AB1104" s="161"/>
      <c r="AC1104" s="161"/>
      <c r="AD1104" s="161"/>
      <c r="AE1104" s="161"/>
      <c r="AF1104" s="161"/>
      <c r="AG1104" s="161"/>
      <c r="AH1104" s="161"/>
      <c r="AI1104" s="161"/>
      <c r="AJ1104" s="161"/>
      <c r="AK1104" s="161"/>
      <c r="AL1104" s="161"/>
      <c r="AM1104" s="161"/>
      <c r="AN1104" s="161"/>
      <c r="AO1104" s="161"/>
      <c r="AP1104" s="161"/>
      <c r="AQ1104" s="161"/>
      <c r="AR1104" s="161"/>
      <c r="AS1104" s="161"/>
      <c r="AT1104" s="161"/>
      <c r="AU1104" s="161"/>
      <c r="AV1104" s="161"/>
      <c r="AW1104" s="161"/>
      <c r="AX1104" s="161"/>
      <c r="AY1104" s="161"/>
      <c r="AZ1104" s="161"/>
      <c r="BA1104" s="161"/>
      <c r="BB1104" s="161"/>
      <c r="BC1104" s="161"/>
      <c r="BD1104" s="161"/>
      <c r="BE1104" s="161"/>
      <c r="BF1104" s="161"/>
      <c r="BG1104" s="161"/>
      <c r="BH1104" s="161"/>
      <c r="BI1104" s="161"/>
      <c r="BJ1104" s="161"/>
      <c r="BK1104" s="161"/>
      <c r="BL1104" s="161"/>
      <c r="BM1104" s="161"/>
      <c r="BN1104" s="161"/>
      <c r="BO1104" s="161"/>
      <c r="BP1104" s="161"/>
      <c r="BQ1104" s="161"/>
      <c r="BR1104" s="161"/>
      <c r="BS1104" s="161"/>
      <c r="BT1104" s="161"/>
      <c r="BU1104" s="161"/>
      <c r="BV1104" s="161"/>
      <c r="BW1104" s="161"/>
      <c r="BX1104" s="161"/>
      <c r="BY1104" s="161"/>
      <c r="BZ1104" s="161"/>
      <c r="CA1104" s="161"/>
      <c r="CB1104" s="161"/>
      <c r="CC1104" s="161"/>
      <c r="CD1104" s="161"/>
      <c r="CE1104" s="161"/>
      <c r="CF1104" s="161"/>
      <c r="CG1104" s="161"/>
    </row>
    <row r="1105">
      <c r="A1105" s="161"/>
      <c r="B1105" s="161"/>
      <c r="C1105" s="161"/>
      <c r="D1105" s="161"/>
      <c r="E1105" s="161"/>
      <c r="F1105" s="161"/>
      <c r="G1105" s="161"/>
      <c r="H1105" s="161"/>
      <c r="I1105" s="161"/>
      <c r="J1105" s="161"/>
      <c r="K1105" s="161"/>
      <c r="L1105" s="161"/>
      <c r="M1105" s="161"/>
      <c r="N1105" s="161"/>
      <c r="O1105" s="161"/>
      <c r="P1105" s="161"/>
      <c r="Q1105" s="161"/>
      <c r="R1105" s="161"/>
      <c r="S1105" s="161"/>
      <c r="T1105" s="161"/>
      <c r="U1105" s="161"/>
      <c r="V1105" s="161"/>
      <c r="W1105" s="161"/>
      <c r="X1105" s="161"/>
      <c r="Y1105" s="161"/>
      <c r="Z1105" s="161"/>
      <c r="AA1105" s="161"/>
      <c r="AB1105" s="161"/>
      <c r="AC1105" s="161"/>
      <c r="AD1105" s="161"/>
      <c r="AE1105" s="161"/>
      <c r="AF1105" s="161"/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1"/>
      <c r="BE1105" s="161"/>
      <c r="BF1105" s="161"/>
      <c r="BG1105" s="161"/>
      <c r="BH1105" s="161"/>
      <c r="BI1105" s="161"/>
      <c r="BJ1105" s="161"/>
      <c r="BK1105" s="161"/>
      <c r="BL1105" s="161"/>
      <c r="BM1105" s="161"/>
      <c r="BN1105" s="161"/>
      <c r="BO1105" s="161"/>
      <c r="BP1105" s="161"/>
      <c r="BQ1105" s="161"/>
      <c r="BR1105" s="161"/>
      <c r="BS1105" s="161"/>
      <c r="BT1105" s="161"/>
      <c r="BU1105" s="161"/>
      <c r="BV1105" s="161"/>
      <c r="BW1105" s="161"/>
      <c r="BX1105" s="161"/>
      <c r="BY1105" s="161"/>
      <c r="BZ1105" s="161"/>
      <c r="CA1105" s="161"/>
      <c r="CB1105" s="161"/>
      <c r="CC1105" s="161"/>
      <c r="CD1105" s="161"/>
      <c r="CE1105" s="161"/>
      <c r="CF1105" s="161"/>
      <c r="CG1105" s="161"/>
    </row>
    <row r="1106">
      <c r="A1106" s="161"/>
      <c r="B1106" s="161"/>
      <c r="C1106" s="161"/>
      <c r="D1106" s="161"/>
      <c r="E1106" s="161"/>
      <c r="F1106" s="161"/>
      <c r="G1106" s="161"/>
      <c r="H1106" s="161"/>
      <c r="I1106" s="161"/>
      <c r="J1106" s="161"/>
      <c r="K1106" s="161"/>
      <c r="L1106" s="161"/>
      <c r="M1106" s="161"/>
      <c r="N1106" s="161"/>
      <c r="O1106" s="161"/>
      <c r="P1106" s="161"/>
      <c r="Q1106" s="161"/>
      <c r="R1106" s="161"/>
      <c r="S1106" s="161"/>
      <c r="T1106" s="161"/>
      <c r="U1106" s="161"/>
      <c r="V1106" s="161"/>
      <c r="W1106" s="161"/>
      <c r="X1106" s="161"/>
      <c r="Y1106" s="161"/>
      <c r="Z1106" s="161"/>
      <c r="AA1106" s="161"/>
      <c r="AB1106" s="161"/>
      <c r="AC1106" s="161"/>
      <c r="AD1106" s="161"/>
      <c r="AE1106" s="161"/>
      <c r="AF1106" s="161"/>
      <c r="AG1106" s="161"/>
      <c r="AH1106" s="161"/>
      <c r="AI1106" s="161"/>
      <c r="AJ1106" s="161"/>
      <c r="AK1106" s="161"/>
      <c r="AL1106" s="161"/>
      <c r="AM1106" s="161"/>
      <c r="AN1106" s="161"/>
      <c r="AO1106" s="161"/>
      <c r="AP1106" s="161"/>
      <c r="AQ1106" s="161"/>
      <c r="AR1106" s="161"/>
      <c r="AS1106" s="161"/>
      <c r="AT1106" s="161"/>
      <c r="AU1106" s="161"/>
      <c r="AV1106" s="161"/>
      <c r="AW1106" s="161"/>
      <c r="AX1106" s="161"/>
      <c r="AY1106" s="161"/>
      <c r="AZ1106" s="161"/>
      <c r="BA1106" s="161"/>
      <c r="BB1106" s="161"/>
      <c r="BC1106" s="161"/>
      <c r="BD1106" s="161"/>
      <c r="BE1106" s="161"/>
      <c r="BF1106" s="161"/>
      <c r="BG1106" s="161"/>
      <c r="BH1106" s="161"/>
      <c r="BI1106" s="161"/>
      <c r="BJ1106" s="161"/>
      <c r="BK1106" s="161"/>
      <c r="BL1106" s="161"/>
      <c r="BM1106" s="161"/>
      <c r="BN1106" s="161"/>
      <c r="BO1106" s="161"/>
      <c r="BP1106" s="161"/>
      <c r="BQ1106" s="161"/>
      <c r="BR1106" s="161"/>
      <c r="BS1106" s="161"/>
      <c r="BT1106" s="161"/>
      <c r="BU1106" s="161"/>
      <c r="BV1106" s="161"/>
      <c r="BW1106" s="161"/>
      <c r="BX1106" s="161"/>
      <c r="BY1106" s="161"/>
      <c r="BZ1106" s="161"/>
      <c r="CA1106" s="161"/>
      <c r="CB1106" s="161"/>
      <c r="CC1106" s="161"/>
      <c r="CD1106" s="161"/>
      <c r="CE1106" s="161"/>
      <c r="CF1106" s="161"/>
      <c r="CG1106" s="161"/>
    </row>
    <row r="1107">
      <c r="A1107" s="161"/>
      <c r="B1107" s="161"/>
      <c r="C1107" s="161"/>
      <c r="D1107" s="161"/>
      <c r="E1107" s="161"/>
      <c r="F1107" s="161"/>
      <c r="G1107" s="161"/>
      <c r="H1107" s="161"/>
      <c r="I1107" s="161"/>
      <c r="J1107" s="161"/>
      <c r="K1107" s="161"/>
      <c r="L1107" s="161"/>
      <c r="M1107" s="161"/>
      <c r="N1107" s="161"/>
      <c r="O1107" s="161"/>
      <c r="P1107" s="161"/>
      <c r="Q1107" s="161"/>
      <c r="R1107" s="161"/>
      <c r="S1107" s="161"/>
      <c r="T1107" s="161"/>
      <c r="U1107" s="161"/>
      <c r="V1107" s="161"/>
      <c r="W1107" s="161"/>
      <c r="X1107" s="161"/>
      <c r="Y1107" s="161"/>
      <c r="Z1107" s="161"/>
      <c r="AA1107" s="161"/>
      <c r="AB1107" s="161"/>
      <c r="AC1107" s="161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1"/>
      <c r="BE1107" s="161"/>
      <c r="BF1107" s="161"/>
      <c r="BG1107" s="161"/>
      <c r="BH1107" s="161"/>
      <c r="BI1107" s="161"/>
      <c r="BJ1107" s="161"/>
      <c r="BK1107" s="161"/>
      <c r="BL1107" s="161"/>
      <c r="BM1107" s="161"/>
      <c r="BN1107" s="161"/>
      <c r="BO1107" s="161"/>
      <c r="BP1107" s="161"/>
      <c r="BQ1107" s="161"/>
      <c r="BR1107" s="161"/>
      <c r="BS1107" s="161"/>
      <c r="BT1107" s="161"/>
      <c r="BU1107" s="161"/>
      <c r="BV1107" s="161"/>
      <c r="BW1107" s="161"/>
      <c r="BX1107" s="161"/>
      <c r="BY1107" s="161"/>
      <c r="BZ1107" s="161"/>
      <c r="CA1107" s="161"/>
      <c r="CB1107" s="161"/>
      <c r="CC1107" s="161"/>
      <c r="CD1107" s="161"/>
      <c r="CE1107" s="161"/>
      <c r="CF1107" s="161"/>
      <c r="CG1107" s="161"/>
    </row>
    <row r="1108">
      <c r="A1108" s="161"/>
      <c r="B1108" s="161"/>
      <c r="C1108" s="161"/>
      <c r="D1108" s="161"/>
      <c r="E1108" s="161"/>
      <c r="F1108" s="161"/>
      <c r="G1108" s="161"/>
      <c r="H1108" s="161"/>
      <c r="I1108" s="161"/>
      <c r="J1108" s="161"/>
      <c r="K1108" s="161"/>
      <c r="L1108" s="161"/>
      <c r="M1108" s="161"/>
      <c r="N1108" s="161"/>
      <c r="O1108" s="161"/>
      <c r="P1108" s="161"/>
      <c r="Q1108" s="161"/>
      <c r="R1108" s="161"/>
      <c r="S1108" s="161"/>
      <c r="T1108" s="161"/>
      <c r="U1108" s="161"/>
      <c r="V1108" s="161"/>
      <c r="W1108" s="161"/>
      <c r="X1108" s="161"/>
      <c r="Y1108" s="161"/>
      <c r="Z1108" s="161"/>
      <c r="AA1108" s="161"/>
      <c r="AB1108" s="161"/>
      <c r="AC1108" s="161"/>
      <c r="AD1108" s="161"/>
      <c r="AE1108" s="161"/>
      <c r="AF1108" s="161"/>
      <c r="AG1108" s="161"/>
      <c r="AH1108" s="161"/>
      <c r="AI1108" s="161"/>
      <c r="AJ1108" s="161"/>
      <c r="AK1108" s="161"/>
      <c r="AL1108" s="161"/>
      <c r="AM1108" s="161"/>
      <c r="AN1108" s="161"/>
      <c r="AO1108" s="161"/>
      <c r="AP1108" s="161"/>
      <c r="AQ1108" s="161"/>
      <c r="AR1108" s="161"/>
      <c r="AS1108" s="161"/>
      <c r="AT1108" s="161"/>
      <c r="AU1108" s="161"/>
      <c r="AV1108" s="161"/>
      <c r="AW1108" s="161"/>
      <c r="AX1108" s="161"/>
      <c r="AY1108" s="161"/>
      <c r="AZ1108" s="161"/>
      <c r="BA1108" s="161"/>
      <c r="BB1108" s="161"/>
      <c r="BC1108" s="161"/>
      <c r="BD1108" s="161"/>
      <c r="BE1108" s="161"/>
      <c r="BF1108" s="161"/>
      <c r="BG1108" s="161"/>
      <c r="BH1108" s="161"/>
      <c r="BI1108" s="161"/>
      <c r="BJ1108" s="161"/>
      <c r="BK1108" s="161"/>
      <c r="BL1108" s="161"/>
      <c r="BM1108" s="161"/>
      <c r="BN1108" s="161"/>
      <c r="BO1108" s="161"/>
      <c r="BP1108" s="161"/>
      <c r="BQ1108" s="161"/>
      <c r="BR1108" s="161"/>
      <c r="BS1108" s="161"/>
      <c r="BT1108" s="161"/>
      <c r="BU1108" s="161"/>
      <c r="BV1108" s="161"/>
      <c r="BW1108" s="161"/>
      <c r="BX1108" s="161"/>
      <c r="BY1108" s="161"/>
      <c r="BZ1108" s="161"/>
      <c r="CA1108" s="161"/>
      <c r="CB1108" s="161"/>
      <c r="CC1108" s="161"/>
      <c r="CD1108" s="161"/>
      <c r="CE1108" s="161"/>
      <c r="CF1108" s="161"/>
      <c r="CG1108" s="161"/>
    </row>
    <row r="1109">
      <c r="A1109" s="161"/>
      <c r="B1109" s="161"/>
      <c r="C1109" s="161"/>
      <c r="D1109" s="161"/>
      <c r="E1109" s="161"/>
      <c r="F1109" s="161"/>
      <c r="G1109" s="161"/>
      <c r="H1109" s="161"/>
      <c r="I1109" s="161"/>
      <c r="J1109" s="161"/>
      <c r="K1109" s="161"/>
      <c r="L1109" s="161"/>
      <c r="M1109" s="161"/>
      <c r="N1109" s="161"/>
      <c r="O1109" s="161"/>
      <c r="P1109" s="161"/>
      <c r="Q1109" s="161"/>
      <c r="R1109" s="161"/>
      <c r="S1109" s="161"/>
      <c r="T1109" s="161"/>
      <c r="U1109" s="161"/>
      <c r="V1109" s="161"/>
      <c r="W1109" s="161"/>
      <c r="X1109" s="161"/>
      <c r="Y1109" s="161"/>
      <c r="Z1109" s="161"/>
      <c r="AA1109" s="161"/>
      <c r="AB1109" s="161"/>
      <c r="AC1109" s="161"/>
      <c r="AD1109" s="161"/>
      <c r="AE1109" s="161"/>
      <c r="AF1109" s="161"/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/>
      <c r="AQ1109" s="161"/>
      <c r="AR1109" s="161"/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1"/>
      <c r="BE1109" s="161"/>
      <c r="BF1109" s="161"/>
      <c r="BG1109" s="161"/>
      <c r="BH1109" s="161"/>
      <c r="BI1109" s="161"/>
      <c r="BJ1109" s="161"/>
      <c r="BK1109" s="161"/>
      <c r="BL1109" s="161"/>
      <c r="BM1109" s="161"/>
      <c r="BN1109" s="161"/>
      <c r="BO1109" s="161"/>
      <c r="BP1109" s="161"/>
      <c r="BQ1109" s="161"/>
      <c r="BR1109" s="161"/>
      <c r="BS1109" s="161"/>
      <c r="BT1109" s="161"/>
      <c r="BU1109" s="161"/>
      <c r="BV1109" s="161"/>
      <c r="BW1109" s="161"/>
      <c r="BX1109" s="161"/>
      <c r="BY1109" s="161"/>
      <c r="BZ1109" s="161"/>
      <c r="CA1109" s="161"/>
      <c r="CB1109" s="161"/>
      <c r="CC1109" s="161"/>
      <c r="CD1109" s="161"/>
      <c r="CE1109" s="161"/>
      <c r="CF1109" s="161"/>
      <c r="CG1109" s="161"/>
    </row>
    <row r="1110">
      <c r="A1110" s="161"/>
      <c r="B1110" s="161"/>
      <c r="C1110" s="161"/>
      <c r="D1110" s="161"/>
      <c r="E1110" s="161"/>
      <c r="F1110" s="161"/>
      <c r="G1110" s="161"/>
      <c r="H1110" s="161"/>
      <c r="I1110" s="161"/>
      <c r="J1110" s="161"/>
      <c r="K1110" s="161"/>
      <c r="L1110" s="161"/>
      <c r="M1110" s="161"/>
      <c r="N1110" s="161"/>
      <c r="O1110" s="161"/>
      <c r="P1110" s="161"/>
      <c r="Q1110" s="161"/>
      <c r="R1110" s="161"/>
      <c r="S1110" s="161"/>
      <c r="T1110" s="161"/>
      <c r="U1110" s="161"/>
      <c r="V1110" s="161"/>
      <c r="W1110" s="161"/>
      <c r="X1110" s="161"/>
      <c r="Y1110" s="161"/>
      <c r="Z1110" s="161"/>
      <c r="AA1110" s="161"/>
      <c r="AB1110" s="161"/>
      <c r="AC1110" s="161"/>
      <c r="AD1110" s="161"/>
      <c r="AE1110" s="161"/>
      <c r="AF1110" s="161"/>
      <c r="AG1110" s="161"/>
      <c r="AH1110" s="161"/>
      <c r="AI1110" s="161"/>
      <c r="AJ1110" s="161"/>
      <c r="AK1110" s="161"/>
      <c r="AL1110" s="161"/>
      <c r="AM1110" s="161"/>
      <c r="AN1110" s="161"/>
      <c r="AO1110" s="161"/>
      <c r="AP1110" s="161"/>
      <c r="AQ1110" s="161"/>
      <c r="AR1110" s="161"/>
      <c r="AS1110" s="161"/>
      <c r="AT1110" s="161"/>
      <c r="AU1110" s="161"/>
      <c r="AV1110" s="161"/>
      <c r="AW1110" s="161"/>
      <c r="AX1110" s="161"/>
      <c r="AY1110" s="161"/>
      <c r="AZ1110" s="161"/>
      <c r="BA1110" s="161"/>
      <c r="BB1110" s="161"/>
      <c r="BC1110" s="161"/>
      <c r="BD1110" s="161"/>
      <c r="BE1110" s="161"/>
      <c r="BF1110" s="161"/>
      <c r="BG1110" s="161"/>
      <c r="BH1110" s="161"/>
      <c r="BI1110" s="161"/>
      <c r="BJ1110" s="161"/>
      <c r="BK1110" s="161"/>
      <c r="BL1110" s="161"/>
      <c r="BM1110" s="161"/>
      <c r="BN1110" s="161"/>
      <c r="BO1110" s="161"/>
      <c r="BP1110" s="161"/>
      <c r="BQ1110" s="161"/>
      <c r="BR1110" s="161"/>
      <c r="BS1110" s="161"/>
      <c r="BT1110" s="161"/>
      <c r="BU1110" s="161"/>
      <c r="BV1110" s="161"/>
      <c r="BW1110" s="161"/>
      <c r="BX1110" s="161"/>
      <c r="BY1110" s="161"/>
      <c r="BZ1110" s="161"/>
      <c r="CA1110" s="161"/>
      <c r="CB1110" s="161"/>
      <c r="CC1110" s="161"/>
      <c r="CD1110" s="161"/>
      <c r="CE1110" s="161"/>
      <c r="CF1110" s="161"/>
      <c r="CG1110" s="161"/>
    </row>
    <row r="1111">
      <c r="A1111" s="161"/>
      <c r="B1111" s="161"/>
      <c r="C1111" s="161"/>
      <c r="D1111" s="161"/>
      <c r="E1111" s="161"/>
      <c r="F1111" s="161"/>
      <c r="G1111" s="161"/>
      <c r="H1111" s="161"/>
      <c r="I1111" s="161"/>
      <c r="J1111" s="161"/>
      <c r="K1111" s="161"/>
      <c r="L1111" s="161"/>
      <c r="M1111" s="161"/>
      <c r="N1111" s="161"/>
      <c r="O1111" s="161"/>
      <c r="P1111" s="161"/>
      <c r="Q1111" s="161"/>
      <c r="R1111" s="161"/>
      <c r="S1111" s="161"/>
      <c r="T1111" s="161"/>
      <c r="U1111" s="161"/>
      <c r="V1111" s="161"/>
      <c r="W1111" s="161"/>
      <c r="X1111" s="161"/>
      <c r="Y1111" s="161"/>
      <c r="Z1111" s="161"/>
      <c r="AA1111" s="161"/>
      <c r="AB1111" s="161"/>
      <c r="AC1111" s="161"/>
      <c r="AD1111" s="161"/>
      <c r="AE1111" s="161"/>
      <c r="AF1111" s="161"/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/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1"/>
      <c r="BE1111" s="161"/>
      <c r="BF1111" s="161"/>
      <c r="BG1111" s="161"/>
      <c r="BH1111" s="161"/>
      <c r="BI1111" s="161"/>
      <c r="BJ1111" s="161"/>
      <c r="BK1111" s="161"/>
      <c r="BL1111" s="161"/>
      <c r="BM1111" s="161"/>
      <c r="BN1111" s="161"/>
      <c r="BO1111" s="161"/>
      <c r="BP1111" s="161"/>
      <c r="BQ1111" s="161"/>
      <c r="BR1111" s="161"/>
      <c r="BS1111" s="161"/>
      <c r="BT1111" s="161"/>
      <c r="BU1111" s="161"/>
      <c r="BV1111" s="161"/>
      <c r="BW1111" s="161"/>
      <c r="BX1111" s="161"/>
      <c r="BY1111" s="161"/>
      <c r="BZ1111" s="161"/>
      <c r="CA1111" s="161"/>
      <c r="CB1111" s="161"/>
      <c r="CC1111" s="161"/>
      <c r="CD1111" s="161"/>
      <c r="CE1111" s="161"/>
      <c r="CF1111" s="161"/>
      <c r="CG1111" s="161"/>
    </row>
    <row r="1112">
      <c r="A1112" s="161"/>
      <c r="B1112" s="161"/>
      <c r="C1112" s="161"/>
      <c r="D1112" s="161"/>
      <c r="E1112" s="161"/>
      <c r="F1112" s="161"/>
      <c r="G1112" s="161"/>
      <c r="H1112" s="161"/>
      <c r="I1112" s="161"/>
      <c r="J1112" s="161"/>
      <c r="K1112" s="161"/>
      <c r="L1112" s="161"/>
      <c r="M1112" s="161"/>
      <c r="N1112" s="161"/>
      <c r="O1112" s="161"/>
      <c r="P1112" s="161"/>
      <c r="Q1112" s="161"/>
      <c r="R1112" s="161"/>
      <c r="S1112" s="161"/>
      <c r="T1112" s="161"/>
      <c r="U1112" s="161"/>
      <c r="V1112" s="161"/>
      <c r="W1112" s="161"/>
      <c r="X1112" s="161"/>
      <c r="Y1112" s="161"/>
      <c r="Z1112" s="161"/>
      <c r="AA1112" s="161"/>
      <c r="AB1112" s="161"/>
      <c r="AC1112" s="161"/>
      <c r="AD1112" s="161"/>
      <c r="AE1112" s="161"/>
      <c r="AF1112" s="161"/>
      <c r="AG1112" s="161"/>
      <c r="AH1112" s="161"/>
      <c r="AI1112" s="161"/>
      <c r="AJ1112" s="161"/>
      <c r="AK1112" s="161"/>
      <c r="AL1112" s="161"/>
      <c r="AM1112" s="161"/>
      <c r="AN1112" s="161"/>
      <c r="AO1112" s="161"/>
      <c r="AP1112" s="161"/>
      <c r="AQ1112" s="161"/>
      <c r="AR1112" s="161"/>
      <c r="AS1112" s="161"/>
      <c r="AT1112" s="161"/>
      <c r="AU1112" s="161"/>
      <c r="AV1112" s="161"/>
      <c r="AW1112" s="161"/>
      <c r="AX1112" s="161"/>
      <c r="AY1112" s="161"/>
      <c r="AZ1112" s="161"/>
      <c r="BA1112" s="161"/>
      <c r="BB1112" s="161"/>
      <c r="BC1112" s="161"/>
      <c r="BD1112" s="161"/>
      <c r="BE1112" s="161"/>
      <c r="BF1112" s="161"/>
      <c r="BG1112" s="161"/>
      <c r="BH1112" s="161"/>
      <c r="BI1112" s="161"/>
      <c r="BJ1112" s="161"/>
      <c r="BK1112" s="161"/>
      <c r="BL1112" s="161"/>
      <c r="BM1112" s="161"/>
      <c r="BN1112" s="161"/>
      <c r="BO1112" s="161"/>
      <c r="BP1112" s="161"/>
      <c r="BQ1112" s="161"/>
      <c r="BR1112" s="161"/>
      <c r="BS1112" s="161"/>
      <c r="BT1112" s="161"/>
      <c r="BU1112" s="161"/>
      <c r="BV1112" s="161"/>
      <c r="BW1112" s="161"/>
      <c r="BX1112" s="161"/>
      <c r="BY1112" s="161"/>
      <c r="BZ1112" s="161"/>
      <c r="CA1112" s="161"/>
      <c r="CB1112" s="161"/>
      <c r="CC1112" s="161"/>
      <c r="CD1112" s="161"/>
      <c r="CE1112" s="161"/>
      <c r="CF1112" s="161"/>
      <c r="CG1112" s="161"/>
    </row>
    <row r="1113">
      <c r="A1113" s="161"/>
      <c r="B1113" s="161"/>
      <c r="C1113" s="161"/>
      <c r="D1113" s="161"/>
      <c r="E1113" s="161"/>
      <c r="F1113" s="161"/>
      <c r="G1113" s="161"/>
      <c r="H1113" s="161"/>
      <c r="I1113" s="161"/>
      <c r="J1113" s="161"/>
      <c r="K1113" s="161"/>
      <c r="L1113" s="161"/>
      <c r="M1113" s="161"/>
      <c r="N1113" s="161"/>
      <c r="O1113" s="161"/>
      <c r="P1113" s="161"/>
      <c r="Q1113" s="161"/>
      <c r="R1113" s="161"/>
      <c r="S1113" s="161"/>
      <c r="T1113" s="161"/>
      <c r="U1113" s="161"/>
      <c r="V1113" s="161"/>
      <c r="W1113" s="161"/>
      <c r="X1113" s="161"/>
      <c r="Y1113" s="161"/>
      <c r="Z1113" s="161"/>
      <c r="AA1113" s="161"/>
      <c r="AB1113" s="161"/>
      <c r="AC1113" s="161"/>
      <c r="AD1113" s="161"/>
      <c r="AE1113" s="161"/>
      <c r="AF1113" s="161"/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/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1"/>
      <c r="BE1113" s="161"/>
      <c r="BF1113" s="161"/>
      <c r="BG1113" s="161"/>
      <c r="BH1113" s="161"/>
      <c r="BI1113" s="161"/>
      <c r="BJ1113" s="161"/>
      <c r="BK1113" s="161"/>
      <c r="BL1113" s="161"/>
      <c r="BM1113" s="161"/>
      <c r="BN1113" s="161"/>
      <c r="BO1113" s="161"/>
      <c r="BP1113" s="161"/>
      <c r="BQ1113" s="161"/>
      <c r="BR1113" s="161"/>
      <c r="BS1113" s="161"/>
      <c r="BT1113" s="161"/>
      <c r="BU1113" s="161"/>
      <c r="BV1113" s="161"/>
      <c r="BW1113" s="161"/>
      <c r="BX1113" s="161"/>
      <c r="BY1113" s="161"/>
      <c r="BZ1113" s="161"/>
      <c r="CA1113" s="161"/>
      <c r="CB1113" s="161"/>
      <c r="CC1113" s="161"/>
      <c r="CD1113" s="161"/>
      <c r="CE1113" s="161"/>
      <c r="CF1113" s="161"/>
      <c r="CG1113" s="161"/>
    </row>
    <row r="1114">
      <c r="A1114" s="161"/>
      <c r="B1114" s="161"/>
      <c r="C1114" s="161"/>
      <c r="D1114" s="161"/>
      <c r="E1114" s="161"/>
      <c r="F1114" s="161"/>
      <c r="G1114" s="161"/>
      <c r="H1114" s="161"/>
      <c r="I1114" s="161"/>
      <c r="J1114" s="161"/>
      <c r="K1114" s="161"/>
      <c r="L1114" s="161"/>
      <c r="M1114" s="161"/>
      <c r="N1114" s="161"/>
      <c r="O1114" s="161"/>
      <c r="P1114" s="161"/>
      <c r="Q1114" s="161"/>
      <c r="R1114" s="161"/>
      <c r="S1114" s="161"/>
      <c r="T1114" s="161"/>
      <c r="U1114" s="161"/>
      <c r="V1114" s="161"/>
      <c r="W1114" s="161"/>
      <c r="X1114" s="161"/>
      <c r="Y1114" s="161"/>
      <c r="Z1114" s="161"/>
      <c r="AA1114" s="161"/>
      <c r="AB1114" s="161"/>
      <c r="AC1114" s="161"/>
      <c r="AD1114" s="161"/>
      <c r="AE1114" s="161"/>
      <c r="AF1114" s="161"/>
      <c r="AG1114" s="161"/>
      <c r="AH1114" s="161"/>
      <c r="AI1114" s="161"/>
      <c r="AJ1114" s="161"/>
      <c r="AK1114" s="161"/>
      <c r="AL1114" s="161"/>
      <c r="AM1114" s="161"/>
      <c r="AN1114" s="161"/>
      <c r="AO1114" s="161"/>
      <c r="AP1114" s="161"/>
      <c r="AQ1114" s="161"/>
      <c r="AR1114" s="161"/>
      <c r="AS1114" s="161"/>
      <c r="AT1114" s="161"/>
      <c r="AU1114" s="161"/>
      <c r="AV1114" s="161"/>
      <c r="AW1114" s="161"/>
      <c r="AX1114" s="161"/>
      <c r="AY1114" s="161"/>
      <c r="AZ1114" s="161"/>
      <c r="BA1114" s="161"/>
      <c r="BB1114" s="161"/>
      <c r="BC1114" s="161"/>
      <c r="BD1114" s="161"/>
      <c r="BE1114" s="161"/>
      <c r="BF1114" s="161"/>
      <c r="BG1114" s="161"/>
      <c r="BH1114" s="161"/>
      <c r="BI1114" s="161"/>
      <c r="BJ1114" s="161"/>
      <c r="BK1114" s="161"/>
      <c r="BL1114" s="161"/>
      <c r="BM1114" s="161"/>
      <c r="BN1114" s="161"/>
      <c r="BO1114" s="161"/>
      <c r="BP1114" s="161"/>
      <c r="BQ1114" s="161"/>
      <c r="BR1114" s="161"/>
      <c r="BS1114" s="161"/>
      <c r="BT1114" s="161"/>
      <c r="BU1114" s="161"/>
      <c r="BV1114" s="161"/>
      <c r="BW1114" s="161"/>
      <c r="BX1114" s="161"/>
      <c r="BY1114" s="161"/>
      <c r="BZ1114" s="161"/>
      <c r="CA1114" s="161"/>
      <c r="CB1114" s="161"/>
      <c r="CC1114" s="161"/>
      <c r="CD1114" s="161"/>
      <c r="CE1114" s="161"/>
      <c r="CF1114" s="161"/>
      <c r="CG1114" s="161"/>
    </row>
    <row r="1115">
      <c r="A1115" s="161"/>
      <c r="B1115" s="161"/>
      <c r="C1115" s="161"/>
      <c r="D1115" s="161"/>
      <c r="E1115" s="161"/>
      <c r="F1115" s="161"/>
      <c r="G1115" s="161"/>
      <c r="H1115" s="161"/>
      <c r="I1115" s="161"/>
      <c r="J1115" s="161"/>
      <c r="K1115" s="161"/>
      <c r="L1115" s="161"/>
      <c r="M1115" s="161"/>
      <c r="N1115" s="161"/>
      <c r="O1115" s="161"/>
      <c r="P1115" s="161"/>
      <c r="Q1115" s="161"/>
      <c r="R1115" s="161"/>
      <c r="S1115" s="161"/>
      <c r="T1115" s="161"/>
      <c r="U1115" s="161"/>
      <c r="V1115" s="161"/>
      <c r="W1115" s="161"/>
      <c r="X1115" s="161"/>
      <c r="Y1115" s="161"/>
      <c r="Z1115" s="161"/>
      <c r="AA1115" s="161"/>
      <c r="AB1115" s="161"/>
      <c r="AC1115" s="161"/>
      <c r="AD1115" s="161"/>
      <c r="AE1115" s="161"/>
      <c r="AF1115" s="161"/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/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1"/>
      <c r="BE1115" s="161"/>
      <c r="BF1115" s="161"/>
      <c r="BG1115" s="161"/>
      <c r="BH1115" s="161"/>
      <c r="BI1115" s="161"/>
      <c r="BJ1115" s="161"/>
      <c r="BK1115" s="161"/>
      <c r="BL1115" s="161"/>
      <c r="BM1115" s="161"/>
      <c r="BN1115" s="161"/>
      <c r="BO1115" s="161"/>
      <c r="BP1115" s="161"/>
      <c r="BQ1115" s="161"/>
      <c r="BR1115" s="161"/>
      <c r="BS1115" s="161"/>
      <c r="BT1115" s="161"/>
      <c r="BU1115" s="161"/>
      <c r="BV1115" s="161"/>
      <c r="BW1115" s="161"/>
      <c r="BX1115" s="161"/>
      <c r="BY1115" s="161"/>
      <c r="BZ1115" s="161"/>
      <c r="CA1115" s="161"/>
      <c r="CB1115" s="161"/>
      <c r="CC1115" s="161"/>
      <c r="CD1115" s="161"/>
      <c r="CE1115" s="161"/>
      <c r="CF1115" s="161"/>
      <c r="CG1115" s="161"/>
    </row>
    <row r="1116">
      <c r="A1116" s="161"/>
      <c r="B1116" s="161"/>
      <c r="C1116" s="161"/>
      <c r="D1116" s="161"/>
      <c r="E1116" s="161"/>
      <c r="F1116" s="161"/>
      <c r="G1116" s="161"/>
      <c r="H1116" s="161"/>
      <c r="I1116" s="161"/>
      <c r="J1116" s="161"/>
      <c r="K1116" s="161"/>
      <c r="L1116" s="161"/>
      <c r="M1116" s="161"/>
      <c r="N1116" s="161"/>
      <c r="O1116" s="161"/>
      <c r="P1116" s="161"/>
      <c r="Q1116" s="161"/>
      <c r="R1116" s="161"/>
      <c r="S1116" s="161"/>
      <c r="T1116" s="161"/>
      <c r="U1116" s="161"/>
      <c r="V1116" s="161"/>
      <c r="W1116" s="161"/>
      <c r="X1116" s="161"/>
      <c r="Y1116" s="161"/>
      <c r="Z1116" s="161"/>
      <c r="AA1116" s="161"/>
      <c r="AB1116" s="161"/>
      <c r="AC1116" s="161"/>
      <c r="AD1116" s="161"/>
      <c r="AE1116" s="161"/>
      <c r="AF1116" s="161"/>
      <c r="AG1116" s="161"/>
      <c r="AH1116" s="161"/>
      <c r="AI1116" s="161"/>
      <c r="AJ1116" s="161"/>
      <c r="AK1116" s="161"/>
      <c r="AL1116" s="161"/>
      <c r="AM1116" s="161"/>
      <c r="AN1116" s="161"/>
      <c r="AO1116" s="161"/>
      <c r="AP1116" s="161"/>
      <c r="AQ1116" s="161"/>
      <c r="AR1116" s="161"/>
      <c r="AS1116" s="161"/>
      <c r="AT1116" s="161"/>
      <c r="AU1116" s="161"/>
      <c r="AV1116" s="161"/>
      <c r="AW1116" s="161"/>
      <c r="AX1116" s="161"/>
      <c r="AY1116" s="161"/>
      <c r="AZ1116" s="161"/>
      <c r="BA1116" s="161"/>
      <c r="BB1116" s="161"/>
      <c r="BC1116" s="161"/>
      <c r="BD1116" s="161"/>
      <c r="BE1116" s="161"/>
      <c r="BF1116" s="161"/>
      <c r="BG1116" s="161"/>
      <c r="BH1116" s="161"/>
      <c r="BI1116" s="161"/>
      <c r="BJ1116" s="161"/>
      <c r="BK1116" s="161"/>
      <c r="BL1116" s="161"/>
      <c r="BM1116" s="161"/>
      <c r="BN1116" s="161"/>
      <c r="BO1116" s="161"/>
      <c r="BP1116" s="161"/>
      <c r="BQ1116" s="161"/>
      <c r="BR1116" s="161"/>
      <c r="BS1116" s="161"/>
      <c r="BT1116" s="161"/>
      <c r="BU1116" s="161"/>
      <c r="BV1116" s="161"/>
      <c r="BW1116" s="161"/>
      <c r="BX1116" s="161"/>
      <c r="BY1116" s="161"/>
      <c r="BZ1116" s="161"/>
      <c r="CA1116" s="161"/>
      <c r="CB1116" s="161"/>
      <c r="CC1116" s="161"/>
      <c r="CD1116" s="161"/>
      <c r="CE1116" s="161"/>
      <c r="CF1116" s="161"/>
      <c r="CG1116" s="161"/>
    </row>
    <row r="1117">
      <c r="A1117" s="161"/>
      <c r="B1117" s="161"/>
      <c r="C1117" s="161"/>
      <c r="D1117" s="161"/>
      <c r="E1117" s="161"/>
      <c r="F1117" s="161"/>
      <c r="G1117" s="161"/>
      <c r="H1117" s="161"/>
      <c r="I1117" s="161"/>
      <c r="J1117" s="161"/>
      <c r="K1117" s="161"/>
      <c r="L1117" s="161"/>
      <c r="M1117" s="161"/>
      <c r="N1117" s="161"/>
      <c r="O1117" s="161"/>
      <c r="P1117" s="161"/>
      <c r="Q1117" s="161"/>
      <c r="R1117" s="161"/>
      <c r="S1117" s="161"/>
      <c r="T1117" s="161"/>
      <c r="U1117" s="161"/>
      <c r="V1117" s="161"/>
      <c r="W1117" s="161"/>
      <c r="X1117" s="161"/>
      <c r="Y1117" s="161"/>
      <c r="Z1117" s="161"/>
      <c r="AA1117" s="161"/>
      <c r="AB1117" s="161"/>
      <c r="AC1117" s="161"/>
      <c r="AD1117" s="161"/>
      <c r="AE1117" s="161"/>
      <c r="AF1117" s="161"/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  <c r="BD1117" s="161"/>
      <c r="BE1117" s="161"/>
      <c r="BF1117" s="161"/>
      <c r="BG1117" s="161"/>
      <c r="BH1117" s="161"/>
      <c r="BI1117" s="161"/>
      <c r="BJ1117" s="161"/>
      <c r="BK1117" s="161"/>
      <c r="BL1117" s="161"/>
      <c r="BM1117" s="161"/>
      <c r="BN1117" s="161"/>
      <c r="BO1117" s="161"/>
      <c r="BP1117" s="161"/>
      <c r="BQ1117" s="161"/>
      <c r="BR1117" s="161"/>
      <c r="BS1117" s="161"/>
      <c r="BT1117" s="161"/>
      <c r="BU1117" s="161"/>
      <c r="BV1117" s="161"/>
      <c r="BW1117" s="161"/>
      <c r="BX1117" s="161"/>
      <c r="BY1117" s="161"/>
      <c r="BZ1117" s="161"/>
      <c r="CA1117" s="161"/>
      <c r="CB1117" s="161"/>
      <c r="CC1117" s="161"/>
      <c r="CD1117" s="161"/>
      <c r="CE1117" s="161"/>
      <c r="CF1117" s="161"/>
      <c r="CG1117" s="161"/>
    </row>
    <row r="1118">
      <c r="A1118" s="161"/>
      <c r="B1118" s="161"/>
      <c r="C1118" s="161"/>
      <c r="D1118" s="161"/>
      <c r="E1118" s="161"/>
      <c r="F1118" s="161"/>
      <c r="G1118" s="161"/>
      <c r="H1118" s="161"/>
      <c r="I1118" s="161"/>
      <c r="J1118" s="161"/>
      <c r="K1118" s="161"/>
      <c r="L1118" s="161"/>
      <c r="M1118" s="161"/>
      <c r="N1118" s="161"/>
      <c r="O1118" s="161"/>
      <c r="P1118" s="161"/>
      <c r="Q1118" s="161"/>
      <c r="R1118" s="161"/>
      <c r="S1118" s="161"/>
      <c r="T1118" s="161"/>
      <c r="U1118" s="161"/>
      <c r="V1118" s="161"/>
      <c r="W1118" s="161"/>
      <c r="X1118" s="161"/>
      <c r="Y1118" s="161"/>
      <c r="Z1118" s="161"/>
      <c r="AA1118" s="161"/>
      <c r="AB1118" s="161"/>
      <c r="AC1118" s="161"/>
      <c r="AD1118" s="161"/>
      <c r="AE1118" s="161"/>
      <c r="AF1118" s="161"/>
      <c r="AG1118" s="161"/>
      <c r="AH1118" s="161"/>
      <c r="AI1118" s="161"/>
      <c r="AJ1118" s="161"/>
      <c r="AK1118" s="161"/>
      <c r="AL1118" s="161"/>
      <c r="AM1118" s="161"/>
      <c r="AN1118" s="161"/>
      <c r="AO1118" s="161"/>
      <c r="AP1118" s="161"/>
      <c r="AQ1118" s="161"/>
      <c r="AR1118" s="161"/>
      <c r="AS1118" s="161"/>
      <c r="AT1118" s="161"/>
      <c r="AU1118" s="161"/>
      <c r="AV1118" s="161"/>
      <c r="AW1118" s="161"/>
      <c r="AX1118" s="161"/>
      <c r="AY1118" s="161"/>
      <c r="AZ1118" s="161"/>
      <c r="BA1118" s="161"/>
      <c r="BB1118" s="161"/>
      <c r="BC1118" s="161"/>
      <c r="BD1118" s="161"/>
      <c r="BE1118" s="161"/>
      <c r="BF1118" s="161"/>
      <c r="BG1118" s="161"/>
      <c r="BH1118" s="161"/>
      <c r="BI1118" s="161"/>
      <c r="BJ1118" s="161"/>
      <c r="BK1118" s="161"/>
      <c r="BL1118" s="161"/>
      <c r="BM1118" s="161"/>
      <c r="BN1118" s="161"/>
      <c r="BO1118" s="161"/>
      <c r="BP1118" s="161"/>
      <c r="BQ1118" s="161"/>
      <c r="BR1118" s="161"/>
      <c r="BS1118" s="161"/>
      <c r="BT1118" s="161"/>
      <c r="BU1118" s="161"/>
      <c r="BV1118" s="161"/>
      <c r="BW1118" s="161"/>
      <c r="BX1118" s="161"/>
      <c r="BY1118" s="161"/>
      <c r="BZ1118" s="161"/>
      <c r="CA1118" s="161"/>
      <c r="CB1118" s="161"/>
      <c r="CC1118" s="161"/>
      <c r="CD1118" s="161"/>
      <c r="CE1118" s="161"/>
      <c r="CF1118" s="161"/>
      <c r="CG1118" s="161"/>
    </row>
    <row r="1119">
      <c r="A1119" s="161"/>
      <c r="B1119" s="161"/>
      <c r="C1119" s="161"/>
      <c r="D1119" s="161"/>
      <c r="E1119" s="161"/>
      <c r="F1119" s="161"/>
      <c r="G1119" s="161"/>
      <c r="H1119" s="161"/>
      <c r="I1119" s="161"/>
      <c r="J1119" s="161"/>
      <c r="K1119" s="161"/>
      <c r="L1119" s="161"/>
      <c r="M1119" s="161"/>
      <c r="N1119" s="161"/>
      <c r="O1119" s="161"/>
      <c r="P1119" s="161"/>
      <c r="Q1119" s="161"/>
      <c r="R1119" s="161"/>
      <c r="S1119" s="161"/>
      <c r="T1119" s="161"/>
      <c r="U1119" s="161"/>
      <c r="V1119" s="161"/>
      <c r="W1119" s="161"/>
      <c r="X1119" s="161"/>
      <c r="Y1119" s="161"/>
      <c r="Z1119" s="161"/>
      <c r="AA1119" s="161"/>
      <c r="AB1119" s="161"/>
      <c r="AC1119" s="161"/>
      <c r="AD1119" s="161"/>
      <c r="AE1119" s="161"/>
      <c r="AF1119" s="161"/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1"/>
      <c r="BE1119" s="161"/>
      <c r="BF1119" s="161"/>
      <c r="BG1119" s="161"/>
      <c r="BH1119" s="161"/>
      <c r="BI1119" s="161"/>
      <c r="BJ1119" s="161"/>
      <c r="BK1119" s="161"/>
      <c r="BL1119" s="161"/>
      <c r="BM1119" s="161"/>
      <c r="BN1119" s="161"/>
      <c r="BO1119" s="161"/>
      <c r="BP1119" s="161"/>
      <c r="BQ1119" s="161"/>
      <c r="BR1119" s="161"/>
      <c r="BS1119" s="161"/>
      <c r="BT1119" s="161"/>
      <c r="BU1119" s="161"/>
      <c r="BV1119" s="161"/>
      <c r="BW1119" s="161"/>
      <c r="BX1119" s="161"/>
      <c r="BY1119" s="161"/>
      <c r="BZ1119" s="161"/>
      <c r="CA1119" s="161"/>
      <c r="CB1119" s="161"/>
      <c r="CC1119" s="161"/>
      <c r="CD1119" s="161"/>
      <c r="CE1119" s="161"/>
      <c r="CF1119" s="161"/>
      <c r="CG1119" s="161"/>
    </row>
    <row r="1120">
      <c r="A1120" s="161"/>
      <c r="B1120" s="161"/>
      <c r="C1120" s="161"/>
      <c r="D1120" s="161"/>
      <c r="E1120" s="161"/>
      <c r="F1120" s="161"/>
      <c r="G1120" s="161"/>
      <c r="H1120" s="161"/>
      <c r="I1120" s="161"/>
      <c r="J1120" s="161"/>
      <c r="K1120" s="161"/>
      <c r="L1120" s="161"/>
      <c r="M1120" s="161"/>
      <c r="N1120" s="161"/>
      <c r="O1120" s="161"/>
      <c r="P1120" s="161"/>
      <c r="Q1120" s="161"/>
      <c r="R1120" s="161"/>
      <c r="S1120" s="161"/>
      <c r="T1120" s="161"/>
      <c r="U1120" s="161"/>
      <c r="V1120" s="161"/>
      <c r="W1120" s="161"/>
      <c r="X1120" s="161"/>
      <c r="Y1120" s="161"/>
      <c r="Z1120" s="161"/>
      <c r="AA1120" s="161"/>
      <c r="AB1120" s="161"/>
      <c r="AC1120" s="161"/>
      <c r="AD1120" s="161"/>
      <c r="AE1120" s="161"/>
      <c r="AF1120" s="161"/>
      <c r="AG1120" s="161"/>
      <c r="AH1120" s="161"/>
      <c r="AI1120" s="161"/>
      <c r="AJ1120" s="161"/>
      <c r="AK1120" s="161"/>
      <c r="AL1120" s="161"/>
      <c r="AM1120" s="161"/>
      <c r="AN1120" s="161"/>
      <c r="AO1120" s="161"/>
      <c r="AP1120" s="161"/>
      <c r="AQ1120" s="161"/>
      <c r="AR1120" s="161"/>
      <c r="AS1120" s="161"/>
      <c r="AT1120" s="161"/>
      <c r="AU1120" s="161"/>
      <c r="AV1120" s="161"/>
      <c r="AW1120" s="161"/>
      <c r="AX1120" s="161"/>
      <c r="AY1120" s="161"/>
      <c r="AZ1120" s="161"/>
      <c r="BA1120" s="161"/>
      <c r="BB1120" s="161"/>
      <c r="BC1120" s="161"/>
      <c r="BD1120" s="161"/>
      <c r="BE1120" s="161"/>
      <c r="BF1120" s="161"/>
      <c r="BG1120" s="161"/>
      <c r="BH1120" s="161"/>
      <c r="BI1120" s="161"/>
      <c r="BJ1120" s="161"/>
      <c r="BK1120" s="161"/>
      <c r="BL1120" s="161"/>
      <c r="BM1120" s="161"/>
      <c r="BN1120" s="161"/>
      <c r="BO1120" s="161"/>
      <c r="BP1120" s="161"/>
      <c r="BQ1120" s="161"/>
      <c r="BR1120" s="161"/>
      <c r="BS1120" s="161"/>
      <c r="BT1120" s="161"/>
      <c r="BU1120" s="161"/>
      <c r="BV1120" s="161"/>
      <c r="BW1120" s="161"/>
      <c r="BX1120" s="161"/>
      <c r="BY1120" s="161"/>
      <c r="BZ1120" s="161"/>
      <c r="CA1120" s="161"/>
      <c r="CB1120" s="161"/>
      <c r="CC1120" s="161"/>
      <c r="CD1120" s="161"/>
      <c r="CE1120" s="161"/>
      <c r="CF1120" s="161"/>
      <c r="CG1120" s="161"/>
    </row>
    <row r="1121">
      <c r="A1121" s="161"/>
      <c r="B1121" s="161"/>
      <c r="C1121" s="161"/>
      <c r="D1121" s="161"/>
      <c r="E1121" s="161"/>
      <c r="F1121" s="161"/>
      <c r="G1121" s="161"/>
      <c r="H1121" s="161"/>
      <c r="I1121" s="161"/>
      <c r="J1121" s="161"/>
      <c r="K1121" s="161"/>
      <c r="L1121" s="161"/>
      <c r="M1121" s="161"/>
      <c r="N1121" s="161"/>
      <c r="O1121" s="161"/>
      <c r="P1121" s="161"/>
      <c r="Q1121" s="161"/>
      <c r="R1121" s="161"/>
      <c r="S1121" s="161"/>
      <c r="T1121" s="161"/>
      <c r="U1121" s="161"/>
      <c r="V1121" s="161"/>
      <c r="W1121" s="161"/>
      <c r="X1121" s="161"/>
      <c r="Y1121" s="161"/>
      <c r="Z1121" s="161"/>
      <c r="AA1121" s="161"/>
      <c r="AB1121" s="161"/>
      <c r="AC1121" s="161"/>
      <c r="AD1121" s="161"/>
      <c r="AE1121" s="161"/>
      <c r="AF1121" s="161"/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/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1"/>
      <c r="BE1121" s="161"/>
      <c r="BF1121" s="161"/>
      <c r="BG1121" s="161"/>
      <c r="BH1121" s="161"/>
      <c r="BI1121" s="161"/>
      <c r="BJ1121" s="161"/>
      <c r="BK1121" s="161"/>
      <c r="BL1121" s="161"/>
      <c r="BM1121" s="161"/>
      <c r="BN1121" s="161"/>
      <c r="BO1121" s="161"/>
      <c r="BP1121" s="161"/>
      <c r="BQ1121" s="161"/>
      <c r="BR1121" s="161"/>
      <c r="BS1121" s="161"/>
      <c r="BT1121" s="161"/>
      <c r="BU1121" s="161"/>
      <c r="BV1121" s="161"/>
      <c r="BW1121" s="161"/>
      <c r="BX1121" s="161"/>
      <c r="BY1121" s="161"/>
      <c r="BZ1121" s="161"/>
      <c r="CA1121" s="161"/>
      <c r="CB1121" s="161"/>
      <c r="CC1121" s="161"/>
      <c r="CD1121" s="161"/>
      <c r="CE1121" s="161"/>
      <c r="CF1121" s="161"/>
      <c r="CG1121" s="161"/>
    </row>
    <row r="1122">
      <c r="A1122" s="161"/>
      <c r="B1122" s="161"/>
      <c r="C1122" s="161"/>
      <c r="D1122" s="161"/>
      <c r="E1122" s="161"/>
      <c r="F1122" s="161"/>
      <c r="G1122" s="161"/>
      <c r="H1122" s="161"/>
      <c r="I1122" s="161"/>
      <c r="J1122" s="161"/>
      <c r="K1122" s="161"/>
      <c r="L1122" s="161"/>
      <c r="M1122" s="161"/>
      <c r="N1122" s="161"/>
      <c r="O1122" s="161"/>
      <c r="P1122" s="161"/>
      <c r="Q1122" s="161"/>
      <c r="R1122" s="161"/>
      <c r="S1122" s="161"/>
      <c r="T1122" s="161"/>
      <c r="U1122" s="161"/>
      <c r="V1122" s="161"/>
      <c r="W1122" s="161"/>
      <c r="X1122" s="161"/>
      <c r="Y1122" s="161"/>
      <c r="Z1122" s="161"/>
      <c r="AA1122" s="161"/>
      <c r="AB1122" s="161"/>
      <c r="AC1122" s="161"/>
      <c r="AD1122" s="161"/>
      <c r="AE1122" s="161"/>
      <c r="AF1122" s="161"/>
      <c r="AG1122" s="161"/>
      <c r="AH1122" s="161"/>
      <c r="AI1122" s="161"/>
      <c r="AJ1122" s="161"/>
      <c r="AK1122" s="161"/>
      <c r="AL1122" s="161"/>
      <c r="AM1122" s="161"/>
      <c r="AN1122" s="161"/>
      <c r="AO1122" s="161"/>
      <c r="AP1122" s="161"/>
      <c r="AQ1122" s="161"/>
      <c r="AR1122" s="161"/>
      <c r="AS1122" s="161"/>
      <c r="AT1122" s="161"/>
      <c r="AU1122" s="161"/>
      <c r="AV1122" s="161"/>
      <c r="AW1122" s="161"/>
      <c r="AX1122" s="161"/>
      <c r="AY1122" s="161"/>
      <c r="AZ1122" s="161"/>
      <c r="BA1122" s="161"/>
      <c r="BB1122" s="161"/>
      <c r="BC1122" s="161"/>
      <c r="BD1122" s="161"/>
      <c r="BE1122" s="161"/>
      <c r="BF1122" s="161"/>
      <c r="BG1122" s="161"/>
      <c r="BH1122" s="161"/>
      <c r="BI1122" s="161"/>
      <c r="BJ1122" s="161"/>
      <c r="BK1122" s="161"/>
      <c r="BL1122" s="161"/>
      <c r="BM1122" s="161"/>
      <c r="BN1122" s="161"/>
      <c r="BO1122" s="161"/>
      <c r="BP1122" s="161"/>
      <c r="BQ1122" s="161"/>
      <c r="BR1122" s="161"/>
      <c r="BS1122" s="161"/>
      <c r="BT1122" s="161"/>
      <c r="BU1122" s="161"/>
      <c r="BV1122" s="161"/>
      <c r="BW1122" s="161"/>
      <c r="BX1122" s="161"/>
      <c r="BY1122" s="161"/>
      <c r="BZ1122" s="161"/>
      <c r="CA1122" s="161"/>
      <c r="CB1122" s="161"/>
      <c r="CC1122" s="161"/>
      <c r="CD1122" s="161"/>
      <c r="CE1122" s="161"/>
      <c r="CF1122" s="161"/>
      <c r="CG1122" s="161"/>
    </row>
    <row r="1123">
      <c r="A1123" s="161"/>
      <c r="B1123" s="161"/>
      <c r="C1123" s="161"/>
      <c r="D1123" s="161"/>
      <c r="E1123" s="161"/>
      <c r="F1123" s="161"/>
      <c r="G1123" s="161"/>
      <c r="H1123" s="161"/>
      <c r="I1123" s="161"/>
      <c r="J1123" s="161"/>
      <c r="K1123" s="161"/>
      <c r="L1123" s="161"/>
      <c r="M1123" s="161"/>
      <c r="N1123" s="161"/>
      <c r="O1123" s="161"/>
      <c r="P1123" s="161"/>
      <c r="Q1123" s="161"/>
      <c r="R1123" s="161"/>
      <c r="S1123" s="161"/>
      <c r="T1123" s="161"/>
      <c r="U1123" s="161"/>
      <c r="V1123" s="161"/>
      <c r="W1123" s="161"/>
      <c r="X1123" s="161"/>
      <c r="Y1123" s="161"/>
      <c r="Z1123" s="161"/>
      <c r="AA1123" s="161"/>
      <c r="AB1123" s="161"/>
      <c r="AC1123" s="161"/>
      <c r="AD1123" s="161"/>
      <c r="AE1123" s="161"/>
      <c r="AF1123" s="161"/>
      <c r="AG1123" s="161"/>
      <c r="AH1123" s="161"/>
      <c r="AI1123" s="161"/>
      <c r="AJ1123" s="161"/>
      <c r="AK1123" s="161"/>
      <c r="AL1123" s="161"/>
      <c r="AM1123" s="161"/>
      <c r="AN1123" s="161"/>
      <c r="AO1123" s="161"/>
      <c r="AP1123" s="161"/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1"/>
      <c r="BE1123" s="161"/>
      <c r="BF1123" s="161"/>
      <c r="BG1123" s="161"/>
      <c r="BH1123" s="161"/>
      <c r="BI1123" s="161"/>
      <c r="BJ1123" s="161"/>
      <c r="BK1123" s="161"/>
      <c r="BL1123" s="161"/>
      <c r="BM1123" s="161"/>
      <c r="BN1123" s="161"/>
      <c r="BO1123" s="161"/>
      <c r="BP1123" s="161"/>
      <c r="BQ1123" s="161"/>
      <c r="BR1123" s="161"/>
      <c r="BS1123" s="161"/>
      <c r="BT1123" s="161"/>
      <c r="BU1123" s="161"/>
      <c r="BV1123" s="161"/>
      <c r="BW1123" s="161"/>
      <c r="BX1123" s="161"/>
      <c r="BY1123" s="161"/>
      <c r="BZ1123" s="161"/>
      <c r="CA1123" s="161"/>
      <c r="CB1123" s="161"/>
      <c r="CC1123" s="161"/>
      <c r="CD1123" s="161"/>
      <c r="CE1123" s="161"/>
      <c r="CF1123" s="161"/>
      <c r="CG1123" s="161"/>
    </row>
    <row r="1124">
      <c r="A1124" s="161"/>
      <c r="B1124" s="161"/>
      <c r="C1124" s="161"/>
      <c r="D1124" s="161"/>
      <c r="E1124" s="161"/>
      <c r="F1124" s="161"/>
      <c r="G1124" s="161"/>
      <c r="H1124" s="161"/>
      <c r="I1124" s="161"/>
      <c r="J1124" s="161"/>
      <c r="K1124" s="161"/>
      <c r="L1124" s="161"/>
      <c r="M1124" s="161"/>
      <c r="N1124" s="161"/>
      <c r="O1124" s="161"/>
      <c r="P1124" s="161"/>
      <c r="Q1124" s="161"/>
      <c r="R1124" s="161"/>
      <c r="S1124" s="161"/>
      <c r="T1124" s="161"/>
      <c r="U1124" s="161"/>
      <c r="V1124" s="161"/>
      <c r="W1124" s="161"/>
      <c r="X1124" s="161"/>
      <c r="Y1124" s="161"/>
      <c r="Z1124" s="161"/>
      <c r="AA1124" s="161"/>
      <c r="AB1124" s="161"/>
      <c r="AC1124" s="161"/>
      <c r="AD1124" s="161"/>
      <c r="AE1124" s="161"/>
      <c r="AF1124" s="161"/>
      <c r="AG1124" s="161"/>
      <c r="AH1124" s="161"/>
      <c r="AI1124" s="161"/>
      <c r="AJ1124" s="161"/>
      <c r="AK1124" s="161"/>
      <c r="AL1124" s="161"/>
      <c r="AM1124" s="161"/>
      <c r="AN1124" s="161"/>
      <c r="AO1124" s="161"/>
      <c r="AP1124" s="161"/>
      <c r="AQ1124" s="161"/>
      <c r="AR1124" s="161"/>
      <c r="AS1124" s="161"/>
      <c r="AT1124" s="161"/>
      <c r="AU1124" s="161"/>
      <c r="AV1124" s="161"/>
      <c r="AW1124" s="161"/>
      <c r="AX1124" s="161"/>
      <c r="AY1124" s="161"/>
      <c r="AZ1124" s="161"/>
      <c r="BA1124" s="161"/>
      <c r="BB1124" s="161"/>
      <c r="BC1124" s="161"/>
      <c r="BD1124" s="161"/>
      <c r="BE1124" s="161"/>
      <c r="BF1124" s="161"/>
      <c r="BG1124" s="161"/>
      <c r="BH1124" s="161"/>
      <c r="BI1124" s="161"/>
      <c r="BJ1124" s="161"/>
      <c r="BK1124" s="161"/>
      <c r="BL1124" s="161"/>
      <c r="BM1124" s="161"/>
      <c r="BN1124" s="161"/>
      <c r="BO1124" s="161"/>
      <c r="BP1124" s="161"/>
      <c r="BQ1124" s="161"/>
      <c r="BR1124" s="161"/>
      <c r="BS1124" s="161"/>
      <c r="BT1124" s="161"/>
      <c r="BU1124" s="161"/>
      <c r="BV1124" s="161"/>
      <c r="BW1124" s="161"/>
      <c r="BX1124" s="161"/>
      <c r="BY1124" s="161"/>
      <c r="BZ1124" s="161"/>
      <c r="CA1124" s="161"/>
      <c r="CB1124" s="161"/>
      <c r="CC1124" s="161"/>
      <c r="CD1124" s="161"/>
      <c r="CE1124" s="161"/>
      <c r="CF1124" s="161"/>
      <c r="CG1124" s="161"/>
    </row>
    <row r="1125">
      <c r="A1125" s="161"/>
      <c r="B1125" s="161"/>
      <c r="C1125" s="161"/>
      <c r="D1125" s="161"/>
      <c r="E1125" s="161"/>
      <c r="F1125" s="161"/>
      <c r="G1125" s="161"/>
      <c r="H1125" s="161"/>
      <c r="I1125" s="161"/>
      <c r="J1125" s="161"/>
      <c r="K1125" s="161"/>
      <c r="L1125" s="161"/>
      <c r="M1125" s="161"/>
      <c r="N1125" s="161"/>
      <c r="O1125" s="161"/>
      <c r="P1125" s="161"/>
      <c r="Q1125" s="161"/>
      <c r="R1125" s="161"/>
      <c r="S1125" s="161"/>
      <c r="T1125" s="161"/>
      <c r="U1125" s="161"/>
      <c r="V1125" s="161"/>
      <c r="W1125" s="161"/>
      <c r="X1125" s="161"/>
      <c r="Y1125" s="161"/>
      <c r="Z1125" s="161"/>
      <c r="AA1125" s="161"/>
      <c r="AB1125" s="161"/>
      <c r="AC1125" s="161"/>
      <c r="AD1125" s="161"/>
      <c r="AE1125" s="161"/>
      <c r="AF1125" s="161"/>
      <c r="AG1125" s="161"/>
      <c r="AH1125" s="161"/>
      <c r="AI1125" s="161"/>
      <c r="AJ1125" s="161"/>
      <c r="AK1125" s="161"/>
      <c r="AL1125" s="161"/>
      <c r="AM1125" s="161"/>
      <c r="AN1125" s="161"/>
      <c r="AO1125" s="161"/>
      <c r="AP1125" s="161"/>
      <c r="AQ1125" s="161"/>
      <c r="AR1125" s="161"/>
      <c r="AS1125" s="161"/>
      <c r="AT1125" s="161"/>
      <c r="AU1125" s="161"/>
      <c r="AV1125" s="161"/>
      <c r="AW1125" s="161"/>
      <c r="AX1125" s="161"/>
      <c r="AY1125" s="161"/>
      <c r="AZ1125" s="161"/>
      <c r="BA1125" s="161"/>
      <c r="BB1125" s="161"/>
      <c r="BC1125" s="161"/>
      <c r="BD1125" s="161"/>
      <c r="BE1125" s="161"/>
      <c r="BF1125" s="161"/>
      <c r="BG1125" s="161"/>
      <c r="BH1125" s="161"/>
      <c r="BI1125" s="161"/>
      <c r="BJ1125" s="161"/>
      <c r="BK1125" s="161"/>
      <c r="BL1125" s="161"/>
      <c r="BM1125" s="161"/>
      <c r="BN1125" s="161"/>
      <c r="BO1125" s="161"/>
      <c r="BP1125" s="161"/>
      <c r="BQ1125" s="161"/>
      <c r="BR1125" s="161"/>
      <c r="BS1125" s="161"/>
      <c r="BT1125" s="161"/>
      <c r="BU1125" s="161"/>
      <c r="BV1125" s="161"/>
      <c r="BW1125" s="161"/>
      <c r="BX1125" s="161"/>
      <c r="BY1125" s="161"/>
      <c r="BZ1125" s="161"/>
      <c r="CA1125" s="161"/>
      <c r="CB1125" s="161"/>
      <c r="CC1125" s="161"/>
      <c r="CD1125" s="161"/>
      <c r="CE1125" s="161"/>
      <c r="CF1125" s="161"/>
      <c r="CG1125" s="161"/>
    </row>
    <row r="1126">
      <c r="A1126" s="161"/>
      <c r="B1126" s="161"/>
      <c r="C1126" s="161"/>
      <c r="D1126" s="161"/>
      <c r="E1126" s="161"/>
      <c r="F1126" s="161"/>
      <c r="G1126" s="161"/>
      <c r="H1126" s="161"/>
      <c r="I1126" s="161"/>
      <c r="J1126" s="161"/>
      <c r="K1126" s="161"/>
      <c r="L1126" s="161"/>
      <c r="M1126" s="161"/>
      <c r="N1126" s="161"/>
      <c r="O1126" s="161"/>
      <c r="P1126" s="161"/>
      <c r="Q1126" s="161"/>
      <c r="R1126" s="161"/>
      <c r="S1126" s="161"/>
      <c r="T1126" s="161"/>
      <c r="U1126" s="161"/>
      <c r="V1126" s="161"/>
      <c r="W1126" s="161"/>
      <c r="X1126" s="161"/>
      <c r="Y1126" s="161"/>
      <c r="Z1126" s="161"/>
      <c r="AA1126" s="161"/>
      <c r="AB1126" s="161"/>
      <c r="AC1126" s="161"/>
      <c r="AD1126" s="161"/>
      <c r="AE1126" s="161"/>
      <c r="AF1126" s="161"/>
      <c r="AG1126" s="161"/>
      <c r="AH1126" s="161"/>
      <c r="AI1126" s="161"/>
      <c r="AJ1126" s="161"/>
      <c r="AK1126" s="161"/>
      <c r="AL1126" s="161"/>
      <c r="AM1126" s="161"/>
      <c r="AN1126" s="161"/>
      <c r="AO1126" s="161"/>
      <c r="AP1126" s="161"/>
      <c r="AQ1126" s="161"/>
      <c r="AR1126" s="161"/>
      <c r="AS1126" s="161"/>
      <c r="AT1126" s="161"/>
      <c r="AU1126" s="161"/>
      <c r="AV1126" s="161"/>
      <c r="AW1126" s="161"/>
      <c r="AX1126" s="161"/>
      <c r="AY1126" s="161"/>
      <c r="AZ1126" s="161"/>
      <c r="BA1126" s="161"/>
      <c r="BB1126" s="161"/>
      <c r="BC1126" s="161"/>
      <c r="BD1126" s="161"/>
      <c r="BE1126" s="161"/>
      <c r="BF1126" s="161"/>
      <c r="BG1126" s="161"/>
      <c r="BH1126" s="161"/>
      <c r="BI1126" s="161"/>
      <c r="BJ1126" s="161"/>
      <c r="BK1126" s="161"/>
      <c r="BL1126" s="161"/>
      <c r="BM1126" s="161"/>
      <c r="BN1126" s="161"/>
      <c r="BO1126" s="161"/>
      <c r="BP1126" s="161"/>
      <c r="BQ1126" s="161"/>
      <c r="BR1126" s="161"/>
      <c r="BS1126" s="161"/>
      <c r="BT1126" s="161"/>
      <c r="BU1126" s="161"/>
      <c r="BV1126" s="161"/>
      <c r="BW1126" s="161"/>
      <c r="BX1126" s="161"/>
      <c r="BY1126" s="161"/>
      <c r="BZ1126" s="161"/>
      <c r="CA1126" s="161"/>
      <c r="CB1126" s="161"/>
      <c r="CC1126" s="161"/>
      <c r="CD1126" s="161"/>
      <c r="CE1126" s="161"/>
      <c r="CF1126" s="161"/>
      <c r="CG1126" s="161"/>
    </row>
    <row r="1127">
      <c r="A1127" s="161"/>
      <c r="B1127" s="161"/>
      <c r="C1127" s="161"/>
      <c r="D1127" s="161"/>
      <c r="E1127" s="161"/>
      <c r="F1127" s="161"/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161"/>
      <c r="R1127" s="161"/>
      <c r="S1127" s="161"/>
      <c r="T1127" s="161"/>
      <c r="U1127" s="161"/>
      <c r="V1127" s="161"/>
      <c r="W1127" s="161"/>
      <c r="X1127" s="161"/>
      <c r="Y1127" s="161"/>
      <c r="Z1127" s="161"/>
      <c r="AA1127" s="161"/>
      <c r="AB1127" s="161"/>
      <c r="AC1127" s="161"/>
      <c r="AD1127" s="161"/>
      <c r="AE1127" s="161"/>
      <c r="AF1127" s="161"/>
      <c r="AG1127" s="161"/>
      <c r="AH1127" s="161"/>
      <c r="AI1127" s="161"/>
      <c r="AJ1127" s="161"/>
      <c r="AK1127" s="161"/>
      <c r="AL1127" s="161"/>
      <c r="AM1127" s="161"/>
      <c r="AN1127" s="161"/>
      <c r="AO1127" s="161"/>
      <c r="AP1127" s="161"/>
      <c r="AQ1127" s="161"/>
      <c r="AR1127" s="161"/>
      <c r="AS1127" s="161"/>
      <c r="AT1127" s="161"/>
      <c r="AU1127" s="161"/>
      <c r="AV1127" s="161"/>
      <c r="AW1127" s="161"/>
      <c r="AX1127" s="161"/>
      <c r="AY1127" s="161"/>
      <c r="AZ1127" s="161"/>
      <c r="BA1127" s="161"/>
      <c r="BB1127" s="161"/>
      <c r="BC1127" s="161"/>
      <c r="BD1127" s="161"/>
      <c r="BE1127" s="161"/>
      <c r="BF1127" s="161"/>
      <c r="BG1127" s="161"/>
      <c r="BH1127" s="161"/>
      <c r="BI1127" s="161"/>
      <c r="BJ1127" s="161"/>
      <c r="BK1127" s="161"/>
      <c r="BL1127" s="161"/>
      <c r="BM1127" s="161"/>
      <c r="BN1127" s="161"/>
      <c r="BO1127" s="161"/>
      <c r="BP1127" s="161"/>
      <c r="BQ1127" s="161"/>
      <c r="BR1127" s="161"/>
      <c r="BS1127" s="161"/>
      <c r="BT1127" s="161"/>
      <c r="BU1127" s="161"/>
      <c r="BV1127" s="161"/>
      <c r="BW1127" s="161"/>
      <c r="BX1127" s="161"/>
      <c r="BY1127" s="161"/>
      <c r="BZ1127" s="161"/>
      <c r="CA1127" s="161"/>
      <c r="CB1127" s="161"/>
      <c r="CC1127" s="161"/>
      <c r="CD1127" s="161"/>
      <c r="CE1127" s="161"/>
      <c r="CF1127" s="161"/>
      <c r="CG1127" s="161"/>
    </row>
    <row r="1128">
      <c r="A1128" s="161"/>
      <c r="B1128" s="161"/>
      <c r="C1128" s="161"/>
      <c r="D1128" s="161"/>
      <c r="E1128" s="161"/>
      <c r="F1128" s="161"/>
      <c r="G1128" s="161"/>
      <c r="H1128" s="161"/>
      <c r="I1128" s="161"/>
      <c r="J1128" s="161"/>
      <c r="K1128" s="161"/>
      <c r="L1128" s="161"/>
      <c r="M1128" s="161"/>
      <c r="N1128" s="161"/>
      <c r="O1128" s="161"/>
      <c r="P1128" s="161"/>
      <c r="Q1128" s="161"/>
      <c r="R1128" s="161"/>
      <c r="S1128" s="161"/>
      <c r="T1128" s="161"/>
      <c r="U1128" s="161"/>
      <c r="V1128" s="161"/>
      <c r="W1128" s="161"/>
      <c r="X1128" s="161"/>
      <c r="Y1128" s="161"/>
      <c r="Z1128" s="161"/>
      <c r="AA1128" s="161"/>
      <c r="AB1128" s="161"/>
      <c r="AC1128" s="161"/>
      <c r="AD1128" s="161"/>
      <c r="AE1128" s="161"/>
      <c r="AF1128" s="161"/>
      <c r="AG1128" s="161"/>
      <c r="AH1128" s="161"/>
      <c r="AI1128" s="161"/>
      <c r="AJ1128" s="161"/>
      <c r="AK1128" s="161"/>
      <c r="AL1128" s="161"/>
      <c r="AM1128" s="161"/>
      <c r="AN1128" s="161"/>
      <c r="AO1128" s="161"/>
      <c r="AP1128" s="161"/>
      <c r="AQ1128" s="161"/>
      <c r="AR1128" s="161"/>
      <c r="AS1128" s="161"/>
      <c r="AT1128" s="161"/>
      <c r="AU1128" s="161"/>
      <c r="AV1128" s="161"/>
      <c r="AW1128" s="161"/>
      <c r="AX1128" s="161"/>
      <c r="AY1128" s="161"/>
      <c r="AZ1128" s="161"/>
      <c r="BA1128" s="161"/>
      <c r="BB1128" s="161"/>
      <c r="BC1128" s="161"/>
      <c r="BD1128" s="161"/>
      <c r="BE1128" s="161"/>
      <c r="BF1128" s="161"/>
      <c r="BG1128" s="161"/>
      <c r="BH1128" s="161"/>
      <c r="BI1128" s="161"/>
      <c r="BJ1128" s="161"/>
      <c r="BK1128" s="161"/>
      <c r="BL1128" s="161"/>
      <c r="BM1128" s="161"/>
      <c r="BN1128" s="161"/>
      <c r="BO1128" s="161"/>
      <c r="BP1128" s="161"/>
      <c r="BQ1128" s="161"/>
      <c r="BR1128" s="161"/>
      <c r="BS1128" s="161"/>
      <c r="BT1128" s="161"/>
      <c r="BU1128" s="161"/>
      <c r="BV1128" s="161"/>
      <c r="BW1128" s="161"/>
      <c r="BX1128" s="161"/>
      <c r="BY1128" s="161"/>
      <c r="BZ1128" s="161"/>
      <c r="CA1128" s="161"/>
      <c r="CB1128" s="161"/>
      <c r="CC1128" s="161"/>
      <c r="CD1128" s="161"/>
      <c r="CE1128" s="161"/>
      <c r="CF1128" s="161"/>
      <c r="CG1128" s="161"/>
    </row>
    <row r="1129">
      <c r="A1129" s="161"/>
      <c r="B1129" s="161"/>
      <c r="C1129" s="161"/>
      <c r="D1129" s="161"/>
      <c r="E1129" s="161"/>
      <c r="F1129" s="161"/>
      <c r="G1129" s="161"/>
      <c r="H1129" s="161"/>
      <c r="I1129" s="161"/>
      <c r="J1129" s="161"/>
      <c r="K1129" s="161"/>
      <c r="L1129" s="161"/>
      <c r="M1129" s="161"/>
      <c r="N1129" s="161"/>
      <c r="O1129" s="161"/>
      <c r="P1129" s="161"/>
      <c r="Q1129" s="161"/>
      <c r="R1129" s="161"/>
      <c r="S1129" s="161"/>
      <c r="T1129" s="161"/>
      <c r="U1129" s="161"/>
      <c r="V1129" s="161"/>
      <c r="W1129" s="161"/>
      <c r="X1129" s="161"/>
      <c r="Y1129" s="161"/>
      <c r="Z1129" s="161"/>
      <c r="AA1129" s="161"/>
      <c r="AB1129" s="161"/>
      <c r="AC1129" s="161"/>
      <c r="AD1129" s="161"/>
      <c r="AE1129" s="161"/>
      <c r="AF1129" s="161"/>
      <c r="AG1129" s="161"/>
      <c r="AH1129" s="161"/>
      <c r="AI1129" s="161"/>
      <c r="AJ1129" s="161"/>
      <c r="AK1129" s="161"/>
      <c r="AL1129" s="161"/>
      <c r="AM1129" s="161"/>
      <c r="AN1129" s="161"/>
      <c r="AO1129" s="161"/>
      <c r="AP1129" s="161"/>
      <c r="AQ1129" s="161"/>
      <c r="AR1129" s="161"/>
      <c r="AS1129" s="161"/>
      <c r="AT1129" s="161"/>
      <c r="AU1129" s="161"/>
      <c r="AV1129" s="161"/>
      <c r="AW1129" s="161"/>
      <c r="AX1129" s="161"/>
      <c r="AY1129" s="161"/>
      <c r="AZ1129" s="161"/>
      <c r="BA1129" s="161"/>
      <c r="BB1129" s="161"/>
      <c r="BC1129" s="161"/>
      <c r="BD1129" s="161"/>
      <c r="BE1129" s="161"/>
      <c r="BF1129" s="161"/>
      <c r="BG1129" s="161"/>
      <c r="BH1129" s="161"/>
      <c r="BI1129" s="161"/>
      <c r="BJ1129" s="161"/>
      <c r="BK1129" s="161"/>
      <c r="BL1129" s="161"/>
      <c r="BM1129" s="161"/>
      <c r="BN1129" s="161"/>
      <c r="BO1129" s="161"/>
      <c r="BP1129" s="161"/>
      <c r="BQ1129" s="161"/>
      <c r="BR1129" s="161"/>
      <c r="BS1129" s="161"/>
      <c r="BT1129" s="161"/>
      <c r="BU1129" s="161"/>
      <c r="BV1129" s="161"/>
      <c r="BW1129" s="161"/>
      <c r="BX1129" s="161"/>
      <c r="BY1129" s="161"/>
      <c r="BZ1129" s="161"/>
      <c r="CA1129" s="161"/>
      <c r="CB1129" s="161"/>
      <c r="CC1129" s="161"/>
      <c r="CD1129" s="161"/>
      <c r="CE1129" s="161"/>
      <c r="CF1129" s="161"/>
      <c r="CG1129" s="161"/>
    </row>
    <row r="1130">
      <c r="A1130" s="161"/>
      <c r="B1130" s="161"/>
      <c r="C1130" s="161"/>
      <c r="D1130" s="161"/>
      <c r="E1130" s="161"/>
      <c r="F1130" s="161"/>
      <c r="G1130" s="161"/>
      <c r="H1130" s="161"/>
      <c r="I1130" s="161"/>
      <c r="J1130" s="161"/>
      <c r="K1130" s="161"/>
      <c r="L1130" s="161"/>
      <c r="M1130" s="161"/>
      <c r="N1130" s="161"/>
      <c r="O1130" s="161"/>
      <c r="P1130" s="161"/>
      <c r="Q1130" s="161"/>
      <c r="R1130" s="161"/>
      <c r="S1130" s="161"/>
      <c r="T1130" s="161"/>
      <c r="U1130" s="161"/>
      <c r="V1130" s="161"/>
      <c r="W1130" s="161"/>
      <c r="X1130" s="161"/>
      <c r="Y1130" s="161"/>
      <c r="Z1130" s="161"/>
      <c r="AA1130" s="161"/>
      <c r="AB1130" s="161"/>
      <c r="AC1130" s="161"/>
      <c r="AD1130" s="161"/>
      <c r="AE1130" s="161"/>
      <c r="AF1130" s="161"/>
      <c r="AG1130" s="161"/>
      <c r="AH1130" s="161"/>
      <c r="AI1130" s="161"/>
      <c r="AJ1130" s="161"/>
      <c r="AK1130" s="161"/>
      <c r="AL1130" s="161"/>
      <c r="AM1130" s="161"/>
      <c r="AN1130" s="161"/>
      <c r="AO1130" s="161"/>
      <c r="AP1130" s="161"/>
      <c r="AQ1130" s="161"/>
      <c r="AR1130" s="161"/>
      <c r="AS1130" s="161"/>
      <c r="AT1130" s="161"/>
      <c r="AU1130" s="161"/>
      <c r="AV1130" s="161"/>
      <c r="AW1130" s="161"/>
      <c r="AX1130" s="161"/>
      <c r="AY1130" s="161"/>
      <c r="AZ1130" s="161"/>
      <c r="BA1130" s="161"/>
      <c r="BB1130" s="161"/>
      <c r="BC1130" s="161"/>
      <c r="BD1130" s="161"/>
      <c r="BE1130" s="161"/>
      <c r="BF1130" s="161"/>
      <c r="BG1130" s="161"/>
      <c r="BH1130" s="161"/>
      <c r="BI1130" s="161"/>
      <c r="BJ1130" s="161"/>
      <c r="BK1130" s="161"/>
      <c r="BL1130" s="161"/>
      <c r="BM1130" s="161"/>
      <c r="BN1130" s="161"/>
      <c r="BO1130" s="161"/>
      <c r="BP1130" s="161"/>
      <c r="BQ1130" s="161"/>
      <c r="BR1130" s="161"/>
      <c r="BS1130" s="161"/>
      <c r="BT1130" s="161"/>
      <c r="BU1130" s="161"/>
      <c r="BV1130" s="161"/>
      <c r="BW1130" s="161"/>
      <c r="BX1130" s="161"/>
      <c r="BY1130" s="161"/>
      <c r="BZ1130" s="161"/>
      <c r="CA1130" s="161"/>
      <c r="CB1130" s="161"/>
      <c r="CC1130" s="161"/>
      <c r="CD1130" s="161"/>
      <c r="CE1130" s="161"/>
      <c r="CF1130" s="161"/>
      <c r="CG1130" s="161"/>
    </row>
    <row r="1131">
      <c r="A1131" s="161"/>
      <c r="B1131" s="161"/>
      <c r="C1131" s="161"/>
      <c r="D1131" s="161"/>
      <c r="E1131" s="161"/>
      <c r="F1131" s="161"/>
      <c r="G1131" s="161"/>
      <c r="H1131" s="161"/>
      <c r="I1131" s="161"/>
      <c r="J1131" s="161"/>
      <c r="K1131" s="161"/>
      <c r="L1131" s="161"/>
      <c r="M1131" s="161"/>
      <c r="N1131" s="161"/>
      <c r="O1131" s="161"/>
      <c r="P1131" s="161"/>
      <c r="Q1131" s="161"/>
      <c r="R1131" s="161"/>
      <c r="S1131" s="161"/>
      <c r="T1131" s="161"/>
      <c r="U1131" s="161"/>
      <c r="V1131" s="161"/>
      <c r="W1131" s="161"/>
      <c r="X1131" s="161"/>
      <c r="Y1131" s="161"/>
      <c r="Z1131" s="161"/>
      <c r="AA1131" s="161"/>
      <c r="AB1131" s="161"/>
      <c r="AC1131" s="161"/>
      <c r="AD1131" s="161"/>
      <c r="AE1131" s="161"/>
      <c r="AF1131" s="161"/>
      <c r="AG1131" s="161"/>
      <c r="AH1131" s="161"/>
      <c r="AI1131" s="161"/>
      <c r="AJ1131" s="161"/>
      <c r="AK1131" s="161"/>
      <c r="AL1131" s="161"/>
      <c r="AM1131" s="161"/>
      <c r="AN1131" s="161"/>
      <c r="AO1131" s="161"/>
      <c r="AP1131" s="161"/>
      <c r="AQ1131" s="161"/>
      <c r="AR1131" s="161"/>
      <c r="AS1131" s="161"/>
      <c r="AT1131" s="161"/>
      <c r="AU1131" s="161"/>
      <c r="AV1131" s="161"/>
      <c r="AW1131" s="161"/>
      <c r="AX1131" s="161"/>
      <c r="AY1131" s="161"/>
      <c r="AZ1131" s="161"/>
      <c r="BA1131" s="161"/>
      <c r="BB1131" s="161"/>
      <c r="BC1131" s="161"/>
      <c r="BD1131" s="161"/>
      <c r="BE1131" s="161"/>
      <c r="BF1131" s="161"/>
      <c r="BG1131" s="161"/>
      <c r="BH1131" s="161"/>
      <c r="BI1131" s="161"/>
      <c r="BJ1131" s="161"/>
      <c r="BK1131" s="161"/>
      <c r="BL1131" s="161"/>
      <c r="BM1131" s="161"/>
      <c r="BN1131" s="161"/>
      <c r="BO1131" s="161"/>
      <c r="BP1131" s="161"/>
      <c r="BQ1131" s="161"/>
      <c r="BR1131" s="161"/>
      <c r="BS1131" s="161"/>
      <c r="BT1131" s="161"/>
      <c r="BU1131" s="161"/>
      <c r="BV1131" s="161"/>
      <c r="BW1131" s="161"/>
      <c r="BX1131" s="161"/>
      <c r="BY1131" s="161"/>
      <c r="BZ1131" s="161"/>
      <c r="CA1131" s="161"/>
      <c r="CB1131" s="161"/>
      <c r="CC1131" s="161"/>
      <c r="CD1131" s="161"/>
      <c r="CE1131" s="161"/>
      <c r="CF1131" s="161"/>
      <c r="CG1131" s="161"/>
    </row>
    <row r="1132">
      <c r="A1132" s="161"/>
      <c r="B1132" s="161"/>
      <c r="C1132" s="161"/>
      <c r="D1132" s="161"/>
      <c r="E1132" s="161"/>
      <c r="F1132" s="161"/>
      <c r="G1132" s="161"/>
      <c r="H1132" s="161"/>
      <c r="I1132" s="161"/>
      <c r="J1132" s="161"/>
      <c r="K1132" s="161"/>
      <c r="L1132" s="161"/>
      <c r="M1132" s="161"/>
      <c r="N1132" s="161"/>
      <c r="O1132" s="161"/>
      <c r="P1132" s="161"/>
      <c r="Q1132" s="161"/>
      <c r="R1132" s="161"/>
      <c r="S1132" s="161"/>
      <c r="T1132" s="161"/>
      <c r="U1132" s="161"/>
      <c r="V1132" s="161"/>
      <c r="W1132" s="161"/>
      <c r="X1132" s="161"/>
      <c r="Y1132" s="161"/>
      <c r="Z1132" s="161"/>
      <c r="AA1132" s="161"/>
      <c r="AB1132" s="161"/>
      <c r="AC1132" s="161"/>
      <c r="AD1132" s="161"/>
      <c r="AE1132" s="161"/>
      <c r="AF1132" s="161"/>
      <c r="AG1132" s="161"/>
      <c r="AH1132" s="161"/>
      <c r="AI1132" s="161"/>
      <c r="AJ1132" s="161"/>
      <c r="AK1132" s="161"/>
      <c r="AL1132" s="161"/>
      <c r="AM1132" s="161"/>
      <c r="AN1132" s="161"/>
      <c r="AO1132" s="161"/>
      <c r="AP1132" s="161"/>
      <c r="AQ1132" s="161"/>
      <c r="AR1132" s="161"/>
      <c r="AS1132" s="161"/>
      <c r="AT1132" s="161"/>
      <c r="AU1132" s="161"/>
      <c r="AV1132" s="161"/>
      <c r="AW1132" s="161"/>
      <c r="AX1132" s="161"/>
      <c r="AY1132" s="161"/>
      <c r="AZ1132" s="161"/>
      <c r="BA1132" s="161"/>
      <c r="BB1132" s="161"/>
      <c r="BC1132" s="161"/>
      <c r="BD1132" s="161"/>
      <c r="BE1132" s="161"/>
      <c r="BF1132" s="161"/>
      <c r="BG1132" s="161"/>
      <c r="BH1132" s="161"/>
      <c r="BI1132" s="161"/>
      <c r="BJ1132" s="161"/>
      <c r="BK1132" s="161"/>
      <c r="BL1132" s="161"/>
      <c r="BM1132" s="161"/>
      <c r="BN1132" s="161"/>
      <c r="BO1132" s="161"/>
      <c r="BP1132" s="161"/>
      <c r="BQ1132" s="161"/>
      <c r="BR1132" s="161"/>
      <c r="BS1132" s="161"/>
      <c r="BT1132" s="161"/>
      <c r="BU1132" s="161"/>
      <c r="BV1132" s="161"/>
      <c r="BW1132" s="161"/>
      <c r="BX1132" s="161"/>
      <c r="BY1132" s="161"/>
      <c r="BZ1132" s="161"/>
      <c r="CA1132" s="161"/>
      <c r="CB1132" s="161"/>
      <c r="CC1132" s="161"/>
      <c r="CD1132" s="161"/>
      <c r="CE1132" s="161"/>
      <c r="CF1132" s="161"/>
      <c r="CG1132" s="161"/>
    </row>
    <row r="1133">
      <c r="A1133" s="161"/>
      <c r="B1133" s="161"/>
      <c r="C1133" s="161"/>
      <c r="D1133" s="161"/>
      <c r="E1133" s="161"/>
      <c r="F1133" s="161"/>
      <c r="G1133" s="161"/>
      <c r="H1133" s="161"/>
      <c r="I1133" s="161"/>
      <c r="J1133" s="161"/>
      <c r="K1133" s="161"/>
      <c r="L1133" s="161"/>
      <c r="M1133" s="161"/>
      <c r="N1133" s="161"/>
      <c r="O1133" s="161"/>
      <c r="P1133" s="161"/>
      <c r="Q1133" s="161"/>
      <c r="R1133" s="161"/>
      <c r="S1133" s="161"/>
      <c r="T1133" s="161"/>
      <c r="U1133" s="161"/>
      <c r="V1133" s="161"/>
      <c r="W1133" s="161"/>
      <c r="X1133" s="161"/>
      <c r="Y1133" s="161"/>
      <c r="Z1133" s="161"/>
      <c r="AA1133" s="161"/>
      <c r="AB1133" s="161"/>
      <c r="AC1133" s="161"/>
      <c r="AD1133" s="161"/>
      <c r="AE1133" s="161"/>
      <c r="AF1133" s="161"/>
      <c r="AG1133" s="161"/>
      <c r="AH1133" s="161"/>
      <c r="AI1133" s="161"/>
      <c r="AJ1133" s="161"/>
      <c r="AK1133" s="161"/>
      <c r="AL1133" s="161"/>
      <c r="AM1133" s="161"/>
      <c r="AN1133" s="161"/>
      <c r="AO1133" s="161"/>
      <c r="AP1133" s="161"/>
      <c r="AQ1133" s="161"/>
      <c r="AR1133" s="161"/>
      <c r="AS1133" s="161"/>
      <c r="AT1133" s="161"/>
      <c r="AU1133" s="161"/>
      <c r="AV1133" s="161"/>
      <c r="AW1133" s="161"/>
      <c r="AX1133" s="161"/>
      <c r="AY1133" s="161"/>
      <c r="AZ1133" s="161"/>
      <c r="BA1133" s="161"/>
      <c r="BB1133" s="161"/>
      <c r="BC1133" s="161"/>
      <c r="BD1133" s="161"/>
      <c r="BE1133" s="161"/>
      <c r="BF1133" s="161"/>
      <c r="BG1133" s="161"/>
      <c r="BH1133" s="161"/>
      <c r="BI1133" s="161"/>
      <c r="BJ1133" s="161"/>
      <c r="BK1133" s="161"/>
      <c r="BL1133" s="161"/>
      <c r="BM1133" s="161"/>
      <c r="BN1133" s="161"/>
      <c r="BO1133" s="161"/>
      <c r="BP1133" s="161"/>
      <c r="BQ1133" s="161"/>
      <c r="BR1133" s="161"/>
      <c r="BS1133" s="161"/>
      <c r="BT1133" s="161"/>
      <c r="BU1133" s="161"/>
      <c r="BV1133" s="161"/>
      <c r="BW1133" s="161"/>
      <c r="BX1133" s="161"/>
      <c r="BY1133" s="161"/>
      <c r="BZ1133" s="161"/>
      <c r="CA1133" s="161"/>
      <c r="CB1133" s="161"/>
      <c r="CC1133" s="161"/>
      <c r="CD1133" s="161"/>
      <c r="CE1133" s="161"/>
      <c r="CF1133" s="161"/>
      <c r="CG1133" s="161"/>
    </row>
    <row r="1134">
      <c r="A1134" s="161"/>
      <c r="B1134" s="161"/>
      <c r="C1134" s="161"/>
      <c r="D1134" s="161"/>
      <c r="E1134" s="161"/>
      <c r="F1134" s="161"/>
      <c r="G1134" s="161"/>
      <c r="H1134" s="161"/>
      <c r="I1134" s="161"/>
      <c r="J1134" s="161"/>
      <c r="K1134" s="161"/>
      <c r="L1134" s="161"/>
      <c r="M1134" s="161"/>
      <c r="N1134" s="161"/>
      <c r="O1134" s="161"/>
      <c r="P1134" s="161"/>
      <c r="Q1134" s="161"/>
      <c r="R1134" s="161"/>
      <c r="S1134" s="161"/>
      <c r="T1134" s="161"/>
      <c r="U1134" s="161"/>
      <c r="V1134" s="161"/>
      <c r="W1134" s="161"/>
      <c r="X1134" s="161"/>
      <c r="Y1134" s="161"/>
      <c r="Z1134" s="161"/>
      <c r="AA1134" s="161"/>
      <c r="AB1134" s="161"/>
      <c r="AC1134" s="161"/>
      <c r="AD1134" s="161"/>
      <c r="AE1134" s="161"/>
      <c r="AF1134" s="161"/>
      <c r="AG1134" s="161"/>
      <c r="AH1134" s="161"/>
      <c r="AI1134" s="161"/>
      <c r="AJ1134" s="161"/>
      <c r="AK1134" s="161"/>
      <c r="AL1134" s="161"/>
      <c r="AM1134" s="161"/>
      <c r="AN1134" s="161"/>
      <c r="AO1134" s="161"/>
      <c r="AP1134" s="161"/>
      <c r="AQ1134" s="161"/>
      <c r="AR1134" s="161"/>
      <c r="AS1134" s="161"/>
      <c r="AT1134" s="161"/>
      <c r="AU1134" s="161"/>
      <c r="AV1134" s="161"/>
      <c r="AW1134" s="161"/>
      <c r="AX1134" s="161"/>
      <c r="AY1134" s="161"/>
      <c r="AZ1134" s="161"/>
      <c r="BA1134" s="161"/>
      <c r="BB1134" s="161"/>
      <c r="BC1134" s="161"/>
      <c r="BD1134" s="161"/>
      <c r="BE1134" s="161"/>
      <c r="BF1134" s="161"/>
      <c r="BG1134" s="161"/>
      <c r="BH1134" s="161"/>
      <c r="BI1134" s="161"/>
      <c r="BJ1134" s="161"/>
      <c r="BK1134" s="161"/>
      <c r="BL1134" s="161"/>
      <c r="BM1134" s="161"/>
      <c r="BN1134" s="161"/>
      <c r="BO1134" s="161"/>
      <c r="BP1134" s="161"/>
      <c r="BQ1134" s="161"/>
      <c r="BR1134" s="161"/>
      <c r="BS1134" s="161"/>
      <c r="BT1134" s="161"/>
      <c r="BU1134" s="161"/>
      <c r="BV1134" s="161"/>
      <c r="BW1134" s="161"/>
      <c r="BX1134" s="161"/>
      <c r="BY1134" s="161"/>
      <c r="BZ1134" s="161"/>
      <c r="CA1134" s="161"/>
      <c r="CB1134" s="161"/>
      <c r="CC1134" s="161"/>
      <c r="CD1134" s="161"/>
      <c r="CE1134" s="161"/>
      <c r="CF1134" s="161"/>
      <c r="CG1134" s="161"/>
    </row>
    <row r="1135">
      <c r="A1135" s="161"/>
      <c r="B1135" s="161"/>
      <c r="C1135" s="161"/>
      <c r="D1135" s="161"/>
      <c r="E1135" s="161"/>
      <c r="F1135" s="161"/>
      <c r="G1135" s="161"/>
      <c r="H1135" s="161"/>
      <c r="I1135" s="161"/>
      <c r="J1135" s="161"/>
      <c r="K1135" s="161"/>
      <c r="L1135" s="161"/>
      <c r="M1135" s="161"/>
      <c r="N1135" s="161"/>
      <c r="O1135" s="161"/>
      <c r="P1135" s="161"/>
      <c r="Q1135" s="161"/>
      <c r="R1135" s="161"/>
      <c r="S1135" s="161"/>
      <c r="T1135" s="161"/>
      <c r="U1135" s="161"/>
      <c r="V1135" s="161"/>
      <c r="W1135" s="161"/>
      <c r="X1135" s="161"/>
      <c r="Y1135" s="161"/>
      <c r="Z1135" s="161"/>
      <c r="AA1135" s="161"/>
      <c r="AB1135" s="161"/>
      <c r="AC1135" s="161"/>
      <c r="AD1135" s="161"/>
      <c r="AE1135" s="161"/>
      <c r="AF1135" s="161"/>
      <c r="AG1135" s="161"/>
      <c r="AH1135" s="161"/>
      <c r="AI1135" s="161"/>
      <c r="AJ1135" s="161"/>
      <c r="AK1135" s="161"/>
      <c r="AL1135" s="161"/>
      <c r="AM1135" s="161"/>
      <c r="AN1135" s="161"/>
      <c r="AO1135" s="161"/>
      <c r="AP1135" s="161"/>
      <c r="AQ1135" s="161"/>
      <c r="AR1135" s="161"/>
      <c r="AS1135" s="161"/>
      <c r="AT1135" s="161"/>
      <c r="AU1135" s="161"/>
      <c r="AV1135" s="161"/>
      <c r="AW1135" s="161"/>
      <c r="AX1135" s="161"/>
      <c r="AY1135" s="161"/>
      <c r="AZ1135" s="161"/>
      <c r="BA1135" s="161"/>
      <c r="BB1135" s="161"/>
      <c r="BC1135" s="161"/>
      <c r="BD1135" s="161"/>
      <c r="BE1135" s="161"/>
      <c r="BF1135" s="161"/>
      <c r="BG1135" s="161"/>
      <c r="BH1135" s="161"/>
      <c r="BI1135" s="161"/>
      <c r="BJ1135" s="161"/>
      <c r="BK1135" s="161"/>
      <c r="BL1135" s="161"/>
      <c r="BM1135" s="161"/>
      <c r="BN1135" s="161"/>
      <c r="BO1135" s="161"/>
      <c r="BP1135" s="161"/>
      <c r="BQ1135" s="161"/>
      <c r="BR1135" s="161"/>
      <c r="BS1135" s="161"/>
      <c r="BT1135" s="161"/>
      <c r="BU1135" s="161"/>
      <c r="BV1135" s="161"/>
      <c r="BW1135" s="161"/>
      <c r="BX1135" s="161"/>
      <c r="BY1135" s="161"/>
      <c r="BZ1135" s="161"/>
      <c r="CA1135" s="161"/>
      <c r="CB1135" s="161"/>
      <c r="CC1135" s="161"/>
      <c r="CD1135" s="161"/>
      <c r="CE1135" s="161"/>
      <c r="CF1135" s="161"/>
      <c r="CG1135" s="161"/>
    </row>
    <row r="1136">
      <c r="A1136" s="161"/>
      <c r="B1136" s="161"/>
      <c r="C1136" s="161"/>
      <c r="D1136" s="161"/>
      <c r="E1136" s="161"/>
      <c r="F1136" s="161"/>
      <c r="G1136" s="161"/>
      <c r="H1136" s="161"/>
      <c r="I1136" s="161"/>
      <c r="J1136" s="161"/>
      <c r="K1136" s="161"/>
      <c r="L1136" s="161"/>
      <c r="M1136" s="161"/>
      <c r="N1136" s="161"/>
      <c r="O1136" s="161"/>
      <c r="P1136" s="161"/>
      <c r="Q1136" s="161"/>
      <c r="R1136" s="161"/>
      <c r="S1136" s="161"/>
      <c r="T1136" s="161"/>
      <c r="U1136" s="161"/>
      <c r="V1136" s="161"/>
      <c r="W1136" s="161"/>
      <c r="X1136" s="161"/>
      <c r="Y1136" s="161"/>
      <c r="Z1136" s="161"/>
      <c r="AA1136" s="161"/>
      <c r="AB1136" s="161"/>
      <c r="AC1136" s="161"/>
      <c r="AD1136" s="161"/>
      <c r="AE1136" s="161"/>
      <c r="AF1136" s="161"/>
      <c r="AG1136" s="161"/>
      <c r="AH1136" s="161"/>
      <c r="AI1136" s="161"/>
      <c r="AJ1136" s="161"/>
      <c r="AK1136" s="161"/>
      <c r="AL1136" s="161"/>
      <c r="AM1136" s="161"/>
      <c r="AN1136" s="161"/>
      <c r="AO1136" s="161"/>
      <c r="AP1136" s="161"/>
      <c r="AQ1136" s="161"/>
      <c r="AR1136" s="161"/>
      <c r="AS1136" s="161"/>
      <c r="AT1136" s="161"/>
      <c r="AU1136" s="161"/>
      <c r="AV1136" s="161"/>
      <c r="AW1136" s="161"/>
      <c r="AX1136" s="161"/>
      <c r="AY1136" s="161"/>
      <c r="AZ1136" s="161"/>
      <c r="BA1136" s="161"/>
      <c r="BB1136" s="161"/>
      <c r="BC1136" s="161"/>
      <c r="BD1136" s="161"/>
      <c r="BE1136" s="161"/>
      <c r="BF1136" s="161"/>
      <c r="BG1136" s="161"/>
      <c r="BH1136" s="161"/>
      <c r="BI1136" s="161"/>
      <c r="BJ1136" s="161"/>
      <c r="BK1136" s="161"/>
      <c r="BL1136" s="161"/>
      <c r="BM1136" s="161"/>
      <c r="BN1136" s="161"/>
      <c r="BO1136" s="161"/>
      <c r="BP1136" s="161"/>
      <c r="BQ1136" s="161"/>
      <c r="BR1136" s="161"/>
      <c r="BS1136" s="161"/>
      <c r="BT1136" s="161"/>
      <c r="BU1136" s="161"/>
      <c r="BV1136" s="161"/>
      <c r="BW1136" s="161"/>
      <c r="BX1136" s="161"/>
      <c r="BY1136" s="161"/>
      <c r="BZ1136" s="161"/>
      <c r="CA1136" s="161"/>
      <c r="CB1136" s="161"/>
      <c r="CC1136" s="161"/>
      <c r="CD1136" s="161"/>
      <c r="CE1136" s="161"/>
      <c r="CF1136" s="161"/>
      <c r="CG1136" s="161"/>
    </row>
    <row r="1137">
      <c r="A1137" s="161"/>
      <c r="B1137" s="161"/>
      <c r="C1137" s="161"/>
      <c r="D1137" s="161"/>
      <c r="E1137" s="161"/>
      <c r="F1137" s="161"/>
      <c r="G1137" s="161"/>
      <c r="H1137" s="161"/>
      <c r="I1137" s="161"/>
      <c r="J1137" s="161"/>
      <c r="K1137" s="161"/>
      <c r="L1137" s="161"/>
      <c r="M1137" s="161"/>
      <c r="N1137" s="161"/>
      <c r="O1137" s="161"/>
      <c r="P1137" s="161"/>
      <c r="Q1137" s="161"/>
      <c r="R1137" s="161"/>
      <c r="S1137" s="161"/>
      <c r="T1137" s="161"/>
      <c r="U1137" s="161"/>
      <c r="V1137" s="161"/>
      <c r="W1137" s="161"/>
      <c r="X1137" s="161"/>
      <c r="Y1137" s="161"/>
      <c r="Z1137" s="161"/>
      <c r="AA1137" s="161"/>
      <c r="AB1137" s="161"/>
      <c r="AC1137" s="161"/>
      <c r="AD1137" s="161"/>
      <c r="AE1137" s="161"/>
      <c r="AF1137" s="161"/>
      <c r="AG1137" s="161"/>
      <c r="AH1137" s="161"/>
      <c r="AI1137" s="161"/>
      <c r="AJ1137" s="161"/>
      <c r="AK1137" s="161"/>
      <c r="AL1137" s="161"/>
      <c r="AM1137" s="161"/>
      <c r="AN1137" s="161"/>
      <c r="AO1137" s="161"/>
      <c r="AP1137" s="161"/>
      <c r="AQ1137" s="161"/>
      <c r="AR1137" s="161"/>
      <c r="AS1137" s="161"/>
      <c r="AT1137" s="161"/>
      <c r="AU1137" s="161"/>
      <c r="AV1137" s="161"/>
      <c r="AW1137" s="161"/>
      <c r="AX1137" s="161"/>
      <c r="AY1137" s="161"/>
      <c r="AZ1137" s="161"/>
      <c r="BA1137" s="161"/>
      <c r="BB1137" s="161"/>
      <c r="BC1137" s="161"/>
      <c r="BD1137" s="161"/>
      <c r="BE1137" s="161"/>
      <c r="BF1137" s="161"/>
      <c r="BG1137" s="161"/>
      <c r="BH1137" s="161"/>
      <c r="BI1137" s="161"/>
      <c r="BJ1137" s="161"/>
      <c r="BK1137" s="161"/>
      <c r="BL1137" s="161"/>
      <c r="BM1137" s="161"/>
      <c r="BN1137" s="161"/>
      <c r="BO1137" s="161"/>
      <c r="BP1137" s="161"/>
      <c r="BQ1137" s="161"/>
      <c r="BR1137" s="161"/>
      <c r="BS1137" s="161"/>
      <c r="BT1137" s="161"/>
      <c r="BU1137" s="161"/>
      <c r="BV1137" s="161"/>
      <c r="BW1137" s="161"/>
      <c r="BX1137" s="161"/>
      <c r="BY1137" s="161"/>
      <c r="BZ1137" s="161"/>
      <c r="CA1137" s="161"/>
      <c r="CB1137" s="161"/>
      <c r="CC1137" s="161"/>
      <c r="CD1137" s="161"/>
      <c r="CE1137" s="161"/>
      <c r="CF1137" s="161"/>
      <c r="CG1137" s="161"/>
    </row>
    <row r="1138">
      <c r="A1138" s="161"/>
      <c r="B1138" s="161"/>
      <c r="C1138" s="161"/>
      <c r="D1138" s="161"/>
      <c r="E1138" s="161"/>
      <c r="F1138" s="161"/>
      <c r="G1138" s="161"/>
      <c r="H1138" s="161"/>
      <c r="I1138" s="161"/>
      <c r="J1138" s="161"/>
      <c r="K1138" s="161"/>
      <c r="L1138" s="161"/>
      <c r="M1138" s="161"/>
      <c r="N1138" s="161"/>
      <c r="O1138" s="161"/>
      <c r="P1138" s="161"/>
      <c r="Q1138" s="161"/>
      <c r="R1138" s="161"/>
      <c r="S1138" s="161"/>
      <c r="T1138" s="161"/>
      <c r="U1138" s="161"/>
      <c r="V1138" s="161"/>
      <c r="W1138" s="161"/>
      <c r="X1138" s="161"/>
      <c r="Y1138" s="161"/>
      <c r="Z1138" s="161"/>
      <c r="AA1138" s="161"/>
      <c r="AB1138" s="161"/>
      <c r="AC1138" s="161"/>
      <c r="AD1138" s="161"/>
      <c r="AE1138" s="161"/>
      <c r="AF1138" s="161"/>
      <c r="AG1138" s="161"/>
      <c r="AH1138" s="161"/>
      <c r="AI1138" s="161"/>
      <c r="AJ1138" s="161"/>
      <c r="AK1138" s="161"/>
      <c r="AL1138" s="161"/>
      <c r="AM1138" s="161"/>
      <c r="AN1138" s="161"/>
      <c r="AO1138" s="161"/>
      <c r="AP1138" s="161"/>
      <c r="AQ1138" s="161"/>
      <c r="AR1138" s="161"/>
      <c r="AS1138" s="161"/>
      <c r="AT1138" s="161"/>
      <c r="AU1138" s="161"/>
      <c r="AV1138" s="161"/>
      <c r="AW1138" s="161"/>
      <c r="AX1138" s="161"/>
      <c r="AY1138" s="161"/>
      <c r="AZ1138" s="161"/>
      <c r="BA1138" s="161"/>
      <c r="BB1138" s="161"/>
      <c r="BC1138" s="161"/>
      <c r="BD1138" s="161"/>
      <c r="BE1138" s="161"/>
      <c r="BF1138" s="161"/>
      <c r="BG1138" s="161"/>
      <c r="BH1138" s="161"/>
      <c r="BI1138" s="161"/>
      <c r="BJ1138" s="161"/>
      <c r="BK1138" s="161"/>
      <c r="BL1138" s="161"/>
      <c r="BM1138" s="161"/>
      <c r="BN1138" s="161"/>
      <c r="BO1138" s="161"/>
      <c r="BP1138" s="161"/>
      <c r="BQ1138" s="161"/>
      <c r="BR1138" s="161"/>
      <c r="BS1138" s="161"/>
      <c r="BT1138" s="161"/>
      <c r="BU1138" s="161"/>
      <c r="BV1138" s="161"/>
      <c r="BW1138" s="161"/>
      <c r="BX1138" s="161"/>
      <c r="BY1138" s="161"/>
      <c r="BZ1138" s="161"/>
      <c r="CA1138" s="161"/>
      <c r="CB1138" s="161"/>
      <c r="CC1138" s="161"/>
      <c r="CD1138" s="161"/>
      <c r="CE1138" s="161"/>
      <c r="CF1138" s="161"/>
      <c r="CG1138" s="161"/>
    </row>
    <row r="1139">
      <c r="A1139" s="161"/>
      <c r="B1139" s="161"/>
      <c r="C1139" s="161"/>
      <c r="D1139" s="161"/>
      <c r="E1139" s="161"/>
      <c r="F1139" s="161"/>
      <c r="G1139" s="161"/>
      <c r="H1139" s="161"/>
      <c r="I1139" s="161"/>
      <c r="J1139" s="161"/>
      <c r="K1139" s="161"/>
      <c r="L1139" s="161"/>
      <c r="M1139" s="161"/>
      <c r="N1139" s="161"/>
      <c r="O1139" s="161"/>
      <c r="P1139" s="161"/>
      <c r="Q1139" s="161"/>
      <c r="R1139" s="161"/>
      <c r="S1139" s="161"/>
      <c r="T1139" s="161"/>
      <c r="U1139" s="161"/>
      <c r="V1139" s="161"/>
      <c r="W1139" s="161"/>
      <c r="X1139" s="161"/>
      <c r="Y1139" s="161"/>
      <c r="Z1139" s="161"/>
      <c r="AA1139" s="161"/>
      <c r="AB1139" s="161"/>
      <c r="AC1139" s="161"/>
      <c r="AD1139" s="161"/>
      <c r="AE1139" s="161"/>
      <c r="AF1139" s="161"/>
      <c r="AG1139" s="161"/>
      <c r="AH1139" s="161"/>
      <c r="AI1139" s="161"/>
      <c r="AJ1139" s="161"/>
      <c r="AK1139" s="161"/>
      <c r="AL1139" s="161"/>
      <c r="AM1139" s="161"/>
      <c r="AN1139" s="161"/>
      <c r="AO1139" s="161"/>
      <c r="AP1139" s="161"/>
      <c r="AQ1139" s="161"/>
      <c r="AR1139" s="161"/>
      <c r="AS1139" s="161"/>
      <c r="AT1139" s="161"/>
      <c r="AU1139" s="161"/>
      <c r="AV1139" s="161"/>
      <c r="AW1139" s="161"/>
      <c r="AX1139" s="161"/>
      <c r="AY1139" s="161"/>
      <c r="AZ1139" s="161"/>
      <c r="BA1139" s="161"/>
      <c r="BB1139" s="161"/>
      <c r="BC1139" s="161"/>
      <c r="BD1139" s="161"/>
      <c r="BE1139" s="161"/>
      <c r="BF1139" s="161"/>
      <c r="BG1139" s="161"/>
      <c r="BH1139" s="161"/>
      <c r="BI1139" s="161"/>
      <c r="BJ1139" s="161"/>
      <c r="BK1139" s="161"/>
      <c r="BL1139" s="161"/>
      <c r="BM1139" s="161"/>
      <c r="BN1139" s="161"/>
      <c r="BO1139" s="161"/>
      <c r="BP1139" s="161"/>
      <c r="BQ1139" s="161"/>
      <c r="BR1139" s="161"/>
      <c r="BS1139" s="161"/>
      <c r="BT1139" s="161"/>
      <c r="BU1139" s="161"/>
      <c r="BV1139" s="161"/>
      <c r="BW1139" s="161"/>
      <c r="BX1139" s="161"/>
      <c r="BY1139" s="161"/>
      <c r="BZ1139" s="161"/>
      <c r="CA1139" s="161"/>
      <c r="CB1139" s="161"/>
      <c r="CC1139" s="161"/>
      <c r="CD1139" s="161"/>
      <c r="CE1139" s="161"/>
      <c r="CF1139" s="161"/>
      <c r="CG1139" s="161"/>
    </row>
    <row r="1140">
      <c r="A1140" s="161"/>
      <c r="B1140" s="161"/>
      <c r="C1140" s="161"/>
      <c r="D1140" s="161"/>
      <c r="E1140" s="161"/>
      <c r="F1140" s="161"/>
      <c r="G1140" s="161"/>
      <c r="H1140" s="161"/>
      <c r="I1140" s="161"/>
      <c r="J1140" s="161"/>
      <c r="K1140" s="161"/>
      <c r="L1140" s="161"/>
      <c r="M1140" s="161"/>
      <c r="N1140" s="161"/>
      <c r="O1140" s="161"/>
      <c r="P1140" s="161"/>
      <c r="Q1140" s="161"/>
      <c r="R1140" s="161"/>
      <c r="S1140" s="161"/>
      <c r="T1140" s="161"/>
      <c r="U1140" s="161"/>
      <c r="V1140" s="161"/>
      <c r="W1140" s="161"/>
      <c r="X1140" s="161"/>
      <c r="Y1140" s="161"/>
      <c r="Z1140" s="161"/>
      <c r="AA1140" s="161"/>
      <c r="AB1140" s="161"/>
      <c r="AC1140" s="161"/>
      <c r="AD1140" s="161"/>
      <c r="AE1140" s="161"/>
      <c r="AF1140" s="161"/>
      <c r="AG1140" s="161"/>
      <c r="AH1140" s="161"/>
      <c r="AI1140" s="161"/>
      <c r="AJ1140" s="161"/>
      <c r="AK1140" s="161"/>
      <c r="AL1140" s="161"/>
      <c r="AM1140" s="161"/>
      <c r="AN1140" s="161"/>
      <c r="AO1140" s="161"/>
      <c r="AP1140" s="161"/>
      <c r="AQ1140" s="161"/>
      <c r="AR1140" s="161"/>
      <c r="AS1140" s="161"/>
      <c r="AT1140" s="161"/>
      <c r="AU1140" s="161"/>
      <c r="AV1140" s="161"/>
      <c r="AW1140" s="161"/>
      <c r="AX1140" s="161"/>
      <c r="AY1140" s="161"/>
      <c r="AZ1140" s="161"/>
      <c r="BA1140" s="161"/>
      <c r="BB1140" s="161"/>
      <c r="BC1140" s="161"/>
      <c r="BD1140" s="161"/>
      <c r="BE1140" s="161"/>
      <c r="BF1140" s="161"/>
      <c r="BG1140" s="161"/>
      <c r="BH1140" s="161"/>
      <c r="BI1140" s="161"/>
      <c r="BJ1140" s="161"/>
      <c r="BK1140" s="161"/>
      <c r="BL1140" s="161"/>
      <c r="BM1140" s="161"/>
      <c r="BN1140" s="161"/>
      <c r="BO1140" s="161"/>
      <c r="BP1140" s="161"/>
      <c r="BQ1140" s="161"/>
      <c r="BR1140" s="161"/>
      <c r="BS1140" s="161"/>
      <c r="BT1140" s="161"/>
      <c r="BU1140" s="161"/>
      <c r="BV1140" s="161"/>
      <c r="BW1140" s="161"/>
      <c r="BX1140" s="161"/>
      <c r="BY1140" s="161"/>
      <c r="BZ1140" s="161"/>
      <c r="CA1140" s="161"/>
      <c r="CB1140" s="161"/>
      <c r="CC1140" s="161"/>
      <c r="CD1140" s="161"/>
      <c r="CE1140" s="161"/>
      <c r="CF1140" s="161"/>
      <c r="CG1140" s="161"/>
    </row>
    <row r="1141">
      <c r="A1141" s="161"/>
      <c r="B1141" s="161"/>
      <c r="C1141" s="161"/>
      <c r="D1141" s="161"/>
      <c r="E1141" s="161"/>
      <c r="F1141" s="161"/>
      <c r="G1141" s="161"/>
      <c r="H1141" s="161"/>
      <c r="I1141" s="161"/>
      <c r="J1141" s="161"/>
      <c r="K1141" s="161"/>
      <c r="L1141" s="161"/>
      <c r="M1141" s="161"/>
      <c r="N1141" s="161"/>
      <c r="O1141" s="161"/>
      <c r="P1141" s="161"/>
      <c r="Q1141" s="161"/>
      <c r="R1141" s="161"/>
      <c r="S1141" s="161"/>
      <c r="T1141" s="161"/>
      <c r="U1141" s="161"/>
      <c r="V1141" s="161"/>
      <c r="W1141" s="161"/>
      <c r="X1141" s="161"/>
      <c r="Y1141" s="161"/>
      <c r="Z1141" s="161"/>
      <c r="AA1141" s="161"/>
      <c r="AB1141" s="161"/>
      <c r="AC1141" s="161"/>
      <c r="AD1141" s="161"/>
      <c r="AE1141" s="161"/>
      <c r="AF1141" s="161"/>
      <c r="AG1141" s="161"/>
      <c r="AH1141" s="161"/>
      <c r="AI1141" s="161"/>
      <c r="AJ1141" s="161"/>
      <c r="AK1141" s="161"/>
      <c r="AL1141" s="161"/>
      <c r="AM1141" s="161"/>
      <c r="AN1141" s="161"/>
      <c r="AO1141" s="161"/>
      <c r="AP1141" s="161"/>
      <c r="AQ1141" s="161"/>
      <c r="AR1141" s="161"/>
      <c r="AS1141" s="161"/>
      <c r="AT1141" s="161"/>
      <c r="AU1141" s="161"/>
      <c r="AV1141" s="161"/>
      <c r="AW1141" s="161"/>
      <c r="AX1141" s="161"/>
      <c r="AY1141" s="161"/>
      <c r="AZ1141" s="161"/>
      <c r="BA1141" s="161"/>
      <c r="BB1141" s="161"/>
      <c r="BC1141" s="161"/>
      <c r="BD1141" s="161"/>
      <c r="BE1141" s="161"/>
      <c r="BF1141" s="161"/>
      <c r="BG1141" s="161"/>
      <c r="BH1141" s="161"/>
      <c r="BI1141" s="161"/>
      <c r="BJ1141" s="161"/>
      <c r="BK1141" s="161"/>
      <c r="BL1141" s="161"/>
      <c r="BM1141" s="161"/>
      <c r="BN1141" s="161"/>
      <c r="BO1141" s="161"/>
      <c r="BP1141" s="161"/>
      <c r="BQ1141" s="161"/>
      <c r="BR1141" s="161"/>
      <c r="BS1141" s="161"/>
      <c r="BT1141" s="161"/>
      <c r="BU1141" s="161"/>
      <c r="BV1141" s="161"/>
      <c r="BW1141" s="161"/>
      <c r="BX1141" s="161"/>
      <c r="BY1141" s="161"/>
      <c r="BZ1141" s="161"/>
      <c r="CA1141" s="161"/>
      <c r="CB1141" s="161"/>
      <c r="CC1141" s="161"/>
      <c r="CD1141" s="161"/>
      <c r="CE1141" s="161"/>
      <c r="CF1141" s="161"/>
      <c r="CG1141" s="161"/>
    </row>
    <row r="1142">
      <c r="A1142" s="161"/>
      <c r="B1142" s="161"/>
      <c r="C1142" s="161"/>
      <c r="D1142" s="161"/>
      <c r="E1142" s="161"/>
      <c r="F1142" s="161"/>
      <c r="G1142" s="161"/>
      <c r="H1142" s="161"/>
      <c r="I1142" s="161"/>
      <c r="J1142" s="161"/>
      <c r="K1142" s="161"/>
      <c r="L1142" s="161"/>
      <c r="M1142" s="161"/>
      <c r="N1142" s="161"/>
      <c r="O1142" s="161"/>
      <c r="P1142" s="161"/>
      <c r="Q1142" s="161"/>
      <c r="R1142" s="161"/>
      <c r="S1142" s="161"/>
      <c r="T1142" s="161"/>
      <c r="U1142" s="161"/>
      <c r="V1142" s="161"/>
      <c r="W1142" s="161"/>
      <c r="X1142" s="161"/>
      <c r="Y1142" s="161"/>
      <c r="Z1142" s="161"/>
      <c r="AA1142" s="161"/>
      <c r="AB1142" s="161"/>
      <c r="AC1142" s="161"/>
      <c r="AD1142" s="161"/>
      <c r="AE1142" s="161"/>
      <c r="AF1142" s="161"/>
      <c r="AG1142" s="161"/>
      <c r="AH1142" s="161"/>
      <c r="AI1142" s="161"/>
      <c r="AJ1142" s="161"/>
      <c r="AK1142" s="161"/>
      <c r="AL1142" s="161"/>
      <c r="AM1142" s="161"/>
      <c r="AN1142" s="161"/>
      <c r="AO1142" s="161"/>
      <c r="AP1142" s="161"/>
      <c r="AQ1142" s="161"/>
      <c r="AR1142" s="161"/>
      <c r="AS1142" s="161"/>
      <c r="AT1142" s="161"/>
      <c r="AU1142" s="161"/>
      <c r="AV1142" s="161"/>
      <c r="AW1142" s="161"/>
      <c r="AX1142" s="161"/>
      <c r="AY1142" s="161"/>
      <c r="AZ1142" s="161"/>
      <c r="BA1142" s="161"/>
      <c r="BB1142" s="161"/>
      <c r="BC1142" s="161"/>
      <c r="BD1142" s="161"/>
      <c r="BE1142" s="161"/>
      <c r="BF1142" s="161"/>
      <c r="BG1142" s="161"/>
      <c r="BH1142" s="161"/>
      <c r="BI1142" s="161"/>
      <c r="BJ1142" s="161"/>
      <c r="BK1142" s="161"/>
      <c r="BL1142" s="161"/>
      <c r="BM1142" s="161"/>
      <c r="BN1142" s="161"/>
      <c r="BO1142" s="161"/>
      <c r="BP1142" s="161"/>
      <c r="BQ1142" s="161"/>
      <c r="BR1142" s="161"/>
      <c r="BS1142" s="161"/>
      <c r="BT1142" s="161"/>
      <c r="BU1142" s="161"/>
      <c r="BV1142" s="161"/>
      <c r="BW1142" s="161"/>
      <c r="BX1142" s="161"/>
      <c r="BY1142" s="161"/>
      <c r="BZ1142" s="161"/>
      <c r="CA1142" s="161"/>
      <c r="CB1142" s="161"/>
      <c r="CC1142" s="161"/>
      <c r="CD1142" s="161"/>
      <c r="CE1142" s="161"/>
      <c r="CF1142" s="161"/>
      <c r="CG1142" s="161"/>
    </row>
    <row r="1143">
      <c r="A1143" s="161"/>
      <c r="B1143" s="161"/>
      <c r="C1143" s="161"/>
      <c r="D1143" s="161"/>
      <c r="E1143" s="161"/>
      <c r="F1143" s="161"/>
      <c r="G1143" s="161"/>
      <c r="H1143" s="161"/>
      <c r="I1143" s="161"/>
      <c r="J1143" s="161"/>
      <c r="K1143" s="161"/>
      <c r="L1143" s="161"/>
      <c r="M1143" s="161"/>
      <c r="N1143" s="161"/>
      <c r="O1143" s="161"/>
      <c r="P1143" s="161"/>
      <c r="Q1143" s="161"/>
      <c r="R1143" s="161"/>
      <c r="S1143" s="161"/>
      <c r="T1143" s="161"/>
      <c r="U1143" s="161"/>
      <c r="V1143" s="161"/>
      <c r="W1143" s="161"/>
      <c r="X1143" s="161"/>
      <c r="Y1143" s="161"/>
      <c r="Z1143" s="161"/>
      <c r="AA1143" s="161"/>
      <c r="AB1143" s="161"/>
      <c r="AC1143" s="161"/>
      <c r="AD1143" s="161"/>
      <c r="AE1143" s="161"/>
      <c r="AF1143" s="161"/>
      <c r="AG1143" s="161"/>
      <c r="AH1143" s="161"/>
      <c r="AI1143" s="161"/>
      <c r="AJ1143" s="161"/>
      <c r="AK1143" s="161"/>
      <c r="AL1143" s="161"/>
      <c r="AM1143" s="161"/>
      <c r="AN1143" s="161"/>
      <c r="AO1143" s="161"/>
      <c r="AP1143" s="161"/>
      <c r="AQ1143" s="161"/>
      <c r="AR1143" s="161"/>
      <c r="AS1143" s="161"/>
      <c r="AT1143" s="161"/>
      <c r="AU1143" s="161"/>
      <c r="AV1143" s="161"/>
      <c r="AW1143" s="161"/>
      <c r="AX1143" s="161"/>
      <c r="AY1143" s="161"/>
      <c r="AZ1143" s="161"/>
      <c r="BA1143" s="161"/>
      <c r="BB1143" s="161"/>
      <c r="BC1143" s="161"/>
      <c r="BD1143" s="161"/>
      <c r="BE1143" s="161"/>
      <c r="BF1143" s="161"/>
      <c r="BG1143" s="161"/>
      <c r="BH1143" s="161"/>
      <c r="BI1143" s="161"/>
      <c r="BJ1143" s="161"/>
      <c r="BK1143" s="161"/>
      <c r="BL1143" s="161"/>
      <c r="BM1143" s="161"/>
      <c r="BN1143" s="161"/>
      <c r="BO1143" s="161"/>
      <c r="BP1143" s="161"/>
      <c r="BQ1143" s="161"/>
      <c r="BR1143" s="161"/>
      <c r="BS1143" s="161"/>
      <c r="BT1143" s="161"/>
      <c r="BU1143" s="161"/>
      <c r="BV1143" s="161"/>
      <c r="BW1143" s="161"/>
      <c r="BX1143" s="161"/>
      <c r="BY1143" s="161"/>
      <c r="BZ1143" s="161"/>
      <c r="CA1143" s="161"/>
      <c r="CB1143" s="161"/>
      <c r="CC1143" s="161"/>
      <c r="CD1143" s="161"/>
      <c r="CE1143" s="161"/>
      <c r="CF1143" s="161"/>
      <c r="CG1143" s="161"/>
    </row>
    <row r="1144">
      <c r="A1144" s="161"/>
      <c r="B1144" s="161"/>
      <c r="C1144" s="161"/>
      <c r="D1144" s="161"/>
      <c r="E1144" s="161"/>
      <c r="F1144" s="161"/>
      <c r="G1144" s="161"/>
      <c r="H1144" s="161"/>
      <c r="I1144" s="161"/>
      <c r="J1144" s="161"/>
      <c r="K1144" s="161"/>
      <c r="L1144" s="161"/>
      <c r="M1144" s="161"/>
      <c r="N1144" s="161"/>
      <c r="O1144" s="161"/>
      <c r="P1144" s="161"/>
      <c r="Q1144" s="161"/>
      <c r="R1144" s="161"/>
      <c r="S1144" s="161"/>
      <c r="T1144" s="161"/>
      <c r="U1144" s="161"/>
      <c r="V1144" s="161"/>
      <c r="W1144" s="161"/>
      <c r="X1144" s="161"/>
      <c r="Y1144" s="161"/>
      <c r="Z1144" s="161"/>
      <c r="AA1144" s="161"/>
      <c r="AB1144" s="161"/>
      <c r="AC1144" s="161"/>
      <c r="AD1144" s="161"/>
      <c r="AE1144" s="161"/>
      <c r="AF1144" s="161"/>
      <c r="AG1144" s="161"/>
      <c r="AH1144" s="161"/>
      <c r="AI1144" s="161"/>
      <c r="AJ1144" s="161"/>
      <c r="AK1144" s="161"/>
      <c r="AL1144" s="161"/>
      <c r="AM1144" s="161"/>
      <c r="AN1144" s="161"/>
      <c r="AO1144" s="161"/>
      <c r="AP1144" s="161"/>
      <c r="AQ1144" s="161"/>
      <c r="AR1144" s="161"/>
      <c r="AS1144" s="161"/>
      <c r="AT1144" s="161"/>
      <c r="AU1144" s="161"/>
      <c r="AV1144" s="161"/>
      <c r="AW1144" s="161"/>
      <c r="AX1144" s="161"/>
      <c r="AY1144" s="161"/>
      <c r="AZ1144" s="161"/>
      <c r="BA1144" s="161"/>
      <c r="BB1144" s="161"/>
      <c r="BC1144" s="161"/>
      <c r="BD1144" s="161"/>
      <c r="BE1144" s="161"/>
      <c r="BF1144" s="161"/>
      <c r="BG1144" s="161"/>
      <c r="BH1144" s="161"/>
      <c r="BI1144" s="161"/>
      <c r="BJ1144" s="161"/>
      <c r="BK1144" s="161"/>
      <c r="BL1144" s="161"/>
      <c r="BM1144" s="161"/>
      <c r="BN1144" s="161"/>
      <c r="BO1144" s="161"/>
      <c r="BP1144" s="161"/>
      <c r="BQ1144" s="161"/>
      <c r="BR1144" s="161"/>
      <c r="BS1144" s="161"/>
      <c r="BT1144" s="161"/>
      <c r="BU1144" s="161"/>
      <c r="BV1144" s="161"/>
      <c r="BW1144" s="161"/>
      <c r="BX1144" s="161"/>
      <c r="BY1144" s="161"/>
      <c r="BZ1144" s="161"/>
      <c r="CA1144" s="161"/>
      <c r="CB1144" s="161"/>
      <c r="CC1144" s="161"/>
      <c r="CD1144" s="161"/>
      <c r="CE1144" s="161"/>
      <c r="CF1144" s="161"/>
      <c r="CG1144" s="161"/>
    </row>
    <row r="1145">
      <c r="A1145" s="161"/>
      <c r="B1145" s="161"/>
      <c r="C1145" s="161"/>
      <c r="D1145" s="161"/>
      <c r="E1145" s="161"/>
      <c r="F1145" s="161"/>
      <c r="G1145" s="161"/>
      <c r="H1145" s="161"/>
      <c r="I1145" s="161"/>
      <c r="J1145" s="161"/>
      <c r="K1145" s="161"/>
      <c r="L1145" s="161"/>
      <c r="M1145" s="161"/>
      <c r="N1145" s="161"/>
      <c r="O1145" s="161"/>
      <c r="P1145" s="161"/>
      <c r="Q1145" s="161"/>
      <c r="R1145" s="161"/>
      <c r="S1145" s="161"/>
      <c r="T1145" s="161"/>
      <c r="U1145" s="161"/>
      <c r="V1145" s="161"/>
      <c r="W1145" s="161"/>
      <c r="X1145" s="161"/>
      <c r="Y1145" s="161"/>
      <c r="Z1145" s="161"/>
      <c r="AA1145" s="161"/>
      <c r="AB1145" s="161"/>
      <c r="AC1145" s="161"/>
      <c r="AD1145" s="161"/>
      <c r="AE1145" s="161"/>
      <c r="AF1145" s="161"/>
      <c r="AG1145" s="161"/>
      <c r="AH1145" s="161"/>
      <c r="AI1145" s="161"/>
      <c r="AJ1145" s="161"/>
      <c r="AK1145" s="161"/>
      <c r="AL1145" s="161"/>
      <c r="AM1145" s="161"/>
      <c r="AN1145" s="161"/>
      <c r="AO1145" s="161"/>
      <c r="AP1145" s="161"/>
      <c r="AQ1145" s="161"/>
      <c r="AR1145" s="161"/>
      <c r="AS1145" s="161"/>
      <c r="AT1145" s="161"/>
      <c r="AU1145" s="161"/>
      <c r="AV1145" s="161"/>
      <c r="AW1145" s="161"/>
      <c r="AX1145" s="161"/>
      <c r="AY1145" s="161"/>
      <c r="AZ1145" s="161"/>
      <c r="BA1145" s="161"/>
      <c r="BB1145" s="161"/>
      <c r="BC1145" s="161"/>
      <c r="BD1145" s="161"/>
      <c r="BE1145" s="161"/>
      <c r="BF1145" s="161"/>
      <c r="BG1145" s="161"/>
      <c r="BH1145" s="161"/>
      <c r="BI1145" s="161"/>
      <c r="BJ1145" s="161"/>
      <c r="BK1145" s="161"/>
      <c r="BL1145" s="161"/>
      <c r="BM1145" s="161"/>
      <c r="BN1145" s="161"/>
      <c r="BO1145" s="161"/>
      <c r="BP1145" s="161"/>
      <c r="BQ1145" s="161"/>
      <c r="BR1145" s="161"/>
      <c r="BS1145" s="161"/>
      <c r="BT1145" s="161"/>
      <c r="BU1145" s="161"/>
      <c r="BV1145" s="161"/>
      <c r="BW1145" s="161"/>
      <c r="BX1145" s="161"/>
      <c r="BY1145" s="161"/>
      <c r="BZ1145" s="161"/>
      <c r="CA1145" s="161"/>
      <c r="CB1145" s="161"/>
      <c r="CC1145" s="161"/>
      <c r="CD1145" s="161"/>
      <c r="CE1145" s="161"/>
      <c r="CF1145" s="161"/>
      <c r="CG1145" s="161"/>
    </row>
    <row r="1146">
      <c r="A1146" s="161"/>
      <c r="B1146" s="161"/>
      <c r="C1146" s="161"/>
      <c r="D1146" s="161"/>
      <c r="E1146" s="161"/>
      <c r="F1146" s="161"/>
      <c r="G1146" s="161"/>
      <c r="H1146" s="161"/>
      <c r="I1146" s="161"/>
      <c r="J1146" s="161"/>
      <c r="K1146" s="161"/>
      <c r="L1146" s="161"/>
      <c r="M1146" s="161"/>
      <c r="N1146" s="161"/>
      <c r="O1146" s="161"/>
      <c r="P1146" s="161"/>
      <c r="Q1146" s="161"/>
      <c r="R1146" s="161"/>
      <c r="S1146" s="161"/>
      <c r="T1146" s="161"/>
      <c r="U1146" s="161"/>
      <c r="V1146" s="161"/>
      <c r="W1146" s="161"/>
      <c r="X1146" s="161"/>
      <c r="Y1146" s="161"/>
      <c r="Z1146" s="161"/>
      <c r="AA1146" s="161"/>
      <c r="AB1146" s="161"/>
      <c r="AC1146" s="161"/>
      <c r="AD1146" s="161"/>
      <c r="AE1146" s="161"/>
      <c r="AF1146" s="161"/>
      <c r="AG1146" s="161"/>
      <c r="AH1146" s="161"/>
      <c r="AI1146" s="161"/>
      <c r="AJ1146" s="161"/>
      <c r="AK1146" s="161"/>
      <c r="AL1146" s="161"/>
      <c r="AM1146" s="161"/>
      <c r="AN1146" s="161"/>
      <c r="AO1146" s="161"/>
      <c r="AP1146" s="161"/>
      <c r="AQ1146" s="161"/>
      <c r="AR1146" s="161"/>
      <c r="AS1146" s="161"/>
      <c r="AT1146" s="161"/>
      <c r="AU1146" s="161"/>
      <c r="AV1146" s="161"/>
      <c r="AW1146" s="161"/>
      <c r="AX1146" s="161"/>
      <c r="AY1146" s="161"/>
      <c r="AZ1146" s="161"/>
      <c r="BA1146" s="161"/>
      <c r="BB1146" s="161"/>
      <c r="BC1146" s="161"/>
      <c r="BD1146" s="161"/>
      <c r="BE1146" s="161"/>
      <c r="BF1146" s="161"/>
      <c r="BG1146" s="161"/>
      <c r="BH1146" s="161"/>
      <c r="BI1146" s="161"/>
      <c r="BJ1146" s="161"/>
      <c r="BK1146" s="161"/>
      <c r="BL1146" s="161"/>
      <c r="BM1146" s="161"/>
      <c r="BN1146" s="161"/>
      <c r="BO1146" s="161"/>
      <c r="BP1146" s="161"/>
      <c r="BQ1146" s="161"/>
      <c r="BR1146" s="161"/>
      <c r="BS1146" s="161"/>
      <c r="BT1146" s="161"/>
      <c r="BU1146" s="161"/>
      <c r="BV1146" s="161"/>
      <c r="BW1146" s="161"/>
      <c r="BX1146" s="161"/>
      <c r="BY1146" s="161"/>
      <c r="BZ1146" s="161"/>
      <c r="CA1146" s="161"/>
      <c r="CB1146" s="161"/>
      <c r="CC1146" s="161"/>
      <c r="CD1146" s="161"/>
      <c r="CE1146" s="161"/>
      <c r="CF1146" s="161"/>
      <c r="CG1146" s="161"/>
    </row>
    <row r="1147">
      <c r="A1147" s="161"/>
      <c r="B1147" s="161"/>
      <c r="C1147" s="161"/>
      <c r="D1147" s="161"/>
      <c r="E1147" s="161"/>
      <c r="F1147" s="161"/>
      <c r="G1147" s="161"/>
      <c r="H1147" s="161"/>
      <c r="I1147" s="161"/>
      <c r="J1147" s="161"/>
      <c r="K1147" s="161"/>
      <c r="L1147" s="161"/>
      <c r="M1147" s="161"/>
      <c r="N1147" s="161"/>
      <c r="O1147" s="161"/>
      <c r="P1147" s="161"/>
      <c r="Q1147" s="161"/>
      <c r="R1147" s="161"/>
      <c r="S1147" s="161"/>
      <c r="T1147" s="161"/>
      <c r="U1147" s="161"/>
      <c r="V1147" s="161"/>
      <c r="W1147" s="161"/>
      <c r="X1147" s="161"/>
      <c r="Y1147" s="161"/>
      <c r="Z1147" s="161"/>
      <c r="AA1147" s="161"/>
      <c r="AB1147" s="161"/>
      <c r="AC1147" s="161"/>
      <c r="AD1147" s="161"/>
      <c r="AE1147" s="161"/>
      <c r="AF1147" s="161"/>
      <c r="AG1147" s="161"/>
      <c r="AH1147" s="161"/>
      <c r="AI1147" s="161"/>
      <c r="AJ1147" s="161"/>
      <c r="AK1147" s="161"/>
      <c r="AL1147" s="161"/>
      <c r="AM1147" s="161"/>
      <c r="AN1147" s="161"/>
      <c r="AO1147" s="161"/>
      <c r="AP1147" s="161"/>
      <c r="AQ1147" s="161"/>
      <c r="AR1147" s="161"/>
      <c r="AS1147" s="161"/>
      <c r="AT1147" s="161"/>
      <c r="AU1147" s="161"/>
      <c r="AV1147" s="161"/>
      <c r="AW1147" s="161"/>
      <c r="AX1147" s="161"/>
      <c r="AY1147" s="161"/>
      <c r="AZ1147" s="161"/>
      <c r="BA1147" s="161"/>
      <c r="BB1147" s="161"/>
      <c r="BC1147" s="161"/>
      <c r="BD1147" s="161"/>
      <c r="BE1147" s="161"/>
      <c r="BF1147" s="161"/>
      <c r="BG1147" s="161"/>
      <c r="BH1147" s="161"/>
      <c r="BI1147" s="161"/>
      <c r="BJ1147" s="161"/>
      <c r="BK1147" s="161"/>
      <c r="BL1147" s="161"/>
      <c r="BM1147" s="161"/>
      <c r="BN1147" s="161"/>
      <c r="BO1147" s="161"/>
      <c r="BP1147" s="161"/>
      <c r="BQ1147" s="161"/>
      <c r="BR1147" s="161"/>
      <c r="BS1147" s="161"/>
      <c r="BT1147" s="161"/>
      <c r="BU1147" s="161"/>
      <c r="BV1147" s="161"/>
      <c r="BW1147" s="161"/>
      <c r="BX1147" s="161"/>
      <c r="BY1147" s="161"/>
      <c r="BZ1147" s="161"/>
      <c r="CA1147" s="161"/>
      <c r="CB1147" s="161"/>
      <c r="CC1147" s="161"/>
      <c r="CD1147" s="161"/>
      <c r="CE1147" s="161"/>
      <c r="CF1147" s="161"/>
      <c r="CG1147" s="161"/>
    </row>
    <row r="1148">
      <c r="A1148" s="161"/>
      <c r="B1148" s="161"/>
      <c r="C1148" s="161"/>
      <c r="D1148" s="161"/>
      <c r="E1148" s="161"/>
      <c r="F1148" s="161"/>
      <c r="G1148" s="161"/>
      <c r="H1148" s="161"/>
      <c r="I1148" s="161"/>
      <c r="J1148" s="161"/>
      <c r="K1148" s="161"/>
      <c r="L1148" s="161"/>
      <c r="M1148" s="161"/>
      <c r="N1148" s="161"/>
      <c r="O1148" s="161"/>
      <c r="P1148" s="161"/>
      <c r="Q1148" s="161"/>
      <c r="R1148" s="161"/>
      <c r="S1148" s="161"/>
      <c r="T1148" s="161"/>
      <c r="U1148" s="161"/>
      <c r="V1148" s="161"/>
      <c r="W1148" s="161"/>
      <c r="X1148" s="161"/>
      <c r="Y1148" s="161"/>
      <c r="Z1148" s="161"/>
      <c r="AA1148" s="161"/>
      <c r="AB1148" s="161"/>
      <c r="AC1148" s="161"/>
      <c r="AD1148" s="161"/>
      <c r="AE1148" s="161"/>
      <c r="AF1148" s="161"/>
      <c r="AG1148" s="161"/>
      <c r="AH1148" s="161"/>
      <c r="AI1148" s="161"/>
      <c r="AJ1148" s="161"/>
      <c r="AK1148" s="161"/>
      <c r="AL1148" s="161"/>
      <c r="AM1148" s="161"/>
      <c r="AN1148" s="161"/>
      <c r="AO1148" s="161"/>
      <c r="AP1148" s="161"/>
      <c r="AQ1148" s="161"/>
      <c r="AR1148" s="161"/>
      <c r="AS1148" s="161"/>
      <c r="AT1148" s="161"/>
      <c r="AU1148" s="161"/>
      <c r="AV1148" s="161"/>
      <c r="AW1148" s="161"/>
      <c r="AX1148" s="161"/>
      <c r="AY1148" s="161"/>
      <c r="AZ1148" s="161"/>
      <c r="BA1148" s="161"/>
      <c r="BB1148" s="161"/>
      <c r="BC1148" s="161"/>
      <c r="BD1148" s="161"/>
      <c r="BE1148" s="161"/>
      <c r="BF1148" s="161"/>
      <c r="BG1148" s="161"/>
      <c r="BH1148" s="161"/>
      <c r="BI1148" s="161"/>
      <c r="BJ1148" s="161"/>
      <c r="BK1148" s="161"/>
      <c r="BL1148" s="161"/>
      <c r="BM1148" s="161"/>
      <c r="BN1148" s="161"/>
      <c r="BO1148" s="161"/>
      <c r="BP1148" s="161"/>
      <c r="BQ1148" s="161"/>
      <c r="BR1148" s="161"/>
      <c r="BS1148" s="161"/>
      <c r="BT1148" s="161"/>
      <c r="BU1148" s="161"/>
      <c r="BV1148" s="161"/>
      <c r="BW1148" s="161"/>
      <c r="BX1148" s="161"/>
      <c r="BY1148" s="161"/>
      <c r="BZ1148" s="161"/>
      <c r="CA1148" s="161"/>
      <c r="CB1148" s="161"/>
      <c r="CC1148" s="161"/>
      <c r="CD1148" s="161"/>
      <c r="CE1148" s="161"/>
      <c r="CF1148" s="161"/>
      <c r="CG1148" s="161"/>
    </row>
    <row r="1149">
      <c r="A1149" s="161"/>
      <c r="B1149" s="161"/>
      <c r="C1149" s="161"/>
      <c r="D1149" s="161"/>
      <c r="E1149" s="161"/>
      <c r="F1149" s="161"/>
      <c r="G1149" s="161"/>
      <c r="H1149" s="161"/>
      <c r="I1149" s="161"/>
      <c r="J1149" s="161"/>
      <c r="K1149" s="161"/>
      <c r="L1149" s="161"/>
      <c r="M1149" s="161"/>
      <c r="N1149" s="161"/>
      <c r="O1149" s="161"/>
      <c r="P1149" s="161"/>
      <c r="Q1149" s="161"/>
      <c r="R1149" s="161"/>
      <c r="S1149" s="161"/>
      <c r="T1149" s="161"/>
      <c r="U1149" s="161"/>
      <c r="V1149" s="161"/>
      <c r="W1149" s="161"/>
      <c r="X1149" s="161"/>
      <c r="Y1149" s="161"/>
      <c r="Z1149" s="161"/>
      <c r="AA1149" s="161"/>
      <c r="AB1149" s="161"/>
      <c r="AC1149" s="161"/>
      <c r="AD1149" s="161"/>
      <c r="AE1149" s="161"/>
      <c r="AF1149" s="161"/>
      <c r="AG1149" s="161"/>
      <c r="AH1149" s="161"/>
      <c r="AI1149" s="161"/>
      <c r="AJ1149" s="161"/>
      <c r="AK1149" s="161"/>
      <c r="AL1149" s="161"/>
      <c r="AM1149" s="161"/>
      <c r="AN1149" s="161"/>
      <c r="AO1149" s="161"/>
      <c r="AP1149" s="161"/>
      <c r="AQ1149" s="161"/>
      <c r="AR1149" s="161"/>
      <c r="AS1149" s="161"/>
      <c r="AT1149" s="161"/>
      <c r="AU1149" s="161"/>
      <c r="AV1149" s="161"/>
      <c r="AW1149" s="161"/>
      <c r="AX1149" s="161"/>
      <c r="AY1149" s="161"/>
      <c r="AZ1149" s="161"/>
      <c r="BA1149" s="161"/>
      <c r="BB1149" s="161"/>
      <c r="BC1149" s="161"/>
      <c r="BD1149" s="161"/>
      <c r="BE1149" s="161"/>
      <c r="BF1149" s="161"/>
      <c r="BG1149" s="161"/>
      <c r="BH1149" s="161"/>
      <c r="BI1149" s="161"/>
      <c r="BJ1149" s="161"/>
      <c r="BK1149" s="161"/>
      <c r="BL1149" s="161"/>
      <c r="BM1149" s="161"/>
      <c r="BN1149" s="161"/>
      <c r="BO1149" s="161"/>
      <c r="BP1149" s="161"/>
      <c r="BQ1149" s="161"/>
      <c r="BR1149" s="161"/>
      <c r="BS1149" s="161"/>
      <c r="BT1149" s="161"/>
      <c r="BU1149" s="161"/>
      <c r="BV1149" s="161"/>
      <c r="BW1149" s="161"/>
      <c r="BX1149" s="161"/>
      <c r="BY1149" s="161"/>
      <c r="BZ1149" s="161"/>
      <c r="CA1149" s="161"/>
      <c r="CB1149" s="161"/>
      <c r="CC1149" s="161"/>
      <c r="CD1149" s="161"/>
      <c r="CE1149" s="161"/>
      <c r="CF1149" s="161"/>
      <c r="CG1149" s="161"/>
    </row>
    <row r="1150">
      <c r="A1150" s="161"/>
      <c r="B1150" s="161"/>
      <c r="C1150" s="161"/>
      <c r="D1150" s="161"/>
      <c r="E1150" s="161"/>
      <c r="F1150" s="161"/>
      <c r="G1150" s="161"/>
      <c r="H1150" s="161"/>
      <c r="I1150" s="161"/>
      <c r="J1150" s="161"/>
      <c r="K1150" s="161"/>
      <c r="L1150" s="161"/>
      <c r="M1150" s="161"/>
      <c r="N1150" s="161"/>
      <c r="O1150" s="161"/>
      <c r="P1150" s="161"/>
      <c r="Q1150" s="161"/>
      <c r="R1150" s="161"/>
      <c r="S1150" s="161"/>
      <c r="T1150" s="161"/>
      <c r="U1150" s="161"/>
      <c r="V1150" s="161"/>
      <c r="W1150" s="161"/>
      <c r="X1150" s="161"/>
      <c r="Y1150" s="161"/>
      <c r="Z1150" s="161"/>
      <c r="AA1150" s="161"/>
      <c r="AB1150" s="161"/>
      <c r="AC1150" s="161"/>
      <c r="AD1150" s="161"/>
      <c r="AE1150" s="161"/>
      <c r="AF1150" s="161"/>
      <c r="AG1150" s="161"/>
      <c r="AH1150" s="161"/>
      <c r="AI1150" s="161"/>
      <c r="AJ1150" s="161"/>
      <c r="AK1150" s="161"/>
      <c r="AL1150" s="161"/>
      <c r="AM1150" s="161"/>
      <c r="AN1150" s="161"/>
      <c r="AO1150" s="161"/>
      <c r="AP1150" s="161"/>
      <c r="AQ1150" s="161"/>
      <c r="AR1150" s="161"/>
      <c r="AS1150" s="161"/>
      <c r="AT1150" s="161"/>
      <c r="AU1150" s="161"/>
      <c r="AV1150" s="161"/>
      <c r="AW1150" s="161"/>
      <c r="AX1150" s="161"/>
      <c r="AY1150" s="161"/>
      <c r="AZ1150" s="161"/>
      <c r="BA1150" s="161"/>
      <c r="BB1150" s="161"/>
      <c r="BC1150" s="161"/>
      <c r="BD1150" s="161"/>
      <c r="BE1150" s="161"/>
      <c r="BF1150" s="161"/>
      <c r="BG1150" s="161"/>
      <c r="BH1150" s="161"/>
      <c r="BI1150" s="161"/>
      <c r="BJ1150" s="161"/>
      <c r="BK1150" s="161"/>
      <c r="BL1150" s="161"/>
      <c r="BM1150" s="161"/>
      <c r="BN1150" s="161"/>
      <c r="BO1150" s="161"/>
      <c r="BP1150" s="161"/>
      <c r="BQ1150" s="161"/>
      <c r="BR1150" s="161"/>
      <c r="BS1150" s="161"/>
      <c r="BT1150" s="161"/>
      <c r="BU1150" s="161"/>
      <c r="BV1150" s="161"/>
      <c r="BW1150" s="161"/>
      <c r="BX1150" s="161"/>
      <c r="BY1150" s="161"/>
      <c r="BZ1150" s="161"/>
      <c r="CA1150" s="161"/>
      <c r="CB1150" s="161"/>
      <c r="CC1150" s="161"/>
      <c r="CD1150" s="161"/>
      <c r="CE1150" s="161"/>
      <c r="CF1150" s="161"/>
      <c r="CG1150" s="161"/>
    </row>
    <row r="1151">
      <c r="A1151" s="161"/>
      <c r="B1151" s="161"/>
      <c r="C1151" s="161"/>
      <c r="D1151" s="161"/>
      <c r="E1151" s="161"/>
      <c r="F1151" s="161"/>
      <c r="G1151" s="161"/>
      <c r="H1151" s="161"/>
      <c r="I1151" s="161"/>
      <c r="J1151" s="161"/>
      <c r="K1151" s="161"/>
      <c r="L1151" s="161"/>
      <c r="M1151" s="161"/>
      <c r="N1151" s="161"/>
      <c r="O1151" s="161"/>
      <c r="P1151" s="161"/>
      <c r="Q1151" s="161"/>
      <c r="R1151" s="161"/>
      <c r="S1151" s="161"/>
      <c r="T1151" s="161"/>
      <c r="U1151" s="161"/>
      <c r="V1151" s="161"/>
      <c r="W1151" s="161"/>
      <c r="X1151" s="161"/>
      <c r="Y1151" s="161"/>
      <c r="Z1151" s="161"/>
      <c r="AA1151" s="161"/>
      <c r="AB1151" s="161"/>
      <c r="AC1151" s="161"/>
      <c r="AD1151" s="161"/>
      <c r="AE1151" s="161"/>
      <c r="AF1151" s="161"/>
      <c r="AG1151" s="161"/>
      <c r="AH1151" s="161"/>
      <c r="AI1151" s="161"/>
      <c r="AJ1151" s="161"/>
      <c r="AK1151" s="161"/>
      <c r="AL1151" s="161"/>
      <c r="AM1151" s="161"/>
      <c r="AN1151" s="161"/>
      <c r="AO1151" s="161"/>
      <c r="AP1151" s="161"/>
      <c r="AQ1151" s="161"/>
      <c r="AR1151" s="161"/>
      <c r="AS1151" s="161"/>
      <c r="AT1151" s="161"/>
      <c r="AU1151" s="161"/>
      <c r="AV1151" s="161"/>
      <c r="AW1151" s="161"/>
      <c r="AX1151" s="161"/>
      <c r="AY1151" s="161"/>
      <c r="AZ1151" s="161"/>
      <c r="BA1151" s="161"/>
      <c r="BB1151" s="161"/>
      <c r="BC1151" s="161"/>
      <c r="BD1151" s="161"/>
      <c r="BE1151" s="161"/>
      <c r="BF1151" s="161"/>
      <c r="BG1151" s="161"/>
      <c r="BH1151" s="161"/>
      <c r="BI1151" s="161"/>
      <c r="BJ1151" s="161"/>
      <c r="BK1151" s="161"/>
      <c r="BL1151" s="161"/>
      <c r="BM1151" s="161"/>
      <c r="BN1151" s="161"/>
      <c r="BO1151" s="161"/>
      <c r="BP1151" s="161"/>
      <c r="BQ1151" s="161"/>
      <c r="BR1151" s="161"/>
      <c r="BS1151" s="161"/>
      <c r="BT1151" s="161"/>
      <c r="BU1151" s="161"/>
      <c r="BV1151" s="161"/>
      <c r="BW1151" s="161"/>
      <c r="BX1151" s="161"/>
      <c r="BY1151" s="161"/>
      <c r="BZ1151" s="161"/>
      <c r="CA1151" s="161"/>
      <c r="CB1151" s="161"/>
      <c r="CC1151" s="161"/>
      <c r="CD1151" s="161"/>
      <c r="CE1151" s="161"/>
      <c r="CF1151" s="161"/>
      <c r="CG1151" s="161"/>
    </row>
    <row r="1152">
      <c r="A1152" s="161"/>
      <c r="B1152" s="161"/>
      <c r="C1152" s="161"/>
      <c r="D1152" s="161"/>
      <c r="E1152" s="161"/>
      <c r="F1152" s="161"/>
      <c r="G1152" s="161"/>
      <c r="H1152" s="161"/>
      <c r="I1152" s="161"/>
      <c r="J1152" s="161"/>
      <c r="K1152" s="161"/>
      <c r="L1152" s="161"/>
      <c r="M1152" s="161"/>
      <c r="N1152" s="161"/>
      <c r="O1152" s="161"/>
      <c r="P1152" s="161"/>
      <c r="Q1152" s="161"/>
      <c r="R1152" s="161"/>
      <c r="S1152" s="161"/>
      <c r="T1152" s="161"/>
      <c r="U1152" s="161"/>
      <c r="V1152" s="161"/>
      <c r="W1152" s="161"/>
      <c r="X1152" s="161"/>
      <c r="Y1152" s="161"/>
      <c r="Z1152" s="161"/>
      <c r="AA1152" s="161"/>
      <c r="AB1152" s="161"/>
      <c r="AC1152" s="161"/>
      <c r="AD1152" s="161"/>
      <c r="AE1152" s="161"/>
      <c r="AF1152" s="161"/>
      <c r="AG1152" s="161"/>
      <c r="AH1152" s="161"/>
      <c r="AI1152" s="161"/>
      <c r="AJ1152" s="161"/>
      <c r="AK1152" s="161"/>
      <c r="AL1152" s="161"/>
      <c r="AM1152" s="161"/>
      <c r="AN1152" s="161"/>
      <c r="AO1152" s="161"/>
      <c r="AP1152" s="161"/>
      <c r="AQ1152" s="161"/>
      <c r="AR1152" s="161"/>
      <c r="AS1152" s="161"/>
      <c r="AT1152" s="161"/>
      <c r="AU1152" s="161"/>
      <c r="AV1152" s="161"/>
      <c r="AW1152" s="161"/>
      <c r="AX1152" s="161"/>
      <c r="AY1152" s="161"/>
      <c r="AZ1152" s="161"/>
      <c r="BA1152" s="161"/>
      <c r="BB1152" s="161"/>
      <c r="BC1152" s="161"/>
      <c r="BD1152" s="161"/>
      <c r="BE1152" s="161"/>
      <c r="BF1152" s="161"/>
      <c r="BG1152" s="161"/>
      <c r="BH1152" s="161"/>
      <c r="BI1152" s="161"/>
      <c r="BJ1152" s="161"/>
      <c r="BK1152" s="161"/>
      <c r="BL1152" s="161"/>
      <c r="BM1152" s="161"/>
      <c r="BN1152" s="161"/>
      <c r="BO1152" s="161"/>
      <c r="BP1152" s="161"/>
      <c r="BQ1152" s="161"/>
      <c r="BR1152" s="161"/>
      <c r="BS1152" s="161"/>
      <c r="BT1152" s="161"/>
      <c r="BU1152" s="161"/>
      <c r="BV1152" s="161"/>
      <c r="BW1152" s="161"/>
      <c r="BX1152" s="161"/>
      <c r="BY1152" s="161"/>
      <c r="BZ1152" s="161"/>
      <c r="CA1152" s="161"/>
      <c r="CB1152" s="161"/>
      <c r="CC1152" s="161"/>
      <c r="CD1152" s="161"/>
      <c r="CE1152" s="161"/>
      <c r="CF1152" s="161"/>
      <c r="CG1152" s="161"/>
    </row>
    <row r="1153">
      <c r="A1153" s="161"/>
      <c r="B1153" s="161"/>
      <c r="C1153" s="161"/>
      <c r="D1153" s="161"/>
      <c r="E1153" s="161"/>
      <c r="F1153" s="161"/>
      <c r="G1153" s="161"/>
      <c r="H1153" s="161"/>
      <c r="I1153" s="161"/>
      <c r="J1153" s="161"/>
      <c r="K1153" s="161"/>
      <c r="L1153" s="161"/>
      <c r="M1153" s="161"/>
      <c r="N1153" s="161"/>
      <c r="O1153" s="161"/>
      <c r="P1153" s="161"/>
      <c r="Q1153" s="161"/>
      <c r="R1153" s="161"/>
      <c r="S1153" s="161"/>
      <c r="T1153" s="161"/>
      <c r="U1153" s="161"/>
      <c r="V1153" s="161"/>
      <c r="W1153" s="161"/>
      <c r="X1153" s="161"/>
      <c r="Y1153" s="161"/>
      <c r="Z1153" s="161"/>
      <c r="AA1153" s="161"/>
      <c r="AB1153" s="161"/>
      <c r="AC1153" s="161"/>
      <c r="AD1153" s="161"/>
      <c r="AE1153" s="161"/>
      <c r="AF1153" s="161"/>
      <c r="AG1153" s="161"/>
      <c r="AH1153" s="161"/>
      <c r="AI1153" s="161"/>
      <c r="AJ1153" s="161"/>
      <c r="AK1153" s="161"/>
      <c r="AL1153" s="161"/>
      <c r="AM1153" s="161"/>
      <c r="AN1153" s="161"/>
      <c r="AO1153" s="161"/>
      <c r="AP1153" s="161"/>
      <c r="AQ1153" s="161"/>
      <c r="AR1153" s="161"/>
      <c r="AS1153" s="161"/>
      <c r="AT1153" s="161"/>
      <c r="AU1153" s="161"/>
      <c r="AV1153" s="161"/>
      <c r="AW1153" s="161"/>
      <c r="AX1153" s="161"/>
      <c r="AY1153" s="161"/>
      <c r="AZ1153" s="161"/>
      <c r="BA1153" s="161"/>
      <c r="BB1153" s="161"/>
      <c r="BC1153" s="161"/>
      <c r="BD1153" s="161"/>
      <c r="BE1153" s="161"/>
      <c r="BF1153" s="161"/>
      <c r="BG1153" s="161"/>
      <c r="BH1153" s="161"/>
      <c r="BI1153" s="161"/>
      <c r="BJ1153" s="161"/>
      <c r="BK1153" s="161"/>
      <c r="BL1153" s="161"/>
      <c r="BM1153" s="161"/>
      <c r="BN1153" s="161"/>
      <c r="BO1153" s="161"/>
      <c r="BP1153" s="161"/>
      <c r="BQ1153" s="161"/>
      <c r="BR1153" s="161"/>
      <c r="BS1153" s="161"/>
      <c r="BT1153" s="161"/>
      <c r="BU1153" s="161"/>
      <c r="BV1153" s="161"/>
      <c r="BW1153" s="161"/>
      <c r="BX1153" s="161"/>
      <c r="BY1153" s="161"/>
      <c r="BZ1153" s="161"/>
      <c r="CA1153" s="161"/>
      <c r="CB1153" s="161"/>
      <c r="CC1153" s="161"/>
      <c r="CD1153" s="161"/>
      <c r="CE1153" s="161"/>
      <c r="CF1153" s="161"/>
      <c r="CG1153" s="161"/>
    </row>
    <row r="1154">
      <c r="A1154" s="161"/>
      <c r="B1154" s="161"/>
      <c r="C1154" s="161"/>
      <c r="D1154" s="161"/>
      <c r="E1154" s="161"/>
      <c r="F1154" s="161"/>
      <c r="G1154" s="161"/>
      <c r="H1154" s="161"/>
      <c r="I1154" s="161"/>
      <c r="J1154" s="161"/>
      <c r="K1154" s="161"/>
      <c r="L1154" s="161"/>
      <c r="M1154" s="161"/>
      <c r="N1154" s="161"/>
      <c r="O1154" s="161"/>
      <c r="P1154" s="161"/>
      <c r="Q1154" s="161"/>
      <c r="R1154" s="161"/>
      <c r="S1154" s="161"/>
      <c r="T1154" s="161"/>
      <c r="U1154" s="161"/>
      <c r="V1154" s="161"/>
      <c r="W1154" s="161"/>
      <c r="X1154" s="161"/>
      <c r="Y1154" s="161"/>
      <c r="Z1154" s="161"/>
      <c r="AA1154" s="161"/>
      <c r="AB1154" s="161"/>
      <c r="AC1154" s="161"/>
      <c r="AD1154" s="161"/>
      <c r="AE1154" s="161"/>
      <c r="AF1154" s="161"/>
      <c r="AG1154" s="161"/>
      <c r="AH1154" s="161"/>
      <c r="AI1154" s="161"/>
      <c r="AJ1154" s="161"/>
      <c r="AK1154" s="161"/>
      <c r="AL1154" s="161"/>
      <c r="AM1154" s="161"/>
      <c r="AN1154" s="161"/>
      <c r="AO1154" s="161"/>
      <c r="AP1154" s="161"/>
      <c r="AQ1154" s="161"/>
      <c r="AR1154" s="161"/>
      <c r="AS1154" s="161"/>
      <c r="AT1154" s="161"/>
      <c r="AU1154" s="161"/>
      <c r="AV1154" s="161"/>
      <c r="AW1154" s="161"/>
      <c r="AX1154" s="161"/>
      <c r="AY1154" s="161"/>
      <c r="AZ1154" s="161"/>
      <c r="BA1154" s="161"/>
      <c r="BB1154" s="161"/>
      <c r="BC1154" s="161"/>
      <c r="BD1154" s="161"/>
      <c r="BE1154" s="161"/>
      <c r="BF1154" s="161"/>
      <c r="BG1154" s="161"/>
      <c r="BH1154" s="161"/>
      <c r="BI1154" s="161"/>
      <c r="BJ1154" s="161"/>
      <c r="BK1154" s="161"/>
      <c r="BL1154" s="161"/>
      <c r="BM1154" s="161"/>
      <c r="BN1154" s="161"/>
      <c r="BO1154" s="161"/>
      <c r="BP1154" s="161"/>
      <c r="BQ1154" s="161"/>
      <c r="BR1154" s="161"/>
      <c r="BS1154" s="161"/>
      <c r="BT1154" s="161"/>
      <c r="BU1154" s="161"/>
      <c r="BV1154" s="161"/>
      <c r="BW1154" s="161"/>
      <c r="BX1154" s="161"/>
      <c r="BY1154" s="161"/>
      <c r="BZ1154" s="161"/>
      <c r="CA1154" s="161"/>
      <c r="CB1154" s="161"/>
      <c r="CC1154" s="161"/>
      <c r="CD1154" s="161"/>
      <c r="CE1154" s="161"/>
      <c r="CF1154" s="161"/>
      <c r="CG1154" s="161"/>
    </row>
    <row r="1155">
      <c r="A1155" s="161"/>
      <c r="B1155" s="161"/>
      <c r="C1155" s="161"/>
      <c r="D1155" s="161"/>
      <c r="E1155" s="161"/>
      <c r="F1155" s="161"/>
      <c r="G1155" s="161"/>
      <c r="H1155" s="161"/>
      <c r="I1155" s="161"/>
      <c r="J1155" s="161"/>
      <c r="K1155" s="161"/>
      <c r="L1155" s="161"/>
      <c r="M1155" s="161"/>
      <c r="N1155" s="161"/>
      <c r="O1155" s="161"/>
      <c r="P1155" s="161"/>
      <c r="Q1155" s="161"/>
      <c r="R1155" s="161"/>
      <c r="S1155" s="161"/>
      <c r="T1155" s="161"/>
      <c r="U1155" s="161"/>
      <c r="V1155" s="161"/>
      <c r="W1155" s="161"/>
      <c r="X1155" s="161"/>
      <c r="Y1155" s="161"/>
      <c r="Z1155" s="161"/>
      <c r="AA1155" s="161"/>
      <c r="AB1155" s="161"/>
      <c r="AC1155" s="161"/>
      <c r="AD1155" s="161"/>
      <c r="AE1155" s="161"/>
      <c r="AF1155" s="161"/>
      <c r="AG1155" s="161"/>
      <c r="AH1155" s="161"/>
      <c r="AI1155" s="161"/>
      <c r="AJ1155" s="161"/>
      <c r="AK1155" s="161"/>
      <c r="AL1155" s="161"/>
      <c r="AM1155" s="161"/>
      <c r="AN1155" s="161"/>
      <c r="AO1155" s="161"/>
      <c r="AP1155" s="161"/>
      <c r="AQ1155" s="161"/>
      <c r="AR1155" s="161"/>
      <c r="AS1155" s="161"/>
      <c r="AT1155" s="161"/>
      <c r="AU1155" s="161"/>
      <c r="AV1155" s="161"/>
      <c r="AW1155" s="161"/>
      <c r="AX1155" s="161"/>
      <c r="AY1155" s="161"/>
      <c r="AZ1155" s="161"/>
      <c r="BA1155" s="161"/>
      <c r="BB1155" s="161"/>
      <c r="BC1155" s="161"/>
      <c r="BD1155" s="161"/>
      <c r="BE1155" s="161"/>
      <c r="BF1155" s="161"/>
      <c r="BG1155" s="161"/>
      <c r="BH1155" s="161"/>
      <c r="BI1155" s="161"/>
      <c r="BJ1155" s="161"/>
      <c r="BK1155" s="161"/>
      <c r="BL1155" s="161"/>
      <c r="BM1155" s="161"/>
      <c r="BN1155" s="161"/>
      <c r="BO1155" s="161"/>
      <c r="BP1155" s="161"/>
      <c r="BQ1155" s="161"/>
      <c r="BR1155" s="161"/>
      <c r="BS1155" s="161"/>
      <c r="BT1155" s="161"/>
      <c r="BU1155" s="161"/>
      <c r="BV1155" s="161"/>
      <c r="BW1155" s="161"/>
      <c r="BX1155" s="161"/>
      <c r="BY1155" s="161"/>
      <c r="BZ1155" s="161"/>
      <c r="CA1155" s="161"/>
      <c r="CB1155" s="161"/>
      <c r="CC1155" s="161"/>
      <c r="CD1155" s="161"/>
      <c r="CE1155" s="161"/>
      <c r="CF1155" s="161"/>
      <c r="CG1155" s="161"/>
    </row>
    <row r="1156">
      <c r="A1156" s="161"/>
      <c r="B1156" s="161"/>
      <c r="C1156" s="161"/>
      <c r="D1156" s="161"/>
      <c r="E1156" s="161"/>
      <c r="F1156" s="161"/>
      <c r="G1156" s="161"/>
      <c r="H1156" s="161"/>
      <c r="I1156" s="161"/>
      <c r="J1156" s="161"/>
      <c r="K1156" s="161"/>
      <c r="L1156" s="161"/>
      <c r="M1156" s="161"/>
      <c r="N1156" s="161"/>
      <c r="O1156" s="161"/>
      <c r="P1156" s="161"/>
      <c r="Q1156" s="161"/>
      <c r="R1156" s="161"/>
      <c r="S1156" s="161"/>
      <c r="T1156" s="161"/>
      <c r="U1156" s="161"/>
      <c r="V1156" s="161"/>
      <c r="W1156" s="161"/>
      <c r="X1156" s="161"/>
      <c r="Y1156" s="161"/>
      <c r="Z1156" s="161"/>
      <c r="AA1156" s="161"/>
      <c r="AB1156" s="161"/>
      <c r="AC1156" s="161"/>
      <c r="AD1156" s="161"/>
      <c r="AE1156" s="161"/>
      <c r="AF1156" s="161"/>
      <c r="AG1156" s="161"/>
      <c r="AH1156" s="161"/>
      <c r="AI1156" s="161"/>
      <c r="AJ1156" s="161"/>
      <c r="AK1156" s="161"/>
      <c r="AL1156" s="161"/>
      <c r="AM1156" s="161"/>
      <c r="AN1156" s="161"/>
      <c r="AO1156" s="161"/>
      <c r="AP1156" s="161"/>
      <c r="AQ1156" s="161"/>
      <c r="AR1156" s="161"/>
      <c r="AS1156" s="161"/>
      <c r="AT1156" s="161"/>
      <c r="AU1156" s="161"/>
      <c r="AV1156" s="161"/>
      <c r="AW1156" s="161"/>
      <c r="AX1156" s="161"/>
      <c r="AY1156" s="161"/>
      <c r="AZ1156" s="161"/>
      <c r="BA1156" s="161"/>
      <c r="BB1156" s="161"/>
      <c r="BC1156" s="161"/>
      <c r="BD1156" s="161"/>
      <c r="BE1156" s="161"/>
      <c r="BF1156" s="161"/>
      <c r="BG1156" s="161"/>
      <c r="BH1156" s="161"/>
      <c r="BI1156" s="161"/>
      <c r="BJ1156" s="161"/>
      <c r="BK1156" s="161"/>
      <c r="BL1156" s="161"/>
      <c r="BM1156" s="161"/>
      <c r="BN1156" s="161"/>
      <c r="BO1156" s="161"/>
      <c r="BP1156" s="161"/>
      <c r="BQ1156" s="161"/>
      <c r="BR1156" s="161"/>
      <c r="BS1156" s="161"/>
      <c r="BT1156" s="161"/>
      <c r="BU1156" s="161"/>
      <c r="BV1156" s="161"/>
      <c r="BW1156" s="161"/>
      <c r="BX1156" s="161"/>
      <c r="BY1156" s="161"/>
      <c r="BZ1156" s="161"/>
      <c r="CA1156" s="161"/>
      <c r="CB1156" s="161"/>
      <c r="CC1156" s="161"/>
      <c r="CD1156" s="161"/>
      <c r="CE1156" s="161"/>
      <c r="CF1156" s="161"/>
      <c r="CG1156" s="161"/>
    </row>
    <row r="1157">
      <c r="A1157" s="161"/>
      <c r="B1157" s="161"/>
      <c r="C1157" s="161"/>
      <c r="D1157" s="161"/>
      <c r="E1157" s="161"/>
      <c r="F1157" s="161"/>
      <c r="G1157" s="161"/>
      <c r="H1157" s="161"/>
      <c r="I1157" s="161"/>
      <c r="J1157" s="161"/>
      <c r="K1157" s="161"/>
      <c r="L1157" s="161"/>
      <c r="M1157" s="161"/>
      <c r="N1157" s="161"/>
      <c r="O1157" s="161"/>
      <c r="P1157" s="161"/>
      <c r="Q1157" s="161"/>
      <c r="R1157" s="161"/>
      <c r="S1157" s="161"/>
      <c r="T1157" s="161"/>
      <c r="U1157" s="161"/>
      <c r="V1157" s="161"/>
      <c r="W1157" s="161"/>
      <c r="X1157" s="161"/>
      <c r="Y1157" s="161"/>
      <c r="Z1157" s="161"/>
      <c r="AA1157" s="161"/>
      <c r="AB1157" s="161"/>
      <c r="AC1157" s="161"/>
      <c r="AD1157" s="161"/>
      <c r="AE1157" s="161"/>
      <c r="AF1157" s="161"/>
      <c r="AG1157" s="161"/>
      <c r="AH1157" s="161"/>
      <c r="AI1157" s="161"/>
      <c r="AJ1157" s="161"/>
      <c r="AK1157" s="161"/>
      <c r="AL1157" s="161"/>
      <c r="AM1157" s="161"/>
      <c r="AN1157" s="161"/>
      <c r="AO1157" s="161"/>
      <c r="AP1157" s="161"/>
      <c r="AQ1157" s="161"/>
      <c r="AR1157" s="161"/>
      <c r="AS1157" s="161"/>
      <c r="AT1157" s="161"/>
      <c r="AU1157" s="161"/>
      <c r="AV1157" s="161"/>
      <c r="AW1157" s="161"/>
      <c r="AX1157" s="161"/>
      <c r="AY1157" s="161"/>
      <c r="AZ1157" s="161"/>
      <c r="BA1157" s="161"/>
      <c r="BB1157" s="161"/>
      <c r="BC1157" s="161"/>
      <c r="BD1157" s="161"/>
      <c r="BE1157" s="161"/>
      <c r="BF1157" s="161"/>
      <c r="BG1157" s="161"/>
      <c r="BH1157" s="161"/>
      <c r="BI1157" s="161"/>
      <c r="BJ1157" s="161"/>
      <c r="BK1157" s="161"/>
      <c r="BL1157" s="161"/>
      <c r="BM1157" s="161"/>
      <c r="BN1157" s="161"/>
      <c r="BO1157" s="161"/>
      <c r="BP1157" s="161"/>
      <c r="BQ1157" s="161"/>
      <c r="BR1157" s="161"/>
      <c r="BS1157" s="161"/>
      <c r="BT1157" s="161"/>
      <c r="BU1157" s="161"/>
      <c r="BV1157" s="161"/>
      <c r="BW1157" s="161"/>
      <c r="BX1157" s="161"/>
      <c r="BY1157" s="161"/>
      <c r="BZ1157" s="161"/>
      <c r="CA1157" s="161"/>
      <c r="CB1157" s="161"/>
      <c r="CC1157" s="161"/>
      <c r="CD1157" s="161"/>
      <c r="CE1157" s="161"/>
      <c r="CF1157" s="161"/>
      <c r="CG1157" s="161"/>
    </row>
    <row r="1158">
      <c r="A1158" s="161"/>
      <c r="B1158" s="161"/>
      <c r="C1158" s="161"/>
      <c r="D1158" s="161"/>
      <c r="E1158" s="161"/>
      <c r="F1158" s="161"/>
      <c r="G1158" s="161"/>
      <c r="H1158" s="161"/>
      <c r="I1158" s="161"/>
      <c r="J1158" s="161"/>
      <c r="K1158" s="161"/>
      <c r="L1158" s="161"/>
      <c r="M1158" s="161"/>
      <c r="N1158" s="161"/>
      <c r="O1158" s="161"/>
      <c r="P1158" s="161"/>
      <c r="Q1158" s="161"/>
      <c r="R1158" s="161"/>
      <c r="S1158" s="161"/>
      <c r="T1158" s="161"/>
      <c r="U1158" s="161"/>
      <c r="V1158" s="161"/>
      <c r="W1158" s="161"/>
      <c r="X1158" s="161"/>
      <c r="Y1158" s="161"/>
      <c r="Z1158" s="161"/>
      <c r="AA1158" s="161"/>
      <c r="AB1158" s="161"/>
      <c r="AC1158" s="161"/>
      <c r="AD1158" s="161"/>
      <c r="AE1158" s="161"/>
      <c r="AF1158" s="161"/>
      <c r="AG1158" s="161"/>
      <c r="AH1158" s="161"/>
      <c r="AI1158" s="161"/>
      <c r="AJ1158" s="161"/>
      <c r="AK1158" s="161"/>
      <c r="AL1158" s="161"/>
      <c r="AM1158" s="161"/>
      <c r="AN1158" s="161"/>
      <c r="AO1158" s="161"/>
      <c r="AP1158" s="161"/>
      <c r="AQ1158" s="161"/>
      <c r="AR1158" s="161"/>
      <c r="AS1158" s="161"/>
      <c r="AT1158" s="161"/>
      <c r="AU1158" s="161"/>
      <c r="AV1158" s="161"/>
      <c r="AW1158" s="161"/>
      <c r="AX1158" s="161"/>
      <c r="AY1158" s="161"/>
      <c r="AZ1158" s="161"/>
      <c r="BA1158" s="161"/>
      <c r="BB1158" s="161"/>
      <c r="BC1158" s="161"/>
      <c r="BD1158" s="161"/>
      <c r="BE1158" s="161"/>
      <c r="BF1158" s="161"/>
      <c r="BG1158" s="161"/>
      <c r="BH1158" s="161"/>
      <c r="BI1158" s="161"/>
      <c r="BJ1158" s="161"/>
      <c r="BK1158" s="161"/>
      <c r="BL1158" s="161"/>
      <c r="BM1158" s="161"/>
      <c r="BN1158" s="161"/>
      <c r="BO1158" s="161"/>
      <c r="BP1158" s="161"/>
      <c r="BQ1158" s="161"/>
      <c r="BR1158" s="161"/>
      <c r="BS1158" s="161"/>
      <c r="BT1158" s="161"/>
      <c r="BU1158" s="161"/>
      <c r="BV1158" s="161"/>
      <c r="BW1158" s="161"/>
      <c r="BX1158" s="161"/>
      <c r="BY1158" s="161"/>
      <c r="BZ1158" s="161"/>
      <c r="CA1158" s="161"/>
      <c r="CB1158" s="161"/>
      <c r="CC1158" s="161"/>
      <c r="CD1158" s="161"/>
      <c r="CE1158" s="161"/>
      <c r="CF1158" s="161"/>
      <c r="CG1158" s="161"/>
    </row>
    <row r="1159">
      <c r="A1159" s="161"/>
      <c r="B1159" s="161"/>
      <c r="C1159" s="161"/>
      <c r="D1159" s="161"/>
      <c r="E1159" s="161"/>
      <c r="F1159" s="161"/>
      <c r="G1159" s="161"/>
      <c r="H1159" s="161"/>
      <c r="I1159" s="161"/>
      <c r="J1159" s="161"/>
      <c r="K1159" s="161"/>
      <c r="L1159" s="161"/>
      <c r="M1159" s="161"/>
      <c r="N1159" s="161"/>
      <c r="O1159" s="161"/>
      <c r="P1159" s="161"/>
      <c r="Q1159" s="161"/>
      <c r="R1159" s="161"/>
      <c r="S1159" s="161"/>
      <c r="T1159" s="161"/>
      <c r="U1159" s="161"/>
      <c r="V1159" s="161"/>
      <c r="W1159" s="161"/>
      <c r="X1159" s="161"/>
      <c r="Y1159" s="161"/>
      <c r="Z1159" s="161"/>
      <c r="AA1159" s="161"/>
      <c r="AB1159" s="161"/>
      <c r="AC1159" s="161"/>
      <c r="AD1159" s="161"/>
      <c r="AE1159" s="161"/>
      <c r="AF1159" s="161"/>
      <c r="AG1159" s="161"/>
      <c r="AH1159" s="161"/>
      <c r="AI1159" s="161"/>
      <c r="AJ1159" s="161"/>
      <c r="AK1159" s="161"/>
      <c r="AL1159" s="161"/>
      <c r="AM1159" s="161"/>
      <c r="AN1159" s="161"/>
      <c r="AO1159" s="161"/>
      <c r="AP1159" s="161"/>
      <c r="AQ1159" s="161"/>
      <c r="AR1159" s="161"/>
      <c r="AS1159" s="161"/>
      <c r="AT1159" s="161"/>
      <c r="AU1159" s="161"/>
      <c r="AV1159" s="161"/>
      <c r="AW1159" s="161"/>
      <c r="AX1159" s="161"/>
      <c r="AY1159" s="161"/>
      <c r="AZ1159" s="161"/>
      <c r="BA1159" s="161"/>
      <c r="BB1159" s="161"/>
      <c r="BC1159" s="161"/>
      <c r="BD1159" s="161"/>
      <c r="BE1159" s="161"/>
      <c r="BF1159" s="161"/>
      <c r="BG1159" s="161"/>
      <c r="BH1159" s="161"/>
      <c r="BI1159" s="161"/>
      <c r="BJ1159" s="161"/>
      <c r="BK1159" s="161"/>
      <c r="BL1159" s="161"/>
      <c r="BM1159" s="161"/>
      <c r="BN1159" s="161"/>
      <c r="BO1159" s="161"/>
      <c r="BP1159" s="161"/>
      <c r="BQ1159" s="161"/>
      <c r="BR1159" s="161"/>
      <c r="BS1159" s="161"/>
      <c r="BT1159" s="161"/>
      <c r="BU1159" s="161"/>
      <c r="BV1159" s="161"/>
      <c r="BW1159" s="161"/>
      <c r="BX1159" s="161"/>
      <c r="BY1159" s="161"/>
      <c r="BZ1159" s="161"/>
      <c r="CA1159" s="161"/>
      <c r="CB1159" s="161"/>
      <c r="CC1159" s="161"/>
      <c r="CD1159" s="161"/>
      <c r="CE1159" s="161"/>
      <c r="CF1159" s="161"/>
      <c r="CG1159" s="161"/>
    </row>
    <row r="1160">
      <c r="A1160" s="161"/>
      <c r="B1160" s="161"/>
      <c r="C1160" s="161"/>
      <c r="D1160" s="161"/>
      <c r="E1160" s="161"/>
      <c r="F1160" s="161"/>
      <c r="G1160" s="161"/>
      <c r="H1160" s="161"/>
      <c r="I1160" s="161"/>
      <c r="J1160" s="161"/>
      <c r="K1160" s="161"/>
      <c r="L1160" s="161"/>
      <c r="M1160" s="161"/>
      <c r="N1160" s="161"/>
      <c r="O1160" s="161"/>
      <c r="P1160" s="161"/>
      <c r="Q1160" s="161"/>
      <c r="R1160" s="161"/>
      <c r="S1160" s="161"/>
      <c r="T1160" s="161"/>
      <c r="U1160" s="161"/>
      <c r="V1160" s="161"/>
      <c r="W1160" s="161"/>
      <c r="X1160" s="161"/>
      <c r="Y1160" s="161"/>
      <c r="Z1160" s="161"/>
      <c r="AA1160" s="161"/>
      <c r="AB1160" s="161"/>
      <c r="AC1160" s="161"/>
      <c r="AD1160" s="161"/>
      <c r="AE1160" s="161"/>
      <c r="AF1160" s="161"/>
      <c r="AG1160" s="161"/>
      <c r="AH1160" s="161"/>
      <c r="AI1160" s="161"/>
      <c r="AJ1160" s="161"/>
      <c r="AK1160" s="161"/>
      <c r="AL1160" s="161"/>
      <c r="AM1160" s="161"/>
      <c r="AN1160" s="161"/>
      <c r="AO1160" s="161"/>
      <c r="AP1160" s="161"/>
      <c r="AQ1160" s="161"/>
      <c r="AR1160" s="161"/>
      <c r="AS1160" s="161"/>
      <c r="AT1160" s="161"/>
      <c r="AU1160" s="161"/>
      <c r="AV1160" s="161"/>
      <c r="AW1160" s="161"/>
      <c r="AX1160" s="161"/>
      <c r="AY1160" s="161"/>
      <c r="AZ1160" s="161"/>
      <c r="BA1160" s="161"/>
      <c r="BB1160" s="161"/>
      <c r="BC1160" s="161"/>
      <c r="BD1160" s="161"/>
      <c r="BE1160" s="161"/>
      <c r="BF1160" s="161"/>
      <c r="BG1160" s="161"/>
      <c r="BH1160" s="161"/>
      <c r="BI1160" s="161"/>
      <c r="BJ1160" s="161"/>
      <c r="BK1160" s="161"/>
      <c r="BL1160" s="161"/>
      <c r="BM1160" s="161"/>
      <c r="BN1160" s="161"/>
      <c r="BO1160" s="161"/>
      <c r="BP1160" s="161"/>
      <c r="BQ1160" s="161"/>
      <c r="BR1160" s="161"/>
      <c r="BS1160" s="161"/>
      <c r="BT1160" s="161"/>
      <c r="BU1160" s="161"/>
      <c r="BV1160" s="161"/>
      <c r="BW1160" s="161"/>
      <c r="BX1160" s="161"/>
      <c r="BY1160" s="161"/>
      <c r="BZ1160" s="161"/>
      <c r="CA1160" s="161"/>
      <c r="CB1160" s="161"/>
      <c r="CC1160" s="161"/>
      <c r="CD1160" s="161"/>
      <c r="CE1160" s="161"/>
      <c r="CF1160" s="161"/>
      <c r="CG1160" s="161"/>
    </row>
    <row r="1161">
      <c r="A1161" s="161"/>
      <c r="B1161" s="161"/>
      <c r="C1161" s="161"/>
      <c r="D1161" s="161"/>
      <c r="E1161" s="161"/>
      <c r="F1161" s="161"/>
      <c r="G1161" s="161"/>
      <c r="H1161" s="161"/>
      <c r="I1161" s="161"/>
      <c r="J1161" s="161"/>
      <c r="K1161" s="161"/>
      <c r="L1161" s="161"/>
      <c r="M1161" s="161"/>
      <c r="N1161" s="161"/>
      <c r="O1161" s="161"/>
      <c r="P1161" s="161"/>
      <c r="Q1161" s="161"/>
      <c r="R1161" s="161"/>
      <c r="S1161" s="161"/>
      <c r="T1161" s="161"/>
      <c r="U1161" s="161"/>
      <c r="V1161" s="161"/>
      <c r="W1161" s="161"/>
      <c r="X1161" s="161"/>
      <c r="Y1161" s="161"/>
      <c r="Z1161" s="161"/>
      <c r="AA1161" s="161"/>
      <c r="AB1161" s="161"/>
      <c r="AC1161" s="161"/>
      <c r="AD1161" s="161"/>
      <c r="AE1161" s="161"/>
      <c r="AF1161" s="161"/>
      <c r="AG1161" s="161"/>
      <c r="AH1161" s="161"/>
      <c r="AI1161" s="161"/>
      <c r="AJ1161" s="161"/>
      <c r="AK1161" s="161"/>
      <c r="AL1161" s="161"/>
      <c r="AM1161" s="161"/>
      <c r="AN1161" s="161"/>
      <c r="AO1161" s="161"/>
      <c r="AP1161" s="161"/>
      <c r="AQ1161" s="161"/>
      <c r="AR1161" s="161"/>
      <c r="AS1161" s="161"/>
      <c r="AT1161" s="161"/>
      <c r="AU1161" s="161"/>
      <c r="AV1161" s="161"/>
      <c r="AW1161" s="161"/>
      <c r="AX1161" s="161"/>
      <c r="AY1161" s="161"/>
      <c r="AZ1161" s="161"/>
      <c r="BA1161" s="161"/>
      <c r="BB1161" s="161"/>
      <c r="BC1161" s="161"/>
      <c r="BD1161" s="161"/>
      <c r="BE1161" s="161"/>
      <c r="BF1161" s="161"/>
      <c r="BG1161" s="161"/>
      <c r="BH1161" s="161"/>
      <c r="BI1161" s="161"/>
      <c r="BJ1161" s="161"/>
      <c r="BK1161" s="161"/>
      <c r="BL1161" s="161"/>
      <c r="BM1161" s="161"/>
      <c r="BN1161" s="161"/>
      <c r="BO1161" s="161"/>
      <c r="BP1161" s="161"/>
      <c r="BQ1161" s="161"/>
      <c r="BR1161" s="161"/>
      <c r="BS1161" s="161"/>
      <c r="BT1161" s="161"/>
      <c r="BU1161" s="161"/>
      <c r="BV1161" s="161"/>
      <c r="BW1161" s="161"/>
      <c r="BX1161" s="161"/>
      <c r="BY1161" s="161"/>
      <c r="BZ1161" s="161"/>
      <c r="CA1161" s="161"/>
      <c r="CB1161" s="161"/>
      <c r="CC1161" s="161"/>
      <c r="CD1161" s="161"/>
      <c r="CE1161" s="161"/>
      <c r="CF1161" s="161"/>
      <c r="CG1161" s="161"/>
    </row>
    <row r="1162">
      <c r="A1162" s="161"/>
      <c r="B1162" s="161"/>
      <c r="C1162" s="161"/>
      <c r="D1162" s="161"/>
      <c r="E1162" s="161"/>
      <c r="F1162" s="161"/>
      <c r="G1162" s="161"/>
      <c r="H1162" s="161"/>
      <c r="I1162" s="161"/>
      <c r="J1162" s="161"/>
      <c r="K1162" s="161"/>
      <c r="L1162" s="161"/>
      <c r="M1162" s="161"/>
      <c r="N1162" s="161"/>
      <c r="O1162" s="161"/>
      <c r="P1162" s="161"/>
      <c r="Q1162" s="161"/>
      <c r="R1162" s="161"/>
      <c r="S1162" s="161"/>
      <c r="T1162" s="161"/>
      <c r="U1162" s="161"/>
      <c r="V1162" s="161"/>
      <c r="W1162" s="161"/>
      <c r="X1162" s="161"/>
      <c r="Y1162" s="161"/>
      <c r="Z1162" s="161"/>
      <c r="AA1162" s="161"/>
      <c r="AB1162" s="161"/>
      <c r="AC1162" s="161"/>
      <c r="AD1162" s="161"/>
      <c r="AE1162" s="161"/>
      <c r="AF1162" s="161"/>
      <c r="AG1162" s="161"/>
      <c r="AH1162" s="161"/>
      <c r="AI1162" s="161"/>
      <c r="AJ1162" s="161"/>
      <c r="AK1162" s="161"/>
      <c r="AL1162" s="161"/>
      <c r="AM1162" s="161"/>
      <c r="AN1162" s="161"/>
      <c r="AO1162" s="161"/>
      <c r="AP1162" s="161"/>
      <c r="AQ1162" s="161"/>
      <c r="AR1162" s="161"/>
      <c r="AS1162" s="161"/>
      <c r="AT1162" s="161"/>
      <c r="AU1162" s="161"/>
      <c r="AV1162" s="161"/>
      <c r="AW1162" s="161"/>
      <c r="AX1162" s="161"/>
      <c r="AY1162" s="161"/>
      <c r="AZ1162" s="161"/>
      <c r="BA1162" s="161"/>
      <c r="BB1162" s="161"/>
      <c r="BC1162" s="161"/>
      <c r="BD1162" s="161"/>
      <c r="BE1162" s="161"/>
      <c r="BF1162" s="161"/>
      <c r="BG1162" s="161"/>
      <c r="BH1162" s="161"/>
      <c r="BI1162" s="161"/>
      <c r="BJ1162" s="161"/>
      <c r="BK1162" s="161"/>
      <c r="BL1162" s="161"/>
      <c r="BM1162" s="161"/>
      <c r="BN1162" s="161"/>
      <c r="BO1162" s="161"/>
      <c r="BP1162" s="161"/>
      <c r="BQ1162" s="161"/>
      <c r="BR1162" s="161"/>
      <c r="BS1162" s="161"/>
      <c r="BT1162" s="161"/>
      <c r="BU1162" s="161"/>
      <c r="BV1162" s="161"/>
      <c r="BW1162" s="161"/>
      <c r="BX1162" s="161"/>
      <c r="BY1162" s="161"/>
      <c r="BZ1162" s="161"/>
      <c r="CA1162" s="161"/>
      <c r="CB1162" s="161"/>
      <c r="CC1162" s="161"/>
      <c r="CD1162" s="161"/>
      <c r="CE1162" s="161"/>
      <c r="CF1162" s="161"/>
      <c r="CG1162" s="161"/>
    </row>
    <row r="1163">
      <c r="A1163" s="161"/>
      <c r="B1163" s="161"/>
      <c r="C1163" s="161"/>
      <c r="D1163" s="161"/>
      <c r="E1163" s="161"/>
      <c r="F1163" s="161"/>
      <c r="G1163" s="161"/>
      <c r="H1163" s="161"/>
      <c r="I1163" s="161"/>
      <c r="J1163" s="161"/>
      <c r="K1163" s="161"/>
      <c r="L1163" s="161"/>
      <c r="M1163" s="161"/>
      <c r="N1163" s="161"/>
      <c r="O1163" s="161"/>
      <c r="P1163" s="161"/>
      <c r="Q1163" s="161"/>
      <c r="R1163" s="161"/>
      <c r="S1163" s="161"/>
      <c r="T1163" s="161"/>
      <c r="U1163" s="161"/>
      <c r="V1163" s="161"/>
      <c r="W1163" s="161"/>
      <c r="X1163" s="161"/>
      <c r="Y1163" s="161"/>
      <c r="Z1163" s="161"/>
      <c r="AA1163" s="161"/>
      <c r="AB1163" s="161"/>
      <c r="AC1163" s="161"/>
      <c r="AD1163" s="161"/>
      <c r="AE1163" s="161"/>
      <c r="AF1163" s="161"/>
      <c r="AG1163" s="161"/>
      <c r="AH1163" s="161"/>
      <c r="AI1163" s="161"/>
      <c r="AJ1163" s="161"/>
      <c r="AK1163" s="161"/>
      <c r="AL1163" s="161"/>
      <c r="AM1163" s="161"/>
      <c r="AN1163" s="161"/>
      <c r="AO1163" s="161"/>
      <c r="AP1163" s="161"/>
      <c r="AQ1163" s="161"/>
      <c r="AR1163" s="161"/>
      <c r="AS1163" s="161"/>
      <c r="AT1163" s="161"/>
      <c r="AU1163" s="161"/>
      <c r="AV1163" s="161"/>
      <c r="AW1163" s="161"/>
      <c r="AX1163" s="161"/>
      <c r="AY1163" s="161"/>
      <c r="AZ1163" s="161"/>
      <c r="BA1163" s="161"/>
      <c r="BB1163" s="161"/>
      <c r="BC1163" s="161"/>
      <c r="BD1163" s="161"/>
      <c r="BE1163" s="161"/>
      <c r="BF1163" s="161"/>
      <c r="BG1163" s="161"/>
      <c r="BH1163" s="161"/>
      <c r="BI1163" s="161"/>
      <c r="BJ1163" s="161"/>
      <c r="BK1163" s="161"/>
      <c r="BL1163" s="161"/>
      <c r="BM1163" s="161"/>
      <c r="BN1163" s="161"/>
      <c r="BO1163" s="161"/>
      <c r="BP1163" s="161"/>
      <c r="BQ1163" s="161"/>
      <c r="BR1163" s="161"/>
      <c r="BS1163" s="161"/>
      <c r="BT1163" s="161"/>
      <c r="BU1163" s="161"/>
      <c r="BV1163" s="161"/>
      <c r="BW1163" s="161"/>
      <c r="BX1163" s="161"/>
      <c r="BY1163" s="161"/>
      <c r="BZ1163" s="161"/>
      <c r="CA1163" s="161"/>
      <c r="CB1163" s="161"/>
      <c r="CC1163" s="161"/>
      <c r="CD1163" s="161"/>
      <c r="CE1163" s="161"/>
      <c r="CF1163" s="161"/>
      <c r="CG1163" s="161"/>
    </row>
    <row r="1164">
      <c r="A1164" s="161"/>
      <c r="B1164" s="161"/>
      <c r="C1164" s="161"/>
      <c r="D1164" s="161"/>
      <c r="E1164" s="161"/>
      <c r="F1164" s="161"/>
      <c r="G1164" s="161"/>
      <c r="H1164" s="161"/>
      <c r="I1164" s="161"/>
      <c r="J1164" s="161"/>
      <c r="K1164" s="161"/>
      <c r="L1164" s="161"/>
      <c r="M1164" s="161"/>
      <c r="N1164" s="161"/>
      <c r="O1164" s="161"/>
      <c r="P1164" s="161"/>
      <c r="Q1164" s="161"/>
      <c r="R1164" s="161"/>
      <c r="S1164" s="161"/>
      <c r="T1164" s="161"/>
      <c r="U1164" s="161"/>
      <c r="V1164" s="161"/>
      <c r="W1164" s="161"/>
      <c r="X1164" s="161"/>
      <c r="Y1164" s="161"/>
      <c r="Z1164" s="161"/>
      <c r="AA1164" s="161"/>
      <c r="AB1164" s="161"/>
      <c r="AC1164" s="161"/>
      <c r="AD1164" s="161"/>
      <c r="AE1164" s="161"/>
      <c r="AF1164" s="161"/>
      <c r="AG1164" s="161"/>
      <c r="AH1164" s="161"/>
      <c r="AI1164" s="161"/>
      <c r="AJ1164" s="161"/>
      <c r="AK1164" s="161"/>
      <c r="AL1164" s="161"/>
      <c r="AM1164" s="161"/>
      <c r="AN1164" s="161"/>
      <c r="AO1164" s="161"/>
      <c r="AP1164" s="161"/>
      <c r="AQ1164" s="161"/>
      <c r="AR1164" s="161"/>
      <c r="AS1164" s="161"/>
      <c r="AT1164" s="161"/>
      <c r="AU1164" s="161"/>
      <c r="AV1164" s="161"/>
      <c r="AW1164" s="161"/>
      <c r="AX1164" s="161"/>
      <c r="AY1164" s="161"/>
      <c r="AZ1164" s="161"/>
      <c r="BA1164" s="161"/>
      <c r="BB1164" s="161"/>
      <c r="BC1164" s="161"/>
      <c r="BD1164" s="161"/>
      <c r="BE1164" s="161"/>
      <c r="BF1164" s="161"/>
      <c r="BG1164" s="161"/>
      <c r="BH1164" s="161"/>
      <c r="BI1164" s="161"/>
      <c r="BJ1164" s="161"/>
      <c r="BK1164" s="161"/>
      <c r="BL1164" s="161"/>
      <c r="BM1164" s="161"/>
      <c r="BN1164" s="161"/>
      <c r="BO1164" s="161"/>
      <c r="BP1164" s="161"/>
      <c r="BQ1164" s="161"/>
      <c r="BR1164" s="161"/>
      <c r="BS1164" s="161"/>
      <c r="BT1164" s="161"/>
      <c r="BU1164" s="161"/>
      <c r="BV1164" s="161"/>
      <c r="BW1164" s="161"/>
      <c r="BX1164" s="161"/>
      <c r="BY1164" s="161"/>
      <c r="BZ1164" s="161"/>
      <c r="CA1164" s="161"/>
      <c r="CB1164" s="161"/>
      <c r="CC1164" s="161"/>
      <c r="CD1164" s="161"/>
      <c r="CE1164" s="161"/>
      <c r="CF1164" s="161"/>
      <c r="CG1164" s="161"/>
    </row>
    <row r="1165">
      <c r="A1165" s="161"/>
      <c r="B1165" s="161"/>
      <c r="C1165" s="161"/>
      <c r="D1165" s="161"/>
      <c r="E1165" s="161"/>
      <c r="F1165" s="161"/>
      <c r="G1165" s="161"/>
      <c r="H1165" s="161"/>
      <c r="I1165" s="161"/>
      <c r="J1165" s="161"/>
      <c r="K1165" s="161"/>
      <c r="L1165" s="161"/>
      <c r="M1165" s="161"/>
      <c r="N1165" s="161"/>
      <c r="O1165" s="161"/>
      <c r="P1165" s="161"/>
      <c r="Q1165" s="161"/>
      <c r="R1165" s="161"/>
      <c r="S1165" s="161"/>
      <c r="T1165" s="161"/>
      <c r="U1165" s="161"/>
      <c r="V1165" s="161"/>
      <c r="W1165" s="161"/>
      <c r="X1165" s="161"/>
      <c r="Y1165" s="161"/>
      <c r="Z1165" s="161"/>
      <c r="AA1165" s="161"/>
      <c r="AB1165" s="161"/>
      <c r="AC1165" s="161"/>
      <c r="AD1165" s="161"/>
      <c r="AE1165" s="161"/>
      <c r="AF1165" s="161"/>
      <c r="AG1165" s="161"/>
      <c r="AH1165" s="161"/>
      <c r="AI1165" s="161"/>
      <c r="AJ1165" s="161"/>
      <c r="AK1165" s="161"/>
      <c r="AL1165" s="161"/>
      <c r="AM1165" s="161"/>
      <c r="AN1165" s="161"/>
      <c r="AO1165" s="161"/>
      <c r="AP1165" s="161"/>
      <c r="AQ1165" s="161"/>
      <c r="AR1165" s="161"/>
      <c r="AS1165" s="161"/>
      <c r="AT1165" s="161"/>
      <c r="AU1165" s="161"/>
      <c r="AV1165" s="161"/>
      <c r="AW1165" s="161"/>
      <c r="AX1165" s="161"/>
      <c r="AY1165" s="161"/>
      <c r="AZ1165" s="161"/>
      <c r="BA1165" s="161"/>
      <c r="BB1165" s="161"/>
      <c r="BC1165" s="161"/>
      <c r="BD1165" s="161"/>
      <c r="BE1165" s="161"/>
      <c r="BF1165" s="161"/>
      <c r="BG1165" s="161"/>
      <c r="BH1165" s="161"/>
      <c r="BI1165" s="161"/>
      <c r="BJ1165" s="161"/>
      <c r="BK1165" s="161"/>
      <c r="BL1165" s="161"/>
      <c r="BM1165" s="161"/>
      <c r="BN1165" s="161"/>
      <c r="BO1165" s="161"/>
      <c r="BP1165" s="161"/>
      <c r="BQ1165" s="161"/>
      <c r="BR1165" s="161"/>
      <c r="BS1165" s="161"/>
      <c r="BT1165" s="161"/>
      <c r="BU1165" s="161"/>
      <c r="BV1165" s="161"/>
      <c r="BW1165" s="161"/>
      <c r="BX1165" s="161"/>
      <c r="BY1165" s="161"/>
      <c r="BZ1165" s="161"/>
      <c r="CA1165" s="161"/>
      <c r="CB1165" s="161"/>
      <c r="CC1165" s="161"/>
      <c r="CD1165" s="161"/>
      <c r="CE1165" s="161"/>
      <c r="CF1165" s="161"/>
      <c r="CG1165" s="161"/>
    </row>
    <row r="1166">
      <c r="A1166" s="161"/>
      <c r="B1166" s="161"/>
      <c r="C1166" s="161"/>
      <c r="D1166" s="161"/>
      <c r="E1166" s="161"/>
      <c r="F1166" s="161"/>
      <c r="G1166" s="161"/>
      <c r="H1166" s="161"/>
      <c r="I1166" s="161"/>
      <c r="J1166" s="161"/>
      <c r="K1166" s="161"/>
      <c r="L1166" s="161"/>
      <c r="M1166" s="161"/>
      <c r="N1166" s="161"/>
      <c r="O1166" s="161"/>
      <c r="P1166" s="161"/>
      <c r="Q1166" s="161"/>
      <c r="R1166" s="161"/>
      <c r="S1166" s="161"/>
      <c r="T1166" s="161"/>
      <c r="U1166" s="161"/>
      <c r="V1166" s="161"/>
      <c r="W1166" s="161"/>
      <c r="X1166" s="161"/>
      <c r="Y1166" s="161"/>
      <c r="Z1166" s="161"/>
      <c r="AA1166" s="161"/>
      <c r="AB1166" s="161"/>
      <c r="AC1166" s="161"/>
      <c r="AD1166" s="161"/>
      <c r="AE1166" s="161"/>
      <c r="AF1166" s="161"/>
      <c r="AG1166" s="161"/>
      <c r="AH1166" s="161"/>
      <c r="AI1166" s="161"/>
      <c r="AJ1166" s="161"/>
      <c r="AK1166" s="161"/>
      <c r="AL1166" s="161"/>
      <c r="AM1166" s="161"/>
      <c r="AN1166" s="161"/>
      <c r="AO1166" s="161"/>
      <c r="AP1166" s="161"/>
      <c r="AQ1166" s="161"/>
      <c r="AR1166" s="161"/>
      <c r="AS1166" s="161"/>
      <c r="AT1166" s="161"/>
      <c r="AU1166" s="161"/>
      <c r="AV1166" s="161"/>
      <c r="AW1166" s="161"/>
      <c r="AX1166" s="161"/>
      <c r="AY1166" s="161"/>
      <c r="AZ1166" s="161"/>
      <c r="BA1166" s="161"/>
      <c r="BB1166" s="161"/>
      <c r="BC1166" s="161"/>
      <c r="BD1166" s="161"/>
      <c r="BE1166" s="161"/>
      <c r="BF1166" s="161"/>
      <c r="BG1166" s="161"/>
      <c r="BH1166" s="161"/>
      <c r="BI1166" s="161"/>
      <c r="BJ1166" s="161"/>
      <c r="BK1166" s="161"/>
      <c r="BL1166" s="161"/>
      <c r="BM1166" s="161"/>
      <c r="BN1166" s="161"/>
      <c r="BO1166" s="161"/>
      <c r="BP1166" s="161"/>
      <c r="BQ1166" s="161"/>
      <c r="BR1166" s="161"/>
      <c r="BS1166" s="161"/>
      <c r="BT1166" s="161"/>
      <c r="BU1166" s="161"/>
      <c r="BV1166" s="161"/>
      <c r="BW1166" s="161"/>
      <c r="BX1166" s="161"/>
      <c r="BY1166" s="161"/>
      <c r="BZ1166" s="161"/>
      <c r="CA1166" s="161"/>
      <c r="CB1166" s="161"/>
      <c r="CC1166" s="161"/>
      <c r="CD1166" s="161"/>
      <c r="CE1166" s="161"/>
      <c r="CF1166" s="161"/>
      <c r="CG1166" s="161"/>
    </row>
    <row r="1167">
      <c r="A1167" s="161"/>
      <c r="B1167" s="161"/>
      <c r="C1167" s="161"/>
      <c r="D1167" s="161"/>
      <c r="E1167" s="161"/>
      <c r="F1167" s="161"/>
      <c r="G1167" s="161"/>
      <c r="H1167" s="161"/>
      <c r="I1167" s="161"/>
      <c r="J1167" s="161"/>
      <c r="K1167" s="161"/>
      <c r="L1167" s="161"/>
      <c r="M1167" s="161"/>
      <c r="N1167" s="161"/>
      <c r="O1167" s="161"/>
      <c r="P1167" s="161"/>
      <c r="Q1167" s="161"/>
      <c r="R1167" s="161"/>
      <c r="S1167" s="161"/>
      <c r="T1167" s="161"/>
      <c r="U1167" s="161"/>
      <c r="V1167" s="161"/>
      <c r="W1167" s="161"/>
      <c r="X1167" s="161"/>
      <c r="Y1167" s="161"/>
      <c r="Z1167" s="161"/>
      <c r="AA1167" s="161"/>
      <c r="AB1167" s="161"/>
      <c r="AC1167" s="161"/>
      <c r="AD1167" s="161"/>
      <c r="AE1167" s="161"/>
      <c r="AF1167" s="161"/>
      <c r="AG1167" s="161"/>
      <c r="AH1167" s="161"/>
      <c r="AI1167" s="161"/>
      <c r="AJ1167" s="161"/>
      <c r="AK1167" s="161"/>
      <c r="AL1167" s="161"/>
      <c r="AM1167" s="161"/>
      <c r="AN1167" s="161"/>
      <c r="AO1167" s="161"/>
      <c r="AP1167" s="161"/>
      <c r="AQ1167" s="161"/>
      <c r="AR1167" s="161"/>
      <c r="AS1167" s="161"/>
      <c r="AT1167" s="161"/>
      <c r="AU1167" s="161"/>
      <c r="AV1167" s="161"/>
      <c r="AW1167" s="161"/>
      <c r="AX1167" s="161"/>
      <c r="AY1167" s="161"/>
      <c r="AZ1167" s="161"/>
      <c r="BA1167" s="161"/>
      <c r="BB1167" s="161"/>
      <c r="BC1167" s="161"/>
      <c r="BD1167" s="161"/>
      <c r="BE1167" s="161"/>
      <c r="BF1167" s="161"/>
      <c r="BG1167" s="161"/>
      <c r="BH1167" s="161"/>
      <c r="BI1167" s="161"/>
      <c r="BJ1167" s="161"/>
      <c r="BK1167" s="161"/>
      <c r="BL1167" s="161"/>
      <c r="BM1167" s="161"/>
      <c r="BN1167" s="161"/>
      <c r="BO1167" s="161"/>
      <c r="BP1167" s="161"/>
      <c r="BQ1167" s="161"/>
      <c r="BR1167" s="161"/>
      <c r="BS1167" s="161"/>
      <c r="BT1167" s="161"/>
      <c r="BU1167" s="161"/>
      <c r="BV1167" s="161"/>
      <c r="BW1167" s="161"/>
      <c r="BX1167" s="161"/>
      <c r="BY1167" s="161"/>
      <c r="BZ1167" s="161"/>
      <c r="CA1167" s="161"/>
      <c r="CB1167" s="161"/>
      <c r="CC1167" s="161"/>
      <c r="CD1167" s="161"/>
      <c r="CE1167" s="161"/>
      <c r="CF1167" s="161"/>
      <c r="CG1167" s="161"/>
    </row>
    <row r="1168">
      <c r="A1168" s="161"/>
      <c r="B1168" s="161"/>
      <c r="C1168" s="161"/>
      <c r="D1168" s="161"/>
      <c r="E1168" s="161"/>
      <c r="F1168" s="161"/>
      <c r="G1168" s="161"/>
      <c r="H1168" s="161"/>
      <c r="I1168" s="161"/>
      <c r="J1168" s="161"/>
      <c r="K1168" s="161"/>
      <c r="L1168" s="161"/>
      <c r="M1168" s="161"/>
      <c r="N1168" s="161"/>
      <c r="O1168" s="161"/>
      <c r="P1168" s="161"/>
      <c r="Q1168" s="161"/>
      <c r="R1168" s="161"/>
      <c r="S1168" s="161"/>
      <c r="T1168" s="161"/>
      <c r="U1168" s="161"/>
      <c r="V1168" s="161"/>
      <c r="W1168" s="161"/>
      <c r="X1168" s="161"/>
      <c r="Y1168" s="161"/>
      <c r="Z1168" s="161"/>
      <c r="AA1168" s="161"/>
      <c r="AB1168" s="161"/>
      <c r="AC1168" s="161"/>
      <c r="AD1168" s="161"/>
      <c r="AE1168" s="161"/>
      <c r="AF1168" s="161"/>
      <c r="AG1168" s="161"/>
      <c r="AH1168" s="161"/>
      <c r="AI1168" s="161"/>
      <c r="AJ1168" s="161"/>
      <c r="AK1168" s="161"/>
      <c r="AL1168" s="161"/>
      <c r="AM1168" s="161"/>
      <c r="AN1168" s="161"/>
      <c r="AO1168" s="161"/>
      <c r="AP1168" s="161"/>
      <c r="AQ1168" s="161"/>
      <c r="AR1168" s="161"/>
      <c r="AS1168" s="161"/>
      <c r="AT1168" s="161"/>
      <c r="AU1168" s="161"/>
      <c r="AV1168" s="161"/>
      <c r="AW1168" s="161"/>
      <c r="AX1168" s="161"/>
      <c r="AY1168" s="161"/>
      <c r="AZ1168" s="161"/>
      <c r="BA1168" s="161"/>
      <c r="BB1168" s="161"/>
      <c r="BC1168" s="161"/>
      <c r="BD1168" s="161"/>
      <c r="BE1168" s="161"/>
      <c r="BF1168" s="161"/>
      <c r="BG1168" s="161"/>
      <c r="BH1168" s="161"/>
      <c r="BI1168" s="161"/>
      <c r="BJ1168" s="161"/>
      <c r="BK1168" s="161"/>
      <c r="BL1168" s="161"/>
      <c r="BM1168" s="161"/>
      <c r="BN1168" s="161"/>
      <c r="BO1168" s="161"/>
      <c r="BP1168" s="161"/>
      <c r="BQ1168" s="161"/>
      <c r="BR1168" s="161"/>
      <c r="BS1168" s="161"/>
      <c r="BT1168" s="161"/>
      <c r="BU1168" s="161"/>
      <c r="BV1168" s="161"/>
      <c r="BW1168" s="161"/>
      <c r="BX1168" s="161"/>
      <c r="BY1168" s="161"/>
      <c r="BZ1168" s="161"/>
      <c r="CA1168" s="161"/>
      <c r="CB1168" s="161"/>
      <c r="CC1168" s="161"/>
      <c r="CD1168" s="161"/>
      <c r="CE1168" s="161"/>
      <c r="CF1168" s="161"/>
      <c r="CG1168" s="161"/>
    </row>
    <row r="1169">
      <c r="A1169" s="161"/>
      <c r="B1169" s="161"/>
      <c r="C1169" s="161"/>
      <c r="D1169" s="161"/>
      <c r="E1169" s="161"/>
      <c r="F1169" s="161"/>
      <c r="G1169" s="161"/>
      <c r="H1169" s="161"/>
      <c r="I1169" s="161"/>
      <c r="J1169" s="161"/>
      <c r="K1169" s="161"/>
      <c r="L1169" s="161"/>
      <c r="M1169" s="161"/>
      <c r="N1169" s="161"/>
      <c r="O1169" s="161"/>
      <c r="P1169" s="161"/>
      <c r="Q1169" s="161"/>
      <c r="R1169" s="161"/>
      <c r="S1169" s="161"/>
      <c r="T1169" s="161"/>
      <c r="U1169" s="161"/>
      <c r="V1169" s="161"/>
      <c r="W1169" s="161"/>
      <c r="X1169" s="161"/>
      <c r="Y1169" s="161"/>
      <c r="Z1169" s="161"/>
      <c r="AA1169" s="161"/>
      <c r="AB1169" s="161"/>
      <c r="AC1169" s="161"/>
      <c r="AD1169" s="161"/>
      <c r="AE1169" s="161"/>
      <c r="AF1169" s="161"/>
      <c r="AG1169" s="161"/>
      <c r="AH1169" s="161"/>
      <c r="AI1169" s="161"/>
      <c r="AJ1169" s="161"/>
      <c r="AK1169" s="161"/>
      <c r="AL1169" s="161"/>
      <c r="AM1169" s="161"/>
      <c r="AN1169" s="161"/>
      <c r="AO1169" s="161"/>
      <c r="AP1169" s="161"/>
      <c r="AQ1169" s="161"/>
      <c r="AR1169" s="161"/>
      <c r="AS1169" s="161"/>
      <c r="AT1169" s="161"/>
      <c r="AU1169" s="161"/>
      <c r="AV1169" s="161"/>
      <c r="AW1169" s="161"/>
      <c r="AX1169" s="161"/>
      <c r="AY1169" s="161"/>
      <c r="AZ1169" s="161"/>
      <c r="BA1169" s="161"/>
      <c r="BB1169" s="161"/>
      <c r="BC1169" s="161"/>
      <c r="BD1169" s="161"/>
      <c r="BE1169" s="161"/>
      <c r="BF1169" s="161"/>
      <c r="BG1169" s="161"/>
      <c r="BH1169" s="161"/>
      <c r="BI1169" s="161"/>
      <c r="BJ1169" s="161"/>
      <c r="BK1169" s="161"/>
      <c r="BL1169" s="161"/>
      <c r="BM1169" s="161"/>
      <c r="BN1169" s="161"/>
      <c r="BO1169" s="161"/>
      <c r="BP1169" s="161"/>
      <c r="BQ1169" s="161"/>
      <c r="BR1169" s="161"/>
      <c r="BS1169" s="161"/>
      <c r="BT1169" s="161"/>
      <c r="BU1169" s="161"/>
      <c r="BV1169" s="161"/>
      <c r="BW1169" s="161"/>
      <c r="BX1169" s="161"/>
      <c r="BY1169" s="161"/>
      <c r="BZ1169" s="161"/>
      <c r="CA1169" s="161"/>
      <c r="CB1169" s="161"/>
      <c r="CC1169" s="161"/>
      <c r="CD1169" s="161"/>
      <c r="CE1169" s="161"/>
      <c r="CF1169" s="161"/>
      <c r="CG1169" s="161"/>
    </row>
    <row r="1170">
      <c r="A1170" s="161"/>
      <c r="B1170" s="161"/>
      <c r="C1170" s="161"/>
      <c r="D1170" s="161"/>
      <c r="E1170" s="161"/>
      <c r="F1170" s="161"/>
      <c r="G1170" s="161"/>
      <c r="H1170" s="161"/>
      <c r="I1170" s="161"/>
      <c r="J1170" s="161"/>
      <c r="K1170" s="161"/>
      <c r="L1170" s="161"/>
      <c r="M1170" s="161"/>
      <c r="N1170" s="161"/>
      <c r="O1170" s="161"/>
      <c r="P1170" s="161"/>
      <c r="Q1170" s="161"/>
      <c r="R1170" s="161"/>
      <c r="S1170" s="161"/>
      <c r="T1170" s="161"/>
      <c r="U1170" s="161"/>
      <c r="V1170" s="161"/>
      <c r="W1170" s="161"/>
      <c r="X1170" s="161"/>
      <c r="Y1170" s="161"/>
      <c r="Z1170" s="161"/>
      <c r="AA1170" s="161"/>
      <c r="AB1170" s="161"/>
      <c r="AC1170" s="161"/>
      <c r="AD1170" s="161"/>
      <c r="AE1170" s="161"/>
      <c r="AF1170" s="161"/>
      <c r="AG1170" s="161"/>
      <c r="AH1170" s="161"/>
      <c r="AI1170" s="161"/>
      <c r="AJ1170" s="161"/>
      <c r="AK1170" s="161"/>
      <c r="AL1170" s="161"/>
      <c r="AM1170" s="161"/>
      <c r="AN1170" s="161"/>
      <c r="AO1170" s="161"/>
      <c r="AP1170" s="161"/>
      <c r="AQ1170" s="161"/>
      <c r="AR1170" s="161"/>
      <c r="AS1170" s="161"/>
      <c r="AT1170" s="161"/>
      <c r="AU1170" s="161"/>
      <c r="AV1170" s="161"/>
      <c r="AW1170" s="161"/>
      <c r="AX1170" s="161"/>
      <c r="AY1170" s="161"/>
      <c r="AZ1170" s="161"/>
      <c r="BA1170" s="161"/>
      <c r="BB1170" s="161"/>
      <c r="BC1170" s="161"/>
      <c r="BD1170" s="161"/>
      <c r="BE1170" s="161"/>
      <c r="BF1170" s="161"/>
      <c r="BG1170" s="161"/>
      <c r="BH1170" s="161"/>
      <c r="BI1170" s="161"/>
      <c r="BJ1170" s="161"/>
      <c r="BK1170" s="161"/>
      <c r="BL1170" s="161"/>
      <c r="BM1170" s="161"/>
      <c r="BN1170" s="161"/>
      <c r="BO1170" s="161"/>
      <c r="BP1170" s="161"/>
      <c r="BQ1170" s="161"/>
      <c r="BR1170" s="161"/>
      <c r="BS1170" s="161"/>
      <c r="BT1170" s="161"/>
      <c r="BU1170" s="161"/>
      <c r="BV1170" s="161"/>
      <c r="BW1170" s="161"/>
      <c r="BX1170" s="161"/>
      <c r="BY1170" s="161"/>
      <c r="BZ1170" s="161"/>
      <c r="CA1170" s="161"/>
      <c r="CB1170" s="161"/>
      <c r="CC1170" s="161"/>
      <c r="CD1170" s="161"/>
      <c r="CE1170" s="161"/>
      <c r="CF1170" s="161"/>
      <c r="CG1170" s="161"/>
    </row>
    <row r="1171">
      <c r="A1171" s="161"/>
      <c r="B1171" s="161"/>
      <c r="C1171" s="161"/>
      <c r="D1171" s="161"/>
      <c r="E1171" s="161"/>
      <c r="F1171" s="161"/>
      <c r="G1171" s="161"/>
      <c r="H1171" s="161"/>
      <c r="I1171" s="161"/>
      <c r="J1171" s="161"/>
      <c r="K1171" s="161"/>
      <c r="L1171" s="161"/>
      <c r="M1171" s="161"/>
      <c r="N1171" s="161"/>
      <c r="O1171" s="161"/>
      <c r="P1171" s="161"/>
      <c r="Q1171" s="161"/>
      <c r="R1171" s="161"/>
      <c r="S1171" s="161"/>
      <c r="T1171" s="161"/>
      <c r="U1171" s="161"/>
      <c r="V1171" s="161"/>
      <c r="W1171" s="161"/>
      <c r="X1171" s="161"/>
      <c r="Y1171" s="161"/>
      <c r="Z1171" s="161"/>
      <c r="AA1171" s="161"/>
      <c r="AB1171" s="161"/>
      <c r="AC1171" s="161"/>
      <c r="AD1171" s="161"/>
      <c r="AE1171" s="161"/>
      <c r="AF1171" s="161"/>
      <c r="AG1171" s="161"/>
      <c r="AH1171" s="161"/>
      <c r="AI1171" s="161"/>
      <c r="AJ1171" s="161"/>
      <c r="AK1171" s="161"/>
      <c r="AL1171" s="161"/>
      <c r="AM1171" s="161"/>
      <c r="AN1171" s="161"/>
      <c r="AO1171" s="161"/>
      <c r="AP1171" s="161"/>
      <c r="AQ1171" s="161"/>
      <c r="AR1171" s="161"/>
      <c r="AS1171" s="161"/>
      <c r="AT1171" s="161"/>
      <c r="AU1171" s="161"/>
      <c r="AV1171" s="161"/>
      <c r="AW1171" s="161"/>
      <c r="AX1171" s="161"/>
      <c r="AY1171" s="161"/>
      <c r="AZ1171" s="161"/>
      <c r="BA1171" s="161"/>
      <c r="BB1171" s="161"/>
      <c r="BC1171" s="161"/>
      <c r="BD1171" s="161"/>
      <c r="BE1171" s="161"/>
      <c r="BF1171" s="161"/>
      <c r="BG1171" s="161"/>
      <c r="BH1171" s="161"/>
      <c r="BI1171" s="161"/>
      <c r="BJ1171" s="161"/>
      <c r="BK1171" s="161"/>
      <c r="BL1171" s="161"/>
      <c r="BM1171" s="161"/>
      <c r="BN1171" s="161"/>
      <c r="BO1171" s="161"/>
      <c r="BP1171" s="161"/>
      <c r="BQ1171" s="161"/>
      <c r="BR1171" s="161"/>
      <c r="BS1171" s="161"/>
      <c r="BT1171" s="161"/>
      <c r="BU1171" s="161"/>
      <c r="BV1171" s="161"/>
      <c r="BW1171" s="161"/>
      <c r="BX1171" s="161"/>
      <c r="BY1171" s="161"/>
      <c r="BZ1171" s="161"/>
      <c r="CA1171" s="161"/>
      <c r="CB1171" s="161"/>
      <c r="CC1171" s="161"/>
      <c r="CD1171" s="161"/>
      <c r="CE1171" s="161"/>
      <c r="CF1171" s="161"/>
      <c r="CG1171" s="161"/>
    </row>
    <row r="1172">
      <c r="A1172" s="161"/>
      <c r="B1172" s="161"/>
      <c r="C1172" s="161"/>
      <c r="D1172" s="161"/>
      <c r="E1172" s="161"/>
      <c r="F1172" s="161"/>
      <c r="G1172" s="161"/>
      <c r="H1172" s="161"/>
      <c r="I1172" s="161"/>
      <c r="J1172" s="161"/>
      <c r="K1172" s="161"/>
      <c r="L1172" s="161"/>
      <c r="M1172" s="161"/>
      <c r="N1172" s="161"/>
      <c r="O1172" s="161"/>
      <c r="P1172" s="161"/>
      <c r="Q1172" s="161"/>
      <c r="R1172" s="161"/>
      <c r="S1172" s="161"/>
      <c r="T1172" s="161"/>
      <c r="U1172" s="161"/>
      <c r="V1172" s="161"/>
      <c r="W1172" s="161"/>
      <c r="X1172" s="161"/>
      <c r="Y1172" s="161"/>
      <c r="Z1172" s="161"/>
      <c r="AA1172" s="161"/>
      <c r="AB1172" s="161"/>
      <c r="AC1172" s="161"/>
      <c r="AD1172" s="161"/>
      <c r="AE1172" s="161"/>
      <c r="AF1172" s="161"/>
      <c r="AG1172" s="161"/>
      <c r="AH1172" s="161"/>
      <c r="AI1172" s="161"/>
      <c r="AJ1172" s="161"/>
      <c r="AK1172" s="161"/>
      <c r="AL1172" s="161"/>
      <c r="AM1172" s="161"/>
      <c r="AN1172" s="161"/>
      <c r="AO1172" s="161"/>
      <c r="AP1172" s="161"/>
      <c r="AQ1172" s="161"/>
      <c r="AR1172" s="161"/>
      <c r="AS1172" s="161"/>
      <c r="AT1172" s="161"/>
      <c r="AU1172" s="161"/>
      <c r="AV1172" s="161"/>
      <c r="AW1172" s="161"/>
      <c r="AX1172" s="161"/>
      <c r="AY1172" s="161"/>
      <c r="AZ1172" s="161"/>
      <c r="BA1172" s="161"/>
      <c r="BB1172" s="161"/>
      <c r="BC1172" s="161"/>
      <c r="BD1172" s="161"/>
      <c r="BE1172" s="161"/>
      <c r="BF1172" s="161"/>
      <c r="BG1172" s="161"/>
      <c r="BH1172" s="161"/>
      <c r="BI1172" s="161"/>
      <c r="BJ1172" s="161"/>
      <c r="BK1172" s="161"/>
      <c r="BL1172" s="161"/>
      <c r="BM1172" s="161"/>
      <c r="BN1172" s="161"/>
      <c r="BO1172" s="161"/>
      <c r="BP1172" s="161"/>
      <c r="BQ1172" s="161"/>
      <c r="BR1172" s="161"/>
      <c r="BS1172" s="161"/>
      <c r="BT1172" s="161"/>
      <c r="BU1172" s="161"/>
      <c r="BV1172" s="161"/>
      <c r="BW1172" s="161"/>
      <c r="BX1172" s="161"/>
      <c r="BY1172" s="161"/>
      <c r="BZ1172" s="161"/>
      <c r="CA1172" s="161"/>
      <c r="CB1172" s="161"/>
      <c r="CC1172" s="161"/>
      <c r="CD1172" s="161"/>
      <c r="CE1172" s="161"/>
      <c r="CF1172" s="161"/>
      <c r="CG1172" s="161"/>
    </row>
    <row r="1173">
      <c r="A1173" s="161"/>
      <c r="B1173" s="161"/>
      <c r="C1173" s="161"/>
      <c r="D1173" s="161"/>
      <c r="E1173" s="161"/>
      <c r="F1173" s="161"/>
      <c r="G1173" s="161"/>
      <c r="H1173" s="161"/>
      <c r="I1173" s="161"/>
      <c r="J1173" s="161"/>
      <c r="K1173" s="161"/>
      <c r="L1173" s="161"/>
      <c r="M1173" s="161"/>
      <c r="N1173" s="161"/>
      <c r="O1173" s="161"/>
      <c r="P1173" s="161"/>
      <c r="Q1173" s="161"/>
      <c r="R1173" s="161"/>
      <c r="S1173" s="161"/>
      <c r="T1173" s="161"/>
      <c r="U1173" s="161"/>
      <c r="V1173" s="161"/>
      <c r="W1173" s="161"/>
      <c r="X1173" s="161"/>
      <c r="Y1173" s="161"/>
      <c r="Z1173" s="161"/>
      <c r="AA1173" s="161"/>
      <c r="AB1173" s="161"/>
      <c r="AC1173" s="161"/>
      <c r="AD1173" s="161"/>
      <c r="AE1173" s="161"/>
      <c r="AF1173" s="161"/>
      <c r="AG1173" s="161"/>
      <c r="AH1173" s="161"/>
      <c r="AI1173" s="161"/>
      <c r="AJ1173" s="161"/>
      <c r="AK1173" s="161"/>
      <c r="AL1173" s="161"/>
      <c r="AM1173" s="161"/>
      <c r="AN1173" s="161"/>
      <c r="AO1173" s="161"/>
      <c r="AP1173" s="161"/>
      <c r="AQ1173" s="161"/>
      <c r="AR1173" s="161"/>
      <c r="AS1173" s="161"/>
      <c r="AT1173" s="161"/>
      <c r="AU1173" s="161"/>
      <c r="AV1173" s="161"/>
      <c r="AW1173" s="161"/>
      <c r="AX1173" s="161"/>
      <c r="AY1173" s="161"/>
      <c r="AZ1173" s="161"/>
      <c r="BA1173" s="161"/>
      <c r="BB1173" s="161"/>
      <c r="BC1173" s="161"/>
      <c r="BD1173" s="161"/>
      <c r="BE1173" s="161"/>
      <c r="BF1173" s="161"/>
      <c r="BG1173" s="161"/>
      <c r="BH1173" s="161"/>
      <c r="BI1173" s="161"/>
      <c r="BJ1173" s="161"/>
      <c r="BK1173" s="161"/>
      <c r="BL1173" s="161"/>
      <c r="BM1173" s="161"/>
      <c r="BN1173" s="161"/>
      <c r="BO1173" s="161"/>
      <c r="BP1173" s="161"/>
      <c r="BQ1173" s="161"/>
      <c r="BR1173" s="161"/>
      <c r="BS1173" s="161"/>
      <c r="BT1173" s="161"/>
      <c r="BU1173" s="161"/>
      <c r="BV1173" s="161"/>
      <c r="BW1173" s="161"/>
      <c r="BX1173" s="161"/>
      <c r="BY1173" s="161"/>
      <c r="BZ1173" s="161"/>
      <c r="CA1173" s="161"/>
      <c r="CB1173" s="161"/>
      <c r="CC1173" s="161"/>
      <c r="CD1173" s="161"/>
      <c r="CE1173" s="161"/>
      <c r="CF1173" s="161"/>
      <c r="CG1173" s="161"/>
    </row>
    <row r="1174">
      <c r="A1174" s="161"/>
      <c r="B1174" s="161"/>
      <c r="C1174" s="161"/>
      <c r="D1174" s="161"/>
      <c r="E1174" s="161"/>
      <c r="F1174" s="161"/>
      <c r="G1174" s="161"/>
      <c r="H1174" s="161"/>
      <c r="I1174" s="161"/>
      <c r="J1174" s="161"/>
      <c r="K1174" s="161"/>
      <c r="L1174" s="161"/>
      <c r="M1174" s="161"/>
      <c r="N1174" s="161"/>
      <c r="O1174" s="161"/>
      <c r="P1174" s="161"/>
      <c r="Q1174" s="161"/>
      <c r="R1174" s="161"/>
      <c r="S1174" s="161"/>
      <c r="T1174" s="161"/>
      <c r="U1174" s="161"/>
      <c r="V1174" s="161"/>
      <c r="W1174" s="161"/>
      <c r="X1174" s="161"/>
      <c r="Y1174" s="161"/>
      <c r="Z1174" s="161"/>
      <c r="AA1174" s="161"/>
      <c r="AB1174" s="161"/>
      <c r="AC1174" s="161"/>
      <c r="AD1174" s="161"/>
      <c r="AE1174" s="161"/>
      <c r="AF1174" s="161"/>
      <c r="AG1174" s="161"/>
      <c r="AH1174" s="161"/>
      <c r="AI1174" s="161"/>
      <c r="AJ1174" s="161"/>
      <c r="AK1174" s="161"/>
      <c r="AL1174" s="161"/>
      <c r="AM1174" s="161"/>
      <c r="AN1174" s="161"/>
      <c r="AO1174" s="161"/>
      <c r="AP1174" s="161"/>
      <c r="AQ1174" s="161"/>
      <c r="AR1174" s="161"/>
      <c r="AS1174" s="161"/>
      <c r="AT1174" s="161"/>
      <c r="AU1174" s="161"/>
      <c r="AV1174" s="161"/>
      <c r="AW1174" s="161"/>
      <c r="AX1174" s="161"/>
      <c r="AY1174" s="161"/>
      <c r="AZ1174" s="161"/>
      <c r="BA1174" s="161"/>
      <c r="BB1174" s="161"/>
      <c r="BC1174" s="161"/>
      <c r="BD1174" s="161"/>
      <c r="BE1174" s="161"/>
      <c r="BF1174" s="161"/>
      <c r="BG1174" s="161"/>
      <c r="BH1174" s="161"/>
      <c r="BI1174" s="161"/>
      <c r="BJ1174" s="161"/>
      <c r="BK1174" s="161"/>
      <c r="BL1174" s="161"/>
      <c r="BM1174" s="161"/>
      <c r="BN1174" s="161"/>
      <c r="BO1174" s="161"/>
      <c r="BP1174" s="161"/>
      <c r="BQ1174" s="161"/>
      <c r="BR1174" s="161"/>
      <c r="BS1174" s="161"/>
      <c r="BT1174" s="161"/>
      <c r="BU1174" s="161"/>
      <c r="BV1174" s="161"/>
      <c r="BW1174" s="161"/>
      <c r="BX1174" s="161"/>
      <c r="BY1174" s="161"/>
      <c r="BZ1174" s="161"/>
      <c r="CA1174" s="161"/>
      <c r="CB1174" s="161"/>
      <c r="CC1174" s="161"/>
      <c r="CD1174" s="161"/>
      <c r="CE1174" s="161"/>
      <c r="CF1174" s="161"/>
      <c r="CG1174" s="161"/>
    </row>
    <row r="1175">
      <c r="A1175" s="161"/>
      <c r="B1175" s="161"/>
      <c r="C1175" s="161"/>
      <c r="D1175" s="161"/>
      <c r="E1175" s="161"/>
      <c r="F1175" s="161"/>
      <c r="G1175" s="161"/>
      <c r="H1175" s="161"/>
      <c r="I1175" s="161"/>
      <c r="J1175" s="161"/>
      <c r="K1175" s="161"/>
      <c r="L1175" s="161"/>
      <c r="M1175" s="161"/>
      <c r="N1175" s="161"/>
      <c r="O1175" s="161"/>
      <c r="P1175" s="161"/>
      <c r="Q1175" s="161"/>
      <c r="R1175" s="161"/>
      <c r="S1175" s="161"/>
      <c r="T1175" s="161"/>
      <c r="U1175" s="161"/>
      <c r="V1175" s="161"/>
      <c r="W1175" s="161"/>
      <c r="X1175" s="161"/>
      <c r="Y1175" s="161"/>
      <c r="Z1175" s="161"/>
      <c r="AA1175" s="161"/>
      <c r="AB1175" s="161"/>
      <c r="AC1175" s="161"/>
      <c r="AD1175" s="161"/>
      <c r="AE1175" s="161"/>
      <c r="AF1175" s="161"/>
      <c r="AG1175" s="161"/>
      <c r="AH1175" s="161"/>
      <c r="AI1175" s="161"/>
      <c r="AJ1175" s="161"/>
      <c r="AK1175" s="161"/>
      <c r="AL1175" s="161"/>
      <c r="AM1175" s="161"/>
      <c r="AN1175" s="161"/>
      <c r="AO1175" s="161"/>
      <c r="AP1175" s="161"/>
      <c r="AQ1175" s="161"/>
      <c r="AR1175" s="161"/>
      <c r="AS1175" s="161"/>
      <c r="AT1175" s="161"/>
      <c r="AU1175" s="161"/>
      <c r="AV1175" s="161"/>
      <c r="AW1175" s="161"/>
      <c r="AX1175" s="161"/>
      <c r="AY1175" s="161"/>
      <c r="AZ1175" s="161"/>
      <c r="BA1175" s="161"/>
      <c r="BB1175" s="161"/>
      <c r="BC1175" s="161"/>
      <c r="BD1175" s="161"/>
      <c r="BE1175" s="161"/>
      <c r="BF1175" s="161"/>
      <c r="BG1175" s="161"/>
      <c r="BH1175" s="161"/>
      <c r="BI1175" s="161"/>
      <c r="BJ1175" s="161"/>
      <c r="BK1175" s="161"/>
      <c r="BL1175" s="161"/>
      <c r="BM1175" s="161"/>
      <c r="BN1175" s="161"/>
      <c r="BO1175" s="161"/>
      <c r="BP1175" s="161"/>
      <c r="BQ1175" s="161"/>
      <c r="BR1175" s="161"/>
      <c r="BS1175" s="161"/>
      <c r="BT1175" s="161"/>
      <c r="BU1175" s="161"/>
      <c r="BV1175" s="161"/>
      <c r="BW1175" s="161"/>
      <c r="BX1175" s="161"/>
      <c r="BY1175" s="161"/>
      <c r="BZ1175" s="161"/>
      <c r="CA1175" s="161"/>
      <c r="CB1175" s="161"/>
      <c r="CC1175" s="161"/>
      <c r="CD1175" s="161"/>
      <c r="CE1175" s="161"/>
      <c r="CF1175" s="161"/>
      <c r="CG1175" s="161"/>
    </row>
    <row r="1176">
      <c r="A1176" s="161"/>
      <c r="B1176" s="161"/>
      <c r="C1176" s="161"/>
      <c r="D1176" s="161"/>
      <c r="E1176" s="161"/>
      <c r="F1176" s="161"/>
      <c r="G1176" s="161"/>
      <c r="H1176" s="161"/>
      <c r="I1176" s="161"/>
      <c r="J1176" s="161"/>
      <c r="K1176" s="161"/>
      <c r="L1176" s="161"/>
      <c r="M1176" s="161"/>
      <c r="N1176" s="161"/>
      <c r="O1176" s="161"/>
      <c r="P1176" s="161"/>
      <c r="Q1176" s="161"/>
      <c r="R1176" s="161"/>
      <c r="S1176" s="161"/>
      <c r="T1176" s="161"/>
      <c r="U1176" s="161"/>
      <c r="V1176" s="161"/>
      <c r="W1176" s="161"/>
      <c r="X1176" s="161"/>
      <c r="Y1176" s="161"/>
      <c r="Z1176" s="161"/>
      <c r="AA1176" s="161"/>
      <c r="AB1176" s="161"/>
      <c r="AC1176" s="161"/>
      <c r="AD1176" s="161"/>
      <c r="AE1176" s="161"/>
      <c r="AF1176" s="161"/>
      <c r="AG1176" s="161"/>
      <c r="AH1176" s="161"/>
      <c r="AI1176" s="161"/>
      <c r="AJ1176" s="161"/>
      <c r="AK1176" s="161"/>
      <c r="AL1176" s="161"/>
      <c r="AM1176" s="161"/>
      <c r="AN1176" s="161"/>
      <c r="AO1176" s="161"/>
      <c r="AP1176" s="161"/>
      <c r="AQ1176" s="161"/>
      <c r="AR1176" s="161"/>
      <c r="AS1176" s="161"/>
      <c r="AT1176" s="161"/>
      <c r="AU1176" s="161"/>
      <c r="AV1176" s="161"/>
      <c r="AW1176" s="161"/>
      <c r="AX1176" s="161"/>
      <c r="AY1176" s="161"/>
      <c r="AZ1176" s="161"/>
      <c r="BA1176" s="161"/>
      <c r="BB1176" s="161"/>
      <c r="BC1176" s="161"/>
      <c r="BD1176" s="161"/>
      <c r="BE1176" s="161"/>
      <c r="BF1176" s="161"/>
      <c r="BG1176" s="161"/>
      <c r="BH1176" s="161"/>
      <c r="BI1176" s="161"/>
      <c r="BJ1176" s="161"/>
      <c r="BK1176" s="161"/>
      <c r="BL1176" s="161"/>
      <c r="BM1176" s="161"/>
      <c r="BN1176" s="161"/>
      <c r="BO1176" s="161"/>
      <c r="BP1176" s="161"/>
      <c r="BQ1176" s="161"/>
      <c r="BR1176" s="161"/>
      <c r="BS1176" s="161"/>
      <c r="BT1176" s="161"/>
      <c r="BU1176" s="161"/>
      <c r="BV1176" s="161"/>
      <c r="BW1176" s="161"/>
      <c r="BX1176" s="161"/>
      <c r="BY1176" s="161"/>
      <c r="BZ1176" s="161"/>
      <c r="CA1176" s="161"/>
      <c r="CB1176" s="161"/>
      <c r="CC1176" s="161"/>
      <c r="CD1176" s="161"/>
      <c r="CE1176" s="161"/>
      <c r="CF1176" s="161"/>
      <c r="CG1176" s="161"/>
    </row>
    <row r="1177">
      <c r="A1177" s="161"/>
      <c r="B1177" s="161"/>
      <c r="C1177" s="161"/>
      <c r="D1177" s="161"/>
      <c r="E1177" s="161"/>
      <c r="F1177" s="161"/>
      <c r="G1177" s="161"/>
      <c r="H1177" s="161"/>
      <c r="I1177" s="161"/>
      <c r="J1177" s="161"/>
      <c r="K1177" s="161"/>
      <c r="L1177" s="161"/>
      <c r="M1177" s="161"/>
      <c r="N1177" s="161"/>
      <c r="O1177" s="161"/>
      <c r="P1177" s="161"/>
      <c r="Q1177" s="161"/>
      <c r="R1177" s="161"/>
      <c r="S1177" s="161"/>
      <c r="T1177" s="161"/>
      <c r="U1177" s="161"/>
      <c r="V1177" s="161"/>
      <c r="W1177" s="161"/>
      <c r="X1177" s="161"/>
      <c r="Y1177" s="161"/>
      <c r="Z1177" s="161"/>
      <c r="AA1177" s="161"/>
      <c r="AB1177" s="161"/>
      <c r="AC1177" s="161"/>
      <c r="AD1177" s="161"/>
      <c r="AE1177" s="161"/>
      <c r="AF1177" s="161"/>
      <c r="AG1177" s="161"/>
      <c r="AH1177" s="161"/>
      <c r="AI1177" s="161"/>
      <c r="AJ1177" s="161"/>
      <c r="AK1177" s="161"/>
      <c r="AL1177" s="161"/>
      <c r="AM1177" s="161"/>
      <c r="AN1177" s="161"/>
      <c r="AO1177" s="161"/>
      <c r="AP1177" s="161"/>
      <c r="AQ1177" s="161"/>
      <c r="AR1177" s="161"/>
      <c r="AS1177" s="161"/>
      <c r="AT1177" s="161"/>
      <c r="AU1177" s="161"/>
      <c r="AV1177" s="161"/>
      <c r="AW1177" s="161"/>
      <c r="AX1177" s="161"/>
      <c r="AY1177" s="161"/>
      <c r="AZ1177" s="161"/>
      <c r="BA1177" s="161"/>
      <c r="BB1177" s="161"/>
      <c r="BC1177" s="161"/>
      <c r="BD1177" s="161"/>
      <c r="BE1177" s="161"/>
      <c r="BF1177" s="161"/>
      <c r="BG1177" s="161"/>
      <c r="BH1177" s="161"/>
      <c r="BI1177" s="161"/>
      <c r="BJ1177" s="161"/>
      <c r="BK1177" s="161"/>
      <c r="BL1177" s="161"/>
      <c r="BM1177" s="161"/>
      <c r="BN1177" s="161"/>
      <c r="BO1177" s="161"/>
      <c r="BP1177" s="161"/>
      <c r="BQ1177" s="161"/>
      <c r="BR1177" s="161"/>
      <c r="BS1177" s="161"/>
      <c r="BT1177" s="161"/>
      <c r="BU1177" s="161"/>
      <c r="BV1177" s="161"/>
      <c r="BW1177" s="161"/>
      <c r="BX1177" s="161"/>
      <c r="BY1177" s="161"/>
      <c r="BZ1177" s="161"/>
      <c r="CA1177" s="161"/>
      <c r="CB1177" s="161"/>
      <c r="CC1177" s="161"/>
      <c r="CD1177" s="161"/>
      <c r="CE1177" s="161"/>
      <c r="CF1177" s="161"/>
      <c r="CG1177" s="161"/>
    </row>
    <row r="1178">
      <c r="A1178" s="161"/>
      <c r="B1178" s="161"/>
      <c r="C1178" s="161"/>
      <c r="D1178" s="161"/>
      <c r="E1178" s="161"/>
      <c r="F1178" s="161"/>
      <c r="G1178" s="161"/>
      <c r="H1178" s="161"/>
      <c r="I1178" s="161"/>
      <c r="J1178" s="161"/>
      <c r="K1178" s="161"/>
      <c r="L1178" s="161"/>
      <c r="M1178" s="161"/>
      <c r="N1178" s="161"/>
      <c r="O1178" s="161"/>
      <c r="P1178" s="161"/>
      <c r="Q1178" s="161"/>
      <c r="R1178" s="161"/>
      <c r="S1178" s="161"/>
      <c r="T1178" s="161"/>
      <c r="U1178" s="161"/>
      <c r="V1178" s="161"/>
      <c r="W1178" s="161"/>
      <c r="X1178" s="161"/>
      <c r="Y1178" s="161"/>
      <c r="Z1178" s="161"/>
      <c r="AA1178" s="161"/>
      <c r="AB1178" s="161"/>
      <c r="AC1178" s="161"/>
      <c r="AD1178" s="161"/>
      <c r="AE1178" s="161"/>
      <c r="AF1178" s="161"/>
      <c r="AG1178" s="161"/>
      <c r="AH1178" s="161"/>
      <c r="AI1178" s="161"/>
      <c r="AJ1178" s="161"/>
      <c r="AK1178" s="161"/>
      <c r="AL1178" s="161"/>
      <c r="AM1178" s="161"/>
      <c r="AN1178" s="161"/>
      <c r="AO1178" s="161"/>
      <c r="AP1178" s="161"/>
      <c r="AQ1178" s="161"/>
      <c r="AR1178" s="161"/>
      <c r="AS1178" s="161"/>
      <c r="AT1178" s="161"/>
      <c r="AU1178" s="161"/>
      <c r="AV1178" s="161"/>
      <c r="AW1178" s="161"/>
      <c r="AX1178" s="161"/>
      <c r="AY1178" s="161"/>
      <c r="AZ1178" s="161"/>
      <c r="BA1178" s="161"/>
      <c r="BB1178" s="161"/>
      <c r="BC1178" s="161"/>
      <c r="BD1178" s="161"/>
      <c r="BE1178" s="161"/>
      <c r="BF1178" s="161"/>
      <c r="BG1178" s="161"/>
      <c r="BH1178" s="161"/>
      <c r="BI1178" s="161"/>
      <c r="BJ1178" s="161"/>
      <c r="BK1178" s="161"/>
      <c r="BL1178" s="161"/>
      <c r="BM1178" s="161"/>
      <c r="BN1178" s="161"/>
      <c r="BO1178" s="161"/>
      <c r="BP1178" s="161"/>
      <c r="BQ1178" s="161"/>
      <c r="BR1178" s="161"/>
      <c r="BS1178" s="161"/>
      <c r="BT1178" s="161"/>
      <c r="BU1178" s="161"/>
      <c r="BV1178" s="161"/>
      <c r="BW1178" s="161"/>
      <c r="BX1178" s="161"/>
      <c r="BY1178" s="161"/>
      <c r="BZ1178" s="161"/>
      <c r="CA1178" s="161"/>
      <c r="CB1178" s="161"/>
      <c r="CC1178" s="161"/>
      <c r="CD1178" s="161"/>
      <c r="CE1178" s="161"/>
      <c r="CF1178" s="161"/>
      <c r="CG1178" s="161"/>
    </row>
    <row r="1179">
      <c r="A1179" s="161"/>
      <c r="B1179" s="161"/>
      <c r="C1179" s="161"/>
      <c r="D1179" s="161"/>
      <c r="E1179" s="161"/>
      <c r="F1179" s="161"/>
      <c r="G1179" s="161"/>
      <c r="H1179" s="161"/>
      <c r="I1179" s="161"/>
      <c r="J1179" s="161"/>
      <c r="K1179" s="161"/>
      <c r="L1179" s="161"/>
      <c r="M1179" s="161"/>
      <c r="N1179" s="161"/>
      <c r="O1179" s="161"/>
      <c r="P1179" s="161"/>
      <c r="Q1179" s="161"/>
      <c r="R1179" s="161"/>
      <c r="S1179" s="161"/>
      <c r="T1179" s="161"/>
      <c r="U1179" s="161"/>
      <c r="V1179" s="161"/>
      <c r="W1179" s="161"/>
      <c r="X1179" s="161"/>
      <c r="Y1179" s="161"/>
      <c r="Z1179" s="161"/>
      <c r="AA1179" s="161"/>
      <c r="AB1179" s="161"/>
      <c r="AC1179" s="161"/>
      <c r="AD1179" s="161"/>
      <c r="AE1179" s="161"/>
      <c r="AF1179" s="161"/>
      <c r="AG1179" s="161"/>
      <c r="AH1179" s="161"/>
      <c r="AI1179" s="161"/>
      <c r="AJ1179" s="161"/>
      <c r="AK1179" s="161"/>
      <c r="AL1179" s="161"/>
      <c r="AM1179" s="161"/>
      <c r="AN1179" s="161"/>
      <c r="AO1179" s="161"/>
      <c r="AP1179" s="161"/>
      <c r="AQ1179" s="161"/>
      <c r="AR1179" s="161"/>
      <c r="AS1179" s="161"/>
      <c r="AT1179" s="161"/>
      <c r="AU1179" s="161"/>
      <c r="AV1179" s="161"/>
      <c r="AW1179" s="161"/>
      <c r="AX1179" s="161"/>
      <c r="AY1179" s="161"/>
      <c r="AZ1179" s="161"/>
      <c r="BA1179" s="161"/>
      <c r="BB1179" s="161"/>
      <c r="BC1179" s="161"/>
      <c r="BD1179" s="161"/>
      <c r="BE1179" s="161"/>
      <c r="BF1179" s="161"/>
      <c r="BG1179" s="161"/>
      <c r="BH1179" s="161"/>
      <c r="BI1179" s="161"/>
      <c r="BJ1179" s="161"/>
      <c r="BK1179" s="161"/>
      <c r="BL1179" s="161"/>
      <c r="BM1179" s="161"/>
      <c r="BN1179" s="161"/>
      <c r="BO1179" s="161"/>
      <c r="BP1179" s="161"/>
      <c r="BQ1179" s="161"/>
      <c r="BR1179" s="161"/>
      <c r="BS1179" s="161"/>
      <c r="BT1179" s="161"/>
      <c r="BU1179" s="161"/>
      <c r="BV1179" s="161"/>
      <c r="BW1179" s="161"/>
      <c r="BX1179" s="161"/>
      <c r="BY1179" s="161"/>
      <c r="BZ1179" s="161"/>
      <c r="CA1179" s="161"/>
      <c r="CB1179" s="161"/>
      <c r="CC1179" s="161"/>
      <c r="CD1179" s="161"/>
      <c r="CE1179" s="161"/>
      <c r="CF1179" s="161"/>
      <c r="CG1179" s="161"/>
    </row>
    <row r="1180">
      <c r="A1180" s="161"/>
      <c r="B1180" s="161"/>
      <c r="C1180" s="161"/>
      <c r="D1180" s="161"/>
      <c r="E1180" s="161"/>
      <c r="F1180" s="161"/>
      <c r="G1180" s="161"/>
      <c r="H1180" s="161"/>
      <c r="I1180" s="161"/>
      <c r="J1180" s="161"/>
      <c r="K1180" s="161"/>
      <c r="L1180" s="161"/>
      <c r="M1180" s="161"/>
      <c r="N1180" s="161"/>
      <c r="O1180" s="161"/>
      <c r="P1180" s="161"/>
      <c r="Q1180" s="161"/>
      <c r="R1180" s="161"/>
      <c r="S1180" s="161"/>
      <c r="T1180" s="161"/>
      <c r="U1180" s="161"/>
      <c r="V1180" s="161"/>
      <c r="W1180" s="161"/>
      <c r="X1180" s="161"/>
      <c r="Y1180" s="161"/>
      <c r="Z1180" s="161"/>
      <c r="AA1180" s="161"/>
      <c r="AB1180" s="161"/>
      <c r="AC1180" s="161"/>
      <c r="AD1180" s="161"/>
      <c r="AE1180" s="161"/>
      <c r="AF1180" s="161"/>
      <c r="AG1180" s="161"/>
      <c r="AH1180" s="161"/>
      <c r="AI1180" s="161"/>
      <c r="AJ1180" s="161"/>
      <c r="AK1180" s="161"/>
      <c r="AL1180" s="161"/>
      <c r="AM1180" s="161"/>
      <c r="AN1180" s="161"/>
      <c r="AO1180" s="161"/>
      <c r="AP1180" s="161"/>
      <c r="AQ1180" s="161"/>
      <c r="AR1180" s="161"/>
      <c r="AS1180" s="161"/>
      <c r="AT1180" s="161"/>
      <c r="AU1180" s="161"/>
      <c r="AV1180" s="161"/>
      <c r="AW1180" s="161"/>
      <c r="AX1180" s="161"/>
      <c r="AY1180" s="161"/>
      <c r="AZ1180" s="161"/>
      <c r="BA1180" s="161"/>
      <c r="BB1180" s="161"/>
      <c r="BC1180" s="161"/>
      <c r="BD1180" s="161"/>
      <c r="BE1180" s="161"/>
      <c r="BF1180" s="161"/>
      <c r="BG1180" s="161"/>
      <c r="BH1180" s="161"/>
      <c r="BI1180" s="161"/>
      <c r="BJ1180" s="161"/>
      <c r="BK1180" s="161"/>
      <c r="BL1180" s="161"/>
      <c r="BM1180" s="161"/>
      <c r="BN1180" s="161"/>
      <c r="BO1180" s="161"/>
      <c r="BP1180" s="161"/>
      <c r="BQ1180" s="161"/>
      <c r="BR1180" s="161"/>
      <c r="BS1180" s="161"/>
      <c r="BT1180" s="161"/>
      <c r="BU1180" s="161"/>
      <c r="BV1180" s="161"/>
      <c r="BW1180" s="161"/>
      <c r="BX1180" s="161"/>
      <c r="BY1180" s="161"/>
      <c r="BZ1180" s="161"/>
      <c r="CA1180" s="161"/>
      <c r="CB1180" s="161"/>
      <c r="CC1180" s="161"/>
      <c r="CD1180" s="161"/>
      <c r="CE1180" s="161"/>
      <c r="CF1180" s="161"/>
      <c r="CG1180" s="161"/>
    </row>
    <row r="1181">
      <c r="A1181" s="161"/>
      <c r="B1181" s="161"/>
      <c r="C1181" s="161"/>
      <c r="D1181" s="161"/>
      <c r="E1181" s="161"/>
      <c r="F1181" s="161"/>
      <c r="G1181" s="161"/>
      <c r="H1181" s="161"/>
      <c r="I1181" s="161"/>
      <c r="J1181" s="161"/>
      <c r="K1181" s="161"/>
      <c r="L1181" s="161"/>
      <c r="M1181" s="161"/>
      <c r="N1181" s="161"/>
      <c r="O1181" s="161"/>
      <c r="P1181" s="161"/>
      <c r="Q1181" s="161"/>
      <c r="R1181" s="161"/>
      <c r="S1181" s="161"/>
      <c r="T1181" s="161"/>
      <c r="U1181" s="161"/>
      <c r="V1181" s="161"/>
      <c r="W1181" s="161"/>
      <c r="X1181" s="161"/>
      <c r="Y1181" s="161"/>
      <c r="Z1181" s="161"/>
      <c r="AA1181" s="161"/>
      <c r="AB1181" s="161"/>
      <c r="AC1181" s="161"/>
      <c r="AD1181" s="161"/>
      <c r="AE1181" s="161"/>
      <c r="AF1181" s="161"/>
      <c r="AG1181" s="161"/>
      <c r="AH1181" s="161"/>
      <c r="AI1181" s="161"/>
      <c r="AJ1181" s="161"/>
      <c r="AK1181" s="161"/>
      <c r="AL1181" s="161"/>
      <c r="AM1181" s="161"/>
      <c r="AN1181" s="161"/>
      <c r="AO1181" s="161"/>
      <c r="AP1181" s="161"/>
      <c r="AQ1181" s="161"/>
      <c r="AR1181" s="161"/>
      <c r="AS1181" s="161"/>
      <c r="AT1181" s="161"/>
      <c r="AU1181" s="161"/>
      <c r="AV1181" s="161"/>
      <c r="AW1181" s="161"/>
      <c r="AX1181" s="161"/>
      <c r="AY1181" s="161"/>
      <c r="AZ1181" s="161"/>
      <c r="BA1181" s="161"/>
      <c r="BB1181" s="161"/>
      <c r="BC1181" s="161"/>
      <c r="BD1181" s="161"/>
      <c r="BE1181" s="161"/>
      <c r="BF1181" s="161"/>
      <c r="BG1181" s="161"/>
      <c r="BH1181" s="161"/>
      <c r="BI1181" s="161"/>
      <c r="BJ1181" s="161"/>
      <c r="BK1181" s="161"/>
      <c r="BL1181" s="161"/>
      <c r="BM1181" s="161"/>
      <c r="BN1181" s="161"/>
      <c r="BO1181" s="161"/>
      <c r="BP1181" s="161"/>
      <c r="BQ1181" s="161"/>
      <c r="BR1181" s="161"/>
      <c r="BS1181" s="161"/>
      <c r="BT1181" s="161"/>
      <c r="BU1181" s="161"/>
      <c r="BV1181" s="161"/>
      <c r="BW1181" s="161"/>
      <c r="BX1181" s="161"/>
      <c r="BY1181" s="161"/>
      <c r="BZ1181" s="161"/>
      <c r="CA1181" s="161"/>
      <c r="CB1181" s="161"/>
      <c r="CC1181" s="161"/>
      <c r="CD1181" s="161"/>
      <c r="CE1181" s="161"/>
      <c r="CF1181" s="161"/>
      <c r="CG1181" s="161"/>
    </row>
    <row r="1182">
      <c r="A1182" s="161"/>
      <c r="B1182" s="161"/>
      <c r="C1182" s="161"/>
      <c r="D1182" s="161"/>
      <c r="E1182" s="161"/>
      <c r="F1182" s="161"/>
      <c r="G1182" s="161"/>
      <c r="H1182" s="161"/>
      <c r="I1182" s="161"/>
      <c r="J1182" s="161"/>
      <c r="K1182" s="161"/>
      <c r="L1182" s="161"/>
      <c r="M1182" s="161"/>
      <c r="N1182" s="161"/>
      <c r="O1182" s="161"/>
      <c r="P1182" s="161"/>
      <c r="Q1182" s="161"/>
      <c r="R1182" s="161"/>
      <c r="S1182" s="161"/>
      <c r="T1182" s="161"/>
      <c r="U1182" s="161"/>
      <c r="V1182" s="161"/>
      <c r="W1182" s="161"/>
      <c r="X1182" s="161"/>
      <c r="Y1182" s="161"/>
      <c r="Z1182" s="161"/>
      <c r="AA1182" s="161"/>
      <c r="AB1182" s="161"/>
      <c r="AC1182" s="161"/>
      <c r="AD1182" s="161"/>
      <c r="AE1182" s="161"/>
      <c r="AF1182" s="161"/>
      <c r="AG1182" s="161"/>
      <c r="AH1182" s="161"/>
      <c r="AI1182" s="161"/>
      <c r="AJ1182" s="161"/>
      <c r="AK1182" s="161"/>
      <c r="AL1182" s="161"/>
      <c r="AM1182" s="161"/>
      <c r="AN1182" s="161"/>
      <c r="AO1182" s="161"/>
      <c r="AP1182" s="161"/>
      <c r="AQ1182" s="161"/>
      <c r="AR1182" s="161"/>
      <c r="AS1182" s="161"/>
      <c r="AT1182" s="161"/>
      <c r="AU1182" s="161"/>
      <c r="AV1182" s="161"/>
      <c r="AW1182" s="161"/>
      <c r="AX1182" s="161"/>
      <c r="AY1182" s="161"/>
      <c r="AZ1182" s="161"/>
      <c r="BA1182" s="161"/>
      <c r="BB1182" s="161"/>
      <c r="BC1182" s="161"/>
      <c r="BD1182" s="161"/>
      <c r="BE1182" s="161"/>
      <c r="BF1182" s="161"/>
      <c r="BG1182" s="161"/>
      <c r="BH1182" s="161"/>
      <c r="BI1182" s="161"/>
      <c r="BJ1182" s="161"/>
      <c r="BK1182" s="161"/>
      <c r="BL1182" s="161"/>
      <c r="BM1182" s="161"/>
      <c r="BN1182" s="161"/>
      <c r="BO1182" s="161"/>
      <c r="BP1182" s="161"/>
      <c r="BQ1182" s="161"/>
      <c r="BR1182" s="161"/>
      <c r="BS1182" s="161"/>
      <c r="BT1182" s="161"/>
      <c r="BU1182" s="161"/>
      <c r="BV1182" s="161"/>
      <c r="BW1182" s="161"/>
      <c r="BX1182" s="161"/>
      <c r="BY1182" s="161"/>
      <c r="BZ1182" s="161"/>
      <c r="CA1182" s="161"/>
      <c r="CB1182" s="161"/>
      <c r="CC1182" s="161"/>
      <c r="CD1182" s="161"/>
      <c r="CE1182" s="161"/>
      <c r="CF1182" s="161"/>
      <c r="CG1182" s="161"/>
    </row>
    <row r="1183">
      <c r="A1183" s="161"/>
      <c r="B1183" s="161"/>
      <c r="C1183" s="161"/>
      <c r="D1183" s="161"/>
      <c r="E1183" s="161"/>
      <c r="F1183" s="161"/>
      <c r="G1183" s="161"/>
      <c r="H1183" s="161"/>
      <c r="I1183" s="161"/>
      <c r="J1183" s="161"/>
      <c r="K1183" s="161"/>
      <c r="L1183" s="161"/>
      <c r="M1183" s="161"/>
      <c r="N1183" s="161"/>
      <c r="O1183" s="161"/>
      <c r="P1183" s="161"/>
      <c r="Q1183" s="161"/>
      <c r="R1183" s="161"/>
      <c r="S1183" s="161"/>
      <c r="T1183" s="161"/>
      <c r="U1183" s="161"/>
      <c r="V1183" s="161"/>
      <c r="W1183" s="161"/>
      <c r="X1183" s="161"/>
      <c r="Y1183" s="161"/>
      <c r="Z1183" s="161"/>
      <c r="AA1183" s="161"/>
      <c r="AB1183" s="161"/>
      <c r="AC1183" s="161"/>
      <c r="AD1183" s="161"/>
      <c r="AE1183" s="161"/>
      <c r="AF1183" s="161"/>
      <c r="AG1183" s="161"/>
      <c r="AH1183" s="161"/>
      <c r="AI1183" s="161"/>
      <c r="AJ1183" s="161"/>
      <c r="AK1183" s="161"/>
      <c r="AL1183" s="161"/>
      <c r="AM1183" s="161"/>
      <c r="AN1183" s="161"/>
      <c r="AO1183" s="161"/>
      <c r="AP1183" s="161"/>
      <c r="AQ1183" s="161"/>
      <c r="AR1183" s="161"/>
      <c r="AS1183" s="161"/>
      <c r="AT1183" s="161"/>
      <c r="AU1183" s="161"/>
      <c r="AV1183" s="161"/>
      <c r="AW1183" s="161"/>
      <c r="AX1183" s="161"/>
      <c r="AY1183" s="161"/>
      <c r="AZ1183" s="161"/>
      <c r="BA1183" s="161"/>
      <c r="BB1183" s="161"/>
      <c r="BC1183" s="161"/>
      <c r="BD1183" s="161"/>
      <c r="BE1183" s="161"/>
      <c r="BF1183" s="161"/>
      <c r="BG1183" s="161"/>
      <c r="BH1183" s="161"/>
      <c r="BI1183" s="161"/>
      <c r="BJ1183" s="161"/>
      <c r="BK1183" s="161"/>
      <c r="BL1183" s="161"/>
      <c r="BM1183" s="161"/>
      <c r="BN1183" s="161"/>
      <c r="BO1183" s="161"/>
      <c r="BP1183" s="161"/>
      <c r="BQ1183" s="161"/>
      <c r="BR1183" s="161"/>
      <c r="BS1183" s="161"/>
      <c r="BT1183" s="161"/>
      <c r="BU1183" s="161"/>
      <c r="BV1183" s="161"/>
      <c r="BW1183" s="161"/>
      <c r="BX1183" s="161"/>
      <c r="BY1183" s="161"/>
      <c r="BZ1183" s="161"/>
      <c r="CA1183" s="161"/>
      <c r="CB1183" s="161"/>
      <c r="CC1183" s="161"/>
      <c r="CD1183" s="161"/>
      <c r="CE1183" s="161"/>
      <c r="CF1183" s="161"/>
      <c r="CG1183" s="161"/>
    </row>
    <row r="1184">
      <c r="A1184" s="161"/>
      <c r="B1184" s="161"/>
      <c r="C1184" s="161"/>
      <c r="D1184" s="161"/>
      <c r="E1184" s="161"/>
      <c r="F1184" s="161"/>
      <c r="G1184" s="161"/>
      <c r="H1184" s="161"/>
      <c r="I1184" s="161"/>
      <c r="J1184" s="161"/>
      <c r="K1184" s="161"/>
      <c r="L1184" s="161"/>
      <c r="M1184" s="161"/>
      <c r="N1184" s="161"/>
      <c r="O1184" s="161"/>
      <c r="P1184" s="161"/>
      <c r="Q1184" s="161"/>
      <c r="R1184" s="161"/>
      <c r="S1184" s="161"/>
      <c r="T1184" s="161"/>
      <c r="U1184" s="161"/>
      <c r="V1184" s="161"/>
      <c r="W1184" s="161"/>
      <c r="X1184" s="161"/>
      <c r="Y1184" s="161"/>
      <c r="Z1184" s="161"/>
      <c r="AA1184" s="161"/>
      <c r="AB1184" s="161"/>
      <c r="AC1184" s="161"/>
      <c r="AD1184" s="161"/>
      <c r="AE1184" s="161"/>
      <c r="AF1184" s="161"/>
      <c r="AG1184" s="161"/>
      <c r="AH1184" s="161"/>
      <c r="AI1184" s="161"/>
      <c r="AJ1184" s="161"/>
      <c r="AK1184" s="161"/>
      <c r="AL1184" s="161"/>
      <c r="AM1184" s="161"/>
      <c r="AN1184" s="161"/>
      <c r="AO1184" s="161"/>
      <c r="AP1184" s="161"/>
      <c r="AQ1184" s="161"/>
      <c r="AR1184" s="161"/>
      <c r="AS1184" s="161"/>
      <c r="AT1184" s="161"/>
      <c r="AU1184" s="161"/>
      <c r="AV1184" s="161"/>
      <c r="AW1184" s="161"/>
      <c r="AX1184" s="161"/>
      <c r="AY1184" s="161"/>
      <c r="AZ1184" s="161"/>
      <c r="BA1184" s="161"/>
      <c r="BB1184" s="161"/>
      <c r="BC1184" s="161"/>
      <c r="BD1184" s="161"/>
      <c r="BE1184" s="161"/>
      <c r="BF1184" s="161"/>
      <c r="BG1184" s="161"/>
      <c r="BH1184" s="161"/>
      <c r="BI1184" s="161"/>
      <c r="BJ1184" s="161"/>
      <c r="BK1184" s="161"/>
      <c r="BL1184" s="161"/>
      <c r="BM1184" s="161"/>
      <c r="BN1184" s="161"/>
      <c r="BO1184" s="161"/>
      <c r="BP1184" s="161"/>
      <c r="BQ1184" s="161"/>
      <c r="BR1184" s="161"/>
      <c r="BS1184" s="161"/>
      <c r="BT1184" s="161"/>
      <c r="BU1184" s="161"/>
      <c r="BV1184" s="161"/>
      <c r="BW1184" s="161"/>
      <c r="BX1184" s="161"/>
      <c r="BY1184" s="161"/>
      <c r="BZ1184" s="161"/>
      <c r="CA1184" s="161"/>
      <c r="CB1184" s="161"/>
      <c r="CC1184" s="161"/>
      <c r="CD1184" s="161"/>
      <c r="CE1184" s="161"/>
      <c r="CF1184" s="161"/>
      <c r="CG1184" s="161"/>
    </row>
    <row r="1185">
      <c r="A1185" s="161"/>
      <c r="B1185" s="161"/>
      <c r="C1185" s="161"/>
      <c r="D1185" s="161"/>
      <c r="E1185" s="161"/>
      <c r="F1185" s="161"/>
      <c r="G1185" s="161"/>
      <c r="H1185" s="161"/>
      <c r="I1185" s="161"/>
      <c r="J1185" s="161"/>
      <c r="K1185" s="161"/>
      <c r="L1185" s="161"/>
      <c r="M1185" s="161"/>
      <c r="N1185" s="161"/>
      <c r="O1185" s="161"/>
      <c r="P1185" s="161"/>
      <c r="Q1185" s="161"/>
      <c r="R1185" s="161"/>
      <c r="S1185" s="161"/>
      <c r="T1185" s="161"/>
      <c r="U1185" s="161"/>
      <c r="V1185" s="161"/>
      <c r="W1185" s="161"/>
      <c r="X1185" s="161"/>
      <c r="Y1185" s="161"/>
      <c r="Z1185" s="161"/>
      <c r="AA1185" s="161"/>
      <c r="AB1185" s="161"/>
      <c r="AC1185" s="161"/>
      <c r="AD1185" s="161"/>
      <c r="AE1185" s="161"/>
      <c r="AF1185" s="161"/>
      <c r="AG1185" s="161"/>
      <c r="AH1185" s="161"/>
      <c r="AI1185" s="161"/>
      <c r="AJ1185" s="161"/>
      <c r="AK1185" s="161"/>
      <c r="AL1185" s="161"/>
      <c r="AM1185" s="161"/>
      <c r="AN1185" s="161"/>
      <c r="AO1185" s="161"/>
      <c r="AP1185" s="161"/>
      <c r="AQ1185" s="161"/>
      <c r="AR1185" s="161"/>
      <c r="AS1185" s="161"/>
      <c r="AT1185" s="161"/>
      <c r="AU1185" s="161"/>
      <c r="AV1185" s="161"/>
      <c r="AW1185" s="161"/>
      <c r="AX1185" s="161"/>
      <c r="AY1185" s="161"/>
      <c r="AZ1185" s="161"/>
      <c r="BA1185" s="161"/>
      <c r="BB1185" s="161"/>
      <c r="BC1185" s="161"/>
      <c r="BD1185" s="161"/>
      <c r="BE1185" s="161"/>
      <c r="BF1185" s="161"/>
      <c r="BG1185" s="161"/>
      <c r="BH1185" s="161"/>
      <c r="BI1185" s="161"/>
      <c r="BJ1185" s="161"/>
      <c r="BK1185" s="161"/>
      <c r="BL1185" s="161"/>
      <c r="BM1185" s="161"/>
      <c r="BN1185" s="161"/>
      <c r="BO1185" s="161"/>
      <c r="BP1185" s="161"/>
      <c r="BQ1185" s="161"/>
      <c r="BR1185" s="161"/>
      <c r="BS1185" s="161"/>
      <c r="BT1185" s="161"/>
      <c r="BU1185" s="161"/>
      <c r="BV1185" s="161"/>
      <c r="BW1185" s="161"/>
      <c r="BX1185" s="161"/>
      <c r="BY1185" s="161"/>
      <c r="BZ1185" s="161"/>
      <c r="CA1185" s="161"/>
      <c r="CB1185" s="161"/>
      <c r="CC1185" s="161"/>
      <c r="CD1185" s="161"/>
      <c r="CE1185" s="161"/>
      <c r="CF1185" s="161"/>
      <c r="CG1185" s="161"/>
    </row>
    <row r="1186">
      <c r="A1186" s="161"/>
      <c r="B1186" s="161"/>
      <c r="C1186" s="161"/>
      <c r="D1186" s="161"/>
      <c r="E1186" s="161"/>
      <c r="F1186" s="161"/>
      <c r="G1186" s="161"/>
      <c r="H1186" s="161"/>
      <c r="I1186" s="161"/>
      <c r="J1186" s="161"/>
      <c r="K1186" s="161"/>
      <c r="L1186" s="161"/>
      <c r="M1186" s="161"/>
      <c r="N1186" s="161"/>
      <c r="O1186" s="161"/>
      <c r="P1186" s="161"/>
      <c r="Q1186" s="161"/>
      <c r="R1186" s="161"/>
      <c r="S1186" s="161"/>
      <c r="T1186" s="161"/>
      <c r="U1186" s="161"/>
      <c r="V1186" s="161"/>
      <c r="W1186" s="161"/>
      <c r="X1186" s="161"/>
      <c r="Y1186" s="161"/>
      <c r="Z1186" s="161"/>
      <c r="AA1186" s="161"/>
      <c r="AB1186" s="161"/>
      <c r="AC1186" s="161"/>
      <c r="AD1186" s="161"/>
      <c r="AE1186" s="161"/>
      <c r="AF1186" s="161"/>
      <c r="AG1186" s="161"/>
      <c r="AH1186" s="161"/>
      <c r="AI1186" s="161"/>
      <c r="AJ1186" s="161"/>
      <c r="AK1186" s="161"/>
      <c r="AL1186" s="161"/>
      <c r="AM1186" s="161"/>
      <c r="AN1186" s="161"/>
      <c r="AO1186" s="161"/>
      <c r="AP1186" s="161"/>
      <c r="AQ1186" s="161"/>
      <c r="AR1186" s="161"/>
      <c r="AS1186" s="161"/>
      <c r="AT1186" s="161"/>
      <c r="AU1186" s="161"/>
      <c r="AV1186" s="161"/>
      <c r="AW1186" s="161"/>
      <c r="AX1186" s="161"/>
      <c r="AY1186" s="161"/>
      <c r="AZ1186" s="161"/>
      <c r="BA1186" s="161"/>
      <c r="BB1186" s="161"/>
      <c r="BC1186" s="161"/>
      <c r="BD1186" s="161"/>
      <c r="BE1186" s="161"/>
      <c r="BF1186" s="161"/>
      <c r="BG1186" s="161"/>
      <c r="BH1186" s="161"/>
      <c r="BI1186" s="161"/>
      <c r="BJ1186" s="161"/>
      <c r="BK1186" s="161"/>
      <c r="BL1186" s="161"/>
      <c r="BM1186" s="161"/>
      <c r="BN1186" s="161"/>
      <c r="BO1186" s="161"/>
      <c r="BP1186" s="161"/>
      <c r="BQ1186" s="161"/>
      <c r="BR1186" s="161"/>
      <c r="BS1186" s="161"/>
      <c r="BT1186" s="161"/>
      <c r="BU1186" s="161"/>
      <c r="BV1186" s="161"/>
      <c r="BW1186" s="161"/>
      <c r="BX1186" s="161"/>
      <c r="BY1186" s="161"/>
      <c r="BZ1186" s="161"/>
      <c r="CA1186" s="161"/>
      <c r="CB1186" s="161"/>
      <c r="CC1186" s="161"/>
      <c r="CD1186" s="161"/>
      <c r="CE1186" s="161"/>
      <c r="CF1186" s="161"/>
      <c r="CG1186" s="161"/>
    </row>
    <row r="1187">
      <c r="A1187" s="161"/>
      <c r="B1187" s="161"/>
      <c r="C1187" s="161"/>
      <c r="D1187" s="161"/>
      <c r="E1187" s="161"/>
      <c r="F1187" s="161"/>
      <c r="G1187" s="161"/>
      <c r="H1187" s="161"/>
      <c r="I1187" s="161"/>
      <c r="J1187" s="161"/>
      <c r="K1187" s="161"/>
      <c r="L1187" s="161"/>
      <c r="M1187" s="161"/>
      <c r="N1187" s="161"/>
      <c r="O1187" s="161"/>
      <c r="P1187" s="161"/>
      <c r="Q1187" s="161"/>
      <c r="R1187" s="161"/>
      <c r="S1187" s="161"/>
      <c r="T1187" s="161"/>
      <c r="U1187" s="161"/>
      <c r="V1187" s="161"/>
      <c r="W1187" s="161"/>
      <c r="X1187" s="161"/>
      <c r="Y1187" s="161"/>
      <c r="Z1187" s="161"/>
      <c r="AA1187" s="161"/>
      <c r="AB1187" s="161"/>
      <c r="AC1187" s="161"/>
      <c r="AD1187" s="161"/>
      <c r="AE1187" s="161"/>
      <c r="AF1187" s="161"/>
      <c r="AG1187" s="161"/>
      <c r="AH1187" s="161"/>
      <c r="AI1187" s="161"/>
      <c r="AJ1187" s="161"/>
      <c r="AK1187" s="161"/>
      <c r="AL1187" s="161"/>
      <c r="AM1187" s="161"/>
      <c r="AN1187" s="161"/>
      <c r="AO1187" s="161"/>
      <c r="AP1187" s="161"/>
      <c r="AQ1187" s="161"/>
      <c r="AR1187" s="161"/>
      <c r="AS1187" s="161"/>
      <c r="AT1187" s="161"/>
      <c r="AU1187" s="161"/>
      <c r="AV1187" s="161"/>
      <c r="AW1187" s="161"/>
      <c r="AX1187" s="161"/>
      <c r="AY1187" s="161"/>
      <c r="AZ1187" s="161"/>
      <c r="BA1187" s="161"/>
      <c r="BB1187" s="161"/>
      <c r="BC1187" s="161"/>
      <c r="BD1187" s="161"/>
      <c r="BE1187" s="161"/>
      <c r="BF1187" s="161"/>
      <c r="BG1187" s="161"/>
      <c r="BH1187" s="161"/>
      <c r="BI1187" s="161"/>
      <c r="BJ1187" s="161"/>
      <c r="BK1187" s="161"/>
      <c r="BL1187" s="161"/>
      <c r="BM1187" s="161"/>
      <c r="BN1187" s="161"/>
      <c r="BO1187" s="161"/>
      <c r="BP1187" s="161"/>
      <c r="BQ1187" s="161"/>
      <c r="BR1187" s="161"/>
      <c r="BS1187" s="161"/>
      <c r="BT1187" s="161"/>
      <c r="BU1187" s="161"/>
      <c r="BV1187" s="161"/>
      <c r="BW1187" s="161"/>
      <c r="BX1187" s="161"/>
      <c r="BY1187" s="161"/>
      <c r="BZ1187" s="161"/>
      <c r="CA1187" s="161"/>
      <c r="CB1187" s="161"/>
      <c r="CC1187" s="161"/>
      <c r="CD1187" s="161"/>
      <c r="CE1187" s="161"/>
      <c r="CF1187" s="161"/>
      <c r="CG1187" s="161"/>
    </row>
    <row r="1188">
      <c r="A1188" s="161"/>
      <c r="B1188" s="161"/>
      <c r="C1188" s="161"/>
      <c r="D1188" s="161"/>
      <c r="E1188" s="161"/>
      <c r="F1188" s="161"/>
      <c r="G1188" s="161"/>
      <c r="H1188" s="161"/>
      <c r="I1188" s="161"/>
      <c r="J1188" s="161"/>
      <c r="K1188" s="161"/>
      <c r="L1188" s="161"/>
      <c r="M1188" s="161"/>
      <c r="N1188" s="161"/>
      <c r="O1188" s="161"/>
      <c r="P1188" s="161"/>
      <c r="Q1188" s="161"/>
      <c r="R1188" s="161"/>
      <c r="S1188" s="161"/>
      <c r="T1188" s="161"/>
      <c r="U1188" s="161"/>
      <c r="V1188" s="161"/>
      <c r="W1188" s="161"/>
      <c r="X1188" s="161"/>
      <c r="Y1188" s="161"/>
      <c r="Z1188" s="161"/>
      <c r="AA1188" s="161"/>
      <c r="AB1188" s="161"/>
      <c r="AC1188" s="161"/>
      <c r="AD1188" s="161"/>
      <c r="AE1188" s="161"/>
      <c r="AF1188" s="161"/>
      <c r="AG1188" s="161"/>
      <c r="AH1188" s="161"/>
      <c r="AI1188" s="161"/>
      <c r="AJ1188" s="161"/>
      <c r="AK1188" s="161"/>
      <c r="AL1188" s="161"/>
      <c r="AM1188" s="161"/>
      <c r="AN1188" s="161"/>
      <c r="AO1188" s="161"/>
      <c r="AP1188" s="161"/>
      <c r="AQ1188" s="161"/>
      <c r="AR1188" s="161"/>
      <c r="AS1188" s="161"/>
      <c r="AT1188" s="161"/>
      <c r="AU1188" s="161"/>
      <c r="AV1188" s="161"/>
      <c r="AW1188" s="161"/>
      <c r="AX1188" s="161"/>
      <c r="AY1188" s="161"/>
      <c r="AZ1188" s="161"/>
      <c r="BA1188" s="161"/>
      <c r="BB1188" s="161"/>
      <c r="BC1188" s="161"/>
      <c r="BD1188" s="161"/>
      <c r="BE1188" s="161"/>
      <c r="BF1188" s="161"/>
      <c r="BG1188" s="161"/>
      <c r="BH1188" s="161"/>
      <c r="BI1188" s="161"/>
      <c r="BJ1188" s="161"/>
      <c r="BK1188" s="161"/>
      <c r="BL1188" s="161"/>
      <c r="BM1188" s="161"/>
      <c r="BN1188" s="161"/>
      <c r="BO1188" s="161"/>
      <c r="BP1188" s="161"/>
      <c r="BQ1188" s="161"/>
      <c r="BR1188" s="161"/>
      <c r="BS1188" s="161"/>
      <c r="BT1188" s="161"/>
      <c r="BU1188" s="161"/>
      <c r="BV1188" s="161"/>
      <c r="BW1188" s="161"/>
      <c r="BX1188" s="161"/>
      <c r="BY1188" s="161"/>
      <c r="BZ1188" s="161"/>
      <c r="CA1188" s="161"/>
      <c r="CB1188" s="161"/>
      <c r="CC1188" s="161"/>
      <c r="CD1188" s="161"/>
      <c r="CE1188" s="161"/>
      <c r="CF1188" s="161"/>
      <c r="CG1188" s="161"/>
    </row>
    <row r="1189">
      <c r="A1189" s="161"/>
      <c r="B1189" s="161"/>
      <c r="C1189" s="161"/>
      <c r="D1189" s="161"/>
      <c r="E1189" s="161"/>
      <c r="F1189" s="161"/>
      <c r="G1189" s="161"/>
      <c r="H1189" s="161"/>
      <c r="I1189" s="161"/>
      <c r="J1189" s="161"/>
      <c r="K1189" s="161"/>
      <c r="L1189" s="161"/>
      <c r="M1189" s="161"/>
      <c r="N1189" s="161"/>
      <c r="O1189" s="161"/>
      <c r="P1189" s="161"/>
      <c r="Q1189" s="161"/>
      <c r="R1189" s="161"/>
      <c r="S1189" s="161"/>
      <c r="T1189" s="161"/>
      <c r="U1189" s="161"/>
      <c r="V1189" s="161"/>
      <c r="W1189" s="161"/>
      <c r="X1189" s="161"/>
      <c r="Y1189" s="161"/>
      <c r="Z1189" s="161"/>
      <c r="AA1189" s="161"/>
      <c r="AB1189" s="161"/>
      <c r="AC1189" s="161"/>
      <c r="AD1189" s="161"/>
      <c r="AE1189" s="161"/>
      <c r="AF1189" s="161"/>
      <c r="AG1189" s="161"/>
      <c r="AH1189" s="161"/>
      <c r="AI1189" s="161"/>
      <c r="AJ1189" s="161"/>
      <c r="AK1189" s="161"/>
      <c r="AL1189" s="161"/>
      <c r="AM1189" s="161"/>
      <c r="AN1189" s="161"/>
      <c r="AO1189" s="161"/>
      <c r="AP1189" s="161"/>
      <c r="AQ1189" s="161"/>
      <c r="AR1189" s="161"/>
      <c r="AS1189" s="161"/>
      <c r="AT1189" s="161"/>
      <c r="AU1189" s="161"/>
      <c r="AV1189" s="161"/>
      <c r="AW1189" s="161"/>
      <c r="AX1189" s="161"/>
      <c r="AY1189" s="161"/>
      <c r="AZ1189" s="161"/>
      <c r="BA1189" s="161"/>
      <c r="BB1189" s="161"/>
      <c r="BC1189" s="161"/>
      <c r="BD1189" s="161"/>
      <c r="BE1189" s="161"/>
      <c r="BF1189" s="161"/>
      <c r="BG1189" s="161"/>
      <c r="BH1189" s="161"/>
      <c r="BI1189" s="161"/>
      <c r="BJ1189" s="161"/>
      <c r="BK1189" s="161"/>
      <c r="BL1189" s="161"/>
      <c r="BM1189" s="161"/>
      <c r="BN1189" s="161"/>
      <c r="BO1189" s="161"/>
      <c r="BP1189" s="161"/>
      <c r="BQ1189" s="161"/>
      <c r="BR1189" s="161"/>
      <c r="BS1189" s="161"/>
      <c r="BT1189" s="161"/>
      <c r="BU1189" s="161"/>
      <c r="BV1189" s="161"/>
      <c r="BW1189" s="161"/>
      <c r="BX1189" s="161"/>
      <c r="BY1189" s="161"/>
      <c r="BZ1189" s="161"/>
      <c r="CA1189" s="161"/>
      <c r="CB1189" s="161"/>
      <c r="CC1189" s="161"/>
      <c r="CD1189" s="161"/>
      <c r="CE1189" s="161"/>
      <c r="CF1189" s="161"/>
      <c r="CG1189" s="161"/>
    </row>
    <row r="1190">
      <c r="A1190" s="161"/>
      <c r="B1190" s="161"/>
      <c r="C1190" s="161"/>
      <c r="D1190" s="161"/>
      <c r="E1190" s="161"/>
      <c r="F1190" s="161"/>
      <c r="G1190" s="161"/>
      <c r="H1190" s="161"/>
      <c r="I1190" s="161"/>
      <c r="J1190" s="161"/>
      <c r="K1190" s="161"/>
      <c r="L1190" s="161"/>
      <c r="M1190" s="161"/>
      <c r="N1190" s="161"/>
      <c r="O1190" s="161"/>
      <c r="P1190" s="161"/>
      <c r="Q1190" s="161"/>
      <c r="R1190" s="161"/>
      <c r="S1190" s="161"/>
      <c r="T1190" s="161"/>
      <c r="U1190" s="161"/>
      <c r="V1190" s="161"/>
      <c r="W1190" s="161"/>
      <c r="X1190" s="161"/>
      <c r="Y1190" s="161"/>
      <c r="Z1190" s="161"/>
      <c r="AA1190" s="161"/>
      <c r="AB1190" s="161"/>
      <c r="AC1190" s="161"/>
      <c r="AD1190" s="161"/>
      <c r="AE1190" s="161"/>
      <c r="AF1190" s="161"/>
      <c r="AG1190" s="161"/>
      <c r="AH1190" s="161"/>
      <c r="AI1190" s="161"/>
      <c r="AJ1190" s="161"/>
      <c r="AK1190" s="161"/>
      <c r="AL1190" s="161"/>
      <c r="AM1190" s="161"/>
      <c r="AN1190" s="161"/>
      <c r="AO1190" s="161"/>
      <c r="AP1190" s="161"/>
      <c r="AQ1190" s="161"/>
      <c r="AR1190" s="161"/>
      <c r="AS1190" s="161"/>
      <c r="AT1190" s="161"/>
      <c r="AU1190" s="161"/>
      <c r="AV1190" s="161"/>
      <c r="AW1190" s="161"/>
      <c r="AX1190" s="161"/>
      <c r="AY1190" s="161"/>
      <c r="AZ1190" s="161"/>
      <c r="BA1190" s="161"/>
      <c r="BB1190" s="161"/>
      <c r="BC1190" s="161"/>
      <c r="BD1190" s="161"/>
      <c r="BE1190" s="161"/>
      <c r="BF1190" s="161"/>
      <c r="BG1190" s="161"/>
      <c r="BH1190" s="161"/>
      <c r="BI1190" s="161"/>
      <c r="BJ1190" s="161"/>
      <c r="BK1190" s="161"/>
      <c r="BL1190" s="161"/>
      <c r="BM1190" s="161"/>
      <c r="BN1190" s="161"/>
      <c r="BO1190" s="161"/>
      <c r="BP1190" s="161"/>
      <c r="BQ1190" s="161"/>
      <c r="BR1190" s="161"/>
      <c r="BS1190" s="161"/>
      <c r="BT1190" s="161"/>
      <c r="BU1190" s="161"/>
      <c r="BV1190" s="161"/>
      <c r="BW1190" s="161"/>
      <c r="BX1190" s="161"/>
      <c r="BY1190" s="161"/>
      <c r="BZ1190" s="161"/>
      <c r="CA1190" s="161"/>
      <c r="CB1190" s="161"/>
      <c r="CC1190" s="161"/>
      <c r="CD1190" s="161"/>
      <c r="CE1190" s="161"/>
      <c r="CF1190" s="161"/>
      <c r="CG1190" s="161"/>
    </row>
    <row r="1191">
      <c r="A1191" s="161"/>
      <c r="B1191" s="161"/>
      <c r="C1191" s="161"/>
      <c r="D1191" s="161"/>
      <c r="E1191" s="161"/>
      <c r="F1191" s="161"/>
      <c r="G1191" s="161"/>
      <c r="H1191" s="161"/>
      <c r="I1191" s="161"/>
      <c r="J1191" s="161"/>
      <c r="K1191" s="161"/>
      <c r="L1191" s="161"/>
      <c r="M1191" s="161"/>
      <c r="N1191" s="161"/>
      <c r="O1191" s="161"/>
      <c r="P1191" s="161"/>
      <c r="Q1191" s="161"/>
      <c r="R1191" s="161"/>
      <c r="S1191" s="161"/>
      <c r="T1191" s="161"/>
      <c r="U1191" s="161"/>
      <c r="V1191" s="161"/>
      <c r="W1191" s="161"/>
      <c r="X1191" s="161"/>
      <c r="Y1191" s="161"/>
      <c r="Z1191" s="161"/>
      <c r="AA1191" s="161"/>
      <c r="AB1191" s="161"/>
      <c r="AC1191" s="161"/>
      <c r="AD1191" s="161"/>
      <c r="AE1191" s="161"/>
      <c r="AF1191" s="161"/>
      <c r="AG1191" s="161"/>
      <c r="AH1191" s="161"/>
      <c r="AI1191" s="161"/>
      <c r="AJ1191" s="161"/>
      <c r="AK1191" s="161"/>
      <c r="AL1191" s="161"/>
      <c r="AM1191" s="161"/>
      <c r="AN1191" s="161"/>
      <c r="AO1191" s="161"/>
      <c r="AP1191" s="161"/>
      <c r="AQ1191" s="161"/>
      <c r="AR1191" s="161"/>
      <c r="AS1191" s="161"/>
      <c r="AT1191" s="161"/>
      <c r="AU1191" s="161"/>
      <c r="AV1191" s="161"/>
      <c r="AW1191" s="161"/>
      <c r="AX1191" s="161"/>
      <c r="AY1191" s="161"/>
      <c r="AZ1191" s="161"/>
      <c r="BA1191" s="161"/>
      <c r="BB1191" s="161"/>
      <c r="BC1191" s="161"/>
      <c r="BD1191" s="161"/>
      <c r="BE1191" s="161"/>
      <c r="BF1191" s="161"/>
      <c r="BG1191" s="161"/>
      <c r="BH1191" s="161"/>
      <c r="BI1191" s="161"/>
      <c r="BJ1191" s="161"/>
      <c r="BK1191" s="161"/>
      <c r="BL1191" s="161"/>
      <c r="BM1191" s="161"/>
      <c r="BN1191" s="161"/>
      <c r="BO1191" s="161"/>
      <c r="BP1191" s="161"/>
      <c r="BQ1191" s="161"/>
      <c r="BR1191" s="161"/>
      <c r="BS1191" s="161"/>
      <c r="BT1191" s="161"/>
      <c r="BU1191" s="161"/>
      <c r="BV1191" s="161"/>
      <c r="BW1191" s="161"/>
      <c r="BX1191" s="161"/>
      <c r="BY1191" s="161"/>
      <c r="BZ1191" s="161"/>
      <c r="CA1191" s="161"/>
      <c r="CB1191" s="161"/>
      <c r="CC1191" s="161"/>
      <c r="CD1191" s="161"/>
      <c r="CE1191" s="161"/>
      <c r="CF1191" s="161"/>
      <c r="CG1191" s="161"/>
    </row>
    <row r="1192">
      <c r="A1192" s="161"/>
      <c r="B1192" s="161"/>
      <c r="C1192" s="161"/>
      <c r="D1192" s="161"/>
      <c r="E1192" s="161"/>
      <c r="F1192" s="161"/>
      <c r="G1192" s="161"/>
      <c r="H1192" s="161"/>
      <c r="I1192" s="161"/>
      <c r="J1192" s="161"/>
      <c r="K1192" s="161"/>
      <c r="L1192" s="161"/>
      <c r="M1192" s="161"/>
      <c r="N1192" s="161"/>
      <c r="O1192" s="161"/>
      <c r="P1192" s="161"/>
      <c r="Q1192" s="161"/>
      <c r="R1192" s="161"/>
      <c r="S1192" s="161"/>
      <c r="T1192" s="161"/>
      <c r="U1192" s="161"/>
      <c r="V1192" s="161"/>
      <c r="W1192" s="161"/>
      <c r="X1192" s="161"/>
      <c r="Y1192" s="161"/>
      <c r="Z1192" s="161"/>
      <c r="AA1192" s="161"/>
      <c r="AB1192" s="161"/>
      <c r="AC1192" s="161"/>
      <c r="AD1192" s="161"/>
      <c r="AE1192" s="161"/>
      <c r="AF1192" s="161"/>
      <c r="AG1192" s="161"/>
      <c r="AH1192" s="161"/>
      <c r="AI1192" s="161"/>
      <c r="AJ1192" s="161"/>
      <c r="AK1192" s="161"/>
      <c r="AL1192" s="161"/>
      <c r="AM1192" s="161"/>
      <c r="AN1192" s="161"/>
      <c r="AO1192" s="161"/>
      <c r="AP1192" s="161"/>
      <c r="AQ1192" s="161"/>
      <c r="AR1192" s="161"/>
      <c r="AS1192" s="161"/>
      <c r="AT1192" s="161"/>
      <c r="AU1192" s="161"/>
      <c r="AV1192" s="161"/>
      <c r="AW1192" s="161"/>
      <c r="AX1192" s="161"/>
      <c r="AY1192" s="161"/>
      <c r="AZ1192" s="161"/>
      <c r="BA1192" s="161"/>
      <c r="BB1192" s="161"/>
      <c r="BC1192" s="161"/>
      <c r="BD1192" s="161"/>
      <c r="BE1192" s="161"/>
      <c r="BF1192" s="161"/>
      <c r="BG1192" s="161"/>
      <c r="BH1192" s="161"/>
      <c r="BI1192" s="161"/>
      <c r="BJ1192" s="161"/>
      <c r="BK1192" s="161"/>
      <c r="BL1192" s="161"/>
      <c r="BM1192" s="161"/>
      <c r="BN1192" s="161"/>
      <c r="BO1192" s="161"/>
      <c r="BP1192" s="161"/>
      <c r="BQ1192" s="161"/>
      <c r="BR1192" s="161"/>
      <c r="BS1192" s="161"/>
      <c r="BT1192" s="161"/>
      <c r="BU1192" s="161"/>
      <c r="BV1192" s="161"/>
      <c r="BW1192" s="161"/>
      <c r="BX1192" s="161"/>
      <c r="BY1192" s="161"/>
      <c r="BZ1192" s="161"/>
      <c r="CA1192" s="161"/>
      <c r="CB1192" s="161"/>
      <c r="CC1192" s="161"/>
      <c r="CD1192" s="161"/>
      <c r="CE1192" s="161"/>
      <c r="CF1192" s="161"/>
      <c r="CG1192" s="161"/>
    </row>
    <row r="1193">
      <c r="A1193" s="161"/>
      <c r="B1193" s="161"/>
      <c r="C1193" s="161"/>
      <c r="D1193" s="161"/>
      <c r="E1193" s="161"/>
      <c r="F1193" s="161"/>
      <c r="G1193" s="161"/>
      <c r="H1193" s="161"/>
      <c r="I1193" s="161"/>
      <c r="J1193" s="161"/>
      <c r="K1193" s="161"/>
      <c r="L1193" s="161"/>
      <c r="M1193" s="161"/>
      <c r="N1193" s="161"/>
      <c r="O1193" s="161"/>
      <c r="P1193" s="161"/>
      <c r="Q1193" s="161"/>
      <c r="R1193" s="161"/>
      <c r="S1193" s="161"/>
      <c r="T1193" s="161"/>
      <c r="U1193" s="161"/>
      <c r="V1193" s="161"/>
      <c r="W1193" s="161"/>
      <c r="X1193" s="161"/>
      <c r="Y1193" s="161"/>
      <c r="Z1193" s="161"/>
      <c r="AA1193" s="161"/>
      <c r="AB1193" s="161"/>
      <c r="AC1193" s="161"/>
      <c r="AD1193" s="161"/>
      <c r="AE1193" s="161"/>
      <c r="AF1193" s="161"/>
      <c r="AG1193" s="161"/>
      <c r="AH1193" s="161"/>
      <c r="AI1193" s="161"/>
      <c r="AJ1193" s="161"/>
      <c r="AK1193" s="161"/>
      <c r="AL1193" s="161"/>
      <c r="AM1193" s="161"/>
      <c r="AN1193" s="161"/>
      <c r="AO1193" s="161"/>
      <c r="AP1193" s="161"/>
      <c r="AQ1193" s="161"/>
      <c r="AR1193" s="161"/>
      <c r="AS1193" s="161"/>
      <c r="AT1193" s="161"/>
      <c r="AU1193" s="161"/>
      <c r="AV1193" s="161"/>
      <c r="AW1193" s="161"/>
      <c r="AX1193" s="161"/>
      <c r="AY1193" s="161"/>
      <c r="AZ1193" s="161"/>
      <c r="BA1193" s="161"/>
      <c r="BB1193" s="161"/>
      <c r="BC1193" s="161"/>
      <c r="BD1193" s="161"/>
      <c r="BE1193" s="161"/>
      <c r="BF1193" s="161"/>
      <c r="BG1193" s="161"/>
      <c r="BH1193" s="161"/>
      <c r="BI1193" s="161"/>
      <c r="BJ1193" s="161"/>
      <c r="BK1193" s="161"/>
      <c r="BL1193" s="161"/>
      <c r="BM1193" s="161"/>
      <c r="BN1193" s="161"/>
      <c r="BO1193" s="161"/>
      <c r="BP1193" s="161"/>
      <c r="BQ1193" s="161"/>
      <c r="BR1193" s="161"/>
      <c r="BS1193" s="161"/>
      <c r="BT1193" s="161"/>
      <c r="BU1193" s="161"/>
      <c r="BV1193" s="161"/>
      <c r="BW1193" s="161"/>
      <c r="BX1193" s="161"/>
      <c r="BY1193" s="161"/>
      <c r="BZ1193" s="161"/>
      <c r="CA1193" s="161"/>
      <c r="CB1193" s="161"/>
      <c r="CC1193" s="161"/>
      <c r="CD1193" s="161"/>
      <c r="CE1193" s="161"/>
      <c r="CF1193" s="161"/>
      <c r="CG1193" s="161"/>
    </row>
    <row r="1194">
      <c r="A1194" s="161"/>
      <c r="B1194" s="161"/>
      <c r="C1194" s="161"/>
      <c r="D1194" s="161"/>
      <c r="E1194" s="161"/>
      <c r="F1194" s="161"/>
      <c r="G1194" s="161"/>
      <c r="H1194" s="161"/>
      <c r="I1194" s="161"/>
      <c r="J1194" s="161"/>
      <c r="K1194" s="161"/>
      <c r="L1194" s="161"/>
      <c r="M1194" s="161"/>
      <c r="N1194" s="161"/>
      <c r="O1194" s="161"/>
      <c r="P1194" s="161"/>
      <c r="Q1194" s="161"/>
      <c r="R1194" s="161"/>
      <c r="S1194" s="161"/>
      <c r="T1194" s="161"/>
      <c r="U1194" s="161"/>
      <c r="V1194" s="161"/>
      <c r="W1194" s="161"/>
      <c r="X1194" s="161"/>
      <c r="Y1194" s="161"/>
      <c r="Z1194" s="161"/>
      <c r="AA1194" s="161"/>
      <c r="AB1194" s="161"/>
      <c r="AC1194" s="161"/>
      <c r="AD1194" s="161"/>
      <c r="AE1194" s="161"/>
      <c r="AF1194" s="161"/>
      <c r="AG1194" s="161"/>
      <c r="AH1194" s="161"/>
      <c r="AI1194" s="161"/>
      <c r="AJ1194" s="161"/>
      <c r="AK1194" s="161"/>
      <c r="AL1194" s="161"/>
      <c r="AM1194" s="161"/>
      <c r="AN1194" s="161"/>
      <c r="AO1194" s="161"/>
      <c r="AP1194" s="161"/>
      <c r="AQ1194" s="161"/>
      <c r="AR1194" s="161"/>
      <c r="AS1194" s="161"/>
      <c r="AT1194" s="161"/>
      <c r="AU1194" s="161"/>
      <c r="AV1194" s="161"/>
      <c r="AW1194" s="161"/>
      <c r="AX1194" s="161"/>
      <c r="AY1194" s="161"/>
      <c r="AZ1194" s="161"/>
      <c r="BA1194" s="161"/>
      <c r="BB1194" s="161"/>
      <c r="BC1194" s="161"/>
      <c r="BD1194" s="161"/>
      <c r="BE1194" s="161"/>
      <c r="BF1194" s="161"/>
      <c r="BG1194" s="161"/>
      <c r="BH1194" s="161"/>
      <c r="BI1194" s="161"/>
      <c r="BJ1194" s="161"/>
      <c r="BK1194" s="161"/>
      <c r="BL1194" s="161"/>
      <c r="BM1194" s="161"/>
      <c r="BN1194" s="161"/>
      <c r="BO1194" s="161"/>
      <c r="BP1194" s="161"/>
      <c r="BQ1194" s="161"/>
      <c r="BR1194" s="161"/>
      <c r="BS1194" s="161"/>
      <c r="BT1194" s="161"/>
      <c r="BU1194" s="161"/>
      <c r="BV1194" s="161"/>
      <c r="BW1194" s="161"/>
      <c r="BX1194" s="161"/>
      <c r="BY1194" s="161"/>
      <c r="BZ1194" s="161"/>
      <c r="CA1194" s="161"/>
      <c r="CB1194" s="161"/>
      <c r="CC1194" s="161"/>
      <c r="CD1194" s="161"/>
      <c r="CE1194" s="161"/>
      <c r="CF1194" s="161"/>
      <c r="CG1194" s="161"/>
    </row>
    <row r="1195">
      <c r="A1195" s="161"/>
      <c r="B1195" s="161"/>
      <c r="C1195" s="161"/>
      <c r="D1195" s="161"/>
      <c r="E1195" s="161"/>
      <c r="F1195" s="161"/>
      <c r="G1195" s="161"/>
      <c r="H1195" s="161"/>
      <c r="I1195" s="161"/>
      <c r="J1195" s="161"/>
      <c r="K1195" s="161"/>
      <c r="L1195" s="161"/>
      <c r="M1195" s="161"/>
      <c r="N1195" s="161"/>
      <c r="O1195" s="161"/>
      <c r="P1195" s="161"/>
      <c r="Q1195" s="161"/>
      <c r="R1195" s="161"/>
      <c r="S1195" s="161"/>
      <c r="T1195" s="161"/>
      <c r="U1195" s="161"/>
      <c r="V1195" s="161"/>
      <c r="W1195" s="161"/>
      <c r="X1195" s="161"/>
      <c r="Y1195" s="161"/>
      <c r="Z1195" s="161"/>
      <c r="AA1195" s="161"/>
      <c r="AB1195" s="161"/>
      <c r="AC1195" s="161"/>
      <c r="AD1195" s="161"/>
      <c r="AE1195" s="161"/>
      <c r="AF1195" s="161"/>
      <c r="AG1195" s="161"/>
      <c r="AH1195" s="161"/>
      <c r="AI1195" s="161"/>
      <c r="AJ1195" s="161"/>
      <c r="AK1195" s="161"/>
      <c r="AL1195" s="161"/>
      <c r="AM1195" s="161"/>
      <c r="AN1195" s="161"/>
      <c r="AO1195" s="161"/>
      <c r="AP1195" s="161"/>
      <c r="AQ1195" s="161"/>
      <c r="AR1195" s="161"/>
      <c r="AS1195" s="161"/>
      <c r="AT1195" s="161"/>
      <c r="AU1195" s="161"/>
      <c r="AV1195" s="161"/>
      <c r="AW1195" s="161"/>
      <c r="AX1195" s="161"/>
      <c r="AY1195" s="161"/>
      <c r="AZ1195" s="161"/>
      <c r="BA1195" s="161"/>
      <c r="BB1195" s="161"/>
      <c r="BC1195" s="161"/>
      <c r="BD1195" s="161"/>
      <c r="BE1195" s="161"/>
      <c r="BF1195" s="161"/>
      <c r="BG1195" s="161"/>
      <c r="BH1195" s="161"/>
      <c r="BI1195" s="161"/>
      <c r="BJ1195" s="161"/>
      <c r="BK1195" s="161"/>
      <c r="BL1195" s="161"/>
      <c r="BM1195" s="161"/>
      <c r="BN1195" s="161"/>
      <c r="BO1195" s="161"/>
      <c r="BP1195" s="161"/>
      <c r="BQ1195" s="161"/>
      <c r="BR1195" s="161"/>
      <c r="BS1195" s="161"/>
      <c r="BT1195" s="161"/>
      <c r="BU1195" s="161"/>
      <c r="BV1195" s="161"/>
      <c r="BW1195" s="161"/>
      <c r="BX1195" s="161"/>
      <c r="BY1195" s="161"/>
      <c r="BZ1195" s="161"/>
      <c r="CA1195" s="161"/>
      <c r="CB1195" s="161"/>
      <c r="CC1195" s="161"/>
      <c r="CD1195" s="161"/>
      <c r="CE1195" s="161"/>
      <c r="CF1195" s="161"/>
      <c r="CG1195" s="161"/>
    </row>
    <row r="1196">
      <c r="A1196" s="161"/>
      <c r="B1196" s="161"/>
      <c r="C1196" s="161"/>
      <c r="D1196" s="161"/>
      <c r="E1196" s="161"/>
      <c r="F1196" s="161"/>
      <c r="G1196" s="161"/>
      <c r="H1196" s="161"/>
      <c r="I1196" s="161"/>
      <c r="J1196" s="161"/>
      <c r="K1196" s="161"/>
      <c r="L1196" s="161"/>
      <c r="M1196" s="161"/>
      <c r="N1196" s="161"/>
      <c r="O1196" s="161"/>
      <c r="P1196" s="161"/>
      <c r="Q1196" s="161"/>
      <c r="R1196" s="161"/>
      <c r="S1196" s="161"/>
      <c r="T1196" s="161"/>
      <c r="U1196" s="161"/>
      <c r="V1196" s="161"/>
      <c r="W1196" s="161"/>
      <c r="X1196" s="161"/>
      <c r="Y1196" s="161"/>
      <c r="Z1196" s="161"/>
      <c r="AA1196" s="161"/>
      <c r="AB1196" s="161"/>
      <c r="AC1196" s="161"/>
      <c r="AD1196" s="161"/>
      <c r="AE1196" s="161"/>
      <c r="AF1196" s="161"/>
      <c r="AG1196" s="161"/>
      <c r="AH1196" s="161"/>
      <c r="AI1196" s="161"/>
      <c r="AJ1196" s="161"/>
      <c r="AK1196" s="161"/>
      <c r="AL1196" s="161"/>
      <c r="AM1196" s="161"/>
      <c r="AN1196" s="161"/>
      <c r="AO1196" s="161"/>
      <c r="AP1196" s="161"/>
      <c r="AQ1196" s="161"/>
      <c r="AR1196" s="161"/>
      <c r="AS1196" s="161"/>
      <c r="AT1196" s="161"/>
      <c r="AU1196" s="161"/>
      <c r="AV1196" s="161"/>
      <c r="AW1196" s="161"/>
      <c r="AX1196" s="161"/>
      <c r="AY1196" s="161"/>
      <c r="AZ1196" s="161"/>
      <c r="BA1196" s="161"/>
      <c r="BB1196" s="161"/>
      <c r="BC1196" s="161"/>
      <c r="BD1196" s="161"/>
      <c r="BE1196" s="161"/>
      <c r="BF1196" s="161"/>
      <c r="BG1196" s="161"/>
      <c r="BH1196" s="161"/>
      <c r="BI1196" s="161"/>
      <c r="BJ1196" s="161"/>
      <c r="BK1196" s="161"/>
      <c r="BL1196" s="161"/>
      <c r="BM1196" s="161"/>
      <c r="BN1196" s="161"/>
      <c r="BO1196" s="161"/>
      <c r="BP1196" s="161"/>
      <c r="BQ1196" s="161"/>
      <c r="BR1196" s="161"/>
      <c r="BS1196" s="161"/>
      <c r="BT1196" s="161"/>
      <c r="BU1196" s="161"/>
      <c r="BV1196" s="161"/>
      <c r="BW1196" s="161"/>
      <c r="BX1196" s="161"/>
      <c r="BY1196" s="161"/>
      <c r="BZ1196" s="161"/>
      <c r="CA1196" s="161"/>
      <c r="CB1196" s="161"/>
      <c r="CC1196" s="161"/>
      <c r="CD1196" s="161"/>
      <c r="CE1196" s="161"/>
      <c r="CF1196" s="161"/>
      <c r="CG1196" s="161"/>
    </row>
    <row r="1197">
      <c r="A1197" s="161"/>
      <c r="B1197" s="161"/>
      <c r="C1197" s="161"/>
      <c r="D1197" s="161"/>
      <c r="E1197" s="161"/>
      <c r="F1197" s="161"/>
      <c r="G1197" s="161"/>
      <c r="H1197" s="161"/>
      <c r="I1197" s="161"/>
      <c r="J1197" s="161"/>
      <c r="K1197" s="161"/>
      <c r="L1197" s="161"/>
      <c r="M1197" s="161"/>
      <c r="N1197" s="161"/>
      <c r="O1197" s="161"/>
      <c r="P1197" s="161"/>
      <c r="Q1197" s="161"/>
      <c r="R1197" s="161"/>
      <c r="S1197" s="161"/>
      <c r="T1197" s="161"/>
      <c r="U1197" s="161"/>
      <c r="V1197" s="161"/>
      <c r="W1197" s="161"/>
      <c r="X1197" s="161"/>
      <c r="Y1197" s="161"/>
      <c r="Z1197" s="161"/>
      <c r="AA1197" s="161"/>
      <c r="AB1197" s="161"/>
      <c r="AC1197" s="161"/>
      <c r="AD1197" s="161"/>
      <c r="AE1197" s="161"/>
      <c r="AF1197" s="161"/>
      <c r="AG1197" s="161"/>
      <c r="AH1197" s="161"/>
      <c r="AI1197" s="161"/>
      <c r="AJ1197" s="161"/>
      <c r="AK1197" s="161"/>
      <c r="AL1197" s="161"/>
      <c r="AM1197" s="161"/>
      <c r="AN1197" s="161"/>
      <c r="AO1197" s="161"/>
      <c r="AP1197" s="161"/>
      <c r="AQ1197" s="161"/>
      <c r="AR1197" s="161"/>
      <c r="AS1197" s="161"/>
      <c r="AT1197" s="161"/>
      <c r="AU1197" s="161"/>
      <c r="AV1197" s="161"/>
      <c r="AW1197" s="161"/>
      <c r="AX1197" s="161"/>
      <c r="AY1197" s="161"/>
      <c r="AZ1197" s="161"/>
      <c r="BA1197" s="161"/>
      <c r="BB1197" s="161"/>
      <c r="BC1197" s="161"/>
      <c r="BD1197" s="161"/>
      <c r="BE1197" s="161"/>
      <c r="BF1197" s="161"/>
      <c r="BG1197" s="161"/>
      <c r="BH1197" s="161"/>
      <c r="BI1197" s="161"/>
      <c r="BJ1197" s="161"/>
      <c r="BK1197" s="161"/>
      <c r="BL1197" s="161"/>
      <c r="BM1197" s="161"/>
      <c r="BN1197" s="161"/>
      <c r="BO1197" s="161"/>
      <c r="BP1197" s="161"/>
      <c r="BQ1197" s="161"/>
      <c r="BR1197" s="161"/>
      <c r="BS1197" s="161"/>
      <c r="BT1197" s="161"/>
      <c r="BU1197" s="161"/>
      <c r="BV1197" s="161"/>
      <c r="BW1197" s="161"/>
      <c r="BX1197" s="161"/>
      <c r="BY1197" s="161"/>
      <c r="BZ1197" s="161"/>
      <c r="CA1197" s="161"/>
      <c r="CB1197" s="161"/>
      <c r="CC1197" s="161"/>
      <c r="CD1197" s="161"/>
      <c r="CE1197" s="161"/>
      <c r="CF1197" s="161"/>
      <c r="CG1197" s="161"/>
    </row>
    <row r="1198">
      <c r="A1198" s="161"/>
      <c r="B1198" s="161"/>
      <c r="C1198" s="161"/>
      <c r="D1198" s="161"/>
      <c r="E1198" s="161"/>
      <c r="F1198" s="161"/>
      <c r="G1198" s="161"/>
      <c r="H1198" s="161"/>
      <c r="I1198" s="161"/>
      <c r="J1198" s="161"/>
      <c r="K1198" s="161"/>
      <c r="L1198" s="161"/>
      <c r="M1198" s="161"/>
      <c r="N1198" s="161"/>
      <c r="O1198" s="161"/>
      <c r="P1198" s="161"/>
      <c r="Q1198" s="161"/>
      <c r="R1198" s="161"/>
      <c r="S1198" s="161"/>
      <c r="T1198" s="161"/>
      <c r="U1198" s="161"/>
      <c r="V1198" s="161"/>
      <c r="W1198" s="161"/>
      <c r="X1198" s="161"/>
      <c r="Y1198" s="161"/>
      <c r="Z1198" s="161"/>
      <c r="AA1198" s="161"/>
      <c r="AB1198" s="161"/>
      <c r="AC1198" s="161"/>
      <c r="AD1198" s="161"/>
      <c r="AE1198" s="161"/>
      <c r="AF1198" s="161"/>
      <c r="AG1198" s="161"/>
      <c r="AH1198" s="161"/>
      <c r="AI1198" s="161"/>
      <c r="AJ1198" s="161"/>
      <c r="AK1198" s="161"/>
      <c r="AL1198" s="161"/>
      <c r="AM1198" s="161"/>
      <c r="AN1198" s="161"/>
      <c r="AO1198" s="161"/>
      <c r="AP1198" s="161"/>
      <c r="AQ1198" s="161"/>
      <c r="AR1198" s="161"/>
      <c r="AS1198" s="161"/>
      <c r="AT1198" s="161"/>
      <c r="AU1198" s="161"/>
      <c r="AV1198" s="161"/>
      <c r="AW1198" s="161"/>
      <c r="AX1198" s="161"/>
      <c r="AY1198" s="161"/>
      <c r="AZ1198" s="161"/>
      <c r="BA1198" s="161"/>
      <c r="BB1198" s="161"/>
      <c r="BC1198" s="161"/>
      <c r="BD1198" s="161"/>
      <c r="BE1198" s="161"/>
      <c r="BF1198" s="161"/>
      <c r="BG1198" s="161"/>
      <c r="BH1198" s="161"/>
      <c r="BI1198" s="161"/>
      <c r="BJ1198" s="161"/>
      <c r="BK1198" s="161"/>
      <c r="BL1198" s="161"/>
      <c r="BM1198" s="161"/>
      <c r="BN1198" s="161"/>
      <c r="BO1198" s="161"/>
      <c r="BP1198" s="161"/>
      <c r="BQ1198" s="161"/>
      <c r="BR1198" s="161"/>
      <c r="BS1198" s="161"/>
      <c r="BT1198" s="161"/>
      <c r="BU1198" s="161"/>
      <c r="BV1198" s="161"/>
      <c r="BW1198" s="161"/>
      <c r="BX1198" s="161"/>
      <c r="BY1198" s="161"/>
      <c r="BZ1198" s="161"/>
      <c r="CA1198" s="161"/>
      <c r="CB1198" s="161"/>
      <c r="CC1198" s="161"/>
      <c r="CD1198" s="161"/>
      <c r="CE1198" s="161"/>
      <c r="CF1198" s="161"/>
      <c r="CG1198" s="161"/>
    </row>
    <row r="1199">
      <c r="A1199" s="161"/>
      <c r="B1199" s="161"/>
      <c r="C1199" s="161"/>
      <c r="D1199" s="161"/>
      <c r="E1199" s="161"/>
      <c r="F1199" s="161"/>
      <c r="G1199" s="161"/>
      <c r="H1199" s="161"/>
      <c r="I1199" s="161"/>
      <c r="J1199" s="161"/>
      <c r="K1199" s="161"/>
      <c r="L1199" s="161"/>
      <c r="M1199" s="161"/>
      <c r="N1199" s="161"/>
      <c r="O1199" s="161"/>
      <c r="P1199" s="161"/>
      <c r="Q1199" s="161"/>
      <c r="R1199" s="161"/>
      <c r="S1199" s="161"/>
      <c r="T1199" s="161"/>
      <c r="U1199" s="161"/>
      <c r="V1199" s="161"/>
      <c r="W1199" s="161"/>
      <c r="X1199" s="161"/>
      <c r="Y1199" s="161"/>
      <c r="Z1199" s="161"/>
      <c r="AA1199" s="161"/>
      <c r="AB1199" s="161"/>
      <c r="AC1199" s="161"/>
      <c r="AD1199" s="161"/>
      <c r="AE1199" s="161"/>
      <c r="AF1199" s="161"/>
      <c r="AG1199" s="161"/>
      <c r="AH1199" s="161"/>
      <c r="AI1199" s="161"/>
      <c r="AJ1199" s="161"/>
      <c r="AK1199" s="161"/>
      <c r="AL1199" s="161"/>
      <c r="AM1199" s="161"/>
      <c r="AN1199" s="161"/>
      <c r="AO1199" s="161"/>
      <c r="AP1199" s="161"/>
      <c r="AQ1199" s="161"/>
      <c r="AR1199" s="161"/>
      <c r="AS1199" s="161"/>
      <c r="AT1199" s="161"/>
      <c r="AU1199" s="161"/>
      <c r="AV1199" s="161"/>
      <c r="AW1199" s="161"/>
      <c r="AX1199" s="161"/>
      <c r="AY1199" s="161"/>
      <c r="AZ1199" s="161"/>
      <c r="BA1199" s="161"/>
      <c r="BB1199" s="161"/>
      <c r="BC1199" s="161"/>
      <c r="BD1199" s="161"/>
      <c r="BE1199" s="161"/>
      <c r="BF1199" s="161"/>
      <c r="BG1199" s="161"/>
      <c r="BH1199" s="161"/>
      <c r="BI1199" s="161"/>
      <c r="BJ1199" s="161"/>
      <c r="BK1199" s="161"/>
      <c r="BL1199" s="161"/>
      <c r="BM1199" s="161"/>
      <c r="BN1199" s="161"/>
      <c r="BO1199" s="161"/>
      <c r="BP1199" s="161"/>
      <c r="BQ1199" s="161"/>
      <c r="BR1199" s="161"/>
      <c r="BS1199" s="161"/>
      <c r="BT1199" s="161"/>
      <c r="BU1199" s="161"/>
      <c r="BV1199" s="161"/>
      <c r="BW1199" s="161"/>
      <c r="BX1199" s="161"/>
      <c r="BY1199" s="161"/>
      <c r="BZ1199" s="161"/>
      <c r="CA1199" s="161"/>
      <c r="CB1199" s="161"/>
      <c r="CC1199" s="161"/>
      <c r="CD1199" s="161"/>
      <c r="CE1199" s="161"/>
      <c r="CF1199" s="161"/>
      <c r="CG1199" s="161"/>
    </row>
    <row r="1200">
      <c r="A1200" s="161"/>
      <c r="B1200" s="161"/>
      <c r="C1200" s="161"/>
      <c r="D1200" s="161"/>
      <c r="E1200" s="161"/>
      <c r="F1200" s="161"/>
      <c r="G1200" s="161"/>
      <c r="H1200" s="161"/>
      <c r="I1200" s="161"/>
      <c r="J1200" s="161"/>
      <c r="K1200" s="161"/>
      <c r="L1200" s="161"/>
      <c r="M1200" s="161"/>
      <c r="N1200" s="161"/>
      <c r="O1200" s="161"/>
      <c r="P1200" s="161"/>
      <c r="Q1200" s="161"/>
      <c r="R1200" s="161"/>
      <c r="S1200" s="161"/>
      <c r="T1200" s="161"/>
      <c r="U1200" s="161"/>
      <c r="V1200" s="161"/>
      <c r="W1200" s="161"/>
      <c r="X1200" s="161"/>
      <c r="Y1200" s="161"/>
      <c r="Z1200" s="161"/>
      <c r="AA1200" s="161"/>
      <c r="AB1200" s="161"/>
      <c r="AC1200" s="161"/>
      <c r="AD1200" s="161"/>
      <c r="AE1200" s="161"/>
      <c r="AF1200" s="161"/>
      <c r="AG1200" s="161"/>
      <c r="AH1200" s="161"/>
      <c r="AI1200" s="161"/>
      <c r="AJ1200" s="161"/>
      <c r="AK1200" s="161"/>
      <c r="AL1200" s="161"/>
      <c r="AM1200" s="161"/>
      <c r="AN1200" s="161"/>
      <c r="AO1200" s="161"/>
      <c r="AP1200" s="161"/>
      <c r="AQ1200" s="161"/>
      <c r="AR1200" s="161"/>
      <c r="AS1200" s="161"/>
      <c r="AT1200" s="161"/>
      <c r="AU1200" s="161"/>
      <c r="AV1200" s="161"/>
      <c r="AW1200" s="161"/>
      <c r="AX1200" s="161"/>
      <c r="AY1200" s="161"/>
      <c r="AZ1200" s="161"/>
      <c r="BA1200" s="161"/>
      <c r="BB1200" s="161"/>
      <c r="BC1200" s="161"/>
      <c r="BD1200" s="161"/>
      <c r="BE1200" s="161"/>
      <c r="BF1200" s="161"/>
      <c r="BG1200" s="161"/>
      <c r="BH1200" s="161"/>
      <c r="BI1200" s="161"/>
      <c r="BJ1200" s="161"/>
      <c r="BK1200" s="161"/>
      <c r="BL1200" s="161"/>
      <c r="BM1200" s="161"/>
      <c r="BN1200" s="161"/>
      <c r="BO1200" s="161"/>
      <c r="BP1200" s="161"/>
      <c r="BQ1200" s="161"/>
      <c r="BR1200" s="161"/>
      <c r="BS1200" s="161"/>
      <c r="BT1200" s="161"/>
      <c r="BU1200" s="161"/>
      <c r="BV1200" s="161"/>
      <c r="BW1200" s="161"/>
      <c r="BX1200" s="161"/>
      <c r="BY1200" s="161"/>
      <c r="BZ1200" s="161"/>
      <c r="CA1200" s="161"/>
      <c r="CB1200" s="161"/>
      <c r="CC1200" s="161"/>
      <c r="CD1200" s="161"/>
      <c r="CE1200" s="161"/>
      <c r="CF1200" s="161"/>
      <c r="CG1200" s="161"/>
    </row>
    <row r="1201">
      <c r="A1201" s="161"/>
      <c r="B1201" s="161"/>
      <c r="C1201" s="161"/>
      <c r="D1201" s="161"/>
      <c r="E1201" s="161"/>
      <c r="F1201" s="161"/>
      <c r="G1201" s="161"/>
      <c r="H1201" s="161"/>
      <c r="I1201" s="161"/>
      <c r="J1201" s="161"/>
      <c r="K1201" s="161"/>
      <c r="L1201" s="161"/>
      <c r="M1201" s="161"/>
      <c r="N1201" s="161"/>
      <c r="O1201" s="161"/>
      <c r="P1201" s="161"/>
      <c r="Q1201" s="161"/>
      <c r="R1201" s="161"/>
      <c r="S1201" s="161"/>
      <c r="T1201" s="161"/>
      <c r="U1201" s="161"/>
      <c r="V1201" s="161"/>
      <c r="W1201" s="161"/>
      <c r="X1201" s="161"/>
      <c r="Y1201" s="161"/>
      <c r="Z1201" s="161"/>
      <c r="AA1201" s="161"/>
      <c r="AB1201" s="161"/>
      <c r="AC1201" s="161"/>
      <c r="AD1201" s="161"/>
      <c r="AE1201" s="161"/>
      <c r="AF1201" s="161"/>
      <c r="AG1201" s="161"/>
      <c r="AH1201" s="161"/>
      <c r="AI1201" s="161"/>
      <c r="AJ1201" s="161"/>
      <c r="AK1201" s="161"/>
      <c r="AL1201" s="161"/>
      <c r="AM1201" s="161"/>
      <c r="AN1201" s="161"/>
      <c r="AO1201" s="161"/>
      <c r="AP1201" s="161"/>
      <c r="AQ1201" s="161"/>
      <c r="AR1201" s="161"/>
      <c r="AS1201" s="161"/>
      <c r="AT1201" s="161"/>
      <c r="AU1201" s="161"/>
      <c r="AV1201" s="161"/>
      <c r="AW1201" s="161"/>
      <c r="AX1201" s="161"/>
      <c r="AY1201" s="161"/>
      <c r="AZ1201" s="161"/>
      <c r="BA1201" s="161"/>
      <c r="BB1201" s="161"/>
      <c r="BC1201" s="161"/>
      <c r="BD1201" s="161"/>
      <c r="BE1201" s="161"/>
      <c r="BF1201" s="161"/>
      <c r="BG1201" s="161"/>
      <c r="BH1201" s="161"/>
      <c r="BI1201" s="161"/>
      <c r="BJ1201" s="161"/>
      <c r="BK1201" s="161"/>
      <c r="BL1201" s="161"/>
      <c r="BM1201" s="161"/>
      <c r="BN1201" s="161"/>
      <c r="BO1201" s="161"/>
      <c r="BP1201" s="161"/>
      <c r="BQ1201" s="161"/>
      <c r="BR1201" s="161"/>
      <c r="BS1201" s="161"/>
      <c r="BT1201" s="161"/>
      <c r="BU1201" s="161"/>
      <c r="BV1201" s="161"/>
      <c r="BW1201" s="161"/>
      <c r="BX1201" s="161"/>
      <c r="BY1201" s="161"/>
      <c r="BZ1201" s="161"/>
      <c r="CA1201" s="161"/>
      <c r="CB1201" s="161"/>
      <c r="CC1201" s="161"/>
      <c r="CD1201" s="161"/>
      <c r="CE1201" s="161"/>
      <c r="CF1201" s="161"/>
      <c r="CG1201" s="161"/>
    </row>
    <row r="1202">
      <c r="A1202" s="161"/>
      <c r="B1202" s="161"/>
      <c r="C1202" s="161"/>
      <c r="D1202" s="161"/>
      <c r="E1202" s="161"/>
      <c r="F1202" s="161"/>
      <c r="G1202" s="161"/>
      <c r="H1202" s="161"/>
      <c r="I1202" s="161"/>
      <c r="J1202" s="161"/>
      <c r="K1202" s="161"/>
      <c r="L1202" s="161"/>
      <c r="M1202" s="161"/>
      <c r="N1202" s="161"/>
      <c r="O1202" s="161"/>
      <c r="P1202" s="161"/>
      <c r="Q1202" s="161"/>
      <c r="R1202" s="161"/>
      <c r="S1202" s="161"/>
      <c r="T1202" s="161"/>
      <c r="U1202" s="161"/>
      <c r="V1202" s="161"/>
      <c r="W1202" s="161"/>
      <c r="X1202" s="161"/>
      <c r="Y1202" s="161"/>
      <c r="Z1202" s="161"/>
      <c r="AA1202" s="161"/>
      <c r="AB1202" s="161"/>
      <c r="AC1202" s="161"/>
      <c r="AD1202" s="161"/>
      <c r="AE1202" s="161"/>
      <c r="AF1202" s="161"/>
      <c r="AG1202" s="161"/>
      <c r="AH1202" s="161"/>
      <c r="AI1202" s="161"/>
      <c r="AJ1202" s="161"/>
      <c r="AK1202" s="161"/>
      <c r="AL1202" s="161"/>
      <c r="AM1202" s="161"/>
      <c r="AN1202" s="161"/>
      <c r="AO1202" s="161"/>
      <c r="AP1202" s="161"/>
      <c r="AQ1202" s="161"/>
      <c r="AR1202" s="161"/>
      <c r="AS1202" s="161"/>
      <c r="AT1202" s="161"/>
      <c r="AU1202" s="161"/>
      <c r="AV1202" s="161"/>
      <c r="AW1202" s="161"/>
      <c r="AX1202" s="161"/>
      <c r="AY1202" s="161"/>
      <c r="AZ1202" s="161"/>
      <c r="BA1202" s="161"/>
      <c r="BB1202" s="161"/>
      <c r="BC1202" s="161"/>
      <c r="BD1202" s="161"/>
      <c r="BE1202" s="161"/>
      <c r="BF1202" s="161"/>
      <c r="BG1202" s="161"/>
      <c r="BH1202" s="161"/>
      <c r="BI1202" s="161"/>
      <c r="BJ1202" s="161"/>
      <c r="BK1202" s="161"/>
      <c r="BL1202" s="161"/>
      <c r="BM1202" s="161"/>
      <c r="BN1202" s="161"/>
      <c r="BO1202" s="161"/>
      <c r="BP1202" s="161"/>
      <c r="BQ1202" s="161"/>
      <c r="BR1202" s="161"/>
      <c r="BS1202" s="161"/>
      <c r="BT1202" s="161"/>
      <c r="BU1202" s="161"/>
      <c r="BV1202" s="161"/>
      <c r="BW1202" s="161"/>
      <c r="BX1202" s="161"/>
      <c r="BY1202" s="161"/>
      <c r="BZ1202" s="161"/>
      <c r="CA1202" s="161"/>
      <c r="CB1202" s="161"/>
      <c r="CC1202" s="161"/>
      <c r="CD1202" s="161"/>
      <c r="CE1202" s="161"/>
      <c r="CF1202" s="161"/>
      <c r="CG1202" s="161"/>
    </row>
    <row r="1203">
      <c r="A1203" s="161"/>
      <c r="B1203" s="161"/>
      <c r="C1203" s="161"/>
      <c r="D1203" s="161"/>
      <c r="E1203" s="161"/>
      <c r="F1203" s="161"/>
      <c r="G1203" s="161"/>
      <c r="H1203" s="161"/>
      <c r="I1203" s="161"/>
      <c r="J1203" s="161"/>
      <c r="K1203" s="161"/>
      <c r="L1203" s="161"/>
      <c r="M1203" s="161"/>
      <c r="N1203" s="161"/>
      <c r="O1203" s="161"/>
      <c r="P1203" s="161"/>
      <c r="Q1203" s="161"/>
      <c r="R1203" s="161"/>
      <c r="S1203" s="161"/>
      <c r="T1203" s="161"/>
      <c r="U1203" s="161"/>
      <c r="V1203" s="161"/>
      <c r="W1203" s="161"/>
      <c r="X1203" s="161"/>
      <c r="Y1203" s="161"/>
      <c r="Z1203" s="161"/>
      <c r="AA1203" s="161"/>
      <c r="AB1203" s="161"/>
      <c r="AC1203" s="161"/>
      <c r="AD1203" s="161"/>
      <c r="AE1203" s="161"/>
      <c r="AF1203" s="161"/>
      <c r="AG1203" s="161"/>
      <c r="AH1203" s="161"/>
      <c r="AI1203" s="161"/>
      <c r="AJ1203" s="161"/>
      <c r="AK1203" s="161"/>
      <c r="AL1203" s="161"/>
      <c r="AM1203" s="161"/>
      <c r="AN1203" s="161"/>
      <c r="AO1203" s="161"/>
      <c r="AP1203" s="161"/>
      <c r="AQ1203" s="161"/>
      <c r="AR1203" s="161"/>
      <c r="AS1203" s="161"/>
      <c r="AT1203" s="161"/>
      <c r="AU1203" s="161"/>
      <c r="AV1203" s="161"/>
      <c r="AW1203" s="161"/>
      <c r="AX1203" s="161"/>
      <c r="AY1203" s="161"/>
      <c r="AZ1203" s="161"/>
      <c r="BA1203" s="161"/>
      <c r="BB1203" s="161"/>
      <c r="BC1203" s="161"/>
      <c r="BD1203" s="161"/>
      <c r="BE1203" s="161"/>
      <c r="BF1203" s="161"/>
      <c r="BG1203" s="161"/>
      <c r="BH1203" s="161"/>
      <c r="BI1203" s="161"/>
      <c r="BJ1203" s="161"/>
      <c r="BK1203" s="161"/>
      <c r="BL1203" s="161"/>
      <c r="BM1203" s="161"/>
      <c r="BN1203" s="161"/>
      <c r="BO1203" s="161"/>
      <c r="BP1203" s="161"/>
      <c r="BQ1203" s="161"/>
      <c r="BR1203" s="161"/>
      <c r="BS1203" s="161"/>
      <c r="BT1203" s="161"/>
      <c r="BU1203" s="161"/>
      <c r="BV1203" s="161"/>
      <c r="BW1203" s="161"/>
      <c r="BX1203" s="161"/>
      <c r="BY1203" s="161"/>
      <c r="BZ1203" s="161"/>
      <c r="CA1203" s="161"/>
      <c r="CB1203" s="161"/>
      <c r="CC1203" s="161"/>
      <c r="CD1203" s="161"/>
      <c r="CE1203" s="161"/>
      <c r="CF1203" s="161"/>
      <c r="CG1203" s="161"/>
    </row>
    <row r="1204">
      <c r="A1204" s="161"/>
      <c r="B1204" s="161"/>
      <c r="C1204" s="161"/>
      <c r="D1204" s="161"/>
      <c r="E1204" s="161"/>
      <c r="F1204" s="161"/>
      <c r="G1204" s="161"/>
      <c r="H1204" s="161"/>
      <c r="I1204" s="161"/>
      <c r="J1204" s="161"/>
      <c r="K1204" s="161"/>
      <c r="L1204" s="161"/>
      <c r="M1204" s="161"/>
      <c r="N1204" s="161"/>
      <c r="O1204" s="161"/>
      <c r="P1204" s="161"/>
      <c r="Q1204" s="161"/>
      <c r="R1204" s="161"/>
      <c r="S1204" s="161"/>
      <c r="T1204" s="161"/>
      <c r="U1204" s="161"/>
      <c r="V1204" s="161"/>
      <c r="W1204" s="161"/>
      <c r="X1204" s="161"/>
      <c r="Y1204" s="161"/>
      <c r="Z1204" s="161"/>
      <c r="AA1204" s="161"/>
      <c r="AB1204" s="161"/>
      <c r="AC1204" s="161"/>
      <c r="AD1204" s="161"/>
      <c r="AE1204" s="161"/>
      <c r="AF1204" s="161"/>
      <c r="AG1204" s="161"/>
      <c r="AH1204" s="161"/>
      <c r="AI1204" s="161"/>
      <c r="AJ1204" s="161"/>
      <c r="AK1204" s="161"/>
      <c r="AL1204" s="161"/>
      <c r="AM1204" s="161"/>
      <c r="AN1204" s="161"/>
      <c r="AO1204" s="161"/>
      <c r="AP1204" s="161"/>
      <c r="AQ1204" s="161"/>
      <c r="AR1204" s="161"/>
      <c r="AS1204" s="161"/>
      <c r="AT1204" s="161"/>
      <c r="AU1204" s="161"/>
      <c r="AV1204" s="161"/>
      <c r="AW1204" s="161"/>
      <c r="AX1204" s="161"/>
      <c r="AY1204" s="161"/>
      <c r="AZ1204" s="161"/>
      <c r="BA1204" s="161"/>
      <c r="BB1204" s="161"/>
      <c r="BC1204" s="161"/>
      <c r="BD1204" s="161"/>
      <c r="BE1204" s="161"/>
      <c r="BF1204" s="161"/>
      <c r="BG1204" s="161"/>
      <c r="BH1204" s="161"/>
      <c r="BI1204" s="161"/>
      <c r="BJ1204" s="161"/>
      <c r="BK1204" s="161"/>
      <c r="BL1204" s="161"/>
      <c r="BM1204" s="161"/>
      <c r="BN1204" s="161"/>
      <c r="BO1204" s="161"/>
      <c r="BP1204" s="161"/>
      <c r="BQ1204" s="161"/>
      <c r="BR1204" s="161"/>
      <c r="BS1204" s="161"/>
      <c r="BT1204" s="161"/>
      <c r="BU1204" s="161"/>
      <c r="BV1204" s="161"/>
      <c r="BW1204" s="161"/>
      <c r="BX1204" s="161"/>
      <c r="BY1204" s="161"/>
      <c r="BZ1204" s="161"/>
      <c r="CA1204" s="161"/>
      <c r="CB1204" s="161"/>
      <c r="CC1204" s="161"/>
      <c r="CD1204" s="161"/>
      <c r="CE1204" s="161"/>
      <c r="CF1204" s="161"/>
      <c r="CG1204" s="161"/>
    </row>
    <row r="1205">
      <c r="A1205" s="161"/>
      <c r="B1205" s="161"/>
      <c r="C1205" s="161"/>
      <c r="D1205" s="161"/>
      <c r="E1205" s="161"/>
      <c r="F1205" s="161"/>
      <c r="G1205" s="161"/>
      <c r="H1205" s="161"/>
      <c r="I1205" s="161"/>
      <c r="J1205" s="161"/>
      <c r="K1205" s="161"/>
      <c r="L1205" s="161"/>
      <c r="M1205" s="161"/>
      <c r="N1205" s="161"/>
      <c r="O1205" s="161"/>
      <c r="P1205" s="161"/>
      <c r="Q1205" s="161"/>
      <c r="R1205" s="161"/>
      <c r="S1205" s="161"/>
      <c r="T1205" s="161"/>
      <c r="U1205" s="161"/>
      <c r="V1205" s="161"/>
      <c r="W1205" s="161"/>
      <c r="X1205" s="161"/>
      <c r="Y1205" s="161"/>
      <c r="Z1205" s="161"/>
      <c r="AA1205" s="161"/>
      <c r="AB1205" s="161"/>
      <c r="AC1205" s="161"/>
      <c r="AD1205" s="161"/>
      <c r="AE1205" s="161"/>
      <c r="AF1205" s="161"/>
      <c r="AG1205" s="161"/>
      <c r="AH1205" s="161"/>
      <c r="AI1205" s="161"/>
      <c r="AJ1205" s="161"/>
      <c r="AK1205" s="161"/>
      <c r="AL1205" s="161"/>
      <c r="AM1205" s="161"/>
      <c r="AN1205" s="161"/>
      <c r="AO1205" s="161"/>
      <c r="AP1205" s="161"/>
      <c r="AQ1205" s="161"/>
      <c r="AR1205" s="161"/>
      <c r="AS1205" s="161"/>
      <c r="AT1205" s="161"/>
      <c r="AU1205" s="161"/>
      <c r="AV1205" s="161"/>
      <c r="AW1205" s="161"/>
      <c r="AX1205" s="161"/>
      <c r="AY1205" s="161"/>
      <c r="AZ1205" s="161"/>
      <c r="BA1205" s="161"/>
      <c r="BB1205" s="161"/>
      <c r="BC1205" s="161"/>
      <c r="BD1205" s="161"/>
      <c r="BE1205" s="161"/>
      <c r="BF1205" s="161"/>
      <c r="BG1205" s="161"/>
      <c r="BH1205" s="161"/>
      <c r="BI1205" s="161"/>
      <c r="BJ1205" s="161"/>
      <c r="BK1205" s="161"/>
      <c r="BL1205" s="161"/>
      <c r="BM1205" s="161"/>
      <c r="BN1205" s="161"/>
      <c r="BO1205" s="161"/>
      <c r="BP1205" s="161"/>
      <c r="BQ1205" s="161"/>
      <c r="BR1205" s="161"/>
      <c r="BS1205" s="161"/>
      <c r="BT1205" s="161"/>
      <c r="BU1205" s="161"/>
      <c r="BV1205" s="161"/>
      <c r="BW1205" s="161"/>
      <c r="BX1205" s="161"/>
      <c r="BY1205" s="161"/>
      <c r="BZ1205" s="161"/>
      <c r="CA1205" s="161"/>
      <c r="CB1205" s="161"/>
      <c r="CC1205" s="161"/>
      <c r="CD1205" s="161"/>
      <c r="CE1205" s="161"/>
      <c r="CF1205" s="161"/>
      <c r="CG1205" s="161"/>
    </row>
    <row r="1206">
      <c r="A1206" s="161"/>
      <c r="B1206" s="161"/>
      <c r="C1206" s="161"/>
      <c r="D1206" s="161"/>
      <c r="E1206" s="161"/>
      <c r="F1206" s="161"/>
      <c r="G1206" s="161"/>
      <c r="H1206" s="161"/>
      <c r="I1206" s="161"/>
      <c r="J1206" s="161"/>
      <c r="K1206" s="161"/>
      <c r="L1206" s="161"/>
      <c r="M1206" s="161"/>
      <c r="N1206" s="161"/>
      <c r="O1206" s="161"/>
      <c r="P1206" s="161"/>
      <c r="Q1206" s="161"/>
      <c r="R1206" s="161"/>
      <c r="S1206" s="161"/>
      <c r="T1206" s="161"/>
      <c r="U1206" s="161"/>
      <c r="V1206" s="161"/>
      <c r="W1206" s="161"/>
      <c r="X1206" s="161"/>
      <c r="Y1206" s="161"/>
      <c r="Z1206" s="161"/>
      <c r="AA1206" s="161"/>
      <c r="AB1206" s="161"/>
      <c r="AC1206" s="161"/>
      <c r="AD1206" s="161"/>
      <c r="AE1206" s="161"/>
      <c r="AF1206" s="161"/>
      <c r="AG1206" s="161"/>
      <c r="AH1206" s="161"/>
      <c r="AI1206" s="161"/>
      <c r="AJ1206" s="161"/>
      <c r="AK1206" s="161"/>
      <c r="AL1206" s="161"/>
      <c r="AM1206" s="161"/>
      <c r="AN1206" s="161"/>
      <c r="AO1206" s="161"/>
      <c r="AP1206" s="161"/>
      <c r="AQ1206" s="161"/>
      <c r="AR1206" s="161"/>
      <c r="AS1206" s="161"/>
      <c r="AT1206" s="161"/>
      <c r="AU1206" s="161"/>
      <c r="AV1206" s="161"/>
      <c r="AW1206" s="161"/>
      <c r="AX1206" s="161"/>
      <c r="AY1206" s="161"/>
      <c r="AZ1206" s="161"/>
      <c r="BA1206" s="161"/>
      <c r="BB1206" s="161"/>
      <c r="BC1206" s="161"/>
      <c r="BD1206" s="161"/>
      <c r="BE1206" s="161"/>
      <c r="BF1206" s="161"/>
      <c r="BG1206" s="161"/>
      <c r="BH1206" s="161"/>
      <c r="BI1206" s="161"/>
      <c r="BJ1206" s="161"/>
      <c r="BK1206" s="161"/>
      <c r="BL1206" s="161"/>
      <c r="BM1206" s="161"/>
      <c r="BN1206" s="161"/>
      <c r="BO1206" s="161"/>
      <c r="BP1206" s="161"/>
      <c r="BQ1206" s="161"/>
      <c r="BR1206" s="161"/>
      <c r="BS1206" s="161"/>
      <c r="BT1206" s="161"/>
      <c r="BU1206" s="161"/>
      <c r="BV1206" s="161"/>
      <c r="BW1206" s="161"/>
      <c r="BX1206" s="161"/>
      <c r="BY1206" s="161"/>
      <c r="BZ1206" s="161"/>
      <c r="CA1206" s="161"/>
      <c r="CB1206" s="161"/>
      <c r="CC1206" s="161"/>
      <c r="CD1206" s="161"/>
      <c r="CE1206" s="161"/>
      <c r="CF1206" s="161"/>
      <c r="CG1206" s="161"/>
    </row>
    <row r="1207">
      <c r="A1207" s="161"/>
      <c r="B1207" s="161"/>
      <c r="C1207" s="161"/>
      <c r="D1207" s="161"/>
      <c r="E1207" s="161"/>
      <c r="F1207" s="161"/>
      <c r="G1207" s="161"/>
      <c r="H1207" s="161"/>
      <c r="I1207" s="161"/>
      <c r="J1207" s="161"/>
      <c r="K1207" s="161"/>
      <c r="L1207" s="161"/>
      <c r="M1207" s="161"/>
      <c r="N1207" s="161"/>
      <c r="O1207" s="161"/>
      <c r="P1207" s="161"/>
      <c r="Q1207" s="161"/>
      <c r="R1207" s="161"/>
      <c r="S1207" s="161"/>
      <c r="T1207" s="161"/>
      <c r="U1207" s="161"/>
      <c r="V1207" s="161"/>
      <c r="W1207" s="161"/>
      <c r="X1207" s="161"/>
      <c r="Y1207" s="161"/>
      <c r="Z1207" s="161"/>
      <c r="AA1207" s="161"/>
      <c r="AB1207" s="161"/>
      <c r="AC1207" s="161"/>
      <c r="AD1207" s="161"/>
      <c r="AE1207" s="161"/>
      <c r="AF1207" s="161"/>
      <c r="AG1207" s="161"/>
      <c r="AH1207" s="161"/>
      <c r="AI1207" s="161"/>
      <c r="AJ1207" s="161"/>
      <c r="AK1207" s="161"/>
      <c r="AL1207" s="161"/>
      <c r="AM1207" s="161"/>
      <c r="AN1207" s="161"/>
      <c r="AO1207" s="161"/>
      <c r="AP1207" s="161"/>
      <c r="AQ1207" s="161"/>
      <c r="AR1207" s="161"/>
      <c r="AS1207" s="161"/>
      <c r="AT1207" s="161"/>
      <c r="AU1207" s="161"/>
      <c r="AV1207" s="161"/>
      <c r="AW1207" s="161"/>
      <c r="AX1207" s="161"/>
      <c r="AY1207" s="161"/>
      <c r="AZ1207" s="161"/>
      <c r="BA1207" s="161"/>
      <c r="BB1207" s="161"/>
      <c r="BC1207" s="161"/>
      <c r="BD1207" s="161"/>
      <c r="BE1207" s="161"/>
      <c r="BF1207" s="161"/>
      <c r="BG1207" s="161"/>
      <c r="BH1207" s="161"/>
      <c r="BI1207" s="161"/>
      <c r="BJ1207" s="161"/>
      <c r="BK1207" s="161"/>
      <c r="BL1207" s="161"/>
      <c r="BM1207" s="161"/>
      <c r="BN1207" s="161"/>
      <c r="BO1207" s="161"/>
      <c r="BP1207" s="161"/>
      <c r="BQ1207" s="161"/>
      <c r="BR1207" s="161"/>
      <c r="BS1207" s="161"/>
      <c r="BT1207" s="161"/>
      <c r="BU1207" s="161"/>
      <c r="BV1207" s="161"/>
      <c r="BW1207" s="161"/>
      <c r="BX1207" s="161"/>
      <c r="BY1207" s="161"/>
      <c r="BZ1207" s="161"/>
      <c r="CA1207" s="161"/>
      <c r="CB1207" s="161"/>
      <c r="CC1207" s="161"/>
      <c r="CD1207" s="161"/>
      <c r="CE1207" s="161"/>
      <c r="CF1207" s="161"/>
      <c r="CG1207" s="161"/>
    </row>
    <row r="1208">
      <c r="A1208" s="161"/>
      <c r="B1208" s="161"/>
      <c r="C1208" s="161"/>
      <c r="D1208" s="161"/>
      <c r="E1208" s="161"/>
      <c r="F1208" s="161"/>
      <c r="G1208" s="161"/>
      <c r="H1208" s="161"/>
      <c r="I1208" s="161"/>
      <c r="J1208" s="161"/>
      <c r="K1208" s="161"/>
      <c r="L1208" s="161"/>
      <c r="M1208" s="161"/>
      <c r="N1208" s="161"/>
      <c r="O1208" s="161"/>
      <c r="P1208" s="161"/>
      <c r="Q1208" s="161"/>
      <c r="R1208" s="161"/>
      <c r="S1208" s="161"/>
      <c r="T1208" s="161"/>
      <c r="U1208" s="161"/>
      <c r="V1208" s="161"/>
      <c r="W1208" s="161"/>
      <c r="X1208" s="161"/>
      <c r="Y1208" s="161"/>
      <c r="Z1208" s="161"/>
      <c r="AA1208" s="161"/>
      <c r="AB1208" s="161"/>
      <c r="AC1208" s="161"/>
      <c r="AD1208" s="161"/>
      <c r="AE1208" s="161"/>
      <c r="AF1208" s="161"/>
      <c r="AG1208" s="161"/>
      <c r="AH1208" s="161"/>
      <c r="AI1208" s="161"/>
      <c r="AJ1208" s="161"/>
      <c r="AK1208" s="161"/>
      <c r="AL1208" s="161"/>
      <c r="AM1208" s="161"/>
      <c r="AN1208" s="161"/>
      <c r="AO1208" s="161"/>
      <c r="AP1208" s="161"/>
      <c r="AQ1208" s="161"/>
      <c r="AR1208" s="161"/>
      <c r="AS1208" s="161"/>
      <c r="AT1208" s="161"/>
      <c r="AU1208" s="161"/>
      <c r="AV1208" s="161"/>
      <c r="AW1208" s="161"/>
      <c r="AX1208" s="161"/>
      <c r="AY1208" s="161"/>
      <c r="AZ1208" s="161"/>
      <c r="BA1208" s="161"/>
      <c r="BB1208" s="161"/>
      <c r="BC1208" s="161"/>
      <c r="BD1208" s="161"/>
      <c r="BE1208" s="161"/>
      <c r="BF1208" s="161"/>
      <c r="BG1208" s="161"/>
      <c r="BH1208" s="161"/>
      <c r="BI1208" s="161"/>
      <c r="BJ1208" s="161"/>
      <c r="BK1208" s="161"/>
      <c r="BL1208" s="161"/>
      <c r="BM1208" s="161"/>
      <c r="BN1208" s="161"/>
      <c r="BO1208" s="161"/>
      <c r="BP1208" s="161"/>
      <c r="BQ1208" s="161"/>
      <c r="BR1208" s="161"/>
      <c r="BS1208" s="161"/>
      <c r="BT1208" s="161"/>
      <c r="BU1208" s="161"/>
      <c r="BV1208" s="161"/>
      <c r="BW1208" s="161"/>
      <c r="BX1208" s="161"/>
      <c r="BY1208" s="161"/>
      <c r="BZ1208" s="161"/>
      <c r="CA1208" s="161"/>
      <c r="CB1208" s="161"/>
      <c r="CC1208" s="161"/>
      <c r="CD1208" s="161"/>
      <c r="CE1208" s="161"/>
      <c r="CF1208" s="161"/>
      <c r="CG1208" s="161"/>
    </row>
    <row r="1209">
      <c r="A1209" s="161"/>
      <c r="B1209" s="161"/>
      <c r="C1209" s="161"/>
      <c r="D1209" s="161"/>
      <c r="E1209" s="161"/>
      <c r="F1209" s="161"/>
      <c r="G1209" s="161"/>
      <c r="H1209" s="161"/>
      <c r="I1209" s="161"/>
      <c r="J1209" s="161"/>
      <c r="K1209" s="161"/>
      <c r="L1209" s="161"/>
      <c r="M1209" s="161"/>
      <c r="N1209" s="161"/>
      <c r="O1209" s="161"/>
      <c r="P1209" s="161"/>
      <c r="Q1209" s="161"/>
      <c r="R1209" s="161"/>
      <c r="S1209" s="161"/>
      <c r="T1209" s="161"/>
      <c r="U1209" s="161"/>
      <c r="V1209" s="161"/>
      <c r="W1209" s="161"/>
      <c r="X1209" s="161"/>
      <c r="Y1209" s="161"/>
      <c r="Z1209" s="161"/>
      <c r="AA1209" s="161"/>
      <c r="AB1209" s="161"/>
      <c r="AC1209" s="161"/>
      <c r="AD1209" s="161"/>
      <c r="AE1209" s="161"/>
      <c r="AF1209" s="161"/>
      <c r="AG1209" s="161"/>
      <c r="AH1209" s="161"/>
      <c r="AI1209" s="161"/>
      <c r="AJ1209" s="161"/>
      <c r="AK1209" s="161"/>
      <c r="AL1209" s="161"/>
      <c r="AM1209" s="161"/>
      <c r="AN1209" s="161"/>
      <c r="AO1209" s="161"/>
      <c r="AP1209" s="161"/>
      <c r="AQ1209" s="161"/>
      <c r="AR1209" s="161"/>
      <c r="AS1209" s="161"/>
      <c r="AT1209" s="161"/>
      <c r="AU1209" s="161"/>
      <c r="AV1209" s="161"/>
      <c r="AW1209" s="161"/>
      <c r="AX1209" s="161"/>
      <c r="AY1209" s="161"/>
      <c r="AZ1209" s="161"/>
      <c r="BA1209" s="161"/>
      <c r="BB1209" s="161"/>
      <c r="BC1209" s="161"/>
      <c r="BD1209" s="161"/>
      <c r="BE1209" s="161"/>
      <c r="BF1209" s="161"/>
      <c r="BG1209" s="161"/>
      <c r="BH1209" s="161"/>
      <c r="BI1209" s="161"/>
      <c r="BJ1209" s="161"/>
      <c r="BK1209" s="161"/>
      <c r="BL1209" s="161"/>
      <c r="BM1209" s="161"/>
      <c r="BN1209" s="161"/>
      <c r="BO1209" s="161"/>
      <c r="BP1209" s="161"/>
      <c r="BQ1209" s="161"/>
      <c r="BR1209" s="161"/>
      <c r="BS1209" s="161"/>
      <c r="BT1209" s="161"/>
      <c r="BU1209" s="161"/>
      <c r="BV1209" s="161"/>
      <c r="BW1209" s="161"/>
      <c r="BX1209" s="161"/>
      <c r="BY1209" s="161"/>
      <c r="BZ1209" s="161"/>
      <c r="CA1209" s="161"/>
      <c r="CB1209" s="161"/>
      <c r="CC1209" s="161"/>
      <c r="CD1209" s="161"/>
      <c r="CE1209" s="161"/>
      <c r="CF1209" s="161"/>
      <c r="CG1209" s="161"/>
    </row>
    <row r="1210">
      <c r="A1210" s="161"/>
      <c r="B1210" s="161"/>
      <c r="C1210" s="161"/>
      <c r="D1210" s="161"/>
      <c r="E1210" s="161"/>
      <c r="F1210" s="161"/>
      <c r="G1210" s="161"/>
      <c r="H1210" s="161"/>
      <c r="I1210" s="161"/>
      <c r="J1210" s="161"/>
      <c r="K1210" s="161"/>
      <c r="L1210" s="161"/>
      <c r="M1210" s="161"/>
      <c r="N1210" s="161"/>
      <c r="O1210" s="161"/>
      <c r="P1210" s="161"/>
      <c r="Q1210" s="161"/>
      <c r="R1210" s="161"/>
      <c r="S1210" s="161"/>
      <c r="T1210" s="161"/>
      <c r="U1210" s="161"/>
      <c r="V1210" s="161"/>
      <c r="W1210" s="161"/>
      <c r="X1210" s="161"/>
      <c r="Y1210" s="161"/>
      <c r="Z1210" s="161"/>
      <c r="AA1210" s="161"/>
      <c r="AB1210" s="161"/>
      <c r="AC1210" s="161"/>
      <c r="AD1210" s="161"/>
      <c r="AE1210" s="161"/>
      <c r="AF1210" s="161"/>
      <c r="AG1210" s="161"/>
      <c r="AH1210" s="161"/>
      <c r="AI1210" s="161"/>
      <c r="AJ1210" s="161"/>
      <c r="AK1210" s="161"/>
      <c r="AL1210" s="161"/>
      <c r="AM1210" s="161"/>
      <c r="AN1210" s="161"/>
      <c r="AO1210" s="161"/>
      <c r="AP1210" s="161"/>
      <c r="AQ1210" s="161"/>
      <c r="AR1210" s="161"/>
      <c r="AS1210" s="161"/>
      <c r="AT1210" s="161"/>
      <c r="AU1210" s="161"/>
      <c r="AV1210" s="161"/>
      <c r="AW1210" s="161"/>
      <c r="AX1210" s="161"/>
      <c r="AY1210" s="161"/>
      <c r="AZ1210" s="161"/>
      <c r="BA1210" s="161"/>
      <c r="BB1210" s="161"/>
      <c r="BC1210" s="161"/>
      <c r="BD1210" s="161"/>
      <c r="BE1210" s="161"/>
      <c r="BF1210" s="161"/>
      <c r="BG1210" s="161"/>
      <c r="BH1210" s="161"/>
      <c r="BI1210" s="161"/>
      <c r="BJ1210" s="161"/>
      <c r="BK1210" s="161"/>
      <c r="BL1210" s="161"/>
      <c r="BM1210" s="161"/>
      <c r="BN1210" s="161"/>
      <c r="BO1210" s="161"/>
      <c r="BP1210" s="161"/>
      <c r="BQ1210" s="161"/>
      <c r="BR1210" s="161"/>
      <c r="BS1210" s="161"/>
      <c r="BT1210" s="161"/>
      <c r="BU1210" s="161"/>
      <c r="BV1210" s="161"/>
      <c r="BW1210" s="161"/>
      <c r="BX1210" s="161"/>
      <c r="BY1210" s="161"/>
      <c r="BZ1210" s="161"/>
      <c r="CA1210" s="161"/>
      <c r="CB1210" s="161"/>
      <c r="CC1210" s="161"/>
      <c r="CD1210" s="161"/>
      <c r="CE1210" s="161"/>
      <c r="CF1210" s="161"/>
      <c r="CG1210" s="161"/>
    </row>
    <row r="1211">
      <c r="A1211" s="161"/>
      <c r="B1211" s="161"/>
      <c r="C1211" s="161"/>
      <c r="D1211" s="161"/>
      <c r="E1211" s="161"/>
      <c r="F1211" s="161"/>
      <c r="G1211" s="161"/>
      <c r="H1211" s="161"/>
      <c r="I1211" s="161"/>
      <c r="J1211" s="161"/>
      <c r="K1211" s="161"/>
      <c r="L1211" s="161"/>
      <c r="M1211" s="161"/>
      <c r="N1211" s="161"/>
      <c r="O1211" s="161"/>
      <c r="P1211" s="161"/>
      <c r="Q1211" s="161"/>
      <c r="R1211" s="161"/>
      <c r="S1211" s="161"/>
      <c r="T1211" s="161"/>
      <c r="U1211" s="161"/>
      <c r="V1211" s="161"/>
      <c r="W1211" s="161"/>
      <c r="X1211" s="161"/>
      <c r="Y1211" s="161"/>
      <c r="Z1211" s="161"/>
      <c r="AA1211" s="161"/>
      <c r="AB1211" s="161"/>
      <c r="AC1211" s="161"/>
      <c r="AD1211" s="161"/>
      <c r="AE1211" s="161"/>
      <c r="AF1211" s="161"/>
      <c r="AG1211" s="161"/>
      <c r="AH1211" s="161"/>
      <c r="AI1211" s="161"/>
      <c r="AJ1211" s="161"/>
      <c r="AK1211" s="161"/>
      <c r="AL1211" s="161"/>
      <c r="AM1211" s="161"/>
      <c r="AN1211" s="161"/>
      <c r="AO1211" s="161"/>
      <c r="AP1211" s="161"/>
      <c r="AQ1211" s="161"/>
      <c r="AR1211" s="161"/>
      <c r="AS1211" s="161"/>
      <c r="AT1211" s="161"/>
      <c r="AU1211" s="161"/>
      <c r="AV1211" s="161"/>
      <c r="AW1211" s="161"/>
      <c r="AX1211" s="161"/>
      <c r="AY1211" s="161"/>
      <c r="AZ1211" s="161"/>
      <c r="BA1211" s="161"/>
      <c r="BB1211" s="161"/>
      <c r="BC1211" s="161"/>
      <c r="BD1211" s="161"/>
      <c r="BE1211" s="161"/>
      <c r="BF1211" s="161"/>
      <c r="BG1211" s="161"/>
      <c r="BH1211" s="161"/>
      <c r="BI1211" s="161"/>
      <c r="BJ1211" s="161"/>
      <c r="BK1211" s="161"/>
      <c r="BL1211" s="161"/>
      <c r="BM1211" s="161"/>
      <c r="BN1211" s="161"/>
      <c r="BO1211" s="161"/>
      <c r="BP1211" s="161"/>
      <c r="BQ1211" s="161"/>
      <c r="BR1211" s="161"/>
      <c r="BS1211" s="161"/>
      <c r="BT1211" s="161"/>
      <c r="BU1211" s="161"/>
      <c r="BV1211" s="161"/>
      <c r="BW1211" s="161"/>
      <c r="BX1211" s="161"/>
      <c r="BY1211" s="161"/>
      <c r="BZ1211" s="161"/>
      <c r="CA1211" s="161"/>
      <c r="CB1211" s="161"/>
      <c r="CC1211" s="161"/>
      <c r="CD1211" s="161"/>
      <c r="CE1211" s="161"/>
      <c r="CF1211" s="161"/>
      <c r="CG1211" s="161"/>
    </row>
    <row r="1212">
      <c r="A1212" s="161"/>
      <c r="B1212" s="161"/>
      <c r="C1212" s="161"/>
      <c r="D1212" s="161"/>
      <c r="E1212" s="161"/>
      <c r="F1212" s="161"/>
      <c r="G1212" s="161"/>
      <c r="H1212" s="161"/>
      <c r="I1212" s="161"/>
      <c r="J1212" s="161"/>
      <c r="K1212" s="161"/>
      <c r="L1212" s="161"/>
      <c r="M1212" s="161"/>
      <c r="N1212" s="161"/>
      <c r="O1212" s="161"/>
      <c r="P1212" s="161"/>
      <c r="Q1212" s="161"/>
      <c r="R1212" s="161"/>
      <c r="S1212" s="161"/>
      <c r="T1212" s="161"/>
      <c r="U1212" s="161"/>
      <c r="V1212" s="161"/>
      <c r="W1212" s="161"/>
      <c r="X1212" s="161"/>
      <c r="Y1212" s="161"/>
      <c r="Z1212" s="161"/>
      <c r="AA1212" s="161"/>
      <c r="AB1212" s="161"/>
      <c r="AC1212" s="161"/>
      <c r="AD1212" s="161"/>
      <c r="AE1212" s="161"/>
      <c r="AF1212" s="161"/>
      <c r="AG1212" s="161"/>
      <c r="AH1212" s="161"/>
      <c r="AI1212" s="161"/>
      <c r="AJ1212" s="161"/>
      <c r="AK1212" s="161"/>
      <c r="AL1212" s="161"/>
      <c r="AM1212" s="161"/>
      <c r="AN1212" s="161"/>
      <c r="AO1212" s="161"/>
      <c r="AP1212" s="161"/>
      <c r="AQ1212" s="161"/>
      <c r="AR1212" s="161"/>
      <c r="AS1212" s="161"/>
      <c r="AT1212" s="161"/>
      <c r="AU1212" s="161"/>
      <c r="AV1212" s="161"/>
      <c r="AW1212" s="161"/>
      <c r="AX1212" s="161"/>
      <c r="AY1212" s="161"/>
      <c r="AZ1212" s="161"/>
      <c r="BA1212" s="161"/>
      <c r="BB1212" s="161"/>
      <c r="BC1212" s="161"/>
      <c r="BD1212" s="161"/>
      <c r="BE1212" s="161"/>
      <c r="BF1212" s="161"/>
      <c r="BG1212" s="161"/>
      <c r="BH1212" s="161"/>
      <c r="BI1212" s="161"/>
      <c r="BJ1212" s="161"/>
      <c r="BK1212" s="161"/>
      <c r="BL1212" s="161"/>
      <c r="BM1212" s="161"/>
      <c r="BN1212" s="161"/>
      <c r="BO1212" s="161"/>
      <c r="BP1212" s="161"/>
      <c r="BQ1212" s="161"/>
      <c r="BR1212" s="161"/>
      <c r="BS1212" s="161"/>
      <c r="BT1212" s="161"/>
      <c r="BU1212" s="161"/>
      <c r="BV1212" s="161"/>
      <c r="BW1212" s="161"/>
      <c r="BX1212" s="161"/>
      <c r="BY1212" s="161"/>
      <c r="BZ1212" s="161"/>
      <c r="CA1212" s="161"/>
      <c r="CB1212" s="161"/>
      <c r="CC1212" s="161"/>
      <c r="CD1212" s="161"/>
      <c r="CE1212" s="161"/>
      <c r="CF1212" s="161"/>
      <c r="CG1212" s="161"/>
    </row>
    <row r="1213">
      <c r="A1213" s="161"/>
      <c r="B1213" s="161"/>
      <c r="C1213" s="161"/>
      <c r="D1213" s="161"/>
      <c r="E1213" s="161"/>
      <c r="F1213" s="161"/>
      <c r="G1213" s="161"/>
      <c r="H1213" s="161"/>
      <c r="I1213" s="161"/>
      <c r="J1213" s="161"/>
      <c r="K1213" s="161"/>
      <c r="L1213" s="161"/>
      <c r="M1213" s="161"/>
      <c r="N1213" s="161"/>
      <c r="O1213" s="161"/>
      <c r="P1213" s="161"/>
      <c r="Q1213" s="161"/>
      <c r="R1213" s="161"/>
      <c r="S1213" s="161"/>
      <c r="T1213" s="161"/>
      <c r="U1213" s="161"/>
      <c r="V1213" s="161"/>
      <c r="W1213" s="161"/>
      <c r="X1213" s="161"/>
      <c r="Y1213" s="161"/>
      <c r="Z1213" s="161"/>
      <c r="AA1213" s="161"/>
      <c r="AB1213" s="161"/>
      <c r="AC1213" s="161"/>
      <c r="AD1213" s="161"/>
      <c r="AE1213" s="161"/>
      <c r="AF1213" s="161"/>
      <c r="AG1213" s="161"/>
      <c r="AH1213" s="161"/>
      <c r="AI1213" s="161"/>
      <c r="AJ1213" s="161"/>
      <c r="AK1213" s="161"/>
      <c r="AL1213" s="161"/>
      <c r="AM1213" s="161"/>
      <c r="AN1213" s="161"/>
      <c r="AO1213" s="161"/>
      <c r="AP1213" s="161"/>
      <c r="AQ1213" s="161"/>
      <c r="AR1213" s="161"/>
      <c r="AS1213" s="161"/>
      <c r="AT1213" s="161"/>
      <c r="AU1213" s="161"/>
      <c r="AV1213" s="161"/>
      <c r="AW1213" s="161"/>
      <c r="AX1213" s="161"/>
      <c r="AY1213" s="161"/>
      <c r="AZ1213" s="161"/>
      <c r="BA1213" s="161"/>
      <c r="BB1213" s="161"/>
      <c r="BC1213" s="161"/>
      <c r="BD1213" s="161"/>
      <c r="BE1213" s="161"/>
      <c r="BF1213" s="161"/>
      <c r="BG1213" s="161"/>
      <c r="BH1213" s="161"/>
      <c r="BI1213" s="161"/>
      <c r="BJ1213" s="161"/>
      <c r="BK1213" s="161"/>
      <c r="BL1213" s="161"/>
      <c r="BM1213" s="161"/>
      <c r="BN1213" s="161"/>
      <c r="BO1213" s="161"/>
      <c r="BP1213" s="161"/>
      <c r="BQ1213" s="161"/>
      <c r="BR1213" s="161"/>
      <c r="BS1213" s="161"/>
      <c r="BT1213" s="161"/>
      <c r="BU1213" s="161"/>
      <c r="BV1213" s="161"/>
      <c r="BW1213" s="161"/>
      <c r="BX1213" s="161"/>
      <c r="BY1213" s="161"/>
      <c r="BZ1213" s="161"/>
      <c r="CA1213" s="161"/>
      <c r="CB1213" s="161"/>
      <c r="CC1213" s="161"/>
      <c r="CD1213" s="161"/>
      <c r="CE1213" s="161"/>
      <c r="CF1213" s="161"/>
      <c r="CG1213" s="161"/>
    </row>
    <row r="1214">
      <c r="A1214" s="161"/>
      <c r="B1214" s="161"/>
      <c r="C1214" s="161"/>
      <c r="D1214" s="161"/>
      <c r="E1214" s="161"/>
      <c r="F1214" s="161"/>
      <c r="G1214" s="161"/>
      <c r="H1214" s="161"/>
      <c r="I1214" s="161"/>
      <c r="J1214" s="161"/>
      <c r="K1214" s="161"/>
      <c r="L1214" s="161"/>
      <c r="M1214" s="161"/>
      <c r="N1214" s="161"/>
      <c r="O1214" s="161"/>
      <c r="P1214" s="161"/>
      <c r="Q1214" s="161"/>
      <c r="R1214" s="161"/>
      <c r="S1214" s="161"/>
      <c r="T1214" s="161"/>
      <c r="U1214" s="161"/>
      <c r="V1214" s="161"/>
      <c r="W1214" s="161"/>
      <c r="X1214" s="161"/>
      <c r="Y1214" s="161"/>
      <c r="Z1214" s="161"/>
      <c r="AA1214" s="161"/>
      <c r="AB1214" s="161"/>
      <c r="AC1214" s="161"/>
      <c r="AD1214" s="161"/>
      <c r="AE1214" s="161"/>
      <c r="AF1214" s="161"/>
      <c r="AG1214" s="161"/>
      <c r="AH1214" s="161"/>
      <c r="AI1214" s="161"/>
      <c r="AJ1214" s="161"/>
      <c r="AK1214" s="161"/>
      <c r="AL1214" s="161"/>
      <c r="AM1214" s="161"/>
      <c r="AN1214" s="161"/>
      <c r="AO1214" s="161"/>
      <c r="AP1214" s="161"/>
      <c r="AQ1214" s="161"/>
      <c r="AR1214" s="161"/>
      <c r="AS1214" s="161"/>
      <c r="AT1214" s="161"/>
      <c r="AU1214" s="161"/>
      <c r="AV1214" s="161"/>
      <c r="AW1214" s="161"/>
      <c r="AX1214" s="161"/>
      <c r="AY1214" s="161"/>
      <c r="AZ1214" s="161"/>
      <c r="BA1214" s="161"/>
      <c r="BB1214" s="161"/>
      <c r="BC1214" s="161"/>
      <c r="BD1214" s="161"/>
      <c r="BE1214" s="161"/>
      <c r="BF1214" s="161"/>
      <c r="BG1214" s="161"/>
      <c r="BH1214" s="161"/>
      <c r="BI1214" s="161"/>
      <c r="BJ1214" s="161"/>
      <c r="BK1214" s="161"/>
      <c r="BL1214" s="161"/>
      <c r="BM1214" s="161"/>
      <c r="BN1214" s="161"/>
      <c r="BO1214" s="161"/>
      <c r="BP1214" s="161"/>
      <c r="BQ1214" s="161"/>
      <c r="BR1214" s="161"/>
      <c r="BS1214" s="161"/>
      <c r="BT1214" s="161"/>
      <c r="BU1214" s="161"/>
      <c r="BV1214" s="161"/>
      <c r="BW1214" s="161"/>
      <c r="BX1214" s="161"/>
      <c r="BY1214" s="161"/>
      <c r="BZ1214" s="161"/>
      <c r="CA1214" s="161"/>
      <c r="CB1214" s="161"/>
      <c r="CC1214" s="161"/>
      <c r="CD1214" s="161"/>
      <c r="CE1214" s="161"/>
      <c r="CF1214" s="161"/>
      <c r="CG1214" s="161"/>
    </row>
    <row r="1215">
      <c r="A1215" s="161"/>
      <c r="B1215" s="161"/>
      <c r="C1215" s="161"/>
      <c r="D1215" s="161"/>
      <c r="E1215" s="161"/>
      <c r="F1215" s="161"/>
      <c r="G1215" s="161"/>
      <c r="H1215" s="161"/>
      <c r="I1215" s="161"/>
      <c r="J1215" s="161"/>
      <c r="K1215" s="161"/>
      <c r="L1215" s="161"/>
      <c r="M1215" s="161"/>
      <c r="N1215" s="161"/>
      <c r="O1215" s="161"/>
      <c r="P1215" s="161"/>
      <c r="Q1215" s="161"/>
      <c r="R1215" s="161"/>
      <c r="S1215" s="161"/>
      <c r="T1215" s="161"/>
      <c r="U1215" s="161"/>
      <c r="V1215" s="161"/>
      <c r="W1215" s="161"/>
      <c r="X1215" s="161"/>
      <c r="Y1215" s="161"/>
      <c r="Z1215" s="161"/>
      <c r="AA1215" s="161"/>
      <c r="AB1215" s="161"/>
      <c r="AC1215" s="161"/>
      <c r="AD1215" s="161"/>
      <c r="AE1215" s="161"/>
      <c r="AF1215" s="161"/>
      <c r="AG1215" s="161"/>
      <c r="AH1215" s="161"/>
      <c r="AI1215" s="161"/>
      <c r="AJ1215" s="161"/>
      <c r="AK1215" s="161"/>
      <c r="AL1215" s="161"/>
      <c r="AM1215" s="161"/>
      <c r="AN1215" s="161"/>
      <c r="AO1215" s="161"/>
      <c r="AP1215" s="161"/>
      <c r="AQ1215" s="161"/>
      <c r="AR1215" s="161"/>
      <c r="AS1215" s="161"/>
      <c r="AT1215" s="161"/>
      <c r="AU1215" s="161"/>
      <c r="AV1215" s="161"/>
      <c r="AW1215" s="161"/>
      <c r="AX1215" s="161"/>
      <c r="AY1215" s="161"/>
      <c r="AZ1215" s="161"/>
      <c r="BA1215" s="161"/>
      <c r="BB1215" s="161"/>
      <c r="BC1215" s="161"/>
      <c r="BD1215" s="161"/>
      <c r="BE1215" s="161"/>
      <c r="BF1215" s="161"/>
      <c r="BG1215" s="161"/>
      <c r="BH1215" s="161"/>
      <c r="BI1215" s="161"/>
      <c r="BJ1215" s="161"/>
      <c r="BK1215" s="161"/>
      <c r="BL1215" s="161"/>
      <c r="BM1215" s="161"/>
      <c r="BN1215" s="161"/>
      <c r="BO1215" s="161"/>
      <c r="BP1215" s="161"/>
      <c r="BQ1215" s="161"/>
      <c r="BR1215" s="161"/>
      <c r="BS1215" s="161"/>
      <c r="BT1215" s="161"/>
      <c r="BU1215" s="161"/>
      <c r="BV1215" s="161"/>
      <c r="BW1215" s="161"/>
      <c r="BX1215" s="161"/>
      <c r="BY1215" s="161"/>
      <c r="BZ1215" s="161"/>
      <c r="CA1215" s="161"/>
      <c r="CB1215" s="161"/>
      <c r="CC1215" s="161"/>
      <c r="CD1215" s="161"/>
      <c r="CE1215" s="161"/>
      <c r="CF1215" s="161"/>
      <c r="CG1215" s="161"/>
    </row>
    <row r="1216">
      <c r="A1216" s="161"/>
      <c r="B1216" s="161"/>
      <c r="C1216" s="161"/>
      <c r="D1216" s="161"/>
      <c r="E1216" s="161"/>
      <c r="F1216" s="161"/>
      <c r="G1216" s="161"/>
      <c r="H1216" s="161"/>
      <c r="I1216" s="161"/>
      <c r="J1216" s="161"/>
      <c r="K1216" s="161"/>
      <c r="L1216" s="161"/>
      <c r="M1216" s="161"/>
      <c r="N1216" s="161"/>
      <c r="O1216" s="161"/>
      <c r="P1216" s="161"/>
      <c r="Q1216" s="161"/>
      <c r="R1216" s="161"/>
      <c r="S1216" s="161"/>
      <c r="T1216" s="161"/>
      <c r="U1216" s="161"/>
      <c r="V1216" s="161"/>
      <c r="W1216" s="161"/>
      <c r="X1216" s="161"/>
      <c r="Y1216" s="161"/>
      <c r="Z1216" s="161"/>
      <c r="AA1216" s="161"/>
      <c r="AB1216" s="161"/>
      <c r="AC1216" s="161"/>
      <c r="AD1216" s="161"/>
      <c r="AE1216" s="161"/>
      <c r="AF1216" s="161"/>
      <c r="AG1216" s="161"/>
      <c r="AH1216" s="161"/>
      <c r="AI1216" s="161"/>
      <c r="AJ1216" s="161"/>
      <c r="AK1216" s="161"/>
      <c r="AL1216" s="161"/>
      <c r="AM1216" s="161"/>
      <c r="AN1216" s="161"/>
      <c r="AO1216" s="161"/>
      <c r="AP1216" s="161"/>
      <c r="AQ1216" s="161"/>
      <c r="AR1216" s="161"/>
      <c r="AS1216" s="161"/>
      <c r="AT1216" s="161"/>
      <c r="AU1216" s="161"/>
      <c r="AV1216" s="161"/>
      <c r="AW1216" s="161"/>
      <c r="AX1216" s="161"/>
      <c r="AY1216" s="161"/>
      <c r="AZ1216" s="161"/>
      <c r="BA1216" s="161"/>
      <c r="BB1216" s="161"/>
      <c r="BC1216" s="161"/>
      <c r="BD1216" s="161"/>
      <c r="BE1216" s="161"/>
      <c r="BF1216" s="161"/>
      <c r="BG1216" s="161"/>
      <c r="BH1216" s="161"/>
      <c r="BI1216" s="161"/>
      <c r="BJ1216" s="161"/>
      <c r="BK1216" s="161"/>
      <c r="BL1216" s="161"/>
      <c r="BM1216" s="161"/>
      <c r="BN1216" s="161"/>
      <c r="BO1216" s="161"/>
      <c r="BP1216" s="161"/>
      <c r="BQ1216" s="161"/>
      <c r="BR1216" s="161"/>
      <c r="BS1216" s="161"/>
      <c r="BT1216" s="161"/>
      <c r="BU1216" s="161"/>
      <c r="BV1216" s="161"/>
      <c r="BW1216" s="161"/>
      <c r="BX1216" s="161"/>
      <c r="BY1216" s="161"/>
      <c r="BZ1216" s="161"/>
      <c r="CA1216" s="161"/>
      <c r="CB1216" s="161"/>
      <c r="CC1216" s="161"/>
      <c r="CD1216" s="161"/>
      <c r="CE1216" s="161"/>
      <c r="CF1216" s="161"/>
      <c r="CG1216" s="161"/>
    </row>
    <row r="1217">
      <c r="A1217" s="161"/>
      <c r="B1217" s="161"/>
      <c r="C1217" s="161"/>
      <c r="D1217" s="161"/>
      <c r="E1217" s="161"/>
      <c r="F1217" s="161"/>
      <c r="G1217" s="161"/>
      <c r="H1217" s="161"/>
      <c r="I1217" s="161"/>
      <c r="J1217" s="161"/>
      <c r="K1217" s="161"/>
      <c r="L1217" s="161"/>
      <c r="M1217" s="161"/>
      <c r="N1217" s="161"/>
      <c r="O1217" s="161"/>
      <c r="P1217" s="161"/>
      <c r="Q1217" s="161"/>
      <c r="R1217" s="161"/>
      <c r="S1217" s="161"/>
      <c r="T1217" s="161"/>
      <c r="U1217" s="161"/>
      <c r="V1217" s="161"/>
      <c r="W1217" s="161"/>
      <c r="X1217" s="161"/>
      <c r="Y1217" s="161"/>
      <c r="Z1217" s="161"/>
      <c r="AA1217" s="161"/>
      <c r="AB1217" s="161"/>
      <c r="AC1217" s="161"/>
      <c r="AD1217" s="161"/>
      <c r="AE1217" s="161"/>
      <c r="AF1217" s="161"/>
      <c r="AG1217" s="161"/>
      <c r="AH1217" s="161"/>
      <c r="AI1217" s="161"/>
      <c r="AJ1217" s="161"/>
      <c r="AK1217" s="161"/>
      <c r="AL1217" s="161"/>
      <c r="AM1217" s="161"/>
      <c r="AN1217" s="161"/>
      <c r="AO1217" s="161"/>
      <c r="AP1217" s="161"/>
      <c r="AQ1217" s="161"/>
      <c r="AR1217" s="161"/>
      <c r="AS1217" s="161"/>
      <c r="AT1217" s="161"/>
      <c r="AU1217" s="161"/>
      <c r="AV1217" s="161"/>
      <c r="AW1217" s="161"/>
      <c r="AX1217" s="161"/>
      <c r="AY1217" s="161"/>
      <c r="AZ1217" s="161"/>
      <c r="BA1217" s="161"/>
      <c r="BB1217" s="161"/>
      <c r="BC1217" s="161"/>
      <c r="BD1217" s="161"/>
      <c r="BE1217" s="161"/>
      <c r="BF1217" s="161"/>
      <c r="BG1217" s="161"/>
      <c r="BH1217" s="161"/>
      <c r="BI1217" s="161"/>
      <c r="BJ1217" s="161"/>
      <c r="BK1217" s="161"/>
      <c r="BL1217" s="161"/>
      <c r="BM1217" s="161"/>
      <c r="BN1217" s="161"/>
      <c r="BO1217" s="161"/>
      <c r="BP1217" s="161"/>
      <c r="BQ1217" s="161"/>
      <c r="BR1217" s="161"/>
      <c r="BS1217" s="161"/>
      <c r="BT1217" s="161"/>
      <c r="BU1217" s="161"/>
      <c r="BV1217" s="161"/>
      <c r="BW1217" s="161"/>
      <c r="BX1217" s="161"/>
      <c r="BY1217" s="161"/>
      <c r="BZ1217" s="161"/>
      <c r="CA1217" s="161"/>
      <c r="CB1217" s="161"/>
      <c r="CC1217" s="161"/>
      <c r="CD1217" s="161"/>
      <c r="CE1217" s="161"/>
      <c r="CF1217" s="161"/>
      <c r="CG1217" s="161"/>
    </row>
    <row r="1218">
      <c r="A1218" s="161"/>
      <c r="B1218" s="161"/>
      <c r="C1218" s="161"/>
      <c r="D1218" s="161"/>
      <c r="E1218" s="161"/>
      <c r="F1218" s="161"/>
      <c r="G1218" s="161"/>
      <c r="H1218" s="161"/>
      <c r="I1218" s="161"/>
      <c r="J1218" s="161"/>
      <c r="K1218" s="161"/>
      <c r="L1218" s="161"/>
      <c r="M1218" s="161"/>
      <c r="N1218" s="161"/>
      <c r="O1218" s="161"/>
      <c r="P1218" s="161"/>
      <c r="Q1218" s="161"/>
      <c r="R1218" s="161"/>
      <c r="S1218" s="161"/>
      <c r="T1218" s="161"/>
      <c r="U1218" s="161"/>
      <c r="V1218" s="161"/>
      <c r="W1218" s="161"/>
      <c r="X1218" s="161"/>
      <c r="Y1218" s="161"/>
      <c r="Z1218" s="161"/>
      <c r="AA1218" s="161"/>
      <c r="AB1218" s="161"/>
      <c r="AC1218" s="161"/>
      <c r="AD1218" s="161"/>
      <c r="AE1218" s="161"/>
      <c r="AF1218" s="161"/>
      <c r="AG1218" s="161"/>
      <c r="AH1218" s="161"/>
      <c r="AI1218" s="161"/>
      <c r="AJ1218" s="161"/>
      <c r="AK1218" s="161"/>
      <c r="AL1218" s="161"/>
      <c r="AM1218" s="161"/>
      <c r="AN1218" s="161"/>
      <c r="AO1218" s="161"/>
      <c r="AP1218" s="161"/>
      <c r="AQ1218" s="161"/>
      <c r="AR1218" s="161"/>
      <c r="AS1218" s="161"/>
      <c r="AT1218" s="161"/>
      <c r="AU1218" s="161"/>
      <c r="AV1218" s="161"/>
      <c r="AW1218" s="161"/>
      <c r="AX1218" s="161"/>
      <c r="AY1218" s="161"/>
      <c r="AZ1218" s="161"/>
      <c r="BA1218" s="161"/>
      <c r="BB1218" s="161"/>
      <c r="BC1218" s="161"/>
      <c r="BD1218" s="161"/>
      <c r="BE1218" s="161"/>
      <c r="BF1218" s="161"/>
      <c r="BG1218" s="161"/>
      <c r="BH1218" s="161"/>
      <c r="BI1218" s="161"/>
      <c r="BJ1218" s="161"/>
      <c r="BK1218" s="161"/>
      <c r="BL1218" s="161"/>
      <c r="BM1218" s="161"/>
      <c r="BN1218" s="161"/>
      <c r="BO1218" s="161"/>
      <c r="BP1218" s="161"/>
      <c r="BQ1218" s="161"/>
      <c r="BR1218" s="161"/>
      <c r="BS1218" s="161"/>
      <c r="BT1218" s="161"/>
      <c r="BU1218" s="161"/>
      <c r="BV1218" s="161"/>
      <c r="BW1218" s="161"/>
      <c r="BX1218" s="161"/>
      <c r="BY1218" s="161"/>
      <c r="BZ1218" s="161"/>
      <c r="CA1218" s="161"/>
      <c r="CB1218" s="161"/>
      <c r="CC1218" s="161"/>
      <c r="CD1218" s="161"/>
      <c r="CE1218" s="161"/>
      <c r="CF1218" s="161"/>
      <c r="CG1218" s="161"/>
    </row>
    <row r="1219">
      <c r="A1219" s="161"/>
      <c r="B1219" s="161"/>
      <c r="C1219" s="161"/>
      <c r="D1219" s="161"/>
      <c r="E1219" s="161"/>
      <c r="F1219" s="161"/>
      <c r="G1219" s="161"/>
      <c r="H1219" s="161"/>
      <c r="I1219" s="161"/>
      <c r="J1219" s="161"/>
      <c r="K1219" s="161"/>
      <c r="L1219" s="161"/>
      <c r="M1219" s="161"/>
      <c r="N1219" s="161"/>
      <c r="O1219" s="161"/>
      <c r="P1219" s="161"/>
      <c r="Q1219" s="161"/>
      <c r="R1219" s="161"/>
      <c r="S1219" s="161"/>
      <c r="T1219" s="161"/>
      <c r="U1219" s="161"/>
      <c r="V1219" s="161"/>
      <c r="W1219" s="161"/>
      <c r="X1219" s="161"/>
      <c r="Y1219" s="161"/>
      <c r="Z1219" s="161"/>
      <c r="AA1219" s="161"/>
      <c r="AB1219" s="161"/>
      <c r="AC1219" s="161"/>
      <c r="AD1219" s="161"/>
      <c r="AE1219" s="161"/>
      <c r="AF1219" s="161"/>
      <c r="AG1219" s="161"/>
      <c r="AH1219" s="161"/>
      <c r="AI1219" s="161"/>
      <c r="AJ1219" s="161"/>
      <c r="AK1219" s="161"/>
      <c r="AL1219" s="161"/>
      <c r="AM1219" s="161"/>
      <c r="AN1219" s="161"/>
      <c r="AO1219" s="161"/>
      <c r="AP1219" s="161"/>
      <c r="AQ1219" s="161"/>
      <c r="AR1219" s="161"/>
      <c r="AS1219" s="161"/>
      <c r="AT1219" s="161"/>
      <c r="AU1219" s="161"/>
      <c r="AV1219" s="161"/>
      <c r="AW1219" s="161"/>
      <c r="AX1219" s="161"/>
      <c r="AY1219" s="161"/>
      <c r="AZ1219" s="161"/>
      <c r="BA1219" s="161"/>
      <c r="BB1219" s="161"/>
      <c r="BC1219" s="161"/>
      <c r="BD1219" s="161"/>
      <c r="BE1219" s="161"/>
      <c r="BF1219" s="161"/>
      <c r="BG1219" s="161"/>
      <c r="BH1219" s="161"/>
      <c r="BI1219" s="161"/>
      <c r="BJ1219" s="161"/>
      <c r="BK1219" s="161"/>
      <c r="BL1219" s="161"/>
      <c r="BM1219" s="161"/>
      <c r="BN1219" s="161"/>
      <c r="BO1219" s="161"/>
      <c r="BP1219" s="161"/>
      <c r="BQ1219" s="161"/>
      <c r="BR1219" s="161"/>
      <c r="BS1219" s="161"/>
      <c r="BT1219" s="161"/>
      <c r="BU1219" s="161"/>
      <c r="BV1219" s="161"/>
      <c r="BW1219" s="161"/>
      <c r="BX1219" s="161"/>
      <c r="BY1219" s="161"/>
      <c r="BZ1219" s="161"/>
      <c r="CA1219" s="161"/>
      <c r="CB1219" s="161"/>
      <c r="CC1219" s="161"/>
      <c r="CD1219" s="161"/>
      <c r="CE1219" s="161"/>
      <c r="CF1219" s="161"/>
      <c r="CG1219" s="161"/>
    </row>
    <row r="1220">
      <c r="A1220" s="161"/>
      <c r="B1220" s="161"/>
      <c r="C1220" s="161"/>
      <c r="D1220" s="161"/>
      <c r="E1220" s="161"/>
      <c r="F1220" s="161"/>
      <c r="G1220" s="161"/>
      <c r="H1220" s="161"/>
      <c r="I1220" s="161"/>
      <c r="J1220" s="161"/>
      <c r="K1220" s="161"/>
      <c r="L1220" s="161"/>
      <c r="M1220" s="161"/>
      <c r="N1220" s="161"/>
      <c r="O1220" s="161"/>
      <c r="P1220" s="161"/>
      <c r="Q1220" s="161"/>
      <c r="R1220" s="161"/>
      <c r="S1220" s="161"/>
      <c r="T1220" s="161"/>
      <c r="U1220" s="161"/>
      <c r="V1220" s="161"/>
      <c r="W1220" s="161"/>
      <c r="X1220" s="161"/>
      <c r="Y1220" s="161"/>
      <c r="Z1220" s="161"/>
      <c r="AA1220" s="161"/>
      <c r="AB1220" s="161"/>
      <c r="AC1220" s="161"/>
      <c r="AD1220" s="161"/>
      <c r="AE1220" s="161"/>
      <c r="AF1220" s="161"/>
      <c r="AG1220" s="161"/>
      <c r="AH1220" s="161"/>
      <c r="AI1220" s="161"/>
      <c r="AJ1220" s="161"/>
      <c r="AK1220" s="161"/>
      <c r="AL1220" s="161"/>
      <c r="AM1220" s="161"/>
      <c r="AN1220" s="161"/>
      <c r="AO1220" s="161"/>
      <c r="AP1220" s="161"/>
      <c r="AQ1220" s="161"/>
      <c r="AR1220" s="161"/>
      <c r="AS1220" s="161"/>
      <c r="AT1220" s="161"/>
      <c r="AU1220" s="161"/>
      <c r="AV1220" s="161"/>
      <c r="AW1220" s="161"/>
      <c r="AX1220" s="161"/>
      <c r="AY1220" s="161"/>
      <c r="AZ1220" s="161"/>
      <c r="BA1220" s="161"/>
      <c r="BB1220" s="161"/>
      <c r="BC1220" s="161"/>
      <c r="BD1220" s="161"/>
      <c r="BE1220" s="161"/>
      <c r="BF1220" s="161"/>
      <c r="BG1220" s="161"/>
      <c r="BH1220" s="161"/>
      <c r="BI1220" s="161"/>
      <c r="BJ1220" s="161"/>
      <c r="BK1220" s="161"/>
      <c r="BL1220" s="161"/>
      <c r="BM1220" s="161"/>
      <c r="BN1220" s="161"/>
      <c r="BO1220" s="161"/>
      <c r="BP1220" s="161"/>
      <c r="BQ1220" s="161"/>
      <c r="BR1220" s="161"/>
      <c r="BS1220" s="161"/>
      <c r="BT1220" s="161"/>
      <c r="BU1220" s="161"/>
      <c r="BV1220" s="161"/>
      <c r="BW1220" s="161"/>
      <c r="BX1220" s="161"/>
      <c r="BY1220" s="161"/>
      <c r="BZ1220" s="161"/>
      <c r="CA1220" s="161"/>
      <c r="CB1220" s="161"/>
      <c r="CC1220" s="161"/>
      <c r="CD1220" s="161"/>
      <c r="CE1220" s="161"/>
      <c r="CF1220" s="161"/>
      <c r="CG1220" s="161"/>
    </row>
    <row r="1221">
      <c r="A1221" s="161"/>
      <c r="B1221" s="161"/>
      <c r="C1221" s="161"/>
      <c r="D1221" s="161"/>
      <c r="E1221" s="161"/>
      <c r="F1221" s="161"/>
      <c r="G1221" s="161"/>
      <c r="H1221" s="161"/>
      <c r="I1221" s="161"/>
      <c r="J1221" s="161"/>
      <c r="K1221" s="161"/>
      <c r="L1221" s="161"/>
      <c r="M1221" s="161"/>
      <c r="N1221" s="161"/>
      <c r="O1221" s="161"/>
      <c r="P1221" s="161"/>
      <c r="Q1221" s="161"/>
      <c r="R1221" s="161"/>
      <c r="S1221" s="161"/>
      <c r="T1221" s="161"/>
      <c r="U1221" s="161"/>
      <c r="V1221" s="161"/>
      <c r="W1221" s="161"/>
      <c r="X1221" s="161"/>
      <c r="Y1221" s="161"/>
      <c r="Z1221" s="161"/>
      <c r="AA1221" s="161"/>
      <c r="AB1221" s="161"/>
      <c r="AC1221" s="161"/>
      <c r="AD1221" s="161"/>
      <c r="AE1221" s="161"/>
      <c r="AF1221" s="161"/>
      <c r="AG1221" s="161"/>
      <c r="AH1221" s="161"/>
      <c r="AI1221" s="161"/>
      <c r="AJ1221" s="161"/>
      <c r="AK1221" s="161"/>
      <c r="AL1221" s="161"/>
      <c r="AM1221" s="161"/>
      <c r="AN1221" s="161"/>
      <c r="AO1221" s="161"/>
      <c r="AP1221" s="161"/>
      <c r="AQ1221" s="161"/>
      <c r="AR1221" s="161"/>
      <c r="AS1221" s="161"/>
      <c r="AT1221" s="161"/>
      <c r="AU1221" s="161"/>
      <c r="AV1221" s="161"/>
      <c r="AW1221" s="161"/>
      <c r="AX1221" s="161"/>
      <c r="AY1221" s="161"/>
      <c r="AZ1221" s="161"/>
      <c r="BA1221" s="161"/>
      <c r="BB1221" s="161"/>
      <c r="BC1221" s="161"/>
      <c r="BD1221" s="161"/>
      <c r="BE1221" s="161"/>
      <c r="BF1221" s="161"/>
      <c r="BG1221" s="161"/>
      <c r="BH1221" s="161"/>
      <c r="BI1221" s="161"/>
      <c r="BJ1221" s="161"/>
      <c r="BK1221" s="161"/>
      <c r="BL1221" s="161"/>
      <c r="BM1221" s="161"/>
      <c r="BN1221" s="161"/>
      <c r="BO1221" s="161"/>
      <c r="BP1221" s="161"/>
      <c r="BQ1221" s="161"/>
      <c r="BR1221" s="161"/>
      <c r="BS1221" s="161"/>
      <c r="BT1221" s="161"/>
      <c r="BU1221" s="161"/>
      <c r="BV1221" s="161"/>
      <c r="BW1221" s="161"/>
      <c r="BX1221" s="161"/>
      <c r="BY1221" s="161"/>
      <c r="BZ1221" s="161"/>
      <c r="CA1221" s="161"/>
      <c r="CB1221" s="161"/>
      <c r="CC1221" s="161"/>
      <c r="CD1221" s="161"/>
      <c r="CE1221" s="161"/>
      <c r="CF1221" s="161"/>
      <c r="CG1221" s="161"/>
    </row>
    <row r="1222">
      <c r="A1222" s="161"/>
      <c r="B1222" s="161"/>
      <c r="C1222" s="161"/>
      <c r="D1222" s="161"/>
      <c r="E1222" s="161"/>
      <c r="F1222" s="161"/>
      <c r="G1222" s="161"/>
      <c r="H1222" s="161"/>
      <c r="I1222" s="161"/>
      <c r="J1222" s="161"/>
      <c r="K1222" s="161"/>
      <c r="L1222" s="161"/>
      <c r="M1222" s="161"/>
      <c r="N1222" s="161"/>
      <c r="O1222" s="161"/>
      <c r="P1222" s="161"/>
      <c r="Q1222" s="161"/>
      <c r="R1222" s="161"/>
      <c r="S1222" s="161"/>
      <c r="T1222" s="161"/>
      <c r="U1222" s="161"/>
      <c r="V1222" s="161"/>
      <c r="W1222" s="161"/>
      <c r="X1222" s="161"/>
      <c r="Y1222" s="161"/>
      <c r="Z1222" s="161"/>
      <c r="AA1222" s="161"/>
      <c r="AB1222" s="161"/>
      <c r="AC1222" s="161"/>
      <c r="AD1222" s="161"/>
      <c r="AE1222" s="161"/>
      <c r="AF1222" s="161"/>
      <c r="AG1222" s="161"/>
      <c r="AH1222" s="161"/>
      <c r="AI1222" s="161"/>
      <c r="AJ1222" s="161"/>
      <c r="AK1222" s="161"/>
      <c r="AL1222" s="161"/>
      <c r="AM1222" s="161"/>
      <c r="AN1222" s="161"/>
      <c r="AO1222" s="161"/>
      <c r="AP1222" s="161"/>
      <c r="AQ1222" s="161"/>
      <c r="AR1222" s="161"/>
      <c r="AS1222" s="161"/>
      <c r="AT1222" s="161"/>
      <c r="AU1222" s="161"/>
      <c r="AV1222" s="161"/>
      <c r="AW1222" s="161"/>
      <c r="AX1222" s="161"/>
      <c r="AY1222" s="161"/>
      <c r="AZ1222" s="161"/>
      <c r="BA1222" s="161"/>
      <c r="BB1222" s="161"/>
      <c r="BC1222" s="161"/>
      <c r="BD1222" s="161"/>
      <c r="BE1222" s="161"/>
      <c r="BF1222" s="161"/>
      <c r="BG1222" s="161"/>
      <c r="BH1222" s="161"/>
      <c r="BI1222" s="161"/>
      <c r="BJ1222" s="161"/>
      <c r="BK1222" s="161"/>
      <c r="BL1222" s="161"/>
      <c r="BM1222" s="161"/>
      <c r="BN1222" s="161"/>
      <c r="BO1222" s="161"/>
      <c r="BP1222" s="161"/>
      <c r="BQ1222" s="161"/>
      <c r="BR1222" s="161"/>
      <c r="BS1222" s="161"/>
      <c r="BT1222" s="161"/>
      <c r="BU1222" s="161"/>
      <c r="BV1222" s="161"/>
      <c r="BW1222" s="161"/>
      <c r="BX1222" s="161"/>
      <c r="BY1222" s="161"/>
      <c r="BZ1222" s="161"/>
      <c r="CA1222" s="161"/>
      <c r="CB1222" s="161"/>
      <c r="CC1222" s="161"/>
      <c r="CD1222" s="161"/>
      <c r="CE1222" s="161"/>
      <c r="CF1222" s="161"/>
      <c r="CG1222" s="161"/>
    </row>
    <row r="1223">
      <c r="A1223" s="161"/>
      <c r="B1223" s="161"/>
      <c r="C1223" s="161"/>
      <c r="D1223" s="161"/>
      <c r="E1223" s="161"/>
      <c r="F1223" s="161"/>
      <c r="G1223" s="161"/>
      <c r="H1223" s="161"/>
      <c r="I1223" s="161"/>
      <c r="J1223" s="161"/>
      <c r="K1223" s="161"/>
      <c r="L1223" s="161"/>
      <c r="M1223" s="161"/>
      <c r="N1223" s="161"/>
      <c r="O1223" s="161"/>
      <c r="P1223" s="161"/>
      <c r="Q1223" s="161"/>
      <c r="R1223" s="161"/>
      <c r="S1223" s="161"/>
      <c r="T1223" s="161"/>
      <c r="U1223" s="161"/>
      <c r="V1223" s="161"/>
      <c r="W1223" s="161"/>
      <c r="X1223" s="161"/>
      <c r="Y1223" s="161"/>
      <c r="Z1223" s="161"/>
      <c r="AA1223" s="161"/>
      <c r="AB1223" s="161"/>
      <c r="AC1223" s="161"/>
      <c r="AD1223" s="161"/>
      <c r="AE1223" s="161"/>
      <c r="AF1223" s="161"/>
      <c r="AG1223" s="161"/>
      <c r="AH1223" s="161"/>
      <c r="AI1223" s="161"/>
      <c r="AJ1223" s="161"/>
      <c r="AK1223" s="161"/>
      <c r="AL1223" s="161"/>
      <c r="AM1223" s="161"/>
      <c r="AN1223" s="161"/>
      <c r="AO1223" s="161"/>
      <c r="AP1223" s="161"/>
      <c r="AQ1223" s="161"/>
      <c r="AR1223" s="161"/>
      <c r="AS1223" s="161"/>
      <c r="AT1223" s="161"/>
      <c r="AU1223" s="161"/>
      <c r="AV1223" s="161"/>
      <c r="AW1223" s="161"/>
      <c r="AX1223" s="161"/>
      <c r="AY1223" s="161"/>
      <c r="AZ1223" s="161"/>
      <c r="BA1223" s="161"/>
      <c r="BB1223" s="161"/>
      <c r="BC1223" s="161"/>
      <c r="BD1223" s="161"/>
      <c r="BE1223" s="161"/>
      <c r="BF1223" s="161"/>
      <c r="BG1223" s="161"/>
      <c r="BH1223" s="161"/>
      <c r="BI1223" s="161"/>
      <c r="BJ1223" s="161"/>
      <c r="BK1223" s="161"/>
      <c r="BL1223" s="161"/>
      <c r="BM1223" s="161"/>
      <c r="BN1223" s="161"/>
      <c r="BO1223" s="161"/>
      <c r="BP1223" s="161"/>
      <c r="BQ1223" s="161"/>
      <c r="BR1223" s="161"/>
      <c r="BS1223" s="161"/>
      <c r="BT1223" s="161"/>
      <c r="BU1223" s="161"/>
      <c r="BV1223" s="161"/>
      <c r="BW1223" s="161"/>
      <c r="BX1223" s="161"/>
      <c r="BY1223" s="161"/>
      <c r="BZ1223" s="161"/>
      <c r="CA1223" s="161"/>
      <c r="CB1223" s="161"/>
      <c r="CC1223" s="161"/>
      <c r="CD1223" s="161"/>
      <c r="CE1223" s="161"/>
      <c r="CF1223" s="161"/>
      <c r="CG1223" s="161"/>
    </row>
    <row r="1224">
      <c r="A1224" s="161"/>
      <c r="B1224" s="161"/>
      <c r="C1224" s="161"/>
      <c r="D1224" s="161"/>
      <c r="E1224" s="161"/>
      <c r="F1224" s="161"/>
      <c r="G1224" s="161"/>
      <c r="H1224" s="161"/>
      <c r="I1224" s="161"/>
      <c r="J1224" s="161"/>
      <c r="K1224" s="161"/>
      <c r="L1224" s="161"/>
      <c r="M1224" s="161"/>
      <c r="N1224" s="161"/>
      <c r="O1224" s="161"/>
      <c r="P1224" s="161"/>
      <c r="Q1224" s="161"/>
      <c r="R1224" s="161"/>
      <c r="S1224" s="161"/>
      <c r="T1224" s="161"/>
      <c r="U1224" s="161"/>
      <c r="V1224" s="161"/>
      <c r="W1224" s="161"/>
      <c r="X1224" s="161"/>
      <c r="Y1224" s="161"/>
      <c r="Z1224" s="161"/>
      <c r="AA1224" s="161"/>
      <c r="AB1224" s="161"/>
      <c r="AC1224" s="161"/>
      <c r="AD1224" s="161"/>
      <c r="AE1224" s="161"/>
      <c r="AF1224" s="161"/>
      <c r="AG1224" s="161"/>
      <c r="AH1224" s="161"/>
      <c r="AI1224" s="161"/>
      <c r="AJ1224" s="161"/>
      <c r="AK1224" s="161"/>
      <c r="AL1224" s="161"/>
      <c r="AM1224" s="161"/>
      <c r="AN1224" s="161"/>
      <c r="AO1224" s="161"/>
      <c r="AP1224" s="161"/>
      <c r="AQ1224" s="161"/>
      <c r="AR1224" s="161"/>
      <c r="AS1224" s="161"/>
      <c r="AT1224" s="161"/>
      <c r="AU1224" s="161"/>
      <c r="AV1224" s="161"/>
      <c r="AW1224" s="161"/>
      <c r="AX1224" s="161"/>
      <c r="AY1224" s="161"/>
      <c r="AZ1224" s="161"/>
      <c r="BA1224" s="161"/>
      <c r="BB1224" s="161"/>
      <c r="BC1224" s="161"/>
      <c r="BD1224" s="161"/>
      <c r="BE1224" s="161"/>
      <c r="BF1224" s="161"/>
      <c r="BG1224" s="161"/>
      <c r="BH1224" s="161"/>
      <c r="BI1224" s="161"/>
      <c r="BJ1224" s="161"/>
      <c r="BK1224" s="161"/>
      <c r="BL1224" s="161"/>
      <c r="BM1224" s="161"/>
      <c r="BN1224" s="161"/>
      <c r="BO1224" s="161"/>
      <c r="BP1224" s="161"/>
      <c r="BQ1224" s="161"/>
      <c r="BR1224" s="161"/>
      <c r="BS1224" s="161"/>
      <c r="BT1224" s="161"/>
      <c r="BU1224" s="161"/>
      <c r="BV1224" s="161"/>
      <c r="BW1224" s="161"/>
      <c r="BX1224" s="161"/>
      <c r="BY1224" s="161"/>
      <c r="BZ1224" s="161"/>
      <c r="CA1224" s="161"/>
      <c r="CB1224" s="161"/>
      <c r="CC1224" s="161"/>
      <c r="CD1224" s="161"/>
      <c r="CE1224" s="161"/>
      <c r="CF1224" s="161"/>
      <c r="CG1224" s="161"/>
    </row>
    <row r="1225">
      <c r="A1225" s="161"/>
      <c r="B1225" s="161"/>
      <c r="C1225" s="161"/>
      <c r="D1225" s="161"/>
      <c r="E1225" s="161"/>
      <c r="F1225" s="161"/>
      <c r="G1225" s="161"/>
      <c r="H1225" s="161"/>
      <c r="I1225" s="161"/>
      <c r="J1225" s="161"/>
      <c r="K1225" s="161"/>
      <c r="L1225" s="161"/>
      <c r="M1225" s="161"/>
      <c r="N1225" s="161"/>
      <c r="O1225" s="161"/>
      <c r="P1225" s="161"/>
      <c r="Q1225" s="161"/>
      <c r="R1225" s="161"/>
      <c r="S1225" s="161"/>
      <c r="T1225" s="161"/>
      <c r="U1225" s="161"/>
      <c r="V1225" s="161"/>
      <c r="W1225" s="161"/>
      <c r="X1225" s="161"/>
      <c r="Y1225" s="161"/>
      <c r="Z1225" s="161"/>
      <c r="AA1225" s="161"/>
      <c r="AB1225" s="161"/>
      <c r="AC1225" s="161"/>
      <c r="AD1225" s="161"/>
      <c r="AE1225" s="161"/>
      <c r="AF1225" s="161"/>
      <c r="AG1225" s="161"/>
      <c r="AH1225" s="161"/>
      <c r="AI1225" s="161"/>
      <c r="AJ1225" s="161"/>
      <c r="AK1225" s="161"/>
      <c r="AL1225" s="161"/>
      <c r="AM1225" s="161"/>
      <c r="AN1225" s="161"/>
      <c r="AO1225" s="161"/>
      <c r="AP1225" s="161"/>
      <c r="AQ1225" s="161"/>
      <c r="AR1225" s="161"/>
      <c r="AS1225" s="161"/>
      <c r="AT1225" s="161"/>
      <c r="AU1225" s="161"/>
      <c r="AV1225" s="161"/>
      <c r="AW1225" s="161"/>
      <c r="AX1225" s="161"/>
      <c r="AY1225" s="161"/>
      <c r="AZ1225" s="161"/>
      <c r="BA1225" s="161"/>
      <c r="BB1225" s="161"/>
      <c r="BC1225" s="161"/>
      <c r="BD1225" s="161"/>
      <c r="BE1225" s="161"/>
      <c r="BF1225" s="161"/>
      <c r="BG1225" s="161"/>
      <c r="BH1225" s="161"/>
      <c r="BI1225" s="161"/>
      <c r="BJ1225" s="161"/>
      <c r="BK1225" s="161"/>
      <c r="BL1225" s="161"/>
      <c r="BM1225" s="161"/>
      <c r="BN1225" s="161"/>
      <c r="BO1225" s="161"/>
      <c r="BP1225" s="161"/>
      <c r="BQ1225" s="161"/>
      <c r="BR1225" s="161"/>
      <c r="BS1225" s="161"/>
      <c r="BT1225" s="161"/>
      <c r="BU1225" s="161"/>
      <c r="BV1225" s="161"/>
      <c r="BW1225" s="161"/>
      <c r="BX1225" s="161"/>
      <c r="BY1225" s="161"/>
      <c r="BZ1225" s="161"/>
      <c r="CA1225" s="161"/>
      <c r="CB1225" s="161"/>
      <c r="CC1225" s="161"/>
      <c r="CD1225" s="161"/>
      <c r="CE1225" s="161"/>
      <c r="CF1225" s="161"/>
      <c r="CG1225" s="161"/>
    </row>
    <row r="1226">
      <c r="A1226" s="161"/>
      <c r="B1226" s="161"/>
      <c r="C1226" s="161"/>
      <c r="D1226" s="161"/>
      <c r="E1226" s="161"/>
      <c r="F1226" s="161"/>
      <c r="G1226" s="161"/>
      <c r="H1226" s="161"/>
      <c r="I1226" s="161"/>
      <c r="J1226" s="161"/>
      <c r="K1226" s="161"/>
      <c r="L1226" s="161"/>
      <c r="M1226" s="161"/>
      <c r="N1226" s="161"/>
      <c r="O1226" s="161"/>
      <c r="P1226" s="161"/>
      <c r="Q1226" s="161"/>
      <c r="R1226" s="161"/>
      <c r="S1226" s="161"/>
      <c r="T1226" s="161"/>
      <c r="U1226" s="161"/>
      <c r="V1226" s="161"/>
      <c r="W1226" s="161"/>
      <c r="X1226" s="161"/>
      <c r="Y1226" s="161"/>
      <c r="Z1226" s="161"/>
      <c r="AA1226" s="161"/>
      <c r="AB1226" s="161"/>
      <c r="AC1226" s="161"/>
      <c r="AD1226" s="161"/>
      <c r="AE1226" s="161"/>
      <c r="AF1226" s="161"/>
      <c r="AG1226" s="161"/>
      <c r="AH1226" s="161"/>
      <c r="AI1226" s="161"/>
      <c r="AJ1226" s="161"/>
      <c r="AK1226" s="161"/>
      <c r="AL1226" s="161"/>
      <c r="AM1226" s="161"/>
      <c r="AN1226" s="161"/>
      <c r="AO1226" s="161"/>
      <c r="AP1226" s="161"/>
      <c r="AQ1226" s="161"/>
      <c r="AR1226" s="161"/>
      <c r="AS1226" s="161"/>
      <c r="AT1226" s="161"/>
      <c r="AU1226" s="161"/>
      <c r="AV1226" s="161"/>
      <c r="AW1226" s="161"/>
      <c r="AX1226" s="161"/>
      <c r="AY1226" s="161"/>
      <c r="AZ1226" s="161"/>
      <c r="BA1226" s="161"/>
      <c r="BB1226" s="161"/>
      <c r="BC1226" s="161"/>
      <c r="BD1226" s="161"/>
      <c r="BE1226" s="161"/>
      <c r="BF1226" s="161"/>
      <c r="BG1226" s="161"/>
      <c r="BH1226" s="161"/>
      <c r="BI1226" s="161"/>
      <c r="BJ1226" s="161"/>
      <c r="BK1226" s="161"/>
      <c r="BL1226" s="161"/>
      <c r="BM1226" s="161"/>
      <c r="BN1226" s="161"/>
      <c r="BO1226" s="161"/>
      <c r="BP1226" s="161"/>
      <c r="BQ1226" s="161"/>
      <c r="BR1226" s="161"/>
      <c r="BS1226" s="161"/>
      <c r="BT1226" s="161"/>
      <c r="BU1226" s="161"/>
      <c r="BV1226" s="161"/>
      <c r="BW1226" s="161"/>
      <c r="BX1226" s="161"/>
      <c r="BY1226" s="161"/>
      <c r="BZ1226" s="161"/>
      <c r="CA1226" s="161"/>
      <c r="CB1226" s="161"/>
      <c r="CC1226" s="161"/>
      <c r="CD1226" s="161"/>
      <c r="CE1226" s="161"/>
      <c r="CF1226" s="161"/>
      <c r="CG1226" s="161"/>
    </row>
    <row r="1227">
      <c r="A1227" s="161"/>
      <c r="B1227" s="161"/>
      <c r="C1227" s="161"/>
      <c r="D1227" s="161"/>
      <c r="E1227" s="161"/>
      <c r="F1227" s="161"/>
      <c r="G1227" s="161"/>
      <c r="H1227" s="161"/>
      <c r="I1227" s="161"/>
      <c r="J1227" s="161"/>
      <c r="K1227" s="161"/>
      <c r="L1227" s="161"/>
      <c r="M1227" s="161"/>
      <c r="N1227" s="161"/>
      <c r="O1227" s="161"/>
      <c r="P1227" s="161"/>
      <c r="Q1227" s="161"/>
      <c r="R1227" s="161"/>
      <c r="S1227" s="161"/>
      <c r="T1227" s="161"/>
      <c r="U1227" s="161"/>
      <c r="V1227" s="161"/>
      <c r="W1227" s="161"/>
      <c r="X1227" s="161"/>
      <c r="Y1227" s="161"/>
      <c r="Z1227" s="161"/>
      <c r="AA1227" s="161"/>
      <c r="AB1227" s="161"/>
      <c r="AC1227" s="161"/>
      <c r="AD1227" s="161"/>
      <c r="AE1227" s="161"/>
      <c r="AF1227" s="161"/>
      <c r="AG1227" s="161"/>
      <c r="AH1227" s="161"/>
      <c r="AI1227" s="161"/>
      <c r="AJ1227" s="161"/>
      <c r="AK1227" s="161"/>
      <c r="AL1227" s="161"/>
      <c r="AM1227" s="161"/>
      <c r="AN1227" s="161"/>
      <c r="AO1227" s="161"/>
      <c r="AP1227" s="161"/>
      <c r="AQ1227" s="161"/>
      <c r="AR1227" s="161"/>
      <c r="AS1227" s="161"/>
      <c r="AT1227" s="161"/>
      <c r="AU1227" s="161"/>
      <c r="AV1227" s="161"/>
      <c r="AW1227" s="161"/>
      <c r="AX1227" s="161"/>
      <c r="AY1227" s="161"/>
      <c r="AZ1227" s="161"/>
      <c r="BA1227" s="161"/>
      <c r="BB1227" s="161"/>
      <c r="BC1227" s="161"/>
      <c r="BD1227" s="161"/>
      <c r="BE1227" s="161"/>
      <c r="BF1227" s="161"/>
      <c r="BG1227" s="161"/>
      <c r="BH1227" s="161"/>
      <c r="BI1227" s="161"/>
      <c r="BJ1227" s="161"/>
      <c r="BK1227" s="161"/>
      <c r="BL1227" s="161"/>
      <c r="BM1227" s="161"/>
      <c r="BN1227" s="161"/>
      <c r="BO1227" s="161"/>
      <c r="BP1227" s="161"/>
      <c r="BQ1227" s="161"/>
      <c r="BR1227" s="161"/>
      <c r="BS1227" s="161"/>
      <c r="BT1227" s="161"/>
      <c r="BU1227" s="161"/>
      <c r="BV1227" s="161"/>
      <c r="BW1227" s="161"/>
      <c r="BX1227" s="161"/>
      <c r="BY1227" s="161"/>
      <c r="BZ1227" s="161"/>
      <c r="CA1227" s="161"/>
      <c r="CB1227" s="161"/>
      <c r="CC1227" s="161"/>
      <c r="CD1227" s="161"/>
      <c r="CE1227" s="161"/>
      <c r="CF1227" s="161"/>
      <c r="CG1227" s="161"/>
    </row>
    <row r="1228">
      <c r="A1228" s="161"/>
      <c r="B1228" s="161"/>
      <c r="C1228" s="161"/>
      <c r="D1228" s="161"/>
      <c r="E1228" s="161"/>
      <c r="F1228" s="161"/>
      <c r="G1228" s="161"/>
      <c r="H1228" s="161"/>
      <c r="I1228" s="161"/>
      <c r="J1228" s="161"/>
      <c r="K1228" s="161"/>
      <c r="L1228" s="161"/>
      <c r="M1228" s="161"/>
      <c r="N1228" s="161"/>
      <c r="O1228" s="161"/>
      <c r="P1228" s="161"/>
      <c r="Q1228" s="161"/>
      <c r="R1228" s="161"/>
      <c r="S1228" s="161"/>
      <c r="T1228" s="161"/>
      <c r="U1228" s="161"/>
      <c r="V1228" s="161"/>
      <c r="W1228" s="161"/>
      <c r="X1228" s="161"/>
      <c r="Y1228" s="161"/>
      <c r="Z1228" s="161"/>
      <c r="AA1228" s="161"/>
      <c r="AB1228" s="161"/>
      <c r="AC1228" s="161"/>
      <c r="AD1228" s="161"/>
      <c r="AE1228" s="161"/>
      <c r="AF1228" s="161"/>
      <c r="AG1228" s="161"/>
      <c r="AH1228" s="161"/>
      <c r="AI1228" s="161"/>
      <c r="AJ1228" s="161"/>
      <c r="AK1228" s="161"/>
      <c r="AL1228" s="161"/>
      <c r="AM1228" s="161"/>
      <c r="AN1228" s="161"/>
      <c r="AO1228" s="161"/>
      <c r="AP1228" s="161"/>
      <c r="AQ1228" s="161"/>
      <c r="AR1228" s="161"/>
      <c r="AS1228" s="161"/>
      <c r="AT1228" s="161"/>
      <c r="AU1228" s="161"/>
      <c r="AV1228" s="161"/>
      <c r="AW1228" s="161"/>
      <c r="AX1228" s="161"/>
      <c r="AY1228" s="161"/>
      <c r="AZ1228" s="161"/>
      <c r="BA1228" s="161"/>
      <c r="BB1228" s="161"/>
      <c r="BC1228" s="161"/>
      <c r="BD1228" s="161"/>
      <c r="BE1228" s="161"/>
      <c r="BF1228" s="161"/>
      <c r="BG1228" s="161"/>
      <c r="BH1228" s="161"/>
      <c r="BI1228" s="161"/>
      <c r="BJ1228" s="161"/>
      <c r="BK1228" s="161"/>
      <c r="BL1228" s="161"/>
      <c r="BM1228" s="161"/>
      <c r="BN1228" s="161"/>
      <c r="BO1228" s="161"/>
      <c r="BP1228" s="161"/>
      <c r="BQ1228" s="161"/>
      <c r="BR1228" s="161"/>
      <c r="BS1228" s="161"/>
      <c r="BT1228" s="161"/>
      <c r="BU1228" s="161"/>
      <c r="BV1228" s="161"/>
      <c r="BW1228" s="161"/>
      <c r="BX1228" s="161"/>
      <c r="BY1228" s="161"/>
      <c r="BZ1228" s="161"/>
      <c r="CA1228" s="161"/>
      <c r="CB1228" s="161"/>
      <c r="CC1228" s="161"/>
      <c r="CD1228" s="161"/>
      <c r="CE1228" s="161"/>
      <c r="CF1228" s="161"/>
      <c r="CG1228" s="161"/>
    </row>
    <row r="1229">
      <c r="A1229" s="161"/>
      <c r="B1229" s="161"/>
      <c r="C1229" s="161"/>
      <c r="D1229" s="161"/>
      <c r="E1229" s="161"/>
      <c r="F1229" s="161"/>
      <c r="G1229" s="161"/>
      <c r="H1229" s="161"/>
      <c r="I1229" s="161"/>
      <c r="J1229" s="161"/>
      <c r="K1229" s="161"/>
      <c r="L1229" s="161"/>
      <c r="M1229" s="161"/>
      <c r="N1229" s="161"/>
      <c r="O1229" s="161"/>
      <c r="P1229" s="161"/>
      <c r="Q1229" s="161"/>
      <c r="R1229" s="161"/>
      <c r="S1229" s="161"/>
      <c r="T1229" s="161"/>
      <c r="U1229" s="161"/>
      <c r="V1229" s="161"/>
      <c r="W1229" s="161"/>
      <c r="X1229" s="161"/>
      <c r="Y1229" s="161"/>
      <c r="Z1229" s="161"/>
      <c r="AA1229" s="161"/>
      <c r="AB1229" s="161"/>
      <c r="AC1229" s="161"/>
      <c r="AD1229" s="161"/>
      <c r="AE1229" s="161"/>
      <c r="AF1229" s="161"/>
      <c r="AG1229" s="161"/>
      <c r="AH1229" s="161"/>
      <c r="AI1229" s="161"/>
      <c r="AJ1229" s="161"/>
      <c r="AK1229" s="161"/>
      <c r="AL1229" s="161"/>
      <c r="AM1229" s="161"/>
      <c r="AN1229" s="161"/>
      <c r="AO1229" s="161"/>
      <c r="AP1229" s="161"/>
      <c r="AQ1229" s="161"/>
      <c r="AR1229" s="161"/>
      <c r="AS1229" s="161"/>
      <c r="AT1229" s="161"/>
      <c r="AU1229" s="161"/>
      <c r="AV1229" s="161"/>
      <c r="AW1229" s="161"/>
      <c r="AX1229" s="161"/>
      <c r="AY1229" s="161"/>
      <c r="AZ1229" s="161"/>
      <c r="BA1229" s="161"/>
      <c r="BB1229" s="161"/>
      <c r="BC1229" s="161"/>
      <c r="BD1229" s="161"/>
      <c r="BE1229" s="161"/>
      <c r="BF1229" s="161"/>
      <c r="BG1229" s="161"/>
      <c r="BH1229" s="161"/>
      <c r="BI1229" s="161"/>
      <c r="BJ1229" s="161"/>
      <c r="BK1229" s="161"/>
      <c r="BL1229" s="161"/>
      <c r="BM1229" s="161"/>
      <c r="BN1229" s="161"/>
      <c r="BO1229" s="161"/>
      <c r="BP1229" s="161"/>
      <c r="BQ1229" s="161"/>
      <c r="BR1229" s="161"/>
      <c r="BS1229" s="161"/>
      <c r="BT1229" s="161"/>
      <c r="BU1229" s="161"/>
      <c r="BV1229" s="161"/>
      <c r="BW1229" s="161"/>
      <c r="BX1229" s="161"/>
      <c r="BY1229" s="161"/>
      <c r="BZ1229" s="161"/>
      <c r="CA1229" s="161"/>
      <c r="CB1229" s="161"/>
      <c r="CC1229" s="161"/>
      <c r="CD1229" s="161"/>
      <c r="CE1229" s="161"/>
      <c r="CF1229" s="161"/>
      <c r="CG1229" s="161"/>
    </row>
    <row r="1230">
      <c r="A1230" s="161"/>
      <c r="B1230" s="161"/>
      <c r="C1230" s="161"/>
      <c r="D1230" s="161"/>
      <c r="E1230" s="161"/>
      <c r="F1230" s="161"/>
      <c r="G1230" s="161"/>
      <c r="H1230" s="161"/>
      <c r="I1230" s="161"/>
      <c r="J1230" s="161"/>
      <c r="K1230" s="161"/>
      <c r="L1230" s="161"/>
      <c r="M1230" s="161"/>
      <c r="N1230" s="161"/>
      <c r="O1230" s="161"/>
      <c r="P1230" s="161"/>
      <c r="Q1230" s="161"/>
      <c r="R1230" s="161"/>
      <c r="S1230" s="161"/>
      <c r="T1230" s="161"/>
      <c r="U1230" s="161"/>
      <c r="V1230" s="161"/>
      <c r="W1230" s="161"/>
      <c r="X1230" s="161"/>
      <c r="Y1230" s="161"/>
      <c r="Z1230" s="161"/>
      <c r="AA1230" s="161"/>
      <c r="AB1230" s="161"/>
      <c r="AC1230" s="161"/>
      <c r="AD1230" s="161"/>
      <c r="AE1230" s="161"/>
      <c r="AF1230" s="161"/>
      <c r="AG1230" s="161"/>
      <c r="AH1230" s="161"/>
      <c r="AI1230" s="161"/>
      <c r="AJ1230" s="161"/>
      <c r="AK1230" s="161"/>
      <c r="AL1230" s="161"/>
      <c r="AM1230" s="161"/>
      <c r="AN1230" s="161"/>
      <c r="AO1230" s="161"/>
      <c r="AP1230" s="161"/>
      <c r="AQ1230" s="161"/>
      <c r="AR1230" s="161"/>
      <c r="AS1230" s="161"/>
      <c r="AT1230" s="161"/>
      <c r="AU1230" s="161"/>
      <c r="AV1230" s="161"/>
      <c r="AW1230" s="161"/>
      <c r="AX1230" s="161"/>
      <c r="AY1230" s="161"/>
      <c r="AZ1230" s="161"/>
      <c r="BA1230" s="161"/>
      <c r="BB1230" s="161"/>
      <c r="BC1230" s="161"/>
      <c r="BD1230" s="161"/>
      <c r="BE1230" s="161"/>
      <c r="BF1230" s="161"/>
      <c r="BG1230" s="161"/>
      <c r="BH1230" s="161"/>
      <c r="BI1230" s="161"/>
      <c r="BJ1230" s="161"/>
      <c r="BK1230" s="161"/>
      <c r="BL1230" s="161"/>
      <c r="BM1230" s="161"/>
      <c r="BN1230" s="161"/>
      <c r="BO1230" s="161"/>
      <c r="BP1230" s="161"/>
      <c r="BQ1230" s="161"/>
      <c r="BR1230" s="161"/>
      <c r="BS1230" s="161"/>
      <c r="BT1230" s="161"/>
      <c r="BU1230" s="161"/>
      <c r="BV1230" s="161"/>
      <c r="BW1230" s="161"/>
      <c r="BX1230" s="161"/>
      <c r="BY1230" s="161"/>
      <c r="BZ1230" s="161"/>
      <c r="CA1230" s="161"/>
      <c r="CB1230" s="161"/>
      <c r="CC1230" s="161"/>
      <c r="CD1230" s="161"/>
      <c r="CE1230" s="161"/>
      <c r="CF1230" s="161"/>
      <c r="CG1230" s="161"/>
    </row>
    <row r="1231">
      <c r="A1231" s="161"/>
      <c r="B1231" s="161"/>
      <c r="C1231" s="161"/>
      <c r="D1231" s="161"/>
      <c r="E1231" s="161"/>
      <c r="F1231" s="161"/>
      <c r="G1231" s="161"/>
      <c r="H1231" s="161"/>
      <c r="I1231" s="161"/>
      <c r="J1231" s="161"/>
      <c r="K1231" s="161"/>
      <c r="L1231" s="161"/>
      <c r="M1231" s="161"/>
      <c r="N1231" s="161"/>
      <c r="O1231" s="161"/>
      <c r="P1231" s="161"/>
      <c r="Q1231" s="161"/>
      <c r="R1231" s="161"/>
      <c r="S1231" s="161"/>
      <c r="T1231" s="161"/>
      <c r="U1231" s="161"/>
      <c r="V1231" s="161"/>
      <c r="W1231" s="161"/>
      <c r="X1231" s="161"/>
      <c r="Y1231" s="161"/>
      <c r="Z1231" s="161"/>
      <c r="AA1231" s="161"/>
      <c r="AB1231" s="161"/>
      <c r="AC1231" s="161"/>
      <c r="AD1231" s="161"/>
      <c r="AE1231" s="161"/>
      <c r="AF1231" s="161"/>
      <c r="AG1231" s="161"/>
      <c r="AH1231" s="161"/>
      <c r="AI1231" s="161"/>
      <c r="AJ1231" s="161"/>
      <c r="AK1231" s="161"/>
      <c r="AL1231" s="161"/>
      <c r="AM1231" s="161"/>
      <c r="AN1231" s="161"/>
      <c r="AO1231" s="161"/>
      <c r="AP1231" s="161"/>
      <c r="AQ1231" s="161"/>
      <c r="AR1231" s="161"/>
      <c r="AS1231" s="161"/>
      <c r="AT1231" s="161"/>
      <c r="AU1231" s="161"/>
      <c r="AV1231" s="161"/>
      <c r="AW1231" s="161"/>
      <c r="AX1231" s="161"/>
      <c r="AY1231" s="161"/>
      <c r="AZ1231" s="161"/>
      <c r="BA1231" s="161"/>
      <c r="BB1231" s="161"/>
      <c r="BC1231" s="161"/>
      <c r="BD1231" s="161"/>
      <c r="BE1231" s="161"/>
      <c r="BF1231" s="161"/>
      <c r="BG1231" s="161"/>
      <c r="BH1231" s="161"/>
      <c r="BI1231" s="161"/>
      <c r="BJ1231" s="161"/>
      <c r="BK1231" s="161"/>
      <c r="BL1231" s="161"/>
      <c r="BM1231" s="161"/>
      <c r="BN1231" s="161"/>
      <c r="BO1231" s="161"/>
      <c r="BP1231" s="161"/>
      <c r="BQ1231" s="161"/>
      <c r="BR1231" s="161"/>
      <c r="BS1231" s="161"/>
      <c r="BT1231" s="161"/>
      <c r="BU1231" s="161"/>
      <c r="BV1231" s="161"/>
      <c r="BW1231" s="161"/>
      <c r="BX1231" s="161"/>
      <c r="BY1231" s="161"/>
      <c r="BZ1231" s="161"/>
      <c r="CA1231" s="161"/>
      <c r="CB1231" s="161"/>
      <c r="CC1231" s="161"/>
      <c r="CD1231" s="161"/>
      <c r="CE1231" s="161"/>
      <c r="CF1231" s="161"/>
      <c r="CG1231" s="161"/>
    </row>
    <row r="1232">
      <c r="A1232" s="161"/>
      <c r="B1232" s="161"/>
      <c r="C1232" s="161"/>
      <c r="D1232" s="161"/>
      <c r="E1232" s="161"/>
      <c r="F1232" s="161"/>
      <c r="G1232" s="161"/>
      <c r="H1232" s="161"/>
      <c r="I1232" s="161"/>
      <c r="J1232" s="161"/>
      <c r="K1232" s="161"/>
      <c r="L1232" s="161"/>
      <c r="M1232" s="161"/>
      <c r="N1232" s="161"/>
      <c r="O1232" s="161"/>
      <c r="P1232" s="161"/>
      <c r="Q1232" s="161"/>
      <c r="R1232" s="161"/>
      <c r="S1232" s="161"/>
      <c r="T1232" s="161"/>
      <c r="U1232" s="161"/>
      <c r="V1232" s="161"/>
      <c r="W1232" s="161"/>
      <c r="X1232" s="161"/>
      <c r="Y1232" s="161"/>
      <c r="Z1232" s="161"/>
      <c r="AA1232" s="161"/>
      <c r="AB1232" s="161"/>
      <c r="AC1232" s="161"/>
      <c r="AD1232" s="161"/>
      <c r="AE1232" s="161"/>
      <c r="AF1232" s="161"/>
      <c r="AG1232" s="161"/>
      <c r="AH1232" s="161"/>
      <c r="AI1232" s="161"/>
      <c r="AJ1232" s="161"/>
      <c r="AK1232" s="161"/>
      <c r="AL1232" s="161"/>
      <c r="AM1232" s="161"/>
      <c r="AN1232" s="161"/>
      <c r="AO1232" s="161"/>
      <c r="AP1232" s="161"/>
      <c r="AQ1232" s="161"/>
      <c r="AR1232" s="161"/>
      <c r="AS1232" s="161"/>
      <c r="AT1232" s="161"/>
      <c r="AU1232" s="161"/>
      <c r="AV1232" s="161"/>
      <c r="AW1232" s="161"/>
      <c r="AX1232" s="161"/>
      <c r="AY1232" s="161"/>
      <c r="AZ1232" s="161"/>
      <c r="BA1232" s="161"/>
      <c r="BB1232" s="161"/>
      <c r="BC1232" s="161"/>
      <c r="BD1232" s="161"/>
      <c r="BE1232" s="161"/>
      <c r="BF1232" s="161"/>
      <c r="BG1232" s="161"/>
      <c r="BH1232" s="161"/>
      <c r="BI1232" s="161"/>
      <c r="BJ1232" s="161"/>
      <c r="BK1232" s="161"/>
      <c r="BL1232" s="161"/>
      <c r="BM1232" s="161"/>
      <c r="BN1232" s="161"/>
      <c r="BO1232" s="161"/>
      <c r="BP1232" s="161"/>
      <c r="BQ1232" s="161"/>
      <c r="BR1232" s="161"/>
      <c r="BS1232" s="161"/>
      <c r="BT1232" s="161"/>
      <c r="BU1232" s="161"/>
      <c r="BV1232" s="161"/>
      <c r="BW1232" s="161"/>
      <c r="BX1232" s="161"/>
      <c r="BY1232" s="161"/>
      <c r="BZ1232" s="161"/>
      <c r="CA1232" s="161"/>
      <c r="CB1232" s="161"/>
      <c r="CC1232" s="161"/>
      <c r="CD1232" s="161"/>
      <c r="CE1232" s="161"/>
      <c r="CF1232" s="161"/>
      <c r="CG1232" s="161"/>
    </row>
    <row r="1233">
      <c r="A1233" s="161"/>
      <c r="B1233" s="161"/>
      <c r="C1233" s="161"/>
      <c r="D1233" s="161"/>
      <c r="E1233" s="161"/>
      <c r="F1233" s="161"/>
      <c r="G1233" s="161"/>
      <c r="H1233" s="161"/>
      <c r="I1233" s="161"/>
      <c r="J1233" s="161"/>
      <c r="K1233" s="161"/>
      <c r="L1233" s="161"/>
      <c r="M1233" s="161"/>
      <c r="N1233" s="161"/>
      <c r="O1233" s="161"/>
      <c r="P1233" s="161"/>
      <c r="Q1233" s="161"/>
      <c r="R1233" s="161"/>
      <c r="S1233" s="161"/>
      <c r="T1233" s="161"/>
      <c r="U1233" s="161"/>
      <c r="V1233" s="161"/>
      <c r="W1233" s="161"/>
      <c r="X1233" s="161"/>
      <c r="Y1233" s="161"/>
      <c r="Z1233" s="161"/>
      <c r="AA1233" s="161"/>
      <c r="AB1233" s="161"/>
      <c r="AC1233" s="161"/>
      <c r="AD1233" s="161"/>
      <c r="AE1233" s="161"/>
      <c r="AF1233" s="161"/>
      <c r="AG1233" s="161"/>
      <c r="AH1233" s="161"/>
      <c r="AI1233" s="161"/>
      <c r="AJ1233" s="161"/>
      <c r="AK1233" s="161"/>
      <c r="AL1233" s="161"/>
      <c r="AM1233" s="161"/>
      <c r="AN1233" s="161"/>
      <c r="AO1233" s="161"/>
      <c r="AP1233" s="161"/>
      <c r="AQ1233" s="161"/>
      <c r="AR1233" s="161"/>
      <c r="AS1233" s="161"/>
      <c r="AT1233" s="161"/>
      <c r="AU1233" s="161"/>
      <c r="AV1233" s="161"/>
      <c r="AW1233" s="161"/>
      <c r="AX1233" s="161"/>
      <c r="AY1233" s="161"/>
      <c r="AZ1233" s="161"/>
      <c r="BA1233" s="161"/>
      <c r="BB1233" s="161"/>
      <c r="BC1233" s="161"/>
      <c r="BD1233" s="161"/>
      <c r="BE1233" s="161"/>
      <c r="BF1233" s="161"/>
      <c r="BG1233" s="161"/>
      <c r="BH1233" s="161"/>
      <c r="BI1233" s="161"/>
      <c r="BJ1233" s="161"/>
      <c r="BK1233" s="161"/>
      <c r="BL1233" s="161"/>
      <c r="BM1233" s="161"/>
      <c r="BN1233" s="161"/>
      <c r="BO1233" s="161"/>
      <c r="BP1233" s="161"/>
      <c r="BQ1233" s="161"/>
      <c r="BR1233" s="161"/>
      <c r="BS1233" s="161"/>
      <c r="BT1233" s="161"/>
      <c r="BU1233" s="161"/>
      <c r="BV1233" s="161"/>
      <c r="BW1233" s="161"/>
      <c r="BX1233" s="161"/>
      <c r="BY1233" s="161"/>
      <c r="BZ1233" s="161"/>
      <c r="CA1233" s="161"/>
      <c r="CB1233" s="161"/>
      <c r="CC1233" s="161"/>
      <c r="CD1233" s="161"/>
      <c r="CE1233" s="161"/>
      <c r="CF1233" s="161"/>
      <c r="CG1233" s="161"/>
    </row>
    <row r="1234">
      <c r="A1234" s="161"/>
      <c r="B1234" s="161"/>
      <c r="C1234" s="161"/>
      <c r="D1234" s="161"/>
      <c r="E1234" s="161"/>
      <c r="F1234" s="161"/>
      <c r="G1234" s="161"/>
      <c r="H1234" s="161"/>
      <c r="I1234" s="161"/>
      <c r="J1234" s="161"/>
      <c r="K1234" s="161"/>
      <c r="L1234" s="161"/>
      <c r="M1234" s="161"/>
      <c r="N1234" s="161"/>
      <c r="O1234" s="161"/>
      <c r="P1234" s="161"/>
      <c r="Q1234" s="161"/>
      <c r="R1234" s="161"/>
      <c r="S1234" s="161"/>
      <c r="T1234" s="161"/>
      <c r="U1234" s="161"/>
      <c r="V1234" s="161"/>
      <c r="W1234" s="161"/>
      <c r="X1234" s="161"/>
      <c r="Y1234" s="161"/>
      <c r="Z1234" s="161"/>
      <c r="AA1234" s="161"/>
      <c r="AB1234" s="161"/>
      <c r="AC1234" s="161"/>
      <c r="AD1234" s="161"/>
      <c r="AE1234" s="161"/>
      <c r="AF1234" s="161"/>
      <c r="AG1234" s="161"/>
      <c r="AH1234" s="161"/>
      <c r="AI1234" s="161"/>
      <c r="AJ1234" s="161"/>
      <c r="AK1234" s="161"/>
      <c r="AL1234" s="161"/>
      <c r="AM1234" s="161"/>
      <c r="AN1234" s="161"/>
      <c r="AO1234" s="161"/>
      <c r="AP1234" s="161"/>
      <c r="AQ1234" s="161"/>
      <c r="AR1234" s="161"/>
      <c r="AS1234" s="161"/>
      <c r="AT1234" s="161"/>
      <c r="AU1234" s="161"/>
      <c r="AV1234" s="161"/>
      <c r="AW1234" s="161"/>
      <c r="AX1234" s="161"/>
      <c r="AY1234" s="161"/>
      <c r="AZ1234" s="161"/>
      <c r="BA1234" s="161"/>
      <c r="BB1234" s="161"/>
      <c r="BC1234" s="161"/>
      <c r="BD1234" s="161"/>
      <c r="BE1234" s="161"/>
      <c r="BF1234" s="161"/>
      <c r="BG1234" s="161"/>
      <c r="BH1234" s="161"/>
      <c r="BI1234" s="161"/>
      <c r="BJ1234" s="161"/>
      <c r="BK1234" s="161"/>
      <c r="BL1234" s="161"/>
      <c r="BM1234" s="161"/>
      <c r="BN1234" s="161"/>
      <c r="BO1234" s="161"/>
      <c r="BP1234" s="161"/>
      <c r="BQ1234" s="161"/>
      <c r="BR1234" s="161"/>
      <c r="BS1234" s="161"/>
      <c r="BT1234" s="161"/>
      <c r="BU1234" s="161"/>
      <c r="BV1234" s="161"/>
      <c r="BW1234" s="161"/>
      <c r="BX1234" s="161"/>
      <c r="BY1234" s="161"/>
      <c r="BZ1234" s="161"/>
      <c r="CA1234" s="161"/>
      <c r="CB1234" s="161"/>
      <c r="CC1234" s="161"/>
      <c r="CD1234" s="161"/>
      <c r="CE1234" s="161"/>
      <c r="CF1234" s="161"/>
      <c r="CG1234" s="161"/>
    </row>
    <row r="1235">
      <c r="A1235" s="161"/>
      <c r="B1235" s="161"/>
      <c r="C1235" s="161"/>
      <c r="D1235" s="161"/>
      <c r="E1235" s="161"/>
      <c r="F1235" s="161"/>
      <c r="G1235" s="161"/>
      <c r="H1235" s="161"/>
      <c r="I1235" s="161"/>
      <c r="J1235" s="161"/>
      <c r="K1235" s="161"/>
      <c r="L1235" s="161"/>
      <c r="M1235" s="161"/>
      <c r="N1235" s="161"/>
      <c r="O1235" s="161"/>
      <c r="P1235" s="161"/>
      <c r="Q1235" s="161"/>
      <c r="R1235" s="161"/>
      <c r="S1235" s="161"/>
      <c r="T1235" s="161"/>
      <c r="U1235" s="161"/>
      <c r="V1235" s="161"/>
      <c r="W1235" s="161"/>
      <c r="X1235" s="161"/>
      <c r="Y1235" s="161"/>
      <c r="Z1235" s="161"/>
      <c r="AA1235" s="161"/>
      <c r="AB1235" s="161"/>
      <c r="AC1235" s="161"/>
      <c r="AD1235" s="161"/>
      <c r="AE1235" s="161"/>
      <c r="AF1235" s="161"/>
      <c r="AG1235" s="161"/>
      <c r="AH1235" s="161"/>
      <c r="AI1235" s="161"/>
      <c r="AJ1235" s="161"/>
      <c r="AK1235" s="161"/>
      <c r="AL1235" s="161"/>
      <c r="AM1235" s="161"/>
      <c r="AN1235" s="161"/>
      <c r="AO1235" s="161"/>
      <c r="AP1235" s="161"/>
      <c r="AQ1235" s="161"/>
      <c r="AR1235" s="161"/>
      <c r="AS1235" s="161"/>
      <c r="AT1235" s="161"/>
      <c r="AU1235" s="161"/>
      <c r="AV1235" s="161"/>
      <c r="AW1235" s="161"/>
      <c r="AX1235" s="161"/>
      <c r="AY1235" s="161"/>
      <c r="AZ1235" s="161"/>
      <c r="BA1235" s="161"/>
      <c r="BB1235" s="161"/>
      <c r="BC1235" s="161"/>
      <c r="BD1235" s="161"/>
      <c r="BE1235" s="161"/>
      <c r="BF1235" s="161"/>
      <c r="BG1235" s="161"/>
      <c r="BH1235" s="161"/>
      <c r="BI1235" s="161"/>
      <c r="BJ1235" s="161"/>
      <c r="BK1235" s="161"/>
      <c r="BL1235" s="161"/>
      <c r="BM1235" s="161"/>
      <c r="BN1235" s="161"/>
      <c r="BO1235" s="161"/>
      <c r="BP1235" s="161"/>
      <c r="BQ1235" s="161"/>
      <c r="BR1235" s="161"/>
      <c r="BS1235" s="161"/>
      <c r="BT1235" s="161"/>
      <c r="BU1235" s="161"/>
      <c r="BV1235" s="161"/>
      <c r="BW1235" s="161"/>
      <c r="BX1235" s="161"/>
      <c r="BY1235" s="161"/>
      <c r="BZ1235" s="161"/>
      <c r="CA1235" s="161"/>
      <c r="CB1235" s="161"/>
      <c r="CC1235" s="161"/>
      <c r="CD1235" s="161"/>
      <c r="CE1235" s="161"/>
      <c r="CF1235" s="161"/>
      <c r="CG1235" s="161"/>
    </row>
    <row r="1236">
      <c r="A1236" s="161"/>
      <c r="B1236" s="161"/>
      <c r="C1236" s="161"/>
      <c r="D1236" s="161"/>
      <c r="E1236" s="161"/>
      <c r="F1236" s="161"/>
      <c r="G1236" s="161"/>
      <c r="H1236" s="161"/>
      <c r="I1236" s="161"/>
      <c r="J1236" s="161"/>
      <c r="K1236" s="161"/>
      <c r="L1236" s="161"/>
      <c r="M1236" s="161"/>
      <c r="N1236" s="161"/>
      <c r="O1236" s="161"/>
      <c r="P1236" s="161"/>
      <c r="Q1236" s="161"/>
      <c r="R1236" s="161"/>
      <c r="S1236" s="161"/>
      <c r="T1236" s="161"/>
      <c r="U1236" s="161"/>
      <c r="V1236" s="161"/>
      <c r="W1236" s="161"/>
      <c r="X1236" s="161"/>
      <c r="Y1236" s="161"/>
      <c r="Z1236" s="161"/>
      <c r="AA1236" s="161"/>
      <c r="AB1236" s="161"/>
      <c r="AC1236" s="161"/>
      <c r="AD1236" s="161"/>
      <c r="AE1236" s="161"/>
      <c r="AF1236" s="161"/>
      <c r="AG1236" s="161"/>
      <c r="AH1236" s="161"/>
      <c r="AI1236" s="161"/>
      <c r="AJ1236" s="161"/>
      <c r="AK1236" s="161"/>
      <c r="AL1236" s="161"/>
      <c r="AM1236" s="161"/>
      <c r="AN1236" s="161"/>
      <c r="AO1236" s="161"/>
      <c r="AP1236" s="161"/>
      <c r="AQ1236" s="161"/>
      <c r="AR1236" s="161"/>
      <c r="AS1236" s="161"/>
      <c r="AT1236" s="161"/>
      <c r="AU1236" s="161"/>
      <c r="AV1236" s="161"/>
      <c r="AW1236" s="161"/>
      <c r="AX1236" s="161"/>
      <c r="AY1236" s="161"/>
      <c r="AZ1236" s="161"/>
      <c r="BA1236" s="161"/>
      <c r="BB1236" s="161"/>
      <c r="BC1236" s="161"/>
      <c r="BD1236" s="161"/>
      <c r="BE1236" s="161"/>
      <c r="BF1236" s="161"/>
      <c r="BG1236" s="161"/>
      <c r="BH1236" s="161"/>
      <c r="BI1236" s="161"/>
      <c r="BJ1236" s="161"/>
      <c r="BK1236" s="161"/>
      <c r="BL1236" s="161"/>
      <c r="BM1236" s="161"/>
      <c r="BN1236" s="161"/>
      <c r="BO1236" s="161"/>
      <c r="BP1236" s="161"/>
      <c r="BQ1236" s="161"/>
      <c r="BR1236" s="161"/>
      <c r="BS1236" s="161"/>
      <c r="BT1236" s="161"/>
      <c r="BU1236" s="161"/>
      <c r="BV1236" s="161"/>
      <c r="BW1236" s="161"/>
      <c r="BX1236" s="161"/>
      <c r="BY1236" s="161"/>
      <c r="BZ1236" s="161"/>
      <c r="CA1236" s="161"/>
      <c r="CB1236" s="161"/>
      <c r="CC1236" s="161"/>
      <c r="CD1236" s="161"/>
      <c r="CE1236" s="161"/>
      <c r="CF1236" s="161"/>
      <c r="CG1236" s="161"/>
    </row>
    <row r="1237">
      <c r="A1237" s="161"/>
      <c r="B1237" s="161"/>
      <c r="C1237" s="161"/>
      <c r="D1237" s="161"/>
      <c r="E1237" s="161"/>
      <c r="F1237" s="161"/>
      <c r="G1237" s="161"/>
      <c r="H1237" s="161"/>
      <c r="I1237" s="161"/>
      <c r="J1237" s="161"/>
      <c r="K1237" s="161"/>
      <c r="L1237" s="161"/>
      <c r="M1237" s="161"/>
      <c r="N1237" s="161"/>
      <c r="O1237" s="161"/>
      <c r="P1237" s="161"/>
      <c r="Q1237" s="161"/>
      <c r="R1237" s="161"/>
      <c r="S1237" s="161"/>
      <c r="T1237" s="161"/>
      <c r="U1237" s="161"/>
      <c r="V1237" s="161"/>
      <c r="W1237" s="161"/>
      <c r="X1237" s="161"/>
      <c r="Y1237" s="161"/>
      <c r="Z1237" s="161"/>
      <c r="AA1237" s="161"/>
      <c r="AB1237" s="161"/>
      <c r="AC1237" s="161"/>
      <c r="AD1237" s="161"/>
      <c r="AE1237" s="161"/>
      <c r="AF1237" s="161"/>
      <c r="AG1237" s="161"/>
      <c r="AH1237" s="161"/>
      <c r="AI1237" s="161"/>
      <c r="AJ1237" s="161"/>
      <c r="AK1237" s="161"/>
      <c r="AL1237" s="161"/>
      <c r="AM1237" s="161"/>
      <c r="AN1237" s="161"/>
      <c r="AO1237" s="161"/>
      <c r="AP1237" s="161"/>
      <c r="AQ1237" s="161"/>
      <c r="AR1237" s="161"/>
      <c r="AS1237" s="161"/>
      <c r="AT1237" s="161"/>
      <c r="AU1237" s="161"/>
      <c r="AV1237" s="161"/>
      <c r="AW1237" s="161"/>
      <c r="AX1237" s="161"/>
      <c r="AY1237" s="161"/>
      <c r="AZ1237" s="161"/>
      <c r="BA1237" s="161"/>
      <c r="BB1237" s="161"/>
      <c r="BC1237" s="161"/>
      <c r="BD1237" s="161"/>
      <c r="BE1237" s="161"/>
      <c r="BF1237" s="161"/>
      <c r="BG1237" s="161"/>
      <c r="BH1237" s="161"/>
      <c r="BI1237" s="161"/>
      <c r="BJ1237" s="161"/>
      <c r="BK1237" s="161"/>
      <c r="BL1237" s="161"/>
      <c r="BM1237" s="161"/>
      <c r="BN1237" s="161"/>
      <c r="BO1237" s="161"/>
      <c r="BP1237" s="161"/>
      <c r="BQ1237" s="161"/>
      <c r="BR1237" s="161"/>
      <c r="BS1237" s="161"/>
      <c r="BT1237" s="161"/>
      <c r="BU1237" s="161"/>
      <c r="BV1237" s="161"/>
      <c r="BW1237" s="161"/>
      <c r="BX1237" s="161"/>
      <c r="BY1237" s="161"/>
      <c r="BZ1237" s="161"/>
      <c r="CA1237" s="161"/>
      <c r="CB1237" s="161"/>
      <c r="CC1237" s="161"/>
      <c r="CD1237" s="161"/>
      <c r="CE1237" s="161"/>
      <c r="CF1237" s="161"/>
      <c r="CG1237" s="161"/>
    </row>
    <row r="1238">
      <c r="A1238" s="161"/>
      <c r="B1238" s="161"/>
      <c r="C1238" s="161"/>
      <c r="D1238" s="161"/>
      <c r="E1238" s="161"/>
      <c r="F1238" s="161"/>
      <c r="G1238" s="161"/>
      <c r="H1238" s="161"/>
      <c r="I1238" s="161"/>
      <c r="J1238" s="161"/>
      <c r="K1238" s="161"/>
      <c r="L1238" s="161"/>
      <c r="M1238" s="161"/>
      <c r="N1238" s="161"/>
      <c r="O1238" s="161"/>
      <c r="P1238" s="161"/>
      <c r="Q1238" s="161"/>
      <c r="R1238" s="161"/>
      <c r="S1238" s="161"/>
      <c r="T1238" s="161"/>
      <c r="U1238" s="161"/>
      <c r="V1238" s="161"/>
      <c r="W1238" s="161"/>
      <c r="X1238" s="161"/>
      <c r="Y1238" s="161"/>
      <c r="Z1238" s="161"/>
      <c r="AA1238" s="161"/>
      <c r="AB1238" s="161"/>
      <c r="AC1238" s="161"/>
      <c r="AD1238" s="161"/>
      <c r="AE1238" s="161"/>
      <c r="AF1238" s="161"/>
      <c r="AG1238" s="161"/>
      <c r="AH1238" s="161"/>
      <c r="AI1238" s="161"/>
      <c r="AJ1238" s="161"/>
      <c r="AK1238" s="161"/>
      <c r="AL1238" s="161"/>
      <c r="AM1238" s="161"/>
      <c r="AN1238" s="161"/>
      <c r="AO1238" s="161"/>
      <c r="AP1238" s="161"/>
      <c r="AQ1238" s="161"/>
      <c r="AR1238" s="161"/>
      <c r="AS1238" s="161"/>
      <c r="AT1238" s="161"/>
      <c r="AU1238" s="161"/>
      <c r="AV1238" s="161"/>
      <c r="AW1238" s="161"/>
      <c r="AX1238" s="161"/>
      <c r="AY1238" s="161"/>
      <c r="AZ1238" s="161"/>
      <c r="BA1238" s="161"/>
      <c r="BB1238" s="161"/>
      <c r="BC1238" s="161"/>
      <c r="BD1238" s="161"/>
      <c r="BE1238" s="161"/>
      <c r="BF1238" s="161"/>
      <c r="BG1238" s="161"/>
      <c r="BH1238" s="161"/>
      <c r="BI1238" s="161"/>
      <c r="BJ1238" s="161"/>
      <c r="BK1238" s="161"/>
      <c r="BL1238" s="161"/>
      <c r="BM1238" s="161"/>
      <c r="BN1238" s="161"/>
      <c r="BO1238" s="161"/>
      <c r="BP1238" s="161"/>
      <c r="BQ1238" s="161"/>
      <c r="BR1238" s="161"/>
      <c r="BS1238" s="161"/>
      <c r="BT1238" s="161"/>
      <c r="BU1238" s="161"/>
      <c r="BV1238" s="161"/>
      <c r="BW1238" s="161"/>
      <c r="BX1238" s="161"/>
      <c r="BY1238" s="161"/>
      <c r="BZ1238" s="161"/>
      <c r="CA1238" s="161"/>
      <c r="CB1238" s="161"/>
      <c r="CC1238" s="161"/>
      <c r="CD1238" s="161"/>
      <c r="CE1238" s="161"/>
      <c r="CF1238" s="161"/>
      <c r="CG1238" s="161"/>
    </row>
    <row r="1239">
      <c r="A1239" s="161"/>
      <c r="B1239" s="161"/>
      <c r="C1239" s="161"/>
      <c r="D1239" s="161"/>
      <c r="E1239" s="161"/>
      <c r="F1239" s="161"/>
      <c r="G1239" s="161"/>
      <c r="H1239" s="161"/>
      <c r="I1239" s="161"/>
      <c r="J1239" s="161"/>
      <c r="K1239" s="161"/>
      <c r="L1239" s="161"/>
      <c r="M1239" s="161"/>
      <c r="N1239" s="161"/>
      <c r="O1239" s="161"/>
      <c r="P1239" s="161"/>
      <c r="Q1239" s="161"/>
      <c r="R1239" s="161"/>
      <c r="S1239" s="161"/>
      <c r="T1239" s="161"/>
      <c r="U1239" s="161"/>
      <c r="V1239" s="161"/>
      <c r="W1239" s="161"/>
      <c r="X1239" s="161"/>
      <c r="Y1239" s="161"/>
      <c r="Z1239" s="161"/>
      <c r="AA1239" s="161"/>
      <c r="AB1239" s="161"/>
      <c r="AC1239" s="161"/>
      <c r="AD1239" s="161"/>
      <c r="AE1239" s="161"/>
      <c r="AF1239" s="161"/>
      <c r="AG1239" s="161"/>
      <c r="AH1239" s="161"/>
      <c r="AI1239" s="161"/>
      <c r="AJ1239" s="161"/>
      <c r="AK1239" s="161"/>
      <c r="AL1239" s="161"/>
      <c r="AM1239" s="161"/>
      <c r="AN1239" s="161"/>
      <c r="AO1239" s="161"/>
      <c r="AP1239" s="161"/>
      <c r="AQ1239" s="161"/>
      <c r="AR1239" s="161"/>
      <c r="AS1239" s="161"/>
      <c r="AT1239" s="161"/>
      <c r="AU1239" s="161"/>
      <c r="AV1239" s="161"/>
      <c r="AW1239" s="161"/>
      <c r="AX1239" s="161"/>
      <c r="AY1239" s="161"/>
      <c r="AZ1239" s="161"/>
      <c r="BA1239" s="161"/>
      <c r="BB1239" s="161"/>
      <c r="BC1239" s="161"/>
      <c r="BD1239" s="161"/>
      <c r="BE1239" s="161"/>
      <c r="BF1239" s="161"/>
      <c r="BG1239" s="161"/>
      <c r="BH1239" s="161"/>
      <c r="BI1239" s="161"/>
      <c r="BJ1239" s="161"/>
      <c r="BK1239" s="161"/>
      <c r="BL1239" s="161"/>
      <c r="BM1239" s="161"/>
      <c r="BN1239" s="161"/>
      <c r="BO1239" s="161"/>
      <c r="BP1239" s="161"/>
      <c r="BQ1239" s="161"/>
      <c r="BR1239" s="161"/>
      <c r="BS1239" s="161"/>
      <c r="BT1239" s="161"/>
      <c r="BU1239" s="161"/>
      <c r="BV1239" s="161"/>
      <c r="BW1239" s="161"/>
      <c r="BX1239" s="161"/>
      <c r="BY1239" s="161"/>
      <c r="BZ1239" s="161"/>
      <c r="CA1239" s="161"/>
      <c r="CB1239" s="161"/>
      <c r="CC1239" s="161"/>
      <c r="CD1239" s="161"/>
      <c r="CE1239" s="161"/>
      <c r="CF1239" s="161"/>
      <c r="CG1239" s="161"/>
    </row>
    <row r="1240">
      <c r="A1240" s="161"/>
      <c r="B1240" s="161"/>
      <c r="C1240" s="161"/>
      <c r="D1240" s="161"/>
      <c r="E1240" s="161"/>
      <c r="F1240" s="161"/>
      <c r="G1240" s="161"/>
      <c r="H1240" s="161"/>
      <c r="I1240" s="161"/>
      <c r="J1240" s="161"/>
      <c r="K1240" s="161"/>
      <c r="L1240" s="161"/>
      <c r="M1240" s="161"/>
      <c r="N1240" s="161"/>
      <c r="O1240" s="161"/>
      <c r="P1240" s="161"/>
      <c r="Q1240" s="161"/>
      <c r="R1240" s="161"/>
      <c r="S1240" s="161"/>
      <c r="T1240" s="161"/>
      <c r="U1240" s="161"/>
      <c r="V1240" s="161"/>
      <c r="W1240" s="161"/>
      <c r="X1240" s="161"/>
      <c r="Y1240" s="161"/>
      <c r="Z1240" s="161"/>
      <c r="AA1240" s="161"/>
      <c r="AB1240" s="161"/>
      <c r="AC1240" s="161"/>
      <c r="AD1240" s="161"/>
      <c r="AE1240" s="161"/>
      <c r="AF1240" s="161"/>
      <c r="AG1240" s="161"/>
      <c r="AH1240" s="161"/>
      <c r="AI1240" s="161"/>
      <c r="AJ1240" s="161"/>
      <c r="AK1240" s="161"/>
      <c r="AL1240" s="161"/>
      <c r="AM1240" s="161"/>
      <c r="AN1240" s="161"/>
      <c r="AO1240" s="161"/>
      <c r="AP1240" s="161"/>
      <c r="AQ1240" s="161"/>
      <c r="AR1240" s="161"/>
      <c r="AS1240" s="161"/>
      <c r="AT1240" s="161"/>
      <c r="AU1240" s="161"/>
      <c r="AV1240" s="161"/>
      <c r="AW1240" s="161"/>
      <c r="AX1240" s="161"/>
      <c r="AY1240" s="161"/>
      <c r="AZ1240" s="161"/>
      <c r="BA1240" s="161"/>
      <c r="BB1240" s="161"/>
      <c r="BC1240" s="161"/>
      <c r="BD1240" s="161"/>
      <c r="BE1240" s="161"/>
      <c r="BF1240" s="161"/>
      <c r="BG1240" s="161"/>
      <c r="BH1240" s="161"/>
      <c r="BI1240" s="161"/>
      <c r="BJ1240" s="161"/>
      <c r="BK1240" s="161"/>
      <c r="BL1240" s="161"/>
      <c r="BM1240" s="161"/>
      <c r="BN1240" s="161"/>
      <c r="BO1240" s="161"/>
      <c r="BP1240" s="161"/>
      <c r="BQ1240" s="161"/>
      <c r="BR1240" s="161"/>
      <c r="BS1240" s="161"/>
      <c r="BT1240" s="161"/>
      <c r="BU1240" s="161"/>
      <c r="BV1240" s="161"/>
      <c r="BW1240" s="161"/>
      <c r="BX1240" s="161"/>
      <c r="BY1240" s="161"/>
      <c r="BZ1240" s="161"/>
      <c r="CA1240" s="161"/>
      <c r="CB1240" s="161"/>
      <c r="CC1240" s="161"/>
      <c r="CD1240" s="161"/>
      <c r="CE1240" s="161"/>
      <c r="CF1240" s="161"/>
      <c r="CG1240" s="161"/>
    </row>
    <row r="1241">
      <c r="A1241" s="161"/>
      <c r="B1241" s="161"/>
      <c r="C1241" s="161"/>
      <c r="D1241" s="161"/>
      <c r="E1241" s="161"/>
      <c r="F1241" s="161"/>
      <c r="G1241" s="161"/>
      <c r="H1241" s="161"/>
      <c r="I1241" s="161"/>
      <c r="J1241" s="161"/>
      <c r="K1241" s="161"/>
      <c r="L1241" s="161"/>
      <c r="M1241" s="161"/>
      <c r="N1241" s="161"/>
      <c r="O1241" s="161"/>
      <c r="P1241" s="161"/>
      <c r="Q1241" s="161"/>
      <c r="R1241" s="161"/>
      <c r="S1241" s="161"/>
      <c r="T1241" s="161"/>
      <c r="U1241" s="161"/>
      <c r="V1241" s="161"/>
      <c r="W1241" s="161"/>
      <c r="X1241" s="161"/>
      <c r="Y1241" s="161"/>
      <c r="Z1241" s="161"/>
      <c r="AA1241" s="161"/>
      <c r="AB1241" s="161"/>
      <c r="AC1241" s="161"/>
      <c r="AD1241" s="161"/>
      <c r="AE1241" s="161"/>
      <c r="AF1241" s="161"/>
      <c r="AG1241" s="161"/>
      <c r="AH1241" s="161"/>
      <c r="AI1241" s="161"/>
      <c r="AJ1241" s="161"/>
      <c r="AK1241" s="161"/>
      <c r="AL1241" s="161"/>
      <c r="AM1241" s="161"/>
      <c r="AN1241" s="161"/>
      <c r="AO1241" s="161"/>
      <c r="AP1241" s="161"/>
      <c r="AQ1241" s="161"/>
      <c r="AR1241" s="161"/>
      <c r="AS1241" s="161"/>
      <c r="AT1241" s="161"/>
      <c r="AU1241" s="161"/>
      <c r="AV1241" s="161"/>
      <c r="AW1241" s="161"/>
      <c r="AX1241" s="161"/>
      <c r="AY1241" s="161"/>
      <c r="AZ1241" s="161"/>
      <c r="BA1241" s="161"/>
      <c r="BB1241" s="161"/>
      <c r="BC1241" s="161"/>
      <c r="BD1241" s="161"/>
      <c r="BE1241" s="161"/>
      <c r="BF1241" s="161"/>
      <c r="BG1241" s="161"/>
      <c r="BH1241" s="161"/>
      <c r="BI1241" s="161"/>
      <c r="BJ1241" s="161"/>
      <c r="BK1241" s="161"/>
      <c r="BL1241" s="161"/>
      <c r="BM1241" s="161"/>
      <c r="BN1241" s="161"/>
      <c r="BO1241" s="161"/>
      <c r="BP1241" s="161"/>
      <c r="BQ1241" s="161"/>
      <c r="BR1241" s="161"/>
      <c r="BS1241" s="161"/>
      <c r="BT1241" s="161"/>
      <c r="BU1241" s="161"/>
      <c r="BV1241" s="161"/>
      <c r="BW1241" s="161"/>
      <c r="BX1241" s="161"/>
      <c r="BY1241" s="161"/>
      <c r="BZ1241" s="161"/>
      <c r="CA1241" s="161"/>
      <c r="CB1241" s="161"/>
      <c r="CC1241" s="161"/>
      <c r="CD1241" s="161"/>
      <c r="CE1241" s="161"/>
      <c r="CF1241" s="161"/>
      <c r="CG1241" s="161"/>
    </row>
    <row r="1242">
      <c r="A1242" s="161"/>
      <c r="B1242" s="161"/>
      <c r="C1242" s="161"/>
      <c r="D1242" s="161"/>
      <c r="E1242" s="161"/>
      <c r="F1242" s="161"/>
      <c r="G1242" s="161"/>
      <c r="H1242" s="161"/>
      <c r="I1242" s="161"/>
      <c r="J1242" s="161"/>
      <c r="K1242" s="161"/>
      <c r="L1242" s="161"/>
      <c r="M1242" s="161"/>
      <c r="N1242" s="161"/>
      <c r="O1242" s="161"/>
      <c r="P1242" s="161"/>
      <c r="Q1242" s="161"/>
      <c r="R1242" s="161"/>
      <c r="S1242" s="161"/>
      <c r="T1242" s="161"/>
      <c r="U1242" s="161"/>
      <c r="V1242" s="161"/>
      <c r="W1242" s="161"/>
      <c r="X1242" s="161"/>
      <c r="Y1242" s="161"/>
      <c r="Z1242" s="161"/>
      <c r="AA1242" s="161"/>
      <c r="AB1242" s="161"/>
      <c r="AC1242" s="161"/>
      <c r="AD1242" s="161"/>
      <c r="AE1242" s="161"/>
      <c r="AF1242" s="161"/>
      <c r="AG1242" s="161"/>
      <c r="AH1242" s="161"/>
      <c r="AI1242" s="161"/>
      <c r="AJ1242" s="161"/>
      <c r="AK1242" s="161"/>
      <c r="AL1242" s="161"/>
      <c r="AM1242" s="161"/>
      <c r="AN1242" s="161"/>
      <c r="AO1242" s="161"/>
      <c r="AP1242" s="161"/>
      <c r="AQ1242" s="161"/>
      <c r="AR1242" s="161"/>
      <c r="AS1242" s="161"/>
      <c r="AT1242" s="161"/>
      <c r="AU1242" s="161"/>
      <c r="AV1242" s="161"/>
      <c r="AW1242" s="161"/>
      <c r="AX1242" s="161"/>
      <c r="AY1242" s="161"/>
      <c r="AZ1242" s="161"/>
      <c r="BA1242" s="161"/>
      <c r="BB1242" s="161"/>
      <c r="BC1242" s="161"/>
      <c r="BD1242" s="161"/>
      <c r="BE1242" s="161"/>
      <c r="BF1242" s="161"/>
      <c r="BG1242" s="161"/>
      <c r="BH1242" s="161"/>
      <c r="BI1242" s="161"/>
      <c r="BJ1242" s="161"/>
      <c r="BK1242" s="161"/>
      <c r="BL1242" s="161"/>
      <c r="BM1242" s="161"/>
      <c r="BN1242" s="161"/>
      <c r="BO1242" s="161"/>
      <c r="BP1242" s="161"/>
      <c r="BQ1242" s="161"/>
      <c r="BR1242" s="161"/>
      <c r="BS1242" s="161"/>
      <c r="BT1242" s="161"/>
      <c r="BU1242" s="161"/>
      <c r="BV1242" s="161"/>
      <c r="BW1242" s="161"/>
      <c r="BX1242" s="161"/>
      <c r="BY1242" s="161"/>
      <c r="BZ1242" s="161"/>
      <c r="CA1242" s="161"/>
      <c r="CB1242" s="161"/>
      <c r="CC1242" s="161"/>
      <c r="CD1242" s="161"/>
      <c r="CE1242" s="161"/>
      <c r="CF1242" s="161"/>
      <c r="CG1242" s="161"/>
    </row>
    <row r="1243">
      <c r="A1243" s="161"/>
      <c r="B1243" s="161"/>
      <c r="C1243" s="161"/>
      <c r="D1243" s="161"/>
      <c r="E1243" s="161"/>
      <c r="F1243" s="161"/>
      <c r="G1243" s="161"/>
      <c r="H1243" s="161"/>
      <c r="I1243" s="161"/>
      <c r="J1243" s="161"/>
      <c r="K1243" s="161"/>
      <c r="L1243" s="161"/>
      <c r="M1243" s="161"/>
      <c r="N1243" s="161"/>
      <c r="O1243" s="161"/>
      <c r="P1243" s="161"/>
      <c r="Q1243" s="161"/>
      <c r="R1243" s="161"/>
      <c r="S1243" s="161"/>
      <c r="T1243" s="161"/>
      <c r="U1243" s="161"/>
      <c r="V1243" s="161"/>
      <c r="W1243" s="161"/>
      <c r="X1243" s="161"/>
      <c r="Y1243" s="161"/>
      <c r="Z1243" s="161"/>
      <c r="AA1243" s="161"/>
      <c r="AB1243" s="161"/>
      <c r="AC1243" s="161"/>
      <c r="AD1243" s="161"/>
      <c r="AE1243" s="161"/>
      <c r="AF1243" s="161"/>
      <c r="AG1243" s="161"/>
      <c r="AH1243" s="161"/>
      <c r="AI1243" s="161"/>
      <c r="AJ1243" s="161"/>
      <c r="AK1243" s="161"/>
      <c r="AL1243" s="161"/>
      <c r="AM1243" s="161"/>
      <c r="AN1243" s="161"/>
      <c r="AO1243" s="161"/>
      <c r="AP1243" s="161"/>
      <c r="AQ1243" s="161"/>
      <c r="AR1243" s="161"/>
      <c r="AS1243" s="161"/>
      <c r="AT1243" s="161"/>
      <c r="AU1243" s="161"/>
      <c r="AV1243" s="161"/>
      <c r="AW1243" s="161"/>
      <c r="AX1243" s="161"/>
      <c r="AY1243" s="161"/>
      <c r="AZ1243" s="161"/>
      <c r="BA1243" s="161"/>
      <c r="BB1243" s="161"/>
      <c r="BC1243" s="161"/>
      <c r="BD1243" s="161"/>
      <c r="BE1243" s="161"/>
      <c r="BF1243" s="161"/>
      <c r="BG1243" s="161"/>
      <c r="BH1243" s="161"/>
      <c r="BI1243" s="161"/>
      <c r="BJ1243" s="161"/>
      <c r="BK1243" s="161"/>
      <c r="BL1243" s="161"/>
      <c r="BM1243" s="161"/>
      <c r="BN1243" s="161"/>
      <c r="BO1243" s="161"/>
      <c r="BP1243" s="161"/>
      <c r="BQ1243" s="161"/>
      <c r="BR1243" s="161"/>
      <c r="BS1243" s="161"/>
      <c r="BT1243" s="161"/>
      <c r="BU1243" s="161"/>
      <c r="BV1243" s="161"/>
      <c r="BW1243" s="161"/>
      <c r="BX1243" s="161"/>
      <c r="BY1243" s="161"/>
      <c r="BZ1243" s="161"/>
      <c r="CA1243" s="161"/>
      <c r="CB1243" s="161"/>
      <c r="CC1243" s="161"/>
      <c r="CD1243" s="161"/>
      <c r="CE1243" s="161"/>
      <c r="CF1243" s="161"/>
      <c r="CG1243" s="161"/>
    </row>
    <row r="1244">
      <c r="A1244" s="161"/>
      <c r="B1244" s="161"/>
      <c r="C1244" s="161"/>
      <c r="D1244" s="161"/>
      <c r="E1244" s="161"/>
      <c r="F1244" s="161"/>
      <c r="G1244" s="161"/>
      <c r="H1244" s="161"/>
      <c r="I1244" s="161"/>
      <c r="J1244" s="161"/>
      <c r="K1244" s="161"/>
      <c r="L1244" s="161"/>
      <c r="M1244" s="161"/>
      <c r="N1244" s="161"/>
      <c r="O1244" s="161"/>
      <c r="P1244" s="161"/>
      <c r="Q1244" s="161"/>
      <c r="R1244" s="161"/>
      <c r="S1244" s="161"/>
      <c r="T1244" s="161"/>
      <c r="U1244" s="161"/>
      <c r="V1244" s="161"/>
      <c r="W1244" s="161"/>
      <c r="X1244" s="161"/>
      <c r="Y1244" s="161"/>
      <c r="Z1244" s="161"/>
      <c r="AA1244" s="161"/>
      <c r="AB1244" s="161"/>
      <c r="AC1244" s="161"/>
      <c r="AD1244" s="161"/>
      <c r="AE1244" s="161"/>
      <c r="AF1244" s="161"/>
      <c r="AG1244" s="161"/>
      <c r="AH1244" s="161"/>
      <c r="AI1244" s="161"/>
      <c r="AJ1244" s="161"/>
      <c r="AK1244" s="161"/>
      <c r="AL1244" s="161"/>
      <c r="AM1244" s="161"/>
      <c r="AN1244" s="161"/>
      <c r="AO1244" s="161"/>
      <c r="AP1244" s="161"/>
      <c r="AQ1244" s="161"/>
      <c r="AR1244" s="161"/>
      <c r="AS1244" s="161"/>
      <c r="AT1244" s="161"/>
      <c r="AU1244" s="161"/>
      <c r="AV1244" s="161"/>
      <c r="AW1244" s="161"/>
      <c r="AX1244" s="161"/>
      <c r="AY1244" s="161"/>
      <c r="AZ1244" s="161"/>
      <c r="BA1244" s="161"/>
      <c r="BB1244" s="161"/>
      <c r="BC1244" s="161"/>
      <c r="BD1244" s="161"/>
      <c r="BE1244" s="161"/>
      <c r="BF1244" s="161"/>
      <c r="BG1244" s="161"/>
      <c r="BH1244" s="161"/>
      <c r="BI1244" s="161"/>
      <c r="BJ1244" s="161"/>
      <c r="BK1244" s="161"/>
      <c r="BL1244" s="161"/>
      <c r="BM1244" s="161"/>
      <c r="BN1244" s="161"/>
      <c r="BO1244" s="161"/>
      <c r="BP1244" s="161"/>
      <c r="BQ1244" s="161"/>
      <c r="BR1244" s="161"/>
      <c r="BS1244" s="161"/>
      <c r="BT1244" s="161"/>
      <c r="BU1244" s="161"/>
      <c r="BV1244" s="161"/>
      <c r="BW1244" s="161"/>
      <c r="BX1244" s="161"/>
      <c r="BY1244" s="161"/>
      <c r="BZ1244" s="161"/>
      <c r="CA1244" s="161"/>
      <c r="CB1244" s="161"/>
      <c r="CC1244" s="161"/>
      <c r="CD1244" s="161"/>
      <c r="CE1244" s="161"/>
      <c r="CF1244" s="161"/>
      <c r="CG1244" s="161"/>
    </row>
    <row r="1245">
      <c r="A1245" s="161"/>
      <c r="B1245" s="161"/>
      <c r="C1245" s="161"/>
      <c r="D1245" s="161"/>
      <c r="E1245" s="161"/>
      <c r="F1245" s="161"/>
      <c r="G1245" s="161"/>
      <c r="H1245" s="161"/>
      <c r="I1245" s="161"/>
      <c r="J1245" s="161"/>
      <c r="K1245" s="161"/>
      <c r="L1245" s="161"/>
      <c r="M1245" s="161"/>
      <c r="N1245" s="161"/>
      <c r="O1245" s="161"/>
      <c r="P1245" s="161"/>
      <c r="Q1245" s="161"/>
      <c r="R1245" s="161"/>
      <c r="S1245" s="161"/>
      <c r="T1245" s="161"/>
      <c r="U1245" s="161"/>
      <c r="V1245" s="161"/>
      <c r="W1245" s="161"/>
      <c r="X1245" s="161"/>
      <c r="Y1245" s="161"/>
      <c r="Z1245" s="161"/>
      <c r="AA1245" s="161"/>
      <c r="AB1245" s="161"/>
      <c r="AC1245" s="161"/>
      <c r="AD1245" s="161"/>
      <c r="AE1245" s="161"/>
      <c r="AF1245" s="161"/>
      <c r="AG1245" s="161"/>
      <c r="AH1245" s="161"/>
      <c r="AI1245" s="161"/>
      <c r="AJ1245" s="161"/>
      <c r="AK1245" s="161"/>
      <c r="AL1245" s="161"/>
      <c r="AM1245" s="161"/>
      <c r="AN1245" s="161"/>
      <c r="AO1245" s="161"/>
      <c r="AP1245" s="161"/>
      <c r="AQ1245" s="161"/>
      <c r="AR1245" s="161"/>
      <c r="AS1245" s="161"/>
      <c r="AT1245" s="161"/>
      <c r="AU1245" s="161"/>
      <c r="AV1245" s="161"/>
      <c r="AW1245" s="161"/>
      <c r="AX1245" s="161"/>
      <c r="AY1245" s="161"/>
      <c r="AZ1245" s="161"/>
      <c r="BA1245" s="161"/>
      <c r="BB1245" s="161"/>
      <c r="BC1245" s="161"/>
      <c r="BD1245" s="161"/>
      <c r="BE1245" s="161"/>
      <c r="BF1245" s="161"/>
      <c r="BG1245" s="161"/>
      <c r="BH1245" s="161"/>
      <c r="BI1245" s="161"/>
      <c r="BJ1245" s="161"/>
      <c r="BK1245" s="161"/>
      <c r="BL1245" s="161"/>
      <c r="BM1245" s="161"/>
      <c r="BN1245" s="161"/>
      <c r="BO1245" s="161"/>
      <c r="BP1245" s="161"/>
      <c r="BQ1245" s="161"/>
      <c r="BR1245" s="161"/>
      <c r="BS1245" s="161"/>
      <c r="BT1245" s="161"/>
      <c r="BU1245" s="161"/>
      <c r="BV1245" s="161"/>
      <c r="BW1245" s="161"/>
      <c r="BX1245" s="161"/>
      <c r="BY1245" s="161"/>
      <c r="BZ1245" s="161"/>
      <c r="CA1245" s="161"/>
      <c r="CB1245" s="161"/>
      <c r="CC1245" s="161"/>
      <c r="CD1245" s="161"/>
      <c r="CE1245" s="161"/>
      <c r="CF1245" s="161"/>
      <c r="CG1245" s="161"/>
    </row>
    <row r="1246">
      <c r="A1246" s="161"/>
      <c r="B1246" s="161"/>
      <c r="C1246" s="161"/>
      <c r="D1246" s="161"/>
      <c r="E1246" s="161"/>
      <c r="F1246" s="161"/>
      <c r="G1246" s="161"/>
      <c r="H1246" s="161"/>
      <c r="I1246" s="161"/>
      <c r="J1246" s="161"/>
      <c r="K1246" s="161"/>
      <c r="L1246" s="161"/>
      <c r="M1246" s="161"/>
      <c r="N1246" s="161"/>
      <c r="O1246" s="161"/>
      <c r="P1246" s="161"/>
      <c r="Q1246" s="161"/>
      <c r="R1246" s="161"/>
      <c r="S1246" s="161"/>
      <c r="T1246" s="161"/>
      <c r="U1246" s="161"/>
      <c r="V1246" s="161"/>
      <c r="W1246" s="161"/>
      <c r="X1246" s="161"/>
      <c r="Y1246" s="161"/>
      <c r="Z1246" s="161"/>
      <c r="AA1246" s="161"/>
      <c r="AB1246" s="161"/>
      <c r="AC1246" s="161"/>
      <c r="AD1246" s="161"/>
      <c r="AE1246" s="161"/>
      <c r="AF1246" s="161"/>
      <c r="AG1246" s="161"/>
      <c r="AH1246" s="161"/>
      <c r="AI1246" s="161"/>
      <c r="AJ1246" s="161"/>
      <c r="AK1246" s="161"/>
      <c r="AL1246" s="161"/>
      <c r="AM1246" s="161"/>
      <c r="AN1246" s="161"/>
      <c r="AO1246" s="161"/>
      <c r="AP1246" s="161"/>
      <c r="AQ1246" s="161"/>
      <c r="AR1246" s="161"/>
      <c r="AS1246" s="161"/>
      <c r="AT1246" s="161"/>
      <c r="AU1246" s="161"/>
      <c r="AV1246" s="161"/>
      <c r="AW1246" s="161"/>
      <c r="AX1246" s="161"/>
      <c r="AY1246" s="161"/>
      <c r="AZ1246" s="161"/>
      <c r="BA1246" s="161"/>
      <c r="BB1246" s="161"/>
      <c r="BC1246" s="161"/>
      <c r="BD1246" s="161"/>
      <c r="BE1246" s="161"/>
      <c r="BF1246" s="161"/>
      <c r="BG1246" s="161"/>
      <c r="BH1246" s="161"/>
      <c r="BI1246" s="161"/>
      <c r="BJ1246" s="161"/>
      <c r="BK1246" s="161"/>
      <c r="BL1246" s="161"/>
      <c r="BM1246" s="161"/>
      <c r="BN1246" s="161"/>
      <c r="BO1246" s="161"/>
      <c r="BP1246" s="161"/>
      <c r="BQ1246" s="161"/>
      <c r="BR1246" s="161"/>
      <c r="BS1246" s="161"/>
      <c r="BT1246" s="161"/>
      <c r="BU1246" s="161"/>
      <c r="BV1246" s="161"/>
      <c r="BW1246" s="161"/>
      <c r="BX1246" s="161"/>
      <c r="BY1246" s="161"/>
      <c r="BZ1246" s="161"/>
      <c r="CA1246" s="161"/>
      <c r="CB1246" s="161"/>
      <c r="CC1246" s="161"/>
      <c r="CD1246" s="161"/>
      <c r="CE1246" s="161"/>
      <c r="CF1246" s="161"/>
      <c r="CG1246" s="161"/>
    </row>
    <row r="1247">
      <c r="A1247" s="161"/>
      <c r="B1247" s="161"/>
      <c r="C1247" s="161"/>
      <c r="D1247" s="161"/>
      <c r="E1247" s="161"/>
      <c r="F1247" s="161"/>
      <c r="G1247" s="161"/>
      <c r="H1247" s="161"/>
      <c r="I1247" s="161"/>
      <c r="J1247" s="161"/>
      <c r="K1247" s="161"/>
      <c r="L1247" s="161"/>
      <c r="M1247" s="161"/>
      <c r="N1247" s="161"/>
      <c r="O1247" s="161"/>
      <c r="P1247" s="161"/>
      <c r="Q1247" s="161"/>
      <c r="R1247" s="161"/>
      <c r="S1247" s="161"/>
      <c r="T1247" s="161"/>
      <c r="U1247" s="161"/>
      <c r="V1247" s="161"/>
      <c r="W1247" s="161"/>
      <c r="X1247" s="161"/>
      <c r="Y1247" s="161"/>
      <c r="Z1247" s="161"/>
      <c r="AA1247" s="161"/>
      <c r="AB1247" s="161"/>
      <c r="AC1247" s="161"/>
      <c r="AD1247" s="161"/>
      <c r="AE1247" s="161"/>
      <c r="AF1247" s="161"/>
      <c r="AG1247" s="161"/>
      <c r="AH1247" s="161"/>
      <c r="AI1247" s="161"/>
      <c r="AJ1247" s="161"/>
      <c r="AK1247" s="161"/>
      <c r="AL1247" s="161"/>
      <c r="AM1247" s="161"/>
      <c r="AN1247" s="161"/>
      <c r="AO1247" s="161"/>
      <c r="AP1247" s="161"/>
      <c r="AQ1247" s="161"/>
      <c r="AR1247" s="161"/>
      <c r="AS1247" s="161"/>
      <c r="AT1247" s="161"/>
      <c r="AU1247" s="161"/>
      <c r="AV1247" s="161"/>
      <c r="AW1247" s="161"/>
      <c r="AX1247" s="161"/>
      <c r="AY1247" s="161"/>
      <c r="AZ1247" s="161"/>
      <c r="BA1247" s="161"/>
      <c r="BB1247" s="161"/>
      <c r="BC1247" s="161"/>
      <c r="BD1247" s="161"/>
      <c r="BE1247" s="161"/>
      <c r="BF1247" s="161"/>
      <c r="BG1247" s="161"/>
      <c r="BH1247" s="161"/>
      <c r="BI1247" s="161"/>
      <c r="BJ1247" s="161"/>
      <c r="BK1247" s="161"/>
      <c r="BL1247" s="161"/>
      <c r="BM1247" s="161"/>
      <c r="BN1247" s="161"/>
      <c r="BO1247" s="161"/>
      <c r="BP1247" s="161"/>
      <c r="BQ1247" s="161"/>
      <c r="BR1247" s="161"/>
      <c r="BS1247" s="161"/>
      <c r="BT1247" s="161"/>
      <c r="BU1247" s="161"/>
      <c r="BV1247" s="161"/>
      <c r="BW1247" s="161"/>
      <c r="BX1247" s="161"/>
      <c r="BY1247" s="161"/>
      <c r="BZ1247" s="161"/>
      <c r="CA1247" s="161"/>
      <c r="CB1247" s="161"/>
      <c r="CC1247" s="161"/>
      <c r="CD1247" s="161"/>
      <c r="CE1247" s="161"/>
      <c r="CF1247" s="161"/>
      <c r="CG1247" s="161"/>
    </row>
    <row r="1248">
      <c r="A1248" s="161"/>
      <c r="B1248" s="161"/>
      <c r="C1248" s="161"/>
      <c r="D1248" s="161"/>
      <c r="E1248" s="161"/>
      <c r="F1248" s="161"/>
      <c r="G1248" s="161"/>
      <c r="H1248" s="161"/>
      <c r="I1248" s="161"/>
      <c r="J1248" s="161"/>
      <c r="K1248" s="161"/>
      <c r="L1248" s="161"/>
      <c r="M1248" s="161"/>
      <c r="N1248" s="161"/>
      <c r="O1248" s="161"/>
      <c r="P1248" s="161"/>
      <c r="Q1248" s="161"/>
      <c r="R1248" s="161"/>
      <c r="S1248" s="161"/>
      <c r="T1248" s="161"/>
      <c r="U1248" s="161"/>
      <c r="V1248" s="161"/>
      <c r="W1248" s="161"/>
      <c r="X1248" s="161"/>
      <c r="Y1248" s="161"/>
      <c r="Z1248" s="161"/>
      <c r="AA1248" s="161"/>
      <c r="AB1248" s="161"/>
      <c r="AC1248" s="161"/>
      <c r="AD1248" s="161"/>
      <c r="AE1248" s="161"/>
      <c r="AF1248" s="161"/>
      <c r="AG1248" s="161"/>
      <c r="AH1248" s="161"/>
      <c r="AI1248" s="161"/>
      <c r="AJ1248" s="161"/>
      <c r="AK1248" s="161"/>
      <c r="AL1248" s="161"/>
      <c r="AM1248" s="161"/>
      <c r="AN1248" s="161"/>
      <c r="AO1248" s="161"/>
      <c r="AP1248" s="161"/>
      <c r="AQ1248" s="161"/>
      <c r="AR1248" s="161"/>
      <c r="AS1248" s="161"/>
      <c r="AT1248" s="161"/>
      <c r="AU1248" s="161"/>
      <c r="AV1248" s="161"/>
      <c r="AW1248" s="161"/>
      <c r="AX1248" s="161"/>
      <c r="AY1248" s="161"/>
      <c r="AZ1248" s="161"/>
      <c r="BA1248" s="161"/>
      <c r="BB1248" s="161"/>
      <c r="BC1248" s="161"/>
      <c r="BD1248" s="161"/>
      <c r="BE1248" s="161"/>
      <c r="BF1248" s="161"/>
      <c r="BG1248" s="161"/>
      <c r="BH1248" s="161"/>
      <c r="BI1248" s="161"/>
      <c r="BJ1248" s="161"/>
      <c r="BK1248" s="161"/>
      <c r="BL1248" s="161"/>
      <c r="BM1248" s="161"/>
      <c r="BN1248" s="161"/>
      <c r="BO1248" s="161"/>
      <c r="BP1248" s="161"/>
      <c r="BQ1248" s="161"/>
      <c r="BR1248" s="161"/>
      <c r="BS1248" s="161"/>
      <c r="BT1248" s="161"/>
      <c r="BU1248" s="161"/>
      <c r="BV1248" s="161"/>
      <c r="BW1248" s="161"/>
      <c r="BX1248" s="161"/>
      <c r="BY1248" s="161"/>
      <c r="BZ1248" s="161"/>
      <c r="CA1248" s="161"/>
      <c r="CB1248" s="161"/>
      <c r="CC1248" s="161"/>
      <c r="CD1248" s="161"/>
      <c r="CE1248" s="161"/>
      <c r="CF1248" s="161"/>
      <c r="CG1248" s="161"/>
    </row>
    <row r="1249">
      <c r="A1249" s="161"/>
      <c r="B1249" s="161"/>
      <c r="C1249" s="161"/>
      <c r="D1249" s="161"/>
      <c r="E1249" s="161"/>
      <c r="F1249" s="161"/>
      <c r="G1249" s="161"/>
      <c r="H1249" s="161"/>
      <c r="I1249" s="161"/>
      <c r="J1249" s="161"/>
      <c r="K1249" s="161"/>
      <c r="L1249" s="161"/>
      <c r="M1249" s="161"/>
      <c r="N1249" s="161"/>
      <c r="O1249" s="161"/>
      <c r="P1249" s="161"/>
      <c r="Q1249" s="161"/>
      <c r="R1249" s="161"/>
      <c r="S1249" s="161"/>
      <c r="T1249" s="161"/>
      <c r="U1249" s="161"/>
      <c r="V1249" s="161"/>
      <c r="W1249" s="161"/>
      <c r="X1249" s="161"/>
      <c r="Y1249" s="161"/>
      <c r="Z1249" s="161"/>
      <c r="AA1249" s="161"/>
      <c r="AB1249" s="161"/>
      <c r="AC1249" s="161"/>
      <c r="AD1249" s="161"/>
      <c r="AE1249" s="161"/>
      <c r="AF1249" s="161"/>
      <c r="AG1249" s="161"/>
      <c r="AH1249" s="161"/>
      <c r="AI1249" s="161"/>
      <c r="AJ1249" s="161"/>
      <c r="AK1249" s="161"/>
      <c r="AL1249" s="161"/>
      <c r="AM1249" s="161"/>
      <c r="AN1249" s="161"/>
      <c r="AO1249" s="161"/>
      <c r="AP1249" s="161"/>
      <c r="AQ1249" s="161"/>
      <c r="AR1249" s="161"/>
      <c r="AS1249" s="161"/>
      <c r="AT1249" s="161"/>
      <c r="AU1249" s="161"/>
      <c r="AV1249" s="161"/>
      <c r="AW1249" s="161"/>
      <c r="AX1249" s="161"/>
      <c r="AY1249" s="161"/>
      <c r="AZ1249" s="161"/>
      <c r="BA1249" s="161"/>
      <c r="BB1249" s="161"/>
      <c r="BC1249" s="161"/>
      <c r="BD1249" s="161"/>
      <c r="BE1249" s="161"/>
      <c r="BF1249" s="161"/>
      <c r="BG1249" s="161"/>
      <c r="BH1249" s="161"/>
      <c r="BI1249" s="161"/>
      <c r="BJ1249" s="161"/>
      <c r="BK1249" s="161"/>
      <c r="BL1249" s="161"/>
      <c r="BM1249" s="161"/>
      <c r="BN1249" s="161"/>
      <c r="BO1249" s="161"/>
      <c r="BP1249" s="161"/>
      <c r="BQ1249" s="161"/>
      <c r="BR1249" s="161"/>
      <c r="BS1249" s="161"/>
      <c r="BT1249" s="161"/>
      <c r="BU1249" s="161"/>
      <c r="BV1249" s="161"/>
      <c r="BW1249" s="161"/>
      <c r="BX1249" s="161"/>
      <c r="BY1249" s="161"/>
      <c r="BZ1249" s="161"/>
      <c r="CA1249" s="161"/>
      <c r="CB1249" s="161"/>
      <c r="CC1249" s="161"/>
      <c r="CD1249" s="161"/>
      <c r="CE1249" s="161"/>
      <c r="CF1249" s="161"/>
      <c r="CG1249" s="161"/>
    </row>
    <row r="1250">
      <c r="A1250" s="161"/>
      <c r="B1250" s="161"/>
      <c r="C1250" s="161"/>
      <c r="D1250" s="161"/>
      <c r="E1250" s="161"/>
      <c r="F1250" s="161"/>
      <c r="G1250" s="161"/>
      <c r="H1250" s="161"/>
      <c r="I1250" s="161"/>
      <c r="J1250" s="161"/>
      <c r="K1250" s="161"/>
      <c r="L1250" s="161"/>
      <c r="M1250" s="161"/>
      <c r="N1250" s="161"/>
      <c r="O1250" s="161"/>
      <c r="P1250" s="161"/>
      <c r="Q1250" s="161"/>
      <c r="R1250" s="161"/>
      <c r="S1250" s="161"/>
      <c r="T1250" s="161"/>
      <c r="U1250" s="161"/>
      <c r="V1250" s="161"/>
      <c r="W1250" s="161"/>
      <c r="X1250" s="161"/>
      <c r="Y1250" s="161"/>
      <c r="Z1250" s="161"/>
      <c r="AA1250" s="161"/>
      <c r="AB1250" s="161"/>
      <c r="AC1250" s="161"/>
      <c r="AD1250" s="161"/>
      <c r="AE1250" s="161"/>
      <c r="AF1250" s="161"/>
      <c r="AG1250" s="161"/>
      <c r="AH1250" s="161"/>
      <c r="AI1250" s="161"/>
      <c r="AJ1250" s="161"/>
      <c r="AK1250" s="161"/>
      <c r="AL1250" s="161"/>
      <c r="AM1250" s="161"/>
      <c r="AN1250" s="161"/>
      <c r="AO1250" s="161"/>
      <c r="AP1250" s="161"/>
      <c r="AQ1250" s="161"/>
      <c r="AR1250" s="161"/>
      <c r="AS1250" s="161"/>
      <c r="AT1250" s="161"/>
      <c r="AU1250" s="161"/>
      <c r="AV1250" s="161"/>
      <c r="AW1250" s="161"/>
      <c r="AX1250" s="161"/>
      <c r="AY1250" s="161"/>
      <c r="AZ1250" s="161"/>
      <c r="BA1250" s="161"/>
      <c r="BB1250" s="161"/>
      <c r="BC1250" s="161"/>
      <c r="BD1250" s="161"/>
      <c r="BE1250" s="161"/>
      <c r="BF1250" s="161"/>
      <c r="BG1250" s="161"/>
      <c r="BH1250" s="161"/>
      <c r="BI1250" s="161"/>
      <c r="BJ1250" s="161"/>
      <c r="BK1250" s="161"/>
      <c r="BL1250" s="161"/>
      <c r="BM1250" s="161"/>
      <c r="BN1250" s="161"/>
      <c r="BO1250" s="161"/>
      <c r="BP1250" s="161"/>
      <c r="BQ1250" s="161"/>
      <c r="BR1250" s="161"/>
      <c r="BS1250" s="161"/>
      <c r="BT1250" s="161"/>
      <c r="BU1250" s="161"/>
      <c r="BV1250" s="161"/>
      <c r="BW1250" s="161"/>
      <c r="BX1250" s="161"/>
      <c r="BY1250" s="161"/>
      <c r="BZ1250" s="161"/>
      <c r="CA1250" s="161"/>
      <c r="CB1250" s="161"/>
      <c r="CC1250" s="161"/>
      <c r="CD1250" s="161"/>
      <c r="CE1250" s="161"/>
      <c r="CF1250" s="161"/>
      <c r="CG1250" s="161"/>
    </row>
    <row r="1251">
      <c r="A1251" s="161"/>
      <c r="B1251" s="161"/>
      <c r="C1251" s="161"/>
      <c r="D1251" s="161"/>
      <c r="E1251" s="161"/>
      <c r="F1251" s="161"/>
      <c r="G1251" s="161"/>
      <c r="H1251" s="161"/>
      <c r="I1251" s="161"/>
      <c r="J1251" s="161"/>
      <c r="K1251" s="161"/>
      <c r="L1251" s="161"/>
      <c r="M1251" s="161"/>
      <c r="N1251" s="161"/>
      <c r="O1251" s="161"/>
      <c r="P1251" s="161"/>
      <c r="Q1251" s="161"/>
      <c r="R1251" s="161"/>
      <c r="S1251" s="161"/>
      <c r="T1251" s="161"/>
      <c r="U1251" s="161"/>
      <c r="V1251" s="161"/>
      <c r="W1251" s="161"/>
      <c r="X1251" s="161"/>
      <c r="Y1251" s="161"/>
      <c r="Z1251" s="161"/>
      <c r="AA1251" s="161"/>
      <c r="AB1251" s="161"/>
      <c r="AC1251" s="161"/>
      <c r="AD1251" s="161"/>
      <c r="AE1251" s="161"/>
      <c r="AF1251" s="161"/>
      <c r="AG1251" s="161"/>
      <c r="AH1251" s="161"/>
      <c r="AI1251" s="161"/>
      <c r="AJ1251" s="161"/>
      <c r="AK1251" s="161"/>
      <c r="AL1251" s="161"/>
      <c r="AM1251" s="161"/>
      <c r="AN1251" s="161"/>
      <c r="AO1251" s="161"/>
      <c r="AP1251" s="161"/>
      <c r="AQ1251" s="161"/>
      <c r="AR1251" s="161"/>
      <c r="AS1251" s="161"/>
      <c r="AT1251" s="161"/>
      <c r="AU1251" s="161"/>
      <c r="AV1251" s="161"/>
      <c r="AW1251" s="161"/>
      <c r="AX1251" s="161"/>
      <c r="AY1251" s="161"/>
      <c r="AZ1251" s="161"/>
      <c r="BA1251" s="161"/>
      <c r="BB1251" s="161"/>
      <c r="BC1251" s="161"/>
      <c r="BD1251" s="161"/>
      <c r="BE1251" s="161"/>
      <c r="BF1251" s="161"/>
      <c r="BG1251" s="161"/>
      <c r="BH1251" s="161"/>
      <c r="BI1251" s="161"/>
      <c r="BJ1251" s="161"/>
      <c r="BK1251" s="161"/>
      <c r="BL1251" s="161"/>
      <c r="BM1251" s="161"/>
      <c r="BN1251" s="161"/>
      <c r="BO1251" s="161"/>
      <c r="BP1251" s="161"/>
      <c r="BQ1251" s="161"/>
      <c r="BR1251" s="161"/>
      <c r="BS1251" s="161"/>
      <c r="BT1251" s="161"/>
      <c r="BU1251" s="161"/>
      <c r="BV1251" s="161"/>
      <c r="BW1251" s="161"/>
      <c r="BX1251" s="161"/>
      <c r="BY1251" s="161"/>
      <c r="BZ1251" s="161"/>
      <c r="CA1251" s="161"/>
      <c r="CB1251" s="161"/>
      <c r="CC1251" s="161"/>
      <c r="CD1251" s="161"/>
      <c r="CE1251" s="161"/>
      <c r="CF1251" s="161"/>
      <c r="CG1251" s="161"/>
    </row>
    <row r="1252">
      <c r="A1252" s="161"/>
      <c r="B1252" s="161"/>
      <c r="C1252" s="161"/>
      <c r="D1252" s="161"/>
      <c r="E1252" s="161"/>
      <c r="F1252" s="161"/>
      <c r="G1252" s="161"/>
      <c r="H1252" s="161"/>
      <c r="I1252" s="161"/>
      <c r="J1252" s="161"/>
      <c r="K1252" s="161"/>
      <c r="L1252" s="161"/>
      <c r="M1252" s="161"/>
      <c r="N1252" s="161"/>
      <c r="O1252" s="161"/>
      <c r="P1252" s="161"/>
      <c r="Q1252" s="161"/>
      <c r="R1252" s="161"/>
      <c r="S1252" s="161"/>
      <c r="T1252" s="161"/>
      <c r="U1252" s="161"/>
      <c r="V1252" s="161"/>
      <c r="W1252" s="161"/>
      <c r="X1252" s="161"/>
      <c r="Y1252" s="161"/>
      <c r="Z1252" s="161"/>
      <c r="AA1252" s="161"/>
      <c r="AB1252" s="161"/>
      <c r="AC1252" s="161"/>
      <c r="AD1252" s="161"/>
      <c r="AE1252" s="161"/>
      <c r="AF1252" s="161"/>
      <c r="AG1252" s="161"/>
      <c r="AH1252" s="161"/>
      <c r="AI1252" s="161"/>
      <c r="AJ1252" s="161"/>
      <c r="AK1252" s="161"/>
      <c r="AL1252" s="161"/>
      <c r="AM1252" s="161"/>
      <c r="AN1252" s="161"/>
      <c r="AO1252" s="161"/>
      <c r="AP1252" s="161"/>
      <c r="AQ1252" s="161"/>
      <c r="AR1252" s="161"/>
      <c r="AS1252" s="161"/>
      <c r="AT1252" s="161"/>
      <c r="AU1252" s="161"/>
      <c r="AV1252" s="161"/>
      <c r="AW1252" s="161"/>
      <c r="AX1252" s="161"/>
      <c r="AY1252" s="161"/>
      <c r="AZ1252" s="161"/>
      <c r="BA1252" s="161"/>
      <c r="BB1252" s="161"/>
      <c r="BC1252" s="161"/>
      <c r="BD1252" s="161"/>
      <c r="BE1252" s="161"/>
      <c r="BF1252" s="161"/>
      <c r="BG1252" s="161"/>
      <c r="BH1252" s="161"/>
      <c r="BI1252" s="161"/>
      <c r="BJ1252" s="161"/>
      <c r="BK1252" s="161"/>
      <c r="BL1252" s="161"/>
      <c r="BM1252" s="161"/>
      <c r="BN1252" s="161"/>
      <c r="BO1252" s="161"/>
      <c r="BP1252" s="161"/>
      <c r="BQ1252" s="161"/>
      <c r="BR1252" s="161"/>
      <c r="BS1252" s="161"/>
      <c r="BT1252" s="161"/>
      <c r="BU1252" s="161"/>
      <c r="BV1252" s="161"/>
      <c r="BW1252" s="161"/>
      <c r="BX1252" s="161"/>
      <c r="BY1252" s="161"/>
      <c r="BZ1252" s="161"/>
      <c r="CA1252" s="161"/>
      <c r="CB1252" s="161"/>
      <c r="CC1252" s="161"/>
      <c r="CD1252" s="161"/>
      <c r="CE1252" s="161"/>
      <c r="CF1252" s="161"/>
      <c r="CG1252" s="161"/>
    </row>
    <row r="1253">
      <c r="A1253" s="161"/>
      <c r="B1253" s="161"/>
      <c r="C1253" s="161"/>
      <c r="D1253" s="161"/>
      <c r="E1253" s="161"/>
      <c r="F1253" s="161"/>
      <c r="G1253" s="161"/>
      <c r="H1253" s="161"/>
      <c r="I1253" s="161"/>
      <c r="J1253" s="161"/>
      <c r="K1253" s="161"/>
      <c r="L1253" s="161"/>
      <c r="M1253" s="161"/>
      <c r="N1253" s="161"/>
      <c r="O1253" s="161"/>
      <c r="P1253" s="161"/>
      <c r="Q1253" s="161"/>
      <c r="R1253" s="161"/>
      <c r="S1253" s="161"/>
      <c r="T1253" s="161"/>
      <c r="U1253" s="161"/>
      <c r="V1253" s="161"/>
      <c r="W1253" s="161"/>
      <c r="X1253" s="161"/>
      <c r="Y1253" s="161"/>
      <c r="Z1253" s="161"/>
      <c r="AA1253" s="161"/>
      <c r="AB1253" s="161"/>
      <c r="AC1253" s="161"/>
      <c r="AD1253" s="161"/>
      <c r="AE1253" s="161"/>
      <c r="AF1253" s="161"/>
      <c r="AG1253" s="161"/>
      <c r="AH1253" s="161"/>
      <c r="AI1253" s="161"/>
      <c r="AJ1253" s="161"/>
      <c r="AK1253" s="161"/>
      <c r="AL1253" s="161"/>
      <c r="AM1253" s="161"/>
      <c r="AN1253" s="161"/>
      <c r="AO1253" s="161"/>
      <c r="AP1253" s="161"/>
      <c r="AQ1253" s="161"/>
      <c r="AR1253" s="161"/>
      <c r="AS1253" s="161"/>
      <c r="AT1253" s="161"/>
      <c r="AU1253" s="161"/>
      <c r="AV1253" s="161"/>
      <c r="AW1253" s="161"/>
      <c r="AX1253" s="161"/>
      <c r="AY1253" s="161"/>
      <c r="AZ1253" s="161"/>
      <c r="BA1253" s="161"/>
      <c r="BB1253" s="161"/>
      <c r="BC1253" s="161"/>
      <c r="BD1253" s="161"/>
      <c r="BE1253" s="161"/>
      <c r="BF1253" s="161"/>
      <c r="BG1253" s="161"/>
      <c r="BH1253" s="161"/>
      <c r="BI1253" s="161"/>
      <c r="BJ1253" s="161"/>
      <c r="BK1253" s="161"/>
      <c r="BL1253" s="161"/>
      <c r="BM1253" s="161"/>
      <c r="BN1253" s="161"/>
      <c r="BO1253" s="161"/>
      <c r="BP1253" s="161"/>
      <c r="BQ1253" s="161"/>
      <c r="BR1253" s="161"/>
      <c r="BS1253" s="161"/>
      <c r="BT1253" s="161"/>
      <c r="BU1253" s="161"/>
      <c r="BV1253" s="161"/>
      <c r="BW1253" s="161"/>
      <c r="BX1253" s="161"/>
      <c r="BY1253" s="161"/>
      <c r="BZ1253" s="161"/>
      <c r="CA1253" s="161"/>
      <c r="CB1253" s="161"/>
      <c r="CC1253" s="161"/>
      <c r="CD1253" s="161"/>
      <c r="CE1253" s="161"/>
      <c r="CF1253" s="161"/>
      <c r="CG1253" s="161"/>
    </row>
    <row r="1254">
      <c r="A1254" s="161"/>
      <c r="B1254" s="161"/>
      <c r="C1254" s="161"/>
      <c r="D1254" s="161"/>
      <c r="E1254" s="161"/>
      <c r="F1254" s="161"/>
      <c r="G1254" s="161"/>
      <c r="H1254" s="161"/>
      <c r="I1254" s="161"/>
      <c r="J1254" s="161"/>
      <c r="K1254" s="161"/>
      <c r="L1254" s="161"/>
      <c r="M1254" s="161"/>
      <c r="N1254" s="161"/>
      <c r="O1254" s="161"/>
      <c r="P1254" s="161"/>
      <c r="Q1254" s="161"/>
      <c r="R1254" s="161"/>
      <c r="S1254" s="161"/>
      <c r="T1254" s="161"/>
      <c r="U1254" s="161"/>
      <c r="V1254" s="161"/>
      <c r="W1254" s="161"/>
      <c r="X1254" s="161"/>
      <c r="Y1254" s="161"/>
      <c r="Z1254" s="161"/>
      <c r="AA1254" s="161"/>
      <c r="AB1254" s="161"/>
      <c r="AC1254" s="161"/>
      <c r="AD1254" s="161"/>
      <c r="AE1254" s="161"/>
      <c r="AF1254" s="161"/>
      <c r="AG1254" s="161"/>
      <c r="AH1254" s="161"/>
      <c r="AI1254" s="161"/>
      <c r="AJ1254" s="161"/>
      <c r="AK1254" s="161"/>
      <c r="AL1254" s="161"/>
      <c r="AM1254" s="161"/>
      <c r="AN1254" s="161"/>
      <c r="AO1254" s="161"/>
      <c r="AP1254" s="161"/>
      <c r="AQ1254" s="161"/>
      <c r="AR1254" s="161"/>
      <c r="AS1254" s="161"/>
      <c r="AT1254" s="161"/>
      <c r="AU1254" s="161"/>
      <c r="AV1254" s="161"/>
      <c r="AW1254" s="161"/>
      <c r="AX1254" s="161"/>
      <c r="AY1254" s="161"/>
      <c r="AZ1254" s="161"/>
      <c r="BA1254" s="161"/>
      <c r="BB1254" s="161"/>
      <c r="BC1254" s="161"/>
      <c r="BD1254" s="161"/>
      <c r="BE1254" s="161"/>
      <c r="BF1254" s="161"/>
      <c r="BG1254" s="161"/>
      <c r="BH1254" s="161"/>
      <c r="BI1254" s="161"/>
      <c r="BJ1254" s="161"/>
      <c r="BK1254" s="161"/>
      <c r="BL1254" s="161"/>
      <c r="BM1254" s="161"/>
      <c r="BN1254" s="161"/>
      <c r="BO1254" s="161"/>
      <c r="BP1254" s="161"/>
      <c r="BQ1254" s="161"/>
      <c r="BR1254" s="161"/>
      <c r="BS1254" s="161"/>
      <c r="BT1254" s="161"/>
      <c r="BU1254" s="161"/>
      <c r="BV1254" s="161"/>
      <c r="BW1254" s="161"/>
      <c r="BX1254" s="161"/>
      <c r="BY1254" s="161"/>
      <c r="BZ1254" s="161"/>
      <c r="CA1254" s="161"/>
      <c r="CB1254" s="161"/>
      <c r="CC1254" s="161"/>
      <c r="CD1254" s="161"/>
      <c r="CE1254" s="161"/>
      <c r="CF1254" s="161"/>
      <c r="CG1254" s="161"/>
    </row>
    <row r="1255">
      <c r="A1255" s="161"/>
      <c r="B1255" s="161"/>
      <c r="C1255" s="161"/>
      <c r="D1255" s="161"/>
      <c r="E1255" s="161"/>
      <c r="F1255" s="161"/>
      <c r="G1255" s="161"/>
      <c r="H1255" s="161"/>
      <c r="I1255" s="161"/>
      <c r="J1255" s="161"/>
      <c r="K1255" s="161"/>
      <c r="L1255" s="161"/>
      <c r="M1255" s="161"/>
      <c r="N1255" s="161"/>
      <c r="O1255" s="161"/>
      <c r="P1255" s="161"/>
      <c r="Q1255" s="161"/>
      <c r="R1255" s="161"/>
      <c r="S1255" s="161"/>
      <c r="T1255" s="161"/>
      <c r="U1255" s="161"/>
      <c r="V1255" s="161"/>
      <c r="W1255" s="161"/>
      <c r="X1255" s="161"/>
      <c r="Y1255" s="161"/>
      <c r="Z1255" s="161"/>
      <c r="AA1255" s="161"/>
      <c r="AB1255" s="161"/>
      <c r="AC1255" s="161"/>
      <c r="AD1255" s="161"/>
      <c r="AE1255" s="161"/>
      <c r="AF1255" s="161"/>
      <c r="AG1255" s="161"/>
      <c r="AH1255" s="161"/>
      <c r="AI1255" s="161"/>
      <c r="AJ1255" s="161"/>
      <c r="AK1255" s="161"/>
      <c r="AL1255" s="161"/>
      <c r="AM1255" s="161"/>
      <c r="AN1255" s="161"/>
      <c r="AO1255" s="161"/>
      <c r="AP1255" s="161"/>
      <c r="AQ1255" s="161"/>
      <c r="AR1255" s="161"/>
      <c r="AS1255" s="161"/>
      <c r="AT1255" s="161"/>
      <c r="AU1255" s="161"/>
      <c r="AV1255" s="161"/>
      <c r="AW1255" s="161"/>
      <c r="AX1255" s="161"/>
      <c r="AY1255" s="161"/>
      <c r="AZ1255" s="161"/>
      <c r="BA1255" s="161"/>
      <c r="BB1255" s="161"/>
      <c r="BC1255" s="161"/>
      <c r="BD1255" s="161"/>
      <c r="BE1255" s="161"/>
      <c r="BF1255" s="161"/>
      <c r="BG1255" s="161"/>
      <c r="BH1255" s="161"/>
      <c r="BI1255" s="161"/>
      <c r="BJ1255" s="161"/>
      <c r="BK1255" s="161"/>
      <c r="BL1255" s="161"/>
      <c r="BM1255" s="161"/>
      <c r="BN1255" s="161"/>
      <c r="BO1255" s="161"/>
      <c r="BP1255" s="161"/>
      <c r="BQ1255" s="161"/>
      <c r="BR1255" s="161"/>
      <c r="BS1255" s="161"/>
      <c r="BT1255" s="161"/>
      <c r="BU1255" s="161"/>
      <c r="BV1255" s="161"/>
      <c r="BW1255" s="161"/>
      <c r="BX1255" s="161"/>
      <c r="BY1255" s="161"/>
      <c r="BZ1255" s="161"/>
      <c r="CA1255" s="161"/>
      <c r="CB1255" s="161"/>
      <c r="CC1255" s="161"/>
      <c r="CD1255" s="161"/>
      <c r="CE1255" s="161"/>
      <c r="CF1255" s="161"/>
      <c r="CG1255" s="161"/>
    </row>
    <row r="1256">
      <c r="A1256" s="161"/>
      <c r="B1256" s="161"/>
      <c r="C1256" s="161"/>
      <c r="D1256" s="161"/>
      <c r="E1256" s="161"/>
      <c r="F1256" s="161"/>
      <c r="G1256" s="161"/>
      <c r="H1256" s="161"/>
      <c r="I1256" s="161"/>
      <c r="J1256" s="161"/>
      <c r="K1256" s="161"/>
      <c r="L1256" s="161"/>
      <c r="M1256" s="161"/>
      <c r="N1256" s="161"/>
      <c r="O1256" s="161"/>
      <c r="P1256" s="161"/>
      <c r="Q1256" s="161"/>
      <c r="R1256" s="161"/>
      <c r="S1256" s="161"/>
      <c r="T1256" s="161"/>
      <c r="U1256" s="161"/>
      <c r="V1256" s="161"/>
      <c r="W1256" s="161"/>
      <c r="X1256" s="161"/>
      <c r="Y1256" s="161"/>
      <c r="Z1256" s="161"/>
      <c r="AA1256" s="161"/>
      <c r="AB1256" s="161"/>
      <c r="AC1256" s="161"/>
      <c r="AD1256" s="161"/>
      <c r="AE1256" s="161"/>
      <c r="AF1256" s="161"/>
      <c r="AG1256" s="161"/>
      <c r="AH1256" s="161"/>
      <c r="AI1256" s="161"/>
      <c r="AJ1256" s="161"/>
      <c r="AK1256" s="161"/>
      <c r="AL1256" s="161"/>
      <c r="AM1256" s="161"/>
      <c r="AN1256" s="161"/>
      <c r="AO1256" s="161"/>
      <c r="AP1256" s="161"/>
      <c r="AQ1256" s="161"/>
      <c r="AR1256" s="161"/>
      <c r="AS1256" s="161"/>
      <c r="AT1256" s="161"/>
      <c r="AU1256" s="161"/>
      <c r="AV1256" s="161"/>
      <c r="AW1256" s="161"/>
      <c r="AX1256" s="161"/>
      <c r="AY1256" s="161"/>
      <c r="AZ1256" s="161"/>
      <c r="BA1256" s="161"/>
      <c r="BB1256" s="161"/>
      <c r="BC1256" s="161"/>
      <c r="BD1256" s="161"/>
      <c r="BE1256" s="161"/>
      <c r="BF1256" s="161"/>
      <c r="BG1256" s="161"/>
      <c r="BH1256" s="161"/>
      <c r="BI1256" s="161"/>
      <c r="BJ1256" s="161"/>
      <c r="BK1256" s="161"/>
      <c r="BL1256" s="161"/>
      <c r="BM1256" s="161"/>
      <c r="BN1256" s="161"/>
      <c r="BO1256" s="161"/>
      <c r="BP1256" s="161"/>
      <c r="BQ1256" s="161"/>
      <c r="BR1256" s="161"/>
      <c r="BS1256" s="161"/>
      <c r="BT1256" s="161"/>
      <c r="BU1256" s="161"/>
      <c r="BV1256" s="161"/>
      <c r="BW1256" s="161"/>
      <c r="BX1256" s="161"/>
      <c r="BY1256" s="161"/>
      <c r="BZ1256" s="161"/>
      <c r="CA1256" s="161"/>
      <c r="CB1256" s="161"/>
      <c r="CC1256" s="161"/>
      <c r="CD1256" s="161"/>
      <c r="CE1256" s="161"/>
      <c r="CF1256" s="161"/>
      <c r="CG1256" s="161"/>
    </row>
    <row r="1257">
      <c r="A1257" s="161"/>
      <c r="B1257" s="161"/>
      <c r="C1257" s="161"/>
      <c r="D1257" s="161"/>
      <c r="E1257" s="161"/>
      <c r="F1257" s="161"/>
      <c r="G1257" s="161"/>
      <c r="H1257" s="161"/>
      <c r="I1257" s="161"/>
      <c r="J1257" s="161"/>
      <c r="K1257" s="161"/>
      <c r="L1257" s="161"/>
      <c r="M1257" s="161"/>
      <c r="N1257" s="161"/>
      <c r="O1257" s="161"/>
      <c r="P1257" s="161"/>
      <c r="Q1257" s="161"/>
      <c r="R1257" s="161"/>
      <c r="S1257" s="161"/>
      <c r="T1257" s="161"/>
      <c r="U1257" s="161"/>
      <c r="V1257" s="161"/>
      <c r="W1257" s="161"/>
      <c r="X1257" s="161"/>
      <c r="Y1257" s="161"/>
      <c r="Z1257" s="161"/>
      <c r="AA1257" s="161"/>
      <c r="AB1257" s="161"/>
      <c r="AC1257" s="161"/>
      <c r="AD1257" s="161"/>
      <c r="AE1257" s="161"/>
      <c r="AF1257" s="161"/>
      <c r="AG1257" s="161"/>
      <c r="AH1257" s="161"/>
      <c r="AI1257" s="161"/>
      <c r="AJ1257" s="161"/>
      <c r="AK1257" s="161"/>
      <c r="AL1257" s="161"/>
      <c r="AM1257" s="161"/>
      <c r="AN1257" s="161"/>
      <c r="AO1257" s="161"/>
      <c r="AP1257" s="161"/>
      <c r="AQ1257" s="161"/>
      <c r="AR1257" s="161"/>
      <c r="AS1257" s="161"/>
      <c r="AT1257" s="161"/>
      <c r="AU1257" s="161"/>
      <c r="AV1257" s="161"/>
      <c r="AW1257" s="161"/>
      <c r="AX1257" s="161"/>
      <c r="AY1257" s="161"/>
      <c r="AZ1257" s="161"/>
      <c r="BA1257" s="161"/>
      <c r="BB1257" s="161"/>
      <c r="BC1257" s="161"/>
      <c r="BD1257" s="161"/>
      <c r="BE1257" s="161"/>
      <c r="BF1257" s="161"/>
      <c r="BG1257" s="161"/>
      <c r="BH1257" s="161"/>
      <c r="BI1257" s="161"/>
      <c r="BJ1257" s="161"/>
      <c r="BK1257" s="161"/>
      <c r="BL1257" s="161"/>
      <c r="BM1257" s="161"/>
      <c r="BN1257" s="161"/>
      <c r="BO1257" s="161"/>
      <c r="BP1257" s="161"/>
      <c r="BQ1257" s="161"/>
      <c r="BR1257" s="161"/>
      <c r="BS1257" s="161"/>
      <c r="BT1257" s="161"/>
      <c r="BU1257" s="161"/>
      <c r="BV1257" s="161"/>
      <c r="BW1257" s="161"/>
      <c r="BX1257" s="161"/>
      <c r="BY1257" s="161"/>
      <c r="BZ1257" s="161"/>
      <c r="CA1257" s="161"/>
      <c r="CB1257" s="161"/>
      <c r="CC1257" s="161"/>
      <c r="CD1257" s="161"/>
      <c r="CE1257" s="161"/>
      <c r="CF1257" s="161"/>
      <c r="CG1257" s="161"/>
    </row>
    <row r="1258">
      <c r="A1258" s="161"/>
      <c r="B1258" s="161"/>
      <c r="C1258" s="161"/>
      <c r="D1258" s="161"/>
      <c r="E1258" s="161"/>
      <c r="F1258" s="161"/>
      <c r="G1258" s="161"/>
      <c r="H1258" s="161"/>
      <c r="I1258" s="161"/>
      <c r="J1258" s="161"/>
      <c r="K1258" s="161"/>
      <c r="L1258" s="161"/>
      <c r="M1258" s="161"/>
      <c r="N1258" s="161"/>
      <c r="O1258" s="161"/>
      <c r="P1258" s="161"/>
      <c r="Q1258" s="161"/>
      <c r="R1258" s="161"/>
      <c r="S1258" s="161"/>
      <c r="T1258" s="161"/>
      <c r="U1258" s="161"/>
      <c r="V1258" s="161"/>
      <c r="W1258" s="161"/>
      <c r="X1258" s="161"/>
      <c r="Y1258" s="161"/>
      <c r="Z1258" s="161"/>
      <c r="AA1258" s="161"/>
      <c r="AB1258" s="161"/>
      <c r="AC1258" s="161"/>
      <c r="AD1258" s="161"/>
      <c r="AE1258" s="161"/>
      <c r="AF1258" s="161"/>
      <c r="AG1258" s="161"/>
      <c r="AH1258" s="161"/>
      <c r="AI1258" s="161"/>
      <c r="AJ1258" s="161"/>
      <c r="AK1258" s="161"/>
      <c r="AL1258" s="161"/>
      <c r="AM1258" s="161"/>
      <c r="AN1258" s="161"/>
      <c r="AO1258" s="161"/>
      <c r="AP1258" s="161"/>
      <c r="AQ1258" s="161"/>
      <c r="AR1258" s="161"/>
      <c r="AS1258" s="161"/>
      <c r="AT1258" s="161"/>
      <c r="AU1258" s="161"/>
      <c r="AV1258" s="161"/>
      <c r="AW1258" s="161"/>
      <c r="AX1258" s="161"/>
      <c r="AY1258" s="161"/>
      <c r="AZ1258" s="161"/>
      <c r="BA1258" s="161"/>
      <c r="BB1258" s="161"/>
      <c r="BC1258" s="161"/>
      <c r="BD1258" s="161"/>
      <c r="BE1258" s="161"/>
      <c r="BF1258" s="161"/>
      <c r="BG1258" s="161"/>
      <c r="BH1258" s="161"/>
      <c r="BI1258" s="161"/>
      <c r="BJ1258" s="161"/>
      <c r="BK1258" s="161"/>
      <c r="BL1258" s="161"/>
      <c r="BM1258" s="161"/>
      <c r="BN1258" s="161"/>
      <c r="BO1258" s="161"/>
      <c r="BP1258" s="161"/>
      <c r="BQ1258" s="161"/>
      <c r="BR1258" s="161"/>
      <c r="BS1258" s="161"/>
      <c r="BT1258" s="161"/>
      <c r="BU1258" s="161"/>
      <c r="BV1258" s="161"/>
      <c r="BW1258" s="161"/>
      <c r="BX1258" s="161"/>
      <c r="BY1258" s="161"/>
      <c r="BZ1258" s="161"/>
      <c r="CA1258" s="161"/>
      <c r="CB1258" s="161"/>
      <c r="CC1258" s="161"/>
      <c r="CD1258" s="161"/>
      <c r="CE1258" s="161"/>
      <c r="CF1258" s="161"/>
      <c r="CG1258" s="161"/>
    </row>
    <row r="1259">
      <c r="A1259" s="161"/>
      <c r="B1259" s="161"/>
      <c r="C1259" s="161"/>
      <c r="D1259" s="161"/>
      <c r="E1259" s="161"/>
      <c r="F1259" s="161"/>
      <c r="G1259" s="161"/>
      <c r="H1259" s="161"/>
      <c r="I1259" s="161"/>
      <c r="J1259" s="161"/>
      <c r="K1259" s="161"/>
      <c r="L1259" s="161"/>
      <c r="M1259" s="161"/>
      <c r="N1259" s="161"/>
      <c r="O1259" s="161"/>
      <c r="P1259" s="161"/>
      <c r="Q1259" s="161"/>
      <c r="R1259" s="161"/>
      <c r="S1259" s="161"/>
      <c r="T1259" s="161"/>
      <c r="U1259" s="161"/>
      <c r="V1259" s="161"/>
      <c r="W1259" s="161"/>
      <c r="X1259" s="161"/>
      <c r="Y1259" s="161"/>
      <c r="Z1259" s="161"/>
      <c r="AA1259" s="161"/>
      <c r="AB1259" s="161"/>
      <c r="AC1259" s="161"/>
      <c r="AD1259" s="161"/>
      <c r="AE1259" s="161"/>
      <c r="AF1259" s="161"/>
      <c r="AG1259" s="161"/>
      <c r="AH1259" s="161"/>
      <c r="AI1259" s="161"/>
      <c r="AJ1259" s="161"/>
      <c r="AK1259" s="161"/>
      <c r="AL1259" s="161"/>
      <c r="AM1259" s="161"/>
      <c r="AN1259" s="161"/>
      <c r="AO1259" s="161"/>
      <c r="AP1259" s="161"/>
      <c r="AQ1259" s="161"/>
      <c r="AR1259" s="161"/>
      <c r="AS1259" s="161"/>
      <c r="AT1259" s="161"/>
      <c r="AU1259" s="161"/>
      <c r="AV1259" s="161"/>
      <c r="AW1259" s="161"/>
      <c r="AX1259" s="161"/>
      <c r="AY1259" s="161"/>
      <c r="AZ1259" s="161"/>
      <c r="BA1259" s="161"/>
      <c r="BB1259" s="161"/>
      <c r="BC1259" s="161"/>
      <c r="BD1259" s="161"/>
      <c r="BE1259" s="161"/>
      <c r="BF1259" s="161"/>
      <c r="BG1259" s="161"/>
      <c r="BH1259" s="161"/>
      <c r="BI1259" s="161"/>
      <c r="BJ1259" s="161"/>
      <c r="BK1259" s="161"/>
      <c r="BL1259" s="161"/>
      <c r="BM1259" s="161"/>
      <c r="BN1259" s="161"/>
      <c r="BO1259" s="161"/>
      <c r="BP1259" s="161"/>
      <c r="BQ1259" s="161"/>
      <c r="BR1259" s="161"/>
      <c r="BS1259" s="161"/>
      <c r="BT1259" s="161"/>
      <c r="BU1259" s="161"/>
      <c r="BV1259" s="161"/>
      <c r="BW1259" s="161"/>
      <c r="BX1259" s="161"/>
      <c r="BY1259" s="161"/>
      <c r="BZ1259" s="161"/>
      <c r="CA1259" s="161"/>
      <c r="CB1259" s="161"/>
      <c r="CC1259" s="161"/>
      <c r="CD1259" s="161"/>
      <c r="CE1259" s="161"/>
      <c r="CF1259" s="161"/>
      <c r="CG1259" s="161"/>
    </row>
    <row r="1260">
      <c r="A1260" s="161"/>
      <c r="B1260" s="161"/>
      <c r="C1260" s="161"/>
      <c r="D1260" s="161"/>
      <c r="E1260" s="161"/>
      <c r="F1260" s="161"/>
      <c r="G1260" s="161"/>
      <c r="H1260" s="161"/>
      <c r="I1260" s="161"/>
      <c r="J1260" s="161"/>
      <c r="K1260" s="161"/>
      <c r="L1260" s="161"/>
      <c r="M1260" s="161"/>
      <c r="N1260" s="161"/>
      <c r="O1260" s="161"/>
      <c r="P1260" s="161"/>
      <c r="Q1260" s="161"/>
      <c r="R1260" s="161"/>
      <c r="S1260" s="161"/>
      <c r="T1260" s="161"/>
      <c r="U1260" s="161"/>
      <c r="V1260" s="161"/>
      <c r="W1260" s="161"/>
      <c r="X1260" s="161"/>
      <c r="Y1260" s="161"/>
      <c r="Z1260" s="161"/>
      <c r="AA1260" s="161"/>
      <c r="AB1260" s="161"/>
      <c r="AC1260" s="161"/>
      <c r="AD1260" s="161"/>
      <c r="AE1260" s="161"/>
      <c r="AF1260" s="161"/>
      <c r="AG1260" s="161"/>
      <c r="AH1260" s="161"/>
      <c r="AI1260" s="161"/>
      <c r="AJ1260" s="161"/>
      <c r="AK1260" s="161"/>
      <c r="AL1260" s="161"/>
      <c r="AM1260" s="161"/>
      <c r="AN1260" s="161"/>
      <c r="AO1260" s="161"/>
      <c r="AP1260" s="161"/>
      <c r="AQ1260" s="161"/>
      <c r="AR1260" s="161"/>
      <c r="AS1260" s="161"/>
      <c r="AT1260" s="161"/>
      <c r="AU1260" s="161"/>
      <c r="AV1260" s="161"/>
      <c r="AW1260" s="161"/>
      <c r="AX1260" s="161"/>
      <c r="AY1260" s="161"/>
      <c r="AZ1260" s="161"/>
      <c r="BA1260" s="161"/>
      <c r="BB1260" s="161"/>
      <c r="BC1260" s="161"/>
      <c r="BD1260" s="161"/>
      <c r="BE1260" s="161"/>
      <c r="BF1260" s="161"/>
      <c r="BG1260" s="161"/>
      <c r="BH1260" s="161"/>
      <c r="BI1260" s="161"/>
      <c r="BJ1260" s="161"/>
      <c r="BK1260" s="161"/>
      <c r="BL1260" s="161"/>
      <c r="BM1260" s="161"/>
      <c r="BN1260" s="161"/>
      <c r="BO1260" s="161"/>
      <c r="BP1260" s="161"/>
      <c r="BQ1260" s="161"/>
      <c r="BR1260" s="161"/>
      <c r="BS1260" s="161"/>
      <c r="BT1260" s="161"/>
      <c r="BU1260" s="161"/>
      <c r="BV1260" s="161"/>
      <c r="BW1260" s="161"/>
      <c r="BX1260" s="161"/>
      <c r="BY1260" s="161"/>
      <c r="BZ1260" s="161"/>
      <c r="CA1260" s="161"/>
      <c r="CB1260" s="161"/>
      <c r="CC1260" s="161"/>
      <c r="CD1260" s="161"/>
      <c r="CE1260" s="161"/>
      <c r="CF1260" s="161"/>
      <c r="CG1260" s="161"/>
    </row>
    <row r="1261">
      <c r="A1261" s="161"/>
      <c r="B1261" s="161"/>
      <c r="C1261" s="161"/>
      <c r="D1261" s="161"/>
      <c r="E1261" s="161"/>
      <c r="F1261" s="161"/>
      <c r="G1261" s="161"/>
      <c r="H1261" s="161"/>
      <c r="I1261" s="161"/>
      <c r="J1261" s="161"/>
      <c r="K1261" s="161"/>
      <c r="L1261" s="161"/>
      <c r="M1261" s="161"/>
      <c r="N1261" s="161"/>
      <c r="O1261" s="161"/>
      <c r="P1261" s="161"/>
      <c r="Q1261" s="161"/>
      <c r="R1261" s="161"/>
      <c r="S1261" s="161"/>
      <c r="T1261" s="161"/>
      <c r="U1261" s="161"/>
      <c r="V1261" s="161"/>
      <c r="W1261" s="161"/>
      <c r="X1261" s="161"/>
      <c r="Y1261" s="161"/>
      <c r="Z1261" s="161"/>
      <c r="AA1261" s="161"/>
      <c r="AB1261" s="161"/>
      <c r="AC1261" s="161"/>
      <c r="AD1261" s="161"/>
      <c r="AE1261" s="161"/>
      <c r="AF1261" s="161"/>
      <c r="AG1261" s="161"/>
      <c r="AH1261" s="161"/>
      <c r="AI1261" s="161"/>
      <c r="AJ1261" s="161"/>
      <c r="AK1261" s="161"/>
      <c r="AL1261" s="161"/>
      <c r="AM1261" s="161"/>
      <c r="AN1261" s="161"/>
      <c r="AO1261" s="161"/>
      <c r="AP1261" s="161"/>
      <c r="AQ1261" s="161"/>
      <c r="AR1261" s="161"/>
      <c r="AS1261" s="161"/>
      <c r="AT1261" s="161"/>
      <c r="AU1261" s="161"/>
      <c r="AV1261" s="161"/>
      <c r="AW1261" s="161"/>
      <c r="AX1261" s="161"/>
      <c r="AY1261" s="161"/>
      <c r="AZ1261" s="161"/>
      <c r="BA1261" s="161"/>
      <c r="BB1261" s="161"/>
      <c r="BC1261" s="161"/>
      <c r="BD1261" s="161"/>
      <c r="BE1261" s="161"/>
      <c r="BF1261" s="161"/>
      <c r="BG1261" s="161"/>
      <c r="BH1261" s="161"/>
      <c r="BI1261" s="161"/>
      <c r="BJ1261" s="161"/>
      <c r="BK1261" s="161"/>
      <c r="BL1261" s="161"/>
      <c r="BM1261" s="161"/>
      <c r="BN1261" s="161"/>
      <c r="BO1261" s="161"/>
      <c r="BP1261" s="161"/>
      <c r="BQ1261" s="161"/>
      <c r="BR1261" s="161"/>
      <c r="BS1261" s="161"/>
      <c r="BT1261" s="161"/>
      <c r="BU1261" s="161"/>
      <c r="BV1261" s="161"/>
      <c r="BW1261" s="161"/>
      <c r="BX1261" s="161"/>
      <c r="BY1261" s="161"/>
      <c r="BZ1261" s="161"/>
      <c r="CA1261" s="161"/>
      <c r="CB1261" s="161"/>
      <c r="CC1261" s="161"/>
      <c r="CD1261" s="161"/>
      <c r="CE1261" s="161"/>
      <c r="CF1261" s="161"/>
      <c r="CG1261" s="161"/>
    </row>
    <row r="1262">
      <c r="A1262" s="161"/>
      <c r="B1262" s="161"/>
      <c r="C1262" s="161"/>
      <c r="D1262" s="161"/>
      <c r="E1262" s="161"/>
      <c r="F1262" s="161"/>
      <c r="G1262" s="161"/>
      <c r="H1262" s="161"/>
      <c r="I1262" s="161"/>
      <c r="J1262" s="161"/>
      <c r="K1262" s="161"/>
      <c r="L1262" s="161"/>
      <c r="M1262" s="161"/>
      <c r="N1262" s="161"/>
      <c r="O1262" s="161"/>
      <c r="P1262" s="161"/>
      <c r="Q1262" s="161"/>
      <c r="R1262" s="161"/>
      <c r="S1262" s="161"/>
      <c r="T1262" s="161"/>
      <c r="U1262" s="161"/>
      <c r="V1262" s="161"/>
      <c r="W1262" s="161"/>
      <c r="X1262" s="161"/>
      <c r="Y1262" s="161"/>
      <c r="Z1262" s="161"/>
      <c r="AA1262" s="161"/>
      <c r="AB1262" s="161"/>
      <c r="AC1262" s="161"/>
      <c r="AD1262" s="161"/>
      <c r="AE1262" s="161"/>
      <c r="AF1262" s="161"/>
      <c r="AG1262" s="161"/>
      <c r="AH1262" s="161"/>
      <c r="AI1262" s="161"/>
      <c r="AJ1262" s="161"/>
      <c r="AK1262" s="161"/>
      <c r="AL1262" s="161"/>
      <c r="AM1262" s="161"/>
      <c r="AN1262" s="161"/>
      <c r="AO1262" s="161"/>
      <c r="AP1262" s="161"/>
      <c r="AQ1262" s="161"/>
      <c r="AR1262" s="161"/>
      <c r="AS1262" s="161"/>
      <c r="AT1262" s="161"/>
      <c r="AU1262" s="161"/>
      <c r="AV1262" s="161"/>
      <c r="AW1262" s="161"/>
      <c r="AX1262" s="161"/>
      <c r="AY1262" s="161"/>
      <c r="AZ1262" s="161"/>
      <c r="BA1262" s="161"/>
      <c r="BB1262" s="161"/>
      <c r="BC1262" s="161"/>
      <c r="BD1262" s="161"/>
      <c r="BE1262" s="161"/>
      <c r="BF1262" s="161"/>
      <c r="BG1262" s="161"/>
      <c r="BH1262" s="161"/>
      <c r="BI1262" s="161"/>
      <c r="BJ1262" s="161"/>
      <c r="BK1262" s="161"/>
      <c r="BL1262" s="161"/>
      <c r="BM1262" s="161"/>
      <c r="BN1262" s="161"/>
      <c r="BO1262" s="161"/>
      <c r="BP1262" s="161"/>
      <c r="BQ1262" s="161"/>
      <c r="BR1262" s="161"/>
      <c r="BS1262" s="161"/>
      <c r="BT1262" s="161"/>
      <c r="BU1262" s="161"/>
      <c r="BV1262" s="161"/>
      <c r="BW1262" s="161"/>
      <c r="BX1262" s="161"/>
      <c r="BY1262" s="161"/>
      <c r="BZ1262" s="161"/>
      <c r="CA1262" s="161"/>
      <c r="CB1262" s="161"/>
      <c r="CC1262" s="161"/>
      <c r="CD1262" s="161"/>
      <c r="CE1262" s="161"/>
      <c r="CF1262" s="161"/>
      <c r="CG1262" s="161"/>
    </row>
    <row r="1263">
      <c r="A1263" s="161"/>
      <c r="B1263" s="161"/>
      <c r="C1263" s="161"/>
      <c r="D1263" s="161"/>
      <c r="E1263" s="161"/>
      <c r="F1263" s="161"/>
      <c r="G1263" s="161"/>
      <c r="H1263" s="161"/>
      <c r="I1263" s="161"/>
      <c r="J1263" s="161"/>
      <c r="K1263" s="161"/>
      <c r="L1263" s="161"/>
      <c r="M1263" s="161"/>
      <c r="N1263" s="161"/>
      <c r="O1263" s="161"/>
      <c r="P1263" s="161"/>
      <c r="Q1263" s="161"/>
      <c r="R1263" s="161"/>
      <c r="S1263" s="161"/>
      <c r="T1263" s="161"/>
      <c r="U1263" s="161"/>
      <c r="V1263" s="161"/>
      <c r="W1263" s="161"/>
      <c r="X1263" s="161"/>
      <c r="Y1263" s="161"/>
      <c r="Z1263" s="161"/>
      <c r="AA1263" s="161"/>
      <c r="AB1263" s="161"/>
      <c r="AC1263" s="161"/>
      <c r="AD1263" s="161"/>
      <c r="AE1263" s="161"/>
      <c r="AF1263" s="161"/>
      <c r="AG1263" s="161"/>
      <c r="AH1263" s="161"/>
      <c r="AI1263" s="161"/>
      <c r="AJ1263" s="161"/>
      <c r="AK1263" s="161"/>
      <c r="AL1263" s="161"/>
      <c r="AM1263" s="161"/>
      <c r="AN1263" s="161"/>
      <c r="AO1263" s="161"/>
      <c r="AP1263" s="161"/>
      <c r="AQ1263" s="161"/>
      <c r="AR1263" s="161"/>
      <c r="AS1263" s="161"/>
      <c r="AT1263" s="161"/>
      <c r="AU1263" s="161"/>
      <c r="AV1263" s="161"/>
      <c r="AW1263" s="161"/>
      <c r="AX1263" s="161"/>
      <c r="AY1263" s="161"/>
      <c r="AZ1263" s="161"/>
      <c r="BA1263" s="161"/>
      <c r="BB1263" s="161"/>
      <c r="BC1263" s="161"/>
      <c r="BD1263" s="161"/>
      <c r="BE1263" s="161"/>
      <c r="BF1263" s="161"/>
      <c r="BG1263" s="161"/>
      <c r="BH1263" s="161"/>
      <c r="BI1263" s="161"/>
      <c r="BJ1263" s="161"/>
      <c r="BK1263" s="161"/>
      <c r="BL1263" s="161"/>
      <c r="BM1263" s="161"/>
      <c r="BN1263" s="161"/>
      <c r="BO1263" s="161"/>
      <c r="BP1263" s="161"/>
      <c r="BQ1263" s="161"/>
      <c r="BR1263" s="161"/>
      <c r="BS1263" s="161"/>
      <c r="BT1263" s="161"/>
      <c r="BU1263" s="161"/>
      <c r="BV1263" s="161"/>
      <c r="BW1263" s="161"/>
      <c r="BX1263" s="161"/>
      <c r="BY1263" s="161"/>
      <c r="BZ1263" s="161"/>
      <c r="CA1263" s="161"/>
      <c r="CB1263" s="161"/>
      <c r="CC1263" s="161"/>
      <c r="CD1263" s="161"/>
      <c r="CE1263" s="161"/>
      <c r="CF1263" s="161"/>
      <c r="CG1263" s="161"/>
    </row>
    <row r="1264">
      <c r="A1264" s="161"/>
      <c r="B1264" s="161"/>
      <c r="C1264" s="161"/>
      <c r="D1264" s="161"/>
      <c r="E1264" s="161"/>
      <c r="F1264" s="161"/>
      <c r="G1264" s="161"/>
      <c r="H1264" s="161"/>
      <c r="I1264" s="161"/>
      <c r="J1264" s="161"/>
      <c r="K1264" s="161"/>
      <c r="L1264" s="161"/>
      <c r="M1264" s="161"/>
      <c r="N1264" s="161"/>
      <c r="O1264" s="161"/>
      <c r="P1264" s="161"/>
      <c r="Q1264" s="161"/>
      <c r="R1264" s="161"/>
      <c r="S1264" s="161"/>
      <c r="T1264" s="161"/>
      <c r="U1264" s="161"/>
      <c r="V1264" s="161"/>
      <c r="W1264" s="161"/>
      <c r="X1264" s="161"/>
      <c r="Y1264" s="161"/>
      <c r="Z1264" s="161"/>
      <c r="AA1264" s="161"/>
      <c r="AB1264" s="161"/>
      <c r="AC1264" s="161"/>
      <c r="AD1264" s="161"/>
      <c r="AE1264" s="161"/>
      <c r="AF1264" s="161"/>
      <c r="AG1264" s="161"/>
      <c r="AH1264" s="161"/>
      <c r="AI1264" s="161"/>
      <c r="AJ1264" s="161"/>
      <c r="AK1264" s="161"/>
      <c r="AL1264" s="161"/>
      <c r="AM1264" s="161"/>
      <c r="AN1264" s="161"/>
      <c r="AO1264" s="161"/>
      <c r="AP1264" s="161"/>
      <c r="AQ1264" s="161"/>
      <c r="AR1264" s="161"/>
      <c r="AS1264" s="161"/>
      <c r="AT1264" s="161"/>
      <c r="AU1264" s="161"/>
      <c r="AV1264" s="161"/>
      <c r="AW1264" s="161"/>
      <c r="AX1264" s="161"/>
      <c r="AY1264" s="161"/>
      <c r="AZ1264" s="161"/>
      <c r="BA1264" s="161"/>
      <c r="BB1264" s="161"/>
      <c r="BC1264" s="161"/>
      <c r="BD1264" s="161"/>
      <c r="BE1264" s="161"/>
      <c r="BF1264" s="161"/>
      <c r="BG1264" s="161"/>
      <c r="BH1264" s="161"/>
      <c r="BI1264" s="161"/>
      <c r="BJ1264" s="161"/>
      <c r="BK1264" s="161"/>
      <c r="BL1264" s="161"/>
      <c r="BM1264" s="161"/>
      <c r="BN1264" s="161"/>
      <c r="BO1264" s="161"/>
      <c r="BP1264" s="161"/>
      <c r="BQ1264" s="161"/>
      <c r="BR1264" s="161"/>
      <c r="BS1264" s="161"/>
      <c r="BT1264" s="161"/>
      <c r="BU1264" s="161"/>
      <c r="BV1264" s="161"/>
      <c r="BW1264" s="161"/>
      <c r="BX1264" s="161"/>
      <c r="BY1264" s="161"/>
      <c r="BZ1264" s="161"/>
      <c r="CA1264" s="161"/>
      <c r="CB1264" s="161"/>
      <c r="CC1264" s="161"/>
      <c r="CD1264" s="161"/>
      <c r="CE1264" s="161"/>
      <c r="CF1264" s="161"/>
      <c r="CG1264" s="161"/>
    </row>
    <row r="1265">
      <c r="A1265" s="161"/>
      <c r="B1265" s="161"/>
      <c r="C1265" s="161"/>
      <c r="D1265" s="161"/>
      <c r="E1265" s="161"/>
      <c r="F1265" s="161"/>
      <c r="G1265" s="161"/>
      <c r="H1265" s="161"/>
      <c r="I1265" s="161"/>
      <c r="J1265" s="161"/>
      <c r="K1265" s="161"/>
      <c r="L1265" s="161"/>
      <c r="M1265" s="161"/>
      <c r="N1265" s="161"/>
      <c r="O1265" s="161"/>
      <c r="P1265" s="161"/>
      <c r="Q1265" s="161"/>
      <c r="R1265" s="161"/>
      <c r="S1265" s="161"/>
      <c r="T1265" s="161"/>
      <c r="U1265" s="161"/>
      <c r="V1265" s="161"/>
      <c r="W1265" s="161"/>
      <c r="X1265" s="161"/>
      <c r="Y1265" s="161"/>
      <c r="Z1265" s="161"/>
      <c r="AA1265" s="161"/>
      <c r="AB1265" s="161"/>
      <c r="AC1265" s="161"/>
      <c r="AD1265" s="161"/>
      <c r="AE1265" s="161"/>
      <c r="AF1265" s="161"/>
      <c r="AG1265" s="161"/>
      <c r="AH1265" s="161"/>
      <c r="AI1265" s="161"/>
      <c r="AJ1265" s="161"/>
      <c r="AK1265" s="161"/>
      <c r="AL1265" s="161"/>
      <c r="AM1265" s="161"/>
      <c r="AN1265" s="161"/>
      <c r="AO1265" s="161"/>
      <c r="AP1265" s="161"/>
      <c r="AQ1265" s="161"/>
      <c r="AR1265" s="161"/>
      <c r="AS1265" s="161"/>
      <c r="AT1265" s="161"/>
      <c r="AU1265" s="161"/>
      <c r="AV1265" s="161"/>
      <c r="AW1265" s="161"/>
      <c r="AX1265" s="161"/>
      <c r="AY1265" s="161"/>
      <c r="AZ1265" s="161"/>
      <c r="BA1265" s="161"/>
      <c r="BB1265" s="161"/>
      <c r="BC1265" s="161"/>
      <c r="BD1265" s="161"/>
      <c r="BE1265" s="161"/>
      <c r="BF1265" s="161"/>
      <c r="BG1265" s="161"/>
      <c r="BH1265" s="161"/>
      <c r="BI1265" s="161"/>
      <c r="BJ1265" s="161"/>
      <c r="BK1265" s="161"/>
      <c r="BL1265" s="161"/>
      <c r="BM1265" s="161"/>
      <c r="BN1265" s="161"/>
      <c r="BO1265" s="161"/>
      <c r="BP1265" s="161"/>
      <c r="BQ1265" s="161"/>
      <c r="BR1265" s="161"/>
      <c r="BS1265" s="161"/>
      <c r="BT1265" s="161"/>
      <c r="BU1265" s="161"/>
      <c r="BV1265" s="161"/>
      <c r="BW1265" s="161"/>
      <c r="BX1265" s="161"/>
      <c r="BY1265" s="161"/>
      <c r="BZ1265" s="161"/>
      <c r="CA1265" s="161"/>
      <c r="CB1265" s="161"/>
      <c r="CC1265" s="161"/>
      <c r="CD1265" s="161"/>
      <c r="CE1265" s="161"/>
      <c r="CF1265" s="161"/>
      <c r="CG1265" s="161"/>
    </row>
    <row r="1266">
      <c r="A1266" s="161"/>
      <c r="B1266" s="161"/>
      <c r="C1266" s="161"/>
      <c r="D1266" s="161"/>
      <c r="E1266" s="161"/>
      <c r="F1266" s="161"/>
      <c r="G1266" s="161"/>
      <c r="H1266" s="161"/>
      <c r="I1266" s="161"/>
      <c r="J1266" s="161"/>
      <c r="K1266" s="161"/>
      <c r="L1266" s="161"/>
      <c r="M1266" s="161"/>
      <c r="N1266" s="161"/>
      <c r="O1266" s="161"/>
      <c r="P1266" s="161"/>
      <c r="Q1266" s="161"/>
      <c r="R1266" s="161"/>
      <c r="S1266" s="161"/>
      <c r="T1266" s="161"/>
      <c r="U1266" s="161"/>
      <c r="V1266" s="161"/>
      <c r="W1266" s="161"/>
      <c r="X1266" s="161"/>
      <c r="Y1266" s="161"/>
      <c r="Z1266" s="161"/>
      <c r="AA1266" s="161"/>
      <c r="AB1266" s="161"/>
      <c r="AC1266" s="161"/>
      <c r="AD1266" s="161"/>
      <c r="AE1266" s="161"/>
      <c r="AF1266" s="161"/>
      <c r="AG1266" s="161"/>
      <c r="AH1266" s="161"/>
      <c r="AI1266" s="161"/>
      <c r="AJ1266" s="161"/>
      <c r="AK1266" s="161"/>
      <c r="AL1266" s="161"/>
      <c r="AM1266" s="161"/>
      <c r="AN1266" s="161"/>
      <c r="AO1266" s="161"/>
      <c r="AP1266" s="161"/>
      <c r="AQ1266" s="161"/>
      <c r="AR1266" s="161"/>
      <c r="AS1266" s="161"/>
      <c r="AT1266" s="161"/>
      <c r="AU1266" s="161"/>
      <c r="AV1266" s="161"/>
      <c r="AW1266" s="161"/>
      <c r="AX1266" s="161"/>
      <c r="AY1266" s="161"/>
      <c r="AZ1266" s="161"/>
      <c r="BA1266" s="161"/>
      <c r="BB1266" s="161"/>
      <c r="BC1266" s="161"/>
      <c r="BD1266" s="161"/>
      <c r="BE1266" s="161"/>
      <c r="BF1266" s="161"/>
      <c r="BG1266" s="161"/>
      <c r="BH1266" s="161"/>
      <c r="BI1266" s="161"/>
      <c r="BJ1266" s="161"/>
      <c r="BK1266" s="161"/>
      <c r="BL1266" s="161"/>
      <c r="BM1266" s="161"/>
      <c r="BN1266" s="161"/>
      <c r="BO1266" s="161"/>
      <c r="BP1266" s="161"/>
      <c r="BQ1266" s="161"/>
      <c r="BR1266" s="161"/>
      <c r="BS1266" s="161"/>
      <c r="BT1266" s="161"/>
      <c r="BU1266" s="161"/>
      <c r="BV1266" s="161"/>
      <c r="BW1266" s="161"/>
      <c r="BX1266" s="161"/>
      <c r="BY1266" s="161"/>
      <c r="BZ1266" s="161"/>
      <c r="CA1266" s="161"/>
      <c r="CB1266" s="161"/>
      <c r="CC1266" s="161"/>
      <c r="CD1266" s="161"/>
      <c r="CE1266" s="161"/>
      <c r="CF1266" s="161"/>
      <c r="CG1266" s="161"/>
    </row>
    <row r="1267">
      <c r="A1267" s="161"/>
      <c r="B1267" s="161"/>
      <c r="C1267" s="161"/>
      <c r="D1267" s="161"/>
      <c r="E1267" s="161"/>
      <c r="F1267" s="161"/>
      <c r="G1267" s="161"/>
      <c r="H1267" s="161"/>
      <c r="I1267" s="161"/>
      <c r="J1267" s="161"/>
      <c r="K1267" s="161"/>
      <c r="L1267" s="161"/>
      <c r="M1267" s="161"/>
      <c r="N1267" s="161"/>
      <c r="O1267" s="161"/>
      <c r="P1267" s="161"/>
      <c r="Q1267" s="161"/>
      <c r="R1267" s="161"/>
      <c r="S1267" s="161"/>
      <c r="T1267" s="161"/>
      <c r="U1267" s="161"/>
      <c r="V1267" s="161"/>
      <c r="W1267" s="161"/>
      <c r="X1267" s="161"/>
      <c r="Y1267" s="161"/>
      <c r="Z1267" s="161"/>
      <c r="AA1267" s="161"/>
      <c r="AB1267" s="161"/>
      <c r="AC1267" s="161"/>
      <c r="AD1267" s="161"/>
      <c r="AE1267" s="161"/>
      <c r="AF1267" s="161"/>
      <c r="AG1267" s="161"/>
      <c r="AH1267" s="161"/>
      <c r="AI1267" s="161"/>
      <c r="AJ1267" s="161"/>
      <c r="AK1267" s="161"/>
      <c r="AL1267" s="161"/>
      <c r="AM1267" s="161"/>
      <c r="AN1267" s="161"/>
      <c r="AO1267" s="161"/>
      <c r="AP1267" s="161"/>
      <c r="AQ1267" s="161"/>
      <c r="AR1267" s="161"/>
      <c r="AS1267" s="161"/>
      <c r="AT1267" s="161"/>
      <c r="AU1267" s="161"/>
      <c r="AV1267" s="161"/>
      <c r="AW1267" s="161"/>
      <c r="AX1267" s="161"/>
      <c r="AY1267" s="161"/>
      <c r="AZ1267" s="161"/>
      <c r="BA1267" s="161"/>
      <c r="BB1267" s="161"/>
      <c r="BC1267" s="161"/>
      <c r="BD1267" s="161"/>
      <c r="BE1267" s="161"/>
      <c r="BF1267" s="161"/>
      <c r="BG1267" s="161"/>
      <c r="BH1267" s="161"/>
      <c r="BI1267" s="161"/>
      <c r="BJ1267" s="161"/>
      <c r="BK1267" s="161"/>
      <c r="BL1267" s="161"/>
      <c r="BM1267" s="161"/>
      <c r="BN1267" s="161"/>
      <c r="BO1267" s="161"/>
      <c r="BP1267" s="161"/>
      <c r="BQ1267" s="161"/>
      <c r="BR1267" s="161"/>
      <c r="BS1267" s="161"/>
      <c r="BT1267" s="161"/>
      <c r="BU1267" s="161"/>
      <c r="BV1267" s="161"/>
      <c r="BW1267" s="161"/>
      <c r="BX1267" s="161"/>
      <c r="BY1267" s="161"/>
      <c r="BZ1267" s="161"/>
      <c r="CA1267" s="161"/>
      <c r="CB1267" s="161"/>
      <c r="CC1267" s="161"/>
      <c r="CD1267" s="161"/>
      <c r="CE1267" s="161"/>
      <c r="CF1267" s="161"/>
      <c r="CG1267" s="161"/>
    </row>
    <row r="1268">
      <c r="A1268" s="161"/>
      <c r="B1268" s="161"/>
      <c r="C1268" s="161"/>
      <c r="D1268" s="161"/>
      <c r="E1268" s="161"/>
      <c r="F1268" s="161"/>
      <c r="G1268" s="161"/>
      <c r="H1268" s="161"/>
      <c r="I1268" s="161"/>
      <c r="J1268" s="161"/>
      <c r="K1268" s="161"/>
      <c r="L1268" s="161"/>
      <c r="M1268" s="161"/>
      <c r="N1268" s="161"/>
      <c r="O1268" s="161"/>
      <c r="P1268" s="161"/>
      <c r="Q1268" s="161"/>
      <c r="R1268" s="161"/>
      <c r="S1268" s="161"/>
      <c r="T1268" s="161"/>
      <c r="U1268" s="161"/>
      <c r="V1268" s="161"/>
      <c r="W1268" s="161"/>
      <c r="X1268" s="161"/>
      <c r="Y1268" s="161"/>
      <c r="Z1268" s="161"/>
      <c r="AA1268" s="161"/>
      <c r="AB1268" s="161"/>
      <c r="AC1268" s="161"/>
      <c r="AD1268" s="161"/>
      <c r="AE1268" s="161"/>
      <c r="AF1268" s="161"/>
      <c r="AG1268" s="161"/>
      <c r="AH1268" s="161"/>
      <c r="AI1268" s="161"/>
      <c r="AJ1268" s="161"/>
      <c r="AK1268" s="161"/>
      <c r="AL1268" s="161"/>
      <c r="AM1268" s="161"/>
      <c r="AN1268" s="161"/>
      <c r="AO1268" s="161"/>
      <c r="AP1268" s="161"/>
      <c r="AQ1268" s="161"/>
      <c r="AR1268" s="161"/>
      <c r="AS1268" s="161"/>
      <c r="AT1268" s="161"/>
      <c r="AU1268" s="161"/>
      <c r="AV1268" s="161"/>
      <c r="AW1268" s="161"/>
      <c r="AX1268" s="161"/>
      <c r="AY1268" s="161"/>
      <c r="AZ1268" s="161"/>
      <c r="BA1268" s="161"/>
      <c r="BB1268" s="161"/>
      <c r="BC1268" s="161"/>
      <c r="BD1268" s="161"/>
      <c r="BE1268" s="161"/>
      <c r="BF1268" s="161"/>
      <c r="BG1268" s="161"/>
      <c r="BH1268" s="161"/>
      <c r="BI1268" s="161"/>
      <c r="BJ1268" s="161"/>
      <c r="BK1268" s="161"/>
      <c r="BL1268" s="161"/>
      <c r="BM1268" s="161"/>
      <c r="BN1268" s="161"/>
      <c r="BO1268" s="161"/>
      <c r="BP1268" s="161"/>
      <c r="BQ1268" s="161"/>
      <c r="BR1268" s="161"/>
      <c r="BS1268" s="161"/>
      <c r="BT1268" s="161"/>
      <c r="BU1268" s="161"/>
      <c r="BV1268" s="161"/>
      <c r="BW1268" s="161"/>
      <c r="BX1268" s="161"/>
      <c r="BY1268" s="161"/>
      <c r="BZ1268" s="161"/>
      <c r="CA1268" s="161"/>
      <c r="CB1268" s="161"/>
      <c r="CC1268" s="161"/>
      <c r="CD1268" s="161"/>
      <c r="CE1268" s="161"/>
      <c r="CF1268" s="161"/>
      <c r="CG1268" s="161"/>
    </row>
    <row r="1269">
      <c r="A1269" s="161"/>
      <c r="B1269" s="161"/>
      <c r="C1269" s="161"/>
      <c r="D1269" s="161"/>
      <c r="E1269" s="161"/>
      <c r="F1269" s="161"/>
      <c r="G1269" s="161"/>
      <c r="H1269" s="161"/>
      <c r="I1269" s="161"/>
      <c r="J1269" s="161"/>
      <c r="K1269" s="161"/>
      <c r="L1269" s="161"/>
      <c r="M1269" s="161"/>
      <c r="N1269" s="161"/>
      <c r="O1269" s="161"/>
      <c r="P1269" s="161"/>
      <c r="Q1269" s="161"/>
      <c r="R1269" s="161"/>
      <c r="S1269" s="161"/>
      <c r="T1269" s="161"/>
      <c r="U1269" s="161"/>
      <c r="V1269" s="161"/>
      <c r="W1269" s="161"/>
      <c r="X1269" s="161"/>
      <c r="Y1269" s="161"/>
      <c r="Z1269" s="161"/>
      <c r="AA1269" s="161"/>
      <c r="AB1269" s="161"/>
      <c r="AC1269" s="161"/>
      <c r="AD1269" s="161"/>
      <c r="AE1269" s="161"/>
      <c r="AF1269" s="161"/>
      <c r="AG1269" s="161"/>
      <c r="AH1269" s="161"/>
      <c r="AI1269" s="161"/>
      <c r="AJ1269" s="161"/>
      <c r="AK1269" s="161"/>
      <c r="AL1269" s="161"/>
      <c r="AM1269" s="161"/>
      <c r="AN1269" s="161"/>
      <c r="AO1269" s="161"/>
      <c r="AP1269" s="161"/>
      <c r="AQ1269" s="161"/>
      <c r="AR1269" s="161"/>
      <c r="AS1269" s="161"/>
      <c r="AT1269" s="161"/>
      <c r="AU1269" s="161"/>
      <c r="AV1269" s="161"/>
      <c r="AW1269" s="161"/>
      <c r="AX1269" s="161"/>
      <c r="AY1269" s="161"/>
      <c r="AZ1269" s="161"/>
      <c r="BA1269" s="161"/>
      <c r="BB1269" s="161"/>
      <c r="BC1269" s="161"/>
      <c r="BD1269" s="161"/>
      <c r="BE1269" s="161"/>
      <c r="BF1269" s="161"/>
      <c r="BG1269" s="161"/>
      <c r="BH1269" s="161"/>
      <c r="BI1269" s="161"/>
      <c r="BJ1269" s="161"/>
      <c r="BK1269" s="161"/>
      <c r="BL1269" s="161"/>
      <c r="BM1269" s="161"/>
      <c r="BN1269" s="161"/>
      <c r="BO1269" s="161"/>
      <c r="BP1269" s="161"/>
      <c r="BQ1269" s="161"/>
      <c r="BR1269" s="161"/>
      <c r="BS1269" s="161"/>
      <c r="BT1269" s="161"/>
      <c r="BU1269" s="161"/>
      <c r="BV1269" s="161"/>
      <c r="BW1269" s="161"/>
      <c r="BX1269" s="161"/>
      <c r="BY1269" s="161"/>
      <c r="BZ1269" s="161"/>
      <c r="CA1269" s="161"/>
      <c r="CB1269" s="161"/>
      <c r="CC1269" s="161"/>
      <c r="CD1269" s="161"/>
      <c r="CE1269" s="161"/>
      <c r="CF1269" s="161"/>
      <c r="CG1269" s="161"/>
    </row>
    <row r="1270">
      <c r="A1270" s="161"/>
      <c r="B1270" s="161"/>
      <c r="C1270" s="161"/>
      <c r="D1270" s="161"/>
      <c r="E1270" s="161"/>
      <c r="F1270" s="161"/>
      <c r="G1270" s="161"/>
      <c r="H1270" s="161"/>
      <c r="I1270" s="161"/>
      <c r="J1270" s="161"/>
      <c r="K1270" s="161"/>
      <c r="L1270" s="161"/>
      <c r="M1270" s="161"/>
      <c r="N1270" s="161"/>
      <c r="O1270" s="161"/>
      <c r="P1270" s="161"/>
      <c r="Q1270" s="161"/>
      <c r="R1270" s="161"/>
      <c r="S1270" s="161"/>
      <c r="T1270" s="161"/>
      <c r="U1270" s="161"/>
      <c r="V1270" s="161"/>
      <c r="W1270" s="161"/>
      <c r="X1270" s="161"/>
      <c r="Y1270" s="161"/>
      <c r="Z1270" s="161"/>
      <c r="AA1270" s="161"/>
      <c r="AB1270" s="161"/>
      <c r="AC1270" s="161"/>
      <c r="AD1270" s="161"/>
      <c r="AE1270" s="161"/>
      <c r="AF1270" s="161"/>
      <c r="AG1270" s="161"/>
      <c r="AH1270" s="161"/>
      <c r="AI1270" s="161"/>
      <c r="AJ1270" s="161"/>
      <c r="AK1270" s="161"/>
      <c r="AL1270" s="161"/>
      <c r="AM1270" s="161"/>
      <c r="AN1270" s="161"/>
      <c r="AO1270" s="161"/>
      <c r="AP1270" s="161"/>
      <c r="AQ1270" s="161"/>
      <c r="AR1270" s="161"/>
      <c r="AS1270" s="161"/>
      <c r="AT1270" s="161"/>
      <c r="AU1270" s="161"/>
      <c r="AV1270" s="161"/>
      <c r="AW1270" s="161"/>
      <c r="AX1270" s="161"/>
      <c r="AY1270" s="161"/>
      <c r="AZ1270" s="161"/>
      <c r="BA1270" s="161"/>
      <c r="BB1270" s="161"/>
      <c r="BC1270" s="161"/>
      <c r="BD1270" s="161"/>
      <c r="BE1270" s="161"/>
      <c r="BF1270" s="161"/>
      <c r="BG1270" s="161"/>
      <c r="BH1270" s="161"/>
      <c r="BI1270" s="161"/>
      <c r="BJ1270" s="161"/>
      <c r="BK1270" s="161"/>
      <c r="BL1270" s="161"/>
      <c r="BM1270" s="161"/>
      <c r="BN1270" s="161"/>
      <c r="BO1270" s="161"/>
      <c r="BP1270" s="161"/>
      <c r="BQ1270" s="161"/>
      <c r="BR1270" s="161"/>
      <c r="BS1270" s="161"/>
      <c r="BT1270" s="161"/>
      <c r="BU1270" s="161"/>
      <c r="BV1270" s="161"/>
      <c r="BW1270" s="161"/>
      <c r="BX1270" s="161"/>
      <c r="BY1270" s="161"/>
      <c r="BZ1270" s="161"/>
      <c r="CA1270" s="161"/>
      <c r="CB1270" s="161"/>
      <c r="CC1270" s="161"/>
      <c r="CD1270" s="161"/>
      <c r="CE1270" s="161"/>
      <c r="CF1270" s="161"/>
      <c r="CG1270" s="161"/>
    </row>
    <row r="1271">
      <c r="A1271" s="161"/>
      <c r="B1271" s="161"/>
      <c r="C1271" s="161"/>
      <c r="D1271" s="161"/>
      <c r="E1271" s="161"/>
      <c r="F1271" s="161"/>
      <c r="G1271" s="161"/>
      <c r="H1271" s="161"/>
      <c r="I1271" s="161"/>
      <c r="J1271" s="161"/>
      <c r="K1271" s="161"/>
      <c r="L1271" s="161"/>
      <c r="M1271" s="161"/>
      <c r="N1271" s="161"/>
      <c r="O1271" s="161"/>
      <c r="P1271" s="161"/>
      <c r="Q1271" s="161"/>
      <c r="R1271" s="161"/>
      <c r="S1271" s="161"/>
      <c r="T1271" s="161"/>
      <c r="U1271" s="161"/>
      <c r="V1271" s="161"/>
      <c r="W1271" s="161"/>
      <c r="X1271" s="161"/>
      <c r="Y1271" s="161"/>
      <c r="Z1271" s="161"/>
      <c r="AA1271" s="161"/>
      <c r="AB1271" s="161"/>
      <c r="AC1271" s="161"/>
      <c r="AD1271" s="161"/>
      <c r="AE1271" s="161"/>
      <c r="AF1271" s="161"/>
      <c r="AG1271" s="161"/>
      <c r="AH1271" s="161"/>
      <c r="AI1271" s="161"/>
      <c r="AJ1271" s="161"/>
      <c r="AK1271" s="161"/>
      <c r="AL1271" s="161"/>
      <c r="AM1271" s="161"/>
      <c r="AN1271" s="161"/>
      <c r="AO1271" s="161"/>
      <c r="AP1271" s="161"/>
      <c r="AQ1271" s="161"/>
      <c r="AR1271" s="161"/>
      <c r="AS1271" s="161"/>
      <c r="AT1271" s="161"/>
      <c r="AU1271" s="161"/>
      <c r="AV1271" s="161"/>
      <c r="AW1271" s="161"/>
      <c r="AX1271" s="161"/>
      <c r="AY1271" s="161"/>
      <c r="AZ1271" s="161"/>
      <c r="BA1271" s="161"/>
      <c r="BB1271" s="161"/>
      <c r="BC1271" s="161"/>
      <c r="BD1271" s="161"/>
      <c r="BE1271" s="161"/>
      <c r="BF1271" s="161"/>
      <c r="BG1271" s="161"/>
      <c r="BH1271" s="161"/>
      <c r="BI1271" s="161"/>
      <c r="BJ1271" s="161"/>
      <c r="BK1271" s="161"/>
      <c r="BL1271" s="161"/>
      <c r="BM1271" s="161"/>
      <c r="BN1271" s="161"/>
      <c r="BO1271" s="161"/>
      <c r="BP1271" s="161"/>
      <c r="BQ1271" s="161"/>
      <c r="BR1271" s="161"/>
      <c r="BS1271" s="161"/>
      <c r="BT1271" s="161"/>
      <c r="BU1271" s="161"/>
      <c r="BV1271" s="161"/>
      <c r="BW1271" s="161"/>
      <c r="BX1271" s="161"/>
      <c r="BY1271" s="161"/>
      <c r="BZ1271" s="161"/>
      <c r="CA1271" s="161"/>
      <c r="CB1271" s="161"/>
      <c r="CC1271" s="161"/>
      <c r="CD1271" s="161"/>
      <c r="CE1271" s="161"/>
      <c r="CF1271" s="161"/>
      <c r="CG1271" s="161"/>
    </row>
    <row r="1272">
      <c r="A1272" s="161"/>
      <c r="B1272" s="161"/>
      <c r="C1272" s="161"/>
      <c r="D1272" s="161"/>
      <c r="E1272" s="161"/>
      <c r="F1272" s="161"/>
      <c r="G1272" s="161"/>
      <c r="H1272" s="161"/>
      <c r="I1272" s="161"/>
      <c r="J1272" s="161"/>
      <c r="K1272" s="161"/>
      <c r="L1272" s="161"/>
      <c r="M1272" s="161"/>
      <c r="N1272" s="161"/>
      <c r="O1272" s="161"/>
      <c r="P1272" s="161"/>
      <c r="Q1272" s="161"/>
      <c r="R1272" s="161"/>
      <c r="S1272" s="161"/>
      <c r="T1272" s="161"/>
      <c r="U1272" s="161"/>
      <c r="V1272" s="161"/>
      <c r="W1272" s="161"/>
      <c r="X1272" s="161"/>
      <c r="Y1272" s="161"/>
      <c r="Z1272" s="161"/>
      <c r="AA1272" s="161"/>
      <c r="AB1272" s="161"/>
      <c r="AC1272" s="161"/>
      <c r="AD1272" s="161"/>
      <c r="AE1272" s="161"/>
      <c r="AF1272" s="161"/>
      <c r="AG1272" s="161"/>
      <c r="AH1272" s="161"/>
      <c r="AI1272" s="161"/>
      <c r="AJ1272" s="161"/>
      <c r="AK1272" s="161"/>
      <c r="AL1272" s="161"/>
      <c r="AM1272" s="161"/>
      <c r="AN1272" s="161"/>
      <c r="AO1272" s="161"/>
      <c r="AP1272" s="161"/>
      <c r="AQ1272" s="161"/>
      <c r="AR1272" s="161"/>
      <c r="AS1272" s="161"/>
      <c r="AT1272" s="161"/>
      <c r="AU1272" s="161"/>
      <c r="AV1272" s="161"/>
      <c r="AW1272" s="161"/>
      <c r="AX1272" s="161"/>
      <c r="AY1272" s="161"/>
      <c r="AZ1272" s="161"/>
      <c r="BA1272" s="161"/>
      <c r="BB1272" s="161"/>
      <c r="BC1272" s="161"/>
      <c r="BD1272" s="161"/>
      <c r="BE1272" s="161"/>
      <c r="BF1272" s="161"/>
      <c r="BG1272" s="161"/>
      <c r="BH1272" s="161"/>
      <c r="BI1272" s="161"/>
      <c r="BJ1272" s="161"/>
      <c r="BK1272" s="161"/>
      <c r="BL1272" s="161"/>
      <c r="BM1272" s="161"/>
      <c r="BN1272" s="161"/>
      <c r="BO1272" s="161"/>
      <c r="BP1272" s="161"/>
      <c r="BQ1272" s="161"/>
      <c r="BR1272" s="161"/>
      <c r="BS1272" s="161"/>
      <c r="BT1272" s="161"/>
      <c r="BU1272" s="161"/>
      <c r="BV1272" s="161"/>
      <c r="BW1272" s="161"/>
      <c r="BX1272" s="161"/>
      <c r="BY1272" s="161"/>
      <c r="BZ1272" s="161"/>
      <c r="CA1272" s="161"/>
      <c r="CB1272" s="161"/>
      <c r="CC1272" s="161"/>
      <c r="CD1272" s="161"/>
      <c r="CE1272" s="161"/>
      <c r="CF1272" s="161"/>
      <c r="CG1272" s="161"/>
    </row>
    <row r="1273">
      <c r="A1273" s="161"/>
      <c r="B1273" s="161"/>
      <c r="C1273" s="161"/>
      <c r="D1273" s="161"/>
      <c r="E1273" s="161"/>
      <c r="F1273" s="161"/>
      <c r="G1273" s="161"/>
      <c r="H1273" s="161"/>
      <c r="I1273" s="161"/>
      <c r="J1273" s="161"/>
      <c r="K1273" s="161"/>
      <c r="L1273" s="161"/>
      <c r="M1273" s="161"/>
      <c r="N1273" s="161"/>
      <c r="O1273" s="161"/>
      <c r="P1273" s="161"/>
      <c r="Q1273" s="161"/>
      <c r="R1273" s="161"/>
      <c r="S1273" s="161"/>
      <c r="T1273" s="161"/>
      <c r="U1273" s="161"/>
      <c r="V1273" s="161"/>
      <c r="W1273" s="161"/>
      <c r="X1273" s="161"/>
      <c r="Y1273" s="161"/>
      <c r="Z1273" s="161"/>
      <c r="AA1273" s="161"/>
      <c r="AB1273" s="161"/>
      <c r="AC1273" s="161"/>
      <c r="AD1273" s="161"/>
      <c r="AE1273" s="161"/>
      <c r="AF1273" s="161"/>
      <c r="AG1273" s="161"/>
      <c r="AH1273" s="161"/>
      <c r="AI1273" s="161"/>
      <c r="AJ1273" s="161"/>
      <c r="AK1273" s="161"/>
      <c r="AL1273" s="161"/>
      <c r="AM1273" s="161"/>
      <c r="AN1273" s="161"/>
      <c r="AO1273" s="161"/>
      <c r="AP1273" s="161"/>
      <c r="AQ1273" s="161"/>
      <c r="AR1273" s="161"/>
      <c r="AS1273" s="161"/>
      <c r="AT1273" s="161"/>
      <c r="AU1273" s="161"/>
      <c r="AV1273" s="161"/>
      <c r="AW1273" s="161"/>
      <c r="AX1273" s="161"/>
      <c r="AY1273" s="161"/>
      <c r="AZ1273" s="161"/>
      <c r="BA1273" s="161"/>
      <c r="BB1273" s="161"/>
      <c r="BC1273" s="161"/>
      <c r="BD1273" s="161"/>
      <c r="BE1273" s="161"/>
      <c r="BF1273" s="161"/>
      <c r="BG1273" s="161"/>
      <c r="BH1273" s="161"/>
      <c r="BI1273" s="161"/>
      <c r="BJ1273" s="161"/>
      <c r="BK1273" s="161"/>
      <c r="BL1273" s="161"/>
      <c r="BM1273" s="161"/>
      <c r="BN1273" s="161"/>
      <c r="BO1273" s="161"/>
      <c r="BP1273" s="161"/>
      <c r="BQ1273" s="161"/>
      <c r="BR1273" s="161"/>
      <c r="BS1273" s="161"/>
      <c r="BT1273" s="161"/>
      <c r="BU1273" s="161"/>
      <c r="BV1273" s="161"/>
      <c r="BW1273" s="161"/>
      <c r="BX1273" s="161"/>
      <c r="BY1273" s="161"/>
      <c r="BZ1273" s="161"/>
      <c r="CA1273" s="161"/>
      <c r="CB1273" s="161"/>
      <c r="CC1273" s="161"/>
      <c r="CD1273" s="161"/>
      <c r="CE1273" s="161"/>
      <c r="CF1273" s="161"/>
      <c r="CG1273" s="161"/>
    </row>
    <row r="1274">
      <c r="A1274" s="161"/>
      <c r="B1274" s="161"/>
      <c r="C1274" s="161"/>
      <c r="D1274" s="161"/>
      <c r="E1274" s="161"/>
      <c r="F1274" s="161"/>
      <c r="G1274" s="161"/>
      <c r="H1274" s="161"/>
      <c r="I1274" s="161"/>
      <c r="J1274" s="161"/>
      <c r="K1274" s="161"/>
      <c r="L1274" s="161"/>
      <c r="M1274" s="161"/>
      <c r="N1274" s="161"/>
      <c r="O1274" s="161"/>
      <c r="P1274" s="161"/>
      <c r="Q1274" s="161"/>
      <c r="R1274" s="161"/>
      <c r="S1274" s="161"/>
      <c r="T1274" s="161"/>
      <c r="U1274" s="161"/>
      <c r="V1274" s="161"/>
      <c r="W1274" s="161"/>
      <c r="X1274" s="161"/>
      <c r="Y1274" s="161"/>
      <c r="Z1274" s="161"/>
      <c r="AA1274" s="161"/>
      <c r="AB1274" s="161"/>
      <c r="AC1274" s="161"/>
      <c r="AD1274" s="161"/>
      <c r="AE1274" s="161"/>
      <c r="AF1274" s="161"/>
      <c r="AG1274" s="161"/>
      <c r="AH1274" s="161"/>
      <c r="AI1274" s="161"/>
      <c r="AJ1274" s="161"/>
      <c r="AK1274" s="161"/>
      <c r="AL1274" s="161"/>
      <c r="AM1274" s="161"/>
      <c r="AN1274" s="161"/>
      <c r="AO1274" s="161"/>
      <c r="AP1274" s="161"/>
      <c r="AQ1274" s="161"/>
      <c r="AR1274" s="161"/>
      <c r="AS1274" s="161"/>
      <c r="AT1274" s="161"/>
      <c r="AU1274" s="161"/>
      <c r="AV1274" s="161"/>
      <c r="AW1274" s="161"/>
      <c r="AX1274" s="161"/>
      <c r="AY1274" s="161"/>
      <c r="AZ1274" s="161"/>
      <c r="BA1274" s="161"/>
      <c r="BB1274" s="161"/>
      <c r="BC1274" s="161"/>
      <c r="BD1274" s="161"/>
      <c r="BE1274" s="161"/>
      <c r="BF1274" s="161"/>
      <c r="BG1274" s="161"/>
      <c r="BH1274" s="161"/>
      <c r="BI1274" s="161"/>
      <c r="BJ1274" s="161"/>
      <c r="BK1274" s="161"/>
      <c r="BL1274" s="161"/>
      <c r="BM1274" s="161"/>
      <c r="BN1274" s="161"/>
      <c r="BO1274" s="161"/>
      <c r="BP1274" s="161"/>
      <c r="BQ1274" s="161"/>
      <c r="BR1274" s="161"/>
      <c r="BS1274" s="161"/>
      <c r="BT1274" s="161"/>
      <c r="BU1274" s="161"/>
      <c r="BV1274" s="161"/>
      <c r="BW1274" s="161"/>
      <c r="BX1274" s="161"/>
      <c r="BY1274" s="161"/>
      <c r="BZ1274" s="161"/>
      <c r="CA1274" s="161"/>
      <c r="CB1274" s="161"/>
      <c r="CC1274" s="161"/>
      <c r="CD1274" s="161"/>
      <c r="CE1274" s="161"/>
      <c r="CF1274" s="161"/>
      <c r="CG1274" s="161"/>
    </row>
    <row r="1275">
      <c r="A1275" s="161"/>
      <c r="B1275" s="161"/>
      <c r="C1275" s="161"/>
      <c r="D1275" s="161"/>
      <c r="E1275" s="161"/>
      <c r="F1275" s="161"/>
      <c r="G1275" s="161"/>
      <c r="H1275" s="161"/>
      <c r="I1275" s="161"/>
      <c r="J1275" s="161"/>
      <c r="K1275" s="161"/>
      <c r="L1275" s="161"/>
      <c r="M1275" s="161"/>
      <c r="N1275" s="161"/>
      <c r="O1275" s="161"/>
      <c r="P1275" s="161"/>
      <c r="Q1275" s="161"/>
      <c r="R1275" s="161"/>
      <c r="S1275" s="161"/>
      <c r="T1275" s="161"/>
      <c r="U1275" s="161"/>
      <c r="V1275" s="161"/>
      <c r="W1275" s="161"/>
      <c r="X1275" s="161"/>
      <c r="Y1275" s="161"/>
      <c r="Z1275" s="161"/>
      <c r="AA1275" s="161"/>
      <c r="AB1275" s="161"/>
      <c r="AC1275" s="161"/>
      <c r="AD1275" s="161"/>
      <c r="AE1275" s="161"/>
      <c r="AF1275" s="161"/>
      <c r="AG1275" s="161"/>
      <c r="AH1275" s="161"/>
      <c r="AI1275" s="161"/>
      <c r="AJ1275" s="161"/>
      <c r="AK1275" s="161"/>
      <c r="AL1275" s="161"/>
      <c r="AM1275" s="161"/>
      <c r="AN1275" s="161"/>
      <c r="AO1275" s="161"/>
      <c r="AP1275" s="161"/>
      <c r="AQ1275" s="161"/>
      <c r="AR1275" s="161"/>
      <c r="AS1275" s="161"/>
      <c r="AT1275" s="161"/>
      <c r="AU1275" s="161"/>
      <c r="AV1275" s="161"/>
      <c r="AW1275" s="161"/>
      <c r="AX1275" s="161"/>
      <c r="AY1275" s="161"/>
      <c r="AZ1275" s="161"/>
      <c r="BA1275" s="161"/>
      <c r="BB1275" s="161"/>
      <c r="BC1275" s="161"/>
      <c r="BD1275" s="161"/>
      <c r="BE1275" s="161"/>
      <c r="BF1275" s="161"/>
      <c r="BG1275" s="161"/>
      <c r="BH1275" s="161"/>
      <c r="BI1275" s="161"/>
      <c r="BJ1275" s="161"/>
      <c r="BK1275" s="161"/>
      <c r="BL1275" s="161"/>
      <c r="BM1275" s="161"/>
      <c r="BN1275" s="161"/>
      <c r="BO1275" s="161"/>
      <c r="BP1275" s="161"/>
      <c r="BQ1275" s="161"/>
      <c r="BR1275" s="161"/>
      <c r="BS1275" s="161"/>
      <c r="BT1275" s="161"/>
      <c r="BU1275" s="161"/>
      <c r="BV1275" s="161"/>
      <c r="BW1275" s="161"/>
      <c r="BX1275" s="161"/>
      <c r="BY1275" s="161"/>
      <c r="BZ1275" s="161"/>
      <c r="CA1275" s="161"/>
      <c r="CB1275" s="161"/>
      <c r="CC1275" s="161"/>
      <c r="CD1275" s="161"/>
      <c r="CE1275" s="161"/>
      <c r="CF1275" s="161"/>
      <c r="CG1275" s="161"/>
    </row>
    <row r="1276">
      <c r="A1276" s="161"/>
      <c r="B1276" s="161"/>
      <c r="C1276" s="161"/>
      <c r="D1276" s="161"/>
      <c r="E1276" s="161"/>
      <c r="F1276" s="161"/>
      <c r="G1276" s="161"/>
      <c r="H1276" s="161"/>
      <c r="I1276" s="161"/>
      <c r="J1276" s="161"/>
      <c r="K1276" s="161"/>
      <c r="L1276" s="161"/>
      <c r="M1276" s="161"/>
      <c r="N1276" s="161"/>
      <c r="O1276" s="161"/>
      <c r="P1276" s="161"/>
      <c r="Q1276" s="161"/>
      <c r="R1276" s="161"/>
      <c r="S1276" s="161"/>
      <c r="T1276" s="161"/>
      <c r="U1276" s="161"/>
      <c r="V1276" s="161"/>
      <c r="W1276" s="161"/>
      <c r="X1276" s="161"/>
      <c r="Y1276" s="161"/>
      <c r="Z1276" s="161"/>
      <c r="AA1276" s="161"/>
      <c r="AB1276" s="161"/>
      <c r="AC1276" s="161"/>
      <c r="AD1276" s="161"/>
      <c r="AE1276" s="161"/>
      <c r="AF1276" s="161"/>
      <c r="AG1276" s="161"/>
      <c r="AH1276" s="161"/>
      <c r="AI1276" s="161"/>
      <c r="AJ1276" s="161"/>
      <c r="AK1276" s="161"/>
      <c r="AL1276" s="161"/>
      <c r="AM1276" s="161"/>
      <c r="AN1276" s="161"/>
      <c r="AO1276" s="161"/>
      <c r="AP1276" s="161"/>
      <c r="AQ1276" s="161"/>
      <c r="AR1276" s="161"/>
      <c r="AS1276" s="161"/>
      <c r="AT1276" s="161"/>
      <c r="AU1276" s="161"/>
      <c r="AV1276" s="161"/>
      <c r="AW1276" s="161"/>
      <c r="AX1276" s="161"/>
      <c r="AY1276" s="161"/>
      <c r="AZ1276" s="161"/>
      <c r="BA1276" s="161"/>
      <c r="BB1276" s="161"/>
      <c r="BC1276" s="161"/>
      <c r="BD1276" s="161"/>
      <c r="BE1276" s="161"/>
      <c r="BF1276" s="161"/>
      <c r="BG1276" s="161"/>
      <c r="BH1276" s="161"/>
      <c r="BI1276" s="161"/>
      <c r="BJ1276" s="161"/>
      <c r="BK1276" s="161"/>
      <c r="BL1276" s="161"/>
      <c r="BM1276" s="161"/>
      <c r="BN1276" s="161"/>
      <c r="BO1276" s="161"/>
      <c r="BP1276" s="161"/>
      <c r="BQ1276" s="161"/>
      <c r="BR1276" s="161"/>
      <c r="BS1276" s="161"/>
      <c r="BT1276" s="161"/>
      <c r="BU1276" s="161"/>
      <c r="BV1276" s="161"/>
      <c r="BW1276" s="161"/>
      <c r="BX1276" s="161"/>
      <c r="BY1276" s="161"/>
      <c r="BZ1276" s="161"/>
      <c r="CA1276" s="161"/>
      <c r="CB1276" s="161"/>
      <c r="CC1276" s="161"/>
      <c r="CD1276" s="161"/>
      <c r="CE1276" s="161"/>
      <c r="CF1276" s="161"/>
      <c r="CG1276" s="161"/>
    </row>
    <row r="1277">
      <c r="A1277" s="161"/>
      <c r="B1277" s="161"/>
      <c r="C1277" s="161"/>
      <c r="D1277" s="161"/>
      <c r="E1277" s="161"/>
      <c r="F1277" s="161"/>
      <c r="G1277" s="161"/>
      <c r="H1277" s="161"/>
      <c r="I1277" s="161"/>
      <c r="J1277" s="161"/>
      <c r="K1277" s="161"/>
      <c r="L1277" s="161"/>
      <c r="M1277" s="161"/>
      <c r="N1277" s="161"/>
      <c r="O1277" s="161"/>
      <c r="P1277" s="161"/>
      <c r="Q1277" s="161"/>
      <c r="R1277" s="161"/>
      <c r="S1277" s="161"/>
      <c r="T1277" s="161"/>
      <c r="U1277" s="161"/>
      <c r="V1277" s="161"/>
      <c r="W1277" s="161"/>
      <c r="X1277" s="161"/>
      <c r="Y1277" s="161"/>
      <c r="Z1277" s="161"/>
      <c r="AA1277" s="161"/>
      <c r="AB1277" s="161"/>
      <c r="AC1277" s="161"/>
      <c r="AD1277" s="161"/>
      <c r="AE1277" s="161"/>
      <c r="AF1277" s="161"/>
      <c r="AG1277" s="161"/>
      <c r="AH1277" s="161"/>
      <c r="AI1277" s="161"/>
      <c r="AJ1277" s="161"/>
      <c r="AK1277" s="161"/>
      <c r="AL1277" s="161"/>
      <c r="AM1277" s="161"/>
      <c r="AN1277" s="161"/>
      <c r="AO1277" s="161"/>
      <c r="AP1277" s="161"/>
      <c r="AQ1277" s="161"/>
      <c r="AR1277" s="161"/>
      <c r="AS1277" s="161"/>
      <c r="AT1277" s="161"/>
      <c r="AU1277" s="161"/>
      <c r="AV1277" s="161"/>
      <c r="AW1277" s="161"/>
      <c r="AX1277" s="161"/>
      <c r="AY1277" s="161"/>
      <c r="AZ1277" s="161"/>
      <c r="BA1277" s="161"/>
      <c r="BB1277" s="161"/>
      <c r="BC1277" s="161"/>
      <c r="BD1277" s="161"/>
      <c r="BE1277" s="161"/>
      <c r="BF1277" s="161"/>
      <c r="BG1277" s="161"/>
      <c r="BH1277" s="161"/>
      <c r="BI1277" s="161"/>
      <c r="BJ1277" s="161"/>
      <c r="BK1277" s="161"/>
      <c r="BL1277" s="161"/>
      <c r="BM1277" s="161"/>
      <c r="BN1277" s="161"/>
      <c r="BO1277" s="161"/>
      <c r="BP1277" s="161"/>
      <c r="BQ1277" s="161"/>
      <c r="BR1277" s="161"/>
      <c r="BS1277" s="161"/>
      <c r="BT1277" s="161"/>
      <c r="BU1277" s="161"/>
      <c r="BV1277" s="161"/>
      <c r="BW1277" s="161"/>
      <c r="BX1277" s="161"/>
      <c r="BY1277" s="161"/>
      <c r="BZ1277" s="161"/>
      <c r="CA1277" s="161"/>
      <c r="CB1277" s="161"/>
      <c r="CC1277" s="161"/>
      <c r="CD1277" s="161"/>
      <c r="CE1277" s="161"/>
      <c r="CF1277" s="161"/>
      <c r="CG1277" s="161"/>
    </row>
    <row r="1278">
      <c r="A1278" s="161"/>
      <c r="B1278" s="161"/>
      <c r="C1278" s="161"/>
      <c r="D1278" s="161"/>
      <c r="E1278" s="161"/>
      <c r="F1278" s="161"/>
      <c r="G1278" s="161"/>
      <c r="H1278" s="161"/>
      <c r="I1278" s="161"/>
      <c r="J1278" s="161"/>
      <c r="K1278" s="161"/>
      <c r="L1278" s="161"/>
      <c r="M1278" s="161"/>
      <c r="N1278" s="161"/>
      <c r="O1278" s="161"/>
      <c r="P1278" s="161"/>
      <c r="Q1278" s="161"/>
      <c r="R1278" s="161"/>
      <c r="S1278" s="161"/>
      <c r="T1278" s="161"/>
      <c r="U1278" s="161"/>
      <c r="V1278" s="161"/>
      <c r="W1278" s="161"/>
      <c r="X1278" s="161"/>
      <c r="Y1278" s="161"/>
      <c r="Z1278" s="161"/>
      <c r="AA1278" s="161"/>
      <c r="AB1278" s="161"/>
      <c r="AC1278" s="161"/>
      <c r="AD1278" s="161"/>
      <c r="AE1278" s="161"/>
      <c r="AF1278" s="161"/>
      <c r="AG1278" s="161"/>
      <c r="AH1278" s="161"/>
      <c r="AI1278" s="161"/>
      <c r="AJ1278" s="161"/>
      <c r="AK1278" s="161"/>
      <c r="AL1278" s="161"/>
      <c r="AM1278" s="161"/>
      <c r="AN1278" s="161"/>
      <c r="AO1278" s="161"/>
      <c r="AP1278" s="161"/>
      <c r="AQ1278" s="161"/>
      <c r="AR1278" s="161"/>
      <c r="AS1278" s="161"/>
      <c r="AT1278" s="161"/>
      <c r="AU1278" s="161"/>
      <c r="AV1278" s="161"/>
      <c r="AW1278" s="161"/>
      <c r="AX1278" s="161"/>
      <c r="AY1278" s="161"/>
      <c r="AZ1278" s="161"/>
      <c r="BA1278" s="161"/>
      <c r="BB1278" s="161"/>
      <c r="BC1278" s="161"/>
      <c r="BD1278" s="161"/>
      <c r="BE1278" s="161"/>
      <c r="BF1278" s="161"/>
      <c r="BG1278" s="161"/>
      <c r="BH1278" s="161"/>
      <c r="BI1278" s="161"/>
      <c r="BJ1278" s="161"/>
      <c r="BK1278" s="161"/>
      <c r="BL1278" s="161"/>
      <c r="BM1278" s="161"/>
      <c r="BN1278" s="161"/>
      <c r="BO1278" s="161"/>
      <c r="BP1278" s="161"/>
      <c r="BQ1278" s="161"/>
      <c r="BR1278" s="161"/>
      <c r="BS1278" s="161"/>
      <c r="BT1278" s="161"/>
      <c r="BU1278" s="161"/>
      <c r="BV1278" s="161"/>
      <c r="BW1278" s="161"/>
      <c r="BX1278" s="161"/>
      <c r="BY1278" s="161"/>
      <c r="BZ1278" s="161"/>
      <c r="CA1278" s="161"/>
      <c r="CB1278" s="161"/>
      <c r="CC1278" s="161"/>
      <c r="CD1278" s="161"/>
      <c r="CE1278" s="161"/>
      <c r="CF1278" s="161"/>
      <c r="CG1278" s="161"/>
    </row>
    <row r="1279">
      <c r="A1279" s="161"/>
      <c r="B1279" s="161"/>
      <c r="C1279" s="161"/>
      <c r="D1279" s="161"/>
      <c r="E1279" s="161"/>
      <c r="F1279" s="161"/>
      <c r="G1279" s="161"/>
      <c r="H1279" s="161"/>
      <c r="I1279" s="161"/>
      <c r="J1279" s="161"/>
      <c r="K1279" s="161"/>
      <c r="L1279" s="161"/>
      <c r="M1279" s="161"/>
      <c r="N1279" s="161"/>
      <c r="O1279" s="161"/>
      <c r="P1279" s="161"/>
      <c r="Q1279" s="161"/>
      <c r="R1279" s="161"/>
      <c r="S1279" s="161"/>
      <c r="T1279" s="161"/>
      <c r="U1279" s="161"/>
      <c r="V1279" s="161"/>
      <c r="W1279" s="161"/>
      <c r="X1279" s="161"/>
      <c r="Y1279" s="161"/>
      <c r="Z1279" s="161"/>
      <c r="AA1279" s="161"/>
      <c r="AB1279" s="161"/>
      <c r="AC1279" s="161"/>
      <c r="AD1279" s="161"/>
      <c r="AE1279" s="161"/>
      <c r="AF1279" s="161"/>
      <c r="AG1279" s="161"/>
      <c r="AH1279" s="161"/>
      <c r="AI1279" s="161"/>
      <c r="AJ1279" s="161"/>
      <c r="AK1279" s="161"/>
      <c r="AL1279" s="161"/>
      <c r="AM1279" s="161"/>
      <c r="AN1279" s="161"/>
      <c r="AO1279" s="161"/>
      <c r="AP1279" s="161"/>
      <c r="AQ1279" s="161"/>
      <c r="AR1279" s="161"/>
      <c r="AS1279" s="161"/>
      <c r="AT1279" s="161"/>
      <c r="AU1279" s="161"/>
      <c r="AV1279" s="161"/>
      <c r="AW1279" s="161"/>
      <c r="AX1279" s="161"/>
      <c r="AY1279" s="161"/>
      <c r="AZ1279" s="161"/>
      <c r="BA1279" s="161"/>
      <c r="BB1279" s="161"/>
      <c r="BC1279" s="161"/>
      <c r="BD1279" s="161"/>
      <c r="BE1279" s="161"/>
      <c r="BF1279" s="161"/>
      <c r="BG1279" s="161"/>
      <c r="BH1279" s="161"/>
      <c r="BI1279" s="161"/>
      <c r="BJ1279" s="161"/>
      <c r="BK1279" s="161"/>
      <c r="BL1279" s="161"/>
      <c r="BM1279" s="161"/>
      <c r="BN1279" s="161"/>
      <c r="BO1279" s="161"/>
      <c r="BP1279" s="161"/>
      <c r="BQ1279" s="161"/>
      <c r="BR1279" s="161"/>
      <c r="BS1279" s="161"/>
      <c r="BT1279" s="161"/>
      <c r="BU1279" s="161"/>
      <c r="BV1279" s="161"/>
      <c r="BW1279" s="161"/>
      <c r="BX1279" s="161"/>
      <c r="BY1279" s="161"/>
      <c r="BZ1279" s="161"/>
      <c r="CA1279" s="161"/>
      <c r="CB1279" s="161"/>
      <c r="CC1279" s="161"/>
      <c r="CD1279" s="161"/>
      <c r="CE1279" s="161"/>
      <c r="CF1279" s="161"/>
      <c r="CG1279" s="161"/>
    </row>
    <row r="1280">
      <c r="A1280" s="161"/>
      <c r="B1280" s="161"/>
      <c r="C1280" s="161"/>
      <c r="D1280" s="161"/>
      <c r="E1280" s="161"/>
      <c r="F1280" s="161"/>
      <c r="G1280" s="161"/>
      <c r="H1280" s="161"/>
      <c r="I1280" s="161"/>
      <c r="J1280" s="161"/>
      <c r="K1280" s="161"/>
      <c r="L1280" s="161"/>
      <c r="M1280" s="161"/>
      <c r="N1280" s="161"/>
      <c r="O1280" s="161"/>
      <c r="P1280" s="161"/>
      <c r="Q1280" s="161"/>
      <c r="R1280" s="161"/>
      <c r="S1280" s="161"/>
      <c r="T1280" s="161"/>
      <c r="U1280" s="161"/>
      <c r="V1280" s="161"/>
      <c r="W1280" s="161"/>
      <c r="X1280" s="161"/>
      <c r="Y1280" s="161"/>
      <c r="Z1280" s="161"/>
      <c r="AA1280" s="161"/>
      <c r="AB1280" s="161"/>
      <c r="AC1280" s="161"/>
      <c r="AD1280" s="161"/>
      <c r="AE1280" s="161"/>
      <c r="AF1280" s="161"/>
      <c r="AG1280" s="161"/>
      <c r="AH1280" s="161"/>
      <c r="AI1280" s="161"/>
      <c r="AJ1280" s="161"/>
      <c r="AK1280" s="161"/>
      <c r="AL1280" s="161"/>
      <c r="AM1280" s="161"/>
      <c r="AN1280" s="161"/>
      <c r="AO1280" s="161"/>
      <c r="AP1280" s="161"/>
      <c r="AQ1280" s="161"/>
      <c r="AR1280" s="161"/>
      <c r="AS1280" s="161"/>
      <c r="AT1280" s="161"/>
      <c r="AU1280" s="161"/>
      <c r="AV1280" s="161"/>
      <c r="AW1280" s="161"/>
      <c r="AX1280" s="161"/>
      <c r="AY1280" s="161"/>
      <c r="AZ1280" s="161"/>
      <c r="BA1280" s="161"/>
      <c r="BB1280" s="161"/>
      <c r="BC1280" s="161"/>
      <c r="BD1280" s="161"/>
      <c r="BE1280" s="161"/>
      <c r="BF1280" s="161"/>
      <c r="BG1280" s="161"/>
      <c r="BH1280" s="161"/>
      <c r="BI1280" s="161"/>
      <c r="BJ1280" s="161"/>
      <c r="BK1280" s="161"/>
      <c r="BL1280" s="161"/>
      <c r="BM1280" s="161"/>
      <c r="BN1280" s="161"/>
      <c r="BO1280" s="161"/>
      <c r="BP1280" s="161"/>
      <c r="BQ1280" s="161"/>
      <c r="BR1280" s="161"/>
      <c r="BS1280" s="161"/>
      <c r="BT1280" s="161"/>
      <c r="BU1280" s="161"/>
      <c r="BV1280" s="161"/>
      <c r="BW1280" s="161"/>
      <c r="BX1280" s="161"/>
      <c r="BY1280" s="161"/>
      <c r="BZ1280" s="161"/>
      <c r="CA1280" s="161"/>
      <c r="CB1280" s="161"/>
      <c r="CC1280" s="161"/>
      <c r="CD1280" s="161"/>
      <c r="CE1280" s="161"/>
      <c r="CF1280" s="161"/>
      <c r="CG1280" s="161"/>
    </row>
    <row r="1281">
      <c r="A1281" s="161"/>
      <c r="B1281" s="161"/>
      <c r="C1281" s="161"/>
      <c r="D1281" s="161"/>
      <c r="E1281" s="161"/>
      <c r="F1281" s="161"/>
      <c r="G1281" s="161"/>
      <c r="H1281" s="161"/>
      <c r="I1281" s="161"/>
      <c r="J1281" s="161"/>
      <c r="K1281" s="161"/>
      <c r="L1281" s="161"/>
      <c r="M1281" s="161"/>
      <c r="N1281" s="161"/>
      <c r="O1281" s="161"/>
      <c r="P1281" s="161"/>
      <c r="Q1281" s="161"/>
      <c r="R1281" s="161"/>
      <c r="S1281" s="161"/>
      <c r="T1281" s="161"/>
      <c r="U1281" s="161"/>
      <c r="V1281" s="161"/>
      <c r="W1281" s="161"/>
      <c r="X1281" s="161"/>
      <c r="Y1281" s="161"/>
      <c r="Z1281" s="161"/>
      <c r="AA1281" s="161"/>
      <c r="AB1281" s="161"/>
      <c r="AC1281" s="161"/>
      <c r="AD1281" s="161"/>
      <c r="AE1281" s="161"/>
      <c r="AF1281" s="161"/>
      <c r="AG1281" s="161"/>
      <c r="AH1281" s="161"/>
      <c r="AI1281" s="161"/>
      <c r="AJ1281" s="161"/>
      <c r="AK1281" s="161"/>
      <c r="AL1281" s="161"/>
      <c r="AM1281" s="161"/>
      <c r="AN1281" s="161"/>
      <c r="AO1281" s="161"/>
      <c r="AP1281" s="161"/>
      <c r="AQ1281" s="161"/>
      <c r="AR1281" s="161"/>
      <c r="AS1281" s="161"/>
      <c r="AT1281" s="161"/>
      <c r="AU1281" s="161"/>
      <c r="AV1281" s="161"/>
      <c r="AW1281" s="161"/>
      <c r="AX1281" s="161"/>
      <c r="AY1281" s="161"/>
      <c r="AZ1281" s="161"/>
      <c r="BA1281" s="161"/>
      <c r="BB1281" s="161"/>
      <c r="BC1281" s="161"/>
      <c r="BD1281" s="161"/>
      <c r="BE1281" s="161"/>
      <c r="BF1281" s="161"/>
      <c r="BG1281" s="161"/>
      <c r="BH1281" s="161"/>
      <c r="BI1281" s="161"/>
      <c r="BJ1281" s="161"/>
      <c r="BK1281" s="161"/>
      <c r="BL1281" s="161"/>
      <c r="BM1281" s="161"/>
      <c r="BN1281" s="161"/>
      <c r="BO1281" s="161"/>
      <c r="BP1281" s="161"/>
      <c r="BQ1281" s="161"/>
      <c r="BR1281" s="161"/>
      <c r="BS1281" s="161"/>
      <c r="BT1281" s="161"/>
      <c r="BU1281" s="161"/>
      <c r="BV1281" s="161"/>
      <c r="BW1281" s="161"/>
      <c r="BX1281" s="161"/>
      <c r="BY1281" s="161"/>
      <c r="BZ1281" s="161"/>
      <c r="CA1281" s="161"/>
      <c r="CB1281" s="161"/>
      <c r="CC1281" s="161"/>
      <c r="CD1281" s="161"/>
      <c r="CE1281" s="161"/>
      <c r="CF1281" s="161"/>
      <c r="CG1281" s="161"/>
    </row>
    <row r="1282">
      <c r="A1282" s="161"/>
      <c r="B1282" s="161"/>
      <c r="C1282" s="161"/>
      <c r="D1282" s="161"/>
      <c r="E1282" s="161"/>
      <c r="F1282" s="161"/>
      <c r="G1282" s="161"/>
      <c r="H1282" s="161"/>
      <c r="I1282" s="161"/>
      <c r="J1282" s="161"/>
      <c r="K1282" s="161"/>
      <c r="L1282" s="161"/>
      <c r="M1282" s="161"/>
      <c r="N1282" s="161"/>
      <c r="O1282" s="161"/>
      <c r="P1282" s="161"/>
      <c r="Q1282" s="161"/>
      <c r="R1282" s="161"/>
      <c r="S1282" s="161"/>
      <c r="T1282" s="161"/>
      <c r="U1282" s="161"/>
      <c r="V1282" s="161"/>
      <c r="W1282" s="161"/>
      <c r="X1282" s="161"/>
      <c r="Y1282" s="161"/>
      <c r="Z1282" s="161"/>
      <c r="AA1282" s="161"/>
      <c r="AB1282" s="161"/>
      <c r="AC1282" s="161"/>
      <c r="AD1282" s="161"/>
      <c r="AE1282" s="161"/>
      <c r="AF1282" s="161"/>
      <c r="AG1282" s="161"/>
      <c r="AH1282" s="161"/>
      <c r="AI1282" s="161"/>
      <c r="AJ1282" s="161"/>
      <c r="AK1282" s="161"/>
      <c r="AL1282" s="161"/>
      <c r="AM1282" s="161"/>
      <c r="AN1282" s="161"/>
      <c r="AO1282" s="161"/>
      <c r="AP1282" s="161"/>
      <c r="AQ1282" s="161"/>
      <c r="AR1282" s="161"/>
      <c r="AS1282" s="161"/>
      <c r="AT1282" s="161"/>
      <c r="AU1282" s="161"/>
      <c r="AV1282" s="161"/>
      <c r="AW1282" s="161"/>
      <c r="AX1282" s="161"/>
      <c r="AY1282" s="161"/>
      <c r="AZ1282" s="161"/>
      <c r="BA1282" s="161"/>
      <c r="BB1282" s="161"/>
      <c r="BC1282" s="161"/>
      <c r="BD1282" s="161"/>
      <c r="BE1282" s="161"/>
      <c r="BF1282" s="161"/>
      <c r="BG1282" s="161"/>
      <c r="BH1282" s="161"/>
      <c r="BI1282" s="161"/>
      <c r="BJ1282" s="161"/>
      <c r="BK1282" s="161"/>
      <c r="BL1282" s="161"/>
      <c r="BM1282" s="161"/>
      <c r="BN1282" s="161"/>
      <c r="BO1282" s="161"/>
      <c r="BP1282" s="161"/>
      <c r="BQ1282" s="161"/>
      <c r="BR1282" s="161"/>
      <c r="BS1282" s="161"/>
      <c r="BT1282" s="161"/>
      <c r="BU1282" s="161"/>
      <c r="BV1282" s="161"/>
      <c r="BW1282" s="161"/>
      <c r="BX1282" s="161"/>
      <c r="BY1282" s="161"/>
      <c r="BZ1282" s="161"/>
      <c r="CA1282" s="161"/>
      <c r="CB1282" s="161"/>
      <c r="CC1282" s="161"/>
      <c r="CD1282" s="161"/>
      <c r="CE1282" s="161"/>
      <c r="CF1282" s="161"/>
      <c r="CG1282" s="161"/>
    </row>
    <row r="1283">
      <c r="A1283" s="161"/>
      <c r="B1283" s="161"/>
      <c r="C1283" s="161"/>
      <c r="D1283" s="161"/>
      <c r="E1283" s="161"/>
      <c r="F1283" s="161"/>
      <c r="G1283" s="161"/>
      <c r="H1283" s="161"/>
      <c r="I1283" s="161"/>
      <c r="J1283" s="161"/>
      <c r="K1283" s="161"/>
      <c r="L1283" s="161"/>
      <c r="M1283" s="161"/>
      <c r="N1283" s="161"/>
      <c r="O1283" s="161"/>
      <c r="P1283" s="161"/>
      <c r="Q1283" s="161"/>
      <c r="R1283" s="161"/>
      <c r="S1283" s="161"/>
      <c r="T1283" s="161"/>
      <c r="U1283" s="161"/>
      <c r="V1283" s="161"/>
      <c r="W1283" s="161"/>
      <c r="X1283" s="161"/>
      <c r="Y1283" s="161"/>
      <c r="Z1283" s="161"/>
      <c r="AA1283" s="161"/>
      <c r="AB1283" s="161"/>
      <c r="AC1283" s="161"/>
      <c r="AD1283" s="161"/>
      <c r="AE1283" s="161"/>
      <c r="AF1283" s="161"/>
      <c r="AG1283" s="161"/>
      <c r="AH1283" s="161"/>
      <c r="AI1283" s="161"/>
      <c r="AJ1283" s="161"/>
      <c r="AK1283" s="161"/>
      <c r="AL1283" s="161"/>
      <c r="AM1283" s="161"/>
      <c r="AN1283" s="161"/>
      <c r="AO1283" s="161"/>
      <c r="AP1283" s="161"/>
      <c r="AQ1283" s="161"/>
      <c r="AR1283" s="161"/>
      <c r="AS1283" s="161"/>
      <c r="AT1283" s="161"/>
      <c r="AU1283" s="161"/>
      <c r="AV1283" s="161"/>
      <c r="AW1283" s="161"/>
      <c r="AX1283" s="161"/>
      <c r="AY1283" s="161"/>
      <c r="AZ1283" s="161"/>
      <c r="BA1283" s="161"/>
      <c r="BB1283" s="161"/>
      <c r="BC1283" s="161"/>
      <c r="BD1283" s="161"/>
      <c r="BE1283" s="161"/>
      <c r="BF1283" s="161"/>
      <c r="BG1283" s="161"/>
      <c r="BH1283" s="161"/>
      <c r="BI1283" s="161"/>
      <c r="BJ1283" s="161"/>
      <c r="BK1283" s="161"/>
      <c r="BL1283" s="161"/>
      <c r="BM1283" s="161"/>
      <c r="BN1283" s="161"/>
      <c r="BO1283" s="161"/>
      <c r="BP1283" s="161"/>
      <c r="BQ1283" s="161"/>
      <c r="BR1283" s="161"/>
      <c r="BS1283" s="161"/>
      <c r="BT1283" s="161"/>
      <c r="BU1283" s="161"/>
      <c r="BV1283" s="161"/>
      <c r="BW1283" s="161"/>
      <c r="BX1283" s="161"/>
      <c r="BY1283" s="161"/>
      <c r="BZ1283" s="161"/>
      <c r="CA1283" s="161"/>
      <c r="CB1283" s="161"/>
      <c r="CC1283" s="161"/>
      <c r="CD1283" s="161"/>
      <c r="CE1283" s="161"/>
      <c r="CF1283" s="161"/>
      <c r="CG1283" s="161"/>
    </row>
    <row r="1284">
      <c r="A1284" s="161"/>
      <c r="B1284" s="161"/>
      <c r="C1284" s="161"/>
      <c r="D1284" s="161"/>
      <c r="E1284" s="161"/>
      <c r="F1284" s="161"/>
      <c r="G1284" s="161"/>
      <c r="H1284" s="161"/>
      <c r="I1284" s="161"/>
      <c r="J1284" s="161"/>
      <c r="K1284" s="161"/>
      <c r="L1284" s="161"/>
      <c r="M1284" s="161"/>
      <c r="N1284" s="161"/>
      <c r="O1284" s="161"/>
      <c r="P1284" s="161"/>
      <c r="Q1284" s="161"/>
      <c r="R1284" s="161"/>
      <c r="S1284" s="161"/>
      <c r="T1284" s="161"/>
      <c r="U1284" s="161"/>
      <c r="V1284" s="161"/>
      <c r="W1284" s="161"/>
      <c r="X1284" s="161"/>
      <c r="Y1284" s="161"/>
      <c r="Z1284" s="161"/>
      <c r="AA1284" s="161"/>
      <c r="AB1284" s="161"/>
      <c r="AC1284" s="161"/>
      <c r="AD1284" s="161"/>
      <c r="AE1284" s="161"/>
      <c r="AF1284" s="161"/>
      <c r="AG1284" s="161"/>
      <c r="AH1284" s="161"/>
      <c r="AI1284" s="161"/>
      <c r="AJ1284" s="161"/>
      <c r="AK1284" s="161"/>
      <c r="AL1284" s="161"/>
      <c r="AM1284" s="161"/>
      <c r="AN1284" s="161"/>
      <c r="AO1284" s="161"/>
      <c r="AP1284" s="161"/>
      <c r="AQ1284" s="161"/>
      <c r="AR1284" s="161"/>
      <c r="AS1284" s="161"/>
      <c r="AT1284" s="161"/>
      <c r="AU1284" s="161"/>
      <c r="AV1284" s="161"/>
      <c r="AW1284" s="161"/>
      <c r="AX1284" s="161"/>
      <c r="AY1284" s="161"/>
      <c r="AZ1284" s="161"/>
      <c r="BA1284" s="161"/>
      <c r="BB1284" s="161"/>
      <c r="BC1284" s="161"/>
      <c r="BD1284" s="161"/>
      <c r="BE1284" s="161"/>
      <c r="BF1284" s="161"/>
      <c r="BG1284" s="161"/>
      <c r="BH1284" s="161"/>
      <c r="BI1284" s="161"/>
      <c r="BJ1284" s="161"/>
      <c r="BK1284" s="161"/>
      <c r="BL1284" s="161"/>
      <c r="BM1284" s="161"/>
      <c r="BN1284" s="161"/>
      <c r="BO1284" s="161"/>
      <c r="BP1284" s="161"/>
      <c r="BQ1284" s="161"/>
      <c r="BR1284" s="161"/>
      <c r="BS1284" s="161"/>
      <c r="BT1284" s="161"/>
      <c r="BU1284" s="161"/>
      <c r="BV1284" s="161"/>
      <c r="BW1284" s="161"/>
      <c r="BX1284" s="161"/>
      <c r="BY1284" s="161"/>
      <c r="BZ1284" s="161"/>
      <c r="CA1284" s="161"/>
      <c r="CB1284" s="161"/>
      <c r="CC1284" s="161"/>
      <c r="CD1284" s="161"/>
      <c r="CE1284" s="161"/>
      <c r="CF1284" s="161"/>
      <c r="CG1284" s="161"/>
    </row>
    <row r="1285">
      <c r="A1285" s="161"/>
      <c r="B1285" s="161"/>
      <c r="C1285" s="161"/>
      <c r="D1285" s="161"/>
      <c r="E1285" s="161"/>
      <c r="F1285" s="161"/>
      <c r="G1285" s="161"/>
      <c r="H1285" s="161"/>
      <c r="I1285" s="161"/>
      <c r="J1285" s="161"/>
      <c r="K1285" s="161"/>
      <c r="L1285" s="161"/>
      <c r="M1285" s="161"/>
      <c r="N1285" s="161"/>
      <c r="O1285" s="161"/>
      <c r="P1285" s="161"/>
      <c r="Q1285" s="161"/>
      <c r="R1285" s="161"/>
      <c r="S1285" s="161"/>
      <c r="T1285" s="161"/>
      <c r="U1285" s="161"/>
      <c r="V1285" s="161"/>
      <c r="W1285" s="161"/>
      <c r="X1285" s="161"/>
      <c r="Y1285" s="161"/>
      <c r="Z1285" s="161"/>
      <c r="AA1285" s="161"/>
      <c r="AB1285" s="161"/>
      <c r="AC1285" s="161"/>
      <c r="AD1285" s="161"/>
      <c r="AE1285" s="161"/>
      <c r="AF1285" s="161"/>
      <c r="AG1285" s="161"/>
      <c r="AH1285" s="161"/>
      <c r="AI1285" s="161"/>
      <c r="AJ1285" s="161"/>
      <c r="AK1285" s="161"/>
      <c r="AL1285" s="161"/>
      <c r="AM1285" s="161"/>
      <c r="AN1285" s="161"/>
      <c r="AO1285" s="161"/>
      <c r="AP1285" s="161"/>
      <c r="AQ1285" s="161"/>
      <c r="AR1285" s="161"/>
      <c r="AS1285" s="161"/>
      <c r="AT1285" s="161"/>
      <c r="AU1285" s="161"/>
      <c r="AV1285" s="161"/>
      <c r="AW1285" s="161"/>
      <c r="AX1285" s="161"/>
      <c r="AY1285" s="161"/>
      <c r="AZ1285" s="161"/>
      <c r="BA1285" s="161"/>
      <c r="BB1285" s="161"/>
      <c r="BC1285" s="161"/>
      <c r="BD1285" s="161"/>
      <c r="BE1285" s="161"/>
      <c r="BF1285" s="161"/>
      <c r="BG1285" s="161"/>
      <c r="BH1285" s="161"/>
      <c r="BI1285" s="161"/>
      <c r="BJ1285" s="161"/>
      <c r="BK1285" s="161"/>
      <c r="BL1285" s="161"/>
      <c r="BM1285" s="161"/>
      <c r="BN1285" s="161"/>
      <c r="BO1285" s="161"/>
      <c r="BP1285" s="161"/>
      <c r="BQ1285" s="161"/>
      <c r="BR1285" s="161"/>
      <c r="BS1285" s="161"/>
      <c r="BT1285" s="161"/>
      <c r="BU1285" s="161"/>
      <c r="BV1285" s="161"/>
      <c r="BW1285" s="161"/>
      <c r="BX1285" s="161"/>
      <c r="BY1285" s="161"/>
      <c r="BZ1285" s="161"/>
      <c r="CA1285" s="161"/>
      <c r="CB1285" s="161"/>
      <c r="CC1285" s="161"/>
      <c r="CD1285" s="161"/>
      <c r="CE1285" s="161"/>
      <c r="CF1285" s="161"/>
      <c r="CG1285" s="161"/>
    </row>
    <row r="1286">
      <c r="A1286" s="161"/>
      <c r="B1286" s="161"/>
      <c r="C1286" s="161"/>
      <c r="D1286" s="161"/>
      <c r="E1286" s="161"/>
      <c r="F1286" s="161"/>
      <c r="G1286" s="161"/>
      <c r="H1286" s="161"/>
      <c r="I1286" s="161"/>
      <c r="J1286" s="161"/>
      <c r="K1286" s="161"/>
      <c r="L1286" s="161"/>
      <c r="M1286" s="161"/>
      <c r="N1286" s="161"/>
      <c r="O1286" s="161"/>
      <c r="P1286" s="161"/>
      <c r="Q1286" s="161"/>
      <c r="R1286" s="161"/>
      <c r="S1286" s="161"/>
      <c r="T1286" s="161"/>
      <c r="U1286" s="161"/>
      <c r="V1286" s="161"/>
      <c r="W1286" s="161"/>
      <c r="X1286" s="161"/>
      <c r="Y1286" s="161"/>
      <c r="Z1286" s="161"/>
      <c r="AA1286" s="161"/>
      <c r="AB1286" s="161"/>
      <c r="AC1286" s="161"/>
      <c r="AD1286" s="161"/>
      <c r="AE1286" s="161"/>
      <c r="AF1286" s="161"/>
      <c r="AG1286" s="161"/>
      <c r="AH1286" s="161"/>
      <c r="AI1286" s="161"/>
      <c r="AJ1286" s="161"/>
      <c r="AK1286" s="161"/>
      <c r="AL1286" s="161"/>
      <c r="AM1286" s="161"/>
      <c r="AN1286" s="161"/>
      <c r="AO1286" s="161"/>
      <c r="AP1286" s="161"/>
      <c r="AQ1286" s="161"/>
      <c r="AR1286" s="161"/>
      <c r="AS1286" s="161"/>
      <c r="AT1286" s="161"/>
      <c r="AU1286" s="161"/>
      <c r="AV1286" s="161"/>
      <c r="AW1286" s="161"/>
      <c r="AX1286" s="161"/>
      <c r="AY1286" s="161"/>
      <c r="AZ1286" s="161"/>
      <c r="BA1286" s="161"/>
      <c r="BB1286" s="161"/>
      <c r="BC1286" s="161"/>
      <c r="BD1286" s="161"/>
      <c r="BE1286" s="161"/>
      <c r="BF1286" s="161"/>
      <c r="BG1286" s="161"/>
      <c r="BH1286" s="161"/>
      <c r="BI1286" s="161"/>
      <c r="BJ1286" s="161"/>
      <c r="BK1286" s="161"/>
      <c r="BL1286" s="161"/>
      <c r="BM1286" s="161"/>
      <c r="BN1286" s="161"/>
      <c r="BO1286" s="161"/>
      <c r="BP1286" s="161"/>
      <c r="BQ1286" s="161"/>
      <c r="BR1286" s="161"/>
      <c r="BS1286" s="161"/>
      <c r="BT1286" s="161"/>
      <c r="BU1286" s="161"/>
      <c r="BV1286" s="161"/>
      <c r="BW1286" s="161"/>
      <c r="BX1286" s="161"/>
      <c r="BY1286" s="161"/>
      <c r="BZ1286" s="161"/>
      <c r="CA1286" s="161"/>
      <c r="CB1286" s="161"/>
      <c r="CC1286" s="161"/>
      <c r="CD1286" s="161"/>
      <c r="CE1286" s="161"/>
      <c r="CF1286" s="161"/>
      <c r="CG1286" s="161"/>
    </row>
    <row r="1287">
      <c r="A1287" s="161"/>
      <c r="B1287" s="161"/>
      <c r="C1287" s="161"/>
      <c r="D1287" s="161"/>
      <c r="E1287" s="161"/>
      <c r="F1287" s="161"/>
      <c r="G1287" s="161"/>
      <c r="H1287" s="161"/>
      <c r="I1287" s="161"/>
      <c r="J1287" s="161"/>
      <c r="K1287" s="161"/>
      <c r="L1287" s="161"/>
      <c r="M1287" s="161"/>
      <c r="N1287" s="161"/>
      <c r="O1287" s="161"/>
      <c r="P1287" s="161"/>
      <c r="Q1287" s="161"/>
      <c r="R1287" s="161"/>
      <c r="S1287" s="161"/>
      <c r="T1287" s="161"/>
      <c r="U1287" s="161"/>
      <c r="V1287" s="161"/>
      <c r="W1287" s="161"/>
      <c r="X1287" s="161"/>
      <c r="Y1287" s="161"/>
      <c r="Z1287" s="161"/>
      <c r="AA1287" s="161"/>
      <c r="AB1287" s="161"/>
      <c r="AC1287" s="161"/>
      <c r="AD1287" s="161"/>
      <c r="AE1287" s="161"/>
      <c r="AF1287" s="161"/>
      <c r="AG1287" s="161"/>
      <c r="AH1287" s="161"/>
      <c r="AI1287" s="161"/>
      <c r="AJ1287" s="161"/>
      <c r="AK1287" s="161"/>
      <c r="AL1287" s="161"/>
      <c r="AM1287" s="161"/>
      <c r="AN1287" s="161"/>
      <c r="AO1287" s="161"/>
      <c r="AP1287" s="161"/>
      <c r="AQ1287" s="161"/>
      <c r="AR1287" s="161"/>
      <c r="AS1287" s="161"/>
      <c r="AT1287" s="161"/>
      <c r="AU1287" s="161"/>
      <c r="AV1287" s="161"/>
      <c r="AW1287" s="161"/>
      <c r="AX1287" s="161"/>
      <c r="AY1287" s="161"/>
      <c r="AZ1287" s="161"/>
      <c r="BA1287" s="161"/>
      <c r="BB1287" s="161"/>
      <c r="BC1287" s="161"/>
      <c r="BD1287" s="161"/>
      <c r="BE1287" s="161"/>
      <c r="BF1287" s="161"/>
      <c r="BG1287" s="161"/>
      <c r="BH1287" s="161"/>
      <c r="BI1287" s="161"/>
      <c r="BJ1287" s="161"/>
      <c r="BK1287" s="161"/>
      <c r="BL1287" s="161"/>
      <c r="BM1287" s="161"/>
      <c r="BN1287" s="161"/>
      <c r="BO1287" s="161"/>
      <c r="BP1287" s="161"/>
      <c r="BQ1287" s="161"/>
      <c r="BR1287" s="161"/>
      <c r="BS1287" s="161"/>
      <c r="BT1287" s="161"/>
      <c r="BU1287" s="161"/>
      <c r="BV1287" s="161"/>
      <c r="BW1287" s="161"/>
      <c r="BX1287" s="161"/>
      <c r="BY1287" s="161"/>
      <c r="BZ1287" s="161"/>
      <c r="CA1287" s="161"/>
      <c r="CB1287" s="161"/>
      <c r="CC1287" s="161"/>
      <c r="CD1287" s="161"/>
      <c r="CE1287" s="161"/>
      <c r="CF1287" s="161"/>
      <c r="CG1287" s="161"/>
    </row>
    <row r="1288">
      <c r="A1288" s="161"/>
      <c r="B1288" s="161"/>
      <c r="C1288" s="161"/>
      <c r="D1288" s="161"/>
      <c r="E1288" s="161"/>
      <c r="F1288" s="161"/>
      <c r="G1288" s="161"/>
      <c r="H1288" s="161"/>
      <c r="I1288" s="161"/>
      <c r="J1288" s="161"/>
      <c r="K1288" s="161"/>
      <c r="L1288" s="161"/>
      <c r="M1288" s="161"/>
      <c r="N1288" s="161"/>
      <c r="O1288" s="161"/>
      <c r="P1288" s="161"/>
      <c r="Q1288" s="161"/>
      <c r="R1288" s="161"/>
      <c r="S1288" s="161"/>
      <c r="T1288" s="161"/>
      <c r="U1288" s="161"/>
      <c r="V1288" s="161"/>
      <c r="W1288" s="161"/>
      <c r="X1288" s="161"/>
      <c r="Y1288" s="161"/>
      <c r="Z1288" s="161"/>
      <c r="AA1288" s="161"/>
      <c r="AB1288" s="161"/>
      <c r="AC1288" s="161"/>
      <c r="AD1288" s="161"/>
      <c r="AE1288" s="161"/>
      <c r="AF1288" s="161"/>
      <c r="AG1288" s="161"/>
      <c r="AH1288" s="161"/>
      <c r="AI1288" s="161"/>
      <c r="AJ1288" s="161"/>
      <c r="AK1288" s="161"/>
      <c r="AL1288" s="161"/>
      <c r="AM1288" s="161"/>
      <c r="AN1288" s="161"/>
      <c r="AO1288" s="161"/>
      <c r="AP1288" s="161"/>
      <c r="AQ1288" s="161"/>
      <c r="AR1288" s="161"/>
      <c r="AS1288" s="161"/>
      <c r="AT1288" s="161"/>
      <c r="AU1288" s="161"/>
      <c r="AV1288" s="161"/>
      <c r="AW1288" s="161"/>
      <c r="AX1288" s="161"/>
      <c r="AY1288" s="161"/>
      <c r="AZ1288" s="161"/>
      <c r="BA1288" s="161"/>
      <c r="BB1288" s="161"/>
      <c r="BC1288" s="161"/>
      <c r="BD1288" s="161"/>
      <c r="BE1288" s="161"/>
      <c r="BF1288" s="161"/>
      <c r="BG1288" s="161"/>
      <c r="BH1288" s="161"/>
      <c r="BI1288" s="161"/>
      <c r="BJ1288" s="161"/>
      <c r="BK1288" s="161"/>
      <c r="BL1288" s="161"/>
      <c r="BM1288" s="161"/>
      <c r="BN1288" s="161"/>
      <c r="BO1288" s="161"/>
      <c r="BP1288" s="161"/>
      <c r="BQ1288" s="161"/>
      <c r="BR1288" s="161"/>
      <c r="BS1288" s="161"/>
      <c r="BT1288" s="161"/>
      <c r="BU1288" s="161"/>
      <c r="BV1288" s="161"/>
      <c r="BW1288" s="161"/>
      <c r="BX1288" s="161"/>
      <c r="BY1288" s="161"/>
      <c r="BZ1288" s="161"/>
      <c r="CA1288" s="161"/>
      <c r="CB1288" s="161"/>
      <c r="CC1288" s="161"/>
      <c r="CD1288" s="161"/>
      <c r="CE1288" s="161"/>
      <c r="CF1288" s="161"/>
      <c r="CG1288" s="161"/>
    </row>
    <row r="1289">
      <c r="A1289" s="161"/>
      <c r="B1289" s="161"/>
      <c r="C1289" s="161"/>
      <c r="D1289" s="161"/>
      <c r="E1289" s="161"/>
      <c r="F1289" s="161"/>
      <c r="G1289" s="161"/>
      <c r="H1289" s="161"/>
      <c r="I1289" s="161"/>
      <c r="J1289" s="161"/>
      <c r="K1289" s="161"/>
      <c r="L1289" s="161"/>
      <c r="M1289" s="161"/>
      <c r="N1289" s="161"/>
      <c r="O1289" s="161"/>
      <c r="P1289" s="161"/>
      <c r="Q1289" s="161"/>
      <c r="R1289" s="161"/>
      <c r="S1289" s="161"/>
      <c r="T1289" s="161"/>
      <c r="U1289" s="161"/>
      <c r="V1289" s="161"/>
      <c r="W1289" s="161"/>
      <c r="X1289" s="161"/>
      <c r="Y1289" s="161"/>
      <c r="Z1289" s="161"/>
      <c r="AA1289" s="161"/>
      <c r="AB1289" s="161"/>
      <c r="AC1289" s="161"/>
      <c r="AD1289" s="161"/>
      <c r="AE1289" s="161"/>
      <c r="AF1289" s="161"/>
      <c r="AG1289" s="161"/>
      <c r="AH1289" s="161"/>
      <c r="AI1289" s="161"/>
      <c r="AJ1289" s="161"/>
      <c r="AK1289" s="161"/>
      <c r="AL1289" s="161"/>
      <c r="AM1289" s="161"/>
      <c r="AN1289" s="161"/>
      <c r="AO1289" s="161"/>
      <c r="AP1289" s="161"/>
      <c r="AQ1289" s="161"/>
      <c r="AR1289" s="161"/>
      <c r="AS1289" s="161"/>
      <c r="AT1289" s="161"/>
      <c r="AU1289" s="161"/>
      <c r="AV1289" s="161"/>
      <c r="AW1289" s="161"/>
      <c r="AX1289" s="161"/>
      <c r="AY1289" s="161"/>
      <c r="AZ1289" s="161"/>
      <c r="BA1289" s="161"/>
      <c r="BB1289" s="161"/>
      <c r="BC1289" s="161"/>
      <c r="BD1289" s="161"/>
      <c r="BE1289" s="161"/>
      <c r="BF1289" s="161"/>
      <c r="BG1289" s="161"/>
      <c r="BH1289" s="161"/>
      <c r="BI1289" s="161"/>
      <c r="BJ1289" s="161"/>
      <c r="BK1289" s="161"/>
      <c r="BL1289" s="161"/>
      <c r="BM1289" s="161"/>
      <c r="BN1289" s="161"/>
      <c r="BO1289" s="161"/>
      <c r="BP1289" s="161"/>
      <c r="BQ1289" s="161"/>
      <c r="BR1289" s="161"/>
      <c r="BS1289" s="161"/>
      <c r="BT1289" s="161"/>
      <c r="BU1289" s="161"/>
      <c r="BV1289" s="161"/>
      <c r="BW1289" s="161"/>
      <c r="BX1289" s="161"/>
      <c r="BY1289" s="161"/>
      <c r="BZ1289" s="161"/>
      <c r="CA1289" s="161"/>
      <c r="CB1289" s="161"/>
      <c r="CC1289" s="161"/>
      <c r="CD1289" s="161"/>
      <c r="CE1289" s="161"/>
      <c r="CF1289" s="161"/>
      <c r="CG1289" s="161"/>
    </row>
    <row r="1290">
      <c r="A1290" s="161"/>
      <c r="B1290" s="161"/>
      <c r="C1290" s="161"/>
      <c r="D1290" s="161"/>
      <c r="E1290" s="161"/>
      <c r="F1290" s="161"/>
      <c r="G1290" s="161"/>
      <c r="H1290" s="161"/>
      <c r="I1290" s="161"/>
      <c r="J1290" s="161"/>
      <c r="K1290" s="161"/>
      <c r="L1290" s="161"/>
      <c r="M1290" s="161"/>
      <c r="N1290" s="161"/>
      <c r="O1290" s="161"/>
      <c r="P1290" s="161"/>
      <c r="Q1290" s="161"/>
      <c r="R1290" s="161"/>
      <c r="S1290" s="161"/>
      <c r="T1290" s="161"/>
      <c r="U1290" s="161"/>
      <c r="V1290" s="161"/>
      <c r="W1290" s="161"/>
      <c r="X1290" s="161"/>
      <c r="Y1290" s="161"/>
      <c r="Z1290" s="161"/>
      <c r="AA1290" s="161"/>
      <c r="AB1290" s="161"/>
      <c r="AC1290" s="161"/>
      <c r="AD1290" s="161"/>
      <c r="AE1290" s="161"/>
      <c r="AF1290" s="161"/>
      <c r="AG1290" s="161"/>
      <c r="AH1290" s="161"/>
      <c r="AI1290" s="161"/>
      <c r="AJ1290" s="161"/>
      <c r="AK1290" s="161"/>
      <c r="AL1290" s="161"/>
      <c r="AM1290" s="161"/>
      <c r="AN1290" s="161"/>
      <c r="AO1290" s="161"/>
      <c r="AP1290" s="161"/>
      <c r="AQ1290" s="161"/>
      <c r="AR1290" s="161"/>
      <c r="AS1290" s="161"/>
      <c r="AT1290" s="161"/>
      <c r="AU1290" s="161"/>
      <c r="AV1290" s="161"/>
      <c r="AW1290" s="161"/>
      <c r="AX1290" s="161"/>
      <c r="AY1290" s="161"/>
      <c r="AZ1290" s="161"/>
      <c r="BA1290" s="161"/>
      <c r="BB1290" s="161"/>
      <c r="BC1290" s="161"/>
      <c r="BD1290" s="161"/>
      <c r="BE1290" s="161"/>
      <c r="BF1290" s="161"/>
      <c r="BG1290" s="161"/>
      <c r="BH1290" s="161"/>
      <c r="BI1290" s="161"/>
      <c r="BJ1290" s="161"/>
      <c r="BK1290" s="161"/>
      <c r="BL1290" s="161"/>
      <c r="BM1290" s="161"/>
      <c r="BN1290" s="161"/>
      <c r="BO1290" s="161"/>
      <c r="BP1290" s="161"/>
      <c r="BQ1290" s="161"/>
      <c r="BR1290" s="161"/>
      <c r="BS1290" s="161"/>
      <c r="BT1290" s="161"/>
      <c r="BU1290" s="161"/>
      <c r="BV1290" s="161"/>
      <c r="BW1290" s="161"/>
      <c r="BX1290" s="161"/>
      <c r="BY1290" s="161"/>
      <c r="BZ1290" s="161"/>
      <c r="CA1290" s="161"/>
      <c r="CB1290" s="161"/>
      <c r="CC1290" s="161"/>
      <c r="CD1290" s="161"/>
      <c r="CE1290" s="161"/>
      <c r="CF1290" s="161"/>
      <c r="CG1290" s="161"/>
    </row>
    <row r="1291">
      <c r="A1291" s="161"/>
      <c r="B1291" s="161"/>
      <c r="C1291" s="161"/>
      <c r="D1291" s="161"/>
      <c r="E1291" s="161"/>
      <c r="F1291" s="161"/>
      <c r="G1291" s="161"/>
      <c r="H1291" s="161"/>
      <c r="I1291" s="161"/>
      <c r="J1291" s="161"/>
      <c r="K1291" s="161"/>
      <c r="L1291" s="161"/>
      <c r="M1291" s="161"/>
      <c r="N1291" s="161"/>
      <c r="O1291" s="161"/>
      <c r="P1291" s="161"/>
      <c r="Q1291" s="161"/>
      <c r="R1291" s="161"/>
      <c r="S1291" s="161"/>
      <c r="T1291" s="161"/>
      <c r="U1291" s="161"/>
      <c r="V1291" s="161"/>
      <c r="W1291" s="161"/>
      <c r="X1291" s="161"/>
      <c r="Y1291" s="161"/>
      <c r="Z1291" s="161"/>
      <c r="AA1291" s="161"/>
      <c r="AB1291" s="161"/>
      <c r="AC1291" s="161"/>
      <c r="AD1291" s="161"/>
      <c r="AE1291" s="161"/>
      <c r="AF1291" s="161"/>
      <c r="AG1291" s="161"/>
      <c r="AH1291" s="161"/>
      <c r="AI1291" s="161"/>
      <c r="AJ1291" s="161"/>
      <c r="AK1291" s="161"/>
      <c r="AL1291" s="161"/>
      <c r="AM1291" s="161"/>
      <c r="AN1291" s="161"/>
      <c r="AO1291" s="161"/>
      <c r="AP1291" s="161"/>
      <c r="AQ1291" s="161"/>
      <c r="AR1291" s="161"/>
      <c r="AS1291" s="161"/>
      <c r="AT1291" s="161"/>
      <c r="AU1291" s="161"/>
      <c r="AV1291" s="161"/>
      <c r="AW1291" s="161"/>
      <c r="AX1291" s="161"/>
      <c r="AY1291" s="161"/>
      <c r="AZ1291" s="161"/>
      <c r="BA1291" s="161"/>
      <c r="BB1291" s="161"/>
      <c r="BC1291" s="161"/>
      <c r="BD1291" s="161"/>
      <c r="BE1291" s="161"/>
      <c r="BF1291" s="161"/>
      <c r="BG1291" s="161"/>
      <c r="BH1291" s="161"/>
      <c r="BI1291" s="161"/>
      <c r="BJ1291" s="161"/>
      <c r="BK1291" s="161"/>
      <c r="BL1291" s="161"/>
      <c r="BM1291" s="161"/>
      <c r="BN1291" s="161"/>
      <c r="BO1291" s="161"/>
      <c r="BP1291" s="161"/>
      <c r="BQ1291" s="161"/>
      <c r="BR1291" s="161"/>
      <c r="BS1291" s="161"/>
      <c r="BT1291" s="161"/>
      <c r="BU1291" s="161"/>
      <c r="BV1291" s="161"/>
      <c r="BW1291" s="161"/>
      <c r="BX1291" s="161"/>
      <c r="BY1291" s="161"/>
      <c r="BZ1291" s="161"/>
      <c r="CA1291" s="161"/>
      <c r="CB1291" s="161"/>
      <c r="CC1291" s="161"/>
      <c r="CD1291" s="161"/>
      <c r="CE1291" s="161"/>
      <c r="CF1291" s="161"/>
      <c r="CG1291" s="161"/>
    </row>
    <row r="1292">
      <c r="A1292" s="161"/>
      <c r="B1292" s="161"/>
      <c r="C1292" s="161"/>
      <c r="D1292" s="161"/>
      <c r="E1292" s="161"/>
      <c r="F1292" s="161"/>
      <c r="G1292" s="161"/>
      <c r="H1292" s="161"/>
      <c r="I1292" s="161"/>
      <c r="J1292" s="161"/>
      <c r="K1292" s="161"/>
      <c r="L1292" s="161"/>
      <c r="M1292" s="161"/>
      <c r="N1292" s="161"/>
      <c r="O1292" s="161"/>
      <c r="P1292" s="161"/>
      <c r="Q1292" s="161"/>
      <c r="R1292" s="161"/>
      <c r="S1292" s="161"/>
      <c r="T1292" s="161"/>
      <c r="U1292" s="161"/>
      <c r="V1292" s="161"/>
      <c r="W1292" s="161"/>
      <c r="X1292" s="161"/>
      <c r="Y1292" s="161"/>
      <c r="Z1292" s="161"/>
      <c r="AA1292" s="161"/>
      <c r="AB1292" s="161"/>
      <c r="AC1292" s="161"/>
      <c r="AD1292" s="161"/>
      <c r="AE1292" s="161"/>
      <c r="AF1292" s="161"/>
      <c r="AG1292" s="161"/>
      <c r="AH1292" s="161"/>
      <c r="AI1292" s="161"/>
      <c r="AJ1292" s="161"/>
      <c r="AK1292" s="161"/>
      <c r="AL1292" s="161"/>
      <c r="AM1292" s="161"/>
      <c r="AN1292" s="161"/>
      <c r="AO1292" s="161"/>
      <c r="AP1292" s="161"/>
      <c r="AQ1292" s="161"/>
      <c r="AR1292" s="161"/>
      <c r="AS1292" s="161"/>
      <c r="AT1292" s="161"/>
      <c r="AU1292" s="161"/>
      <c r="AV1292" s="161"/>
      <c r="AW1292" s="161"/>
      <c r="AX1292" s="161"/>
      <c r="AY1292" s="161"/>
      <c r="AZ1292" s="161"/>
      <c r="BA1292" s="161"/>
      <c r="BB1292" s="161"/>
      <c r="BC1292" s="161"/>
      <c r="BD1292" s="161"/>
      <c r="BE1292" s="161"/>
      <c r="BF1292" s="161"/>
      <c r="BG1292" s="161"/>
      <c r="BH1292" s="161"/>
      <c r="BI1292" s="161"/>
      <c r="BJ1292" s="161"/>
      <c r="BK1292" s="161"/>
      <c r="BL1292" s="161"/>
      <c r="BM1292" s="161"/>
      <c r="BN1292" s="161"/>
      <c r="BO1292" s="161"/>
      <c r="BP1292" s="161"/>
      <c r="BQ1292" s="161"/>
      <c r="BR1292" s="161"/>
      <c r="BS1292" s="161"/>
      <c r="BT1292" s="161"/>
      <c r="BU1292" s="161"/>
      <c r="BV1292" s="161"/>
      <c r="BW1292" s="161"/>
      <c r="BX1292" s="161"/>
      <c r="BY1292" s="161"/>
      <c r="BZ1292" s="161"/>
      <c r="CA1292" s="161"/>
      <c r="CB1292" s="161"/>
      <c r="CC1292" s="161"/>
      <c r="CD1292" s="161"/>
      <c r="CE1292" s="161"/>
      <c r="CF1292" s="161"/>
      <c r="CG1292" s="161"/>
    </row>
    <row r="1293">
      <c r="A1293" s="161"/>
      <c r="B1293" s="161"/>
      <c r="C1293" s="161"/>
      <c r="D1293" s="161"/>
      <c r="E1293" s="161"/>
      <c r="F1293" s="161"/>
      <c r="G1293" s="161"/>
      <c r="H1293" s="161"/>
      <c r="I1293" s="161"/>
      <c r="J1293" s="161"/>
      <c r="K1293" s="161"/>
      <c r="L1293" s="161"/>
      <c r="M1293" s="161"/>
      <c r="N1293" s="161"/>
      <c r="O1293" s="161"/>
      <c r="P1293" s="161"/>
      <c r="Q1293" s="161"/>
      <c r="R1293" s="161"/>
      <c r="S1293" s="161"/>
      <c r="T1293" s="161"/>
      <c r="U1293" s="161"/>
      <c r="V1293" s="161"/>
      <c r="W1293" s="161"/>
      <c r="X1293" s="161"/>
      <c r="Y1293" s="161"/>
      <c r="Z1293" s="161"/>
      <c r="AA1293" s="161"/>
      <c r="AB1293" s="161"/>
      <c r="AC1293" s="161"/>
      <c r="AD1293" s="161"/>
      <c r="AE1293" s="161"/>
      <c r="AF1293" s="161"/>
      <c r="AG1293" s="161"/>
      <c r="AH1293" s="161"/>
      <c r="AI1293" s="161"/>
      <c r="AJ1293" s="161"/>
      <c r="AK1293" s="161"/>
      <c r="AL1293" s="161"/>
      <c r="AM1293" s="161"/>
      <c r="AN1293" s="161"/>
      <c r="AO1293" s="161"/>
      <c r="AP1293" s="161"/>
      <c r="AQ1293" s="161"/>
      <c r="AR1293" s="161"/>
      <c r="AS1293" s="161"/>
      <c r="AT1293" s="161"/>
      <c r="AU1293" s="161"/>
      <c r="AV1293" s="161"/>
      <c r="AW1293" s="161"/>
      <c r="AX1293" s="161"/>
      <c r="AY1293" s="161"/>
      <c r="AZ1293" s="161"/>
      <c r="BA1293" s="161"/>
      <c r="BB1293" s="161"/>
      <c r="BC1293" s="161"/>
      <c r="BD1293" s="161"/>
      <c r="BE1293" s="161"/>
      <c r="BF1293" s="161"/>
      <c r="BG1293" s="161"/>
      <c r="BH1293" s="161"/>
      <c r="BI1293" s="161"/>
      <c r="BJ1293" s="161"/>
      <c r="BK1293" s="161"/>
      <c r="BL1293" s="161"/>
      <c r="BM1293" s="161"/>
      <c r="BN1293" s="161"/>
      <c r="BO1293" s="161"/>
      <c r="BP1293" s="161"/>
      <c r="BQ1293" s="161"/>
      <c r="BR1293" s="161"/>
      <c r="BS1293" s="161"/>
      <c r="BT1293" s="161"/>
      <c r="BU1293" s="161"/>
      <c r="BV1293" s="161"/>
      <c r="BW1293" s="161"/>
      <c r="BX1293" s="161"/>
      <c r="BY1293" s="161"/>
      <c r="BZ1293" s="161"/>
      <c r="CA1293" s="161"/>
      <c r="CB1293" s="161"/>
      <c r="CC1293" s="161"/>
      <c r="CD1293" s="161"/>
      <c r="CE1293" s="161"/>
      <c r="CF1293" s="161"/>
      <c r="CG1293" s="161"/>
    </row>
    <row r="1294">
      <c r="A1294" s="161"/>
      <c r="B1294" s="161"/>
      <c r="C1294" s="161"/>
      <c r="D1294" s="161"/>
      <c r="E1294" s="161"/>
      <c r="F1294" s="161"/>
      <c r="G1294" s="161"/>
      <c r="H1294" s="161"/>
      <c r="I1294" s="161"/>
      <c r="J1294" s="161"/>
      <c r="K1294" s="161"/>
      <c r="L1294" s="161"/>
      <c r="M1294" s="161"/>
      <c r="N1294" s="161"/>
      <c r="O1294" s="161"/>
      <c r="P1294" s="161"/>
      <c r="Q1294" s="161"/>
      <c r="R1294" s="161"/>
      <c r="S1294" s="161"/>
      <c r="T1294" s="161"/>
      <c r="U1294" s="161"/>
      <c r="V1294" s="161"/>
      <c r="W1294" s="161"/>
      <c r="X1294" s="161"/>
      <c r="Y1294" s="161"/>
      <c r="Z1294" s="161"/>
      <c r="AA1294" s="161"/>
      <c r="AB1294" s="161"/>
      <c r="AC1294" s="161"/>
      <c r="AD1294" s="161"/>
      <c r="AE1294" s="161"/>
      <c r="AF1294" s="161"/>
      <c r="AG1294" s="161"/>
      <c r="AH1294" s="161"/>
      <c r="AI1294" s="161"/>
      <c r="AJ1294" s="161"/>
      <c r="AK1294" s="161"/>
      <c r="AL1294" s="161"/>
      <c r="AM1294" s="161"/>
      <c r="AN1294" s="161"/>
      <c r="AO1294" s="161"/>
      <c r="AP1294" s="161"/>
      <c r="AQ1294" s="161"/>
      <c r="AR1294" s="161"/>
      <c r="AS1294" s="161"/>
      <c r="AT1294" s="161"/>
      <c r="AU1294" s="161"/>
      <c r="AV1294" s="161"/>
      <c r="AW1294" s="161"/>
      <c r="AX1294" s="161"/>
      <c r="AY1294" s="161"/>
      <c r="AZ1294" s="161"/>
      <c r="BA1294" s="161"/>
      <c r="BB1294" s="161"/>
      <c r="BC1294" s="161"/>
      <c r="BD1294" s="161"/>
      <c r="BE1294" s="161"/>
      <c r="BF1294" s="161"/>
      <c r="BG1294" s="161"/>
      <c r="BH1294" s="161"/>
      <c r="BI1294" s="161"/>
      <c r="BJ1294" s="161"/>
      <c r="BK1294" s="161"/>
      <c r="BL1294" s="161"/>
      <c r="BM1294" s="161"/>
      <c r="BN1294" s="161"/>
      <c r="BO1294" s="161"/>
      <c r="BP1294" s="161"/>
      <c r="BQ1294" s="161"/>
      <c r="BR1294" s="161"/>
      <c r="BS1294" s="161"/>
      <c r="BT1294" s="161"/>
      <c r="BU1294" s="161"/>
      <c r="BV1294" s="161"/>
      <c r="BW1294" s="161"/>
      <c r="BX1294" s="161"/>
      <c r="BY1294" s="161"/>
      <c r="BZ1294" s="161"/>
      <c r="CA1294" s="161"/>
      <c r="CB1294" s="161"/>
      <c r="CC1294" s="161"/>
      <c r="CD1294" s="161"/>
      <c r="CE1294" s="161"/>
      <c r="CF1294" s="161"/>
      <c r="CG1294" s="161"/>
    </row>
    <row r="1295">
      <c r="A1295" s="161"/>
      <c r="B1295" s="161"/>
      <c r="C1295" s="161"/>
      <c r="D1295" s="161"/>
      <c r="E1295" s="161"/>
      <c r="F1295" s="161"/>
      <c r="G1295" s="161"/>
      <c r="H1295" s="161"/>
      <c r="I1295" s="161"/>
      <c r="J1295" s="161"/>
      <c r="K1295" s="161"/>
      <c r="L1295" s="161"/>
      <c r="M1295" s="161"/>
      <c r="N1295" s="161"/>
      <c r="O1295" s="161"/>
      <c r="P1295" s="161"/>
      <c r="Q1295" s="161"/>
      <c r="R1295" s="161"/>
      <c r="S1295" s="161"/>
      <c r="T1295" s="161"/>
      <c r="U1295" s="161"/>
      <c r="V1295" s="161"/>
      <c r="W1295" s="161"/>
      <c r="X1295" s="161"/>
      <c r="Y1295" s="161"/>
      <c r="Z1295" s="161"/>
      <c r="AA1295" s="161"/>
      <c r="AB1295" s="161"/>
      <c r="AC1295" s="161"/>
      <c r="AD1295" s="161"/>
      <c r="AE1295" s="161"/>
      <c r="AF1295" s="161"/>
      <c r="AG1295" s="161"/>
      <c r="AH1295" s="161"/>
      <c r="AI1295" s="161"/>
      <c r="AJ1295" s="161"/>
      <c r="AK1295" s="161"/>
      <c r="AL1295" s="161"/>
      <c r="AM1295" s="161"/>
      <c r="AN1295" s="161"/>
      <c r="AO1295" s="161"/>
      <c r="AP1295" s="161"/>
      <c r="AQ1295" s="161"/>
      <c r="AR1295" s="161"/>
      <c r="AS1295" s="161"/>
      <c r="AT1295" s="161"/>
      <c r="AU1295" s="161"/>
      <c r="AV1295" s="161"/>
      <c r="AW1295" s="161"/>
      <c r="AX1295" s="161"/>
      <c r="AY1295" s="161"/>
      <c r="AZ1295" s="161"/>
      <c r="BA1295" s="161"/>
      <c r="BB1295" s="161"/>
      <c r="BC1295" s="161"/>
      <c r="BD1295" s="161"/>
      <c r="BE1295" s="161"/>
      <c r="BF1295" s="161"/>
      <c r="BG1295" s="161"/>
      <c r="BH1295" s="161"/>
      <c r="BI1295" s="161"/>
      <c r="BJ1295" s="161"/>
      <c r="BK1295" s="161"/>
      <c r="BL1295" s="161"/>
      <c r="BM1295" s="161"/>
      <c r="BN1295" s="161"/>
      <c r="BO1295" s="161"/>
      <c r="BP1295" s="161"/>
      <c r="BQ1295" s="161"/>
      <c r="BR1295" s="161"/>
      <c r="BS1295" s="161"/>
      <c r="BT1295" s="161"/>
      <c r="BU1295" s="161"/>
      <c r="BV1295" s="161"/>
      <c r="BW1295" s="161"/>
      <c r="BX1295" s="161"/>
      <c r="BY1295" s="161"/>
      <c r="BZ1295" s="161"/>
      <c r="CA1295" s="161"/>
      <c r="CB1295" s="161"/>
      <c r="CC1295" s="161"/>
      <c r="CD1295" s="161"/>
      <c r="CE1295" s="161"/>
      <c r="CF1295" s="161"/>
      <c r="CG1295" s="161"/>
    </row>
    <row r="1296">
      <c r="A1296" s="161"/>
      <c r="B1296" s="161"/>
      <c r="C1296" s="161"/>
      <c r="D1296" s="161"/>
      <c r="E1296" s="161"/>
      <c r="F1296" s="161"/>
      <c r="G1296" s="161"/>
      <c r="H1296" s="161"/>
      <c r="I1296" s="161"/>
      <c r="J1296" s="161"/>
      <c r="K1296" s="161"/>
      <c r="L1296" s="161"/>
      <c r="M1296" s="161"/>
      <c r="N1296" s="161"/>
      <c r="O1296" s="161"/>
      <c r="P1296" s="161"/>
      <c r="Q1296" s="161"/>
      <c r="R1296" s="161"/>
      <c r="S1296" s="161"/>
      <c r="T1296" s="161"/>
      <c r="U1296" s="161"/>
      <c r="V1296" s="161"/>
      <c r="W1296" s="161"/>
      <c r="X1296" s="161"/>
      <c r="Y1296" s="161"/>
      <c r="Z1296" s="161"/>
      <c r="AA1296" s="161"/>
      <c r="AB1296" s="161"/>
      <c r="AC1296" s="161"/>
      <c r="AD1296" s="161"/>
      <c r="AE1296" s="161"/>
      <c r="AF1296" s="161"/>
      <c r="AG1296" s="161"/>
      <c r="AH1296" s="161"/>
      <c r="AI1296" s="161"/>
      <c r="AJ1296" s="161"/>
      <c r="AK1296" s="161"/>
      <c r="AL1296" s="161"/>
      <c r="AM1296" s="161"/>
      <c r="AN1296" s="161"/>
      <c r="AO1296" s="161"/>
      <c r="AP1296" s="161"/>
      <c r="AQ1296" s="161"/>
      <c r="AR1296" s="161"/>
      <c r="AS1296" s="161"/>
      <c r="AT1296" s="161"/>
      <c r="AU1296" s="161"/>
      <c r="AV1296" s="161"/>
      <c r="AW1296" s="161"/>
      <c r="AX1296" s="161"/>
      <c r="AY1296" s="161"/>
      <c r="AZ1296" s="161"/>
      <c r="BA1296" s="161"/>
      <c r="BB1296" s="161"/>
      <c r="BC1296" s="161"/>
      <c r="BD1296" s="161"/>
      <c r="BE1296" s="161"/>
      <c r="BF1296" s="161"/>
      <c r="BG1296" s="161"/>
      <c r="BH1296" s="161"/>
      <c r="BI1296" s="161"/>
      <c r="BJ1296" s="161"/>
      <c r="BK1296" s="161"/>
      <c r="BL1296" s="161"/>
      <c r="BM1296" s="161"/>
      <c r="BN1296" s="161"/>
      <c r="BO1296" s="161"/>
      <c r="BP1296" s="161"/>
      <c r="BQ1296" s="161"/>
      <c r="BR1296" s="161"/>
      <c r="BS1296" s="161"/>
      <c r="BT1296" s="161"/>
      <c r="BU1296" s="161"/>
      <c r="BV1296" s="161"/>
      <c r="BW1296" s="161"/>
      <c r="BX1296" s="161"/>
      <c r="BY1296" s="161"/>
      <c r="BZ1296" s="161"/>
      <c r="CA1296" s="161"/>
      <c r="CB1296" s="161"/>
      <c r="CC1296" s="161"/>
      <c r="CD1296" s="161"/>
      <c r="CE1296" s="161"/>
      <c r="CF1296" s="161"/>
      <c r="CG1296" s="161"/>
    </row>
    <row r="1297">
      <c r="A1297" s="161"/>
      <c r="B1297" s="161"/>
      <c r="C1297" s="161"/>
      <c r="D1297" s="161"/>
      <c r="E1297" s="161"/>
      <c r="F1297" s="161"/>
      <c r="G1297" s="161"/>
      <c r="H1297" s="161"/>
      <c r="I1297" s="161"/>
      <c r="J1297" s="161"/>
      <c r="K1297" s="161"/>
      <c r="L1297" s="161"/>
      <c r="M1297" s="161"/>
      <c r="N1297" s="161"/>
      <c r="O1297" s="161"/>
      <c r="P1297" s="161"/>
      <c r="Q1297" s="161"/>
      <c r="R1297" s="161"/>
      <c r="S1297" s="161"/>
      <c r="T1297" s="161"/>
      <c r="U1297" s="161"/>
      <c r="V1297" s="161"/>
      <c r="W1297" s="161"/>
      <c r="X1297" s="161"/>
      <c r="Y1297" s="161"/>
      <c r="Z1297" s="161"/>
      <c r="AA1297" s="161"/>
      <c r="AB1297" s="161"/>
      <c r="AC1297" s="161"/>
      <c r="AD1297" s="161"/>
      <c r="AE1297" s="161"/>
      <c r="AF1297" s="161"/>
      <c r="AG1297" s="161"/>
      <c r="AH1297" s="161"/>
      <c r="AI1297" s="161"/>
      <c r="AJ1297" s="161"/>
      <c r="AK1297" s="161"/>
      <c r="AL1297" s="161"/>
      <c r="AM1297" s="161"/>
      <c r="AN1297" s="161"/>
      <c r="AO1297" s="161"/>
      <c r="AP1297" s="161"/>
      <c r="AQ1297" s="161"/>
      <c r="AR1297" s="161"/>
      <c r="AS1297" s="161"/>
      <c r="AT1297" s="161"/>
      <c r="AU1297" s="161"/>
      <c r="AV1297" s="161"/>
      <c r="AW1297" s="161"/>
      <c r="AX1297" s="161"/>
      <c r="AY1297" s="161"/>
      <c r="AZ1297" s="161"/>
      <c r="BA1297" s="161"/>
      <c r="BB1297" s="161"/>
      <c r="BC1297" s="161"/>
      <c r="BD1297" s="161"/>
      <c r="BE1297" s="161"/>
      <c r="BF1297" s="161"/>
      <c r="BG1297" s="161"/>
      <c r="BH1297" s="161"/>
      <c r="BI1297" s="161"/>
      <c r="BJ1297" s="161"/>
      <c r="BK1297" s="161"/>
      <c r="BL1297" s="161"/>
      <c r="BM1297" s="161"/>
      <c r="BN1297" s="161"/>
      <c r="BO1297" s="161"/>
      <c r="BP1297" s="161"/>
      <c r="BQ1297" s="161"/>
      <c r="BR1297" s="161"/>
      <c r="BS1297" s="161"/>
      <c r="BT1297" s="161"/>
      <c r="BU1297" s="161"/>
      <c r="BV1297" s="161"/>
      <c r="BW1297" s="161"/>
      <c r="BX1297" s="161"/>
      <c r="BY1297" s="161"/>
      <c r="BZ1297" s="161"/>
      <c r="CA1297" s="161"/>
      <c r="CB1297" s="161"/>
      <c r="CC1297" s="161"/>
      <c r="CD1297" s="161"/>
      <c r="CE1297" s="161"/>
      <c r="CF1297" s="161"/>
      <c r="CG1297" s="161"/>
    </row>
    <row r="1298">
      <c r="A1298" s="161"/>
      <c r="B1298" s="161"/>
      <c r="C1298" s="161"/>
      <c r="D1298" s="161"/>
      <c r="E1298" s="161"/>
      <c r="F1298" s="161"/>
      <c r="G1298" s="161"/>
      <c r="H1298" s="161"/>
      <c r="I1298" s="161"/>
      <c r="J1298" s="161"/>
      <c r="K1298" s="161"/>
      <c r="L1298" s="161"/>
      <c r="M1298" s="161"/>
      <c r="N1298" s="161"/>
      <c r="O1298" s="161"/>
      <c r="P1298" s="161"/>
      <c r="Q1298" s="161"/>
      <c r="R1298" s="161"/>
      <c r="S1298" s="161"/>
      <c r="T1298" s="161"/>
      <c r="U1298" s="161"/>
      <c r="V1298" s="161"/>
      <c r="W1298" s="161"/>
      <c r="X1298" s="161"/>
      <c r="Y1298" s="161"/>
      <c r="Z1298" s="161"/>
      <c r="AA1298" s="161"/>
      <c r="AB1298" s="161"/>
      <c r="AC1298" s="161"/>
      <c r="AD1298" s="161"/>
      <c r="AE1298" s="161"/>
      <c r="AF1298" s="161"/>
      <c r="AG1298" s="161"/>
      <c r="AH1298" s="161"/>
      <c r="AI1298" s="161"/>
      <c r="AJ1298" s="161"/>
      <c r="AK1298" s="161"/>
      <c r="AL1298" s="161"/>
      <c r="AM1298" s="161"/>
      <c r="AN1298" s="161"/>
      <c r="AO1298" s="161"/>
      <c r="AP1298" s="161"/>
      <c r="AQ1298" s="161"/>
      <c r="AR1298" s="161"/>
      <c r="AS1298" s="161"/>
      <c r="AT1298" s="161"/>
      <c r="AU1298" s="161"/>
      <c r="AV1298" s="161"/>
      <c r="AW1298" s="161"/>
      <c r="AX1298" s="161"/>
      <c r="AY1298" s="161"/>
      <c r="AZ1298" s="161"/>
      <c r="BA1298" s="161"/>
      <c r="BB1298" s="161"/>
      <c r="BC1298" s="161"/>
      <c r="BD1298" s="161"/>
      <c r="BE1298" s="161"/>
      <c r="BF1298" s="161"/>
      <c r="BG1298" s="161"/>
      <c r="BH1298" s="161"/>
      <c r="BI1298" s="161"/>
      <c r="BJ1298" s="161"/>
      <c r="BK1298" s="161"/>
      <c r="BL1298" s="161"/>
      <c r="BM1298" s="161"/>
      <c r="BN1298" s="161"/>
      <c r="BO1298" s="161"/>
      <c r="BP1298" s="161"/>
      <c r="BQ1298" s="161"/>
      <c r="BR1298" s="161"/>
      <c r="BS1298" s="161"/>
      <c r="BT1298" s="161"/>
      <c r="BU1298" s="161"/>
      <c r="BV1298" s="161"/>
      <c r="BW1298" s="161"/>
      <c r="BX1298" s="161"/>
      <c r="BY1298" s="161"/>
      <c r="BZ1298" s="161"/>
      <c r="CA1298" s="161"/>
      <c r="CB1298" s="161"/>
      <c r="CC1298" s="161"/>
      <c r="CD1298" s="161"/>
      <c r="CE1298" s="161"/>
      <c r="CF1298" s="161"/>
      <c r="CG1298" s="161"/>
    </row>
    <row r="1299">
      <c r="A1299" s="161"/>
      <c r="B1299" s="161"/>
      <c r="C1299" s="161"/>
      <c r="D1299" s="161"/>
      <c r="E1299" s="161"/>
      <c r="F1299" s="161"/>
      <c r="G1299" s="161"/>
      <c r="H1299" s="161"/>
      <c r="I1299" s="161"/>
      <c r="J1299" s="161"/>
      <c r="K1299" s="161"/>
      <c r="L1299" s="161"/>
      <c r="M1299" s="161"/>
      <c r="N1299" s="161"/>
      <c r="O1299" s="161"/>
      <c r="P1299" s="161"/>
      <c r="Q1299" s="161"/>
      <c r="R1299" s="161"/>
      <c r="S1299" s="161"/>
      <c r="T1299" s="161"/>
      <c r="U1299" s="161"/>
      <c r="V1299" s="161"/>
      <c r="W1299" s="161"/>
      <c r="X1299" s="161"/>
      <c r="Y1299" s="161"/>
      <c r="Z1299" s="161"/>
      <c r="AA1299" s="161"/>
      <c r="AB1299" s="161"/>
      <c r="AC1299" s="161"/>
      <c r="AD1299" s="161"/>
      <c r="AE1299" s="161"/>
      <c r="AF1299" s="161"/>
      <c r="AG1299" s="161"/>
      <c r="AH1299" s="161"/>
      <c r="AI1299" s="161"/>
      <c r="AJ1299" s="161"/>
      <c r="AK1299" s="161"/>
      <c r="AL1299" s="161"/>
      <c r="AM1299" s="161"/>
      <c r="AN1299" s="161"/>
      <c r="AO1299" s="161"/>
      <c r="AP1299" s="161"/>
      <c r="AQ1299" s="161"/>
      <c r="AR1299" s="161"/>
      <c r="AS1299" s="161"/>
      <c r="AT1299" s="161"/>
      <c r="AU1299" s="161"/>
      <c r="AV1299" s="161"/>
      <c r="AW1299" s="161"/>
      <c r="AX1299" s="161"/>
      <c r="AY1299" s="161"/>
      <c r="AZ1299" s="161"/>
      <c r="BA1299" s="161"/>
      <c r="BB1299" s="161"/>
      <c r="BC1299" s="161"/>
      <c r="BD1299" s="161"/>
      <c r="BE1299" s="161"/>
      <c r="BF1299" s="161"/>
      <c r="BG1299" s="161"/>
      <c r="BH1299" s="161"/>
      <c r="BI1299" s="161"/>
      <c r="BJ1299" s="161"/>
      <c r="BK1299" s="161"/>
      <c r="BL1299" s="161"/>
      <c r="BM1299" s="161"/>
      <c r="BN1299" s="161"/>
      <c r="BO1299" s="161"/>
      <c r="BP1299" s="161"/>
      <c r="BQ1299" s="161"/>
      <c r="BR1299" s="161"/>
      <c r="BS1299" s="161"/>
      <c r="BT1299" s="161"/>
      <c r="BU1299" s="161"/>
      <c r="BV1299" s="161"/>
      <c r="BW1299" s="161"/>
      <c r="BX1299" s="161"/>
      <c r="BY1299" s="161"/>
      <c r="BZ1299" s="161"/>
      <c r="CA1299" s="161"/>
      <c r="CB1299" s="161"/>
      <c r="CC1299" s="161"/>
      <c r="CD1299" s="161"/>
      <c r="CE1299" s="161"/>
      <c r="CF1299" s="161"/>
      <c r="CG1299" s="161"/>
    </row>
    <row r="1300">
      <c r="A1300" s="161"/>
      <c r="B1300" s="161"/>
      <c r="C1300" s="161"/>
      <c r="D1300" s="161"/>
      <c r="E1300" s="161"/>
      <c r="F1300" s="161"/>
      <c r="G1300" s="161"/>
      <c r="H1300" s="161"/>
      <c r="I1300" s="161"/>
      <c r="J1300" s="161"/>
      <c r="K1300" s="161"/>
      <c r="L1300" s="161"/>
      <c r="M1300" s="161"/>
      <c r="N1300" s="161"/>
      <c r="O1300" s="161"/>
      <c r="P1300" s="161"/>
      <c r="Q1300" s="161"/>
      <c r="R1300" s="161"/>
      <c r="S1300" s="161"/>
      <c r="T1300" s="161"/>
      <c r="U1300" s="161"/>
      <c r="V1300" s="161"/>
      <c r="W1300" s="161"/>
      <c r="X1300" s="161"/>
      <c r="Y1300" s="161"/>
      <c r="Z1300" s="161"/>
      <c r="AA1300" s="161"/>
      <c r="AB1300" s="161"/>
      <c r="AC1300" s="161"/>
      <c r="AD1300" s="161"/>
      <c r="AE1300" s="161"/>
      <c r="AF1300" s="161"/>
      <c r="AG1300" s="161"/>
      <c r="AH1300" s="161"/>
      <c r="AI1300" s="161"/>
      <c r="AJ1300" s="161"/>
      <c r="AK1300" s="161"/>
      <c r="AL1300" s="161"/>
      <c r="AM1300" s="161"/>
      <c r="AN1300" s="161"/>
      <c r="AO1300" s="161"/>
      <c r="AP1300" s="161"/>
      <c r="AQ1300" s="161"/>
      <c r="AR1300" s="161"/>
      <c r="AS1300" s="161"/>
      <c r="AT1300" s="161"/>
      <c r="AU1300" s="161"/>
      <c r="AV1300" s="161"/>
      <c r="AW1300" s="161"/>
      <c r="AX1300" s="161"/>
      <c r="AY1300" s="161"/>
      <c r="AZ1300" s="161"/>
      <c r="BA1300" s="161"/>
      <c r="BB1300" s="161"/>
      <c r="BC1300" s="161"/>
      <c r="BD1300" s="161"/>
      <c r="BE1300" s="161"/>
      <c r="BF1300" s="161"/>
      <c r="BG1300" s="161"/>
      <c r="BH1300" s="161"/>
      <c r="BI1300" s="161"/>
      <c r="BJ1300" s="161"/>
      <c r="BK1300" s="161"/>
      <c r="BL1300" s="161"/>
      <c r="BM1300" s="161"/>
      <c r="BN1300" s="161"/>
      <c r="BO1300" s="161"/>
      <c r="BP1300" s="161"/>
      <c r="BQ1300" s="161"/>
      <c r="BR1300" s="161"/>
      <c r="BS1300" s="161"/>
      <c r="BT1300" s="161"/>
      <c r="BU1300" s="161"/>
      <c r="BV1300" s="161"/>
      <c r="BW1300" s="161"/>
      <c r="BX1300" s="161"/>
      <c r="BY1300" s="161"/>
      <c r="BZ1300" s="161"/>
      <c r="CA1300" s="161"/>
      <c r="CB1300" s="161"/>
      <c r="CC1300" s="161"/>
      <c r="CD1300" s="161"/>
      <c r="CE1300" s="161"/>
      <c r="CF1300" s="161"/>
      <c r="CG1300" s="161"/>
    </row>
    <row r="1301">
      <c r="A1301" s="161"/>
      <c r="B1301" s="161"/>
      <c r="C1301" s="161"/>
      <c r="D1301" s="161"/>
      <c r="E1301" s="161"/>
      <c r="F1301" s="161"/>
      <c r="G1301" s="161"/>
      <c r="H1301" s="161"/>
      <c r="I1301" s="161"/>
      <c r="J1301" s="161"/>
      <c r="K1301" s="161"/>
      <c r="L1301" s="161"/>
      <c r="M1301" s="161"/>
      <c r="N1301" s="161"/>
      <c r="O1301" s="161"/>
      <c r="P1301" s="161"/>
      <c r="Q1301" s="161"/>
      <c r="R1301" s="161"/>
      <c r="S1301" s="161"/>
      <c r="T1301" s="161"/>
      <c r="U1301" s="161"/>
      <c r="V1301" s="161"/>
      <c r="W1301" s="161"/>
      <c r="X1301" s="161"/>
      <c r="Y1301" s="161"/>
      <c r="Z1301" s="161"/>
      <c r="AA1301" s="161"/>
      <c r="AB1301" s="161"/>
      <c r="AC1301" s="161"/>
      <c r="AD1301" s="161"/>
      <c r="AE1301" s="161"/>
      <c r="AF1301" s="161"/>
      <c r="AG1301" s="161"/>
      <c r="AH1301" s="161"/>
      <c r="AI1301" s="161"/>
      <c r="AJ1301" s="161"/>
      <c r="AK1301" s="161"/>
      <c r="AL1301" s="161"/>
      <c r="AM1301" s="161"/>
      <c r="AN1301" s="161"/>
      <c r="AO1301" s="161"/>
      <c r="AP1301" s="161"/>
      <c r="AQ1301" s="161"/>
      <c r="AR1301" s="161"/>
      <c r="AS1301" s="161"/>
      <c r="AT1301" s="161"/>
      <c r="AU1301" s="161"/>
      <c r="AV1301" s="161"/>
      <c r="AW1301" s="161"/>
      <c r="AX1301" s="161"/>
      <c r="AY1301" s="161"/>
      <c r="AZ1301" s="161"/>
      <c r="BA1301" s="161"/>
      <c r="BB1301" s="161"/>
      <c r="BC1301" s="161"/>
      <c r="BD1301" s="161"/>
      <c r="BE1301" s="161"/>
      <c r="BF1301" s="161"/>
      <c r="BG1301" s="161"/>
      <c r="BH1301" s="161"/>
      <c r="BI1301" s="161"/>
      <c r="BJ1301" s="161"/>
      <c r="BK1301" s="161"/>
      <c r="BL1301" s="161"/>
      <c r="BM1301" s="161"/>
      <c r="BN1301" s="161"/>
      <c r="BO1301" s="161"/>
      <c r="BP1301" s="161"/>
      <c r="BQ1301" s="161"/>
      <c r="BR1301" s="161"/>
      <c r="BS1301" s="161"/>
      <c r="BT1301" s="161"/>
      <c r="BU1301" s="161"/>
      <c r="BV1301" s="161"/>
      <c r="BW1301" s="161"/>
      <c r="BX1301" s="161"/>
      <c r="BY1301" s="161"/>
      <c r="BZ1301" s="161"/>
      <c r="CA1301" s="161"/>
      <c r="CB1301" s="161"/>
      <c r="CC1301" s="161"/>
      <c r="CD1301" s="161"/>
      <c r="CE1301" s="161"/>
      <c r="CF1301" s="161"/>
      <c r="CG1301" s="161"/>
    </row>
    <row r="1302">
      <c r="A1302" s="161"/>
      <c r="B1302" s="161"/>
      <c r="C1302" s="161"/>
      <c r="D1302" s="161"/>
      <c r="E1302" s="161"/>
      <c r="F1302" s="161"/>
      <c r="G1302" s="161"/>
      <c r="H1302" s="161"/>
      <c r="I1302" s="161"/>
      <c r="J1302" s="161"/>
      <c r="K1302" s="161"/>
      <c r="L1302" s="161"/>
      <c r="M1302" s="161"/>
      <c r="N1302" s="161"/>
      <c r="O1302" s="161"/>
      <c r="P1302" s="161"/>
      <c r="Q1302" s="161"/>
      <c r="R1302" s="161"/>
      <c r="S1302" s="161"/>
      <c r="T1302" s="161"/>
      <c r="U1302" s="161"/>
      <c r="V1302" s="161"/>
      <c r="W1302" s="161"/>
      <c r="X1302" s="161"/>
      <c r="Y1302" s="161"/>
      <c r="Z1302" s="161"/>
      <c r="AA1302" s="161"/>
      <c r="AB1302" s="161"/>
      <c r="AC1302" s="161"/>
      <c r="AD1302" s="161"/>
      <c r="AE1302" s="161"/>
      <c r="AF1302" s="161"/>
      <c r="AG1302" s="161"/>
      <c r="AH1302" s="161"/>
      <c r="AI1302" s="161"/>
      <c r="AJ1302" s="161"/>
      <c r="AK1302" s="161"/>
      <c r="AL1302" s="161"/>
      <c r="AM1302" s="161"/>
      <c r="AN1302" s="161"/>
      <c r="AO1302" s="161"/>
      <c r="AP1302" s="161"/>
      <c r="AQ1302" s="161"/>
      <c r="AR1302" s="161"/>
      <c r="AS1302" s="161"/>
      <c r="AT1302" s="161"/>
      <c r="AU1302" s="161"/>
      <c r="AV1302" s="161"/>
      <c r="AW1302" s="161"/>
      <c r="AX1302" s="161"/>
      <c r="AY1302" s="161"/>
      <c r="AZ1302" s="161"/>
      <c r="BA1302" s="161"/>
      <c r="BB1302" s="161"/>
      <c r="BC1302" s="161"/>
      <c r="BD1302" s="161"/>
      <c r="BE1302" s="161"/>
      <c r="BF1302" s="161"/>
      <c r="BG1302" s="161"/>
      <c r="BH1302" s="161"/>
      <c r="BI1302" s="161"/>
      <c r="BJ1302" s="161"/>
      <c r="BK1302" s="161"/>
      <c r="BL1302" s="161"/>
      <c r="BM1302" s="161"/>
      <c r="BN1302" s="161"/>
      <c r="BO1302" s="161"/>
      <c r="BP1302" s="161"/>
      <c r="BQ1302" s="161"/>
      <c r="BR1302" s="161"/>
      <c r="BS1302" s="161"/>
      <c r="BT1302" s="161"/>
      <c r="BU1302" s="161"/>
      <c r="BV1302" s="161"/>
      <c r="BW1302" s="161"/>
      <c r="BX1302" s="161"/>
      <c r="BY1302" s="161"/>
      <c r="BZ1302" s="161"/>
      <c r="CA1302" s="161"/>
      <c r="CB1302" s="161"/>
      <c r="CC1302" s="161"/>
      <c r="CD1302" s="161"/>
      <c r="CE1302" s="161"/>
      <c r="CF1302" s="161"/>
      <c r="CG1302" s="161"/>
    </row>
    <row r="1303">
      <c r="A1303" s="161"/>
      <c r="B1303" s="161"/>
      <c r="C1303" s="161"/>
      <c r="D1303" s="161"/>
      <c r="E1303" s="161"/>
      <c r="F1303" s="161"/>
      <c r="G1303" s="161"/>
      <c r="H1303" s="161"/>
      <c r="I1303" s="161"/>
      <c r="J1303" s="161"/>
      <c r="K1303" s="161"/>
      <c r="L1303" s="161"/>
      <c r="M1303" s="161"/>
      <c r="N1303" s="161"/>
      <c r="O1303" s="161"/>
      <c r="P1303" s="161"/>
      <c r="Q1303" s="161"/>
      <c r="R1303" s="161"/>
      <c r="S1303" s="161"/>
      <c r="T1303" s="161"/>
      <c r="U1303" s="161"/>
      <c r="V1303" s="161"/>
      <c r="W1303" s="161"/>
      <c r="X1303" s="161"/>
      <c r="Y1303" s="161"/>
      <c r="Z1303" s="161"/>
      <c r="AA1303" s="161"/>
      <c r="AB1303" s="161"/>
      <c r="AC1303" s="161"/>
      <c r="AD1303" s="161"/>
      <c r="AE1303" s="161"/>
      <c r="AF1303" s="161"/>
      <c r="AG1303" s="161"/>
      <c r="AH1303" s="161"/>
      <c r="AI1303" s="161"/>
      <c r="AJ1303" s="161"/>
      <c r="AK1303" s="161"/>
      <c r="AL1303" s="161"/>
      <c r="AM1303" s="161"/>
      <c r="AN1303" s="161"/>
      <c r="AO1303" s="161"/>
      <c r="AP1303" s="161"/>
      <c r="AQ1303" s="161"/>
      <c r="AR1303" s="161"/>
      <c r="AS1303" s="161"/>
      <c r="AT1303" s="161"/>
      <c r="AU1303" s="161"/>
      <c r="AV1303" s="161"/>
      <c r="AW1303" s="161"/>
      <c r="AX1303" s="161"/>
      <c r="AY1303" s="161"/>
      <c r="AZ1303" s="161"/>
      <c r="BA1303" s="161"/>
      <c r="BB1303" s="161"/>
      <c r="BC1303" s="161"/>
      <c r="BD1303" s="161"/>
      <c r="BE1303" s="161"/>
      <c r="BF1303" s="161"/>
      <c r="BG1303" s="161"/>
      <c r="BH1303" s="161"/>
      <c r="BI1303" s="161"/>
      <c r="BJ1303" s="161"/>
      <c r="BK1303" s="161"/>
      <c r="BL1303" s="161"/>
      <c r="BM1303" s="161"/>
      <c r="BN1303" s="161"/>
      <c r="BO1303" s="161"/>
      <c r="BP1303" s="161"/>
      <c r="BQ1303" s="161"/>
      <c r="BR1303" s="161"/>
      <c r="BS1303" s="161"/>
      <c r="BT1303" s="161"/>
      <c r="BU1303" s="161"/>
      <c r="BV1303" s="161"/>
      <c r="BW1303" s="161"/>
      <c r="BX1303" s="161"/>
      <c r="BY1303" s="161"/>
      <c r="BZ1303" s="161"/>
      <c r="CA1303" s="161"/>
      <c r="CB1303" s="161"/>
      <c r="CC1303" s="161"/>
      <c r="CD1303" s="161"/>
      <c r="CE1303" s="161"/>
      <c r="CF1303" s="161"/>
      <c r="CG1303" s="161"/>
    </row>
    <row r="1304">
      <c r="A1304" s="161"/>
      <c r="B1304" s="161"/>
      <c r="C1304" s="161"/>
      <c r="D1304" s="161"/>
      <c r="E1304" s="161"/>
      <c r="F1304" s="161"/>
      <c r="G1304" s="161"/>
      <c r="H1304" s="161"/>
      <c r="I1304" s="161"/>
      <c r="J1304" s="161"/>
      <c r="K1304" s="161"/>
      <c r="L1304" s="161"/>
      <c r="M1304" s="161"/>
      <c r="N1304" s="161"/>
      <c r="O1304" s="161"/>
      <c r="P1304" s="161"/>
      <c r="Q1304" s="161"/>
      <c r="R1304" s="161"/>
      <c r="S1304" s="161"/>
      <c r="T1304" s="161"/>
      <c r="U1304" s="161"/>
      <c r="V1304" s="161"/>
      <c r="W1304" s="161"/>
      <c r="X1304" s="161"/>
      <c r="Y1304" s="161"/>
      <c r="Z1304" s="161"/>
      <c r="AA1304" s="161"/>
      <c r="AB1304" s="161"/>
      <c r="AC1304" s="161"/>
      <c r="AD1304" s="161"/>
      <c r="AE1304" s="161"/>
      <c r="AF1304" s="161"/>
      <c r="AG1304" s="161"/>
      <c r="AH1304" s="161"/>
      <c r="AI1304" s="161"/>
      <c r="AJ1304" s="161"/>
      <c r="AK1304" s="161"/>
      <c r="AL1304" s="161"/>
      <c r="AM1304" s="161"/>
      <c r="AN1304" s="161"/>
      <c r="AO1304" s="161"/>
      <c r="AP1304" s="161"/>
      <c r="AQ1304" s="161"/>
      <c r="AR1304" s="161"/>
      <c r="AS1304" s="161"/>
      <c r="AT1304" s="161"/>
      <c r="AU1304" s="161"/>
      <c r="AV1304" s="161"/>
      <c r="AW1304" s="161"/>
      <c r="AX1304" s="161"/>
      <c r="AY1304" s="161"/>
      <c r="AZ1304" s="161"/>
      <c r="BA1304" s="161"/>
      <c r="BB1304" s="161"/>
      <c r="BC1304" s="161"/>
      <c r="BD1304" s="161"/>
      <c r="BE1304" s="161"/>
      <c r="BF1304" s="161"/>
      <c r="BG1304" s="161"/>
      <c r="BH1304" s="161"/>
      <c r="BI1304" s="161"/>
      <c r="BJ1304" s="161"/>
      <c r="BK1304" s="161"/>
      <c r="BL1304" s="161"/>
      <c r="BM1304" s="161"/>
      <c r="BN1304" s="161"/>
      <c r="BO1304" s="161"/>
      <c r="BP1304" s="161"/>
      <c r="BQ1304" s="161"/>
      <c r="BR1304" s="161"/>
      <c r="BS1304" s="161"/>
      <c r="BT1304" s="161"/>
      <c r="BU1304" s="161"/>
      <c r="BV1304" s="161"/>
      <c r="BW1304" s="161"/>
      <c r="BX1304" s="161"/>
      <c r="BY1304" s="161"/>
      <c r="BZ1304" s="161"/>
      <c r="CA1304" s="161"/>
      <c r="CB1304" s="161"/>
      <c r="CC1304" s="161"/>
      <c r="CD1304" s="161"/>
      <c r="CE1304" s="161"/>
      <c r="CF1304" s="161"/>
      <c r="CG1304" s="161"/>
    </row>
    <row r="1305">
      <c r="A1305" s="161"/>
      <c r="B1305" s="161"/>
      <c r="C1305" s="161"/>
      <c r="D1305" s="161"/>
      <c r="E1305" s="161"/>
      <c r="F1305" s="161"/>
      <c r="G1305" s="161"/>
      <c r="H1305" s="161"/>
      <c r="I1305" s="161"/>
      <c r="J1305" s="161"/>
      <c r="K1305" s="161"/>
      <c r="L1305" s="161"/>
      <c r="M1305" s="161"/>
      <c r="N1305" s="161"/>
      <c r="O1305" s="161"/>
      <c r="P1305" s="161"/>
      <c r="Q1305" s="161"/>
      <c r="R1305" s="161"/>
      <c r="S1305" s="161"/>
      <c r="T1305" s="161"/>
      <c r="U1305" s="161"/>
      <c r="V1305" s="161"/>
      <c r="W1305" s="161"/>
      <c r="X1305" s="161"/>
      <c r="Y1305" s="161"/>
      <c r="Z1305" s="161"/>
      <c r="AA1305" s="161"/>
      <c r="AB1305" s="161"/>
      <c r="AC1305" s="161"/>
      <c r="AD1305" s="161"/>
      <c r="AE1305" s="161"/>
      <c r="AF1305" s="161"/>
      <c r="AG1305" s="161"/>
      <c r="AH1305" s="161"/>
      <c r="AI1305" s="161"/>
      <c r="AJ1305" s="161"/>
      <c r="AK1305" s="161"/>
      <c r="AL1305" s="161"/>
      <c r="AM1305" s="161"/>
      <c r="AN1305" s="161"/>
      <c r="AO1305" s="161"/>
      <c r="AP1305" s="161"/>
      <c r="AQ1305" s="161"/>
      <c r="AR1305" s="161"/>
      <c r="AS1305" s="161"/>
      <c r="AT1305" s="161"/>
      <c r="AU1305" s="161"/>
      <c r="AV1305" s="161"/>
      <c r="AW1305" s="161"/>
      <c r="AX1305" s="161"/>
      <c r="AY1305" s="161"/>
      <c r="AZ1305" s="161"/>
      <c r="BA1305" s="161"/>
      <c r="BB1305" s="161"/>
      <c r="BC1305" s="161"/>
      <c r="BD1305" s="161"/>
      <c r="BE1305" s="161"/>
      <c r="BF1305" s="161"/>
      <c r="BG1305" s="161"/>
      <c r="BH1305" s="161"/>
      <c r="BI1305" s="161"/>
      <c r="BJ1305" s="161"/>
      <c r="BK1305" s="161"/>
      <c r="BL1305" s="161"/>
      <c r="BM1305" s="161"/>
      <c r="BN1305" s="161"/>
      <c r="BO1305" s="161"/>
      <c r="BP1305" s="161"/>
      <c r="BQ1305" s="161"/>
      <c r="BR1305" s="161"/>
      <c r="BS1305" s="161"/>
      <c r="BT1305" s="161"/>
      <c r="BU1305" s="161"/>
      <c r="BV1305" s="161"/>
      <c r="BW1305" s="161"/>
      <c r="BX1305" s="161"/>
      <c r="BY1305" s="161"/>
      <c r="BZ1305" s="161"/>
      <c r="CA1305" s="161"/>
      <c r="CB1305" s="161"/>
      <c r="CC1305" s="161"/>
      <c r="CD1305" s="161"/>
      <c r="CE1305" s="161"/>
      <c r="CF1305" s="161"/>
      <c r="CG1305" s="161"/>
    </row>
    <row r="1306">
      <c r="A1306" s="161"/>
      <c r="B1306" s="161"/>
      <c r="C1306" s="161"/>
      <c r="D1306" s="161"/>
      <c r="E1306" s="161"/>
      <c r="F1306" s="161"/>
      <c r="G1306" s="161"/>
      <c r="H1306" s="161"/>
      <c r="I1306" s="161"/>
      <c r="J1306" s="161"/>
      <c r="K1306" s="161"/>
      <c r="L1306" s="161"/>
      <c r="M1306" s="161"/>
      <c r="N1306" s="161"/>
      <c r="O1306" s="161"/>
      <c r="P1306" s="161"/>
      <c r="Q1306" s="161"/>
      <c r="R1306" s="161"/>
      <c r="S1306" s="161"/>
      <c r="T1306" s="161"/>
      <c r="U1306" s="161"/>
      <c r="V1306" s="161"/>
      <c r="W1306" s="161"/>
      <c r="X1306" s="161"/>
      <c r="Y1306" s="161"/>
      <c r="Z1306" s="161"/>
      <c r="AA1306" s="161"/>
      <c r="AB1306" s="161"/>
      <c r="AC1306" s="161"/>
      <c r="AD1306" s="161"/>
      <c r="AE1306" s="161"/>
      <c r="AF1306" s="161"/>
      <c r="AG1306" s="161"/>
      <c r="AH1306" s="161"/>
      <c r="AI1306" s="161"/>
      <c r="AJ1306" s="161"/>
      <c r="AK1306" s="161"/>
      <c r="AL1306" s="161"/>
      <c r="AM1306" s="161"/>
      <c r="AN1306" s="161"/>
      <c r="AO1306" s="161"/>
      <c r="AP1306" s="161"/>
      <c r="AQ1306" s="161"/>
      <c r="AR1306" s="161"/>
      <c r="AS1306" s="161"/>
      <c r="AT1306" s="161"/>
      <c r="AU1306" s="161"/>
      <c r="AV1306" s="161"/>
      <c r="AW1306" s="161"/>
      <c r="AX1306" s="161"/>
      <c r="AY1306" s="161"/>
      <c r="AZ1306" s="161"/>
      <c r="BA1306" s="161"/>
      <c r="BB1306" s="161"/>
      <c r="BC1306" s="161"/>
      <c r="BD1306" s="161"/>
      <c r="BE1306" s="161"/>
      <c r="BF1306" s="161"/>
      <c r="BG1306" s="161"/>
      <c r="BH1306" s="161"/>
      <c r="BI1306" s="161"/>
      <c r="BJ1306" s="161"/>
      <c r="BK1306" s="161"/>
      <c r="BL1306" s="161"/>
      <c r="BM1306" s="161"/>
      <c r="BN1306" s="161"/>
      <c r="BO1306" s="161"/>
      <c r="BP1306" s="161"/>
      <c r="BQ1306" s="161"/>
      <c r="BR1306" s="161"/>
      <c r="BS1306" s="161"/>
      <c r="BT1306" s="161"/>
      <c r="BU1306" s="161"/>
      <c r="BV1306" s="161"/>
      <c r="BW1306" s="161"/>
      <c r="BX1306" s="161"/>
      <c r="BY1306" s="161"/>
      <c r="BZ1306" s="161"/>
      <c r="CA1306" s="161"/>
      <c r="CB1306" s="161"/>
      <c r="CC1306" s="161"/>
      <c r="CD1306" s="161"/>
      <c r="CE1306" s="161"/>
      <c r="CF1306" s="161"/>
      <c r="CG1306" s="161"/>
    </row>
    <row r="1307">
      <c r="A1307" s="161"/>
      <c r="B1307" s="161"/>
      <c r="C1307" s="161"/>
      <c r="D1307" s="161"/>
      <c r="E1307" s="161"/>
      <c r="F1307" s="161"/>
      <c r="G1307" s="161"/>
      <c r="H1307" s="161"/>
      <c r="I1307" s="161"/>
      <c r="J1307" s="161"/>
      <c r="K1307" s="161"/>
      <c r="L1307" s="161"/>
      <c r="M1307" s="161"/>
      <c r="N1307" s="161"/>
      <c r="O1307" s="161"/>
      <c r="P1307" s="161"/>
      <c r="Q1307" s="161"/>
      <c r="R1307" s="161"/>
      <c r="S1307" s="161"/>
      <c r="T1307" s="161"/>
      <c r="U1307" s="161"/>
      <c r="V1307" s="161"/>
      <c r="W1307" s="161"/>
      <c r="X1307" s="161"/>
      <c r="Y1307" s="161"/>
      <c r="Z1307" s="161"/>
      <c r="AA1307" s="161"/>
      <c r="AB1307" s="161"/>
      <c r="AC1307" s="161"/>
      <c r="AD1307" s="161"/>
      <c r="AE1307" s="161"/>
      <c r="AF1307" s="161"/>
      <c r="AG1307" s="161"/>
      <c r="AH1307" s="161"/>
      <c r="AI1307" s="161"/>
      <c r="AJ1307" s="161"/>
      <c r="AK1307" s="161"/>
      <c r="AL1307" s="161"/>
      <c r="AM1307" s="161"/>
      <c r="AN1307" s="161"/>
      <c r="AO1307" s="161"/>
      <c r="AP1307" s="161"/>
      <c r="AQ1307" s="161"/>
      <c r="AR1307" s="161"/>
      <c r="AS1307" s="161"/>
      <c r="AT1307" s="161"/>
      <c r="AU1307" s="161"/>
      <c r="AV1307" s="161"/>
      <c r="AW1307" s="161"/>
      <c r="AX1307" s="161"/>
      <c r="AY1307" s="161"/>
      <c r="AZ1307" s="161"/>
      <c r="BA1307" s="161"/>
      <c r="BB1307" s="161"/>
      <c r="BC1307" s="161"/>
      <c r="BD1307" s="161"/>
      <c r="BE1307" s="161"/>
      <c r="BF1307" s="161"/>
      <c r="BG1307" s="161"/>
      <c r="BH1307" s="161"/>
      <c r="BI1307" s="161"/>
      <c r="BJ1307" s="161"/>
      <c r="BK1307" s="161"/>
      <c r="BL1307" s="161"/>
      <c r="BM1307" s="161"/>
      <c r="BN1307" s="161"/>
      <c r="BO1307" s="161"/>
      <c r="BP1307" s="161"/>
      <c r="BQ1307" s="161"/>
      <c r="BR1307" s="161"/>
      <c r="BS1307" s="161"/>
      <c r="BT1307" s="161"/>
      <c r="BU1307" s="161"/>
      <c r="BV1307" s="161"/>
      <c r="BW1307" s="161"/>
      <c r="BX1307" s="161"/>
      <c r="BY1307" s="161"/>
      <c r="BZ1307" s="161"/>
      <c r="CA1307" s="161"/>
      <c r="CB1307" s="161"/>
      <c r="CC1307" s="161"/>
      <c r="CD1307" s="161"/>
      <c r="CE1307" s="161"/>
      <c r="CF1307" s="161"/>
      <c r="CG1307" s="161"/>
    </row>
    <row r="1308">
      <c r="A1308" s="161"/>
      <c r="B1308" s="161"/>
      <c r="C1308" s="161"/>
      <c r="D1308" s="161"/>
      <c r="E1308" s="161"/>
      <c r="F1308" s="161"/>
      <c r="G1308" s="161"/>
      <c r="H1308" s="161"/>
      <c r="I1308" s="161"/>
      <c r="J1308" s="161"/>
      <c r="K1308" s="161"/>
      <c r="L1308" s="161"/>
      <c r="M1308" s="161"/>
      <c r="N1308" s="161"/>
      <c r="O1308" s="161"/>
      <c r="P1308" s="161"/>
      <c r="Q1308" s="161"/>
      <c r="R1308" s="161"/>
      <c r="S1308" s="161"/>
      <c r="T1308" s="161"/>
      <c r="U1308" s="161"/>
      <c r="V1308" s="161"/>
      <c r="W1308" s="161"/>
      <c r="X1308" s="161"/>
      <c r="Y1308" s="161"/>
      <c r="Z1308" s="161"/>
      <c r="AA1308" s="161"/>
      <c r="AB1308" s="161"/>
      <c r="AC1308" s="161"/>
      <c r="AD1308" s="161"/>
      <c r="AE1308" s="161"/>
      <c r="AF1308" s="161"/>
      <c r="AG1308" s="161"/>
      <c r="AH1308" s="161"/>
      <c r="AI1308" s="161"/>
      <c r="AJ1308" s="161"/>
      <c r="AK1308" s="161"/>
      <c r="AL1308" s="161"/>
      <c r="AM1308" s="161"/>
      <c r="AN1308" s="161"/>
      <c r="AO1308" s="161"/>
      <c r="AP1308" s="161"/>
      <c r="AQ1308" s="161"/>
      <c r="AR1308" s="161"/>
      <c r="AS1308" s="161"/>
      <c r="AT1308" s="161"/>
      <c r="AU1308" s="161"/>
      <c r="AV1308" s="161"/>
      <c r="AW1308" s="161"/>
      <c r="AX1308" s="161"/>
      <c r="AY1308" s="161"/>
      <c r="AZ1308" s="161"/>
      <c r="BA1308" s="161"/>
      <c r="BB1308" s="161"/>
      <c r="BC1308" s="161"/>
      <c r="BD1308" s="161"/>
      <c r="BE1308" s="161"/>
      <c r="BF1308" s="161"/>
      <c r="BG1308" s="161"/>
      <c r="BH1308" s="161"/>
      <c r="BI1308" s="161"/>
      <c r="BJ1308" s="161"/>
      <c r="BK1308" s="161"/>
      <c r="BL1308" s="161"/>
      <c r="BM1308" s="161"/>
      <c r="BN1308" s="161"/>
      <c r="BO1308" s="161"/>
      <c r="BP1308" s="161"/>
      <c r="BQ1308" s="161"/>
      <c r="BR1308" s="161"/>
      <c r="BS1308" s="161"/>
      <c r="BT1308" s="161"/>
      <c r="BU1308" s="161"/>
      <c r="BV1308" s="161"/>
      <c r="BW1308" s="161"/>
      <c r="BX1308" s="161"/>
      <c r="BY1308" s="161"/>
      <c r="BZ1308" s="161"/>
      <c r="CA1308" s="161"/>
      <c r="CB1308" s="161"/>
      <c r="CC1308" s="161"/>
      <c r="CD1308" s="161"/>
      <c r="CE1308" s="161"/>
      <c r="CF1308" s="161"/>
      <c r="CG1308" s="161"/>
    </row>
    <row r="1309">
      <c r="A1309" s="161"/>
      <c r="B1309" s="161"/>
      <c r="C1309" s="161"/>
      <c r="D1309" s="161"/>
      <c r="E1309" s="161"/>
      <c r="F1309" s="161"/>
      <c r="G1309" s="161"/>
      <c r="H1309" s="161"/>
      <c r="I1309" s="161"/>
      <c r="J1309" s="161"/>
      <c r="K1309" s="161"/>
      <c r="L1309" s="161"/>
      <c r="M1309" s="161"/>
      <c r="N1309" s="161"/>
      <c r="O1309" s="161"/>
      <c r="P1309" s="161"/>
      <c r="Q1309" s="161"/>
      <c r="R1309" s="161"/>
      <c r="S1309" s="161"/>
      <c r="T1309" s="161"/>
      <c r="U1309" s="161"/>
      <c r="V1309" s="161"/>
      <c r="W1309" s="161"/>
      <c r="X1309" s="161"/>
      <c r="Y1309" s="161"/>
      <c r="Z1309" s="161"/>
      <c r="AA1309" s="161"/>
      <c r="AB1309" s="161"/>
      <c r="AC1309" s="161"/>
      <c r="AD1309" s="161"/>
      <c r="AE1309" s="161"/>
      <c r="AF1309" s="161"/>
      <c r="AG1309" s="161"/>
      <c r="AH1309" s="161"/>
      <c r="AI1309" s="161"/>
      <c r="AJ1309" s="161"/>
      <c r="AK1309" s="161"/>
      <c r="AL1309" s="161"/>
      <c r="AM1309" s="161"/>
      <c r="AN1309" s="161"/>
      <c r="AO1309" s="161"/>
      <c r="AP1309" s="161"/>
      <c r="AQ1309" s="161"/>
      <c r="AR1309" s="161"/>
      <c r="AS1309" s="161"/>
      <c r="AT1309" s="161"/>
      <c r="AU1309" s="161"/>
      <c r="AV1309" s="161"/>
      <c r="AW1309" s="161"/>
      <c r="AX1309" s="161"/>
      <c r="AY1309" s="161"/>
      <c r="AZ1309" s="161"/>
      <c r="BA1309" s="161"/>
      <c r="BB1309" s="161"/>
      <c r="BC1309" s="161"/>
      <c r="BD1309" s="161"/>
      <c r="BE1309" s="161"/>
      <c r="BF1309" s="161"/>
      <c r="BG1309" s="161"/>
      <c r="BH1309" s="161"/>
      <c r="BI1309" s="161"/>
      <c r="BJ1309" s="161"/>
      <c r="BK1309" s="161"/>
      <c r="BL1309" s="161"/>
      <c r="BM1309" s="161"/>
      <c r="BN1309" s="161"/>
      <c r="BO1309" s="161"/>
      <c r="BP1309" s="161"/>
      <c r="BQ1309" s="161"/>
      <c r="BR1309" s="161"/>
      <c r="BS1309" s="161"/>
      <c r="BT1309" s="161"/>
      <c r="BU1309" s="161"/>
      <c r="BV1309" s="161"/>
      <c r="BW1309" s="161"/>
      <c r="BX1309" s="161"/>
      <c r="BY1309" s="161"/>
      <c r="BZ1309" s="161"/>
      <c r="CA1309" s="161"/>
      <c r="CB1309" s="161"/>
      <c r="CC1309" s="161"/>
      <c r="CD1309" s="161"/>
      <c r="CE1309" s="161"/>
      <c r="CF1309" s="161"/>
      <c r="CG1309" s="161"/>
    </row>
    <row r="1310">
      <c r="A1310" s="161"/>
      <c r="B1310" s="161"/>
      <c r="C1310" s="161"/>
      <c r="D1310" s="161"/>
      <c r="E1310" s="161"/>
      <c r="F1310" s="161"/>
      <c r="G1310" s="161"/>
      <c r="H1310" s="161"/>
      <c r="I1310" s="161"/>
      <c r="J1310" s="161"/>
      <c r="K1310" s="161"/>
      <c r="L1310" s="161"/>
      <c r="M1310" s="161"/>
      <c r="N1310" s="161"/>
      <c r="O1310" s="161"/>
      <c r="P1310" s="161"/>
      <c r="Q1310" s="161"/>
      <c r="R1310" s="161"/>
      <c r="S1310" s="161"/>
      <c r="T1310" s="161"/>
      <c r="U1310" s="161"/>
      <c r="V1310" s="161"/>
      <c r="W1310" s="161"/>
      <c r="X1310" s="161"/>
      <c r="Y1310" s="161"/>
      <c r="Z1310" s="161"/>
      <c r="AA1310" s="161"/>
      <c r="AB1310" s="161"/>
      <c r="AC1310" s="161"/>
      <c r="AD1310" s="161"/>
      <c r="AE1310" s="161"/>
      <c r="AF1310" s="161"/>
      <c r="AG1310" s="161"/>
      <c r="AH1310" s="161"/>
      <c r="AI1310" s="161"/>
      <c r="AJ1310" s="161"/>
      <c r="AK1310" s="161"/>
      <c r="AL1310" s="161"/>
      <c r="AM1310" s="161"/>
      <c r="AN1310" s="161"/>
      <c r="AO1310" s="161"/>
      <c r="AP1310" s="161"/>
      <c r="AQ1310" s="161"/>
      <c r="AR1310" s="161"/>
      <c r="AS1310" s="161"/>
      <c r="AT1310" s="161"/>
      <c r="AU1310" s="161"/>
      <c r="AV1310" s="161"/>
      <c r="AW1310" s="161"/>
      <c r="AX1310" s="161"/>
      <c r="AY1310" s="161"/>
      <c r="AZ1310" s="161"/>
      <c r="BA1310" s="161"/>
      <c r="BB1310" s="161"/>
      <c r="BC1310" s="161"/>
      <c r="BD1310" s="161"/>
      <c r="BE1310" s="161"/>
      <c r="BF1310" s="161"/>
      <c r="BG1310" s="161"/>
      <c r="BH1310" s="161"/>
      <c r="BI1310" s="161"/>
      <c r="BJ1310" s="161"/>
      <c r="BK1310" s="161"/>
      <c r="BL1310" s="161"/>
      <c r="BM1310" s="161"/>
      <c r="BN1310" s="161"/>
      <c r="BO1310" s="161"/>
      <c r="BP1310" s="161"/>
      <c r="BQ1310" s="161"/>
      <c r="BR1310" s="161"/>
      <c r="BS1310" s="161"/>
      <c r="BT1310" s="161"/>
      <c r="BU1310" s="161"/>
      <c r="BV1310" s="161"/>
      <c r="BW1310" s="161"/>
      <c r="BX1310" s="161"/>
      <c r="BY1310" s="161"/>
      <c r="BZ1310" s="161"/>
      <c r="CA1310" s="161"/>
      <c r="CB1310" s="161"/>
      <c r="CC1310" s="161"/>
      <c r="CD1310" s="161"/>
      <c r="CE1310" s="161"/>
      <c r="CF1310" s="161"/>
      <c r="CG1310" s="161"/>
    </row>
    <row r="1311">
      <c r="A1311" s="161"/>
      <c r="B1311" s="161"/>
      <c r="C1311" s="161"/>
      <c r="D1311" s="161"/>
      <c r="E1311" s="161"/>
      <c r="F1311" s="161"/>
      <c r="G1311" s="161"/>
      <c r="H1311" s="161"/>
      <c r="I1311" s="161"/>
      <c r="J1311" s="161"/>
      <c r="K1311" s="161"/>
      <c r="L1311" s="161"/>
      <c r="M1311" s="161"/>
      <c r="N1311" s="161"/>
      <c r="O1311" s="161"/>
      <c r="P1311" s="161"/>
      <c r="Q1311" s="161"/>
      <c r="R1311" s="161"/>
      <c r="S1311" s="161"/>
      <c r="T1311" s="161"/>
      <c r="U1311" s="161"/>
      <c r="V1311" s="161"/>
      <c r="W1311" s="161"/>
      <c r="X1311" s="161"/>
      <c r="Y1311" s="161"/>
      <c r="Z1311" s="161"/>
      <c r="AA1311" s="161"/>
      <c r="AB1311" s="161"/>
      <c r="AC1311" s="161"/>
      <c r="AD1311" s="161"/>
      <c r="AE1311" s="161"/>
      <c r="AF1311" s="161"/>
      <c r="AG1311" s="161"/>
      <c r="AH1311" s="161"/>
      <c r="AI1311" s="161"/>
      <c r="AJ1311" s="161"/>
      <c r="AK1311" s="161"/>
      <c r="AL1311" s="161"/>
      <c r="AM1311" s="161"/>
      <c r="AN1311" s="161"/>
      <c r="AO1311" s="161"/>
      <c r="AP1311" s="161"/>
      <c r="AQ1311" s="161"/>
      <c r="AR1311" s="161"/>
      <c r="AS1311" s="161"/>
      <c r="AT1311" s="161"/>
      <c r="AU1311" s="161"/>
      <c r="AV1311" s="161"/>
      <c r="AW1311" s="161"/>
      <c r="AX1311" s="161"/>
      <c r="AY1311" s="161"/>
      <c r="AZ1311" s="161"/>
      <c r="BA1311" s="161"/>
      <c r="BB1311" s="161"/>
      <c r="BC1311" s="161"/>
      <c r="BD1311" s="161"/>
      <c r="BE1311" s="161"/>
      <c r="BF1311" s="161"/>
      <c r="BG1311" s="161"/>
      <c r="BH1311" s="161"/>
      <c r="BI1311" s="161"/>
      <c r="BJ1311" s="161"/>
      <c r="BK1311" s="161"/>
      <c r="BL1311" s="161"/>
      <c r="BM1311" s="161"/>
      <c r="BN1311" s="161"/>
      <c r="BO1311" s="161"/>
      <c r="BP1311" s="161"/>
      <c r="BQ1311" s="161"/>
      <c r="BR1311" s="161"/>
      <c r="BS1311" s="161"/>
      <c r="BT1311" s="161"/>
      <c r="BU1311" s="161"/>
      <c r="BV1311" s="161"/>
      <c r="BW1311" s="161"/>
      <c r="BX1311" s="161"/>
      <c r="BY1311" s="161"/>
      <c r="BZ1311" s="161"/>
      <c r="CA1311" s="161"/>
      <c r="CB1311" s="161"/>
      <c r="CC1311" s="161"/>
      <c r="CD1311" s="161"/>
      <c r="CE1311" s="161"/>
      <c r="CF1311" s="161"/>
      <c r="CG1311" s="161"/>
    </row>
    <row r="1312">
      <c r="A1312" s="161"/>
      <c r="B1312" s="161"/>
      <c r="C1312" s="161"/>
      <c r="D1312" s="161"/>
      <c r="E1312" s="161"/>
      <c r="F1312" s="161"/>
      <c r="G1312" s="161"/>
      <c r="H1312" s="161"/>
      <c r="I1312" s="161"/>
      <c r="J1312" s="161"/>
      <c r="K1312" s="161"/>
      <c r="L1312" s="161"/>
      <c r="M1312" s="161"/>
      <c r="N1312" s="161"/>
      <c r="O1312" s="161"/>
      <c r="P1312" s="161"/>
      <c r="Q1312" s="161"/>
      <c r="R1312" s="161"/>
      <c r="S1312" s="161"/>
      <c r="T1312" s="161"/>
      <c r="U1312" s="161"/>
      <c r="V1312" s="161"/>
      <c r="W1312" s="161"/>
      <c r="X1312" s="161"/>
      <c r="Y1312" s="161"/>
      <c r="Z1312" s="161"/>
      <c r="AA1312" s="161"/>
      <c r="AB1312" s="161"/>
      <c r="AC1312" s="161"/>
      <c r="AD1312" s="161"/>
      <c r="AE1312" s="161"/>
      <c r="AF1312" s="161"/>
      <c r="AG1312" s="161"/>
      <c r="AH1312" s="161"/>
      <c r="AI1312" s="161"/>
      <c r="AJ1312" s="161"/>
      <c r="AK1312" s="161"/>
      <c r="AL1312" s="161"/>
      <c r="AM1312" s="161"/>
      <c r="AN1312" s="161"/>
      <c r="AO1312" s="161"/>
      <c r="AP1312" s="161"/>
      <c r="AQ1312" s="161"/>
      <c r="AR1312" s="161"/>
      <c r="AS1312" s="161"/>
      <c r="AT1312" s="161"/>
      <c r="AU1312" s="161"/>
      <c r="AV1312" s="161"/>
      <c r="AW1312" s="161"/>
      <c r="AX1312" s="161"/>
      <c r="AY1312" s="161"/>
      <c r="AZ1312" s="161"/>
      <c r="BA1312" s="161"/>
      <c r="BB1312" s="161"/>
      <c r="BC1312" s="161"/>
      <c r="BD1312" s="161"/>
      <c r="BE1312" s="161"/>
      <c r="BF1312" s="161"/>
      <c r="BG1312" s="161"/>
      <c r="BH1312" s="161"/>
      <c r="BI1312" s="161"/>
      <c r="BJ1312" s="161"/>
      <c r="BK1312" s="161"/>
      <c r="BL1312" s="161"/>
      <c r="BM1312" s="161"/>
      <c r="BN1312" s="161"/>
      <c r="BO1312" s="161"/>
      <c r="BP1312" s="161"/>
      <c r="BQ1312" s="161"/>
      <c r="BR1312" s="161"/>
      <c r="BS1312" s="161"/>
      <c r="BT1312" s="161"/>
      <c r="BU1312" s="161"/>
      <c r="BV1312" s="161"/>
      <c r="BW1312" s="161"/>
      <c r="BX1312" s="161"/>
      <c r="BY1312" s="161"/>
      <c r="BZ1312" s="161"/>
      <c r="CA1312" s="161"/>
      <c r="CB1312" s="161"/>
      <c r="CC1312" s="161"/>
      <c r="CD1312" s="161"/>
      <c r="CE1312" s="161"/>
      <c r="CF1312" s="161"/>
      <c r="CG1312" s="161"/>
    </row>
    <row r="1313">
      <c r="A1313" s="161"/>
      <c r="B1313" s="161"/>
      <c r="C1313" s="161"/>
      <c r="D1313" s="161"/>
      <c r="E1313" s="161"/>
      <c r="F1313" s="161"/>
      <c r="G1313" s="161"/>
      <c r="H1313" s="161"/>
      <c r="I1313" s="161"/>
      <c r="J1313" s="161"/>
      <c r="K1313" s="161"/>
      <c r="L1313" s="161"/>
      <c r="M1313" s="161"/>
      <c r="N1313" s="161"/>
      <c r="O1313" s="161"/>
      <c r="P1313" s="161"/>
      <c r="Q1313" s="161"/>
      <c r="R1313" s="161"/>
      <c r="S1313" s="161"/>
      <c r="T1313" s="161"/>
      <c r="U1313" s="161"/>
      <c r="V1313" s="161"/>
      <c r="W1313" s="161"/>
      <c r="X1313" s="161"/>
      <c r="Y1313" s="161"/>
      <c r="Z1313" s="161"/>
      <c r="AA1313" s="161"/>
      <c r="AB1313" s="161"/>
      <c r="AC1313" s="161"/>
      <c r="AD1313" s="161"/>
      <c r="AE1313" s="161"/>
      <c r="AF1313" s="161"/>
      <c r="AG1313" s="161"/>
      <c r="AH1313" s="161"/>
      <c r="AI1313" s="161"/>
      <c r="AJ1313" s="161"/>
      <c r="AK1313" s="161"/>
      <c r="AL1313" s="161"/>
      <c r="AM1313" s="161"/>
      <c r="AN1313" s="161"/>
      <c r="AO1313" s="161"/>
      <c r="AP1313" s="161"/>
      <c r="AQ1313" s="161"/>
      <c r="AR1313" s="161"/>
      <c r="AS1313" s="161"/>
      <c r="AT1313" s="161"/>
      <c r="AU1313" s="161"/>
      <c r="AV1313" s="161"/>
      <c r="AW1313" s="161"/>
      <c r="AX1313" s="161"/>
      <c r="AY1313" s="161"/>
      <c r="AZ1313" s="161"/>
      <c r="BA1313" s="161"/>
      <c r="BB1313" s="161"/>
      <c r="BC1313" s="161"/>
      <c r="BD1313" s="161"/>
      <c r="BE1313" s="161"/>
      <c r="BF1313" s="161"/>
      <c r="BG1313" s="161"/>
      <c r="BH1313" s="161"/>
      <c r="BI1313" s="161"/>
      <c r="BJ1313" s="161"/>
      <c r="BK1313" s="161"/>
      <c r="BL1313" s="161"/>
      <c r="BM1313" s="161"/>
      <c r="BN1313" s="161"/>
      <c r="BO1313" s="161"/>
      <c r="BP1313" s="161"/>
      <c r="BQ1313" s="161"/>
      <c r="BR1313" s="161"/>
      <c r="BS1313" s="161"/>
      <c r="BT1313" s="161"/>
      <c r="BU1313" s="161"/>
      <c r="BV1313" s="161"/>
      <c r="BW1313" s="161"/>
      <c r="BX1313" s="161"/>
      <c r="BY1313" s="161"/>
      <c r="BZ1313" s="161"/>
      <c r="CA1313" s="161"/>
      <c r="CB1313" s="161"/>
      <c r="CC1313" s="161"/>
      <c r="CD1313" s="161"/>
      <c r="CE1313" s="161"/>
      <c r="CF1313" s="161"/>
      <c r="CG1313" s="161"/>
    </row>
    <row r="1314">
      <c r="A1314" s="161"/>
      <c r="B1314" s="161"/>
      <c r="C1314" s="161"/>
      <c r="D1314" s="161"/>
      <c r="E1314" s="161"/>
      <c r="F1314" s="161"/>
      <c r="G1314" s="161"/>
      <c r="H1314" s="161"/>
      <c r="I1314" s="161"/>
      <c r="J1314" s="161"/>
      <c r="K1314" s="161"/>
      <c r="L1314" s="161"/>
      <c r="M1314" s="161"/>
      <c r="N1314" s="161"/>
      <c r="O1314" s="161"/>
      <c r="P1314" s="161"/>
      <c r="Q1314" s="161"/>
      <c r="R1314" s="161"/>
      <c r="S1314" s="161"/>
      <c r="T1314" s="161"/>
      <c r="U1314" s="161"/>
      <c r="V1314" s="161"/>
      <c r="W1314" s="161"/>
      <c r="X1314" s="161"/>
      <c r="Y1314" s="161"/>
      <c r="Z1314" s="161"/>
      <c r="AA1314" s="161"/>
      <c r="AB1314" s="161"/>
      <c r="AC1314" s="161"/>
      <c r="AD1314" s="161"/>
      <c r="AE1314" s="161"/>
      <c r="AF1314" s="161"/>
      <c r="AG1314" s="161"/>
      <c r="AH1314" s="161"/>
      <c r="AI1314" s="161"/>
      <c r="AJ1314" s="161"/>
      <c r="AK1314" s="161"/>
      <c r="AL1314" s="161"/>
      <c r="AM1314" s="161"/>
      <c r="AN1314" s="161"/>
      <c r="AO1314" s="161"/>
      <c r="AP1314" s="161"/>
      <c r="AQ1314" s="161"/>
      <c r="AR1314" s="161"/>
      <c r="AS1314" s="161"/>
      <c r="AT1314" s="161"/>
      <c r="AU1314" s="161"/>
      <c r="AV1314" s="161"/>
      <c r="AW1314" s="161"/>
      <c r="AX1314" s="161"/>
      <c r="AY1314" s="161"/>
      <c r="AZ1314" s="161"/>
      <c r="BA1314" s="161"/>
      <c r="BB1314" s="161"/>
      <c r="BC1314" s="161"/>
      <c r="BD1314" s="161"/>
      <c r="BE1314" s="161"/>
      <c r="BF1314" s="161"/>
      <c r="BG1314" s="161"/>
      <c r="BH1314" s="161"/>
      <c r="BI1314" s="161"/>
      <c r="BJ1314" s="161"/>
      <c r="BK1314" s="161"/>
      <c r="BL1314" s="161"/>
      <c r="BM1314" s="161"/>
      <c r="BN1314" s="161"/>
      <c r="BO1314" s="161"/>
      <c r="BP1314" s="161"/>
      <c r="BQ1314" s="161"/>
      <c r="BR1314" s="161"/>
      <c r="BS1314" s="161"/>
      <c r="BT1314" s="161"/>
      <c r="BU1314" s="161"/>
      <c r="BV1314" s="161"/>
      <c r="BW1314" s="161"/>
      <c r="BX1314" s="161"/>
      <c r="BY1314" s="161"/>
      <c r="BZ1314" s="161"/>
      <c r="CA1314" s="161"/>
      <c r="CB1314" s="161"/>
      <c r="CC1314" s="161"/>
      <c r="CD1314" s="161"/>
      <c r="CE1314" s="161"/>
      <c r="CF1314" s="161"/>
      <c r="CG1314" s="161"/>
    </row>
    <row r="1315">
      <c r="A1315" s="161"/>
      <c r="B1315" s="161"/>
      <c r="C1315" s="161"/>
      <c r="D1315" s="161"/>
      <c r="E1315" s="161"/>
      <c r="F1315" s="161"/>
      <c r="G1315" s="161"/>
      <c r="H1315" s="161"/>
      <c r="I1315" s="161"/>
      <c r="J1315" s="161"/>
      <c r="K1315" s="161"/>
      <c r="L1315" s="161"/>
      <c r="M1315" s="161"/>
      <c r="N1315" s="161"/>
      <c r="O1315" s="161"/>
      <c r="P1315" s="161"/>
      <c r="Q1315" s="161"/>
      <c r="R1315" s="161"/>
      <c r="S1315" s="161"/>
      <c r="T1315" s="161"/>
      <c r="U1315" s="161"/>
      <c r="V1315" s="161"/>
      <c r="W1315" s="161"/>
      <c r="X1315" s="161"/>
      <c r="Y1315" s="161"/>
      <c r="Z1315" s="161"/>
      <c r="AA1315" s="161"/>
      <c r="AB1315" s="161"/>
      <c r="AC1315" s="161"/>
      <c r="AD1315" s="161"/>
      <c r="AE1315" s="161"/>
      <c r="AF1315" s="161"/>
      <c r="AG1315" s="161"/>
      <c r="AH1315" s="161"/>
      <c r="AI1315" s="161"/>
      <c r="AJ1315" s="161"/>
      <c r="AK1315" s="161"/>
      <c r="AL1315" s="161"/>
      <c r="AM1315" s="161"/>
      <c r="AN1315" s="161"/>
      <c r="AO1315" s="161"/>
      <c r="AP1315" s="161"/>
      <c r="AQ1315" s="161"/>
      <c r="AR1315" s="161"/>
      <c r="AS1315" s="161"/>
      <c r="AT1315" s="161"/>
      <c r="AU1315" s="161"/>
      <c r="AV1315" s="161"/>
      <c r="AW1315" s="161"/>
      <c r="AX1315" s="161"/>
      <c r="AY1315" s="161"/>
      <c r="AZ1315" s="161"/>
      <c r="BA1315" s="161"/>
      <c r="BB1315" s="161"/>
      <c r="BC1315" s="161"/>
      <c r="BD1315" s="161"/>
      <c r="BE1315" s="161"/>
      <c r="BF1315" s="161"/>
      <c r="BG1315" s="161"/>
      <c r="BH1315" s="161"/>
      <c r="BI1315" s="161"/>
      <c r="BJ1315" s="161"/>
      <c r="BK1315" s="161"/>
      <c r="BL1315" s="161"/>
      <c r="BM1315" s="161"/>
      <c r="BN1315" s="161"/>
      <c r="BO1315" s="161"/>
      <c r="BP1315" s="161"/>
      <c r="BQ1315" s="161"/>
      <c r="BR1315" s="161"/>
      <c r="BS1315" s="161"/>
      <c r="BT1315" s="161"/>
      <c r="BU1315" s="161"/>
      <c r="BV1315" s="161"/>
      <c r="BW1315" s="161"/>
      <c r="BX1315" s="161"/>
      <c r="BY1315" s="161"/>
      <c r="BZ1315" s="161"/>
      <c r="CA1315" s="161"/>
      <c r="CB1315" s="161"/>
      <c r="CC1315" s="161"/>
      <c r="CD1315" s="161"/>
      <c r="CE1315" s="161"/>
      <c r="CF1315" s="161"/>
      <c r="CG1315" s="161"/>
    </row>
    <row r="1316">
      <c r="A1316" s="161"/>
      <c r="B1316" s="161"/>
      <c r="C1316" s="161"/>
      <c r="D1316" s="161"/>
      <c r="E1316" s="161"/>
      <c r="F1316" s="161"/>
      <c r="G1316" s="161"/>
      <c r="H1316" s="161"/>
      <c r="I1316" s="161"/>
      <c r="J1316" s="161"/>
      <c r="K1316" s="161"/>
      <c r="L1316" s="161"/>
      <c r="M1316" s="161"/>
      <c r="N1316" s="161"/>
      <c r="O1316" s="161"/>
      <c r="P1316" s="161"/>
      <c r="Q1316" s="161"/>
      <c r="R1316" s="161"/>
      <c r="S1316" s="161"/>
      <c r="T1316" s="161"/>
      <c r="U1316" s="161"/>
      <c r="V1316" s="161"/>
      <c r="W1316" s="161"/>
      <c r="X1316" s="161"/>
      <c r="Y1316" s="161"/>
      <c r="Z1316" s="161"/>
      <c r="AA1316" s="161"/>
      <c r="AB1316" s="161"/>
      <c r="AC1316" s="161"/>
      <c r="AD1316" s="161"/>
      <c r="AE1316" s="161"/>
      <c r="AF1316" s="161"/>
      <c r="AG1316" s="161"/>
      <c r="AH1316" s="161"/>
      <c r="AI1316" s="161"/>
      <c r="AJ1316" s="161"/>
      <c r="AK1316" s="161"/>
      <c r="AL1316" s="161"/>
      <c r="AM1316" s="161"/>
      <c r="AN1316" s="161"/>
      <c r="AO1316" s="161"/>
      <c r="AP1316" s="161"/>
      <c r="AQ1316" s="161"/>
      <c r="AR1316" s="161"/>
      <c r="AS1316" s="161"/>
      <c r="AT1316" s="161"/>
      <c r="AU1316" s="161"/>
      <c r="AV1316" s="161"/>
      <c r="AW1316" s="161"/>
      <c r="AX1316" s="161"/>
      <c r="AY1316" s="161"/>
      <c r="AZ1316" s="161"/>
      <c r="BA1316" s="161"/>
      <c r="BB1316" s="161"/>
      <c r="BC1316" s="161"/>
      <c r="BD1316" s="161"/>
      <c r="BE1316" s="161"/>
      <c r="BF1316" s="161"/>
      <c r="BG1316" s="161"/>
      <c r="BH1316" s="161"/>
      <c r="BI1316" s="161"/>
      <c r="BJ1316" s="161"/>
      <c r="BK1316" s="161"/>
      <c r="BL1316" s="161"/>
      <c r="BM1316" s="161"/>
      <c r="BN1316" s="161"/>
      <c r="BO1316" s="161"/>
      <c r="BP1316" s="161"/>
      <c r="BQ1316" s="161"/>
      <c r="BR1316" s="161"/>
      <c r="BS1316" s="161"/>
      <c r="BT1316" s="161"/>
      <c r="BU1316" s="161"/>
      <c r="BV1316" s="161"/>
      <c r="BW1316" s="161"/>
      <c r="BX1316" s="161"/>
      <c r="BY1316" s="161"/>
      <c r="BZ1316" s="161"/>
      <c r="CA1316" s="161"/>
      <c r="CB1316" s="161"/>
      <c r="CC1316" s="161"/>
      <c r="CD1316" s="161"/>
      <c r="CE1316" s="161"/>
      <c r="CF1316" s="161"/>
      <c r="CG1316" s="161"/>
    </row>
    <row r="1317">
      <c r="A1317" s="161"/>
      <c r="B1317" s="161"/>
      <c r="C1317" s="161"/>
      <c r="D1317" s="161"/>
      <c r="E1317" s="161"/>
      <c r="F1317" s="161"/>
      <c r="G1317" s="161"/>
      <c r="H1317" s="161"/>
      <c r="I1317" s="161"/>
      <c r="J1317" s="161"/>
      <c r="K1317" s="161"/>
      <c r="L1317" s="161"/>
      <c r="M1317" s="161"/>
      <c r="N1317" s="161"/>
      <c r="O1317" s="161"/>
      <c r="P1317" s="161"/>
      <c r="Q1317" s="161"/>
      <c r="R1317" s="161"/>
      <c r="S1317" s="161"/>
      <c r="T1317" s="161"/>
      <c r="U1317" s="161"/>
      <c r="V1317" s="161"/>
      <c r="W1317" s="161"/>
      <c r="X1317" s="161"/>
      <c r="Y1317" s="161"/>
      <c r="Z1317" s="161"/>
      <c r="AA1317" s="161"/>
      <c r="AB1317" s="161"/>
      <c r="AC1317" s="161"/>
      <c r="AD1317" s="161"/>
      <c r="AE1317" s="161"/>
      <c r="AF1317" s="161"/>
      <c r="AG1317" s="161"/>
      <c r="AH1317" s="161"/>
      <c r="AI1317" s="161"/>
      <c r="AJ1317" s="161"/>
      <c r="AK1317" s="161"/>
      <c r="AL1317" s="161"/>
      <c r="AM1317" s="161"/>
      <c r="AN1317" s="161"/>
      <c r="AO1317" s="161"/>
      <c r="AP1317" s="161"/>
      <c r="AQ1317" s="161"/>
      <c r="AR1317" s="161"/>
      <c r="AS1317" s="161"/>
      <c r="AT1317" s="161"/>
      <c r="AU1317" s="161"/>
      <c r="AV1317" s="161"/>
      <c r="AW1317" s="161"/>
      <c r="AX1317" s="161"/>
      <c r="AY1317" s="161"/>
      <c r="AZ1317" s="161"/>
      <c r="BA1317" s="161"/>
      <c r="BB1317" s="161"/>
      <c r="BC1317" s="161"/>
      <c r="BD1317" s="161"/>
      <c r="BE1317" s="161"/>
      <c r="BF1317" s="161"/>
      <c r="BG1317" s="161"/>
      <c r="BH1317" s="161"/>
      <c r="BI1317" s="161"/>
      <c r="BJ1317" s="161"/>
      <c r="BK1317" s="161"/>
      <c r="BL1317" s="161"/>
      <c r="BM1317" s="161"/>
      <c r="BN1317" s="161"/>
      <c r="BO1317" s="161"/>
      <c r="BP1317" s="161"/>
      <c r="BQ1317" s="161"/>
      <c r="BR1317" s="161"/>
      <c r="BS1317" s="161"/>
      <c r="BT1317" s="161"/>
      <c r="BU1317" s="161"/>
      <c r="BV1317" s="161"/>
      <c r="BW1317" s="161"/>
      <c r="BX1317" s="161"/>
      <c r="BY1317" s="161"/>
      <c r="BZ1317" s="161"/>
      <c r="CA1317" s="161"/>
      <c r="CB1317" s="161"/>
      <c r="CC1317" s="161"/>
      <c r="CD1317" s="161"/>
      <c r="CE1317" s="161"/>
      <c r="CF1317" s="161"/>
      <c r="CG1317" s="161"/>
    </row>
    <row r="1318">
      <c r="A1318" s="161"/>
      <c r="B1318" s="161"/>
      <c r="C1318" s="161"/>
      <c r="D1318" s="161"/>
      <c r="E1318" s="161"/>
      <c r="F1318" s="161"/>
      <c r="G1318" s="161"/>
      <c r="H1318" s="161"/>
      <c r="I1318" s="161"/>
      <c r="J1318" s="161"/>
      <c r="K1318" s="161"/>
      <c r="L1318" s="161"/>
      <c r="M1318" s="161"/>
      <c r="N1318" s="161"/>
      <c r="O1318" s="161"/>
      <c r="P1318" s="161"/>
      <c r="Q1318" s="161"/>
      <c r="R1318" s="161"/>
      <c r="S1318" s="161"/>
      <c r="T1318" s="161"/>
      <c r="U1318" s="161"/>
      <c r="V1318" s="161"/>
      <c r="W1318" s="161"/>
      <c r="X1318" s="161"/>
      <c r="Y1318" s="161"/>
      <c r="Z1318" s="161"/>
      <c r="AA1318" s="161"/>
      <c r="AB1318" s="161"/>
      <c r="AC1318" s="161"/>
      <c r="AD1318" s="161"/>
      <c r="AE1318" s="161"/>
      <c r="AF1318" s="161"/>
      <c r="AG1318" s="161"/>
      <c r="AH1318" s="161"/>
      <c r="AI1318" s="161"/>
      <c r="AJ1318" s="161"/>
      <c r="AK1318" s="161"/>
      <c r="AL1318" s="161"/>
      <c r="AM1318" s="161"/>
      <c r="AN1318" s="161"/>
      <c r="AO1318" s="161"/>
      <c r="AP1318" s="161"/>
      <c r="AQ1318" s="161"/>
      <c r="AR1318" s="161"/>
      <c r="AS1318" s="161"/>
      <c r="AT1318" s="161"/>
      <c r="AU1318" s="161"/>
      <c r="AV1318" s="161"/>
      <c r="AW1318" s="161"/>
      <c r="AX1318" s="161"/>
      <c r="AY1318" s="161"/>
      <c r="AZ1318" s="161"/>
      <c r="BA1318" s="161"/>
      <c r="BB1318" s="161"/>
      <c r="BC1318" s="161"/>
      <c r="BD1318" s="161"/>
      <c r="BE1318" s="161"/>
      <c r="BF1318" s="161"/>
      <c r="BG1318" s="161"/>
      <c r="BH1318" s="161"/>
      <c r="BI1318" s="161"/>
      <c r="BJ1318" s="161"/>
      <c r="BK1318" s="161"/>
      <c r="BL1318" s="161"/>
      <c r="BM1318" s="161"/>
      <c r="BN1318" s="161"/>
      <c r="BO1318" s="161"/>
      <c r="BP1318" s="161"/>
      <c r="BQ1318" s="161"/>
      <c r="BR1318" s="161"/>
      <c r="BS1318" s="161"/>
      <c r="BT1318" s="161"/>
      <c r="BU1318" s="161"/>
      <c r="BV1318" s="161"/>
      <c r="BW1318" s="161"/>
      <c r="BX1318" s="161"/>
      <c r="BY1318" s="161"/>
      <c r="BZ1318" s="161"/>
      <c r="CA1318" s="161"/>
      <c r="CB1318" s="161"/>
      <c r="CC1318" s="161"/>
      <c r="CD1318" s="161"/>
      <c r="CE1318" s="161"/>
      <c r="CF1318" s="161"/>
      <c r="CG1318" s="161"/>
    </row>
    <row r="1319">
      <c r="A1319" s="161"/>
      <c r="B1319" s="161"/>
      <c r="C1319" s="161"/>
      <c r="D1319" s="161"/>
      <c r="E1319" s="161"/>
      <c r="F1319" s="161"/>
      <c r="G1319" s="161"/>
      <c r="H1319" s="161"/>
      <c r="I1319" s="161"/>
      <c r="J1319" s="161"/>
      <c r="K1319" s="161"/>
      <c r="L1319" s="161"/>
      <c r="M1319" s="161"/>
      <c r="N1319" s="161"/>
      <c r="O1319" s="161"/>
      <c r="P1319" s="161"/>
      <c r="Q1319" s="161"/>
      <c r="R1319" s="161"/>
      <c r="S1319" s="161"/>
      <c r="T1319" s="161"/>
      <c r="U1319" s="161"/>
      <c r="V1319" s="161"/>
      <c r="W1319" s="161"/>
      <c r="X1319" s="161"/>
      <c r="Y1319" s="161"/>
      <c r="Z1319" s="161"/>
      <c r="AA1319" s="161"/>
      <c r="AB1319" s="161"/>
      <c r="AC1319" s="161"/>
      <c r="AD1319" s="161"/>
      <c r="AE1319" s="161"/>
      <c r="AF1319" s="161"/>
      <c r="AG1319" s="161"/>
      <c r="AH1319" s="161"/>
      <c r="AI1319" s="161"/>
      <c r="AJ1319" s="161"/>
      <c r="AK1319" s="161"/>
      <c r="AL1319" s="161"/>
      <c r="AM1319" s="161"/>
      <c r="AN1319" s="161"/>
      <c r="AO1319" s="161"/>
      <c r="AP1319" s="161"/>
      <c r="AQ1319" s="161"/>
      <c r="AR1319" s="161"/>
      <c r="AS1319" s="161"/>
      <c r="AT1319" s="161"/>
      <c r="AU1319" s="161"/>
      <c r="AV1319" s="161"/>
      <c r="AW1319" s="161"/>
      <c r="AX1319" s="161"/>
      <c r="AY1319" s="161"/>
      <c r="AZ1319" s="161"/>
      <c r="BA1319" s="161"/>
      <c r="BB1319" s="161"/>
      <c r="BC1319" s="161"/>
      <c r="BD1319" s="161"/>
      <c r="BE1319" s="161"/>
      <c r="BF1319" s="161"/>
      <c r="BG1319" s="161"/>
      <c r="BH1319" s="161"/>
      <c r="BI1319" s="161"/>
      <c r="BJ1319" s="161"/>
      <c r="BK1319" s="161"/>
      <c r="BL1319" s="161"/>
      <c r="BM1319" s="161"/>
      <c r="BN1319" s="161"/>
      <c r="BO1319" s="161"/>
      <c r="BP1319" s="161"/>
      <c r="BQ1319" s="161"/>
      <c r="BR1319" s="161"/>
      <c r="BS1319" s="161"/>
      <c r="BT1319" s="161"/>
      <c r="BU1319" s="161"/>
      <c r="BV1319" s="161"/>
      <c r="BW1319" s="161"/>
      <c r="BX1319" s="161"/>
      <c r="BY1319" s="161"/>
      <c r="BZ1319" s="161"/>
      <c r="CA1319" s="161"/>
      <c r="CB1319" s="161"/>
      <c r="CC1319" s="161"/>
      <c r="CD1319" s="161"/>
      <c r="CE1319" s="161"/>
      <c r="CF1319" s="161"/>
      <c r="CG1319" s="161"/>
    </row>
    <row r="1320">
      <c r="A1320" s="161"/>
      <c r="B1320" s="161"/>
      <c r="C1320" s="161"/>
      <c r="D1320" s="161"/>
      <c r="E1320" s="161"/>
      <c r="F1320" s="161"/>
      <c r="G1320" s="161"/>
      <c r="H1320" s="161"/>
      <c r="I1320" s="161"/>
      <c r="J1320" s="161"/>
      <c r="K1320" s="161"/>
      <c r="L1320" s="161"/>
      <c r="M1320" s="161"/>
      <c r="N1320" s="161"/>
      <c r="O1320" s="161"/>
      <c r="P1320" s="161"/>
      <c r="Q1320" s="161"/>
      <c r="R1320" s="161"/>
      <c r="S1320" s="161"/>
      <c r="T1320" s="161"/>
      <c r="U1320" s="161"/>
      <c r="V1320" s="161"/>
      <c r="W1320" s="161"/>
      <c r="X1320" s="161"/>
      <c r="Y1320" s="161"/>
      <c r="Z1320" s="161"/>
      <c r="AA1320" s="161"/>
      <c r="AB1320" s="161"/>
      <c r="AC1320" s="161"/>
      <c r="AD1320" s="161"/>
      <c r="AE1320" s="161"/>
      <c r="AF1320" s="161"/>
      <c r="AG1320" s="161"/>
      <c r="AH1320" s="161"/>
      <c r="AI1320" s="161"/>
      <c r="AJ1320" s="161"/>
      <c r="AK1320" s="161"/>
      <c r="AL1320" s="161"/>
      <c r="AM1320" s="161"/>
      <c r="AN1320" s="161"/>
      <c r="AO1320" s="161"/>
      <c r="AP1320" s="161"/>
      <c r="AQ1320" s="161"/>
      <c r="AR1320" s="161"/>
      <c r="AS1320" s="161"/>
      <c r="AT1320" s="161"/>
      <c r="AU1320" s="161"/>
      <c r="AV1320" s="161"/>
      <c r="AW1320" s="161"/>
      <c r="AX1320" s="161"/>
      <c r="AY1320" s="161"/>
      <c r="AZ1320" s="161"/>
      <c r="BA1320" s="161"/>
      <c r="BB1320" s="161"/>
      <c r="BC1320" s="161"/>
      <c r="BD1320" s="161"/>
      <c r="BE1320" s="161"/>
      <c r="BF1320" s="161"/>
      <c r="BG1320" s="161"/>
      <c r="BH1320" s="161"/>
      <c r="BI1320" s="161"/>
      <c r="BJ1320" s="161"/>
      <c r="BK1320" s="161"/>
      <c r="BL1320" s="161"/>
      <c r="BM1320" s="161"/>
      <c r="BN1320" s="161"/>
      <c r="BO1320" s="161"/>
      <c r="BP1320" s="161"/>
      <c r="BQ1320" s="161"/>
      <c r="BR1320" s="161"/>
      <c r="BS1320" s="161"/>
      <c r="BT1320" s="161"/>
      <c r="BU1320" s="161"/>
      <c r="BV1320" s="161"/>
      <c r="BW1320" s="161"/>
      <c r="BX1320" s="161"/>
      <c r="BY1320" s="161"/>
      <c r="BZ1320" s="161"/>
      <c r="CA1320" s="161"/>
      <c r="CB1320" s="161"/>
      <c r="CC1320" s="161"/>
      <c r="CD1320" s="161"/>
      <c r="CE1320" s="161"/>
      <c r="CF1320" s="161"/>
      <c r="CG1320" s="161"/>
    </row>
    <row r="1321">
      <c r="A1321" s="161"/>
      <c r="B1321" s="161"/>
      <c r="C1321" s="161"/>
      <c r="D1321" s="161"/>
      <c r="E1321" s="161"/>
      <c r="F1321" s="161"/>
      <c r="G1321" s="161"/>
      <c r="H1321" s="161"/>
      <c r="I1321" s="161"/>
      <c r="J1321" s="161"/>
      <c r="K1321" s="161"/>
      <c r="L1321" s="161"/>
      <c r="M1321" s="161"/>
      <c r="N1321" s="161"/>
      <c r="O1321" s="161"/>
      <c r="P1321" s="161"/>
      <c r="Q1321" s="161"/>
      <c r="R1321" s="161"/>
      <c r="S1321" s="161"/>
      <c r="T1321" s="161"/>
      <c r="U1321" s="161"/>
      <c r="V1321" s="161"/>
      <c r="W1321" s="161"/>
      <c r="X1321" s="161"/>
      <c r="Y1321" s="161"/>
      <c r="Z1321" s="161"/>
      <c r="AA1321" s="161"/>
      <c r="AB1321" s="161"/>
      <c r="AC1321" s="161"/>
      <c r="AD1321" s="161"/>
      <c r="AE1321" s="161"/>
      <c r="AF1321" s="161"/>
      <c r="AG1321" s="161"/>
      <c r="AH1321" s="161"/>
      <c r="AI1321" s="161"/>
      <c r="AJ1321" s="161"/>
      <c r="AK1321" s="161"/>
      <c r="AL1321" s="161"/>
      <c r="AM1321" s="161"/>
      <c r="AN1321" s="161"/>
      <c r="AO1321" s="161"/>
      <c r="AP1321" s="161"/>
      <c r="AQ1321" s="161"/>
      <c r="AR1321" s="161"/>
      <c r="AS1321" s="161"/>
      <c r="AT1321" s="161"/>
      <c r="AU1321" s="161"/>
      <c r="AV1321" s="161"/>
      <c r="AW1321" s="161"/>
      <c r="AX1321" s="161"/>
      <c r="AY1321" s="161"/>
      <c r="AZ1321" s="161"/>
      <c r="BA1321" s="161"/>
      <c r="BB1321" s="161"/>
      <c r="BC1321" s="161"/>
      <c r="BD1321" s="161"/>
      <c r="BE1321" s="161"/>
      <c r="BF1321" s="161"/>
      <c r="BG1321" s="161"/>
      <c r="BH1321" s="161"/>
      <c r="BI1321" s="161"/>
      <c r="BJ1321" s="161"/>
      <c r="BK1321" s="161"/>
      <c r="BL1321" s="161"/>
      <c r="BM1321" s="161"/>
      <c r="BN1321" s="161"/>
      <c r="BO1321" s="161"/>
      <c r="BP1321" s="161"/>
      <c r="BQ1321" s="161"/>
      <c r="BR1321" s="161"/>
      <c r="BS1321" s="161"/>
      <c r="BT1321" s="161"/>
      <c r="BU1321" s="161"/>
      <c r="BV1321" s="161"/>
      <c r="BW1321" s="161"/>
      <c r="BX1321" s="161"/>
      <c r="BY1321" s="161"/>
      <c r="BZ1321" s="161"/>
      <c r="CA1321" s="161"/>
      <c r="CB1321" s="161"/>
      <c r="CC1321" s="161"/>
      <c r="CD1321" s="161"/>
      <c r="CE1321" s="161"/>
      <c r="CF1321" s="161"/>
      <c r="CG1321" s="161"/>
    </row>
    <row r="1322">
      <c r="A1322" s="161"/>
      <c r="B1322" s="161"/>
      <c r="C1322" s="161"/>
      <c r="D1322" s="161"/>
      <c r="E1322" s="161"/>
      <c r="F1322" s="161"/>
      <c r="G1322" s="161"/>
      <c r="H1322" s="161"/>
      <c r="I1322" s="161"/>
      <c r="J1322" s="161"/>
      <c r="K1322" s="161"/>
      <c r="L1322" s="161"/>
      <c r="M1322" s="161"/>
      <c r="N1322" s="161"/>
      <c r="O1322" s="161"/>
      <c r="P1322" s="161"/>
      <c r="Q1322" s="161"/>
      <c r="R1322" s="161"/>
      <c r="S1322" s="161"/>
      <c r="T1322" s="161"/>
      <c r="U1322" s="161"/>
      <c r="V1322" s="161"/>
      <c r="W1322" s="161"/>
      <c r="X1322" s="161"/>
      <c r="Y1322" s="161"/>
      <c r="Z1322" s="161"/>
      <c r="AA1322" s="161"/>
      <c r="AB1322" s="161"/>
      <c r="AC1322" s="161"/>
      <c r="AD1322" s="161"/>
      <c r="AE1322" s="161"/>
      <c r="AF1322" s="161"/>
      <c r="AG1322" s="161"/>
      <c r="AH1322" s="161"/>
      <c r="AI1322" s="161"/>
      <c r="AJ1322" s="161"/>
      <c r="AK1322" s="161"/>
      <c r="AL1322" s="161"/>
      <c r="AM1322" s="161"/>
      <c r="AN1322" s="161"/>
      <c r="AO1322" s="161"/>
      <c r="AP1322" s="161"/>
      <c r="AQ1322" s="161"/>
      <c r="AR1322" s="161"/>
      <c r="AS1322" s="161"/>
      <c r="AT1322" s="161"/>
      <c r="AU1322" s="161"/>
      <c r="AV1322" s="161"/>
      <c r="AW1322" s="161"/>
      <c r="AX1322" s="161"/>
      <c r="AY1322" s="161"/>
      <c r="AZ1322" s="161"/>
      <c r="BA1322" s="161"/>
      <c r="BB1322" s="161"/>
      <c r="BC1322" s="161"/>
      <c r="BD1322" s="161"/>
      <c r="BE1322" s="161"/>
      <c r="BF1322" s="161"/>
      <c r="BG1322" s="161"/>
      <c r="BH1322" s="161"/>
      <c r="BI1322" s="161"/>
      <c r="BJ1322" s="161"/>
      <c r="BK1322" s="161"/>
      <c r="BL1322" s="161"/>
      <c r="BM1322" s="161"/>
      <c r="BN1322" s="161"/>
      <c r="BO1322" s="161"/>
      <c r="BP1322" s="161"/>
      <c r="BQ1322" s="161"/>
      <c r="BR1322" s="161"/>
      <c r="BS1322" s="161"/>
      <c r="BT1322" s="161"/>
      <c r="BU1322" s="161"/>
      <c r="BV1322" s="161"/>
      <c r="BW1322" s="161"/>
      <c r="BX1322" s="161"/>
      <c r="BY1322" s="161"/>
      <c r="BZ1322" s="161"/>
      <c r="CA1322" s="161"/>
      <c r="CB1322" s="161"/>
      <c r="CC1322" s="161"/>
      <c r="CD1322" s="161"/>
      <c r="CE1322" s="161"/>
      <c r="CF1322" s="161"/>
      <c r="CG1322" s="161"/>
    </row>
    <row r="1323">
      <c r="A1323" s="161"/>
      <c r="B1323" s="161"/>
      <c r="C1323" s="161"/>
      <c r="D1323" s="161"/>
      <c r="E1323" s="161"/>
      <c r="F1323" s="161"/>
      <c r="G1323" s="161"/>
      <c r="H1323" s="161"/>
      <c r="I1323" s="161"/>
      <c r="J1323" s="161"/>
      <c r="K1323" s="161"/>
      <c r="L1323" s="161"/>
      <c r="M1323" s="161"/>
      <c r="N1323" s="161"/>
      <c r="O1323" s="161"/>
      <c r="P1323" s="161"/>
      <c r="Q1323" s="161"/>
      <c r="R1323" s="161"/>
      <c r="S1323" s="161"/>
      <c r="T1323" s="161"/>
      <c r="U1323" s="161"/>
      <c r="V1323" s="161"/>
      <c r="W1323" s="161"/>
      <c r="X1323" s="161"/>
      <c r="Y1323" s="161"/>
      <c r="Z1323" s="161"/>
      <c r="AA1323" s="161"/>
      <c r="AB1323" s="161"/>
      <c r="AC1323" s="161"/>
      <c r="AD1323" s="161"/>
      <c r="AE1323" s="161"/>
      <c r="AF1323" s="161"/>
      <c r="AG1323" s="161"/>
      <c r="AH1323" s="161"/>
      <c r="AI1323" s="161"/>
      <c r="AJ1323" s="161"/>
      <c r="AK1323" s="161"/>
      <c r="AL1323" s="161"/>
      <c r="AM1323" s="161"/>
      <c r="AN1323" s="161"/>
      <c r="AO1323" s="161"/>
      <c r="AP1323" s="161"/>
      <c r="AQ1323" s="161"/>
      <c r="AR1323" s="161"/>
      <c r="AS1323" s="161"/>
      <c r="AT1323" s="161"/>
      <c r="AU1323" s="161"/>
      <c r="AV1323" s="161"/>
      <c r="AW1323" s="161"/>
      <c r="AX1323" s="161"/>
      <c r="AY1323" s="161"/>
      <c r="AZ1323" s="161"/>
      <c r="BA1323" s="161"/>
      <c r="BB1323" s="161"/>
      <c r="BC1323" s="161"/>
      <c r="BD1323" s="161"/>
      <c r="BE1323" s="161"/>
      <c r="BF1323" s="161"/>
      <c r="BG1323" s="161"/>
      <c r="BH1323" s="161"/>
      <c r="BI1323" s="161"/>
      <c r="BJ1323" s="161"/>
      <c r="BK1323" s="161"/>
      <c r="BL1323" s="161"/>
      <c r="BM1323" s="161"/>
      <c r="BN1323" s="161"/>
      <c r="BO1323" s="161"/>
      <c r="BP1323" s="161"/>
      <c r="BQ1323" s="161"/>
      <c r="BR1323" s="161"/>
      <c r="BS1323" s="161"/>
      <c r="BT1323" s="161"/>
      <c r="BU1323" s="161"/>
      <c r="BV1323" s="161"/>
      <c r="BW1323" s="161"/>
      <c r="BX1323" s="161"/>
      <c r="BY1323" s="161"/>
      <c r="BZ1323" s="161"/>
      <c r="CA1323" s="161"/>
      <c r="CB1323" s="161"/>
      <c r="CC1323" s="161"/>
      <c r="CD1323" s="161"/>
      <c r="CE1323" s="161"/>
      <c r="CF1323" s="161"/>
      <c r="CG1323" s="161"/>
    </row>
    <row r="1324">
      <c r="A1324" s="161"/>
      <c r="B1324" s="161"/>
      <c r="C1324" s="161"/>
      <c r="D1324" s="161"/>
      <c r="E1324" s="161"/>
      <c r="F1324" s="161"/>
      <c r="G1324" s="161"/>
      <c r="H1324" s="161"/>
      <c r="I1324" s="161"/>
      <c r="J1324" s="161"/>
      <c r="K1324" s="161"/>
      <c r="L1324" s="161"/>
      <c r="M1324" s="161"/>
      <c r="N1324" s="161"/>
      <c r="O1324" s="161"/>
      <c r="P1324" s="161"/>
      <c r="Q1324" s="161"/>
      <c r="R1324" s="161"/>
      <c r="S1324" s="161"/>
      <c r="T1324" s="161"/>
      <c r="U1324" s="161"/>
      <c r="V1324" s="161"/>
      <c r="W1324" s="161"/>
      <c r="X1324" s="161"/>
      <c r="Y1324" s="161"/>
      <c r="Z1324" s="161"/>
      <c r="AA1324" s="161"/>
      <c r="AB1324" s="161"/>
      <c r="AC1324" s="161"/>
      <c r="AD1324" s="161"/>
      <c r="AE1324" s="161"/>
      <c r="AF1324" s="161"/>
      <c r="AG1324" s="161"/>
      <c r="AH1324" s="161"/>
      <c r="AI1324" s="161"/>
      <c r="AJ1324" s="161"/>
      <c r="AK1324" s="161"/>
      <c r="AL1324" s="161"/>
      <c r="AM1324" s="161"/>
      <c r="AN1324" s="161"/>
      <c r="AO1324" s="161"/>
      <c r="AP1324" s="161"/>
      <c r="AQ1324" s="161"/>
      <c r="AR1324" s="161"/>
      <c r="AS1324" s="161"/>
      <c r="AT1324" s="161"/>
      <c r="AU1324" s="161"/>
      <c r="AV1324" s="161"/>
      <c r="AW1324" s="161"/>
      <c r="AX1324" s="161"/>
      <c r="AY1324" s="161"/>
      <c r="AZ1324" s="161"/>
      <c r="BA1324" s="161"/>
      <c r="BB1324" s="161"/>
      <c r="BC1324" s="161"/>
      <c r="BD1324" s="161"/>
      <c r="BE1324" s="161"/>
      <c r="BF1324" s="161"/>
      <c r="BG1324" s="161"/>
      <c r="BH1324" s="161"/>
      <c r="BI1324" s="161"/>
      <c r="BJ1324" s="161"/>
      <c r="BK1324" s="161"/>
      <c r="BL1324" s="161"/>
      <c r="BM1324" s="161"/>
      <c r="BN1324" s="161"/>
      <c r="BO1324" s="161"/>
      <c r="BP1324" s="161"/>
      <c r="BQ1324" s="161"/>
      <c r="BR1324" s="161"/>
      <c r="BS1324" s="161"/>
      <c r="BT1324" s="161"/>
      <c r="BU1324" s="161"/>
      <c r="BV1324" s="161"/>
      <c r="BW1324" s="161"/>
      <c r="BX1324" s="161"/>
      <c r="BY1324" s="161"/>
      <c r="BZ1324" s="161"/>
      <c r="CA1324" s="161"/>
      <c r="CB1324" s="161"/>
      <c r="CC1324" s="161"/>
      <c r="CD1324" s="161"/>
      <c r="CE1324" s="161"/>
      <c r="CF1324" s="161"/>
      <c r="CG1324" s="161"/>
    </row>
    <row r="1325">
      <c r="A1325" s="161"/>
      <c r="B1325" s="161"/>
      <c r="C1325" s="161"/>
      <c r="D1325" s="161"/>
      <c r="E1325" s="161"/>
      <c r="F1325" s="161"/>
      <c r="G1325" s="161"/>
      <c r="H1325" s="161"/>
      <c r="I1325" s="161"/>
      <c r="J1325" s="161"/>
      <c r="K1325" s="161"/>
      <c r="L1325" s="161"/>
      <c r="M1325" s="161"/>
      <c r="N1325" s="161"/>
      <c r="O1325" s="161"/>
      <c r="P1325" s="161"/>
      <c r="Q1325" s="161"/>
      <c r="R1325" s="161"/>
      <c r="S1325" s="161"/>
      <c r="T1325" s="161"/>
      <c r="U1325" s="161"/>
      <c r="V1325" s="161"/>
      <c r="W1325" s="161"/>
      <c r="X1325" s="161"/>
      <c r="Y1325" s="161"/>
      <c r="Z1325" s="161"/>
      <c r="AA1325" s="161"/>
      <c r="AB1325" s="161"/>
      <c r="AC1325" s="161"/>
      <c r="AD1325" s="161"/>
      <c r="AE1325" s="161"/>
      <c r="AF1325" s="161"/>
      <c r="AG1325" s="161"/>
      <c r="AH1325" s="161"/>
      <c r="AI1325" s="161"/>
      <c r="AJ1325" s="161"/>
      <c r="AK1325" s="161"/>
      <c r="AL1325" s="161"/>
      <c r="AM1325" s="161"/>
      <c r="AN1325" s="161"/>
      <c r="AO1325" s="161"/>
      <c r="AP1325" s="161"/>
      <c r="AQ1325" s="161"/>
      <c r="AR1325" s="161"/>
      <c r="AS1325" s="161"/>
      <c r="AT1325" s="161"/>
      <c r="AU1325" s="161"/>
      <c r="AV1325" s="161"/>
      <c r="AW1325" s="161"/>
      <c r="AX1325" s="161"/>
      <c r="AY1325" s="161"/>
      <c r="AZ1325" s="161"/>
      <c r="BA1325" s="161"/>
      <c r="BB1325" s="161"/>
      <c r="BC1325" s="161"/>
      <c r="BD1325" s="161"/>
      <c r="BE1325" s="161"/>
      <c r="BF1325" s="161"/>
      <c r="BG1325" s="161"/>
      <c r="BH1325" s="161"/>
      <c r="BI1325" s="161"/>
      <c r="BJ1325" s="161"/>
      <c r="BK1325" s="161"/>
      <c r="BL1325" s="161"/>
      <c r="BM1325" s="161"/>
      <c r="BN1325" s="161"/>
      <c r="BO1325" s="161"/>
      <c r="BP1325" s="161"/>
      <c r="BQ1325" s="161"/>
      <c r="BR1325" s="161"/>
      <c r="BS1325" s="161"/>
      <c r="BT1325" s="161"/>
      <c r="BU1325" s="161"/>
      <c r="BV1325" s="161"/>
      <c r="BW1325" s="161"/>
      <c r="BX1325" s="161"/>
      <c r="BY1325" s="161"/>
      <c r="BZ1325" s="161"/>
      <c r="CA1325" s="161"/>
      <c r="CB1325" s="161"/>
      <c r="CC1325" s="161"/>
      <c r="CD1325" s="161"/>
      <c r="CE1325" s="161"/>
      <c r="CF1325" s="161"/>
      <c r="CG1325" s="161"/>
    </row>
    <row r="1326">
      <c r="A1326" s="161"/>
      <c r="B1326" s="161"/>
      <c r="C1326" s="161"/>
      <c r="D1326" s="161"/>
      <c r="E1326" s="161"/>
      <c r="F1326" s="161"/>
      <c r="G1326" s="161"/>
      <c r="H1326" s="161"/>
      <c r="I1326" s="161"/>
      <c r="J1326" s="161"/>
      <c r="K1326" s="161"/>
      <c r="L1326" s="161"/>
      <c r="M1326" s="161"/>
      <c r="N1326" s="161"/>
      <c r="O1326" s="161"/>
      <c r="P1326" s="161"/>
      <c r="Q1326" s="161"/>
      <c r="R1326" s="161"/>
      <c r="S1326" s="161"/>
      <c r="T1326" s="161"/>
      <c r="U1326" s="161"/>
      <c r="V1326" s="161"/>
      <c r="W1326" s="161"/>
      <c r="X1326" s="161"/>
      <c r="Y1326" s="161"/>
      <c r="Z1326" s="161"/>
      <c r="AA1326" s="161"/>
      <c r="AB1326" s="161"/>
      <c r="AC1326" s="161"/>
      <c r="AD1326" s="161"/>
      <c r="AE1326" s="161"/>
      <c r="AF1326" s="161"/>
      <c r="AG1326" s="161"/>
      <c r="AH1326" s="161"/>
      <c r="AI1326" s="161"/>
      <c r="AJ1326" s="161"/>
      <c r="AK1326" s="161"/>
      <c r="AL1326" s="161"/>
      <c r="AM1326" s="161"/>
      <c r="AN1326" s="161"/>
      <c r="AO1326" s="161"/>
      <c r="AP1326" s="161"/>
      <c r="AQ1326" s="161"/>
      <c r="AR1326" s="161"/>
      <c r="AS1326" s="161"/>
      <c r="AT1326" s="161"/>
      <c r="AU1326" s="161"/>
      <c r="AV1326" s="161"/>
      <c r="AW1326" s="161"/>
      <c r="AX1326" s="161"/>
      <c r="AY1326" s="161"/>
      <c r="AZ1326" s="161"/>
      <c r="BA1326" s="161"/>
      <c r="BB1326" s="161"/>
      <c r="BC1326" s="161"/>
      <c r="BD1326" s="161"/>
      <c r="BE1326" s="161"/>
      <c r="BF1326" s="161"/>
      <c r="BG1326" s="161"/>
      <c r="BH1326" s="161"/>
      <c r="BI1326" s="161"/>
      <c r="BJ1326" s="161"/>
      <c r="BK1326" s="161"/>
      <c r="BL1326" s="161"/>
      <c r="BM1326" s="161"/>
      <c r="BN1326" s="161"/>
      <c r="BO1326" s="161"/>
      <c r="BP1326" s="161"/>
      <c r="BQ1326" s="161"/>
      <c r="BR1326" s="161"/>
      <c r="BS1326" s="161"/>
      <c r="BT1326" s="161"/>
      <c r="BU1326" s="161"/>
      <c r="BV1326" s="161"/>
      <c r="BW1326" s="161"/>
      <c r="BX1326" s="161"/>
      <c r="BY1326" s="161"/>
      <c r="BZ1326" s="161"/>
      <c r="CA1326" s="161"/>
      <c r="CB1326" s="161"/>
      <c r="CC1326" s="161"/>
      <c r="CD1326" s="161"/>
      <c r="CE1326" s="161"/>
      <c r="CF1326" s="161"/>
      <c r="CG1326" s="161"/>
    </row>
    <row r="1327">
      <c r="A1327" s="161"/>
      <c r="B1327" s="161"/>
      <c r="C1327" s="161"/>
      <c r="D1327" s="161"/>
      <c r="E1327" s="161"/>
      <c r="F1327" s="161"/>
      <c r="G1327" s="161"/>
      <c r="H1327" s="161"/>
      <c r="I1327" s="161"/>
      <c r="J1327" s="161"/>
      <c r="K1327" s="161"/>
      <c r="L1327" s="161"/>
      <c r="M1327" s="161"/>
      <c r="N1327" s="161"/>
      <c r="O1327" s="161"/>
      <c r="P1327" s="161"/>
      <c r="Q1327" s="161"/>
      <c r="R1327" s="161"/>
      <c r="S1327" s="161"/>
      <c r="T1327" s="161"/>
      <c r="U1327" s="161"/>
      <c r="V1327" s="161"/>
      <c r="W1327" s="161"/>
      <c r="X1327" s="161"/>
      <c r="Y1327" s="161"/>
      <c r="Z1327" s="161"/>
      <c r="AA1327" s="161"/>
      <c r="AB1327" s="161"/>
      <c r="AC1327" s="161"/>
      <c r="AD1327" s="161"/>
      <c r="AE1327" s="161"/>
      <c r="AF1327" s="161"/>
      <c r="AG1327" s="161"/>
      <c r="AH1327" s="161"/>
      <c r="AI1327" s="161"/>
      <c r="AJ1327" s="161"/>
      <c r="AK1327" s="161"/>
      <c r="AL1327" s="161"/>
      <c r="AM1327" s="161"/>
      <c r="AN1327" s="161"/>
      <c r="AO1327" s="161"/>
      <c r="AP1327" s="161"/>
      <c r="AQ1327" s="161"/>
      <c r="AR1327" s="161"/>
      <c r="AS1327" s="161"/>
      <c r="AT1327" s="161"/>
      <c r="AU1327" s="161"/>
      <c r="AV1327" s="161"/>
      <c r="AW1327" s="161"/>
      <c r="AX1327" s="161"/>
      <c r="AY1327" s="161"/>
      <c r="AZ1327" s="161"/>
      <c r="BA1327" s="161"/>
      <c r="BB1327" s="161"/>
      <c r="BC1327" s="161"/>
      <c r="BD1327" s="161"/>
      <c r="BE1327" s="161"/>
      <c r="BF1327" s="161"/>
      <c r="BG1327" s="161"/>
      <c r="BH1327" s="161"/>
      <c r="BI1327" s="161"/>
      <c r="BJ1327" s="161"/>
      <c r="BK1327" s="161"/>
      <c r="BL1327" s="161"/>
      <c r="BM1327" s="161"/>
      <c r="BN1327" s="161"/>
      <c r="BO1327" s="161"/>
      <c r="BP1327" s="161"/>
      <c r="BQ1327" s="161"/>
      <c r="BR1327" s="161"/>
      <c r="BS1327" s="161"/>
      <c r="BT1327" s="161"/>
      <c r="BU1327" s="161"/>
      <c r="BV1327" s="161"/>
      <c r="BW1327" s="161"/>
      <c r="BX1327" s="161"/>
      <c r="BY1327" s="161"/>
      <c r="BZ1327" s="161"/>
      <c r="CA1327" s="161"/>
      <c r="CB1327" s="161"/>
      <c r="CC1327" s="161"/>
      <c r="CD1327" s="161"/>
      <c r="CE1327" s="161"/>
      <c r="CF1327" s="161"/>
      <c r="CG1327" s="161"/>
    </row>
    <row r="1328">
      <c r="A1328" s="161"/>
      <c r="B1328" s="161"/>
      <c r="C1328" s="161"/>
      <c r="D1328" s="161"/>
      <c r="E1328" s="161"/>
      <c r="F1328" s="161"/>
      <c r="G1328" s="161"/>
      <c r="H1328" s="161"/>
      <c r="I1328" s="161"/>
      <c r="J1328" s="161"/>
      <c r="K1328" s="161"/>
      <c r="L1328" s="161"/>
      <c r="M1328" s="161"/>
      <c r="N1328" s="161"/>
      <c r="O1328" s="161"/>
      <c r="P1328" s="161"/>
      <c r="Q1328" s="161"/>
      <c r="R1328" s="161"/>
      <c r="S1328" s="161"/>
      <c r="T1328" s="161"/>
      <c r="U1328" s="161"/>
      <c r="V1328" s="161"/>
      <c r="W1328" s="161"/>
      <c r="X1328" s="161"/>
      <c r="Y1328" s="161"/>
      <c r="Z1328" s="161"/>
      <c r="AA1328" s="161"/>
      <c r="AB1328" s="161"/>
      <c r="AC1328" s="161"/>
      <c r="AD1328" s="161"/>
      <c r="AE1328" s="161"/>
      <c r="AF1328" s="161"/>
      <c r="AG1328" s="161"/>
      <c r="AH1328" s="161"/>
      <c r="AI1328" s="161"/>
      <c r="AJ1328" s="161"/>
      <c r="AK1328" s="161"/>
      <c r="AL1328" s="161"/>
      <c r="AM1328" s="161"/>
      <c r="AN1328" s="161"/>
      <c r="AO1328" s="161"/>
      <c r="AP1328" s="161"/>
      <c r="AQ1328" s="161"/>
      <c r="AR1328" s="161"/>
      <c r="AS1328" s="161"/>
      <c r="AT1328" s="161"/>
      <c r="AU1328" s="161"/>
      <c r="AV1328" s="161"/>
      <c r="AW1328" s="161"/>
      <c r="AX1328" s="161"/>
      <c r="AY1328" s="161"/>
      <c r="AZ1328" s="161"/>
      <c r="BA1328" s="161"/>
      <c r="BB1328" s="161"/>
      <c r="BC1328" s="161"/>
      <c r="BD1328" s="161"/>
      <c r="BE1328" s="161"/>
      <c r="BF1328" s="161"/>
      <c r="BG1328" s="161"/>
      <c r="BH1328" s="161"/>
      <c r="BI1328" s="161"/>
      <c r="BJ1328" s="161"/>
      <c r="BK1328" s="161"/>
      <c r="BL1328" s="161"/>
      <c r="BM1328" s="161"/>
      <c r="BN1328" s="161"/>
      <c r="BO1328" s="161"/>
      <c r="BP1328" s="161"/>
      <c r="BQ1328" s="161"/>
      <c r="BR1328" s="161"/>
      <c r="BS1328" s="161"/>
      <c r="BT1328" s="161"/>
      <c r="BU1328" s="161"/>
      <c r="BV1328" s="161"/>
      <c r="BW1328" s="161"/>
      <c r="BX1328" s="161"/>
      <c r="BY1328" s="161"/>
      <c r="BZ1328" s="161"/>
      <c r="CA1328" s="161"/>
      <c r="CB1328" s="161"/>
      <c r="CC1328" s="161"/>
      <c r="CD1328" s="161"/>
      <c r="CE1328" s="161"/>
      <c r="CF1328" s="161"/>
      <c r="CG1328" s="161"/>
    </row>
    <row r="1329">
      <c r="A1329" s="161"/>
      <c r="B1329" s="161"/>
      <c r="C1329" s="161"/>
      <c r="D1329" s="161"/>
      <c r="E1329" s="161"/>
      <c r="F1329" s="161"/>
      <c r="G1329" s="161"/>
      <c r="H1329" s="161"/>
      <c r="I1329" s="161"/>
      <c r="J1329" s="161"/>
      <c r="K1329" s="161"/>
      <c r="L1329" s="161"/>
      <c r="M1329" s="161"/>
      <c r="N1329" s="161"/>
      <c r="O1329" s="161"/>
      <c r="P1329" s="161"/>
      <c r="Q1329" s="161"/>
      <c r="R1329" s="161"/>
      <c r="S1329" s="161"/>
      <c r="T1329" s="161"/>
      <c r="U1329" s="161"/>
      <c r="V1329" s="161"/>
      <c r="W1329" s="161"/>
      <c r="X1329" s="161"/>
      <c r="Y1329" s="161"/>
      <c r="Z1329" s="161"/>
      <c r="AA1329" s="161"/>
      <c r="AB1329" s="161"/>
      <c r="AC1329" s="161"/>
      <c r="AD1329" s="161"/>
      <c r="AE1329" s="161"/>
      <c r="AF1329" s="161"/>
      <c r="AG1329" s="161"/>
      <c r="AH1329" s="161"/>
      <c r="AI1329" s="161"/>
      <c r="AJ1329" s="161"/>
      <c r="AK1329" s="161"/>
      <c r="AL1329" s="161"/>
      <c r="AM1329" s="161"/>
      <c r="AN1329" s="161"/>
      <c r="AO1329" s="161"/>
      <c r="AP1329" s="161"/>
      <c r="AQ1329" s="161"/>
      <c r="AR1329" s="161"/>
      <c r="AS1329" s="161"/>
      <c r="AT1329" s="161"/>
      <c r="AU1329" s="161"/>
      <c r="AV1329" s="161"/>
      <c r="AW1329" s="161"/>
      <c r="AX1329" s="161"/>
      <c r="AY1329" s="161"/>
      <c r="AZ1329" s="161"/>
      <c r="BA1329" s="161"/>
      <c r="BB1329" s="161"/>
      <c r="BC1329" s="161"/>
      <c r="BD1329" s="161"/>
      <c r="BE1329" s="161"/>
      <c r="BF1329" s="161"/>
      <c r="BG1329" s="161"/>
      <c r="BH1329" s="161"/>
      <c r="BI1329" s="161"/>
      <c r="BJ1329" s="161"/>
      <c r="BK1329" s="161"/>
      <c r="BL1329" s="161"/>
      <c r="BM1329" s="161"/>
      <c r="BN1329" s="161"/>
      <c r="BO1329" s="161"/>
      <c r="BP1329" s="161"/>
      <c r="BQ1329" s="161"/>
      <c r="BR1329" s="161"/>
      <c r="BS1329" s="161"/>
      <c r="BT1329" s="161"/>
      <c r="BU1329" s="161"/>
      <c r="BV1329" s="161"/>
      <c r="BW1329" s="161"/>
      <c r="BX1329" s="161"/>
      <c r="BY1329" s="161"/>
      <c r="BZ1329" s="161"/>
      <c r="CA1329" s="161"/>
      <c r="CB1329" s="161"/>
      <c r="CC1329" s="161"/>
      <c r="CD1329" s="161"/>
      <c r="CE1329" s="161"/>
      <c r="CF1329" s="161"/>
      <c r="CG1329" s="161"/>
    </row>
    <row r="1330">
      <c r="A1330" s="161"/>
      <c r="B1330" s="161"/>
      <c r="C1330" s="161"/>
      <c r="D1330" s="161"/>
      <c r="E1330" s="161"/>
      <c r="F1330" s="161"/>
      <c r="G1330" s="161"/>
      <c r="H1330" s="161"/>
      <c r="I1330" s="161"/>
      <c r="J1330" s="161"/>
      <c r="K1330" s="161"/>
      <c r="L1330" s="161"/>
      <c r="M1330" s="161"/>
      <c r="N1330" s="161"/>
      <c r="O1330" s="161"/>
      <c r="P1330" s="161"/>
      <c r="Q1330" s="161"/>
      <c r="R1330" s="161"/>
      <c r="S1330" s="161"/>
      <c r="T1330" s="161"/>
      <c r="U1330" s="161"/>
      <c r="V1330" s="161"/>
      <c r="W1330" s="161"/>
      <c r="X1330" s="161"/>
      <c r="Y1330" s="161"/>
      <c r="Z1330" s="161"/>
      <c r="AA1330" s="161"/>
      <c r="AB1330" s="161"/>
      <c r="AC1330" s="161"/>
      <c r="AD1330" s="161"/>
      <c r="AE1330" s="161"/>
      <c r="AF1330" s="161"/>
      <c r="AG1330" s="161"/>
      <c r="AH1330" s="161"/>
      <c r="AI1330" s="161"/>
      <c r="AJ1330" s="161"/>
      <c r="AK1330" s="161"/>
      <c r="AL1330" s="161"/>
      <c r="AM1330" s="161"/>
      <c r="AN1330" s="161"/>
      <c r="AO1330" s="161"/>
      <c r="AP1330" s="161"/>
      <c r="AQ1330" s="161"/>
      <c r="AR1330" s="161"/>
      <c r="AS1330" s="161"/>
      <c r="AT1330" s="161"/>
      <c r="AU1330" s="161"/>
      <c r="AV1330" s="161"/>
      <c r="AW1330" s="161"/>
      <c r="AX1330" s="161"/>
      <c r="AY1330" s="161"/>
      <c r="AZ1330" s="161"/>
      <c r="BA1330" s="161"/>
      <c r="BB1330" s="161"/>
      <c r="BC1330" s="161"/>
      <c r="BD1330" s="161"/>
      <c r="BE1330" s="161"/>
      <c r="BF1330" s="161"/>
      <c r="BG1330" s="161"/>
      <c r="BH1330" s="161"/>
      <c r="BI1330" s="161"/>
      <c r="BJ1330" s="161"/>
      <c r="BK1330" s="161"/>
      <c r="BL1330" s="161"/>
      <c r="BM1330" s="161"/>
      <c r="BN1330" s="161"/>
      <c r="BO1330" s="161"/>
      <c r="BP1330" s="161"/>
      <c r="BQ1330" s="161"/>
      <c r="BR1330" s="161"/>
      <c r="BS1330" s="161"/>
      <c r="BT1330" s="161"/>
      <c r="BU1330" s="161"/>
      <c r="BV1330" s="161"/>
      <c r="BW1330" s="161"/>
      <c r="BX1330" s="161"/>
      <c r="BY1330" s="161"/>
      <c r="BZ1330" s="161"/>
      <c r="CA1330" s="161"/>
      <c r="CB1330" s="161"/>
      <c r="CC1330" s="161"/>
      <c r="CD1330" s="161"/>
      <c r="CE1330" s="161"/>
      <c r="CF1330" s="161"/>
      <c r="CG1330" s="161"/>
    </row>
    <row r="1331">
      <c r="A1331" s="161"/>
      <c r="B1331" s="161"/>
      <c r="C1331" s="161"/>
      <c r="D1331" s="161"/>
      <c r="E1331" s="161"/>
      <c r="F1331" s="161"/>
      <c r="G1331" s="161"/>
      <c r="H1331" s="161"/>
      <c r="I1331" s="161"/>
      <c r="J1331" s="161"/>
      <c r="K1331" s="161"/>
      <c r="L1331" s="161"/>
      <c r="M1331" s="161"/>
      <c r="N1331" s="161"/>
      <c r="O1331" s="161"/>
      <c r="P1331" s="161"/>
      <c r="Q1331" s="161"/>
      <c r="R1331" s="161"/>
      <c r="S1331" s="161"/>
      <c r="T1331" s="161"/>
      <c r="U1331" s="161"/>
      <c r="V1331" s="161"/>
      <c r="W1331" s="161"/>
      <c r="X1331" s="161"/>
      <c r="Y1331" s="161"/>
      <c r="Z1331" s="161"/>
      <c r="AA1331" s="161"/>
      <c r="AB1331" s="161"/>
      <c r="AC1331" s="161"/>
      <c r="AD1331" s="161"/>
      <c r="AE1331" s="161"/>
      <c r="AF1331" s="161"/>
      <c r="AG1331" s="161"/>
      <c r="AH1331" s="161"/>
      <c r="AI1331" s="161"/>
      <c r="AJ1331" s="161"/>
      <c r="AK1331" s="161"/>
      <c r="AL1331" s="161"/>
      <c r="AM1331" s="161"/>
      <c r="AN1331" s="161"/>
      <c r="AO1331" s="161"/>
      <c r="AP1331" s="161"/>
      <c r="AQ1331" s="161"/>
      <c r="AR1331" s="161"/>
      <c r="AS1331" s="161"/>
      <c r="AT1331" s="161"/>
      <c r="AU1331" s="161"/>
      <c r="AV1331" s="161"/>
      <c r="AW1331" s="161"/>
      <c r="AX1331" s="161"/>
      <c r="AY1331" s="161"/>
      <c r="AZ1331" s="161"/>
      <c r="BA1331" s="161"/>
      <c r="BB1331" s="161"/>
      <c r="BC1331" s="161"/>
      <c r="BD1331" s="161"/>
      <c r="BE1331" s="161"/>
      <c r="BF1331" s="161"/>
      <c r="BG1331" s="161"/>
      <c r="BH1331" s="161"/>
      <c r="BI1331" s="161"/>
      <c r="BJ1331" s="161"/>
      <c r="BK1331" s="161"/>
      <c r="BL1331" s="161"/>
      <c r="BM1331" s="161"/>
      <c r="BN1331" s="161"/>
      <c r="BO1331" s="161"/>
      <c r="BP1331" s="161"/>
      <c r="BQ1331" s="161"/>
      <c r="BR1331" s="161"/>
      <c r="BS1331" s="161"/>
      <c r="BT1331" s="161"/>
      <c r="BU1331" s="161"/>
      <c r="BV1331" s="161"/>
      <c r="BW1331" s="161"/>
      <c r="BX1331" s="161"/>
      <c r="BY1331" s="161"/>
      <c r="BZ1331" s="161"/>
      <c r="CA1331" s="161"/>
      <c r="CB1331" s="161"/>
      <c r="CC1331" s="161"/>
      <c r="CD1331" s="161"/>
      <c r="CE1331" s="161"/>
      <c r="CF1331" s="161"/>
      <c r="CG1331" s="161"/>
    </row>
    <row r="1332">
      <c r="A1332" s="161"/>
      <c r="B1332" s="161"/>
      <c r="C1332" s="161"/>
      <c r="D1332" s="161"/>
      <c r="E1332" s="161"/>
      <c r="F1332" s="161"/>
      <c r="G1332" s="161"/>
      <c r="H1332" s="161"/>
      <c r="I1332" s="161"/>
      <c r="J1332" s="161"/>
      <c r="K1332" s="161"/>
      <c r="L1332" s="161"/>
      <c r="M1332" s="161"/>
      <c r="N1332" s="161"/>
      <c r="O1332" s="161"/>
      <c r="P1332" s="161"/>
      <c r="Q1332" s="161"/>
      <c r="R1332" s="161"/>
      <c r="S1332" s="161"/>
      <c r="T1332" s="161"/>
      <c r="U1332" s="161"/>
      <c r="V1332" s="161"/>
      <c r="W1332" s="161"/>
      <c r="X1332" s="161"/>
      <c r="Y1332" s="161"/>
      <c r="Z1332" s="161"/>
      <c r="AA1332" s="161"/>
      <c r="AB1332" s="161"/>
      <c r="AC1332" s="161"/>
      <c r="AD1332" s="161"/>
      <c r="AE1332" s="161"/>
      <c r="AF1332" s="161"/>
      <c r="AG1332" s="161"/>
      <c r="AH1332" s="161"/>
      <c r="AI1332" s="161"/>
      <c r="AJ1332" s="161"/>
      <c r="AK1332" s="161"/>
      <c r="AL1332" s="161"/>
      <c r="AM1332" s="161"/>
      <c r="AN1332" s="161"/>
      <c r="AO1332" s="161"/>
      <c r="AP1332" s="161"/>
      <c r="AQ1332" s="161"/>
      <c r="AR1332" s="161"/>
      <c r="AS1332" s="161"/>
      <c r="AT1332" s="161"/>
      <c r="AU1332" s="161"/>
      <c r="AV1332" s="161"/>
      <c r="AW1332" s="161"/>
      <c r="AX1332" s="161"/>
      <c r="AY1332" s="161"/>
      <c r="AZ1332" s="161"/>
      <c r="BA1332" s="161"/>
      <c r="BB1332" s="161"/>
      <c r="BC1332" s="161"/>
      <c r="BD1332" s="161"/>
      <c r="BE1332" s="161"/>
      <c r="BF1332" s="161"/>
      <c r="BG1332" s="161"/>
      <c r="BH1332" s="161"/>
      <c r="BI1332" s="161"/>
      <c r="BJ1332" s="161"/>
      <c r="BK1332" s="161"/>
      <c r="BL1332" s="161"/>
      <c r="BM1332" s="161"/>
      <c r="BN1332" s="161"/>
      <c r="BO1332" s="161"/>
      <c r="BP1332" s="161"/>
      <c r="BQ1332" s="161"/>
      <c r="BR1332" s="161"/>
      <c r="BS1332" s="161"/>
      <c r="BT1332" s="161"/>
      <c r="BU1332" s="161"/>
      <c r="BV1332" s="161"/>
      <c r="BW1332" s="161"/>
      <c r="BX1332" s="161"/>
      <c r="BY1332" s="161"/>
      <c r="BZ1332" s="161"/>
      <c r="CA1332" s="161"/>
      <c r="CB1332" s="161"/>
      <c r="CC1332" s="161"/>
      <c r="CD1332" s="161"/>
      <c r="CE1332" s="161"/>
      <c r="CF1332" s="161"/>
      <c r="CG1332" s="161"/>
    </row>
    <row r="1333">
      <c r="A1333" s="161"/>
      <c r="B1333" s="161"/>
      <c r="C1333" s="161"/>
      <c r="D1333" s="161"/>
      <c r="E1333" s="161"/>
      <c r="F1333" s="161"/>
      <c r="G1333" s="161"/>
      <c r="H1333" s="161"/>
      <c r="I1333" s="161"/>
      <c r="J1333" s="161"/>
      <c r="K1333" s="161"/>
      <c r="L1333" s="161"/>
      <c r="M1333" s="161"/>
      <c r="N1333" s="161"/>
      <c r="O1333" s="161"/>
      <c r="P1333" s="161"/>
      <c r="Q1333" s="161"/>
      <c r="R1333" s="161"/>
      <c r="S1333" s="161"/>
      <c r="T1333" s="161"/>
      <c r="U1333" s="161"/>
      <c r="V1333" s="161"/>
      <c r="W1333" s="161"/>
      <c r="X1333" s="161"/>
      <c r="Y1333" s="161"/>
      <c r="Z1333" s="161"/>
      <c r="AA1333" s="161"/>
      <c r="AB1333" s="161"/>
      <c r="AC1333" s="161"/>
      <c r="AD1333" s="161"/>
      <c r="AE1333" s="161"/>
      <c r="AF1333" s="161"/>
      <c r="AG1333" s="161"/>
      <c r="AH1333" s="161"/>
      <c r="AI1333" s="161"/>
      <c r="AJ1333" s="161"/>
      <c r="AK1333" s="161"/>
      <c r="AL1333" s="161"/>
      <c r="AM1333" s="161"/>
      <c r="AN1333" s="161"/>
      <c r="AO1333" s="161"/>
      <c r="AP1333" s="161"/>
      <c r="AQ1333" s="161"/>
      <c r="AR1333" s="161"/>
      <c r="AS1333" s="161"/>
      <c r="AT1333" s="161"/>
      <c r="AU1333" s="161"/>
      <c r="AV1333" s="161"/>
      <c r="AW1333" s="161"/>
      <c r="AX1333" s="161"/>
      <c r="AY1333" s="161"/>
      <c r="AZ1333" s="161"/>
      <c r="BA1333" s="161"/>
      <c r="BB1333" s="161"/>
      <c r="BC1333" s="161"/>
      <c r="BD1333" s="161"/>
      <c r="BE1333" s="161"/>
      <c r="BF1333" s="161"/>
      <c r="BG1333" s="161"/>
      <c r="BH1333" s="161"/>
      <c r="BI1333" s="161"/>
      <c r="BJ1333" s="161"/>
      <c r="BK1333" s="161"/>
      <c r="BL1333" s="161"/>
      <c r="BM1333" s="161"/>
      <c r="BN1333" s="161"/>
      <c r="BO1333" s="161"/>
      <c r="BP1333" s="161"/>
      <c r="BQ1333" s="161"/>
      <c r="BR1333" s="161"/>
      <c r="BS1333" s="161"/>
      <c r="BT1333" s="161"/>
      <c r="BU1333" s="161"/>
      <c r="BV1333" s="161"/>
      <c r="BW1333" s="161"/>
      <c r="BX1333" s="161"/>
      <c r="BY1333" s="161"/>
      <c r="BZ1333" s="161"/>
      <c r="CA1333" s="161"/>
      <c r="CB1333" s="161"/>
      <c r="CC1333" s="161"/>
      <c r="CD1333" s="161"/>
      <c r="CE1333" s="161"/>
      <c r="CF1333" s="161"/>
      <c r="CG1333" s="161"/>
    </row>
    <row r="1334">
      <c r="A1334" s="161"/>
      <c r="B1334" s="161"/>
      <c r="C1334" s="161"/>
      <c r="D1334" s="161"/>
      <c r="E1334" s="161"/>
      <c r="F1334" s="161"/>
      <c r="G1334" s="161"/>
      <c r="H1334" s="161"/>
      <c r="I1334" s="161"/>
      <c r="J1334" s="161"/>
      <c r="K1334" s="161"/>
      <c r="L1334" s="161"/>
      <c r="M1334" s="161"/>
      <c r="N1334" s="161"/>
      <c r="O1334" s="161"/>
      <c r="P1334" s="161"/>
      <c r="Q1334" s="161"/>
      <c r="R1334" s="161"/>
      <c r="S1334" s="161"/>
      <c r="T1334" s="161"/>
      <c r="U1334" s="161"/>
      <c r="V1334" s="161"/>
      <c r="W1334" s="161"/>
      <c r="X1334" s="161"/>
      <c r="Y1334" s="161"/>
      <c r="Z1334" s="161"/>
      <c r="AA1334" s="161"/>
      <c r="AB1334" s="161"/>
      <c r="AC1334" s="161"/>
      <c r="AD1334" s="161"/>
      <c r="AE1334" s="161"/>
      <c r="AF1334" s="161"/>
      <c r="AG1334" s="161"/>
      <c r="AH1334" s="161"/>
      <c r="AI1334" s="161"/>
      <c r="AJ1334" s="161"/>
      <c r="AK1334" s="161"/>
      <c r="AL1334" s="161"/>
      <c r="AM1334" s="161"/>
      <c r="AN1334" s="161"/>
      <c r="AO1334" s="161"/>
      <c r="AP1334" s="161"/>
      <c r="AQ1334" s="161"/>
      <c r="AR1334" s="161"/>
      <c r="AS1334" s="161"/>
      <c r="AT1334" s="161"/>
      <c r="AU1334" s="161"/>
      <c r="AV1334" s="161"/>
      <c r="AW1334" s="161"/>
      <c r="AX1334" s="161"/>
      <c r="AY1334" s="161"/>
      <c r="AZ1334" s="161"/>
      <c r="BA1334" s="161"/>
      <c r="BB1334" s="161"/>
      <c r="BC1334" s="161"/>
      <c r="BD1334" s="161"/>
      <c r="BE1334" s="161"/>
      <c r="BF1334" s="161"/>
      <c r="BG1334" s="161"/>
      <c r="BH1334" s="161"/>
      <c r="BI1334" s="161"/>
      <c r="BJ1334" s="161"/>
      <c r="BK1334" s="161"/>
      <c r="BL1334" s="161"/>
      <c r="BM1334" s="161"/>
      <c r="BN1334" s="161"/>
      <c r="BO1334" s="161"/>
      <c r="BP1334" s="161"/>
      <c r="BQ1334" s="161"/>
      <c r="BR1334" s="161"/>
      <c r="BS1334" s="161"/>
      <c r="BT1334" s="161"/>
      <c r="BU1334" s="161"/>
      <c r="BV1334" s="161"/>
      <c r="BW1334" s="161"/>
      <c r="BX1334" s="161"/>
      <c r="BY1334" s="161"/>
      <c r="BZ1334" s="161"/>
      <c r="CA1334" s="161"/>
      <c r="CB1334" s="161"/>
      <c r="CC1334" s="161"/>
      <c r="CD1334" s="161"/>
      <c r="CE1334" s="161"/>
      <c r="CF1334" s="161"/>
      <c r="CG1334" s="161"/>
    </row>
    <row r="1335">
      <c r="A1335" s="161"/>
      <c r="B1335" s="161"/>
      <c r="C1335" s="161"/>
      <c r="D1335" s="161"/>
      <c r="E1335" s="161"/>
      <c r="F1335" s="161"/>
      <c r="G1335" s="161"/>
      <c r="H1335" s="161"/>
      <c r="I1335" s="161"/>
      <c r="J1335" s="161"/>
      <c r="K1335" s="161"/>
      <c r="L1335" s="161"/>
      <c r="M1335" s="161"/>
      <c r="N1335" s="161"/>
      <c r="O1335" s="161"/>
      <c r="P1335" s="161"/>
      <c r="Q1335" s="161"/>
      <c r="R1335" s="161"/>
      <c r="S1335" s="161"/>
      <c r="T1335" s="161"/>
      <c r="U1335" s="161"/>
      <c r="V1335" s="161"/>
      <c r="W1335" s="161"/>
      <c r="X1335" s="161"/>
      <c r="Y1335" s="161"/>
      <c r="Z1335" s="161"/>
      <c r="AA1335" s="161"/>
      <c r="AB1335" s="161"/>
      <c r="AC1335" s="161"/>
      <c r="AD1335" s="161"/>
      <c r="AE1335" s="161"/>
      <c r="AF1335" s="161"/>
      <c r="AG1335" s="161"/>
      <c r="AH1335" s="161"/>
      <c r="AI1335" s="161"/>
      <c r="AJ1335" s="161"/>
      <c r="AK1335" s="161"/>
      <c r="AL1335" s="161"/>
      <c r="AM1335" s="161"/>
      <c r="AN1335" s="161"/>
      <c r="AO1335" s="161"/>
      <c r="AP1335" s="161"/>
      <c r="AQ1335" s="161"/>
      <c r="AR1335" s="161"/>
      <c r="AS1335" s="161"/>
      <c r="AT1335" s="161"/>
      <c r="AU1335" s="161"/>
      <c r="AV1335" s="161"/>
      <c r="AW1335" s="161"/>
      <c r="AX1335" s="161"/>
      <c r="AY1335" s="161"/>
      <c r="AZ1335" s="161"/>
      <c r="BA1335" s="161"/>
      <c r="BB1335" s="161"/>
      <c r="BC1335" s="161"/>
      <c r="BD1335" s="161"/>
      <c r="BE1335" s="161"/>
      <c r="BF1335" s="161"/>
      <c r="BG1335" s="161"/>
      <c r="BH1335" s="161"/>
      <c r="BI1335" s="161"/>
      <c r="BJ1335" s="161"/>
      <c r="BK1335" s="161"/>
      <c r="BL1335" s="161"/>
      <c r="BM1335" s="161"/>
      <c r="BN1335" s="161"/>
      <c r="BO1335" s="161"/>
      <c r="BP1335" s="161"/>
      <c r="BQ1335" s="161"/>
      <c r="BR1335" s="161"/>
      <c r="BS1335" s="161"/>
      <c r="BT1335" s="161"/>
      <c r="BU1335" s="161"/>
      <c r="BV1335" s="161"/>
      <c r="BW1335" s="161"/>
      <c r="BX1335" s="161"/>
      <c r="BY1335" s="161"/>
      <c r="BZ1335" s="161"/>
      <c r="CA1335" s="161"/>
      <c r="CB1335" s="161"/>
      <c r="CC1335" s="161"/>
      <c r="CD1335" s="161"/>
      <c r="CE1335" s="161"/>
      <c r="CF1335" s="161"/>
      <c r="CG1335" s="161"/>
    </row>
    <row r="1336">
      <c r="A1336" s="161"/>
      <c r="B1336" s="161"/>
      <c r="C1336" s="161"/>
      <c r="D1336" s="161"/>
      <c r="E1336" s="161"/>
      <c r="F1336" s="161"/>
      <c r="G1336" s="161"/>
      <c r="H1336" s="161"/>
      <c r="I1336" s="161"/>
      <c r="J1336" s="161"/>
      <c r="K1336" s="161"/>
      <c r="L1336" s="161"/>
      <c r="M1336" s="161"/>
      <c r="N1336" s="161"/>
      <c r="O1336" s="161"/>
      <c r="P1336" s="161"/>
      <c r="Q1336" s="161"/>
      <c r="R1336" s="161"/>
      <c r="S1336" s="161"/>
      <c r="T1336" s="161"/>
      <c r="U1336" s="161"/>
      <c r="V1336" s="161"/>
      <c r="W1336" s="161"/>
      <c r="X1336" s="161"/>
      <c r="Y1336" s="161"/>
      <c r="Z1336" s="161"/>
      <c r="AA1336" s="161"/>
      <c r="AB1336" s="161"/>
      <c r="AC1336" s="161"/>
      <c r="AD1336" s="161"/>
      <c r="AE1336" s="161"/>
      <c r="AF1336" s="161"/>
      <c r="AG1336" s="161"/>
      <c r="AH1336" s="161"/>
      <c r="AI1336" s="161"/>
      <c r="AJ1336" s="161"/>
      <c r="AK1336" s="161"/>
      <c r="AL1336" s="161"/>
      <c r="AM1336" s="161"/>
      <c r="AN1336" s="161"/>
      <c r="AO1336" s="161"/>
      <c r="AP1336" s="161"/>
      <c r="AQ1336" s="161"/>
      <c r="AR1336" s="161"/>
      <c r="AS1336" s="161"/>
      <c r="AT1336" s="161"/>
      <c r="AU1336" s="161"/>
      <c r="AV1336" s="161"/>
      <c r="AW1336" s="161"/>
      <c r="AX1336" s="161"/>
      <c r="AY1336" s="161"/>
      <c r="AZ1336" s="161"/>
      <c r="BA1336" s="161"/>
      <c r="BB1336" s="161"/>
      <c r="BC1336" s="161"/>
      <c r="BD1336" s="161"/>
      <c r="BE1336" s="161"/>
      <c r="BF1336" s="161"/>
      <c r="BG1336" s="161"/>
      <c r="BH1336" s="161"/>
      <c r="BI1336" s="161"/>
      <c r="BJ1336" s="161"/>
      <c r="BK1336" s="161"/>
      <c r="BL1336" s="161"/>
      <c r="BM1336" s="161"/>
      <c r="BN1336" s="161"/>
      <c r="BO1336" s="161"/>
      <c r="BP1336" s="161"/>
      <c r="BQ1336" s="161"/>
      <c r="BR1336" s="161"/>
      <c r="BS1336" s="161"/>
      <c r="BT1336" s="161"/>
      <c r="BU1336" s="161"/>
      <c r="BV1336" s="161"/>
      <c r="BW1336" s="161"/>
      <c r="BX1336" s="161"/>
      <c r="BY1336" s="161"/>
      <c r="BZ1336" s="161"/>
      <c r="CA1336" s="161"/>
      <c r="CB1336" s="161"/>
      <c r="CC1336" s="161"/>
      <c r="CD1336" s="161"/>
      <c r="CE1336" s="161"/>
      <c r="CF1336" s="161"/>
      <c r="CG1336" s="161"/>
    </row>
    <row r="1337">
      <c r="A1337" s="161"/>
      <c r="B1337" s="161"/>
      <c r="C1337" s="161"/>
      <c r="D1337" s="161"/>
      <c r="E1337" s="161"/>
      <c r="F1337" s="161"/>
      <c r="G1337" s="161"/>
      <c r="H1337" s="161"/>
      <c r="I1337" s="161"/>
      <c r="J1337" s="161"/>
      <c r="K1337" s="161"/>
      <c r="L1337" s="161"/>
      <c r="M1337" s="161"/>
      <c r="N1337" s="161"/>
      <c r="O1337" s="161"/>
      <c r="P1337" s="161"/>
      <c r="Q1337" s="161"/>
      <c r="R1337" s="161"/>
      <c r="S1337" s="161"/>
      <c r="T1337" s="161"/>
      <c r="U1337" s="161"/>
      <c r="V1337" s="161"/>
      <c r="W1337" s="161"/>
      <c r="X1337" s="161"/>
      <c r="Y1337" s="161"/>
      <c r="Z1337" s="161"/>
      <c r="AA1337" s="161"/>
      <c r="AB1337" s="161"/>
      <c r="AC1337" s="161"/>
      <c r="AD1337" s="161"/>
      <c r="AE1337" s="161"/>
      <c r="AF1337" s="161"/>
      <c r="AG1337" s="161"/>
      <c r="AH1337" s="161"/>
      <c r="AI1337" s="161"/>
      <c r="AJ1337" s="161"/>
      <c r="AK1337" s="161"/>
      <c r="AL1337" s="161"/>
      <c r="AM1337" s="161"/>
      <c r="AN1337" s="161"/>
      <c r="AO1337" s="161"/>
      <c r="AP1337" s="161"/>
      <c r="AQ1337" s="161"/>
      <c r="AR1337" s="161"/>
      <c r="AS1337" s="161"/>
      <c r="AT1337" s="161"/>
      <c r="AU1337" s="161"/>
      <c r="AV1337" s="161"/>
      <c r="AW1337" s="161"/>
      <c r="AX1337" s="161"/>
      <c r="AY1337" s="161"/>
      <c r="AZ1337" s="161"/>
      <c r="BA1337" s="161"/>
      <c r="BB1337" s="161"/>
      <c r="BC1337" s="161"/>
      <c r="BD1337" s="161"/>
      <c r="BE1337" s="161"/>
      <c r="BF1337" s="161"/>
      <c r="BG1337" s="161"/>
      <c r="BH1337" s="161"/>
      <c r="BI1337" s="161"/>
      <c r="BJ1337" s="161"/>
      <c r="BK1337" s="161"/>
      <c r="BL1337" s="161"/>
      <c r="BM1337" s="161"/>
      <c r="BN1337" s="161"/>
      <c r="BO1337" s="161"/>
      <c r="BP1337" s="161"/>
      <c r="BQ1337" s="161"/>
      <c r="BR1337" s="161"/>
      <c r="BS1337" s="161"/>
      <c r="BT1337" s="161"/>
      <c r="BU1337" s="161"/>
      <c r="BV1337" s="161"/>
      <c r="BW1337" s="161"/>
      <c r="BX1337" s="161"/>
      <c r="BY1337" s="161"/>
      <c r="BZ1337" s="161"/>
      <c r="CA1337" s="161"/>
      <c r="CB1337" s="161"/>
      <c r="CC1337" s="161"/>
      <c r="CD1337" s="161"/>
      <c r="CE1337" s="161"/>
      <c r="CF1337" s="161"/>
      <c r="CG1337" s="161"/>
    </row>
    <row r="1338">
      <c r="A1338" s="161"/>
      <c r="B1338" s="161"/>
      <c r="C1338" s="161"/>
      <c r="D1338" s="161"/>
      <c r="E1338" s="161"/>
      <c r="F1338" s="161"/>
      <c r="G1338" s="161"/>
      <c r="H1338" s="161"/>
      <c r="I1338" s="161"/>
      <c r="J1338" s="161"/>
      <c r="K1338" s="161"/>
      <c r="L1338" s="161"/>
      <c r="M1338" s="161"/>
      <c r="N1338" s="161"/>
      <c r="O1338" s="161"/>
      <c r="P1338" s="161"/>
      <c r="Q1338" s="161"/>
      <c r="R1338" s="161"/>
      <c r="S1338" s="161"/>
      <c r="T1338" s="161"/>
      <c r="U1338" s="161"/>
      <c r="V1338" s="161"/>
      <c r="W1338" s="161"/>
      <c r="X1338" s="161"/>
      <c r="Y1338" s="161"/>
      <c r="Z1338" s="161"/>
      <c r="AA1338" s="161"/>
      <c r="AB1338" s="161"/>
      <c r="AC1338" s="161"/>
      <c r="AD1338" s="161"/>
      <c r="AE1338" s="161"/>
      <c r="AF1338" s="161"/>
      <c r="AG1338" s="161"/>
      <c r="AH1338" s="161"/>
      <c r="AI1338" s="161"/>
      <c r="AJ1338" s="161"/>
      <c r="AK1338" s="161"/>
      <c r="AL1338" s="161"/>
      <c r="AM1338" s="161"/>
      <c r="AN1338" s="161"/>
      <c r="AO1338" s="161"/>
      <c r="AP1338" s="161"/>
      <c r="AQ1338" s="161"/>
      <c r="AR1338" s="161"/>
      <c r="AS1338" s="161"/>
      <c r="AT1338" s="161"/>
      <c r="AU1338" s="161"/>
      <c r="AV1338" s="161"/>
      <c r="AW1338" s="161"/>
      <c r="AX1338" s="161"/>
      <c r="AY1338" s="161"/>
      <c r="AZ1338" s="161"/>
      <c r="BA1338" s="161"/>
      <c r="BB1338" s="161"/>
      <c r="BC1338" s="161"/>
      <c r="BD1338" s="161"/>
      <c r="BE1338" s="161"/>
      <c r="BF1338" s="161"/>
      <c r="BG1338" s="161"/>
      <c r="BH1338" s="161"/>
      <c r="BI1338" s="161"/>
      <c r="BJ1338" s="161"/>
      <c r="BK1338" s="161"/>
      <c r="BL1338" s="161"/>
      <c r="BM1338" s="161"/>
      <c r="BN1338" s="161"/>
      <c r="BO1338" s="161"/>
      <c r="BP1338" s="161"/>
      <c r="BQ1338" s="161"/>
      <c r="BR1338" s="161"/>
      <c r="BS1338" s="161"/>
      <c r="BT1338" s="161"/>
      <c r="BU1338" s="161"/>
      <c r="BV1338" s="161"/>
      <c r="BW1338" s="161"/>
      <c r="BX1338" s="161"/>
      <c r="BY1338" s="161"/>
      <c r="BZ1338" s="161"/>
      <c r="CA1338" s="161"/>
      <c r="CB1338" s="161"/>
      <c r="CC1338" s="161"/>
      <c r="CD1338" s="161"/>
      <c r="CE1338" s="161"/>
      <c r="CF1338" s="161"/>
      <c r="CG1338" s="161"/>
    </row>
    <row r="1339">
      <c r="A1339" s="161"/>
      <c r="B1339" s="161"/>
      <c r="C1339" s="161"/>
      <c r="D1339" s="161"/>
      <c r="E1339" s="161"/>
      <c r="F1339" s="161"/>
      <c r="G1339" s="161"/>
      <c r="H1339" s="161"/>
      <c r="I1339" s="161"/>
      <c r="J1339" s="161"/>
      <c r="K1339" s="161"/>
      <c r="L1339" s="161"/>
      <c r="M1339" s="161"/>
      <c r="N1339" s="161"/>
      <c r="O1339" s="161"/>
      <c r="P1339" s="161"/>
      <c r="Q1339" s="161"/>
      <c r="R1339" s="161"/>
      <c r="S1339" s="161"/>
      <c r="T1339" s="161"/>
      <c r="U1339" s="161"/>
      <c r="V1339" s="161"/>
      <c r="W1339" s="161"/>
      <c r="X1339" s="161"/>
      <c r="Y1339" s="161"/>
      <c r="Z1339" s="161"/>
      <c r="AA1339" s="161"/>
      <c r="AB1339" s="161"/>
      <c r="AC1339" s="161"/>
      <c r="AD1339" s="161"/>
      <c r="AE1339" s="161"/>
      <c r="AF1339" s="161"/>
      <c r="AG1339" s="161"/>
      <c r="AH1339" s="161"/>
      <c r="AI1339" s="161"/>
      <c r="AJ1339" s="161"/>
      <c r="AK1339" s="161"/>
      <c r="AL1339" s="161"/>
      <c r="AM1339" s="161"/>
      <c r="AN1339" s="161"/>
      <c r="AO1339" s="161"/>
      <c r="AP1339" s="161"/>
      <c r="AQ1339" s="161"/>
      <c r="AR1339" s="161"/>
      <c r="AS1339" s="161"/>
      <c r="AT1339" s="161"/>
      <c r="AU1339" s="161"/>
      <c r="AV1339" s="161"/>
      <c r="AW1339" s="161"/>
      <c r="AX1339" s="161"/>
      <c r="AY1339" s="161"/>
      <c r="AZ1339" s="161"/>
      <c r="BA1339" s="161"/>
      <c r="BB1339" s="161"/>
      <c r="BC1339" s="161"/>
      <c r="BD1339" s="161"/>
      <c r="BE1339" s="161"/>
      <c r="BF1339" s="161"/>
      <c r="BG1339" s="161"/>
      <c r="BH1339" s="161"/>
      <c r="BI1339" s="161"/>
      <c r="BJ1339" s="161"/>
      <c r="BK1339" s="161"/>
      <c r="BL1339" s="161"/>
      <c r="BM1339" s="161"/>
      <c r="BN1339" s="161"/>
      <c r="BO1339" s="161"/>
      <c r="BP1339" s="161"/>
      <c r="BQ1339" s="161"/>
      <c r="BR1339" s="161"/>
      <c r="BS1339" s="161"/>
      <c r="BT1339" s="161"/>
      <c r="BU1339" s="161"/>
      <c r="BV1339" s="161"/>
      <c r="BW1339" s="161"/>
      <c r="BX1339" s="161"/>
      <c r="BY1339" s="161"/>
      <c r="BZ1339" s="161"/>
      <c r="CA1339" s="161"/>
      <c r="CB1339" s="161"/>
      <c r="CC1339" s="161"/>
      <c r="CD1339" s="161"/>
      <c r="CE1339" s="161"/>
      <c r="CF1339" s="161"/>
      <c r="CG1339" s="161"/>
    </row>
    <row r="1340">
      <c r="A1340" s="161"/>
      <c r="B1340" s="161"/>
      <c r="C1340" s="161"/>
      <c r="D1340" s="161"/>
      <c r="E1340" s="161"/>
      <c r="F1340" s="161"/>
      <c r="G1340" s="161"/>
      <c r="H1340" s="161"/>
      <c r="I1340" s="161"/>
      <c r="J1340" s="161"/>
      <c r="K1340" s="161"/>
      <c r="L1340" s="161"/>
      <c r="M1340" s="161"/>
      <c r="N1340" s="161"/>
      <c r="O1340" s="161"/>
      <c r="P1340" s="161"/>
      <c r="Q1340" s="161"/>
      <c r="R1340" s="161"/>
      <c r="S1340" s="161"/>
      <c r="T1340" s="161"/>
      <c r="U1340" s="161"/>
      <c r="V1340" s="161"/>
      <c r="W1340" s="161"/>
      <c r="X1340" s="161"/>
      <c r="Y1340" s="161"/>
      <c r="Z1340" s="161"/>
      <c r="AA1340" s="161"/>
      <c r="AB1340" s="161"/>
      <c r="AC1340" s="161"/>
      <c r="AD1340" s="161"/>
      <c r="AE1340" s="161"/>
      <c r="AF1340" s="161"/>
      <c r="AG1340" s="161"/>
      <c r="AH1340" s="161"/>
      <c r="AI1340" s="161"/>
      <c r="AJ1340" s="161"/>
      <c r="AK1340" s="161"/>
      <c r="AL1340" s="161"/>
      <c r="AM1340" s="161"/>
      <c r="AN1340" s="161"/>
      <c r="AO1340" s="161"/>
      <c r="AP1340" s="161"/>
      <c r="AQ1340" s="161"/>
      <c r="AR1340" s="161"/>
      <c r="AS1340" s="161"/>
      <c r="AT1340" s="161"/>
      <c r="AU1340" s="161"/>
      <c r="AV1340" s="161"/>
      <c r="AW1340" s="161"/>
      <c r="AX1340" s="161"/>
      <c r="AY1340" s="161"/>
      <c r="AZ1340" s="161"/>
      <c r="BA1340" s="161"/>
      <c r="BB1340" s="161"/>
      <c r="BC1340" s="161"/>
      <c r="BD1340" s="161"/>
      <c r="BE1340" s="161"/>
      <c r="BF1340" s="161"/>
      <c r="BG1340" s="161"/>
      <c r="BH1340" s="161"/>
      <c r="BI1340" s="161"/>
      <c r="BJ1340" s="161"/>
      <c r="BK1340" s="161"/>
      <c r="BL1340" s="161"/>
      <c r="BM1340" s="161"/>
      <c r="BN1340" s="161"/>
      <c r="BO1340" s="161"/>
      <c r="BP1340" s="161"/>
      <c r="BQ1340" s="161"/>
      <c r="BR1340" s="161"/>
      <c r="BS1340" s="161"/>
      <c r="BT1340" s="161"/>
      <c r="BU1340" s="161"/>
      <c r="BV1340" s="161"/>
      <c r="BW1340" s="161"/>
      <c r="BX1340" s="161"/>
      <c r="BY1340" s="161"/>
      <c r="BZ1340" s="161"/>
      <c r="CA1340" s="161"/>
      <c r="CB1340" s="161"/>
      <c r="CC1340" s="161"/>
      <c r="CD1340" s="161"/>
      <c r="CE1340" s="161"/>
      <c r="CF1340" s="161"/>
      <c r="CG1340" s="161"/>
    </row>
    <row r="1341">
      <c r="A1341" s="161"/>
      <c r="B1341" s="161"/>
      <c r="C1341" s="161"/>
      <c r="D1341" s="161"/>
      <c r="E1341" s="161"/>
      <c r="F1341" s="161"/>
      <c r="G1341" s="161"/>
      <c r="H1341" s="161"/>
      <c r="I1341" s="161"/>
      <c r="J1341" s="161"/>
      <c r="K1341" s="161"/>
      <c r="L1341" s="161"/>
      <c r="M1341" s="161"/>
      <c r="N1341" s="161"/>
      <c r="O1341" s="161"/>
      <c r="P1341" s="161"/>
      <c r="Q1341" s="161"/>
      <c r="R1341" s="161"/>
      <c r="S1341" s="161"/>
      <c r="T1341" s="161"/>
      <c r="U1341" s="161"/>
      <c r="V1341" s="161"/>
      <c r="W1341" s="161"/>
      <c r="X1341" s="161"/>
      <c r="Y1341" s="161"/>
      <c r="Z1341" s="161"/>
      <c r="AA1341" s="161"/>
      <c r="AB1341" s="161"/>
      <c r="AC1341" s="161"/>
      <c r="AD1341" s="161"/>
      <c r="AE1341" s="161"/>
      <c r="AF1341" s="161"/>
      <c r="AG1341" s="161"/>
      <c r="AH1341" s="161"/>
      <c r="AI1341" s="161"/>
      <c r="AJ1341" s="161"/>
      <c r="AK1341" s="161"/>
      <c r="AL1341" s="161"/>
      <c r="AM1341" s="161"/>
      <c r="AN1341" s="161"/>
      <c r="AO1341" s="161"/>
      <c r="AP1341" s="161"/>
      <c r="AQ1341" s="161"/>
      <c r="AR1341" s="161"/>
      <c r="AS1341" s="161"/>
      <c r="AT1341" s="161"/>
      <c r="AU1341" s="161"/>
      <c r="AV1341" s="161"/>
      <c r="AW1341" s="161"/>
      <c r="AX1341" s="161"/>
      <c r="AY1341" s="161"/>
      <c r="AZ1341" s="161"/>
      <c r="BA1341" s="161"/>
      <c r="BB1341" s="161"/>
      <c r="BC1341" s="161"/>
      <c r="BD1341" s="161"/>
      <c r="BE1341" s="161"/>
      <c r="BF1341" s="161"/>
      <c r="BG1341" s="161"/>
      <c r="BH1341" s="161"/>
      <c r="BI1341" s="161"/>
      <c r="BJ1341" s="161"/>
      <c r="BK1341" s="161"/>
      <c r="BL1341" s="161"/>
      <c r="BM1341" s="161"/>
      <c r="BN1341" s="161"/>
      <c r="BO1341" s="161"/>
      <c r="BP1341" s="161"/>
      <c r="BQ1341" s="161"/>
      <c r="BR1341" s="161"/>
      <c r="BS1341" s="161"/>
      <c r="BT1341" s="161"/>
      <c r="BU1341" s="161"/>
      <c r="BV1341" s="161"/>
      <c r="BW1341" s="161"/>
      <c r="BX1341" s="161"/>
      <c r="BY1341" s="161"/>
      <c r="BZ1341" s="161"/>
      <c r="CA1341" s="161"/>
      <c r="CB1341" s="161"/>
      <c r="CC1341" s="161"/>
      <c r="CD1341" s="161"/>
      <c r="CE1341" s="161"/>
      <c r="CF1341" s="161"/>
      <c r="CG1341" s="161"/>
    </row>
    <row r="1342">
      <c r="A1342" s="161"/>
      <c r="B1342" s="161"/>
      <c r="C1342" s="161"/>
      <c r="D1342" s="161"/>
      <c r="E1342" s="161"/>
      <c r="F1342" s="161"/>
      <c r="G1342" s="161"/>
      <c r="H1342" s="161"/>
      <c r="I1342" s="161"/>
      <c r="J1342" s="161"/>
      <c r="K1342" s="161"/>
      <c r="L1342" s="161"/>
      <c r="M1342" s="161"/>
      <c r="N1342" s="161"/>
      <c r="O1342" s="161"/>
      <c r="P1342" s="161"/>
      <c r="Q1342" s="161"/>
      <c r="R1342" s="161"/>
      <c r="S1342" s="161"/>
      <c r="T1342" s="161"/>
      <c r="U1342" s="161"/>
      <c r="V1342" s="161"/>
      <c r="W1342" s="161"/>
      <c r="X1342" s="161"/>
      <c r="Y1342" s="161"/>
      <c r="Z1342" s="161"/>
      <c r="AA1342" s="161"/>
      <c r="AB1342" s="161"/>
      <c r="AC1342" s="161"/>
      <c r="AD1342" s="161"/>
      <c r="AE1342" s="161"/>
      <c r="AF1342" s="161"/>
      <c r="AG1342" s="161"/>
      <c r="AH1342" s="161"/>
      <c r="AI1342" s="161"/>
      <c r="AJ1342" s="161"/>
      <c r="AK1342" s="161"/>
      <c r="AL1342" s="161"/>
      <c r="AM1342" s="161"/>
      <c r="AN1342" s="161"/>
      <c r="AO1342" s="161"/>
      <c r="AP1342" s="161"/>
      <c r="AQ1342" s="161"/>
      <c r="AR1342" s="161"/>
      <c r="AS1342" s="161"/>
      <c r="AT1342" s="161"/>
      <c r="AU1342" s="161"/>
      <c r="AV1342" s="161"/>
      <c r="AW1342" s="161"/>
      <c r="AX1342" s="161"/>
      <c r="AY1342" s="161"/>
      <c r="AZ1342" s="161"/>
      <c r="BA1342" s="161"/>
      <c r="BB1342" s="161"/>
      <c r="BC1342" s="161"/>
      <c r="BD1342" s="161"/>
      <c r="BE1342" s="161"/>
      <c r="BF1342" s="161"/>
      <c r="BG1342" s="161"/>
      <c r="BH1342" s="161"/>
      <c r="BI1342" s="161"/>
      <c r="BJ1342" s="161"/>
      <c r="BK1342" s="161"/>
      <c r="BL1342" s="161"/>
      <c r="BM1342" s="161"/>
      <c r="BN1342" s="161"/>
      <c r="BO1342" s="161"/>
      <c r="BP1342" s="161"/>
      <c r="BQ1342" s="161"/>
      <c r="BR1342" s="161"/>
      <c r="BS1342" s="161"/>
      <c r="BT1342" s="161"/>
      <c r="BU1342" s="161"/>
      <c r="BV1342" s="161"/>
      <c r="BW1342" s="161"/>
      <c r="BX1342" s="161"/>
      <c r="BY1342" s="161"/>
      <c r="BZ1342" s="161"/>
      <c r="CA1342" s="161"/>
      <c r="CB1342" s="161"/>
      <c r="CC1342" s="161"/>
      <c r="CD1342" s="161"/>
      <c r="CE1342" s="161"/>
      <c r="CF1342" s="161"/>
      <c r="CG1342" s="161"/>
    </row>
    <row r="1343">
      <c r="A1343" s="161"/>
      <c r="B1343" s="161"/>
      <c r="C1343" s="161"/>
      <c r="D1343" s="161"/>
      <c r="E1343" s="161"/>
      <c r="F1343" s="161"/>
      <c r="G1343" s="161"/>
      <c r="H1343" s="161"/>
      <c r="I1343" s="161"/>
      <c r="J1343" s="161"/>
      <c r="K1343" s="161"/>
      <c r="L1343" s="161"/>
      <c r="M1343" s="161"/>
      <c r="N1343" s="161"/>
      <c r="O1343" s="161"/>
      <c r="P1343" s="161"/>
      <c r="Q1343" s="161"/>
      <c r="R1343" s="161"/>
      <c r="S1343" s="161"/>
      <c r="T1343" s="161"/>
      <c r="U1343" s="161"/>
      <c r="V1343" s="161"/>
      <c r="W1343" s="161"/>
      <c r="X1343" s="161"/>
      <c r="Y1343" s="161"/>
      <c r="Z1343" s="161"/>
      <c r="AA1343" s="161"/>
      <c r="AB1343" s="161"/>
      <c r="AC1343" s="161"/>
      <c r="AD1343" s="161"/>
      <c r="AE1343" s="161"/>
      <c r="AF1343" s="161"/>
      <c r="AG1343" s="161"/>
      <c r="AH1343" s="161"/>
      <c r="AI1343" s="161"/>
      <c r="AJ1343" s="161"/>
      <c r="AK1343" s="161"/>
      <c r="AL1343" s="161"/>
      <c r="AM1343" s="161"/>
      <c r="AN1343" s="161"/>
      <c r="AO1343" s="161"/>
      <c r="AP1343" s="161"/>
      <c r="AQ1343" s="161"/>
      <c r="AR1343" s="161"/>
      <c r="AS1343" s="161"/>
      <c r="AT1343" s="161"/>
      <c r="AU1343" s="161"/>
      <c r="AV1343" s="161"/>
      <c r="AW1343" s="161"/>
      <c r="AX1343" s="161"/>
      <c r="AY1343" s="161"/>
      <c r="AZ1343" s="161"/>
      <c r="BA1343" s="161"/>
      <c r="BB1343" s="161"/>
      <c r="BC1343" s="161"/>
      <c r="BD1343" s="161"/>
      <c r="BE1343" s="161"/>
      <c r="BF1343" s="161"/>
      <c r="BG1343" s="161"/>
      <c r="BH1343" s="161"/>
      <c r="BI1343" s="161"/>
      <c r="BJ1343" s="161"/>
      <c r="BK1343" s="161"/>
      <c r="BL1343" s="161"/>
      <c r="BM1343" s="161"/>
      <c r="BN1343" s="161"/>
      <c r="BO1343" s="161"/>
      <c r="BP1343" s="161"/>
      <c r="BQ1343" s="161"/>
      <c r="BR1343" s="161"/>
      <c r="BS1343" s="161"/>
      <c r="BT1343" s="161"/>
      <c r="BU1343" s="161"/>
      <c r="BV1343" s="161"/>
      <c r="BW1343" s="161"/>
      <c r="BX1343" s="161"/>
      <c r="BY1343" s="161"/>
      <c r="BZ1343" s="161"/>
      <c r="CA1343" s="161"/>
      <c r="CB1343" s="161"/>
      <c r="CC1343" s="161"/>
      <c r="CD1343" s="161"/>
      <c r="CE1343" s="161"/>
      <c r="CF1343" s="161"/>
      <c r="CG1343" s="161"/>
    </row>
    <row r="1344">
      <c r="A1344" s="161"/>
      <c r="B1344" s="161"/>
      <c r="C1344" s="161"/>
      <c r="D1344" s="161"/>
      <c r="E1344" s="161"/>
      <c r="F1344" s="161"/>
      <c r="G1344" s="161"/>
      <c r="H1344" s="161"/>
      <c r="I1344" s="161"/>
      <c r="J1344" s="161"/>
      <c r="K1344" s="161"/>
      <c r="L1344" s="161"/>
      <c r="M1344" s="161"/>
      <c r="N1344" s="161"/>
      <c r="O1344" s="161"/>
      <c r="P1344" s="161"/>
      <c r="Q1344" s="161"/>
      <c r="R1344" s="161"/>
      <c r="S1344" s="161"/>
      <c r="T1344" s="161"/>
      <c r="U1344" s="161"/>
      <c r="V1344" s="161"/>
      <c r="W1344" s="161"/>
      <c r="X1344" s="161"/>
      <c r="Y1344" s="161"/>
      <c r="Z1344" s="161"/>
      <c r="AA1344" s="161"/>
      <c r="AB1344" s="161"/>
      <c r="AC1344" s="161"/>
      <c r="AD1344" s="161"/>
      <c r="AE1344" s="161"/>
      <c r="AF1344" s="161"/>
      <c r="AG1344" s="161"/>
      <c r="AH1344" s="161"/>
      <c r="AI1344" s="161"/>
      <c r="AJ1344" s="161"/>
      <c r="AK1344" s="161"/>
      <c r="AL1344" s="161"/>
      <c r="AM1344" s="161"/>
      <c r="AN1344" s="161"/>
      <c r="AO1344" s="161"/>
      <c r="AP1344" s="161"/>
      <c r="AQ1344" s="161"/>
      <c r="AR1344" s="161"/>
      <c r="AS1344" s="161"/>
      <c r="AT1344" s="161"/>
      <c r="AU1344" s="161"/>
      <c r="AV1344" s="161"/>
      <c r="AW1344" s="161"/>
      <c r="AX1344" s="161"/>
      <c r="AY1344" s="161"/>
      <c r="AZ1344" s="161"/>
      <c r="BA1344" s="161"/>
      <c r="BB1344" s="161"/>
      <c r="BC1344" s="161"/>
      <c r="BD1344" s="161"/>
      <c r="BE1344" s="161"/>
      <c r="BF1344" s="161"/>
      <c r="BG1344" s="161"/>
      <c r="BH1344" s="161"/>
      <c r="BI1344" s="161"/>
      <c r="BJ1344" s="161"/>
      <c r="BK1344" s="161"/>
      <c r="BL1344" s="161"/>
      <c r="BM1344" s="161"/>
      <c r="BN1344" s="161"/>
      <c r="BO1344" s="161"/>
      <c r="BP1344" s="161"/>
      <c r="BQ1344" s="161"/>
      <c r="BR1344" s="161"/>
      <c r="BS1344" s="161"/>
      <c r="BT1344" s="161"/>
      <c r="BU1344" s="161"/>
      <c r="BV1344" s="161"/>
      <c r="BW1344" s="161"/>
      <c r="BX1344" s="161"/>
      <c r="BY1344" s="161"/>
      <c r="BZ1344" s="161"/>
      <c r="CA1344" s="161"/>
      <c r="CB1344" s="161"/>
      <c r="CC1344" s="161"/>
      <c r="CD1344" s="161"/>
      <c r="CE1344" s="161"/>
      <c r="CF1344" s="161"/>
      <c r="CG1344" s="161"/>
    </row>
    <row r="1345">
      <c r="A1345" s="161"/>
      <c r="B1345" s="161"/>
      <c r="C1345" s="161"/>
      <c r="D1345" s="161"/>
      <c r="E1345" s="161"/>
      <c r="F1345" s="161"/>
      <c r="G1345" s="161"/>
      <c r="H1345" s="161"/>
      <c r="I1345" s="161"/>
      <c r="J1345" s="161"/>
      <c r="K1345" s="161"/>
      <c r="L1345" s="161"/>
      <c r="M1345" s="161"/>
      <c r="N1345" s="161"/>
      <c r="O1345" s="161"/>
      <c r="P1345" s="161"/>
      <c r="Q1345" s="161"/>
      <c r="R1345" s="161"/>
      <c r="S1345" s="161"/>
      <c r="T1345" s="161"/>
      <c r="U1345" s="161"/>
      <c r="V1345" s="161"/>
      <c r="W1345" s="161"/>
      <c r="X1345" s="161"/>
      <c r="Y1345" s="161"/>
      <c r="Z1345" s="161"/>
      <c r="AA1345" s="161"/>
      <c r="AB1345" s="161"/>
      <c r="AC1345" s="161"/>
      <c r="AD1345" s="161"/>
      <c r="AE1345" s="161"/>
      <c r="AF1345" s="161"/>
      <c r="AG1345" s="161"/>
      <c r="AH1345" s="161"/>
      <c r="AI1345" s="161"/>
      <c r="AJ1345" s="161"/>
      <c r="AK1345" s="161"/>
      <c r="AL1345" s="161"/>
      <c r="AM1345" s="161"/>
      <c r="AN1345" s="161"/>
      <c r="AO1345" s="161"/>
      <c r="AP1345" s="161"/>
      <c r="AQ1345" s="161"/>
      <c r="AR1345" s="161"/>
      <c r="AS1345" s="161"/>
      <c r="AT1345" s="161"/>
      <c r="AU1345" s="161"/>
      <c r="AV1345" s="161"/>
      <c r="AW1345" s="161"/>
      <c r="AX1345" s="161"/>
      <c r="AY1345" s="161"/>
      <c r="AZ1345" s="161"/>
      <c r="BA1345" s="161"/>
      <c r="BB1345" s="161"/>
      <c r="BC1345" s="161"/>
      <c r="BD1345" s="161"/>
      <c r="BE1345" s="161"/>
      <c r="BF1345" s="161"/>
      <c r="BG1345" s="161"/>
      <c r="BH1345" s="161"/>
      <c r="BI1345" s="161"/>
      <c r="BJ1345" s="161"/>
      <c r="BK1345" s="161"/>
      <c r="BL1345" s="161"/>
      <c r="BM1345" s="161"/>
      <c r="BN1345" s="161"/>
      <c r="BO1345" s="161"/>
      <c r="BP1345" s="161"/>
      <c r="BQ1345" s="161"/>
      <c r="BR1345" s="161"/>
      <c r="BS1345" s="161"/>
      <c r="BT1345" s="161"/>
      <c r="BU1345" s="161"/>
      <c r="BV1345" s="161"/>
      <c r="BW1345" s="161"/>
      <c r="BX1345" s="161"/>
      <c r="BY1345" s="161"/>
      <c r="BZ1345" s="161"/>
      <c r="CA1345" s="161"/>
      <c r="CB1345" s="161"/>
      <c r="CC1345" s="161"/>
      <c r="CD1345" s="161"/>
      <c r="CE1345" s="161"/>
      <c r="CF1345" s="161"/>
      <c r="CG1345" s="161"/>
    </row>
    <row r="1346">
      <c r="A1346" s="161"/>
      <c r="B1346" s="161"/>
      <c r="C1346" s="161"/>
      <c r="D1346" s="161"/>
      <c r="E1346" s="161"/>
      <c r="F1346" s="161"/>
      <c r="G1346" s="161"/>
      <c r="H1346" s="161"/>
      <c r="I1346" s="161"/>
      <c r="J1346" s="161"/>
      <c r="K1346" s="161"/>
      <c r="L1346" s="161"/>
      <c r="M1346" s="161"/>
      <c r="N1346" s="161"/>
      <c r="O1346" s="161"/>
      <c r="P1346" s="161"/>
      <c r="Q1346" s="161"/>
      <c r="R1346" s="161"/>
      <c r="S1346" s="161"/>
      <c r="T1346" s="161"/>
      <c r="U1346" s="161"/>
      <c r="V1346" s="161"/>
      <c r="W1346" s="161"/>
      <c r="X1346" s="161"/>
      <c r="Y1346" s="161"/>
      <c r="Z1346" s="161"/>
      <c r="AA1346" s="161"/>
      <c r="AB1346" s="161"/>
      <c r="AC1346" s="161"/>
      <c r="AD1346" s="161"/>
      <c r="AE1346" s="161"/>
      <c r="AF1346" s="161"/>
      <c r="AG1346" s="161"/>
      <c r="AH1346" s="161"/>
      <c r="AI1346" s="161"/>
      <c r="AJ1346" s="161"/>
      <c r="AK1346" s="161"/>
      <c r="AL1346" s="161"/>
      <c r="AM1346" s="161"/>
      <c r="AN1346" s="161"/>
      <c r="AO1346" s="161"/>
      <c r="AP1346" s="161"/>
      <c r="AQ1346" s="161"/>
      <c r="AR1346" s="161"/>
      <c r="AS1346" s="161"/>
      <c r="AT1346" s="161"/>
      <c r="AU1346" s="161"/>
      <c r="AV1346" s="161"/>
      <c r="AW1346" s="161"/>
      <c r="AX1346" s="161"/>
      <c r="AY1346" s="161"/>
      <c r="AZ1346" s="161"/>
      <c r="BA1346" s="161"/>
      <c r="BB1346" s="161"/>
      <c r="BC1346" s="161"/>
      <c r="BD1346" s="161"/>
      <c r="BE1346" s="161"/>
      <c r="BF1346" s="161"/>
      <c r="BG1346" s="161"/>
      <c r="BH1346" s="161"/>
      <c r="BI1346" s="161"/>
      <c r="BJ1346" s="161"/>
      <c r="BK1346" s="161"/>
      <c r="BL1346" s="161"/>
      <c r="BM1346" s="161"/>
      <c r="BN1346" s="161"/>
      <c r="BO1346" s="161"/>
      <c r="BP1346" s="161"/>
      <c r="BQ1346" s="161"/>
      <c r="BR1346" s="161"/>
      <c r="BS1346" s="161"/>
      <c r="BT1346" s="161"/>
      <c r="BU1346" s="161"/>
      <c r="BV1346" s="161"/>
      <c r="BW1346" s="161"/>
      <c r="BX1346" s="161"/>
      <c r="BY1346" s="161"/>
      <c r="BZ1346" s="161"/>
      <c r="CA1346" s="161"/>
      <c r="CB1346" s="161"/>
      <c r="CC1346" s="161"/>
      <c r="CD1346" s="161"/>
      <c r="CE1346" s="161"/>
      <c r="CF1346" s="161"/>
      <c r="CG1346" s="161"/>
    </row>
    <row r="1347">
      <c r="A1347" s="161"/>
      <c r="B1347" s="161"/>
      <c r="C1347" s="161"/>
      <c r="D1347" s="161"/>
      <c r="E1347" s="161"/>
      <c r="F1347" s="161"/>
      <c r="G1347" s="161"/>
      <c r="H1347" s="161"/>
      <c r="I1347" s="161"/>
      <c r="J1347" s="161"/>
      <c r="K1347" s="161"/>
      <c r="L1347" s="161"/>
      <c r="M1347" s="161"/>
      <c r="N1347" s="161"/>
      <c r="O1347" s="161"/>
      <c r="P1347" s="161"/>
      <c r="Q1347" s="161"/>
      <c r="R1347" s="161"/>
      <c r="S1347" s="161"/>
      <c r="T1347" s="161"/>
      <c r="U1347" s="161"/>
      <c r="V1347" s="161"/>
      <c r="W1347" s="161"/>
      <c r="X1347" s="161"/>
      <c r="Y1347" s="161"/>
      <c r="Z1347" s="161"/>
      <c r="AA1347" s="161"/>
      <c r="AB1347" s="161"/>
      <c r="AC1347" s="161"/>
      <c r="AD1347" s="161"/>
      <c r="AE1347" s="161"/>
      <c r="AF1347" s="161"/>
      <c r="AG1347" s="161"/>
      <c r="AH1347" s="161"/>
      <c r="AI1347" s="161"/>
      <c r="AJ1347" s="161"/>
      <c r="AK1347" s="161"/>
      <c r="AL1347" s="161"/>
      <c r="AM1347" s="161"/>
      <c r="AN1347" s="161"/>
      <c r="AO1347" s="161"/>
      <c r="AP1347" s="161"/>
      <c r="AQ1347" s="161"/>
      <c r="AR1347" s="161"/>
      <c r="AS1347" s="161"/>
      <c r="AT1347" s="161"/>
      <c r="AU1347" s="161"/>
      <c r="AV1347" s="161"/>
      <c r="AW1347" s="161"/>
      <c r="AX1347" s="161"/>
      <c r="AY1347" s="161"/>
      <c r="AZ1347" s="161"/>
      <c r="BA1347" s="161"/>
      <c r="BB1347" s="161"/>
      <c r="BC1347" s="161"/>
      <c r="BD1347" s="161"/>
      <c r="BE1347" s="161"/>
      <c r="BF1347" s="161"/>
      <c r="BG1347" s="161"/>
      <c r="BH1347" s="161"/>
      <c r="BI1347" s="161"/>
      <c r="BJ1347" s="161"/>
      <c r="BK1347" s="161"/>
      <c r="BL1347" s="161"/>
      <c r="BM1347" s="161"/>
      <c r="BN1347" s="161"/>
      <c r="BO1347" s="161"/>
      <c r="BP1347" s="161"/>
      <c r="BQ1347" s="161"/>
      <c r="BR1347" s="161"/>
      <c r="BS1347" s="161"/>
      <c r="BT1347" s="161"/>
      <c r="BU1347" s="161"/>
      <c r="BV1347" s="161"/>
      <c r="BW1347" s="161"/>
      <c r="BX1347" s="161"/>
      <c r="BY1347" s="161"/>
      <c r="BZ1347" s="161"/>
      <c r="CA1347" s="161"/>
      <c r="CB1347" s="161"/>
      <c r="CC1347" s="161"/>
      <c r="CD1347" s="161"/>
      <c r="CE1347" s="161"/>
      <c r="CF1347" s="161"/>
      <c r="CG1347" s="161"/>
    </row>
    <row r="1348">
      <c r="A1348" s="161"/>
      <c r="B1348" s="161"/>
      <c r="C1348" s="161"/>
      <c r="D1348" s="161"/>
      <c r="E1348" s="161"/>
      <c r="F1348" s="161"/>
      <c r="G1348" s="161"/>
      <c r="H1348" s="161"/>
      <c r="I1348" s="161"/>
      <c r="J1348" s="161"/>
      <c r="K1348" s="161"/>
      <c r="L1348" s="161"/>
      <c r="M1348" s="161"/>
      <c r="N1348" s="161"/>
      <c r="O1348" s="161"/>
      <c r="P1348" s="161"/>
      <c r="Q1348" s="161"/>
      <c r="R1348" s="161"/>
      <c r="S1348" s="161"/>
      <c r="T1348" s="161"/>
      <c r="U1348" s="161"/>
      <c r="V1348" s="161"/>
      <c r="W1348" s="161"/>
      <c r="X1348" s="161"/>
      <c r="Y1348" s="161"/>
      <c r="Z1348" s="161"/>
      <c r="AA1348" s="161"/>
      <c r="AB1348" s="161"/>
      <c r="AC1348" s="161"/>
      <c r="AD1348" s="161"/>
      <c r="AE1348" s="161"/>
      <c r="AF1348" s="161"/>
      <c r="AG1348" s="161"/>
      <c r="AH1348" s="161"/>
      <c r="AI1348" s="161"/>
      <c r="AJ1348" s="161"/>
      <c r="AK1348" s="161"/>
      <c r="AL1348" s="161"/>
      <c r="AM1348" s="161"/>
      <c r="AN1348" s="161"/>
      <c r="AO1348" s="161"/>
      <c r="AP1348" s="161"/>
      <c r="AQ1348" s="161"/>
      <c r="AR1348" s="161"/>
      <c r="AS1348" s="161"/>
      <c r="AT1348" s="161"/>
      <c r="AU1348" s="161"/>
      <c r="AV1348" s="161"/>
      <c r="AW1348" s="161"/>
      <c r="AX1348" s="161"/>
      <c r="AY1348" s="161"/>
      <c r="AZ1348" s="161"/>
      <c r="BA1348" s="161"/>
      <c r="BB1348" s="161"/>
      <c r="BC1348" s="161"/>
      <c r="BD1348" s="161"/>
      <c r="BE1348" s="161"/>
      <c r="BF1348" s="161"/>
      <c r="BG1348" s="161"/>
      <c r="BH1348" s="161"/>
      <c r="BI1348" s="161"/>
      <c r="BJ1348" s="161"/>
      <c r="BK1348" s="161"/>
      <c r="BL1348" s="161"/>
      <c r="BM1348" s="161"/>
      <c r="BN1348" s="161"/>
      <c r="BO1348" s="161"/>
      <c r="BP1348" s="161"/>
      <c r="BQ1348" s="161"/>
      <c r="BR1348" s="161"/>
      <c r="BS1348" s="161"/>
      <c r="BT1348" s="161"/>
      <c r="BU1348" s="161"/>
      <c r="BV1348" s="161"/>
      <c r="BW1348" s="161"/>
      <c r="BX1348" s="161"/>
      <c r="BY1348" s="161"/>
      <c r="BZ1348" s="161"/>
      <c r="CA1348" s="161"/>
      <c r="CB1348" s="161"/>
      <c r="CC1348" s="161"/>
      <c r="CD1348" s="161"/>
      <c r="CE1348" s="161"/>
      <c r="CF1348" s="161"/>
      <c r="CG1348" s="161"/>
    </row>
    <row r="1349">
      <c r="A1349" s="161"/>
      <c r="B1349" s="161"/>
      <c r="C1349" s="161"/>
      <c r="D1349" s="161"/>
      <c r="E1349" s="161"/>
      <c r="F1349" s="161"/>
      <c r="G1349" s="161"/>
      <c r="H1349" s="161"/>
      <c r="I1349" s="161"/>
      <c r="J1349" s="161"/>
      <c r="K1349" s="161"/>
      <c r="L1349" s="161"/>
      <c r="M1349" s="161"/>
      <c r="N1349" s="161"/>
      <c r="O1349" s="161"/>
      <c r="P1349" s="161"/>
      <c r="Q1349" s="161"/>
      <c r="R1349" s="161"/>
      <c r="S1349" s="161"/>
      <c r="T1349" s="161"/>
      <c r="U1349" s="161"/>
      <c r="V1349" s="161"/>
      <c r="W1349" s="161"/>
      <c r="X1349" s="161"/>
      <c r="Y1349" s="161"/>
      <c r="Z1349" s="161"/>
      <c r="AA1349" s="161"/>
      <c r="AB1349" s="161"/>
      <c r="AC1349" s="161"/>
      <c r="AD1349" s="161"/>
      <c r="AE1349" s="161"/>
      <c r="AF1349" s="161"/>
      <c r="AG1349" s="161"/>
      <c r="AH1349" s="161"/>
      <c r="AI1349" s="161"/>
      <c r="AJ1349" s="161"/>
      <c r="AK1349" s="161"/>
      <c r="AL1349" s="161"/>
      <c r="AM1349" s="161"/>
      <c r="AN1349" s="161"/>
      <c r="AO1349" s="161"/>
      <c r="AP1349" s="161"/>
      <c r="AQ1349" s="161"/>
      <c r="AR1349" s="161"/>
      <c r="AS1349" s="161"/>
      <c r="AT1349" s="161"/>
      <c r="AU1349" s="161"/>
      <c r="AV1349" s="161"/>
      <c r="AW1349" s="161"/>
      <c r="AX1349" s="161"/>
      <c r="AY1349" s="161"/>
      <c r="AZ1349" s="161"/>
      <c r="BA1349" s="161"/>
      <c r="BB1349" s="161"/>
      <c r="BC1349" s="161"/>
      <c r="BD1349" s="161"/>
      <c r="BE1349" s="161"/>
      <c r="BF1349" s="161"/>
      <c r="BG1349" s="161"/>
      <c r="BH1349" s="161"/>
      <c r="BI1349" s="161"/>
      <c r="BJ1349" s="161"/>
      <c r="BK1349" s="161"/>
      <c r="BL1349" s="161"/>
      <c r="BM1349" s="161"/>
      <c r="BN1349" s="161"/>
      <c r="BO1349" s="161"/>
      <c r="BP1349" s="161"/>
      <c r="BQ1349" s="161"/>
      <c r="BR1349" s="161"/>
      <c r="BS1349" s="161"/>
      <c r="BT1349" s="161"/>
      <c r="BU1349" s="161"/>
      <c r="BV1349" s="161"/>
      <c r="BW1349" s="161"/>
      <c r="BX1349" s="161"/>
      <c r="BY1349" s="161"/>
      <c r="BZ1349" s="161"/>
      <c r="CA1349" s="161"/>
      <c r="CB1349" s="161"/>
      <c r="CC1349" s="161"/>
      <c r="CD1349" s="161"/>
      <c r="CE1349" s="161"/>
      <c r="CF1349" s="161"/>
      <c r="CG1349" s="161"/>
    </row>
    <row r="1350">
      <c r="A1350" s="161"/>
      <c r="B1350" s="161"/>
      <c r="C1350" s="161"/>
      <c r="D1350" s="161"/>
      <c r="E1350" s="161"/>
      <c r="F1350" s="161"/>
      <c r="G1350" s="161"/>
      <c r="H1350" s="161"/>
      <c r="I1350" s="161"/>
      <c r="J1350" s="161"/>
      <c r="K1350" s="161"/>
      <c r="L1350" s="161"/>
      <c r="M1350" s="161"/>
      <c r="N1350" s="161"/>
      <c r="O1350" s="161"/>
      <c r="P1350" s="161"/>
      <c r="Q1350" s="161"/>
      <c r="R1350" s="161"/>
      <c r="S1350" s="161"/>
      <c r="T1350" s="161"/>
      <c r="U1350" s="161"/>
      <c r="V1350" s="161"/>
      <c r="W1350" s="161"/>
      <c r="X1350" s="161"/>
      <c r="Y1350" s="161"/>
      <c r="Z1350" s="161"/>
      <c r="AA1350" s="161"/>
      <c r="AB1350" s="161"/>
      <c r="AC1350" s="161"/>
      <c r="AD1350" s="161"/>
      <c r="AE1350" s="161"/>
      <c r="AF1350" s="161"/>
      <c r="AG1350" s="161"/>
      <c r="AH1350" s="161"/>
      <c r="AI1350" s="161"/>
      <c r="AJ1350" s="161"/>
      <c r="AK1350" s="161"/>
      <c r="AL1350" s="161"/>
      <c r="AM1350" s="161"/>
      <c r="AN1350" s="161"/>
      <c r="AO1350" s="161"/>
      <c r="AP1350" s="161"/>
      <c r="AQ1350" s="161"/>
      <c r="AR1350" s="161"/>
      <c r="AS1350" s="161"/>
      <c r="AT1350" s="161"/>
      <c r="AU1350" s="161"/>
      <c r="AV1350" s="161"/>
      <c r="AW1350" s="161"/>
      <c r="AX1350" s="161"/>
      <c r="AY1350" s="161"/>
      <c r="AZ1350" s="161"/>
      <c r="BA1350" s="161"/>
      <c r="BB1350" s="161"/>
      <c r="BC1350" s="161"/>
      <c r="BD1350" s="161"/>
      <c r="BE1350" s="161"/>
      <c r="BF1350" s="161"/>
      <c r="BG1350" s="161"/>
      <c r="BH1350" s="161"/>
      <c r="BI1350" s="161"/>
      <c r="BJ1350" s="161"/>
      <c r="BK1350" s="161"/>
      <c r="BL1350" s="161"/>
      <c r="BM1350" s="161"/>
      <c r="BN1350" s="161"/>
      <c r="BO1350" s="161"/>
      <c r="BP1350" s="161"/>
      <c r="BQ1350" s="161"/>
      <c r="BR1350" s="161"/>
      <c r="BS1350" s="161"/>
      <c r="BT1350" s="161"/>
      <c r="BU1350" s="161"/>
      <c r="BV1350" s="161"/>
      <c r="BW1350" s="161"/>
      <c r="BX1350" s="161"/>
      <c r="BY1350" s="161"/>
      <c r="BZ1350" s="161"/>
      <c r="CA1350" s="161"/>
      <c r="CB1350" s="161"/>
      <c r="CC1350" s="161"/>
      <c r="CD1350" s="161"/>
      <c r="CE1350" s="161"/>
      <c r="CF1350" s="161"/>
      <c r="CG1350" s="161"/>
    </row>
    <row r="1351">
      <c r="A1351" s="161"/>
      <c r="B1351" s="161"/>
      <c r="C1351" s="161"/>
      <c r="D1351" s="161"/>
      <c r="E1351" s="161"/>
      <c r="F1351" s="161"/>
      <c r="G1351" s="161"/>
      <c r="H1351" s="161"/>
      <c r="I1351" s="161"/>
      <c r="J1351" s="161"/>
      <c r="K1351" s="161"/>
      <c r="L1351" s="161"/>
      <c r="M1351" s="161"/>
      <c r="N1351" s="161"/>
      <c r="O1351" s="161"/>
      <c r="P1351" s="161"/>
      <c r="Q1351" s="161"/>
      <c r="R1351" s="161"/>
      <c r="S1351" s="161"/>
      <c r="T1351" s="161"/>
      <c r="U1351" s="161"/>
      <c r="V1351" s="161"/>
      <c r="W1351" s="161"/>
      <c r="X1351" s="161"/>
      <c r="Y1351" s="161"/>
      <c r="Z1351" s="161"/>
      <c r="AA1351" s="161"/>
      <c r="AB1351" s="161"/>
      <c r="AC1351" s="161"/>
      <c r="AD1351" s="161"/>
      <c r="AE1351" s="161"/>
      <c r="AF1351" s="161"/>
      <c r="AG1351" s="161"/>
      <c r="AH1351" s="161"/>
      <c r="AI1351" s="161"/>
      <c r="AJ1351" s="161"/>
      <c r="AK1351" s="161"/>
      <c r="AL1351" s="161"/>
      <c r="AM1351" s="161"/>
      <c r="AN1351" s="161"/>
      <c r="AO1351" s="161"/>
      <c r="AP1351" s="161"/>
      <c r="AQ1351" s="161"/>
      <c r="AR1351" s="161"/>
      <c r="AS1351" s="161"/>
      <c r="AT1351" s="161"/>
      <c r="AU1351" s="161"/>
      <c r="AV1351" s="161"/>
      <c r="AW1351" s="161"/>
      <c r="AX1351" s="161"/>
      <c r="AY1351" s="161"/>
      <c r="AZ1351" s="161"/>
      <c r="BA1351" s="161"/>
      <c r="BB1351" s="161"/>
      <c r="BC1351" s="161"/>
      <c r="BD1351" s="161"/>
      <c r="BE1351" s="161"/>
      <c r="BF1351" s="161"/>
      <c r="BG1351" s="161"/>
      <c r="BH1351" s="161"/>
      <c r="BI1351" s="161"/>
      <c r="BJ1351" s="161"/>
      <c r="BK1351" s="161"/>
      <c r="BL1351" s="161"/>
      <c r="BM1351" s="161"/>
      <c r="BN1351" s="161"/>
      <c r="BO1351" s="161"/>
      <c r="BP1351" s="161"/>
      <c r="BQ1351" s="161"/>
      <c r="BR1351" s="161"/>
      <c r="BS1351" s="161"/>
      <c r="BT1351" s="161"/>
      <c r="BU1351" s="161"/>
      <c r="BV1351" s="161"/>
      <c r="BW1351" s="161"/>
      <c r="BX1351" s="161"/>
      <c r="BY1351" s="161"/>
      <c r="BZ1351" s="161"/>
      <c r="CA1351" s="161"/>
      <c r="CB1351" s="161"/>
      <c r="CC1351" s="161"/>
      <c r="CD1351" s="161"/>
      <c r="CE1351" s="161"/>
      <c r="CF1351" s="161"/>
      <c r="CG1351" s="161"/>
    </row>
    <row r="1352">
      <c r="A1352" s="161"/>
      <c r="B1352" s="161"/>
      <c r="C1352" s="161"/>
      <c r="D1352" s="161"/>
      <c r="E1352" s="161"/>
      <c r="F1352" s="161"/>
      <c r="G1352" s="161"/>
      <c r="H1352" s="161"/>
      <c r="I1352" s="161"/>
      <c r="J1352" s="161"/>
      <c r="K1352" s="161"/>
      <c r="L1352" s="161"/>
      <c r="M1352" s="161"/>
      <c r="N1352" s="161"/>
      <c r="O1352" s="161"/>
      <c r="P1352" s="161"/>
      <c r="Q1352" s="161"/>
      <c r="R1352" s="161"/>
      <c r="S1352" s="161"/>
      <c r="T1352" s="161"/>
      <c r="U1352" s="161"/>
      <c r="V1352" s="161"/>
      <c r="W1352" s="161"/>
      <c r="X1352" s="161"/>
      <c r="Y1352" s="161"/>
      <c r="Z1352" s="161"/>
      <c r="AA1352" s="161"/>
      <c r="AB1352" s="161"/>
      <c r="AC1352" s="161"/>
      <c r="AD1352" s="161"/>
      <c r="AE1352" s="161"/>
      <c r="AF1352" s="161"/>
      <c r="AG1352" s="161"/>
      <c r="AH1352" s="161"/>
      <c r="AI1352" s="161"/>
      <c r="AJ1352" s="161"/>
      <c r="AK1352" s="161"/>
      <c r="AL1352" s="161"/>
      <c r="AM1352" s="161"/>
      <c r="AN1352" s="161"/>
      <c r="AO1352" s="161"/>
      <c r="AP1352" s="161"/>
      <c r="AQ1352" s="161"/>
      <c r="AR1352" s="161"/>
      <c r="AS1352" s="161"/>
      <c r="AT1352" s="161"/>
      <c r="AU1352" s="161"/>
      <c r="AV1352" s="161"/>
      <c r="AW1352" s="161"/>
      <c r="AX1352" s="161"/>
      <c r="AY1352" s="161"/>
      <c r="AZ1352" s="161"/>
      <c r="BA1352" s="161"/>
      <c r="BB1352" s="161"/>
      <c r="BC1352" s="161"/>
      <c r="BD1352" s="161"/>
      <c r="BE1352" s="161"/>
      <c r="BF1352" s="161"/>
      <c r="BG1352" s="161"/>
      <c r="BH1352" s="161"/>
      <c r="BI1352" s="161"/>
      <c r="BJ1352" s="161"/>
      <c r="BK1352" s="161"/>
      <c r="BL1352" s="161"/>
      <c r="BM1352" s="161"/>
      <c r="BN1352" s="161"/>
      <c r="BO1352" s="161"/>
      <c r="BP1352" s="161"/>
      <c r="BQ1352" s="161"/>
      <c r="BR1352" s="161"/>
      <c r="BS1352" s="161"/>
      <c r="BT1352" s="161"/>
      <c r="BU1352" s="161"/>
      <c r="BV1352" s="161"/>
      <c r="BW1352" s="161"/>
      <c r="BX1352" s="161"/>
      <c r="BY1352" s="161"/>
      <c r="BZ1352" s="161"/>
      <c r="CA1352" s="161"/>
      <c r="CB1352" s="161"/>
      <c r="CC1352" s="161"/>
      <c r="CD1352" s="161"/>
      <c r="CE1352" s="161"/>
      <c r="CF1352" s="161"/>
      <c r="CG1352" s="161"/>
    </row>
    <row r="1353">
      <c r="A1353" s="161"/>
      <c r="B1353" s="161"/>
      <c r="C1353" s="161"/>
      <c r="D1353" s="161"/>
      <c r="E1353" s="161"/>
      <c r="F1353" s="161"/>
      <c r="G1353" s="161"/>
      <c r="H1353" s="161"/>
      <c r="I1353" s="161"/>
      <c r="J1353" s="161"/>
      <c r="K1353" s="161"/>
      <c r="L1353" s="161"/>
      <c r="M1353" s="161"/>
      <c r="N1353" s="161"/>
      <c r="O1353" s="161"/>
      <c r="P1353" s="161"/>
      <c r="Q1353" s="161"/>
      <c r="R1353" s="161"/>
      <c r="S1353" s="161"/>
      <c r="T1353" s="161"/>
      <c r="U1353" s="161"/>
      <c r="V1353" s="161"/>
      <c r="W1353" s="161"/>
      <c r="X1353" s="161"/>
      <c r="Y1353" s="161"/>
      <c r="Z1353" s="161"/>
      <c r="AA1353" s="161"/>
      <c r="AB1353" s="161"/>
      <c r="AC1353" s="161"/>
      <c r="AD1353" s="161"/>
      <c r="AE1353" s="161"/>
      <c r="AF1353" s="161"/>
      <c r="AG1353" s="161"/>
      <c r="AH1353" s="161"/>
      <c r="AI1353" s="161"/>
      <c r="AJ1353" s="161"/>
      <c r="AK1353" s="161"/>
      <c r="AL1353" s="161"/>
      <c r="AM1353" s="161"/>
      <c r="AN1353" s="161"/>
      <c r="AO1353" s="161"/>
      <c r="AP1353" s="161"/>
      <c r="AQ1353" s="161"/>
      <c r="AR1353" s="161"/>
      <c r="AS1353" s="161"/>
      <c r="AT1353" s="161"/>
      <c r="AU1353" s="161"/>
      <c r="AV1353" s="161"/>
      <c r="AW1353" s="161"/>
      <c r="AX1353" s="161"/>
      <c r="AY1353" s="161"/>
      <c r="AZ1353" s="161"/>
      <c r="BA1353" s="161"/>
      <c r="BB1353" s="161"/>
      <c r="BC1353" s="161"/>
      <c r="BD1353" s="161"/>
      <c r="BE1353" s="161"/>
      <c r="BF1353" s="161"/>
      <c r="BG1353" s="161"/>
      <c r="BH1353" s="161"/>
      <c r="BI1353" s="161"/>
      <c r="BJ1353" s="161"/>
      <c r="BK1353" s="161"/>
      <c r="BL1353" s="161"/>
      <c r="BM1353" s="161"/>
      <c r="BN1353" s="161"/>
      <c r="BO1353" s="161"/>
      <c r="BP1353" s="161"/>
      <c r="BQ1353" s="161"/>
      <c r="BR1353" s="161"/>
      <c r="BS1353" s="161"/>
      <c r="BT1353" s="161"/>
      <c r="BU1353" s="161"/>
      <c r="BV1353" s="161"/>
      <c r="BW1353" s="161"/>
      <c r="BX1353" s="161"/>
      <c r="BY1353" s="161"/>
      <c r="BZ1353" s="161"/>
      <c r="CA1353" s="161"/>
      <c r="CB1353" s="161"/>
      <c r="CC1353" s="161"/>
      <c r="CD1353" s="161"/>
      <c r="CE1353" s="161"/>
      <c r="CF1353" s="161"/>
      <c r="CG1353" s="161"/>
    </row>
    <row r="1354">
      <c r="A1354" s="161"/>
      <c r="B1354" s="161"/>
      <c r="C1354" s="161"/>
      <c r="D1354" s="161"/>
      <c r="E1354" s="161"/>
      <c r="F1354" s="161"/>
      <c r="G1354" s="161"/>
      <c r="H1354" s="161"/>
      <c r="I1354" s="161"/>
      <c r="J1354" s="161"/>
      <c r="K1354" s="161"/>
      <c r="L1354" s="161"/>
      <c r="M1354" s="161"/>
      <c r="N1354" s="161"/>
      <c r="O1354" s="161"/>
      <c r="P1354" s="161"/>
      <c r="Q1354" s="161"/>
      <c r="R1354" s="161"/>
      <c r="S1354" s="161"/>
      <c r="T1354" s="161"/>
      <c r="U1354" s="161"/>
      <c r="V1354" s="161"/>
      <c r="W1354" s="161"/>
      <c r="X1354" s="161"/>
      <c r="Y1354" s="161"/>
      <c r="Z1354" s="161"/>
      <c r="AA1354" s="161"/>
      <c r="AB1354" s="161"/>
      <c r="AC1354" s="161"/>
      <c r="AD1354" s="161"/>
      <c r="AE1354" s="161"/>
      <c r="AF1354" s="161"/>
      <c r="AG1354" s="161"/>
      <c r="AH1354" s="161"/>
      <c r="AI1354" s="161"/>
      <c r="AJ1354" s="161"/>
      <c r="AK1354" s="161"/>
      <c r="AL1354" s="161"/>
      <c r="AM1354" s="161"/>
      <c r="AN1354" s="161"/>
      <c r="AO1354" s="161"/>
      <c r="AP1354" s="161"/>
      <c r="AQ1354" s="161"/>
      <c r="AR1354" s="161"/>
      <c r="AS1354" s="161"/>
      <c r="AT1354" s="161"/>
      <c r="AU1354" s="161"/>
      <c r="AV1354" s="161"/>
      <c r="AW1354" s="161"/>
      <c r="AX1354" s="161"/>
      <c r="AY1354" s="161"/>
      <c r="AZ1354" s="161"/>
      <c r="BA1354" s="161"/>
      <c r="BB1354" s="161"/>
      <c r="BC1354" s="161"/>
      <c r="BD1354" s="161"/>
      <c r="BE1354" s="161"/>
      <c r="BF1354" s="161"/>
      <c r="BG1354" s="161"/>
      <c r="BH1354" s="161"/>
      <c r="BI1354" s="161"/>
      <c r="BJ1354" s="161"/>
      <c r="BK1354" s="161"/>
      <c r="BL1354" s="161"/>
      <c r="BM1354" s="161"/>
      <c r="BN1354" s="161"/>
      <c r="BO1354" s="161"/>
      <c r="BP1354" s="161"/>
      <c r="BQ1354" s="161"/>
      <c r="BR1354" s="161"/>
      <c r="BS1354" s="161"/>
      <c r="BT1354" s="161"/>
      <c r="BU1354" s="161"/>
      <c r="BV1354" s="161"/>
      <c r="BW1354" s="161"/>
      <c r="BX1354" s="161"/>
      <c r="BY1354" s="161"/>
      <c r="BZ1354" s="161"/>
      <c r="CA1354" s="161"/>
      <c r="CB1354" s="161"/>
      <c r="CC1354" s="161"/>
      <c r="CD1354" s="161"/>
      <c r="CE1354" s="161"/>
      <c r="CF1354" s="161"/>
      <c r="CG1354" s="161"/>
    </row>
    <row r="1355">
      <c r="A1355" s="161"/>
      <c r="B1355" s="161"/>
      <c r="C1355" s="161"/>
      <c r="D1355" s="161"/>
      <c r="E1355" s="161"/>
      <c r="F1355" s="161"/>
      <c r="G1355" s="161"/>
      <c r="H1355" s="161"/>
      <c r="I1355" s="161"/>
      <c r="J1355" s="161"/>
      <c r="K1355" s="161"/>
      <c r="L1355" s="161"/>
      <c r="M1355" s="161"/>
      <c r="N1355" s="161"/>
      <c r="O1355" s="161"/>
      <c r="P1355" s="161"/>
      <c r="Q1355" s="161"/>
      <c r="R1355" s="161"/>
      <c r="S1355" s="161"/>
      <c r="T1355" s="161"/>
      <c r="U1355" s="161"/>
      <c r="V1355" s="161"/>
      <c r="W1355" s="161"/>
      <c r="X1355" s="161"/>
      <c r="Y1355" s="161"/>
      <c r="Z1355" s="161"/>
      <c r="AA1355" s="161"/>
      <c r="AB1355" s="161"/>
      <c r="AC1355" s="161"/>
      <c r="AD1355" s="161"/>
      <c r="AE1355" s="161"/>
      <c r="AF1355" s="161"/>
      <c r="AG1355" s="161"/>
      <c r="AH1355" s="161"/>
      <c r="AI1355" s="161"/>
      <c r="AJ1355" s="161"/>
      <c r="AK1355" s="161"/>
      <c r="AL1355" s="161"/>
      <c r="AM1355" s="161"/>
      <c r="AN1355" s="161"/>
      <c r="AO1355" s="161"/>
      <c r="AP1355" s="161"/>
      <c r="AQ1355" s="161"/>
      <c r="AR1355" s="161"/>
      <c r="AS1355" s="161"/>
      <c r="AT1355" s="161"/>
      <c r="AU1355" s="161"/>
      <c r="AV1355" s="161"/>
      <c r="AW1355" s="161"/>
      <c r="AX1355" s="161"/>
      <c r="AY1355" s="161"/>
      <c r="AZ1355" s="161"/>
      <c r="BA1355" s="161"/>
      <c r="BB1355" s="161"/>
      <c r="BC1355" s="161"/>
      <c r="BD1355" s="161"/>
      <c r="BE1355" s="161"/>
      <c r="BF1355" s="161"/>
      <c r="BG1355" s="161"/>
      <c r="BH1355" s="161"/>
      <c r="BI1355" s="161"/>
      <c r="BJ1355" s="161"/>
      <c r="BK1355" s="161"/>
      <c r="BL1355" s="161"/>
      <c r="BM1355" s="161"/>
      <c r="BN1355" s="161"/>
      <c r="BO1355" s="161"/>
      <c r="BP1355" s="161"/>
      <c r="BQ1355" s="161"/>
      <c r="BR1355" s="161"/>
      <c r="BS1355" s="161"/>
      <c r="BT1355" s="161"/>
      <c r="BU1355" s="161"/>
      <c r="BV1355" s="161"/>
      <c r="BW1355" s="161"/>
      <c r="BX1355" s="161"/>
      <c r="BY1355" s="161"/>
      <c r="BZ1355" s="161"/>
      <c r="CA1355" s="161"/>
      <c r="CB1355" s="161"/>
      <c r="CC1355" s="161"/>
      <c r="CD1355" s="161"/>
      <c r="CE1355" s="161"/>
      <c r="CF1355" s="161"/>
      <c r="CG1355" s="161"/>
    </row>
    <row r="1356">
      <c r="A1356" s="161"/>
      <c r="B1356" s="161"/>
      <c r="C1356" s="161"/>
      <c r="D1356" s="161"/>
      <c r="E1356" s="161"/>
      <c r="F1356" s="161"/>
      <c r="G1356" s="161"/>
      <c r="H1356" s="161"/>
      <c r="I1356" s="161"/>
      <c r="J1356" s="161"/>
      <c r="K1356" s="161"/>
      <c r="L1356" s="161"/>
      <c r="M1356" s="161"/>
      <c r="N1356" s="161"/>
      <c r="O1356" s="161"/>
      <c r="P1356" s="161"/>
      <c r="Q1356" s="161"/>
      <c r="R1356" s="161"/>
      <c r="S1356" s="161"/>
      <c r="T1356" s="161"/>
      <c r="U1356" s="161"/>
      <c r="V1356" s="161"/>
      <c r="W1356" s="161"/>
      <c r="X1356" s="161"/>
      <c r="Y1356" s="161"/>
      <c r="Z1356" s="161"/>
      <c r="AA1356" s="161"/>
      <c r="AB1356" s="161"/>
      <c r="AC1356" s="161"/>
      <c r="AD1356" s="161"/>
      <c r="AE1356" s="161"/>
      <c r="AF1356" s="161"/>
      <c r="AG1356" s="161"/>
      <c r="AH1356" s="161"/>
      <c r="AI1356" s="161"/>
      <c r="AJ1356" s="161"/>
      <c r="AK1356" s="161"/>
      <c r="AL1356" s="161"/>
      <c r="AM1356" s="161"/>
      <c r="AN1356" s="161"/>
      <c r="AO1356" s="161"/>
      <c r="AP1356" s="161"/>
      <c r="AQ1356" s="161"/>
      <c r="AR1356" s="161"/>
      <c r="AS1356" s="161"/>
      <c r="AT1356" s="161"/>
      <c r="AU1356" s="161"/>
      <c r="AV1356" s="161"/>
      <c r="AW1356" s="161"/>
      <c r="AX1356" s="161"/>
      <c r="AY1356" s="161"/>
      <c r="AZ1356" s="161"/>
      <c r="BA1356" s="161"/>
      <c r="BB1356" s="161"/>
      <c r="BC1356" s="161"/>
      <c r="BD1356" s="161"/>
      <c r="BE1356" s="161"/>
      <c r="BF1356" s="161"/>
      <c r="BG1356" s="161"/>
      <c r="BH1356" s="161"/>
      <c r="BI1356" s="161"/>
      <c r="BJ1356" s="161"/>
      <c r="BK1356" s="161"/>
      <c r="BL1356" s="161"/>
      <c r="BM1356" s="161"/>
      <c r="BN1356" s="161"/>
      <c r="BO1356" s="161"/>
      <c r="BP1356" s="161"/>
      <c r="BQ1356" s="161"/>
      <c r="BR1356" s="161"/>
      <c r="BS1356" s="161"/>
      <c r="BT1356" s="161"/>
      <c r="BU1356" s="161"/>
      <c r="BV1356" s="161"/>
      <c r="BW1356" s="161"/>
      <c r="BX1356" s="161"/>
      <c r="BY1356" s="161"/>
      <c r="BZ1356" s="161"/>
      <c r="CA1356" s="161"/>
      <c r="CB1356" s="161"/>
      <c r="CC1356" s="161"/>
      <c r="CD1356" s="161"/>
      <c r="CE1356" s="161"/>
      <c r="CF1356" s="161"/>
      <c r="CG1356" s="161"/>
    </row>
    <row r="1357">
      <c r="A1357" s="161"/>
      <c r="B1357" s="161"/>
      <c r="C1357" s="161"/>
      <c r="D1357" s="161"/>
      <c r="E1357" s="161"/>
      <c r="F1357" s="161"/>
      <c r="G1357" s="161"/>
      <c r="H1357" s="161"/>
      <c r="I1357" s="161"/>
      <c r="J1357" s="161"/>
      <c r="K1357" s="161"/>
      <c r="L1357" s="161"/>
      <c r="M1357" s="161"/>
      <c r="N1357" s="161"/>
      <c r="O1357" s="161"/>
      <c r="P1357" s="161"/>
      <c r="Q1357" s="161"/>
      <c r="R1357" s="161"/>
      <c r="S1357" s="161"/>
      <c r="T1357" s="161"/>
      <c r="U1357" s="161"/>
      <c r="V1357" s="161"/>
      <c r="W1357" s="161"/>
      <c r="X1357" s="161"/>
      <c r="Y1357" s="161"/>
      <c r="Z1357" s="161"/>
      <c r="AA1357" s="161"/>
      <c r="AB1357" s="161"/>
      <c r="AC1357" s="161"/>
      <c r="AD1357" s="161"/>
      <c r="AE1357" s="161"/>
      <c r="AF1357" s="161"/>
      <c r="AG1357" s="161"/>
      <c r="AH1357" s="161"/>
      <c r="AI1357" s="161"/>
      <c r="AJ1357" s="161"/>
      <c r="AK1357" s="161"/>
      <c r="AL1357" s="161"/>
      <c r="AM1357" s="161"/>
      <c r="AN1357" s="161"/>
      <c r="AO1357" s="161"/>
      <c r="AP1357" s="161"/>
      <c r="AQ1357" s="161"/>
      <c r="AR1357" s="161"/>
      <c r="AS1357" s="161"/>
      <c r="AT1357" s="161"/>
      <c r="AU1357" s="161"/>
      <c r="AV1357" s="161"/>
      <c r="AW1357" s="161"/>
      <c r="AX1357" s="161"/>
      <c r="AY1357" s="161"/>
      <c r="AZ1357" s="161"/>
      <c r="BA1357" s="161"/>
      <c r="BB1357" s="161"/>
      <c r="BC1357" s="161"/>
      <c r="BD1357" s="161"/>
      <c r="BE1357" s="161"/>
      <c r="BF1357" s="161"/>
      <c r="BG1357" s="161"/>
      <c r="BH1357" s="161"/>
      <c r="BI1357" s="161"/>
      <c r="BJ1357" s="161"/>
      <c r="BK1357" s="161"/>
      <c r="BL1357" s="161"/>
      <c r="BM1357" s="161"/>
      <c r="BN1357" s="161"/>
      <c r="BO1357" s="161"/>
      <c r="BP1357" s="161"/>
      <c r="BQ1357" s="161"/>
      <c r="BR1357" s="161"/>
      <c r="BS1357" s="161"/>
      <c r="BT1357" s="161"/>
      <c r="BU1357" s="161"/>
      <c r="BV1357" s="161"/>
      <c r="BW1357" s="161"/>
      <c r="BX1357" s="161"/>
      <c r="BY1357" s="161"/>
      <c r="BZ1357" s="161"/>
      <c r="CA1357" s="161"/>
      <c r="CB1357" s="161"/>
      <c r="CC1357" s="161"/>
      <c r="CD1357" s="161"/>
      <c r="CE1357" s="161"/>
      <c r="CF1357" s="161"/>
      <c r="CG1357" s="161"/>
    </row>
    <row r="1358">
      <c r="A1358" s="161"/>
      <c r="B1358" s="161"/>
      <c r="C1358" s="161"/>
      <c r="D1358" s="161"/>
      <c r="E1358" s="161"/>
      <c r="F1358" s="161"/>
      <c r="G1358" s="161"/>
      <c r="H1358" s="161"/>
      <c r="I1358" s="161"/>
      <c r="J1358" s="161"/>
      <c r="K1358" s="161"/>
      <c r="L1358" s="161"/>
      <c r="M1358" s="161"/>
      <c r="N1358" s="161"/>
      <c r="O1358" s="161"/>
      <c r="P1358" s="161"/>
      <c r="Q1358" s="161"/>
      <c r="R1358" s="161"/>
      <c r="S1358" s="161"/>
      <c r="T1358" s="161"/>
      <c r="U1358" s="161"/>
      <c r="V1358" s="161"/>
      <c r="W1358" s="161"/>
      <c r="X1358" s="161"/>
      <c r="Y1358" s="161"/>
      <c r="Z1358" s="161"/>
      <c r="AA1358" s="161"/>
      <c r="AB1358" s="161"/>
      <c r="AC1358" s="161"/>
      <c r="AD1358" s="161"/>
      <c r="AE1358" s="161"/>
      <c r="AF1358" s="161"/>
      <c r="AG1358" s="161"/>
      <c r="AH1358" s="161"/>
      <c r="AI1358" s="161"/>
      <c r="AJ1358" s="161"/>
      <c r="AK1358" s="161"/>
      <c r="AL1358" s="161"/>
      <c r="AM1358" s="161"/>
      <c r="AN1358" s="161"/>
      <c r="AO1358" s="161"/>
      <c r="AP1358" s="161"/>
      <c r="AQ1358" s="161"/>
      <c r="AR1358" s="161"/>
      <c r="AS1358" s="161"/>
      <c r="AT1358" s="161"/>
      <c r="AU1358" s="161"/>
      <c r="AV1358" s="161"/>
      <c r="AW1358" s="161"/>
      <c r="AX1358" s="161"/>
      <c r="AY1358" s="161"/>
      <c r="AZ1358" s="161"/>
      <c r="BA1358" s="161"/>
      <c r="BB1358" s="161"/>
      <c r="BC1358" s="161"/>
      <c r="BD1358" s="161"/>
      <c r="BE1358" s="161"/>
      <c r="BF1358" s="161"/>
      <c r="BG1358" s="161"/>
      <c r="BH1358" s="161"/>
      <c r="BI1358" s="161"/>
      <c r="BJ1358" s="161"/>
      <c r="BK1358" s="161"/>
      <c r="BL1358" s="161"/>
      <c r="BM1358" s="161"/>
      <c r="BN1358" s="161"/>
      <c r="BO1358" s="161"/>
      <c r="BP1358" s="161"/>
      <c r="BQ1358" s="161"/>
      <c r="BR1358" s="161"/>
      <c r="BS1358" s="161"/>
      <c r="BT1358" s="161"/>
      <c r="BU1358" s="161"/>
      <c r="BV1358" s="161"/>
      <c r="BW1358" s="161"/>
      <c r="BX1358" s="161"/>
      <c r="BY1358" s="161"/>
      <c r="BZ1358" s="161"/>
      <c r="CA1358" s="161"/>
      <c r="CB1358" s="161"/>
      <c r="CC1358" s="161"/>
      <c r="CD1358" s="161"/>
      <c r="CE1358" s="161"/>
      <c r="CF1358" s="161"/>
      <c r="CG1358" s="161"/>
    </row>
    <row r="1359">
      <c r="A1359" s="161"/>
      <c r="B1359" s="161"/>
      <c r="C1359" s="161"/>
      <c r="D1359" s="161"/>
      <c r="E1359" s="161"/>
      <c r="F1359" s="161"/>
      <c r="G1359" s="161"/>
      <c r="H1359" s="161"/>
      <c r="I1359" s="161"/>
      <c r="J1359" s="161"/>
      <c r="K1359" s="161"/>
      <c r="L1359" s="161"/>
      <c r="M1359" s="161"/>
      <c r="N1359" s="161"/>
      <c r="O1359" s="161"/>
      <c r="P1359" s="161"/>
      <c r="Q1359" s="161"/>
      <c r="R1359" s="161"/>
      <c r="S1359" s="161"/>
      <c r="T1359" s="161"/>
      <c r="U1359" s="161"/>
      <c r="V1359" s="161"/>
      <c r="W1359" s="161"/>
      <c r="X1359" s="161"/>
      <c r="Y1359" s="161"/>
      <c r="Z1359" s="161"/>
      <c r="AA1359" s="161"/>
      <c r="AB1359" s="161"/>
      <c r="AC1359" s="161"/>
      <c r="AD1359" s="161"/>
      <c r="AE1359" s="161"/>
      <c r="AF1359" s="161"/>
      <c r="AG1359" s="161"/>
      <c r="AH1359" s="161"/>
      <c r="AI1359" s="161"/>
      <c r="AJ1359" s="161"/>
      <c r="AK1359" s="161"/>
      <c r="AL1359" s="161"/>
      <c r="AM1359" s="161"/>
      <c r="AN1359" s="161"/>
      <c r="AO1359" s="161"/>
      <c r="AP1359" s="161"/>
      <c r="AQ1359" s="161"/>
      <c r="AR1359" s="161"/>
      <c r="AS1359" s="161"/>
      <c r="AT1359" s="161"/>
      <c r="AU1359" s="161"/>
      <c r="AV1359" s="161"/>
      <c r="AW1359" s="161"/>
      <c r="AX1359" s="161"/>
      <c r="AY1359" s="161"/>
      <c r="AZ1359" s="161"/>
      <c r="BA1359" s="161"/>
      <c r="BB1359" s="161"/>
      <c r="BC1359" s="161"/>
      <c r="BD1359" s="161"/>
      <c r="BE1359" s="161"/>
      <c r="BF1359" s="161"/>
      <c r="BG1359" s="161"/>
      <c r="BH1359" s="161"/>
      <c r="BI1359" s="161"/>
      <c r="BJ1359" s="161"/>
      <c r="BK1359" s="161"/>
      <c r="BL1359" s="161"/>
      <c r="BM1359" s="161"/>
      <c r="BN1359" s="161"/>
      <c r="BO1359" s="161"/>
      <c r="BP1359" s="161"/>
      <c r="BQ1359" s="161"/>
      <c r="BR1359" s="161"/>
      <c r="BS1359" s="161"/>
      <c r="BT1359" s="161"/>
      <c r="BU1359" s="161"/>
      <c r="BV1359" s="161"/>
      <c r="BW1359" s="161"/>
      <c r="BX1359" s="161"/>
      <c r="BY1359" s="161"/>
      <c r="BZ1359" s="161"/>
      <c r="CA1359" s="161"/>
      <c r="CB1359" s="161"/>
      <c r="CC1359" s="161"/>
      <c r="CD1359" s="161"/>
      <c r="CE1359" s="161"/>
      <c r="CF1359" s="161"/>
      <c r="CG1359" s="161"/>
    </row>
    <row r="1360">
      <c r="A1360" s="161"/>
      <c r="B1360" s="161"/>
      <c r="C1360" s="161"/>
      <c r="D1360" s="161"/>
      <c r="E1360" s="161"/>
      <c r="F1360" s="161"/>
      <c r="G1360" s="161"/>
      <c r="H1360" s="161"/>
      <c r="I1360" s="161"/>
      <c r="J1360" s="161"/>
      <c r="K1360" s="161"/>
      <c r="L1360" s="161"/>
      <c r="M1360" s="161"/>
      <c r="N1360" s="161"/>
      <c r="O1360" s="161"/>
      <c r="P1360" s="161"/>
      <c r="Q1360" s="161"/>
      <c r="R1360" s="161"/>
      <c r="S1360" s="161"/>
      <c r="T1360" s="161"/>
      <c r="U1360" s="161"/>
      <c r="V1360" s="161"/>
      <c r="W1360" s="161"/>
      <c r="X1360" s="161"/>
      <c r="Y1360" s="161"/>
      <c r="Z1360" s="161"/>
      <c r="AA1360" s="161"/>
      <c r="AB1360" s="161"/>
      <c r="AC1360" s="161"/>
      <c r="AD1360" s="161"/>
      <c r="AE1360" s="161"/>
      <c r="AF1360" s="161"/>
      <c r="AG1360" s="161"/>
      <c r="AH1360" s="161"/>
      <c r="AI1360" s="161"/>
      <c r="AJ1360" s="161"/>
      <c r="AK1360" s="161"/>
      <c r="AL1360" s="161"/>
      <c r="AM1360" s="161"/>
      <c r="AN1360" s="161"/>
      <c r="AO1360" s="161"/>
      <c r="AP1360" s="161"/>
      <c r="AQ1360" s="161"/>
      <c r="AR1360" s="161"/>
      <c r="AS1360" s="161"/>
      <c r="AT1360" s="161"/>
      <c r="AU1360" s="161"/>
      <c r="AV1360" s="161"/>
      <c r="AW1360" s="161"/>
      <c r="AX1360" s="161"/>
      <c r="AY1360" s="161"/>
      <c r="AZ1360" s="161"/>
      <c r="BA1360" s="161"/>
      <c r="BB1360" s="161"/>
      <c r="BC1360" s="161"/>
      <c r="BD1360" s="161"/>
      <c r="BE1360" s="161"/>
      <c r="BF1360" s="161"/>
      <c r="BG1360" s="161"/>
      <c r="BH1360" s="161"/>
      <c r="BI1360" s="161"/>
      <c r="BJ1360" s="161"/>
      <c r="BK1360" s="161"/>
      <c r="BL1360" s="161"/>
      <c r="BM1360" s="161"/>
      <c r="BN1360" s="161"/>
      <c r="BO1360" s="161"/>
      <c r="BP1360" s="161"/>
      <c r="BQ1360" s="161"/>
      <c r="BR1360" s="161"/>
      <c r="BS1360" s="161"/>
      <c r="BT1360" s="161"/>
      <c r="BU1360" s="161"/>
      <c r="BV1360" s="161"/>
      <c r="BW1360" s="161"/>
      <c r="BX1360" s="161"/>
      <c r="BY1360" s="161"/>
      <c r="BZ1360" s="161"/>
      <c r="CA1360" s="161"/>
      <c r="CB1360" s="161"/>
      <c r="CC1360" s="161"/>
      <c r="CD1360" s="161"/>
      <c r="CE1360" s="161"/>
      <c r="CF1360" s="161"/>
      <c r="CG1360" s="161"/>
    </row>
    <row r="1361">
      <c r="A1361" s="161"/>
      <c r="B1361" s="161"/>
      <c r="C1361" s="161"/>
      <c r="D1361" s="161"/>
      <c r="E1361" s="161"/>
      <c r="F1361" s="161"/>
      <c r="G1361" s="161"/>
      <c r="H1361" s="161"/>
      <c r="I1361" s="161"/>
      <c r="J1361" s="161"/>
      <c r="K1361" s="161"/>
      <c r="L1361" s="161"/>
      <c r="M1361" s="161"/>
      <c r="N1361" s="161"/>
      <c r="O1361" s="161"/>
      <c r="P1361" s="161"/>
      <c r="Q1361" s="161"/>
      <c r="R1361" s="161"/>
      <c r="S1361" s="161"/>
      <c r="T1361" s="161"/>
      <c r="U1361" s="161"/>
      <c r="V1361" s="161"/>
      <c r="W1361" s="161"/>
      <c r="X1361" s="161"/>
      <c r="Y1361" s="161"/>
      <c r="Z1361" s="161"/>
      <c r="AA1361" s="161"/>
      <c r="AB1361" s="161"/>
      <c r="AC1361" s="161"/>
      <c r="AD1361" s="161"/>
      <c r="AE1361" s="161"/>
      <c r="AF1361" s="161"/>
      <c r="AG1361" s="161"/>
      <c r="AH1361" s="161"/>
      <c r="AI1361" s="161"/>
      <c r="AJ1361" s="161"/>
      <c r="AK1361" s="161"/>
      <c r="AL1361" s="161"/>
      <c r="AM1361" s="161"/>
      <c r="AN1361" s="161"/>
      <c r="AO1361" s="161"/>
      <c r="AP1361" s="161"/>
      <c r="AQ1361" s="161"/>
      <c r="AR1361" s="161"/>
      <c r="AS1361" s="161"/>
      <c r="AT1361" s="161"/>
      <c r="AU1361" s="161"/>
      <c r="AV1361" s="161"/>
      <c r="AW1361" s="161"/>
      <c r="AX1361" s="161"/>
      <c r="AY1361" s="161"/>
      <c r="AZ1361" s="161"/>
      <c r="BA1361" s="161"/>
      <c r="BB1361" s="161"/>
      <c r="BC1361" s="161"/>
      <c r="BD1361" s="161"/>
      <c r="BE1361" s="161"/>
      <c r="BF1361" s="161"/>
      <c r="BG1361" s="161"/>
      <c r="BH1361" s="161"/>
      <c r="BI1361" s="161"/>
      <c r="BJ1361" s="161"/>
      <c r="BK1361" s="161"/>
      <c r="BL1361" s="161"/>
      <c r="BM1361" s="161"/>
      <c r="BN1361" s="161"/>
      <c r="BO1361" s="161"/>
      <c r="BP1361" s="161"/>
      <c r="BQ1361" s="161"/>
      <c r="BR1361" s="161"/>
      <c r="BS1361" s="161"/>
      <c r="BT1361" s="161"/>
      <c r="BU1361" s="161"/>
      <c r="BV1361" s="161"/>
      <c r="BW1361" s="161"/>
      <c r="BX1361" s="161"/>
      <c r="BY1361" s="161"/>
      <c r="BZ1361" s="161"/>
      <c r="CA1361" s="161"/>
      <c r="CB1361" s="161"/>
      <c r="CC1361" s="161"/>
      <c r="CD1361" s="161"/>
      <c r="CE1361" s="161"/>
      <c r="CF1361" s="161"/>
      <c r="CG1361" s="161"/>
    </row>
    <row r="1362">
      <c r="A1362" s="161"/>
      <c r="B1362" s="161"/>
      <c r="C1362" s="161"/>
      <c r="D1362" s="161"/>
      <c r="E1362" s="161"/>
      <c r="F1362" s="161"/>
      <c r="G1362" s="161"/>
      <c r="H1362" s="161"/>
      <c r="I1362" s="161"/>
      <c r="J1362" s="161"/>
      <c r="K1362" s="161"/>
      <c r="L1362" s="161"/>
      <c r="M1362" s="161"/>
      <c r="N1362" s="161"/>
      <c r="O1362" s="161"/>
      <c r="P1362" s="161"/>
      <c r="Q1362" s="161"/>
      <c r="R1362" s="161"/>
      <c r="S1362" s="161"/>
      <c r="T1362" s="161"/>
      <c r="U1362" s="161"/>
      <c r="V1362" s="161"/>
      <c r="W1362" s="161"/>
      <c r="X1362" s="161"/>
      <c r="Y1362" s="161"/>
      <c r="Z1362" s="161"/>
      <c r="AA1362" s="161"/>
      <c r="AB1362" s="161"/>
      <c r="AC1362" s="161"/>
      <c r="AD1362" s="161"/>
      <c r="AE1362" s="161"/>
      <c r="AF1362" s="161"/>
      <c r="AG1362" s="161"/>
      <c r="AH1362" s="161"/>
      <c r="AI1362" s="161"/>
      <c r="AJ1362" s="161"/>
      <c r="AK1362" s="161"/>
      <c r="AL1362" s="161"/>
      <c r="AM1362" s="161"/>
      <c r="AN1362" s="161"/>
      <c r="AO1362" s="161"/>
      <c r="AP1362" s="161"/>
      <c r="AQ1362" s="161"/>
      <c r="AR1362" s="161"/>
      <c r="AS1362" s="161"/>
      <c r="AT1362" s="161"/>
      <c r="AU1362" s="161"/>
      <c r="AV1362" s="161"/>
      <c r="AW1362" s="161"/>
      <c r="AX1362" s="161"/>
      <c r="AY1362" s="161"/>
      <c r="AZ1362" s="161"/>
      <c r="BA1362" s="161"/>
      <c r="BB1362" s="161"/>
      <c r="BC1362" s="161"/>
      <c r="BD1362" s="161"/>
      <c r="BE1362" s="161"/>
      <c r="BF1362" s="161"/>
      <c r="BG1362" s="161"/>
      <c r="BH1362" s="161"/>
      <c r="BI1362" s="161"/>
      <c r="BJ1362" s="161"/>
      <c r="BK1362" s="161"/>
      <c r="BL1362" s="161"/>
      <c r="BM1362" s="161"/>
      <c r="BN1362" s="161"/>
      <c r="BO1362" s="161"/>
      <c r="BP1362" s="161"/>
      <c r="BQ1362" s="161"/>
      <c r="BR1362" s="161"/>
      <c r="BS1362" s="161"/>
      <c r="BT1362" s="161"/>
      <c r="BU1362" s="161"/>
      <c r="BV1362" s="161"/>
      <c r="BW1362" s="161"/>
      <c r="BX1362" s="161"/>
      <c r="BY1362" s="161"/>
      <c r="BZ1362" s="161"/>
      <c r="CA1362" s="161"/>
      <c r="CB1362" s="161"/>
      <c r="CC1362" s="161"/>
      <c r="CD1362" s="161"/>
      <c r="CE1362" s="161"/>
      <c r="CF1362" s="161"/>
      <c r="CG1362" s="161"/>
    </row>
    <row r="1363">
      <c r="A1363" s="161"/>
      <c r="B1363" s="161"/>
      <c r="C1363" s="161"/>
      <c r="D1363" s="161"/>
      <c r="E1363" s="161"/>
      <c r="F1363" s="161"/>
      <c r="G1363" s="161"/>
      <c r="H1363" s="161"/>
      <c r="I1363" s="161"/>
      <c r="J1363" s="161"/>
      <c r="K1363" s="161"/>
      <c r="L1363" s="161"/>
      <c r="M1363" s="161"/>
      <c r="N1363" s="161"/>
      <c r="O1363" s="161"/>
      <c r="P1363" s="161"/>
      <c r="Q1363" s="161"/>
      <c r="R1363" s="161"/>
      <c r="S1363" s="161"/>
      <c r="T1363" s="161"/>
      <c r="U1363" s="161"/>
      <c r="V1363" s="161"/>
      <c r="W1363" s="161"/>
      <c r="X1363" s="161"/>
      <c r="Y1363" s="161"/>
      <c r="Z1363" s="161"/>
      <c r="AA1363" s="161"/>
      <c r="AB1363" s="161"/>
      <c r="AC1363" s="161"/>
      <c r="AD1363" s="161"/>
      <c r="AE1363" s="161"/>
      <c r="AF1363" s="161"/>
      <c r="AG1363" s="161"/>
      <c r="AH1363" s="161"/>
      <c r="AI1363" s="161"/>
      <c r="AJ1363" s="161"/>
      <c r="AK1363" s="161"/>
      <c r="AL1363" s="161"/>
      <c r="AM1363" s="161"/>
      <c r="AN1363" s="161"/>
      <c r="AO1363" s="161"/>
      <c r="AP1363" s="161"/>
      <c r="AQ1363" s="161"/>
      <c r="AR1363" s="161"/>
      <c r="AS1363" s="161"/>
      <c r="AT1363" s="161"/>
      <c r="AU1363" s="161"/>
      <c r="AV1363" s="161"/>
      <c r="AW1363" s="161"/>
      <c r="AX1363" s="161"/>
      <c r="AY1363" s="161"/>
      <c r="AZ1363" s="161"/>
      <c r="BA1363" s="161"/>
      <c r="BB1363" s="161"/>
      <c r="BC1363" s="161"/>
      <c r="BD1363" s="161"/>
      <c r="BE1363" s="161"/>
      <c r="BF1363" s="161"/>
      <c r="BG1363" s="161"/>
      <c r="BH1363" s="161"/>
      <c r="BI1363" s="161"/>
      <c r="BJ1363" s="161"/>
      <c r="BK1363" s="161"/>
      <c r="BL1363" s="161"/>
      <c r="BM1363" s="161"/>
      <c r="BN1363" s="161"/>
      <c r="BO1363" s="161"/>
      <c r="BP1363" s="161"/>
      <c r="BQ1363" s="161"/>
      <c r="BR1363" s="161"/>
      <c r="BS1363" s="161"/>
      <c r="BT1363" s="161"/>
      <c r="BU1363" s="161"/>
      <c r="BV1363" s="161"/>
      <c r="BW1363" s="161"/>
      <c r="BX1363" s="161"/>
      <c r="BY1363" s="161"/>
      <c r="BZ1363" s="161"/>
      <c r="CA1363" s="161"/>
      <c r="CB1363" s="161"/>
      <c r="CC1363" s="161"/>
      <c r="CD1363" s="161"/>
      <c r="CE1363" s="161"/>
      <c r="CF1363" s="161"/>
      <c r="CG1363" s="161"/>
    </row>
    <row r="1364">
      <c r="A1364" s="161"/>
      <c r="B1364" s="161"/>
      <c r="C1364" s="161"/>
      <c r="D1364" s="161"/>
      <c r="E1364" s="161"/>
      <c r="F1364" s="161"/>
      <c r="G1364" s="161"/>
      <c r="H1364" s="161"/>
      <c r="I1364" s="161"/>
      <c r="J1364" s="161"/>
      <c r="K1364" s="161"/>
      <c r="L1364" s="161"/>
      <c r="M1364" s="161"/>
      <c r="N1364" s="161"/>
      <c r="O1364" s="161"/>
      <c r="P1364" s="161"/>
      <c r="Q1364" s="161"/>
      <c r="R1364" s="161"/>
      <c r="S1364" s="161"/>
      <c r="T1364" s="161"/>
      <c r="U1364" s="161"/>
      <c r="V1364" s="161"/>
      <c r="W1364" s="161"/>
      <c r="X1364" s="161"/>
      <c r="Y1364" s="161"/>
      <c r="Z1364" s="161"/>
      <c r="AA1364" s="161"/>
      <c r="AB1364" s="161"/>
      <c r="AC1364" s="161"/>
      <c r="AD1364" s="161"/>
      <c r="AE1364" s="161"/>
      <c r="AF1364" s="161"/>
      <c r="AG1364" s="161"/>
      <c r="AH1364" s="161"/>
      <c r="AI1364" s="161"/>
      <c r="AJ1364" s="161"/>
      <c r="AK1364" s="161"/>
      <c r="AL1364" s="161"/>
      <c r="AM1364" s="161"/>
      <c r="AN1364" s="161"/>
      <c r="AO1364" s="161"/>
      <c r="AP1364" s="161"/>
      <c r="AQ1364" s="161"/>
      <c r="AR1364" s="161"/>
      <c r="AS1364" s="161"/>
      <c r="AT1364" s="161"/>
      <c r="AU1364" s="161"/>
      <c r="AV1364" s="161"/>
      <c r="AW1364" s="161"/>
      <c r="AX1364" s="161"/>
      <c r="AY1364" s="161"/>
      <c r="AZ1364" s="161"/>
      <c r="BA1364" s="161"/>
      <c r="BB1364" s="161"/>
      <c r="BC1364" s="161"/>
      <c r="BD1364" s="161"/>
      <c r="BE1364" s="161"/>
      <c r="BF1364" s="161"/>
      <c r="BG1364" s="161"/>
      <c r="BH1364" s="161"/>
      <c r="BI1364" s="161"/>
      <c r="BJ1364" s="161"/>
      <c r="BK1364" s="161"/>
      <c r="BL1364" s="161"/>
      <c r="BM1364" s="161"/>
      <c r="BN1364" s="161"/>
      <c r="BO1364" s="161"/>
      <c r="BP1364" s="161"/>
      <c r="BQ1364" s="161"/>
      <c r="BR1364" s="161"/>
      <c r="BS1364" s="161"/>
      <c r="BT1364" s="161"/>
      <c r="BU1364" s="161"/>
      <c r="BV1364" s="161"/>
      <c r="BW1364" s="161"/>
      <c r="BX1364" s="161"/>
      <c r="BY1364" s="161"/>
      <c r="BZ1364" s="161"/>
      <c r="CA1364" s="161"/>
      <c r="CB1364" s="161"/>
      <c r="CC1364" s="161"/>
      <c r="CD1364" s="161"/>
      <c r="CE1364" s="161"/>
      <c r="CF1364" s="161"/>
      <c r="CG1364" s="161"/>
    </row>
    <row r="1365">
      <c r="A1365" s="161"/>
      <c r="B1365" s="161"/>
      <c r="C1365" s="161"/>
      <c r="D1365" s="161"/>
      <c r="E1365" s="161"/>
      <c r="F1365" s="161"/>
      <c r="G1365" s="161"/>
      <c r="H1365" s="161"/>
      <c r="I1365" s="161"/>
      <c r="J1365" s="161"/>
      <c r="K1365" s="161"/>
      <c r="L1365" s="161"/>
      <c r="M1365" s="161"/>
      <c r="N1365" s="161"/>
      <c r="O1365" s="161"/>
      <c r="P1365" s="161"/>
      <c r="Q1365" s="161"/>
      <c r="R1365" s="161"/>
      <c r="S1365" s="161"/>
      <c r="T1365" s="161"/>
      <c r="U1365" s="161"/>
      <c r="V1365" s="161"/>
      <c r="W1365" s="161"/>
      <c r="X1365" s="161"/>
      <c r="Y1365" s="161"/>
      <c r="Z1365" s="161"/>
      <c r="AA1365" s="161"/>
      <c r="AB1365" s="161"/>
      <c r="AC1365" s="161"/>
      <c r="AD1365" s="161"/>
      <c r="AE1365" s="161"/>
      <c r="AF1365" s="161"/>
      <c r="AG1365" s="161"/>
      <c r="AH1365" s="161"/>
      <c r="AI1365" s="161"/>
      <c r="AJ1365" s="161"/>
      <c r="AK1365" s="161"/>
      <c r="AL1365" s="161"/>
      <c r="AM1365" s="161"/>
      <c r="AN1365" s="161"/>
      <c r="AO1365" s="161"/>
      <c r="AP1365" s="161"/>
      <c r="AQ1365" s="161"/>
      <c r="AR1365" s="161"/>
      <c r="AS1365" s="161"/>
      <c r="AT1365" s="161"/>
      <c r="AU1365" s="161"/>
      <c r="AV1365" s="161"/>
      <c r="AW1365" s="161"/>
      <c r="AX1365" s="161"/>
      <c r="AY1365" s="161"/>
      <c r="AZ1365" s="161"/>
      <c r="BA1365" s="161"/>
      <c r="BB1365" s="161"/>
      <c r="BC1365" s="161"/>
      <c r="BD1365" s="161"/>
      <c r="BE1365" s="161"/>
      <c r="BF1365" s="161"/>
      <c r="BG1365" s="161"/>
      <c r="BH1365" s="161"/>
      <c r="BI1365" s="161"/>
      <c r="BJ1365" s="161"/>
      <c r="BK1365" s="161"/>
      <c r="BL1365" s="161"/>
      <c r="BM1365" s="161"/>
      <c r="BN1365" s="161"/>
      <c r="BO1365" s="161"/>
      <c r="BP1365" s="161"/>
      <c r="BQ1365" s="161"/>
      <c r="BR1365" s="161"/>
      <c r="BS1365" s="161"/>
      <c r="BT1365" s="161"/>
      <c r="BU1365" s="161"/>
      <c r="BV1365" s="161"/>
      <c r="BW1365" s="161"/>
      <c r="BX1365" s="161"/>
      <c r="BY1365" s="161"/>
      <c r="BZ1365" s="161"/>
      <c r="CA1365" s="161"/>
      <c r="CB1365" s="161"/>
      <c r="CC1365" s="161"/>
      <c r="CD1365" s="161"/>
      <c r="CE1365" s="161"/>
      <c r="CF1365" s="161"/>
      <c r="CG1365" s="161"/>
    </row>
    <row r="1366">
      <c r="A1366" s="161"/>
      <c r="B1366" s="161"/>
      <c r="C1366" s="161"/>
      <c r="D1366" s="161"/>
      <c r="E1366" s="161"/>
      <c r="F1366" s="161"/>
      <c r="G1366" s="161"/>
      <c r="H1366" s="161"/>
      <c r="I1366" s="161"/>
      <c r="J1366" s="161"/>
      <c r="K1366" s="161"/>
      <c r="L1366" s="161"/>
      <c r="M1366" s="161"/>
      <c r="N1366" s="161"/>
      <c r="O1366" s="161"/>
      <c r="P1366" s="161"/>
      <c r="Q1366" s="161"/>
      <c r="R1366" s="161"/>
      <c r="S1366" s="161"/>
      <c r="T1366" s="161"/>
      <c r="U1366" s="161"/>
      <c r="V1366" s="161"/>
      <c r="W1366" s="161"/>
      <c r="X1366" s="161"/>
      <c r="Y1366" s="161"/>
      <c r="Z1366" s="161"/>
      <c r="AA1366" s="161"/>
      <c r="AB1366" s="161"/>
      <c r="AC1366" s="161"/>
      <c r="AD1366" s="161"/>
      <c r="AE1366" s="161"/>
      <c r="AF1366" s="161"/>
      <c r="AG1366" s="161"/>
      <c r="AH1366" s="161"/>
      <c r="AI1366" s="161"/>
      <c r="AJ1366" s="161"/>
      <c r="AK1366" s="161"/>
      <c r="AL1366" s="161"/>
      <c r="AM1366" s="161"/>
      <c r="AN1366" s="161"/>
      <c r="AO1366" s="161"/>
      <c r="AP1366" s="161"/>
      <c r="AQ1366" s="161"/>
      <c r="AR1366" s="161"/>
      <c r="AS1366" s="161"/>
      <c r="AT1366" s="161"/>
      <c r="AU1366" s="161"/>
      <c r="AV1366" s="161"/>
      <c r="AW1366" s="161"/>
      <c r="AX1366" s="161"/>
      <c r="AY1366" s="161"/>
      <c r="AZ1366" s="161"/>
      <c r="BA1366" s="161"/>
      <c r="BB1366" s="161"/>
      <c r="BC1366" s="161"/>
      <c r="BD1366" s="161"/>
      <c r="BE1366" s="161"/>
      <c r="BF1366" s="161"/>
      <c r="BG1366" s="161"/>
      <c r="BH1366" s="161"/>
      <c r="BI1366" s="161"/>
      <c r="BJ1366" s="161"/>
      <c r="BK1366" s="161"/>
      <c r="BL1366" s="161"/>
      <c r="BM1366" s="161"/>
      <c r="BN1366" s="161"/>
      <c r="BO1366" s="161"/>
      <c r="BP1366" s="161"/>
      <c r="BQ1366" s="161"/>
      <c r="BR1366" s="161"/>
      <c r="BS1366" s="161"/>
      <c r="BT1366" s="161"/>
      <c r="BU1366" s="161"/>
      <c r="BV1366" s="161"/>
      <c r="BW1366" s="161"/>
      <c r="BX1366" s="161"/>
      <c r="BY1366" s="161"/>
      <c r="BZ1366" s="161"/>
      <c r="CA1366" s="161"/>
      <c r="CB1366" s="161"/>
      <c r="CC1366" s="161"/>
      <c r="CD1366" s="161"/>
      <c r="CE1366" s="161"/>
      <c r="CF1366" s="161"/>
      <c r="CG1366" s="161"/>
    </row>
    <row r="1367">
      <c r="A1367" s="161"/>
      <c r="B1367" s="161"/>
      <c r="C1367" s="161"/>
      <c r="D1367" s="161"/>
      <c r="E1367" s="161"/>
      <c r="F1367" s="161"/>
      <c r="G1367" s="161"/>
      <c r="H1367" s="161"/>
      <c r="I1367" s="161"/>
      <c r="J1367" s="161"/>
      <c r="K1367" s="161"/>
      <c r="L1367" s="161"/>
      <c r="M1367" s="161"/>
      <c r="N1367" s="161"/>
      <c r="O1367" s="161"/>
      <c r="P1367" s="161"/>
      <c r="Q1367" s="161"/>
      <c r="R1367" s="161"/>
      <c r="S1367" s="161"/>
      <c r="T1367" s="161"/>
      <c r="U1367" s="161"/>
      <c r="V1367" s="161"/>
      <c r="W1367" s="161"/>
      <c r="X1367" s="161"/>
      <c r="Y1367" s="161"/>
      <c r="Z1367" s="161"/>
      <c r="AA1367" s="161"/>
      <c r="AB1367" s="161"/>
      <c r="AC1367" s="161"/>
      <c r="AD1367" s="161"/>
      <c r="AE1367" s="161"/>
      <c r="AF1367" s="161"/>
      <c r="AG1367" s="161"/>
      <c r="AH1367" s="161"/>
      <c r="AI1367" s="161"/>
      <c r="AJ1367" s="161"/>
      <c r="AK1367" s="161"/>
      <c r="AL1367" s="161"/>
      <c r="AM1367" s="161"/>
      <c r="AN1367" s="161"/>
      <c r="AO1367" s="161"/>
      <c r="AP1367" s="161"/>
      <c r="AQ1367" s="161"/>
      <c r="AR1367" s="161"/>
      <c r="AS1367" s="161"/>
      <c r="AT1367" s="161"/>
      <c r="AU1367" s="161"/>
      <c r="AV1367" s="161"/>
      <c r="AW1367" s="161"/>
      <c r="AX1367" s="161"/>
      <c r="AY1367" s="161"/>
      <c r="AZ1367" s="161"/>
      <c r="BA1367" s="161"/>
      <c r="BB1367" s="161"/>
      <c r="BC1367" s="161"/>
      <c r="BD1367" s="161"/>
      <c r="BE1367" s="161"/>
      <c r="BF1367" s="161"/>
      <c r="BG1367" s="161"/>
      <c r="BH1367" s="161"/>
      <c r="BI1367" s="161"/>
      <c r="BJ1367" s="161"/>
      <c r="BK1367" s="161"/>
      <c r="BL1367" s="161"/>
      <c r="BM1367" s="161"/>
      <c r="BN1367" s="161"/>
      <c r="BO1367" s="161"/>
      <c r="BP1367" s="161"/>
      <c r="BQ1367" s="161"/>
      <c r="BR1367" s="161"/>
      <c r="BS1367" s="161"/>
      <c r="BT1367" s="161"/>
      <c r="BU1367" s="161"/>
      <c r="BV1367" s="161"/>
      <c r="BW1367" s="161"/>
      <c r="BX1367" s="161"/>
      <c r="BY1367" s="161"/>
      <c r="BZ1367" s="161"/>
      <c r="CA1367" s="161"/>
      <c r="CB1367" s="161"/>
      <c r="CC1367" s="161"/>
      <c r="CD1367" s="161"/>
      <c r="CE1367" s="161"/>
      <c r="CF1367" s="161"/>
      <c r="CG1367" s="161"/>
    </row>
    <row r="1368">
      <c r="A1368" s="161"/>
      <c r="B1368" s="161"/>
      <c r="C1368" s="161"/>
      <c r="D1368" s="161"/>
      <c r="E1368" s="161"/>
      <c r="F1368" s="161"/>
      <c r="G1368" s="161"/>
      <c r="H1368" s="161"/>
      <c r="I1368" s="161"/>
      <c r="J1368" s="161"/>
      <c r="K1368" s="161"/>
      <c r="L1368" s="161"/>
      <c r="M1368" s="161"/>
      <c r="N1368" s="161"/>
      <c r="O1368" s="161"/>
      <c r="P1368" s="161"/>
      <c r="Q1368" s="161"/>
      <c r="R1368" s="161"/>
      <c r="S1368" s="161"/>
      <c r="T1368" s="161"/>
      <c r="U1368" s="161"/>
      <c r="V1368" s="161"/>
      <c r="W1368" s="161"/>
      <c r="X1368" s="161"/>
      <c r="Y1368" s="161"/>
      <c r="Z1368" s="161"/>
      <c r="AA1368" s="161"/>
      <c r="AB1368" s="161"/>
      <c r="AC1368" s="161"/>
      <c r="AD1368" s="161"/>
      <c r="AE1368" s="161"/>
      <c r="AF1368" s="161"/>
      <c r="AG1368" s="161"/>
      <c r="AH1368" s="161"/>
      <c r="AI1368" s="161"/>
      <c r="AJ1368" s="161"/>
      <c r="AK1368" s="161"/>
      <c r="AL1368" s="161"/>
      <c r="AM1368" s="161"/>
      <c r="AN1368" s="161"/>
      <c r="AO1368" s="161"/>
      <c r="AP1368" s="161"/>
      <c r="AQ1368" s="161"/>
      <c r="AR1368" s="161"/>
      <c r="AS1368" s="161"/>
      <c r="AT1368" s="161"/>
      <c r="AU1368" s="161"/>
      <c r="AV1368" s="161"/>
      <c r="AW1368" s="161"/>
      <c r="AX1368" s="161"/>
      <c r="AY1368" s="161"/>
      <c r="AZ1368" s="161"/>
      <c r="BA1368" s="161"/>
      <c r="BB1368" s="161"/>
      <c r="BC1368" s="161"/>
      <c r="BD1368" s="161"/>
      <c r="BE1368" s="161"/>
      <c r="BF1368" s="161"/>
      <c r="BG1368" s="161"/>
      <c r="BH1368" s="161"/>
      <c r="BI1368" s="161"/>
      <c r="BJ1368" s="161"/>
      <c r="BK1368" s="161"/>
      <c r="BL1368" s="161"/>
      <c r="BM1368" s="161"/>
      <c r="BN1368" s="161"/>
      <c r="BO1368" s="161"/>
      <c r="BP1368" s="161"/>
      <c r="BQ1368" s="161"/>
      <c r="BR1368" s="161"/>
      <c r="BS1368" s="161"/>
      <c r="BT1368" s="161"/>
      <c r="BU1368" s="161"/>
      <c r="BV1368" s="161"/>
      <c r="BW1368" s="161"/>
      <c r="BX1368" s="161"/>
      <c r="BY1368" s="161"/>
      <c r="BZ1368" s="161"/>
      <c r="CA1368" s="161"/>
      <c r="CB1368" s="161"/>
      <c r="CC1368" s="161"/>
      <c r="CD1368" s="161"/>
      <c r="CE1368" s="161"/>
      <c r="CF1368" s="161"/>
      <c r="CG1368" s="161"/>
    </row>
    <row r="1369">
      <c r="A1369" s="161"/>
      <c r="B1369" s="161"/>
      <c r="C1369" s="161"/>
      <c r="D1369" s="161"/>
      <c r="E1369" s="161"/>
      <c r="F1369" s="161"/>
      <c r="G1369" s="161"/>
      <c r="H1369" s="161"/>
      <c r="I1369" s="161"/>
      <c r="J1369" s="161"/>
      <c r="K1369" s="161"/>
      <c r="L1369" s="161"/>
      <c r="M1369" s="161"/>
      <c r="N1369" s="161"/>
      <c r="O1369" s="161"/>
      <c r="P1369" s="161"/>
      <c r="Q1369" s="161"/>
      <c r="R1369" s="161"/>
      <c r="S1369" s="161"/>
      <c r="T1369" s="161"/>
      <c r="U1369" s="161"/>
      <c r="V1369" s="161"/>
      <c r="W1369" s="161"/>
      <c r="X1369" s="161"/>
      <c r="Y1369" s="161"/>
      <c r="Z1369" s="161"/>
      <c r="AA1369" s="161"/>
      <c r="AB1369" s="161"/>
      <c r="AC1369" s="161"/>
      <c r="AD1369" s="161"/>
      <c r="AE1369" s="161"/>
      <c r="AF1369" s="161"/>
      <c r="AG1369" s="161"/>
      <c r="AH1369" s="161"/>
      <c r="AI1369" s="161"/>
      <c r="AJ1369" s="161"/>
      <c r="AK1369" s="161"/>
      <c r="AL1369" s="161"/>
      <c r="AM1369" s="161"/>
      <c r="AN1369" s="161"/>
      <c r="AO1369" s="161"/>
      <c r="AP1369" s="161"/>
      <c r="AQ1369" s="161"/>
      <c r="AR1369" s="161"/>
      <c r="AS1369" s="161"/>
      <c r="AT1369" s="161"/>
      <c r="AU1369" s="161"/>
      <c r="AV1369" s="161"/>
      <c r="AW1369" s="161"/>
      <c r="AX1369" s="161"/>
      <c r="AY1369" s="161"/>
      <c r="AZ1369" s="161"/>
      <c r="BA1369" s="161"/>
      <c r="BB1369" s="161"/>
      <c r="BC1369" s="161"/>
      <c r="BD1369" s="161"/>
      <c r="BE1369" s="161"/>
      <c r="BF1369" s="161"/>
      <c r="BG1369" s="161"/>
      <c r="BH1369" s="161"/>
      <c r="BI1369" s="161"/>
      <c r="BJ1369" s="161"/>
      <c r="BK1369" s="161"/>
      <c r="BL1369" s="161"/>
      <c r="BM1369" s="161"/>
      <c r="BN1369" s="161"/>
      <c r="BO1369" s="161"/>
      <c r="BP1369" s="161"/>
      <c r="BQ1369" s="161"/>
      <c r="BR1369" s="161"/>
      <c r="BS1369" s="161"/>
      <c r="BT1369" s="161"/>
      <c r="BU1369" s="161"/>
      <c r="BV1369" s="161"/>
      <c r="BW1369" s="161"/>
      <c r="BX1369" s="161"/>
      <c r="BY1369" s="161"/>
      <c r="BZ1369" s="161"/>
      <c r="CA1369" s="161"/>
      <c r="CB1369" s="161"/>
      <c r="CC1369" s="161"/>
      <c r="CD1369" s="161"/>
      <c r="CE1369" s="161"/>
      <c r="CF1369" s="161"/>
      <c r="CG1369" s="161"/>
    </row>
    <row r="1370">
      <c r="A1370" s="161"/>
      <c r="B1370" s="161"/>
      <c r="C1370" s="161"/>
      <c r="D1370" s="161"/>
      <c r="E1370" s="161"/>
      <c r="F1370" s="161"/>
      <c r="G1370" s="161"/>
      <c r="H1370" s="161"/>
      <c r="I1370" s="161"/>
      <c r="J1370" s="161"/>
      <c r="K1370" s="161"/>
      <c r="L1370" s="161"/>
      <c r="M1370" s="161"/>
      <c r="N1370" s="161"/>
      <c r="O1370" s="161"/>
      <c r="P1370" s="161"/>
      <c r="Q1370" s="161"/>
      <c r="R1370" s="161"/>
      <c r="S1370" s="161"/>
      <c r="T1370" s="161"/>
      <c r="U1370" s="161"/>
      <c r="V1370" s="161"/>
      <c r="W1370" s="161"/>
      <c r="X1370" s="161"/>
      <c r="Y1370" s="161"/>
      <c r="Z1370" s="161"/>
      <c r="AA1370" s="161"/>
      <c r="AB1370" s="161"/>
      <c r="AC1370" s="161"/>
      <c r="AD1370" s="161"/>
      <c r="AE1370" s="161"/>
      <c r="AF1370" s="161"/>
      <c r="AG1370" s="161"/>
      <c r="AH1370" s="161"/>
      <c r="AI1370" s="161"/>
      <c r="AJ1370" s="161"/>
      <c r="AK1370" s="161"/>
      <c r="AL1370" s="161"/>
      <c r="AM1370" s="161"/>
      <c r="AN1370" s="161"/>
      <c r="AO1370" s="161"/>
      <c r="AP1370" s="161"/>
      <c r="AQ1370" s="161"/>
      <c r="AR1370" s="161"/>
      <c r="AS1370" s="161"/>
      <c r="AT1370" s="161"/>
      <c r="AU1370" s="161"/>
      <c r="AV1370" s="161"/>
      <c r="AW1370" s="161"/>
      <c r="AX1370" s="161"/>
      <c r="AY1370" s="161"/>
      <c r="AZ1370" s="161"/>
      <c r="BA1370" s="161"/>
      <c r="BB1370" s="161"/>
      <c r="BC1370" s="161"/>
      <c r="BD1370" s="161"/>
      <c r="BE1370" s="161"/>
      <c r="BF1370" s="161"/>
      <c r="BG1370" s="161"/>
      <c r="BH1370" s="161"/>
      <c r="BI1370" s="161"/>
      <c r="BJ1370" s="161"/>
      <c r="BK1370" s="161"/>
      <c r="BL1370" s="161"/>
      <c r="BM1370" s="161"/>
      <c r="BN1370" s="161"/>
      <c r="BO1370" s="161"/>
      <c r="BP1370" s="161"/>
      <c r="BQ1370" s="161"/>
      <c r="BR1370" s="161"/>
      <c r="BS1370" s="161"/>
      <c r="BT1370" s="161"/>
      <c r="BU1370" s="161"/>
      <c r="BV1370" s="161"/>
      <c r="BW1370" s="161"/>
      <c r="BX1370" s="161"/>
      <c r="BY1370" s="161"/>
      <c r="BZ1370" s="161"/>
      <c r="CA1370" s="161"/>
      <c r="CB1370" s="161"/>
      <c r="CC1370" s="161"/>
      <c r="CD1370" s="161"/>
      <c r="CE1370" s="161"/>
      <c r="CF1370" s="161"/>
      <c r="CG1370" s="161"/>
    </row>
    <row r="1371">
      <c r="A1371" s="161"/>
      <c r="B1371" s="161"/>
      <c r="C1371" s="161"/>
      <c r="D1371" s="161"/>
      <c r="E1371" s="161"/>
      <c r="F1371" s="161"/>
      <c r="G1371" s="161"/>
      <c r="H1371" s="161"/>
      <c r="I1371" s="161"/>
      <c r="J1371" s="161"/>
      <c r="K1371" s="161"/>
      <c r="L1371" s="161"/>
      <c r="M1371" s="161"/>
      <c r="N1371" s="161"/>
      <c r="O1371" s="161"/>
      <c r="P1371" s="161"/>
      <c r="Q1371" s="161"/>
      <c r="R1371" s="161"/>
      <c r="S1371" s="161"/>
      <c r="T1371" s="161"/>
      <c r="U1371" s="161"/>
      <c r="V1371" s="161"/>
      <c r="W1371" s="161"/>
      <c r="X1371" s="161"/>
      <c r="Y1371" s="161"/>
      <c r="Z1371" s="161"/>
      <c r="AA1371" s="161"/>
      <c r="AB1371" s="161"/>
      <c r="AC1371" s="161"/>
      <c r="AD1371" s="161"/>
      <c r="AE1371" s="161"/>
      <c r="AF1371" s="161"/>
      <c r="AG1371" s="161"/>
      <c r="AH1371" s="161"/>
      <c r="AI1371" s="161"/>
      <c r="AJ1371" s="161"/>
      <c r="AK1371" s="161"/>
      <c r="AL1371" s="161"/>
      <c r="AM1371" s="161"/>
      <c r="AN1371" s="161"/>
      <c r="AO1371" s="161"/>
      <c r="AP1371" s="161"/>
      <c r="AQ1371" s="161"/>
      <c r="AR1371" s="161"/>
      <c r="AS1371" s="161"/>
      <c r="AT1371" s="161"/>
      <c r="AU1371" s="161"/>
      <c r="AV1371" s="161"/>
      <c r="AW1371" s="161"/>
      <c r="AX1371" s="161"/>
      <c r="AY1371" s="161"/>
      <c r="AZ1371" s="161"/>
      <c r="BA1371" s="161"/>
      <c r="BB1371" s="161"/>
      <c r="BC1371" s="161"/>
      <c r="BD1371" s="161"/>
      <c r="BE1371" s="161"/>
      <c r="BF1371" s="161"/>
      <c r="BG1371" s="161"/>
      <c r="BH1371" s="161"/>
      <c r="BI1371" s="161"/>
      <c r="BJ1371" s="161"/>
      <c r="BK1371" s="161"/>
      <c r="BL1371" s="161"/>
      <c r="BM1371" s="161"/>
      <c r="BN1371" s="161"/>
      <c r="BO1371" s="161"/>
      <c r="BP1371" s="161"/>
      <c r="BQ1371" s="161"/>
      <c r="BR1371" s="161"/>
      <c r="BS1371" s="161"/>
      <c r="BT1371" s="161"/>
      <c r="BU1371" s="161"/>
      <c r="BV1371" s="161"/>
      <c r="BW1371" s="161"/>
      <c r="BX1371" s="161"/>
      <c r="BY1371" s="161"/>
      <c r="BZ1371" s="161"/>
      <c r="CA1371" s="161"/>
      <c r="CB1371" s="161"/>
      <c r="CC1371" s="161"/>
      <c r="CD1371" s="161"/>
      <c r="CE1371" s="161"/>
      <c r="CF1371" s="161"/>
      <c r="CG1371" s="161"/>
    </row>
    <row r="1372">
      <c r="A1372" s="161"/>
      <c r="B1372" s="161"/>
      <c r="C1372" s="161"/>
      <c r="D1372" s="161"/>
      <c r="E1372" s="161"/>
      <c r="F1372" s="161"/>
      <c r="G1372" s="161"/>
      <c r="H1372" s="161"/>
      <c r="I1372" s="161"/>
      <c r="J1372" s="161"/>
      <c r="K1372" s="161"/>
      <c r="L1372" s="161"/>
      <c r="M1372" s="161"/>
      <c r="N1372" s="161"/>
      <c r="O1372" s="161"/>
      <c r="P1372" s="161"/>
      <c r="Q1372" s="161"/>
      <c r="R1372" s="161"/>
      <c r="S1372" s="161"/>
      <c r="T1372" s="161"/>
      <c r="U1372" s="161"/>
      <c r="V1372" s="161"/>
      <c r="W1372" s="161"/>
      <c r="X1372" s="161"/>
      <c r="Y1372" s="161"/>
      <c r="Z1372" s="161"/>
      <c r="AA1372" s="161"/>
      <c r="AB1372" s="161"/>
      <c r="AC1372" s="161"/>
      <c r="AD1372" s="161"/>
      <c r="AE1372" s="161"/>
      <c r="AF1372" s="161"/>
      <c r="AG1372" s="161"/>
      <c r="AH1372" s="161"/>
      <c r="AI1372" s="161"/>
      <c r="AJ1372" s="161"/>
      <c r="AK1372" s="161"/>
      <c r="AL1372" s="161"/>
      <c r="AM1372" s="161"/>
      <c r="AN1372" s="161"/>
      <c r="AO1372" s="161"/>
      <c r="AP1372" s="161"/>
      <c r="AQ1372" s="161"/>
      <c r="AR1372" s="161"/>
      <c r="AS1372" s="161"/>
      <c r="AT1372" s="161"/>
      <c r="AU1372" s="161"/>
      <c r="AV1372" s="161"/>
      <c r="AW1372" s="161"/>
      <c r="AX1372" s="161"/>
      <c r="AY1372" s="161"/>
      <c r="AZ1372" s="161"/>
      <c r="BA1372" s="161"/>
      <c r="BB1372" s="161"/>
      <c r="BC1372" s="161"/>
      <c r="BD1372" s="161"/>
      <c r="BE1372" s="161"/>
      <c r="BF1372" s="161"/>
      <c r="BG1372" s="161"/>
      <c r="BH1372" s="161"/>
      <c r="BI1372" s="161"/>
      <c r="BJ1372" s="161"/>
      <c r="BK1372" s="161"/>
      <c r="BL1372" s="161"/>
      <c r="BM1372" s="161"/>
      <c r="BN1372" s="161"/>
      <c r="BO1372" s="161"/>
      <c r="BP1372" s="161"/>
      <c r="BQ1372" s="161"/>
      <c r="BR1372" s="161"/>
      <c r="BS1372" s="161"/>
      <c r="BT1372" s="161"/>
      <c r="BU1372" s="161"/>
      <c r="BV1372" s="161"/>
      <c r="BW1372" s="161"/>
      <c r="BX1372" s="161"/>
      <c r="BY1372" s="161"/>
      <c r="BZ1372" s="161"/>
      <c r="CA1372" s="161"/>
      <c r="CB1372" s="161"/>
      <c r="CC1372" s="161"/>
      <c r="CD1372" s="161"/>
      <c r="CE1372" s="161"/>
      <c r="CF1372" s="161"/>
      <c r="CG1372" s="161"/>
    </row>
    <row r="1373">
      <c r="A1373" s="161"/>
      <c r="B1373" s="161"/>
      <c r="C1373" s="161"/>
      <c r="D1373" s="161"/>
      <c r="E1373" s="161"/>
      <c r="F1373" s="161"/>
      <c r="G1373" s="161"/>
      <c r="H1373" s="161"/>
      <c r="I1373" s="161"/>
      <c r="J1373" s="161"/>
      <c r="K1373" s="161"/>
      <c r="L1373" s="161"/>
      <c r="M1373" s="161"/>
      <c r="N1373" s="161"/>
      <c r="O1373" s="161"/>
      <c r="P1373" s="161"/>
      <c r="Q1373" s="161"/>
      <c r="R1373" s="161"/>
      <c r="S1373" s="161"/>
      <c r="T1373" s="161"/>
      <c r="U1373" s="161"/>
      <c r="V1373" s="161"/>
      <c r="W1373" s="161"/>
      <c r="X1373" s="161"/>
      <c r="Y1373" s="161"/>
      <c r="Z1373" s="161"/>
      <c r="AA1373" s="161"/>
      <c r="AB1373" s="161"/>
      <c r="AC1373" s="161"/>
      <c r="AD1373" s="161"/>
      <c r="AE1373" s="161"/>
      <c r="AF1373" s="161"/>
      <c r="AG1373" s="161"/>
      <c r="AH1373" s="161"/>
      <c r="AI1373" s="161"/>
      <c r="AJ1373" s="161"/>
      <c r="AK1373" s="161"/>
      <c r="AL1373" s="161"/>
      <c r="AM1373" s="161"/>
      <c r="AN1373" s="161"/>
      <c r="AO1373" s="161"/>
      <c r="AP1373" s="161"/>
      <c r="AQ1373" s="161"/>
      <c r="AR1373" s="161"/>
      <c r="AS1373" s="161"/>
      <c r="AT1373" s="161"/>
      <c r="AU1373" s="161"/>
      <c r="AV1373" s="161"/>
      <c r="AW1373" s="161"/>
      <c r="AX1373" s="161"/>
      <c r="AY1373" s="161"/>
      <c r="AZ1373" s="161"/>
      <c r="BA1373" s="161"/>
      <c r="BB1373" s="161"/>
      <c r="BC1373" s="161"/>
      <c r="BD1373" s="161"/>
      <c r="BE1373" s="161"/>
      <c r="BF1373" s="161"/>
      <c r="BG1373" s="161"/>
      <c r="BH1373" s="161"/>
      <c r="BI1373" s="161"/>
      <c r="BJ1373" s="161"/>
      <c r="BK1373" s="161"/>
      <c r="BL1373" s="161"/>
      <c r="BM1373" s="161"/>
      <c r="BN1373" s="161"/>
      <c r="BO1373" s="161"/>
      <c r="BP1373" s="161"/>
      <c r="BQ1373" s="161"/>
      <c r="BR1373" s="161"/>
      <c r="BS1373" s="161"/>
      <c r="BT1373" s="161"/>
      <c r="BU1373" s="161"/>
      <c r="BV1373" s="161"/>
      <c r="BW1373" s="161"/>
      <c r="BX1373" s="161"/>
      <c r="BY1373" s="161"/>
      <c r="BZ1373" s="161"/>
      <c r="CA1373" s="161"/>
      <c r="CB1373" s="161"/>
      <c r="CC1373" s="161"/>
      <c r="CD1373" s="161"/>
      <c r="CE1373" s="161"/>
      <c r="CF1373" s="161"/>
      <c r="CG1373" s="161"/>
    </row>
    <row r="1374">
      <c r="A1374" s="161"/>
      <c r="B1374" s="161"/>
      <c r="C1374" s="161"/>
      <c r="D1374" s="161"/>
      <c r="E1374" s="161"/>
      <c r="F1374" s="161"/>
      <c r="G1374" s="161"/>
      <c r="H1374" s="161"/>
      <c r="I1374" s="161"/>
      <c r="J1374" s="161"/>
      <c r="K1374" s="161"/>
      <c r="L1374" s="161"/>
      <c r="M1374" s="161"/>
      <c r="N1374" s="161"/>
      <c r="O1374" s="161"/>
      <c r="P1374" s="161"/>
      <c r="Q1374" s="161"/>
      <c r="R1374" s="161"/>
      <c r="S1374" s="161"/>
      <c r="T1374" s="161"/>
      <c r="U1374" s="161"/>
      <c r="V1374" s="161"/>
      <c r="W1374" s="161"/>
      <c r="X1374" s="161"/>
      <c r="Y1374" s="161"/>
      <c r="Z1374" s="161"/>
      <c r="AA1374" s="161"/>
      <c r="AB1374" s="161"/>
      <c r="AC1374" s="161"/>
      <c r="AD1374" s="161"/>
      <c r="AE1374" s="161"/>
      <c r="AF1374" s="161"/>
      <c r="AG1374" s="161"/>
      <c r="AH1374" s="161"/>
      <c r="AI1374" s="161"/>
      <c r="AJ1374" s="161"/>
      <c r="AK1374" s="161"/>
      <c r="AL1374" s="161"/>
      <c r="AM1374" s="161"/>
      <c r="AN1374" s="161"/>
      <c r="AO1374" s="161"/>
      <c r="AP1374" s="161"/>
      <c r="AQ1374" s="161"/>
      <c r="AR1374" s="161"/>
      <c r="AS1374" s="161"/>
      <c r="AT1374" s="161"/>
      <c r="AU1374" s="161"/>
      <c r="AV1374" s="161"/>
      <c r="AW1374" s="161"/>
      <c r="AX1374" s="161"/>
      <c r="AY1374" s="161"/>
      <c r="AZ1374" s="161"/>
      <c r="BA1374" s="161"/>
      <c r="BB1374" s="161"/>
      <c r="BC1374" s="161"/>
      <c r="BD1374" s="161"/>
      <c r="BE1374" s="161"/>
      <c r="BF1374" s="161"/>
      <c r="BG1374" s="161"/>
      <c r="BH1374" s="161"/>
      <c r="BI1374" s="161"/>
      <c r="BJ1374" s="161"/>
      <c r="BK1374" s="161"/>
      <c r="BL1374" s="161"/>
      <c r="BM1374" s="161"/>
      <c r="BN1374" s="161"/>
      <c r="BO1374" s="161"/>
      <c r="BP1374" s="161"/>
      <c r="BQ1374" s="161"/>
      <c r="BR1374" s="161"/>
      <c r="BS1374" s="161"/>
      <c r="BT1374" s="161"/>
      <c r="BU1374" s="161"/>
      <c r="BV1374" s="161"/>
      <c r="BW1374" s="161"/>
      <c r="BX1374" s="161"/>
      <c r="BY1374" s="161"/>
      <c r="BZ1374" s="161"/>
      <c r="CA1374" s="161"/>
      <c r="CB1374" s="161"/>
      <c r="CC1374" s="161"/>
      <c r="CD1374" s="161"/>
      <c r="CE1374" s="161"/>
      <c r="CF1374" s="161"/>
      <c r="CG1374" s="161"/>
    </row>
    <row r="1375">
      <c r="A1375" s="161"/>
      <c r="B1375" s="161"/>
      <c r="C1375" s="161"/>
      <c r="D1375" s="161"/>
      <c r="E1375" s="161"/>
      <c r="F1375" s="161"/>
      <c r="G1375" s="161"/>
      <c r="H1375" s="161"/>
      <c r="I1375" s="161"/>
      <c r="J1375" s="161"/>
      <c r="K1375" s="161"/>
      <c r="L1375" s="161"/>
      <c r="M1375" s="161"/>
      <c r="N1375" s="161"/>
      <c r="O1375" s="161"/>
      <c r="P1375" s="161"/>
      <c r="Q1375" s="161"/>
      <c r="R1375" s="161"/>
      <c r="S1375" s="161"/>
      <c r="T1375" s="161"/>
      <c r="U1375" s="161"/>
      <c r="V1375" s="161"/>
      <c r="W1375" s="161"/>
      <c r="X1375" s="161"/>
      <c r="Y1375" s="161"/>
      <c r="Z1375" s="161"/>
      <c r="AA1375" s="161"/>
      <c r="AB1375" s="161"/>
      <c r="AC1375" s="161"/>
      <c r="AD1375" s="161"/>
      <c r="AE1375" s="161"/>
      <c r="AF1375" s="161"/>
      <c r="AG1375" s="161"/>
      <c r="AH1375" s="161"/>
      <c r="AI1375" s="161"/>
      <c r="AJ1375" s="161"/>
      <c r="AK1375" s="161"/>
      <c r="AL1375" s="161"/>
      <c r="AM1375" s="161"/>
      <c r="AN1375" s="161"/>
      <c r="AO1375" s="161"/>
      <c r="AP1375" s="161"/>
      <c r="AQ1375" s="161"/>
      <c r="AR1375" s="161"/>
      <c r="AS1375" s="161"/>
      <c r="AT1375" s="161"/>
      <c r="AU1375" s="161"/>
      <c r="AV1375" s="161"/>
      <c r="AW1375" s="161"/>
      <c r="AX1375" s="161"/>
      <c r="AY1375" s="161"/>
      <c r="AZ1375" s="161"/>
      <c r="BA1375" s="161"/>
      <c r="BB1375" s="161"/>
      <c r="BC1375" s="161"/>
      <c r="BD1375" s="161"/>
      <c r="BE1375" s="161"/>
      <c r="BF1375" s="161"/>
      <c r="BG1375" s="161"/>
      <c r="BH1375" s="161"/>
      <c r="BI1375" s="161"/>
      <c r="BJ1375" s="161"/>
      <c r="BK1375" s="161"/>
      <c r="BL1375" s="161"/>
      <c r="BM1375" s="161"/>
      <c r="BN1375" s="161"/>
      <c r="BO1375" s="161"/>
      <c r="BP1375" s="161"/>
      <c r="BQ1375" s="161"/>
      <c r="BR1375" s="161"/>
      <c r="BS1375" s="161"/>
      <c r="BT1375" s="161"/>
      <c r="BU1375" s="161"/>
      <c r="BV1375" s="161"/>
      <c r="BW1375" s="161"/>
      <c r="BX1375" s="161"/>
      <c r="BY1375" s="161"/>
      <c r="BZ1375" s="161"/>
      <c r="CA1375" s="161"/>
      <c r="CB1375" s="161"/>
      <c r="CC1375" s="161"/>
      <c r="CD1375" s="161"/>
      <c r="CE1375" s="161"/>
      <c r="CF1375" s="161"/>
      <c r="CG1375" s="161"/>
    </row>
    <row r="1376">
      <c r="A1376" s="161"/>
      <c r="B1376" s="161"/>
      <c r="C1376" s="161"/>
      <c r="D1376" s="161"/>
      <c r="E1376" s="161"/>
      <c r="F1376" s="161"/>
      <c r="G1376" s="161"/>
      <c r="H1376" s="161"/>
      <c r="I1376" s="161"/>
      <c r="J1376" s="161"/>
      <c r="K1376" s="161"/>
      <c r="L1376" s="161"/>
      <c r="M1376" s="161"/>
      <c r="N1376" s="161"/>
      <c r="O1376" s="161"/>
      <c r="P1376" s="161"/>
      <c r="Q1376" s="161"/>
      <c r="R1376" s="161"/>
      <c r="S1376" s="161"/>
      <c r="T1376" s="161"/>
      <c r="U1376" s="161"/>
      <c r="V1376" s="161"/>
      <c r="W1376" s="161"/>
      <c r="X1376" s="161"/>
      <c r="Y1376" s="161"/>
      <c r="Z1376" s="161"/>
      <c r="AA1376" s="161"/>
      <c r="AB1376" s="161"/>
      <c r="AC1376" s="161"/>
      <c r="AD1376" s="161"/>
      <c r="AE1376" s="161"/>
      <c r="AF1376" s="161"/>
      <c r="AG1376" s="161"/>
      <c r="AH1376" s="161"/>
      <c r="AI1376" s="161"/>
      <c r="AJ1376" s="161"/>
      <c r="AK1376" s="161"/>
      <c r="AL1376" s="161"/>
      <c r="AM1376" s="161"/>
      <c r="AN1376" s="161"/>
      <c r="AO1376" s="161"/>
      <c r="AP1376" s="161"/>
      <c r="AQ1376" s="161"/>
      <c r="AR1376" s="161"/>
      <c r="AS1376" s="161"/>
      <c r="AT1376" s="161"/>
      <c r="AU1376" s="161"/>
      <c r="AV1376" s="161"/>
      <c r="AW1376" s="161"/>
      <c r="AX1376" s="161"/>
      <c r="AY1376" s="161"/>
      <c r="AZ1376" s="161"/>
      <c r="BA1376" s="161"/>
      <c r="BB1376" s="161"/>
      <c r="BC1376" s="161"/>
      <c r="BD1376" s="161"/>
      <c r="BE1376" s="161"/>
      <c r="BF1376" s="161"/>
      <c r="BG1376" s="161"/>
      <c r="BH1376" s="161"/>
      <c r="BI1376" s="161"/>
      <c r="BJ1376" s="161"/>
      <c r="BK1376" s="161"/>
      <c r="BL1376" s="161"/>
      <c r="BM1376" s="161"/>
      <c r="BN1376" s="161"/>
      <c r="BO1376" s="161"/>
      <c r="BP1376" s="161"/>
      <c r="BQ1376" s="161"/>
      <c r="BR1376" s="161"/>
      <c r="BS1376" s="161"/>
      <c r="BT1376" s="161"/>
      <c r="BU1376" s="161"/>
      <c r="BV1376" s="161"/>
      <c r="BW1376" s="161"/>
      <c r="BX1376" s="161"/>
      <c r="BY1376" s="161"/>
      <c r="BZ1376" s="161"/>
      <c r="CA1376" s="161"/>
      <c r="CB1376" s="161"/>
      <c r="CC1376" s="161"/>
      <c r="CD1376" s="161"/>
      <c r="CE1376" s="161"/>
      <c r="CF1376" s="161"/>
      <c r="CG1376" s="161"/>
    </row>
    <row r="1377">
      <c r="A1377" s="161"/>
      <c r="B1377" s="161"/>
      <c r="C1377" s="161"/>
      <c r="D1377" s="161"/>
      <c r="E1377" s="161"/>
      <c r="F1377" s="161"/>
      <c r="G1377" s="161"/>
      <c r="H1377" s="161"/>
      <c r="I1377" s="161"/>
      <c r="J1377" s="161"/>
      <c r="K1377" s="161"/>
      <c r="L1377" s="161"/>
      <c r="M1377" s="161"/>
      <c r="N1377" s="161"/>
      <c r="O1377" s="161"/>
      <c r="P1377" s="161"/>
      <c r="Q1377" s="161"/>
      <c r="R1377" s="161"/>
      <c r="S1377" s="161"/>
      <c r="T1377" s="161"/>
      <c r="U1377" s="161"/>
      <c r="V1377" s="161"/>
      <c r="W1377" s="161"/>
      <c r="X1377" s="161"/>
      <c r="Y1377" s="161"/>
      <c r="Z1377" s="161"/>
      <c r="AA1377" s="161"/>
      <c r="AB1377" s="161"/>
      <c r="AC1377" s="161"/>
      <c r="AD1377" s="161"/>
      <c r="AE1377" s="161"/>
      <c r="AF1377" s="161"/>
      <c r="AG1377" s="161"/>
      <c r="AH1377" s="161"/>
      <c r="AI1377" s="161"/>
      <c r="AJ1377" s="161"/>
      <c r="AK1377" s="161"/>
      <c r="AL1377" s="161"/>
      <c r="AM1377" s="161"/>
      <c r="AN1377" s="161"/>
      <c r="AO1377" s="161"/>
      <c r="AP1377" s="161"/>
      <c r="AQ1377" s="161"/>
      <c r="AR1377" s="161"/>
      <c r="AS1377" s="161"/>
      <c r="AT1377" s="161"/>
      <c r="AU1377" s="161"/>
      <c r="AV1377" s="161"/>
      <c r="AW1377" s="161"/>
      <c r="AX1377" s="161"/>
      <c r="AY1377" s="161"/>
      <c r="AZ1377" s="161"/>
      <c r="BA1377" s="161"/>
      <c r="BB1377" s="161"/>
      <c r="BC1377" s="161"/>
      <c r="BD1377" s="161"/>
      <c r="BE1377" s="161"/>
      <c r="BF1377" s="161"/>
      <c r="BG1377" s="161"/>
      <c r="BH1377" s="161"/>
      <c r="BI1377" s="161"/>
      <c r="BJ1377" s="161"/>
      <c r="BK1377" s="161"/>
      <c r="BL1377" s="161"/>
      <c r="BM1377" s="161"/>
      <c r="BN1377" s="161"/>
      <c r="BO1377" s="161"/>
      <c r="BP1377" s="161"/>
      <c r="BQ1377" s="161"/>
      <c r="BR1377" s="161"/>
      <c r="BS1377" s="161"/>
      <c r="BT1377" s="161"/>
      <c r="BU1377" s="161"/>
      <c r="BV1377" s="161"/>
      <c r="BW1377" s="161"/>
      <c r="BX1377" s="161"/>
      <c r="BY1377" s="161"/>
      <c r="BZ1377" s="161"/>
      <c r="CA1377" s="161"/>
      <c r="CB1377" s="161"/>
      <c r="CC1377" s="161"/>
      <c r="CD1377" s="161"/>
      <c r="CE1377" s="161"/>
      <c r="CF1377" s="161"/>
      <c r="CG1377" s="161"/>
    </row>
    <row r="1378">
      <c r="A1378" s="161"/>
      <c r="B1378" s="161"/>
      <c r="C1378" s="161"/>
      <c r="D1378" s="161"/>
      <c r="E1378" s="161"/>
      <c r="F1378" s="161"/>
      <c r="G1378" s="161"/>
      <c r="H1378" s="161"/>
      <c r="I1378" s="161"/>
      <c r="J1378" s="161"/>
      <c r="K1378" s="161"/>
      <c r="L1378" s="161"/>
      <c r="M1378" s="161"/>
      <c r="N1378" s="161"/>
      <c r="O1378" s="161"/>
      <c r="P1378" s="161"/>
      <c r="Q1378" s="161"/>
      <c r="R1378" s="161"/>
      <c r="S1378" s="161"/>
      <c r="T1378" s="161"/>
      <c r="U1378" s="161"/>
      <c r="V1378" s="161"/>
      <c r="W1378" s="161"/>
      <c r="X1378" s="161"/>
      <c r="Y1378" s="161"/>
      <c r="Z1378" s="161"/>
      <c r="AA1378" s="161"/>
      <c r="AB1378" s="161"/>
      <c r="AC1378" s="161"/>
      <c r="AD1378" s="161"/>
      <c r="AE1378" s="161"/>
      <c r="AF1378" s="161"/>
      <c r="AG1378" s="161"/>
      <c r="AH1378" s="161"/>
      <c r="AI1378" s="161"/>
      <c r="AJ1378" s="161"/>
      <c r="AK1378" s="161"/>
      <c r="AL1378" s="161"/>
      <c r="AM1378" s="161"/>
      <c r="AN1378" s="161"/>
      <c r="AO1378" s="161"/>
      <c r="AP1378" s="161"/>
      <c r="AQ1378" s="161"/>
      <c r="AR1378" s="161"/>
      <c r="AS1378" s="161"/>
      <c r="AT1378" s="161"/>
      <c r="AU1378" s="161"/>
      <c r="AV1378" s="161"/>
      <c r="AW1378" s="161"/>
      <c r="AX1378" s="161"/>
      <c r="AY1378" s="161"/>
      <c r="AZ1378" s="161"/>
      <c r="BA1378" s="161"/>
      <c r="BB1378" s="161"/>
      <c r="BC1378" s="161"/>
      <c r="BD1378" s="161"/>
      <c r="BE1378" s="161"/>
      <c r="BF1378" s="161"/>
      <c r="BG1378" s="161"/>
      <c r="BH1378" s="161"/>
      <c r="BI1378" s="161"/>
      <c r="BJ1378" s="161"/>
      <c r="BK1378" s="161"/>
      <c r="BL1378" s="161"/>
      <c r="BM1378" s="161"/>
      <c r="BN1378" s="161"/>
      <c r="BO1378" s="161"/>
      <c r="BP1378" s="161"/>
      <c r="BQ1378" s="161"/>
      <c r="BR1378" s="161"/>
      <c r="BS1378" s="161"/>
      <c r="BT1378" s="161"/>
      <c r="BU1378" s="161"/>
      <c r="BV1378" s="161"/>
      <c r="BW1378" s="161"/>
      <c r="BX1378" s="161"/>
      <c r="BY1378" s="161"/>
      <c r="BZ1378" s="161"/>
      <c r="CA1378" s="161"/>
      <c r="CB1378" s="161"/>
      <c r="CC1378" s="161"/>
      <c r="CD1378" s="161"/>
      <c r="CE1378" s="161"/>
      <c r="CF1378" s="161"/>
      <c r="CG1378" s="161"/>
    </row>
    <row r="1379">
      <c r="A1379" s="161"/>
      <c r="B1379" s="161"/>
      <c r="C1379" s="161"/>
      <c r="D1379" s="161"/>
      <c r="E1379" s="161"/>
      <c r="F1379" s="161"/>
      <c r="G1379" s="161"/>
      <c r="H1379" s="161"/>
      <c r="I1379" s="161"/>
      <c r="J1379" s="161"/>
      <c r="K1379" s="161"/>
      <c r="L1379" s="161"/>
      <c r="M1379" s="161"/>
      <c r="N1379" s="161"/>
      <c r="O1379" s="161"/>
      <c r="P1379" s="161"/>
      <c r="Q1379" s="161"/>
      <c r="R1379" s="161"/>
      <c r="S1379" s="161"/>
      <c r="T1379" s="161"/>
      <c r="U1379" s="161"/>
      <c r="V1379" s="161"/>
      <c r="W1379" s="161"/>
      <c r="X1379" s="161"/>
      <c r="Y1379" s="161"/>
      <c r="Z1379" s="161"/>
      <c r="AA1379" s="161"/>
      <c r="AB1379" s="161"/>
      <c r="AC1379" s="161"/>
      <c r="AD1379" s="161"/>
      <c r="AE1379" s="161"/>
      <c r="AF1379" s="161"/>
      <c r="AG1379" s="161"/>
      <c r="AH1379" s="161"/>
      <c r="AI1379" s="161"/>
      <c r="AJ1379" s="161"/>
      <c r="AK1379" s="161"/>
      <c r="AL1379" s="161"/>
      <c r="AM1379" s="161"/>
      <c r="AN1379" s="161"/>
      <c r="AO1379" s="161"/>
      <c r="AP1379" s="161"/>
      <c r="AQ1379" s="161"/>
      <c r="AR1379" s="161"/>
      <c r="AS1379" s="161"/>
      <c r="AT1379" s="161"/>
      <c r="AU1379" s="161"/>
      <c r="AV1379" s="161"/>
      <c r="AW1379" s="161"/>
      <c r="AX1379" s="161"/>
      <c r="AY1379" s="161"/>
      <c r="AZ1379" s="161"/>
      <c r="BA1379" s="161"/>
      <c r="BB1379" s="161"/>
      <c r="BC1379" s="161"/>
      <c r="BD1379" s="161"/>
      <c r="BE1379" s="161"/>
      <c r="BF1379" s="161"/>
      <c r="BG1379" s="161"/>
      <c r="BH1379" s="161"/>
      <c r="BI1379" s="161"/>
      <c r="BJ1379" s="161"/>
      <c r="BK1379" s="161"/>
      <c r="BL1379" s="161"/>
      <c r="BM1379" s="161"/>
      <c r="BN1379" s="161"/>
      <c r="BO1379" s="161"/>
      <c r="BP1379" s="161"/>
      <c r="BQ1379" s="161"/>
      <c r="BR1379" s="161"/>
      <c r="BS1379" s="161"/>
      <c r="BT1379" s="161"/>
      <c r="BU1379" s="161"/>
      <c r="BV1379" s="161"/>
      <c r="BW1379" s="161"/>
      <c r="BX1379" s="161"/>
      <c r="BY1379" s="161"/>
      <c r="BZ1379" s="161"/>
      <c r="CA1379" s="161"/>
      <c r="CB1379" s="161"/>
      <c r="CC1379" s="161"/>
      <c r="CD1379" s="161"/>
      <c r="CE1379" s="161"/>
      <c r="CF1379" s="161"/>
      <c r="CG1379" s="161"/>
    </row>
    <row r="1380">
      <c r="A1380" s="161"/>
      <c r="B1380" s="161"/>
      <c r="C1380" s="161"/>
      <c r="D1380" s="161"/>
      <c r="E1380" s="161"/>
      <c r="F1380" s="161"/>
      <c r="G1380" s="161"/>
      <c r="H1380" s="161"/>
      <c r="I1380" s="161"/>
      <c r="J1380" s="161"/>
      <c r="K1380" s="161"/>
      <c r="L1380" s="161"/>
      <c r="M1380" s="161"/>
      <c r="N1380" s="161"/>
      <c r="O1380" s="161"/>
      <c r="P1380" s="161"/>
      <c r="Q1380" s="161"/>
      <c r="R1380" s="161"/>
      <c r="S1380" s="161"/>
      <c r="T1380" s="161"/>
      <c r="U1380" s="161"/>
      <c r="V1380" s="161"/>
      <c r="W1380" s="161"/>
      <c r="X1380" s="161"/>
      <c r="Y1380" s="161"/>
      <c r="Z1380" s="161"/>
      <c r="AA1380" s="161"/>
      <c r="AB1380" s="161"/>
      <c r="AC1380" s="161"/>
      <c r="AD1380" s="161"/>
      <c r="AE1380" s="161"/>
      <c r="AF1380" s="161"/>
      <c r="AG1380" s="161"/>
      <c r="AH1380" s="161"/>
      <c r="AI1380" s="161"/>
      <c r="AJ1380" s="161"/>
      <c r="AK1380" s="161"/>
      <c r="AL1380" s="161"/>
      <c r="AM1380" s="161"/>
      <c r="AN1380" s="161"/>
      <c r="AO1380" s="161"/>
      <c r="AP1380" s="161"/>
      <c r="AQ1380" s="161"/>
      <c r="AR1380" s="161"/>
      <c r="AS1380" s="161"/>
      <c r="AT1380" s="161"/>
      <c r="AU1380" s="161"/>
      <c r="AV1380" s="161"/>
      <c r="AW1380" s="161"/>
      <c r="AX1380" s="161"/>
      <c r="AY1380" s="161"/>
      <c r="AZ1380" s="161"/>
      <c r="BA1380" s="161"/>
      <c r="BB1380" s="161"/>
      <c r="BC1380" s="161"/>
      <c r="BD1380" s="161"/>
      <c r="BE1380" s="161"/>
      <c r="BF1380" s="161"/>
      <c r="BG1380" s="161"/>
      <c r="BH1380" s="161"/>
      <c r="BI1380" s="161"/>
      <c r="BJ1380" s="161"/>
      <c r="BK1380" s="161"/>
      <c r="BL1380" s="161"/>
      <c r="BM1380" s="161"/>
      <c r="BN1380" s="161"/>
      <c r="BO1380" s="161"/>
      <c r="BP1380" s="161"/>
      <c r="BQ1380" s="161"/>
      <c r="BR1380" s="161"/>
      <c r="BS1380" s="161"/>
      <c r="BT1380" s="161"/>
      <c r="BU1380" s="161"/>
      <c r="BV1380" s="161"/>
      <c r="BW1380" s="161"/>
      <c r="BX1380" s="161"/>
      <c r="BY1380" s="161"/>
      <c r="BZ1380" s="161"/>
      <c r="CA1380" s="161"/>
      <c r="CB1380" s="161"/>
      <c r="CC1380" s="161"/>
      <c r="CD1380" s="161"/>
      <c r="CE1380" s="161"/>
      <c r="CF1380" s="161"/>
      <c r="CG1380" s="161"/>
    </row>
    <row r="1381">
      <c r="A1381" s="161"/>
      <c r="B1381" s="161"/>
      <c r="C1381" s="161"/>
      <c r="D1381" s="161"/>
      <c r="E1381" s="161"/>
      <c r="F1381" s="161"/>
      <c r="G1381" s="161"/>
      <c r="H1381" s="161"/>
      <c r="I1381" s="161"/>
      <c r="J1381" s="161"/>
      <c r="K1381" s="161"/>
      <c r="L1381" s="161"/>
      <c r="M1381" s="161"/>
      <c r="N1381" s="161"/>
      <c r="O1381" s="161"/>
      <c r="P1381" s="161"/>
      <c r="Q1381" s="161"/>
      <c r="R1381" s="161"/>
      <c r="S1381" s="161"/>
      <c r="T1381" s="161"/>
      <c r="U1381" s="161"/>
      <c r="V1381" s="161"/>
      <c r="W1381" s="161"/>
      <c r="X1381" s="161"/>
      <c r="Y1381" s="161"/>
      <c r="Z1381" s="161"/>
      <c r="AA1381" s="161"/>
      <c r="AB1381" s="161"/>
      <c r="AC1381" s="161"/>
      <c r="AD1381" s="161"/>
      <c r="AE1381" s="161"/>
      <c r="AF1381" s="161"/>
      <c r="AG1381" s="161"/>
      <c r="AH1381" s="161"/>
      <c r="AI1381" s="161"/>
      <c r="AJ1381" s="161"/>
      <c r="AK1381" s="161"/>
      <c r="AL1381" s="161"/>
      <c r="AM1381" s="161"/>
      <c r="AN1381" s="161"/>
      <c r="AO1381" s="161"/>
      <c r="AP1381" s="161"/>
      <c r="AQ1381" s="161"/>
      <c r="AR1381" s="161"/>
      <c r="AS1381" s="161"/>
      <c r="AT1381" s="161"/>
      <c r="AU1381" s="161"/>
      <c r="AV1381" s="161"/>
      <c r="AW1381" s="161"/>
      <c r="AX1381" s="161"/>
      <c r="AY1381" s="161"/>
      <c r="AZ1381" s="161"/>
      <c r="BA1381" s="161"/>
      <c r="BB1381" s="161"/>
      <c r="BC1381" s="161"/>
      <c r="BD1381" s="161"/>
      <c r="BE1381" s="161"/>
      <c r="BF1381" s="161"/>
      <c r="BG1381" s="161"/>
      <c r="BH1381" s="161"/>
      <c r="BI1381" s="161"/>
      <c r="BJ1381" s="161"/>
      <c r="BK1381" s="161"/>
      <c r="BL1381" s="161"/>
      <c r="BM1381" s="161"/>
      <c r="BN1381" s="161"/>
      <c r="BO1381" s="161"/>
      <c r="BP1381" s="161"/>
      <c r="BQ1381" s="161"/>
      <c r="BR1381" s="161"/>
      <c r="BS1381" s="161"/>
      <c r="BT1381" s="161"/>
      <c r="BU1381" s="161"/>
      <c r="BV1381" s="161"/>
      <c r="BW1381" s="161"/>
      <c r="BX1381" s="161"/>
      <c r="BY1381" s="161"/>
      <c r="BZ1381" s="161"/>
      <c r="CA1381" s="161"/>
      <c r="CB1381" s="161"/>
      <c r="CC1381" s="161"/>
      <c r="CD1381" s="161"/>
      <c r="CE1381" s="161"/>
      <c r="CF1381" s="161"/>
      <c r="CG1381" s="161"/>
    </row>
    <row r="1382">
      <c r="A1382" s="161"/>
      <c r="B1382" s="161"/>
      <c r="C1382" s="161"/>
      <c r="D1382" s="161"/>
      <c r="E1382" s="161"/>
      <c r="F1382" s="161"/>
      <c r="G1382" s="161"/>
      <c r="H1382" s="161"/>
      <c r="I1382" s="161"/>
      <c r="J1382" s="161"/>
      <c r="K1382" s="161"/>
      <c r="L1382" s="161"/>
      <c r="M1382" s="161"/>
      <c r="N1382" s="161"/>
      <c r="O1382" s="161"/>
      <c r="P1382" s="161"/>
      <c r="Q1382" s="161"/>
      <c r="R1382" s="161"/>
      <c r="S1382" s="161"/>
      <c r="T1382" s="161"/>
      <c r="U1382" s="161"/>
      <c r="V1382" s="161"/>
      <c r="W1382" s="161"/>
      <c r="X1382" s="161"/>
      <c r="Y1382" s="161"/>
      <c r="Z1382" s="161"/>
      <c r="AA1382" s="161"/>
      <c r="AB1382" s="161"/>
      <c r="AC1382" s="161"/>
      <c r="AD1382" s="161"/>
      <c r="AE1382" s="161"/>
      <c r="AF1382" s="161"/>
      <c r="AG1382" s="161"/>
      <c r="AH1382" s="161"/>
      <c r="AI1382" s="161"/>
      <c r="AJ1382" s="161"/>
      <c r="AK1382" s="161"/>
      <c r="AL1382" s="161"/>
      <c r="AM1382" s="161"/>
      <c r="AN1382" s="161"/>
      <c r="AO1382" s="161"/>
      <c r="AP1382" s="161"/>
      <c r="AQ1382" s="161"/>
      <c r="AR1382" s="161"/>
      <c r="AS1382" s="161"/>
      <c r="AT1382" s="161"/>
      <c r="AU1382" s="161"/>
      <c r="AV1382" s="161"/>
      <c r="AW1382" s="161"/>
      <c r="AX1382" s="161"/>
      <c r="AY1382" s="161"/>
      <c r="AZ1382" s="161"/>
      <c r="BA1382" s="161"/>
      <c r="BB1382" s="161"/>
      <c r="BC1382" s="161"/>
      <c r="BD1382" s="161"/>
      <c r="BE1382" s="161"/>
      <c r="BF1382" s="161"/>
      <c r="BG1382" s="161"/>
      <c r="BH1382" s="161"/>
      <c r="BI1382" s="161"/>
      <c r="BJ1382" s="161"/>
      <c r="BK1382" s="161"/>
      <c r="BL1382" s="161"/>
      <c r="BM1382" s="161"/>
      <c r="BN1382" s="161"/>
      <c r="BO1382" s="161"/>
      <c r="BP1382" s="161"/>
      <c r="BQ1382" s="161"/>
      <c r="BR1382" s="161"/>
      <c r="BS1382" s="161"/>
      <c r="BT1382" s="161"/>
      <c r="BU1382" s="161"/>
      <c r="BV1382" s="161"/>
      <c r="BW1382" s="161"/>
      <c r="BX1382" s="161"/>
      <c r="BY1382" s="161"/>
      <c r="BZ1382" s="161"/>
      <c r="CA1382" s="161"/>
      <c r="CB1382" s="161"/>
      <c r="CC1382" s="161"/>
      <c r="CD1382" s="161"/>
      <c r="CE1382" s="161"/>
      <c r="CF1382" s="161"/>
      <c r="CG1382" s="161"/>
    </row>
    <row r="1383">
      <c r="A1383" s="161"/>
      <c r="B1383" s="161"/>
      <c r="C1383" s="161"/>
      <c r="D1383" s="161"/>
      <c r="E1383" s="161"/>
      <c r="F1383" s="161"/>
      <c r="G1383" s="161"/>
      <c r="H1383" s="161"/>
      <c r="I1383" s="161"/>
      <c r="J1383" s="161"/>
      <c r="K1383" s="161"/>
      <c r="L1383" s="161"/>
      <c r="M1383" s="161"/>
      <c r="N1383" s="161"/>
      <c r="O1383" s="161"/>
      <c r="P1383" s="161"/>
      <c r="Q1383" s="161"/>
      <c r="R1383" s="161"/>
      <c r="S1383" s="161"/>
      <c r="T1383" s="161"/>
      <c r="U1383" s="161"/>
      <c r="V1383" s="161"/>
      <c r="W1383" s="161"/>
      <c r="X1383" s="161"/>
      <c r="Y1383" s="161"/>
      <c r="Z1383" s="161"/>
      <c r="AA1383" s="161"/>
      <c r="AB1383" s="161"/>
      <c r="AC1383" s="161"/>
      <c r="AD1383" s="161"/>
      <c r="AE1383" s="161"/>
      <c r="AF1383" s="161"/>
      <c r="AG1383" s="161"/>
      <c r="AH1383" s="161"/>
      <c r="AI1383" s="161"/>
      <c r="AJ1383" s="161"/>
      <c r="AK1383" s="161"/>
      <c r="AL1383" s="161"/>
      <c r="AM1383" s="161"/>
      <c r="AN1383" s="161"/>
      <c r="AO1383" s="161"/>
      <c r="AP1383" s="161"/>
      <c r="AQ1383" s="161"/>
      <c r="AR1383" s="161"/>
      <c r="AS1383" s="161"/>
      <c r="AT1383" s="161"/>
      <c r="AU1383" s="161"/>
      <c r="AV1383" s="161"/>
      <c r="AW1383" s="161"/>
      <c r="AX1383" s="161"/>
      <c r="AY1383" s="161"/>
      <c r="AZ1383" s="161"/>
      <c r="BA1383" s="161"/>
      <c r="BB1383" s="161"/>
      <c r="BC1383" s="161"/>
      <c r="BD1383" s="161"/>
      <c r="BE1383" s="161"/>
      <c r="BF1383" s="161"/>
      <c r="BG1383" s="161"/>
      <c r="BH1383" s="161"/>
      <c r="BI1383" s="161"/>
      <c r="BJ1383" s="161"/>
      <c r="BK1383" s="161"/>
      <c r="BL1383" s="161"/>
      <c r="BM1383" s="161"/>
      <c r="BN1383" s="161"/>
      <c r="BO1383" s="161"/>
      <c r="BP1383" s="161"/>
      <c r="BQ1383" s="161"/>
      <c r="BR1383" s="161"/>
      <c r="BS1383" s="161"/>
      <c r="BT1383" s="161"/>
      <c r="BU1383" s="161"/>
      <c r="BV1383" s="161"/>
      <c r="BW1383" s="161"/>
      <c r="BX1383" s="161"/>
      <c r="BY1383" s="161"/>
      <c r="BZ1383" s="161"/>
      <c r="CA1383" s="161"/>
      <c r="CB1383" s="161"/>
      <c r="CC1383" s="161"/>
      <c r="CD1383" s="161"/>
      <c r="CE1383" s="161"/>
      <c r="CF1383" s="161"/>
      <c r="CG1383" s="161"/>
    </row>
    <row r="1384">
      <c r="A1384" s="161"/>
      <c r="B1384" s="161"/>
      <c r="C1384" s="161"/>
      <c r="D1384" s="161"/>
      <c r="E1384" s="161"/>
      <c r="F1384" s="161"/>
      <c r="G1384" s="161"/>
      <c r="H1384" s="161"/>
      <c r="I1384" s="161"/>
      <c r="J1384" s="161"/>
      <c r="K1384" s="161"/>
      <c r="L1384" s="161"/>
      <c r="M1384" s="161"/>
      <c r="N1384" s="161"/>
      <c r="O1384" s="161"/>
      <c r="P1384" s="161"/>
      <c r="Q1384" s="161"/>
      <c r="R1384" s="161"/>
      <c r="S1384" s="161"/>
      <c r="T1384" s="161"/>
      <c r="U1384" s="161"/>
      <c r="V1384" s="161"/>
      <c r="W1384" s="161"/>
      <c r="X1384" s="161"/>
      <c r="Y1384" s="161"/>
      <c r="Z1384" s="161"/>
      <c r="AA1384" s="161"/>
      <c r="AB1384" s="161"/>
      <c r="AC1384" s="161"/>
      <c r="AD1384" s="161"/>
      <c r="AE1384" s="161"/>
      <c r="AF1384" s="161"/>
      <c r="AG1384" s="161"/>
      <c r="AH1384" s="161"/>
      <c r="AI1384" s="161"/>
      <c r="AJ1384" s="161"/>
      <c r="AK1384" s="161"/>
      <c r="AL1384" s="161"/>
      <c r="AM1384" s="161"/>
      <c r="AN1384" s="161"/>
      <c r="AO1384" s="161"/>
      <c r="AP1384" s="161"/>
      <c r="AQ1384" s="161"/>
      <c r="AR1384" s="161"/>
      <c r="AS1384" s="161"/>
      <c r="AT1384" s="161"/>
      <c r="AU1384" s="161"/>
      <c r="AV1384" s="161"/>
      <c r="AW1384" s="161"/>
      <c r="AX1384" s="161"/>
      <c r="AY1384" s="161"/>
      <c r="AZ1384" s="161"/>
      <c r="BA1384" s="161"/>
      <c r="BB1384" s="161"/>
      <c r="BC1384" s="161"/>
      <c r="BD1384" s="161"/>
      <c r="BE1384" s="161"/>
      <c r="BF1384" s="161"/>
      <c r="BG1384" s="161"/>
      <c r="BH1384" s="161"/>
      <c r="BI1384" s="161"/>
      <c r="BJ1384" s="161"/>
      <c r="BK1384" s="161"/>
      <c r="BL1384" s="161"/>
      <c r="BM1384" s="161"/>
      <c r="BN1384" s="161"/>
      <c r="BO1384" s="161"/>
      <c r="BP1384" s="161"/>
      <c r="BQ1384" s="161"/>
      <c r="BR1384" s="161"/>
      <c r="BS1384" s="161"/>
      <c r="BT1384" s="161"/>
      <c r="BU1384" s="161"/>
      <c r="BV1384" s="161"/>
      <c r="BW1384" s="161"/>
      <c r="BX1384" s="161"/>
      <c r="BY1384" s="161"/>
      <c r="BZ1384" s="161"/>
      <c r="CA1384" s="161"/>
      <c r="CB1384" s="161"/>
      <c r="CC1384" s="161"/>
      <c r="CD1384" s="161"/>
      <c r="CE1384" s="161"/>
      <c r="CF1384" s="161"/>
      <c r="CG1384" s="161"/>
    </row>
    <row r="1385">
      <c r="A1385" s="161"/>
      <c r="B1385" s="161"/>
      <c r="C1385" s="161"/>
      <c r="D1385" s="161"/>
      <c r="E1385" s="161"/>
      <c r="F1385" s="161"/>
      <c r="G1385" s="161"/>
      <c r="H1385" s="161"/>
      <c r="I1385" s="161"/>
      <c r="J1385" s="161"/>
      <c r="K1385" s="161"/>
      <c r="L1385" s="161"/>
      <c r="M1385" s="161"/>
      <c r="N1385" s="161"/>
      <c r="O1385" s="161"/>
      <c r="P1385" s="161"/>
      <c r="Q1385" s="161"/>
      <c r="R1385" s="161"/>
      <c r="S1385" s="161"/>
      <c r="T1385" s="161"/>
      <c r="U1385" s="161"/>
      <c r="V1385" s="161"/>
      <c r="W1385" s="161"/>
      <c r="X1385" s="161"/>
      <c r="Y1385" s="161"/>
      <c r="Z1385" s="161"/>
      <c r="AA1385" s="161"/>
      <c r="AB1385" s="161"/>
      <c r="AC1385" s="161"/>
      <c r="AD1385" s="161"/>
      <c r="AE1385" s="161"/>
      <c r="AF1385" s="161"/>
      <c r="AG1385" s="161"/>
      <c r="AH1385" s="161"/>
      <c r="AI1385" s="161"/>
      <c r="AJ1385" s="161"/>
      <c r="AK1385" s="161"/>
      <c r="AL1385" s="161"/>
      <c r="AM1385" s="161"/>
      <c r="AN1385" s="161"/>
      <c r="AO1385" s="161"/>
      <c r="AP1385" s="161"/>
      <c r="AQ1385" s="161"/>
      <c r="AR1385" s="161"/>
      <c r="AS1385" s="161"/>
      <c r="AT1385" s="161"/>
      <c r="AU1385" s="161"/>
      <c r="AV1385" s="161"/>
      <c r="AW1385" s="161"/>
      <c r="AX1385" s="161"/>
      <c r="AY1385" s="161"/>
      <c r="AZ1385" s="161"/>
      <c r="BA1385" s="161"/>
      <c r="BB1385" s="161"/>
      <c r="BC1385" s="161"/>
      <c r="BD1385" s="161"/>
      <c r="BE1385" s="161"/>
      <c r="BF1385" s="161"/>
      <c r="BG1385" s="161"/>
      <c r="BH1385" s="161"/>
      <c r="BI1385" s="161"/>
      <c r="BJ1385" s="161"/>
      <c r="BK1385" s="161"/>
      <c r="BL1385" s="161"/>
      <c r="BM1385" s="161"/>
      <c r="BN1385" s="161"/>
      <c r="BO1385" s="161"/>
      <c r="BP1385" s="161"/>
      <c r="BQ1385" s="161"/>
      <c r="BR1385" s="161"/>
      <c r="BS1385" s="161"/>
      <c r="BT1385" s="161"/>
      <c r="BU1385" s="161"/>
      <c r="BV1385" s="161"/>
      <c r="BW1385" s="161"/>
      <c r="BX1385" s="161"/>
      <c r="BY1385" s="161"/>
      <c r="BZ1385" s="161"/>
      <c r="CA1385" s="161"/>
      <c r="CB1385" s="161"/>
      <c r="CC1385" s="161"/>
      <c r="CD1385" s="161"/>
      <c r="CE1385" s="161"/>
      <c r="CF1385" s="161"/>
      <c r="CG1385" s="161"/>
    </row>
  </sheetData>
  <mergeCells count="490">
    <mergeCell ref="B40:BY40"/>
    <mergeCell ref="B41:BY41"/>
    <mergeCell ref="A32:A33"/>
    <mergeCell ref="A35:A36"/>
    <mergeCell ref="B35:BY35"/>
    <mergeCell ref="B36:BY36"/>
    <mergeCell ref="B37:BY37"/>
    <mergeCell ref="B38:BY38"/>
    <mergeCell ref="B39:BY39"/>
    <mergeCell ref="A37:A39"/>
    <mergeCell ref="A40:A47"/>
    <mergeCell ref="B42:BY42"/>
    <mergeCell ref="B43:BY43"/>
    <mergeCell ref="B44:BY44"/>
    <mergeCell ref="B45:BY45"/>
    <mergeCell ref="B46:BY46"/>
    <mergeCell ref="B47:BY47"/>
    <mergeCell ref="B48:BY48"/>
    <mergeCell ref="B49:BY49"/>
    <mergeCell ref="B50:BY50"/>
    <mergeCell ref="B51:BY51"/>
    <mergeCell ref="A52:A53"/>
    <mergeCell ref="B52:BY52"/>
    <mergeCell ref="B53:BY53"/>
    <mergeCell ref="B54:BY54"/>
    <mergeCell ref="B55:BY55"/>
    <mergeCell ref="A56:A57"/>
    <mergeCell ref="B56:BY56"/>
    <mergeCell ref="B57:BY57"/>
    <mergeCell ref="A58:A59"/>
    <mergeCell ref="B58:BY58"/>
    <mergeCell ref="B59:BY59"/>
    <mergeCell ref="B60:BY60"/>
    <mergeCell ref="B61:BY61"/>
    <mergeCell ref="A62:A64"/>
    <mergeCell ref="B62:BP62"/>
    <mergeCell ref="B63:BP63"/>
    <mergeCell ref="B64:BP64"/>
    <mergeCell ref="B65:BP65"/>
    <mergeCell ref="B66:BU66"/>
    <mergeCell ref="B67:BY67"/>
    <mergeCell ref="A68:A71"/>
    <mergeCell ref="B68:BP68"/>
    <mergeCell ref="B69:BU69"/>
    <mergeCell ref="B70:BP70"/>
    <mergeCell ref="B71:BP71"/>
    <mergeCell ref="B72:BP72"/>
    <mergeCell ref="B73:BP73"/>
    <mergeCell ref="B74:BU74"/>
    <mergeCell ref="B75:BP75"/>
    <mergeCell ref="B76:BU76"/>
    <mergeCell ref="A73:A75"/>
    <mergeCell ref="A77:A78"/>
    <mergeCell ref="B77:BP77"/>
    <mergeCell ref="B78:BP78"/>
    <mergeCell ref="A79:A82"/>
    <mergeCell ref="B79:BP79"/>
    <mergeCell ref="B80:BP80"/>
    <mergeCell ref="B81:BP81"/>
    <mergeCell ref="B82:BP82"/>
    <mergeCell ref="B83:BU83"/>
    <mergeCell ref="B84:BY84"/>
    <mergeCell ref="B85:BY85"/>
    <mergeCell ref="B86:BU86"/>
    <mergeCell ref="B87:BU87"/>
    <mergeCell ref="B88:BU88"/>
    <mergeCell ref="B89:BU89"/>
    <mergeCell ref="A90:A92"/>
    <mergeCell ref="B90:BP90"/>
    <mergeCell ref="B91:BU91"/>
    <mergeCell ref="B92:BP92"/>
    <mergeCell ref="B93:BP93"/>
    <mergeCell ref="B94:BU94"/>
    <mergeCell ref="B95:BU95"/>
    <mergeCell ref="A96:A99"/>
    <mergeCell ref="B96:BU96"/>
    <mergeCell ref="B97:BU97"/>
    <mergeCell ref="B98:BU98"/>
    <mergeCell ref="B99:BP99"/>
    <mergeCell ref="B106:BU106"/>
    <mergeCell ref="B107:BU107"/>
    <mergeCell ref="B100:BU100"/>
    <mergeCell ref="B101:BU101"/>
    <mergeCell ref="B102:BU102"/>
    <mergeCell ref="B103:BY103"/>
    <mergeCell ref="B104:BU104"/>
    <mergeCell ref="B105:BU105"/>
    <mergeCell ref="A106:A108"/>
    <mergeCell ref="Y3:Z3"/>
    <mergeCell ref="AA3:AB3"/>
    <mergeCell ref="AC3:AE3"/>
    <mergeCell ref="AF3:AH3"/>
    <mergeCell ref="AJ3:AK3"/>
    <mergeCell ref="AQ3:AS3"/>
    <mergeCell ref="AT3:AU3"/>
    <mergeCell ref="AX3:AY3"/>
    <mergeCell ref="AZ3:BA3"/>
    <mergeCell ref="BB3:BE3"/>
    <mergeCell ref="BC4:BE4"/>
    <mergeCell ref="BH4:BI4"/>
    <mergeCell ref="BH3:BI3"/>
    <mergeCell ref="BP3:BR3"/>
    <mergeCell ref="BX4:BY4"/>
    <mergeCell ref="B182:BP182"/>
    <mergeCell ref="B183:BU183"/>
    <mergeCell ref="B169:BP169"/>
    <mergeCell ref="B170:BP170"/>
    <mergeCell ref="B171:BU171"/>
    <mergeCell ref="B172:BP172"/>
    <mergeCell ref="A173:A175"/>
    <mergeCell ref="B173:BP173"/>
    <mergeCell ref="B174:BP174"/>
    <mergeCell ref="B175:BP175"/>
    <mergeCell ref="B176:BY176"/>
    <mergeCell ref="B177:BP177"/>
    <mergeCell ref="B178:BP178"/>
    <mergeCell ref="B179:BP179"/>
    <mergeCell ref="B180:BY180"/>
    <mergeCell ref="B181:BU181"/>
    <mergeCell ref="A184:A185"/>
    <mergeCell ref="B184:BP184"/>
    <mergeCell ref="B185:BP185"/>
    <mergeCell ref="B186:BY186"/>
    <mergeCell ref="B187:BU187"/>
    <mergeCell ref="A188:A189"/>
    <mergeCell ref="B188:BP188"/>
    <mergeCell ref="B195:BP195"/>
    <mergeCell ref="B196:BP196"/>
    <mergeCell ref="A194:A196"/>
    <mergeCell ref="A198:A199"/>
    <mergeCell ref="B189:BP189"/>
    <mergeCell ref="B190:BU190"/>
    <mergeCell ref="B191:BU191"/>
    <mergeCell ref="B192:BU192"/>
    <mergeCell ref="B193:BY193"/>
    <mergeCell ref="B194:BP194"/>
    <mergeCell ref="B197:BU197"/>
    <mergeCell ref="B198:BP198"/>
    <mergeCell ref="B199:BP199"/>
    <mergeCell ref="B200:BX200"/>
    <mergeCell ref="B201:BY201"/>
    <mergeCell ref="B202:BY202"/>
    <mergeCell ref="B203:BT203"/>
    <mergeCell ref="B204:BX204"/>
    <mergeCell ref="B2:AL2"/>
    <mergeCell ref="AM2:AU2"/>
    <mergeCell ref="AV2:BK2"/>
    <mergeCell ref="BL2:BY2"/>
    <mergeCell ref="C3:F3"/>
    <mergeCell ref="H3:I3"/>
    <mergeCell ref="K3:O3"/>
    <mergeCell ref="BU3:BW3"/>
    <mergeCell ref="P3:S3"/>
    <mergeCell ref="V3:X3"/>
    <mergeCell ref="D4:F4"/>
    <mergeCell ref="A6:A10"/>
    <mergeCell ref="B32:BY32"/>
    <mergeCell ref="B33:BY33"/>
    <mergeCell ref="B34:BY34"/>
    <mergeCell ref="B108:BP108"/>
    <mergeCell ref="B109:BU109"/>
    <mergeCell ref="B110:BU110"/>
    <mergeCell ref="B111:BP111"/>
    <mergeCell ref="A112:A114"/>
    <mergeCell ref="B112:BU112"/>
    <mergeCell ref="B113:BU113"/>
    <mergeCell ref="B114:BP114"/>
    <mergeCell ref="B115:BU115"/>
    <mergeCell ref="B116:BP116"/>
    <mergeCell ref="B117:BP117"/>
    <mergeCell ref="B118:BU118"/>
    <mergeCell ref="B119:BY119"/>
    <mergeCell ref="B120:BY120"/>
    <mergeCell ref="B121:BU121"/>
    <mergeCell ref="B122:BY122"/>
    <mergeCell ref="B123:BY123"/>
    <mergeCell ref="B124:BU124"/>
    <mergeCell ref="B125:BY125"/>
    <mergeCell ref="B126:BY126"/>
    <mergeCell ref="B127:BX127"/>
    <mergeCell ref="B128:BU128"/>
    <mergeCell ref="B129:BY129"/>
    <mergeCell ref="B130:BU130"/>
    <mergeCell ref="B131:BY131"/>
    <mergeCell ref="B132:BU132"/>
    <mergeCell ref="B133:BY133"/>
    <mergeCell ref="B134:BX134"/>
    <mergeCell ref="B141:BX141"/>
    <mergeCell ref="B142:BX142"/>
    <mergeCell ref="B135:BX135"/>
    <mergeCell ref="B136:BX136"/>
    <mergeCell ref="B137:BY137"/>
    <mergeCell ref="B138:BY138"/>
    <mergeCell ref="B139:BX139"/>
    <mergeCell ref="B140:BU140"/>
    <mergeCell ref="A141:A142"/>
    <mergeCell ref="B143:BY143"/>
    <mergeCell ref="B144:BP144"/>
    <mergeCell ref="B145:BU145"/>
    <mergeCell ref="B146:BU146"/>
    <mergeCell ref="B147:BU147"/>
    <mergeCell ref="B148:BY148"/>
    <mergeCell ref="B149:BY149"/>
    <mergeCell ref="B150:BY150"/>
    <mergeCell ref="B151:BP151"/>
    <mergeCell ref="B152:BU152"/>
    <mergeCell ref="B153:BY153"/>
    <mergeCell ref="B154:BU154"/>
    <mergeCell ref="B155:BP155"/>
    <mergeCell ref="B156:BP156"/>
    <mergeCell ref="B157:BU157"/>
    <mergeCell ref="A158:A159"/>
    <mergeCell ref="B158:BP158"/>
    <mergeCell ref="B159:BP159"/>
    <mergeCell ref="B160:BY160"/>
    <mergeCell ref="B161:BU161"/>
    <mergeCell ref="B162:BP162"/>
    <mergeCell ref="B163:BU163"/>
    <mergeCell ref="B164:BU164"/>
    <mergeCell ref="A165:A167"/>
    <mergeCell ref="B165:BP165"/>
    <mergeCell ref="B166:BP166"/>
    <mergeCell ref="B167:BP167"/>
    <mergeCell ref="B168:BY168"/>
    <mergeCell ref="B205:BY205"/>
    <mergeCell ref="B206:BX206"/>
    <mergeCell ref="B207:BT207"/>
    <mergeCell ref="B208:BX208"/>
    <mergeCell ref="B209:BX209"/>
    <mergeCell ref="B210:BY210"/>
    <mergeCell ref="B211:BX211"/>
    <mergeCell ref="B212:BX212"/>
    <mergeCell ref="B213:BY213"/>
    <mergeCell ref="B214:BP214"/>
    <mergeCell ref="B215:BY215"/>
    <mergeCell ref="B216:BP216"/>
    <mergeCell ref="B217:BY217"/>
    <mergeCell ref="B218:BX218"/>
    <mergeCell ref="B219:BX219"/>
    <mergeCell ref="B220:BY220"/>
    <mergeCell ref="A221:A222"/>
    <mergeCell ref="B221:BX221"/>
    <mergeCell ref="B222:BX222"/>
    <mergeCell ref="B223:BX223"/>
    <mergeCell ref="B224:BX224"/>
    <mergeCell ref="B225:BX225"/>
    <mergeCell ref="B226:BY226"/>
    <mergeCell ref="B227:BY227"/>
    <mergeCell ref="B228:BY228"/>
    <mergeCell ref="B229:BX229"/>
    <mergeCell ref="B230:BY230"/>
    <mergeCell ref="B231:BX231"/>
    <mergeCell ref="B232:BY232"/>
    <mergeCell ref="B233:BY233"/>
    <mergeCell ref="B234:BY234"/>
    <mergeCell ref="B235:BX235"/>
    <mergeCell ref="B236:BY236"/>
    <mergeCell ref="B237:BX237"/>
    <mergeCell ref="A238:A239"/>
    <mergeCell ref="B238:BX238"/>
    <mergeCell ref="B239:BX239"/>
    <mergeCell ref="B240:BT240"/>
    <mergeCell ref="B241:BX241"/>
    <mergeCell ref="B242:BY242"/>
    <mergeCell ref="B243:BX243"/>
    <mergeCell ref="B244:BX244"/>
    <mergeCell ref="B245:BT245"/>
    <mergeCell ref="B246:BT246"/>
    <mergeCell ref="B247:BY247"/>
    <mergeCell ref="B248:BX248"/>
    <mergeCell ref="B249:BX249"/>
    <mergeCell ref="B250:BX250"/>
    <mergeCell ref="B251:BX251"/>
    <mergeCell ref="A417:A418"/>
    <mergeCell ref="A419:A420"/>
    <mergeCell ref="B419:BX419"/>
    <mergeCell ref="B420:BX420"/>
    <mergeCell ref="B421:BY421"/>
    <mergeCell ref="B422:BX422"/>
    <mergeCell ref="B423:BX423"/>
    <mergeCell ref="B424:BX424"/>
    <mergeCell ref="B425:BX425"/>
    <mergeCell ref="B426:BX426"/>
    <mergeCell ref="B427:BX427"/>
    <mergeCell ref="B428:BX428"/>
    <mergeCell ref="B429:BY429"/>
    <mergeCell ref="B430:BX430"/>
    <mergeCell ref="B441:BX441"/>
    <mergeCell ref="B442:BX442"/>
    <mergeCell ref="B443:BX443"/>
    <mergeCell ref="B444:BX444"/>
    <mergeCell ref="B445:BX445"/>
    <mergeCell ref="A446:A447"/>
    <mergeCell ref="B446:BX446"/>
    <mergeCell ref="B447:BX447"/>
    <mergeCell ref="B448:BY448"/>
    <mergeCell ref="B435:BX435"/>
    <mergeCell ref="B436:BX436"/>
    <mergeCell ref="B437:BX437"/>
    <mergeCell ref="B438:BY438"/>
    <mergeCell ref="B439:BX439"/>
    <mergeCell ref="B440:BY440"/>
    <mergeCell ref="A442:A444"/>
    <mergeCell ref="B344:BX344"/>
    <mergeCell ref="B345:BX345"/>
    <mergeCell ref="B346:BY346"/>
    <mergeCell ref="B347:BP347"/>
    <mergeCell ref="B348:BY348"/>
    <mergeCell ref="B349:BX349"/>
    <mergeCell ref="B350:BX350"/>
    <mergeCell ref="B351:BY351"/>
    <mergeCell ref="B352:BY352"/>
    <mergeCell ref="B353:BX353"/>
    <mergeCell ref="B354:BX354"/>
    <mergeCell ref="B355:BY355"/>
    <mergeCell ref="B356:BY356"/>
    <mergeCell ref="B357:BY357"/>
    <mergeCell ref="B358:CG358"/>
    <mergeCell ref="B359:BX359"/>
    <mergeCell ref="B360:BT360"/>
    <mergeCell ref="B361:BY361"/>
    <mergeCell ref="B362:BX362"/>
    <mergeCell ref="B363:BY363"/>
    <mergeCell ref="B364:CG364"/>
    <mergeCell ref="B365:BP365"/>
    <mergeCell ref="B366:BY366"/>
    <mergeCell ref="B367:BP367"/>
    <mergeCell ref="B368:BP368"/>
    <mergeCell ref="B369:BX369"/>
    <mergeCell ref="B370:BU370"/>
    <mergeCell ref="B371:BU371"/>
    <mergeCell ref="B372:BP372"/>
    <mergeCell ref="B373:BP373"/>
    <mergeCell ref="B374:CG374"/>
    <mergeCell ref="A375:A377"/>
    <mergeCell ref="B375:BU375"/>
    <mergeCell ref="B376:BP376"/>
    <mergeCell ref="B377:BP377"/>
    <mergeCell ref="B384:BX384"/>
    <mergeCell ref="B385:BX385"/>
    <mergeCell ref="A426:A428"/>
    <mergeCell ref="A431:A432"/>
    <mergeCell ref="B431:BX431"/>
    <mergeCell ref="B432:BX432"/>
    <mergeCell ref="A433:A435"/>
    <mergeCell ref="B433:BX433"/>
    <mergeCell ref="B434:BX434"/>
    <mergeCell ref="B281:BY281"/>
    <mergeCell ref="B282:BX282"/>
    <mergeCell ref="B283:BY283"/>
    <mergeCell ref="B284:BP284"/>
    <mergeCell ref="B285:BX285"/>
    <mergeCell ref="B286:BU286"/>
    <mergeCell ref="B287:BP287"/>
    <mergeCell ref="B288:BX288"/>
    <mergeCell ref="B289:BY289"/>
    <mergeCell ref="B290:BU290"/>
    <mergeCell ref="B291:BP291"/>
    <mergeCell ref="B292:BP292"/>
    <mergeCell ref="B293:BY293"/>
    <mergeCell ref="B294:BY294"/>
    <mergeCell ref="B258:BT258"/>
    <mergeCell ref="B259:BX259"/>
    <mergeCell ref="B252:BY252"/>
    <mergeCell ref="B253:BX253"/>
    <mergeCell ref="B254:BT254"/>
    <mergeCell ref="B255:BY255"/>
    <mergeCell ref="B256:BX256"/>
    <mergeCell ref="B257:BX257"/>
    <mergeCell ref="A259:A260"/>
    <mergeCell ref="B260:BX260"/>
    <mergeCell ref="B261:BY261"/>
    <mergeCell ref="B262:BT262"/>
    <mergeCell ref="B263:BX263"/>
    <mergeCell ref="B264:BY264"/>
    <mergeCell ref="B265:BX265"/>
    <mergeCell ref="B266:BT266"/>
    <mergeCell ref="B273:BX273"/>
    <mergeCell ref="B274:BX274"/>
    <mergeCell ref="B267:BX267"/>
    <mergeCell ref="B268:BX268"/>
    <mergeCell ref="B269:BY269"/>
    <mergeCell ref="B270:BY270"/>
    <mergeCell ref="B271:BX271"/>
    <mergeCell ref="A272:A274"/>
    <mergeCell ref="B272:BX272"/>
    <mergeCell ref="B275:BY275"/>
    <mergeCell ref="B276:BX276"/>
    <mergeCell ref="B277:BX277"/>
    <mergeCell ref="A278:A280"/>
    <mergeCell ref="B278:BX278"/>
    <mergeCell ref="B279:BX279"/>
    <mergeCell ref="B280:BX280"/>
    <mergeCell ref="B295:BT295"/>
    <mergeCell ref="B296:BU296"/>
    <mergeCell ref="B297:BY297"/>
    <mergeCell ref="B298:BY298"/>
    <mergeCell ref="B299:BP299"/>
    <mergeCell ref="B300:BP300"/>
    <mergeCell ref="B301:BY301"/>
    <mergeCell ref="B302:BU302"/>
    <mergeCell ref="B303:BY303"/>
    <mergeCell ref="B304:BU304"/>
    <mergeCell ref="B305:BP305"/>
    <mergeCell ref="B306:BP306"/>
    <mergeCell ref="B307:BY307"/>
    <mergeCell ref="B308:BP308"/>
    <mergeCell ref="B309:BY309"/>
    <mergeCell ref="B310:BX310"/>
    <mergeCell ref="B311:BP311"/>
    <mergeCell ref="B312:BY312"/>
    <mergeCell ref="B313:BP313"/>
    <mergeCell ref="B314:BY314"/>
    <mergeCell ref="B315:BT315"/>
    <mergeCell ref="B316:BU316"/>
    <mergeCell ref="B317:BY317"/>
    <mergeCell ref="B318:BY318"/>
    <mergeCell ref="B319:BY319"/>
    <mergeCell ref="A320:A321"/>
    <mergeCell ref="B320:BP320"/>
    <mergeCell ref="B321:BP321"/>
    <mergeCell ref="B328:BY328"/>
    <mergeCell ref="B329:BX329"/>
    <mergeCell ref="B322:BY322"/>
    <mergeCell ref="B323:BP323"/>
    <mergeCell ref="B324:BP324"/>
    <mergeCell ref="B325:BY325"/>
    <mergeCell ref="B326:BP326"/>
    <mergeCell ref="B327:BP327"/>
    <mergeCell ref="A329:A331"/>
    <mergeCell ref="B330:BX330"/>
    <mergeCell ref="B331:BX331"/>
    <mergeCell ref="B332:BP332"/>
    <mergeCell ref="B333:BY333"/>
    <mergeCell ref="B334:BX334"/>
    <mergeCell ref="B335:BY335"/>
    <mergeCell ref="B336:BT336"/>
    <mergeCell ref="B337:BU337"/>
    <mergeCell ref="B338:BY338"/>
    <mergeCell ref="B339:BY339"/>
    <mergeCell ref="B340:BX340"/>
    <mergeCell ref="B341:BY341"/>
    <mergeCell ref="B342:BY342"/>
    <mergeCell ref="B343:BX343"/>
    <mergeCell ref="B378:BU378"/>
    <mergeCell ref="B379:BT379"/>
    <mergeCell ref="B380:BP380"/>
    <mergeCell ref="B381:BX381"/>
    <mergeCell ref="B382:BY382"/>
    <mergeCell ref="B383:BX383"/>
    <mergeCell ref="A384:A386"/>
    <mergeCell ref="B386:BX386"/>
    <mergeCell ref="B387:BX387"/>
    <mergeCell ref="B388:BX388"/>
    <mergeCell ref="A389:A391"/>
    <mergeCell ref="B389:BX389"/>
    <mergeCell ref="B390:BX390"/>
    <mergeCell ref="B391:BX391"/>
    <mergeCell ref="B392:BX392"/>
    <mergeCell ref="B393:BX393"/>
    <mergeCell ref="B394:BX394"/>
    <mergeCell ref="B395:BX395"/>
    <mergeCell ref="A396:A398"/>
    <mergeCell ref="B396:BX396"/>
    <mergeCell ref="B397:BX397"/>
    <mergeCell ref="B398:BX398"/>
    <mergeCell ref="B399:BX399"/>
    <mergeCell ref="B400:BP400"/>
    <mergeCell ref="A401:A403"/>
    <mergeCell ref="B401:BX401"/>
    <mergeCell ref="B402:BX402"/>
    <mergeCell ref="B403:BX403"/>
    <mergeCell ref="B411:BX411"/>
    <mergeCell ref="B412:BX412"/>
    <mergeCell ref="B404:BX404"/>
    <mergeCell ref="B405:BX405"/>
    <mergeCell ref="B406:BY406"/>
    <mergeCell ref="B407:BX407"/>
    <mergeCell ref="B408:BX408"/>
    <mergeCell ref="B409:BX409"/>
    <mergeCell ref="B410:BX410"/>
    <mergeCell ref="B416:BX416"/>
    <mergeCell ref="B417:BX417"/>
    <mergeCell ref="A407:A409"/>
    <mergeCell ref="A411:A413"/>
    <mergeCell ref="B413:BX413"/>
    <mergeCell ref="A414:A415"/>
    <mergeCell ref="B414:BX414"/>
    <mergeCell ref="B415:BX415"/>
    <mergeCell ref="B418:BX418"/>
  </mergeCells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Right="0"/>
  </sheetPr>
  <sheetViews>
    <sheetView workbookViewId="0">
      <pane xSplit="1.0" ySplit="10.0" topLeftCell="B11" activePane="bottomRight" state="frozen"/>
      <selection activeCell="B1" sqref="B1" pane="topRight"/>
      <selection activeCell="A11" sqref="A11" pane="bottomLeft"/>
      <selection activeCell="B11" sqref="B11" pane="bottomRight"/>
    </sheetView>
  </sheetViews>
  <sheetFormatPr customHeight="1" defaultColWidth="14.43" defaultRowHeight="15.0" outlineLevelRow="1"/>
  <cols>
    <col customWidth="1" min="1" max="1" width="20.29"/>
    <col customWidth="1" min="2" max="68" width="5.43"/>
  </cols>
  <sheetData>
    <row r="1" hidden="1" outlineLevel="1">
      <c r="A1" s="158"/>
      <c r="B1" s="159" t="s">
        <v>449</v>
      </c>
      <c r="C1" s="159" t="s">
        <v>450</v>
      </c>
      <c r="D1" s="159" t="s">
        <v>451</v>
      </c>
      <c r="E1" s="159" t="s">
        <v>452</v>
      </c>
      <c r="F1" s="159" t="s">
        <v>453</v>
      </c>
      <c r="G1" s="159" t="s">
        <v>454</v>
      </c>
      <c r="H1" s="159" t="s">
        <v>455</v>
      </c>
      <c r="I1" s="159" t="s">
        <v>456</v>
      </c>
      <c r="J1" s="159" t="s">
        <v>457</v>
      </c>
      <c r="K1" s="159" t="s">
        <v>458</v>
      </c>
      <c r="L1" s="159" t="s">
        <v>459</v>
      </c>
      <c r="M1" s="160" t="s">
        <v>460</v>
      </c>
      <c r="N1" s="160" t="s">
        <v>461</v>
      </c>
      <c r="O1" s="159" t="s">
        <v>463</v>
      </c>
      <c r="P1" s="159" t="s">
        <v>466</v>
      </c>
      <c r="Q1" s="159" t="s">
        <v>467</v>
      </c>
      <c r="R1" s="159" t="s">
        <v>468</v>
      </c>
      <c r="S1" s="159" t="s">
        <v>469</v>
      </c>
      <c r="T1" s="159" t="s">
        <v>470</v>
      </c>
      <c r="U1" s="159" t="s">
        <v>471</v>
      </c>
      <c r="V1" s="159" t="s">
        <v>472</v>
      </c>
      <c r="W1" s="159" t="s">
        <v>473</v>
      </c>
      <c r="X1" s="159" t="s">
        <v>475</v>
      </c>
      <c r="Y1" s="159" t="s">
        <v>476</v>
      </c>
      <c r="Z1" s="159" t="s">
        <v>478</v>
      </c>
      <c r="AA1" s="159" t="s">
        <v>479</v>
      </c>
      <c r="AB1" s="159" t="s">
        <v>481</v>
      </c>
      <c r="AC1" s="159" t="s">
        <v>482</v>
      </c>
      <c r="AD1" s="159" t="s">
        <v>483</v>
      </c>
      <c r="AE1" s="159" t="s">
        <v>484</v>
      </c>
      <c r="AF1" s="159" t="s">
        <v>485</v>
      </c>
      <c r="AG1" s="159" t="s">
        <v>486</v>
      </c>
      <c r="AH1" s="159" t="s">
        <v>488</v>
      </c>
      <c r="AI1" s="159" t="s">
        <v>490</v>
      </c>
      <c r="AJ1" s="159" t="s">
        <v>491</v>
      </c>
      <c r="AK1" s="159" t="s">
        <v>493</v>
      </c>
      <c r="AL1" s="159" t="s">
        <v>494</v>
      </c>
      <c r="AM1" s="159" t="s">
        <v>495</v>
      </c>
      <c r="AN1" s="159" t="s">
        <v>496</v>
      </c>
      <c r="AO1" s="159" t="s">
        <v>497</v>
      </c>
      <c r="AP1" s="159" t="s">
        <v>498</v>
      </c>
      <c r="AQ1" s="159" t="s">
        <v>499</v>
      </c>
      <c r="AR1" s="159" t="s">
        <v>500</v>
      </c>
      <c r="AS1" s="159" t="s">
        <v>501</v>
      </c>
      <c r="AT1" s="159" t="s">
        <v>502</v>
      </c>
      <c r="AU1" s="159" t="s">
        <v>503</v>
      </c>
      <c r="AV1" s="159" t="s">
        <v>504</v>
      </c>
      <c r="AW1" s="159" t="s">
        <v>505</v>
      </c>
      <c r="AX1" s="159" t="s">
        <v>506</v>
      </c>
      <c r="AY1" s="159" t="s">
        <v>507</v>
      </c>
      <c r="AZ1" s="159" t="s">
        <v>508</v>
      </c>
      <c r="BA1" s="159" t="s">
        <v>509</v>
      </c>
      <c r="BB1" s="159" t="s">
        <v>510</v>
      </c>
      <c r="BC1" s="159" t="s">
        <v>511</v>
      </c>
      <c r="BD1" s="159" t="s">
        <v>512</v>
      </c>
      <c r="BE1" s="159" t="s">
        <v>513</v>
      </c>
      <c r="BF1" s="159" t="s">
        <v>514</v>
      </c>
      <c r="BG1" s="159" t="s">
        <v>515</v>
      </c>
      <c r="BH1" s="159" t="s">
        <v>516</v>
      </c>
      <c r="BI1" s="159" t="s">
        <v>517</v>
      </c>
      <c r="BJ1" s="159" t="s">
        <v>518</v>
      </c>
      <c r="BK1" s="159" t="s">
        <v>519</v>
      </c>
      <c r="BL1" s="159" t="s">
        <v>520</v>
      </c>
      <c r="BM1" s="159" t="s">
        <v>521</v>
      </c>
      <c r="BN1" s="159" t="s">
        <v>522</v>
      </c>
      <c r="BO1" s="159" t="s">
        <v>523</v>
      </c>
      <c r="BP1" s="159" t="s">
        <v>524</v>
      </c>
      <c r="BQ1" s="161"/>
      <c r="BR1" s="161"/>
      <c r="BS1" s="161"/>
      <c r="BT1" s="161"/>
      <c r="BU1" s="161"/>
      <c r="BV1" s="161"/>
      <c r="BW1" s="161"/>
      <c r="BX1" s="161"/>
    </row>
    <row r="2" ht="15.75" customHeight="1" collapsed="1">
      <c r="A2" s="162" t="s">
        <v>1141</v>
      </c>
      <c r="B2" s="163" t="s">
        <v>526</v>
      </c>
      <c r="AG2" s="164" t="s">
        <v>527</v>
      </c>
      <c r="AM2" s="165" t="s">
        <v>528</v>
      </c>
      <c r="BC2" s="166" t="s">
        <v>529</v>
      </c>
      <c r="BQ2" s="161"/>
      <c r="BR2" s="161"/>
      <c r="BS2" s="161"/>
      <c r="BT2" s="161"/>
      <c r="BU2" s="161"/>
      <c r="BV2" s="161"/>
      <c r="BW2" s="161"/>
      <c r="BX2" s="161"/>
    </row>
    <row r="3">
      <c r="A3" s="167" t="s">
        <v>530</v>
      </c>
      <c r="B3" s="168" t="s">
        <v>531</v>
      </c>
      <c r="C3" s="169" t="s">
        <v>5</v>
      </c>
      <c r="F3" s="15"/>
      <c r="G3" s="168" t="s">
        <v>6</v>
      </c>
      <c r="H3" s="170" t="s">
        <v>7</v>
      </c>
      <c r="I3" s="15"/>
      <c r="J3" s="171" t="s">
        <v>8</v>
      </c>
      <c r="K3" s="168" t="s">
        <v>9</v>
      </c>
      <c r="O3" s="169" t="s">
        <v>10</v>
      </c>
      <c r="P3" s="15"/>
      <c r="Q3" s="172" t="s">
        <v>13</v>
      </c>
      <c r="R3" s="171" t="s">
        <v>22</v>
      </c>
      <c r="S3" s="169" t="s">
        <v>36</v>
      </c>
      <c r="U3" s="15"/>
      <c r="V3" s="168" t="s">
        <v>29</v>
      </c>
      <c r="W3" s="15"/>
      <c r="X3" s="171" t="s">
        <v>30</v>
      </c>
      <c r="Y3" s="169" t="s">
        <v>31</v>
      </c>
      <c r="Z3" s="15"/>
      <c r="AA3" s="168" t="s">
        <v>32</v>
      </c>
      <c r="AB3" s="15"/>
      <c r="AC3" s="173" t="s">
        <v>34</v>
      </c>
      <c r="AD3" s="168" t="s">
        <v>26</v>
      </c>
      <c r="AE3" s="15"/>
      <c r="AF3" s="171" t="s">
        <v>33</v>
      </c>
      <c r="AG3" s="174" t="s">
        <v>532</v>
      </c>
      <c r="AH3" s="176" t="s">
        <v>11</v>
      </c>
      <c r="AI3" s="177" t="s">
        <v>12</v>
      </c>
      <c r="AK3" s="177" t="s">
        <v>28</v>
      </c>
      <c r="AL3" s="15"/>
      <c r="AM3" s="178" t="s">
        <v>535</v>
      </c>
      <c r="AN3" s="178" t="s">
        <v>536</v>
      </c>
      <c r="AO3" s="179" t="s">
        <v>14</v>
      </c>
      <c r="AP3" s="15"/>
      <c r="AQ3" s="178" t="s">
        <v>15</v>
      </c>
      <c r="AR3" s="15"/>
      <c r="AS3" s="178" t="s">
        <v>537</v>
      </c>
      <c r="AW3" s="180" t="s">
        <v>20</v>
      </c>
      <c r="AX3" s="181" t="s">
        <v>19</v>
      </c>
      <c r="AY3" s="179" t="s">
        <v>17</v>
      </c>
      <c r="BA3" s="182" t="s">
        <v>35</v>
      </c>
      <c r="BB3" s="183" t="s">
        <v>37</v>
      </c>
      <c r="BC3" s="184" t="s">
        <v>24</v>
      </c>
      <c r="BD3" s="185" t="s">
        <v>25</v>
      </c>
      <c r="BE3" s="185" t="s">
        <v>18</v>
      </c>
      <c r="BF3" s="184" t="s">
        <v>21</v>
      </c>
      <c r="BG3" s="186" t="s">
        <v>38</v>
      </c>
      <c r="BI3" s="15"/>
      <c r="BJ3" s="184" t="s">
        <v>23</v>
      </c>
      <c r="BK3" s="187" t="s">
        <v>39</v>
      </c>
      <c r="BL3" s="188" t="s">
        <v>42</v>
      </c>
      <c r="BN3" s="15"/>
      <c r="BO3" s="189" t="s">
        <v>43</v>
      </c>
      <c r="BP3" s="184" t="s">
        <v>44</v>
      </c>
      <c r="BQ3" s="190"/>
      <c r="BR3" s="190"/>
      <c r="BS3" s="190"/>
      <c r="BT3" s="190"/>
      <c r="BU3" s="190"/>
      <c r="BV3" s="190"/>
      <c r="BW3" s="190"/>
      <c r="BX3" s="190"/>
    </row>
    <row r="4">
      <c r="A4" s="167" t="s">
        <v>538</v>
      </c>
      <c r="B4" s="168" t="s">
        <v>77</v>
      </c>
      <c r="C4" s="169" t="s">
        <v>46</v>
      </c>
      <c r="D4" s="168" t="s">
        <v>47</v>
      </c>
      <c r="F4" s="15"/>
      <c r="G4" s="168" t="s">
        <v>48</v>
      </c>
      <c r="H4" s="169" t="s">
        <v>49</v>
      </c>
      <c r="I4" s="168" t="s">
        <v>46</v>
      </c>
      <c r="J4" s="191" t="s">
        <v>50</v>
      </c>
      <c r="K4" s="168" t="s">
        <v>51</v>
      </c>
      <c r="L4" s="168" t="s">
        <v>47</v>
      </c>
      <c r="M4" s="168" t="s">
        <v>50</v>
      </c>
      <c r="N4" s="168" t="s">
        <v>49</v>
      </c>
      <c r="O4" s="169" t="s">
        <v>47</v>
      </c>
      <c r="P4" s="171" t="s">
        <v>52</v>
      </c>
      <c r="Q4" s="172" t="s">
        <v>49</v>
      </c>
      <c r="R4" s="171" t="s">
        <v>47</v>
      </c>
      <c r="S4" s="169" t="s">
        <v>48</v>
      </c>
      <c r="T4" s="193"/>
      <c r="U4" s="193"/>
      <c r="V4" s="169" t="s">
        <v>63</v>
      </c>
      <c r="W4" s="171" t="s">
        <v>50</v>
      </c>
      <c r="X4" s="195" t="s">
        <v>48</v>
      </c>
      <c r="Y4" s="197" t="s">
        <v>50</v>
      </c>
      <c r="Z4" s="196" t="s">
        <v>64</v>
      </c>
      <c r="AA4" s="197" t="s">
        <v>50</v>
      </c>
      <c r="AB4" s="195" t="s">
        <v>540</v>
      </c>
      <c r="AC4" s="171" t="s">
        <v>48</v>
      </c>
      <c r="AD4" s="169" t="s">
        <v>48</v>
      </c>
      <c r="AE4" s="171" t="s">
        <v>52</v>
      </c>
      <c r="AF4" s="195" t="s">
        <v>66</v>
      </c>
      <c r="AG4" s="174" t="s">
        <v>77</v>
      </c>
      <c r="AH4" s="176" t="s">
        <v>46</v>
      </c>
      <c r="AI4" s="177" t="s">
        <v>50</v>
      </c>
      <c r="AJ4" s="176" t="s">
        <v>53</v>
      </c>
      <c r="AK4" s="177" t="s">
        <v>52</v>
      </c>
      <c r="AL4" s="176" t="s">
        <v>46</v>
      </c>
      <c r="AM4" s="199" t="s">
        <v>77</v>
      </c>
      <c r="AN4" s="200" t="s">
        <v>77</v>
      </c>
      <c r="AO4" s="179" t="s">
        <v>46</v>
      </c>
      <c r="AP4" s="201" t="s">
        <v>48</v>
      </c>
      <c r="AQ4" s="179" t="s">
        <v>58</v>
      </c>
      <c r="AR4" s="201" t="s">
        <v>46</v>
      </c>
      <c r="AS4" s="178" t="s">
        <v>59</v>
      </c>
      <c r="AT4" s="178" t="s">
        <v>60</v>
      </c>
      <c r="AW4" s="180" t="s">
        <v>50</v>
      </c>
      <c r="AX4" s="201" t="s">
        <v>61</v>
      </c>
      <c r="AY4" s="179" t="s">
        <v>17</v>
      </c>
      <c r="BA4" s="180" t="s">
        <v>48</v>
      </c>
      <c r="BB4" s="202"/>
      <c r="BC4" s="189" t="s">
        <v>48</v>
      </c>
      <c r="BD4" s="185" t="s">
        <v>48</v>
      </c>
      <c r="BE4" s="185" t="s">
        <v>48</v>
      </c>
      <c r="BF4" s="184" t="s">
        <v>50</v>
      </c>
      <c r="BG4" s="189" t="s">
        <v>49</v>
      </c>
      <c r="BH4" s="189" t="s">
        <v>61</v>
      </c>
      <c r="BI4" s="184" t="s">
        <v>50</v>
      </c>
      <c r="BJ4" s="184" t="s">
        <v>62</v>
      </c>
      <c r="BK4" s="203" t="s">
        <v>48</v>
      </c>
      <c r="BL4" s="184" t="s">
        <v>67</v>
      </c>
      <c r="BM4" s="184" t="s">
        <v>68</v>
      </c>
      <c r="BN4" s="185" t="s">
        <v>61</v>
      </c>
      <c r="BO4" s="204" t="s">
        <v>69</v>
      </c>
      <c r="BP4" s="15"/>
      <c r="BQ4" s="190"/>
      <c r="BR4" s="190"/>
      <c r="BS4" s="190"/>
      <c r="BT4" s="190"/>
      <c r="BU4" s="190"/>
      <c r="BV4" s="190"/>
      <c r="BW4" s="190"/>
      <c r="BX4" s="190"/>
    </row>
    <row r="5" ht="47.25" customHeight="1">
      <c r="A5" s="205" t="s">
        <v>542</v>
      </c>
      <c r="B5" s="206"/>
      <c r="C5" s="207"/>
      <c r="D5" s="206"/>
      <c r="E5" s="208" t="s">
        <v>543</v>
      </c>
      <c r="F5" s="209" t="s">
        <v>544</v>
      </c>
      <c r="G5" s="210"/>
      <c r="H5" s="206"/>
      <c r="I5" s="206"/>
      <c r="J5" s="211" t="s">
        <v>545</v>
      </c>
      <c r="K5" s="206"/>
      <c r="L5" s="206"/>
      <c r="M5" s="206"/>
      <c r="N5" s="206"/>
      <c r="O5" s="207"/>
      <c r="P5" s="214" t="s">
        <v>547</v>
      </c>
      <c r="Q5" s="210"/>
      <c r="R5" s="215"/>
      <c r="S5" s="216" t="s">
        <v>82</v>
      </c>
      <c r="T5" s="206"/>
      <c r="U5" s="209" t="s">
        <v>88</v>
      </c>
      <c r="V5" s="327" t="s">
        <v>1142</v>
      </c>
      <c r="W5" s="215"/>
      <c r="X5" s="214" t="s">
        <v>549</v>
      </c>
      <c r="Y5" s="207"/>
      <c r="Z5" s="206"/>
      <c r="AA5" s="207"/>
      <c r="AB5" s="215"/>
      <c r="AC5" s="215"/>
      <c r="AD5" s="207"/>
      <c r="AE5" s="220" t="s">
        <v>551</v>
      </c>
      <c r="AF5" s="215"/>
      <c r="AG5" s="210"/>
      <c r="AH5" s="206"/>
      <c r="AI5" s="207"/>
      <c r="AJ5" s="213" t="s">
        <v>1143</v>
      </c>
      <c r="AK5" s="218" t="s">
        <v>86</v>
      </c>
      <c r="AL5" s="206"/>
      <c r="AM5" s="221" t="s">
        <v>555</v>
      </c>
      <c r="AN5" s="222" t="s">
        <v>556</v>
      </c>
      <c r="AO5" s="207"/>
      <c r="AP5" s="214" t="s">
        <v>558</v>
      </c>
      <c r="AQ5" s="206"/>
      <c r="AR5" s="215"/>
      <c r="AS5" s="209" t="s">
        <v>79</v>
      </c>
      <c r="AT5" s="209" t="s">
        <v>80</v>
      </c>
      <c r="AU5" s="209" t="s">
        <v>560</v>
      </c>
      <c r="AV5" s="209" t="s">
        <v>561</v>
      </c>
      <c r="AW5" s="231" t="s">
        <v>1144</v>
      </c>
      <c r="AX5" s="226" t="s">
        <v>82</v>
      </c>
      <c r="AY5" s="218" t="s">
        <v>562</v>
      </c>
      <c r="AZ5" s="214" t="s">
        <v>563</v>
      </c>
      <c r="BA5" s="210"/>
      <c r="BB5" s="215"/>
      <c r="BC5" s="227" t="s">
        <v>82</v>
      </c>
      <c r="BD5" s="228" t="s">
        <v>82</v>
      </c>
      <c r="BE5" s="210"/>
      <c r="BF5" s="220" t="s">
        <v>84</v>
      </c>
      <c r="BG5" s="209" t="s">
        <v>89</v>
      </c>
      <c r="BH5" s="206"/>
      <c r="BI5" s="215"/>
      <c r="BJ5" s="229" t="s">
        <v>85</v>
      </c>
      <c r="BK5" s="215"/>
      <c r="BL5" s="230" t="s">
        <v>90</v>
      </c>
      <c r="BM5" s="231" t="s">
        <v>91</v>
      </c>
      <c r="BN5" s="231" t="s">
        <v>92</v>
      </c>
      <c r="BO5" s="206"/>
      <c r="BP5" s="215"/>
      <c r="BQ5" s="232"/>
      <c r="BR5" s="232"/>
      <c r="BS5" s="232"/>
      <c r="BT5" s="232"/>
      <c r="BU5" s="232"/>
      <c r="BV5" s="232"/>
      <c r="BW5" s="232"/>
      <c r="BX5" s="232"/>
    </row>
    <row r="6">
      <c r="A6" s="233" t="s">
        <v>564</v>
      </c>
      <c r="B6" s="234"/>
      <c r="C6" s="235"/>
      <c r="D6" s="234"/>
      <c r="E6" s="234"/>
      <c r="F6" s="234"/>
      <c r="G6" s="237" t="s">
        <v>566</v>
      </c>
      <c r="H6" s="234"/>
      <c r="I6" s="234"/>
      <c r="J6" s="238"/>
      <c r="K6" s="234"/>
      <c r="L6" s="234"/>
      <c r="M6" s="239" t="s">
        <v>566</v>
      </c>
      <c r="N6" s="234"/>
      <c r="O6" s="240" t="s">
        <v>566</v>
      </c>
      <c r="P6" s="241"/>
      <c r="Q6" s="238"/>
      <c r="R6" s="241"/>
      <c r="S6" s="235"/>
      <c r="T6" s="234"/>
      <c r="U6" s="234"/>
      <c r="V6" s="235"/>
      <c r="W6" s="241"/>
      <c r="X6" s="234"/>
      <c r="Y6" s="235"/>
      <c r="Z6" s="234"/>
      <c r="AA6" s="235"/>
      <c r="AB6" s="241"/>
      <c r="AC6" s="234"/>
      <c r="AD6" s="235"/>
      <c r="AE6" s="241"/>
      <c r="AF6" s="234"/>
      <c r="AG6" s="238"/>
      <c r="AH6" s="234"/>
      <c r="AI6" s="235"/>
      <c r="AJ6" s="234"/>
      <c r="AK6" s="235"/>
      <c r="AL6" s="234"/>
      <c r="AM6" s="235"/>
      <c r="AN6" s="241"/>
      <c r="AO6" s="235"/>
      <c r="AP6" s="241"/>
      <c r="AQ6" s="235"/>
      <c r="AR6" s="241"/>
      <c r="AS6" s="234"/>
      <c r="AT6" s="234"/>
      <c r="AU6" s="234"/>
      <c r="AV6" s="234"/>
      <c r="AW6" s="238"/>
      <c r="AX6" s="241"/>
      <c r="AY6" s="235"/>
      <c r="AZ6" s="234"/>
      <c r="BA6" s="238"/>
      <c r="BB6" s="241"/>
      <c r="BC6" s="234"/>
      <c r="BD6" s="238"/>
      <c r="BE6" s="234"/>
      <c r="BF6" s="238"/>
      <c r="BG6" s="234"/>
      <c r="BH6" s="234"/>
      <c r="BI6" s="241"/>
      <c r="BJ6" s="241"/>
      <c r="BK6" s="241"/>
      <c r="BL6" s="241"/>
      <c r="BM6" s="241"/>
      <c r="BN6" s="238"/>
      <c r="BO6" s="234"/>
      <c r="BP6" s="241"/>
      <c r="BQ6" s="232"/>
      <c r="BR6" s="232"/>
      <c r="BS6" s="232"/>
      <c r="BT6" s="232"/>
      <c r="BU6" s="232"/>
      <c r="BV6" s="232"/>
      <c r="BW6" s="232"/>
      <c r="BX6" s="232"/>
    </row>
    <row r="7">
      <c r="B7" s="234"/>
      <c r="C7" s="235"/>
      <c r="D7" s="234"/>
      <c r="E7" s="234"/>
      <c r="F7" s="234"/>
      <c r="G7" s="237">
        <v>46.0</v>
      </c>
      <c r="H7" s="234"/>
      <c r="I7" s="234"/>
      <c r="J7" s="238"/>
      <c r="K7" s="234"/>
      <c r="L7" s="234"/>
      <c r="M7" s="236">
        <v>44.2</v>
      </c>
      <c r="N7" s="234"/>
      <c r="O7" s="244">
        <v>47.0</v>
      </c>
      <c r="P7" s="241"/>
      <c r="Q7" s="238"/>
      <c r="R7" s="241"/>
      <c r="S7" s="235"/>
      <c r="T7" s="234"/>
      <c r="U7" s="234"/>
      <c r="V7" s="235"/>
      <c r="W7" s="241"/>
      <c r="X7" s="234"/>
      <c r="Y7" s="235"/>
      <c r="Z7" s="234"/>
      <c r="AA7" s="235"/>
      <c r="AB7" s="241"/>
      <c r="AC7" s="234"/>
      <c r="AD7" s="235"/>
      <c r="AE7" s="241"/>
      <c r="AF7" s="234"/>
      <c r="AG7" s="238"/>
      <c r="AH7" s="234"/>
      <c r="AI7" s="235"/>
      <c r="AJ7" s="234"/>
      <c r="AK7" s="235"/>
      <c r="AL7" s="234"/>
      <c r="AM7" s="235"/>
      <c r="AN7" s="241"/>
      <c r="AO7" s="235"/>
      <c r="AP7" s="241"/>
      <c r="AQ7" s="235"/>
      <c r="AR7" s="241"/>
      <c r="AS7" s="234"/>
      <c r="AT7" s="234"/>
      <c r="AU7" s="234"/>
      <c r="AV7" s="234"/>
      <c r="AW7" s="238"/>
      <c r="AX7" s="241"/>
      <c r="AY7" s="235"/>
      <c r="AZ7" s="234"/>
      <c r="BA7" s="238"/>
      <c r="BB7" s="241"/>
      <c r="BC7" s="234"/>
      <c r="BD7" s="238"/>
      <c r="BE7" s="234"/>
      <c r="BF7" s="238"/>
      <c r="BG7" s="234"/>
      <c r="BH7" s="234"/>
      <c r="BI7" s="241"/>
      <c r="BJ7" s="241"/>
      <c r="BK7" s="241"/>
      <c r="BL7" s="241"/>
      <c r="BM7" s="241"/>
      <c r="BN7" s="238"/>
      <c r="BO7" s="234"/>
      <c r="BP7" s="241"/>
      <c r="BQ7" s="232"/>
      <c r="BR7" s="232"/>
      <c r="BS7" s="232"/>
      <c r="BT7" s="232"/>
      <c r="BU7" s="232"/>
      <c r="BV7" s="232"/>
      <c r="BW7" s="232"/>
      <c r="BX7" s="232"/>
    </row>
    <row r="8">
      <c r="B8" s="234"/>
      <c r="C8" s="235"/>
      <c r="D8" s="234"/>
      <c r="E8" s="234"/>
      <c r="F8" s="234"/>
      <c r="G8" s="238"/>
      <c r="H8" s="234"/>
      <c r="I8" s="234"/>
      <c r="J8" s="238"/>
      <c r="K8" s="234"/>
      <c r="L8" s="234"/>
      <c r="M8" s="236">
        <v>42.2</v>
      </c>
      <c r="N8" s="234"/>
      <c r="O8" s="244">
        <v>45.5</v>
      </c>
      <c r="P8" s="241"/>
      <c r="Q8" s="238"/>
      <c r="R8" s="241"/>
      <c r="S8" s="235"/>
      <c r="T8" s="234"/>
      <c r="U8" s="234"/>
      <c r="V8" s="235"/>
      <c r="W8" s="241"/>
      <c r="X8" s="234"/>
      <c r="Y8" s="235"/>
      <c r="Z8" s="234"/>
      <c r="AA8" s="235"/>
      <c r="AB8" s="241"/>
      <c r="AC8" s="234"/>
      <c r="AD8" s="235"/>
      <c r="AE8" s="241"/>
      <c r="AF8" s="234"/>
      <c r="AG8" s="238"/>
      <c r="AH8" s="234"/>
      <c r="AI8" s="235"/>
      <c r="AJ8" s="234"/>
      <c r="AK8" s="235"/>
      <c r="AL8" s="234"/>
      <c r="AM8" s="235"/>
      <c r="AN8" s="241"/>
      <c r="AO8" s="235"/>
      <c r="AP8" s="241"/>
      <c r="AQ8" s="235"/>
      <c r="AR8" s="241"/>
      <c r="AS8" s="234"/>
      <c r="AT8" s="234"/>
      <c r="AU8" s="234"/>
      <c r="AV8" s="234"/>
      <c r="AW8" s="238"/>
      <c r="AX8" s="241"/>
      <c r="AY8" s="235"/>
      <c r="AZ8" s="234"/>
      <c r="BA8" s="238"/>
      <c r="BB8" s="241"/>
      <c r="BC8" s="234"/>
      <c r="BD8" s="238"/>
      <c r="BE8" s="234"/>
      <c r="BF8" s="238"/>
      <c r="BG8" s="234"/>
      <c r="BH8" s="234"/>
      <c r="BI8" s="241"/>
      <c r="BJ8" s="241"/>
      <c r="BK8" s="241"/>
      <c r="BL8" s="241"/>
      <c r="BM8" s="241"/>
      <c r="BN8" s="238"/>
      <c r="BO8" s="234"/>
      <c r="BP8" s="241"/>
      <c r="BQ8" s="232"/>
      <c r="BR8" s="232"/>
      <c r="BS8" s="232"/>
      <c r="BT8" s="232"/>
      <c r="BU8" s="232"/>
      <c r="BV8" s="232"/>
      <c r="BW8" s="232"/>
      <c r="BX8" s="232"/>
    </row>
    <row r="9" ht="15.0" customHeight="1">
      <c r="B9" s="234"/>
      <c r="C9" s="235"/>
      <c r="D9" s="234"/>
      <c r="E9" s="234"/>
      <c r="F9" s="234"/>
      <c r="G9" s="238"/>
      <c r="H9" s="234"/>
      <c r="I9" s="234"/>
      <c r="J9" s="238"/>
      <c r="K9" s="234"/>
      <c r="L9" s="234"/>
      <c r="M9" s="236">
        <v>41.7</v>
      </c>
      <c r="N9" s="234"/>
      <c r="O9" s="244">
        <v>45.0</v>
      </c>
      <c r="P9" s="241"/>
      <c r="Q9" s="238"/>
      <c r="R9" s="241"/>
      <c r="S9" s="235"/>
      <c r="T9" s="234"/>
      <c r="U9" s="234"/>
      <c r="V9" s="235"/>
      <c r="W9" s="241"/>
      <c r="X9" s="234"/>
      <c r="Y9" s="235"/>
      <c r="Z9" s="234"/>
      <c r="AA9" s="235"/>
      <c r="AB9" s="241"/>
      <c r="AC9" s="234"/>
      <c r="AD9" s="235"/>
      <c r="AE9" s="241"/>
      <c r="AF9" s="234"/>
      <c r="AG9" s="238"/>
      <c r="AH9" s="234"/>
      <c r="AI9" s="235"/>
      <c r="AJ9" s="234"/>
      <c r="AK9" s="235"/>
      <c r="AL9" s="234"/>
      <c r="AM9" s="235"/>
      <c r="AN9" s="241"/>
      <c r="AO9" s="235"/>
      <c r="AP9" s="241"/>
      <c r="AQ9" s="235"/>
      <c r="AR9" s="241"/>
      <c r="AS9" s="234"/>
      <c r="AT9" s="234"/>
      <c r="AU9" s="234"/>
      <c r="AV9" s="234"/>
      <c r="AW9" s="238"/>
      <c r="AX9" s="241"/>
      <c r="AY9" s="235"/>
      <c r="AZ9" s="234"/>
      <c r="BA9" s="238"/>
      <c r="BB9" s="241"/>
      <c r="BC9" s="234"/>
      <c r="BD9" s="238"/>
      <c r="BE9" s="234"/>
      <c r="BF9" s="238"/>
      <c r="BG9" s="234"/>
      <c r="BH9" s="234"/>
      <c r="BI9" s="241"/>
      <c r="BJ9" s="241"/>
      <c r="BK9" s="241"/>
      <c r="BL9" s="241"/>
      <c r="BM9" s="241"/>
      <c r="BN9" s="238"/>
      <c r="BO9" s="234"/>
      <c r="BP9" s="241"/>
      <c r="BQ9" s="232"/>
      <c r="BR9" s="232"/>
      <c r="BS9" s="232"/>
      <c r="BT9" s="232"/>
      <c r="BU9" s="232"/>
      <c r="BV9" s="232"/>
      <c r="BW9" s="232"/>
      <c r="BX9" s="232"/>
    </row>
    <row r="10">
      <c r="B10" s="234"/>
      <c r="C10" s="235"/>
      <c r="D10" s="234"/>
      <c r="E10" s="234"/>
      <c r="F10" s="234"/>
      <c r="G10" s="238"/>
      <c r="H10" s="234"/>
      <c r="I10" s="234"/>
      <c r="J10" s="238"/>
      <c r="K10" s="234"/>
      <c r="L10" s="234"/>
      <c r="M10" s="236">
        <v>41.2</v>
      </c>
      <c r="N10" s="234"/>
      <c r="O10" s="235"/>
      <c r="P10" s="241"/>
      <c r="Q10" s="238"/>
      <c r="R10" s="241"/>
      <c r="S10" s="235"/>
      <c r="T10" s="234"/>
      <c r="U10" s="234"/>
      <c r="V10" s="235"/>
      <c r="W10" s="241"/>
      <c r="X10" s="234"/>
      <c r="Y10" s="235"/>
      <c r="Z10" s="234"/>
      <c r="AA10" s="235"/>
      <c r="AB10" s="241"/>
      <c r="AC10" s="234"/>
      <c r="AD10" s="235"/>
      <c r="AE10" s="241"/>
      <c r="AF10" s="234"/>
      <c r="AG10" s="238"/>
      <c r="AH10" s="234"/>
      <c r="AI10" s="235"/>
      <c r="AJ10" s="234"/>
      <c r="AK10" s="235"/>
      <c r="AL10" s="234"/>
      <c r="AM10" s="235"/>
      <c r="AN10" s="241"/>
      <c r="AO10" s="235"/>
      <c r="AP10" s="241"/>
      <c r="AQ10" s="235"/>
      <c r="AR10" s="241"/>
      <c r="AS10" s="234"/>
      <c r="AT10" s="234"/>
      <c r="AU10" s="234"/>
      <c r="AV10" s="234"/>
      <c r="AW10" s="238"/>
      <c r="AX10" s="241"/>
      <c r="AY10" s="235"/>
      <c r="AZ10" s="234"/>
      <c r="BA10" s="238"/>
      <c r="BB10" s="241"/>
      <c r="BC10" s="234"/>
      <c r="BD10" s="238"/>
      <c r="BE10" s="234"/>
      <c r="BF10" s="238"/>
      <c r="BG10" s="234"/>
      <c r="BH10" s="234"/>
      <c r="BI10" s="241"/>
      <c r="BJ10" s="241"/>
      <c r="BK10" s="241"/>
      <c r="BL10" s="241"/>
      <c r="BM10" s="241"/>
      <c r="BN10" s="238"/>
      <c r="BO10" s="234"/>
      <c r="BP10" s="241"/>
      <c r="BQ10" s="232"/>
      <c r="BR10" s="232"/>
      <c r="BS10" s="232"/>
      <c r="BT10" s="232"/>
      <c r="BU10" s="232"/>
      <c r="BV10" s="232"/>
      <c r="BW10" s="232"/>
      <c r="BX10" s="232"/>
    </row>
    <row r="11">
      <c r="A11" s="245" t="s">
        <v>1145</v>
      </c>
      <c r="B11" s="246">
        <f>IF(MAXIFS('単価履歴'!$H:$H,'単価履歴'!$E:$E,B$1,'単価履歴'!$F:$F,$A11,'単価履歴'!$O:$O,
MAXIFS('単価履歴'!$O:$O,'単価履歴'!$E:$E,B$1,'単価履歴'!$F:$F,$A11))=0,"",
MAXIFS('単価履歴'!$H:$H,'単価履歴'!$E:$E,B$1,'単価履歴'!$F:$F,$A11,'単価履歴'!$O:$O,
MAXIFS('単価履歴'!$O:$O,'単価履歴'!$E:$E,B$1,'単価履歴'!$F:$F,$A11)))</f>
        <v>55.5</v>
      </c>
      <c r="C11" s="247"/>
      <c r="D11" s="246">
        <f>IF(MAXIFS('単価履歴'!$H:$H,'単価履歴'!$E:$E,D$1,'単価履歴'!$F:$F,$A11,'単価履歴'!$O:$O,
MAXIFS('単価履歴'!$O:$O,'単価履歴'!$E:$E,D$1,'単価履歴'!$F:$F,$A11))=0,"",
MAXIFS('単価履歴'!$H:$H,'単価履歴'!$E:$E,D$1,'単価履歴'!$F:$F,$A11,'単価履歴'!$O:$O,
MAXIFS('単価履歴'!$O:$O,'単価履歴'!$E:$E,D$1,'単価履歴'!$F:$F,$A11)))</f>
        <v>57.3</v>
      </c>
      <c r="E11" s="246"/>
      <c r="F11" s="246"/>
      <c r="G11" s="248" t="str">
        <f>IF(MAXIFS('単価履歴'!$H:$H,'単価履歴'!$E:$E,G$1,'単価履歴'!$F:$F,$A11,'単価履歴'!$O:$O,
MAXIFS('単価履歴'!$O:$O,'単価履歴'!$E:$E,G$1,'単価履歴'!$F:$F,$A11))=0,"",
MAXIFS('単価履歴'!$H:$H,'単価履歴'!$E:$E,G$1,'単価履歴'!$F:$F,$A11,'単価履歴'!$O:$O,
MAXIFS('単価履歴'!$O:$O,'単価履歴'!$E:$E,G$1,'単価履歴'!$F:$F,$A11)))</f>
        <v/>
      </c>
      <c r="H11" s="246">
        <f>IF(MAXIFS('単価履歴'!$H:$H,'単価履歴'!$E:$E,H$1,'単価履歴'!$F:$F,$A11,'単価履歴'!$O:$O,
MAXIFS('単価履歴'!$O:$O,'単価履歴'!$E:$E,H$1,'単価履歴'!$F:$F,$A11))=0,"",
MAXIFS('単価履歴'!$H:$H,'単価履歴'!$E:$E,H$1,'単価履歴'!$F:$F,$A11,'単価履歴'!$O:$O,
MAXIFS('単価履歴'!$O:$O,'単価履歴'!$E:$E,H$1,'単価履歴'!$F:$F,$A11)))</f>
        <v>55.8</v>
      </c>
      <c r="I11" s="249">
        <f>IF(MAXIFS('単価履歴'!$H:$H,'単価履歴'!$E:$E,I$1,'単価履歴'!$F:$F,$A11,'単価履歴'!$O:$O,
MAXIFS('単価履歴'!$O:$O,'単価履歴'!$E:$E,I$1,'単価履歴'!$F:$F,$A11))=0,"",
MAXIFS('単価履歴'!$H:$H,'単価履歴'!$E:$E,I$1,'単価履歴'!$F:$F,$A11,'単価履歴'!$O:$O,
MAXIFS('単価履歴'!$O:$O,'単価履歴'!$E:$E,I$1,'単価履歴'!$F:$F,$A11)))</f>
        <v>2</v>
      </c>
      <c r="J11" s="248" t="str">
        <f>IF(MAXIFS('単価履歴'!$H:$H,'単価履歴'!$E:$E,J$1,'単価履歴'!$F:$F,$A11,'単価履歴'!$O:$O,
MAXIFS('単価履歴'!$O:$O,'単価履歴'!$E:$E,J$1,'単価履歴'!$F:$F,$A11))=0,"",
MAXIFS('単価履歴'!$H:$H,'単価履歴'!$E:$E,J$1,'単価履歴'!$F:$F,$A11,'単価履歴'!$O:$O,
MAXIFS('単価履歴'!$O:$O,'単価履歴'!$E:$E,J$1,'単価履歴'!$F:$F,$A11)))</f>
        <v/>
      </c>
      <c r="K11" s="249" t="str">
        <f>IF(MAXIFS('単価履歴'!$H:$H,'単価履歴'!$E:$E,K$1,'単価履歴'!$F:$F,$A11,'単価履歴'!$O:$O,
MAXIFS('単価履歴'!$O:$O,'単価履歴'!$E:$E,K$1,'単価履歴'!$F:$F,$A11))=0,"",
MAXIFS('単価履歴'!$H:$H,'単価履歴'!$E:$E,K$1,'単価履歴'!$F:$F,$A11,'単価履歴'!$O:$O,
MAXIFS('単価履歴'!$O:$O,'単価履歴'!$E:$E,K$1,'単価履歴'!$F:$F,$A11)))</f>
        <v/>
      </c>
      <c r="L11" s="249" t="str">
        <f>IF(MAXIFS('単価履歴'!$H:$H,'単価履歴'!$E:$E,L$1,'単価履歴'!$F:$F,$A11,'単価履歴'!$O:$O,
MAXIFS('単価履歴'!$O:$O,'単価履歴'!$E:$E,L$1,'単価履歴'!$F:$F,$A11))=0,"",
MAXIFS('単価履歴'!$H:$H,'単価履歴'!$E:$E,L$1,'単価履歴'!$F:$F,$A11,'単価履歴'!$O:$O,
MAXIFS('単価履歴'!$O:$O,'単価履歴'!$E:$E,L$1,'単価履歴'!$F:$F,$A11)))</f>
        <v/>
      </c>
      <c r="M11" s="249" t="str">
        <f>IF(MAXIFS('単価履歴'!$H:$H,'単価履歴'!$E:$E,M$1,'単価履歴'!$F:$F,$A11,'単価履歴'!$O:$O,
MAXIFS('単価履歴'!$O:$O,'単価履歴'!$E:$E,M$1,'単価履歴'!$F:$F,$A11))=0,"",
MAXIFS('単価履歴'!$H:$H,'単価履歴'!$E:$E,M$1,'単価履歴'!$F:$F,$A11,'単価履歴'!$O:$O,
MAXIFS('単価履歴'!$O:$O,'単価履歴'!$E:$E,M$1,'単価履歴'!$F:$F,$A11)))</f>
        <v/>
      </c>
      <c r="N11" s="249" t="str">
        <f>IF(MAXIFS('単価履歴'!$H:$H,'単価履歴'!$E:$E,N$1,'単価履歴'!$F:$F,$A11,'単価履歴'!$O:$O,
MAXIFS('単価履歴'!$O:$O,'単価履歴'!$E:$E,N$1,'単価履歴'!$F:$F,$A11))=0,"",
MAXIFS('単価履歴'!$H:$H,'単価履歴'!$E:$E,N$1,'単価履歴'!$F:$F,$A11,'単価履歴'!$O:$O,
MAXIFS('単価履歴'!$O:$O,'単価履歴'!$E:$E,N$1,'単価履歴'!$F:$F,$A11)))</f>
        <v/>
      </c>
      <c r="O11" s="251" t="str">
        <f>IF(MAXIFS('単価履歴'!$H:$H,'単価履歴'!$E:$E,O$1,'単価履歴'!$F:$F,$A11,'単価履歴'!$O:$O,
MAXIFS('単価履歴'!$O:$O,'単価履歴'!$E:$E,O$1,'単価履歴'!$F:$F,$A11))=0,"",
MAXIFS('単価履歴'!$H:$H,'単価履歴'!$E:$E,O$1,'単価履歴'!$F:$F,$A11,'単価履歴'!$O:$O,
MAXIFS('単価履歴'!$O:$O,'単価履歴'!$E:$E,O$1,'単価履歴'!$F:$F,$A11)))</f>
        <v/>
      </c>
      <c r="P11" s="252" t="str">
        <f>IF(MAXIFS('単価履歴'!$H:$H,'単価履歴'!$E:$E,P$1,'単価履歴'!$F:$F,$A11,'単価履歴'!$O:$O,
MAXIFS('単価履歴'!$O:$O,'単価履歴'!$E:$E,P$1,'単価履歴'!$F:$F,$A11))=0,"",
MAXIFS('単価履歴'!$H:$H,'単価履歴'!$E:$E,P$1,'単価履歴'!$F:$F,$A11,'単価履歴'!$O:$O,
MAXIFS('単価履歴'!$O:$O,'単価履歴'!$E:$E,P$1,'単価履歴'!$F:$F,$A11)))</f>
        <v/>
      </c>
      <c r="Q11" s="248" t="str">
        <f>IF(MAXIFS('単価履歴'!$H:$H,'単価履歴'!$E:$E,Q$1,'単価履歴'!$F:$F,$A11,'単価履歴'!$O:$O,
MAXIFS('単価履歴'!$O:$O,'単価履歴'!$E:$E,Q$1,'単価履歴'!$F:$F,$A11))=0,"",
MAXIFS('単価履歴'!$H:$H,'単価履歴'!$E:$E,Q$1,'単価履歴'!$F:$F,$A11,'単価履歴'!$O:$O,
MAXIFS('単価履歴'!$O:$O,'単価履歴'!$E:$E,Q$1,'単価履歴'!$F:$F,$A11)))</f>
        <v/>
      </c>
      <c r="R11" s="253">
        <f>IF(MAXIFS('単価履歴'!$H:$H,'単価履歴'!$E:$E,R$1,'単価履歴'!$F:$F,$A11,'単価履歴'!$O:$O,
MAXIFS('単価履歴'!$O:$O,'単価履歴'!$E:$E,R$1,'単価履歴'!$F:$F,$A11))=0,"",
MAXIFS('単価履歴'!$H:$H,'単価履歴'!$E:$E,R$1,'単価履歴'!$F:$F,$A11,'単価履歴'!$O:$O,
MAXIFS('単価履歴'!$O:$O,'単価履歴'!$E:$E,R$1,'単価履歴'!$F:$F,$A11)))</f>
        <v>58.8</v>
      </c>
      <c r="S11" s="251" t="str">
        <f>IF(MAXIFS('単価履歴'!$H:$H,'単価履歴'!$E:$E,S$1,'単価履歴'!$F:$F,$A11,'単価履歴'!$O:$O,
MAXIFS('単価履歴'!$O:$O,'単価履歴'!$E:$E,S$1,'単価履歴'!$F:$F,$A11))=0,"",
MAXIFS('単価履歴'!$H:$H,'単価履歴'!$E:$E,S$1,'単価履歴'!$F:$F,$A11,'単価履歴'!$O:$O,
MAXIFS('単価履歴'!$O:$O,'単価履歴'!$E:$E,S$1,'単価履歴'!$F:$F,$A11)))</f>
        <v/>
      </c>
      <c r="T11" s="249" t="str">
        <f>IF(MAXIFS('単価履歴'!$H:$H,'単価履歴'!$E:$E,T$1,'単価履歴'!$F:$F,$A11,'単価履歴'!$O:$O,
MAXIFS('単価履歴'!$O:$O,'単価履歴'!$E:$E,T$1,'単価履歴'!$F:$F,$A11))=0,"",
MAXIFS('単価履歴'!$H:$H,'単価履歴'!$E:$E,T$1,'単価履歴'!$F:$F,$A11,'単価履歴'!$O:$O,
MAXIFS('単価履歴'!$O:$O,'単価履歴'!$E:$E,T$1,'単価履歴'!$F:$F,$A11)))</f>
        <v/>
      </c>
      <c r="U11" s="249" t="str">
        <f>IF(MAXIFS('単価履歴'!$H:$H,'単価履歴'!$E:$E,U$1,'単価履歴'!$F:$F,$A11,'単価履歴'!$O:$O,
MAXIFS('単価履歴'!$O:$O,'単価履歴'!$E:$E,U$1,'単価履歴'!$F:$F,$A11))=0,"",
MAXIFS('単価履歴'!$H:$H,'単価履歴'!$E:$E,U$1,'単価履歴'!$F:$F,$A11,'単価履歴'!$O:$O,
MAXIFS('単価履歴'!$O:$O,'単価履歴'!$E:$E,U$1,'単価履歴'!$F:$F,$A11)))</f>
        <v/>
      </c>
      <c r="V11" s="247">
        <f>IF(MAXIFS('単価履歴'!$H:$H,'単価履歴'!$E:$E,V$1,'単価履歴'!$F:$F,$A11,'単価履歴'!$O:$O,
MAXIFS('単価履歴'!$O:$O,'単価履歴'!$E:$E,V$1,'単価履歴'!$F:$F,$A11))=0,"",
MAXIFS('単価履歴'!$H:$H,'単価履歴'!$E:$E,V$1,'単価履歴'!$F:$F,$A11,'単価履歴'!$O:$O,
MAXIFS('単価履歴'!$O:$O,'単価履歴'!$E:$E,V$1,'単価履歴'!$F:$F,$A11)))</f>
        <v>48.5</v>
      </c>
      <c r="W11" s="252" t="str">
        <f>IF(MAXIFS('単価履歴'!$H:$H,'単価履歴'!$E:$E,W$1,'単価履歴'!$F:$F,$A11,'単価履歴'!$O:$O,
MAXIFS('単価履歴'!$O:$O,'単価履歴'!$E:$E,W$1,'単価履歴'!$F:$F,$A11))=0,"",
MAXIFS('単価履歴'!$H:$H,'単価履歴'!$E:$E,W$1,'単価履歴'!$F:$F,$A11,'単価履歴'!$O:$O,
MAXIFS('単価履歴'!$O:$O,'単価履歴'!$E:$E,W$1,'単価履歴'!$F:$F,$A11)))</f>
        <v/>
      </c>
      <c r="X11" s="249" t="str">
        <f>IF(MAXIFS('単価履歴'!$H:$H,'単価履歴'!$E:$E,X$1,'単価履歴'!$F:$F,$A11,'単価履歴'!$O:$O,
MAXIFS('単価履歴'!$O:$O,'単価履歴'!$E:$E,X$1,'単価履歴'!$F:$F,$A11))=0,"",
MAXIFS('単価履歴'!$H:$H,'単価履歴'!$E:$E,X$1,'単価履歴'!$F:$F,$A11,'単価履歴'!$O:$O,
MAXIFS('単価履歴'!$O:$O,'単価履歴'!$E:$E,X$1,'単価履歴'!$F:$F,$A11)))</f>
        <v/>
      </c>
      <c r="Y11" s="251" t="str">
        <f>IF(MAXIFS('単価履歴'!$H:$H,'単価履歴'!$E:$E,Y$1,'単価履歴'!$F:$F,$A11,'単価履歴'!$O:$O,
MAXIFS('単価履歴'!$O:$O,'単価履歴'!$E:$E,Y$1,'単価履歴'!$F:$F,$A11))=0,"",
MAXIFS('単価履歴'!$H:$H,'単価履歴'!$E:$E,Y$1,'単価履歴'!$F:$F,$A11,'単価履歴'!$O:$O,
MAXIFS('単価履歴'!$O:$O,'単価履歴'!$E:$E,Y$1,'単価履歴'!$F:$F,$A11)))</f>
        <v/>
      </c>
      <c r="Z11" s="285">
        <v>43.2</v>
      </c>
      <c r="AA11" s="247">
        <f>IF(MAXIFS('単価履歴'!$H:$H,'単価履歴'!$E:$E,AA$1,'単価履歴'!$F:$F,$A11,'単価履歴'!$O:$O,
MAXIFS('単価履歴'!$O:$O,'単価履歴'!$E:$E,AA$1,'単価履歴'!$F:$F,$A11))=0,"",
MAXIFS('単価履歴'!$H:$H,'単価履歴'!$E:$E,AA$1,'単価履歴'!$F:$F,$A11,'単価履歴'!$O:$O,
MAXIFS('単価履歴'!$O:$O,'単価履歴'!$E:$E,AA$1,'単価履歴'!$F:$F,$A11)))</f>
        <v>45</v>
      </c>
      <c r="AB11" s="252" t="str">
        <f>IF(MAXIFS('単価履歴'!$H:$H,'単価履歴'!$E:$E,AB$1,'単価履歴'!$F:$F,$A11,'単価履歴'!$O:$O,
MAXIFS('単価履歴'!$O:$O,'単価履歴'!$E:$E,AB$1,'単価履歴'!$F:$F,$A11))=0,"",
MAXIFS('単価履歴'!$H:$H,'単価履歴'!$E:$E,AB$1,'単価履歴'!$F:$F,$A11,'単価履歴'!$O:$O,
MAXIFS('単価履歴'!$O:$O,'単価履歴'!$E:$E,AB$1,'単価履歴'!$F:$F,$A11)))</f>
        <v/>
      </c>
      <c r="AC11" s="249" t="str">
        <f>IF(MAXIFS('単価履歴'!$H:$H,'単価履歴'!$E:$E,AC$1,'単価履歴'!$F:$F,$A11,'単価履歴'!$O:$O,
MAXIFS('単価履歴'!$O:$O,'単価履歴'!$E:$E,AC$1,'単価履歴'!$F:$F,$A11))=0,"",
MAXIFS('単価履歴'!$H:$H,'単価履歴'!$E:$E,AC$1,'単価履歴'!$F:$F,$A11,'単価履歴'!$O:$O,
MAXIFS('単価履歴'!$O:$O,'単価履歴'!$E:$E,AC$1,'単価履歴'!$F:$F,$A11)))</f>
        <v/>
      </c>
      <c r="AD11" s="251" t="str">
        <f>IF(MAXIFS('単価履歴'!$H:$H,'単価履歴'!$E:$E,AD$1,'単価履歴'!$F:$F,$A11,'単価履歴'!$O:$O,
MAXIFS('単価履歴'!$O:$O,'単価履歴'!$E:$E,AD$1,'単価履歴'!$F:$F,$A11))=0,"",
MAXIFS('単価履歴'!$H:$H,'単価履歴'!$E:$E,AD$1,'単価履歴'!$F:$F,$A11,'単価履歴'!$O:$O,
MAXIFS('単価履歴'!$O:$O,'単価履歴'!$E:$E,AD$1,'単価履歴'!$F:$F,$A11)))</f>
        <v/>
      </c>
      <c r="AE11" s="252" t="str">
        <f>IF(MAXIFS('単価履歴'!$H:$H,'単価履歴'!$E:$E,AE$1,'単価履歴'!$F:$F,$A11,'単価履歴'!$O:$O,
MAXIFS('単価履歴'!$O:$O,'単価履歴'!$E:$E,AE$1,'単価履歴'!$F:$F,$A11))=0,"",
MAXIFS('単価履歴'!$H:$H,'単価履歴'!$E:$E,AE$1,'単価履歴'!$F:$F,$A11,'単価履歴'!$O:$O,
MAXIFS('単価履歴'!$O:$O,'単価履歴'!$E:$E,AE$1,'単価履歴'!$F:$F,$A11)))</f>
        <v/>
      </c>
      <c r="AF11" s="249" t="str">
        <f>IF(MAXIFS('単価履歴'!$H:$H,'単価履歴'!$E:$E,AF$1,'単価履歴'!$F:$F,$A11,'単価履歴'!$O:$O,
MAXIFS('単価履歴'!$O:$O,'単価履歴'!$E:$E,AF$1,'単価履歴'!$F:$F,$A11))=0,"",
MAXIFS('単価履歴'!$H:$H,'単価履歴'!$E:$E,AF$1,'単価履歴'!$F:$F,$A11,'単価履歴'!$O:$O,
MAXIFS('単価履歴'!$O:$O,'単価履歴'!$E:$E,AF$1,'単価履歴'!$F:$F,$A11)))</f>
        <v/>
      </c>
      <c r="AG11" s="257">
        <f>IF(MAXIFS('単価履歴'!$H:$H,'単価履歴'!$E:$E,AG$1,'単価履歴'!$F:$F,$A11,'単価履歴'!$O:$O,
MAXIFS('単価履歴'!$O:$O,'単価履歴'!$E:$E,AG$1,'単価履歴'!$F:$F,$A11))=0,"",
MAXIFS('単価履歴'!$H:$H,'単価履歴'!$E:$E,AG$1,'単価履歴'!$F:$F,$A11,'単価履歴'!$O:$O,
MAXIFS('単価履歴'!$O:$O,'単価履歴'!$E:$E,AG$1,'単価履歴'!$F:$F,$A11)))</f>
        <v>55</v>
      </c>
      <c r="AH11" s="249" t="str">
        <f>IF(MAXIFS('単価履歴'!$H:$H,'単価履歴'!$E:$E,AH$1,'単価履歴'!$F:$F,$A11,'単価履歴'!$O:$O,
MAXIFS('単価履歴'!$O:$O,'単価履歴'!$E:$E,AH$1,'単価履歴'!$F:$F,$A11))=0,"",
MAXIFS('単価履歴'!$H:$H,'単価履歴'!$E:$E,AH$1,'単価履歴'!$F:$F,$A11,'単価履歴'!$O:$O,
MAXIFS('単価履歴'!$O:$O,'単価履歴'!$E:$E,AH$1,'単価履歴'!$F:$F,$A11)))</f>
        <v/>
      </c>
      <c r="AI11" s="247">
        <f>IF(MAXIFS('単価履歴'!$H:$H,'単価履歴'!$E:$E,AI$1,'単価履歴'!$F:$F,$A11,'単価履歴'!$O:$O,
MAXIFS('単価履歴'!$O:$O,'単価履歴'!$E:$E,AI$1,'単価履歴'!$F:$F,$A11))=0,"",
MAXIFS('単価履歴'!$H:$H,'単価履歴'!$E:$E,AI$1,'単価履歴'!$F:$F,$A11,'単価履歴'!$O:$O,
MAXIFS('単価履歴'!$O:$O,'単価履歴'!$E:$E,AI$1,'単価履歴'!$F:$F,$A11)))</f>
        <v>56.1</v>
      </c>
      <c r="AJ11" s="246">
        <f>IF(MAXIFS('単価履歴'!$H:$H,'単価履歴'!$E:$E,AJ$1,'単価履歴'!$F:$F,$A11,'単価履歴'!$O:$O,
MAXIFS('単価履歴'!$O:$O,'単価履歴'!$E:$E,AJ$1,'単価履歴'!$F:$F,$A11))=0,"",
MAXIFS('単価履歴'!$H:$H,'単価履歴'!$E:$E,AJ$1,'単価履歴'!$F:$F,$A11,'単価履歴'!$O:$O,
MAXIFS('単価履歴'!$O:$O,'単価履歴'!$E:$E,AJ$1,'単価履歴'!$F:$F,$A11)))</f>
        <v>59</v>
      </c>
      <c r="AK11" s="251" t="str">
        <f>IF(MAXIFS('単価履歴'!$H:$H,'単価履歴'!$E:$E,AK$1,'単価履歴'!$F:$F,$A11,'単価履歴'!$O:$O,
MAXIFS('単価履歴'!$O:$O,'単価履歴'!$E:$E,AK$1,'単価履歴'!$F:$F,$A11))=0,"",
MAXIFS('単価履歴'!$H:$H,'単価履歴'!$E:$E,AK$1,'単価履歴'!$F:$F,$A11,'単価履歴'!$O:$O,
MAXIFS('単価履歴'!$O:$O,'単価履歴'!$E:$E,AK$1,'単価履歴'!$F:$F,$A11)))</f>
        <v/>
      </c>
      <c r="AL11" s="249" t="str">
        <f>IF(MAXIFS('単価履歴'!$H:$H,'単価履歴'!$E:$E,AL$1,'単価履歴'!$F:$F,$A11,'単価履歴'!$O:$O,
MAXIFS('単価履歴'!$O:$O,'単価履歴'!$E:$E,AL$1,'単価履歴'!$F:$F,$A11))=0,"",
MAXIFS('単価履歴'!$H:$H,'単価履歴'!$E:$E,AL$1,'単価履歴'!$F:$F,$A11,'単価履歴'!$O:$O,
MAXIFS('単価履歴'!$O:$O,'単価履歴'!$E:$E,AL$1,'単価履歴'!$F:$F,$A11)))</f>
        <v/>
      </c>
      <c r="AM11" s="247">
        <f>IF(MAXIFS('単価履歴'!$H:$H,'単価履歴'!$E:$E,AM$1,'単価履歴'!$F:$F,$A11,'単価履歴'!$O:$O,
MAXIFS('単価履歴'!$O:$O,'単価履歴'!$E:$E,AM$1,'単価履歴'!$F:$F,$A11))=0,"",
MAXIFS('単価履歴'!$H:$H,'単価履歴'!$E:$E,AM$1,'単価履歴'!$F:$F,$A11,'単価履歴'!$O:$O,
MAXIFS('単価履歴'!$O:$O,'単価履歴'!$E:$E,AM$1,'単価履歴'!$F:$F,$A11)))</f>
        <v>55.5</v>
      </c>
      <c r="AN11" s="258">
        <f>IF(MAXIFS('単価履歴'!$H:$H,'単価履歴'!$E:$E,AN$1,'単価履歴'!$F:$F,$A11,'単価履歴'!$O:$O,
MAXIFS('単価履歴'!$O:$O,'単価履歴'!$E:$E,AN$1,'単価履歴'!$F:$F,$A11))=0,"",
MAXIFS('単価履歴'!$H:$H,'単価履歴'!$E:$E,AN$1,'単価履歴'!$F:$F,$A11,'単価履歴'!$O:$O,
MAXIFS('単価履歴'!$O:$O,'単価履歴'!$E:$E,AN$1,'単価履歴'!$F:$F,$A11)))</f>
        <v>56.5</v>
      </c>
      <c r="AO11" s="247">
        <f>IF(MAXIFS('単価履歴'!$H:$H,'単価履歴'!$E:$E,AO$1,'単価履歴'!$F:$F,$A11,'単価履歴'!$O:$O,
MAXIFS('単価履歴'!$O:$O,'単価履歴'!$E:$E,AO$1,'単価履歴'!$F:$F,$A11))=0,"",
MAXIFS('単価履歴'!$H:$H,'単価履歴'!$E:$E,AO$1,'単価履歴'!$F:$F,$A11,'単価履歴'!$O:$O,
MAXIFS('単価履歴'!$O:$O,'単価履歴'!$E:$E,AO$1,'単価履歴'!$F:$F,$A11)))</f>
        <v>55.7</v>
      </c>
      <c r="AP11" s="258">
        <f>IF(MAXIFS('単価履歴'!$H:$H,'単価履歴'!$E:$E,AP$1,'単価履歴'!$F:$F,$A11,'単価履歴'!$O:$O,
MAXIFS('単価履歴'!$O:$O,'単価履歴'!$E:$E,AP$1,'単価履歴'!$F:$F,$A11))=0,"",
MAXIFS('単価履歴'!$H:$H,'単価履歴'!$E:$E,AP$1,'単価履歴'!$F:$F,$A11,'単価履歴'!$O:$O,
MAXIFS('単価履歴'!$O:$O,'単価履歴'!$E:$E,AP$1,'単価履歴'!$F:$F,$A11)))</f>
        <v>53</v>
      </c>
      <c r="AQ11" s="247">
        <f>IF(MAXIFS('単価履歴'!$H:$H,'単価履歴'!$E:$E,AQ$1,'単価履歴'!$F:$F,$A11,'単価履歴'!$O:$O,
MAXIFS('単価履歴'!$O:$O,'単価履歴'!$E:$E,AQ$1,'単価履歴'!$F:$F,$A11))=0,"",
MAXIFS('単価履歴'!$H:$H,'単価履歴'!$E:$E,AQ$1,'単価履歴'!$F:$F,$A11,'単価履歴'!$O:$O,
MAXIFS('単価履歴'!$O:$O,'単価履歴'!$E:$E,AQ$1,'単価履歴'!$F:$F,$A11)))</f>
        <v>53</v>
      </c>
      <c r="AR11" s="258">
        <f>IF(MAXIFS('単価履歴'!$H:$H,'単価履歴'!$E:$E,AR$1,'単価履歴'!$F:$F,$A11,'単価履歴'!$O:$O,
MAXIFS('単価履歴'!$O:$O,'単価履歴'!$E:$E,AR$1,'単価履歴'!$F:$F,$A11))=0,"",
MAXIFS('単価履歴'!$H:$H,'単価履歴'!$E:$E,AR$1,'単価履歴'!$F:$F,$A11,'単価履歴'!$O:$O,
MAXIFS('単価履歴'!$O:$O,'単価履歴'!$E:$E,AR$1,'単価履歴'!$F:$F,$A11)))</f>
        <v>53</v>
      </c>
      <c r="AS11" s="246">
        <f>IF(MAXIFS('単価履歴'!$H:$H,'単価履歴'!$E:$E,AS$1,'単価履歴'!$F:$F,$A11,'単価履歴'!$O:$O,
MAXIFS('単価履歴'!$O:$O,'単価履歴'!$E:$E,AS$1,'単価履歴'!$F:$F,$A11))=0,"",
MAXIFS('単価履歴'!$H:$H,'単価履歴'!$E:$E,AS$1,'単価履歴'!$F:$F,$A11,'単価履歴'!$O:$O,
MAXIFS('単価履歴'!$O:$O,'単価履歴'!$E:$E,AS$1,'単価履歴'!$F:$F,$A11)))</f>
        <v>56</v>
      </c>
      <c r="AT11" s="285">
        <v>43.8</v>
      </c>
      <c r="AU11" s="246">
        <f>IF(MAXIFS('単価履歴'!$H:$H,'単価履歴'!$E:$E,AU$1,'単価履歴'!$F:$F,$A11,'単価履歴'!$O:$O,
MAXIFS('単価履歴'!$O:$O,'単価履歴'!$E:$E,AU$1,'単価履歴'!$F:$F,$A11))=0,"",
MAXIFS('単価履歴'!$H:$H,'単価履歴'!$E:$E,AU$1,'単価履歴'!$F:$F,$A11,'単価履歴'!$O:$O,
MAXIFS('単価履歴'!$O:$O,'単価履歴'!$E:$E,AU$1,'単価履歴'!$F:$F,$A11)))</f>
        <v>53</v>
      </c>
      <c r="AV11" s="246">
        <f>IF(MAXIFS('単価履歴'!$H:$H,'単価履歴'!$E:$E,AV$1,'単価履歴'!$F:$F,$A11,'単価履歴'!$O:$O,
MAXIFS('単価履歴'!$O:$O,'単価履歴'!$E:$E,AV$1,'単価履歴'!$F:$F,$A11))=0,"",
MAXIFS('単価履歴'!$H:$H,'単価履歴'!$E:$E,AV$1,'単価履歴'!$F:$F,$A11,'単価履歴'!$O:$O,
MAXIFS('単価履歴'!$O:$O,'単価履歴'!$E:$E,AV$1,'単価履歴'!$F:$F,$A11)))</f>
        <v>53.8</v>
      </c>
      <c r="AW11" s="257" t="str">
        <f>IF(MAXIFS('単価履歴'!$H:$H,'単価履歴'!$E:$E,AW$1,'単価履歴'!$F:$F,$A11,'単価履歴'!$O:$O,
MAXIFS('単価履歴'!$O:$O,'単価履歴'!$E:$E,AW$1,'単価履歴'!$F:$F,$A11))=0,"",
MAXIFS('単価履歴'!$H:$H,'単価履歴'!$E:$E,AW$1,'単価履歴'!$F:$F,$A11,'単価履歴'!$O:$O,
MAXIFS('単価履歴'!$O:$O,'単価履歴'!$E:$E,AW$1,'単価履歴'!$F:$F,$A11)))</f>
        <v/>
      </c>
      <c r="AX11" s="252" t="str">
        <f>IF(MAXIFS('単価履歴'!$H:$H,'単価履歴'!$E:$E,AX$1,'単価履歴'!$F:$F,$A11,'単価履歴'!$O:$O,
MAXIFS('単価履歴'!$O:$O,'単価履歴'!$E:$E,AX$1,'単価履歴'!$F:$F,$A11))=0,"",
MAXIFS('単価履歴'!$H:$H,'単価履歴'!$E:$E,AX$1,'単価履歴'!$F:$F,$A11,'単価履歴'!$O:$O,
MAXIFS('単価履歴'!$O:$O,'単価履歴'!$E:$E,AX$1,'単価履歴'!$F:$F,$A11)))</f>
        <v/>
      </c>
      <c r="AY11" s="251" t="str">
        <f>IF(MAXIFS('単価履歴'!$H:$H,'単価履歴'!$E:$E,AY$1,'単価履歴'!$F:$F,$A11,'単価履歴'!$O:$O,
MAXIFS('単価履歴'!$O:$O,'単価履歴'!$E:$E,AY$1,'単価履歴'!$F:$F,$A11))=0,"",
MAXIFS('単価履歴'!$H:$H,'単価履歴'!$E:$E,AY$1,'単価履歴'!$F:$F,$A11,'単価履歴'!$O:$O,
MAXIFS('単価履歴'!$O:$O,'単価履歴'!$E:$E,AY$1,'単価履歴'!$F:$F,$A11)))</f>
        <v/>
      </c>
      <c r="AZ11" s="249" t="str">
        <f>IF(MAXIFS('単価履歴'!$H:$H,'単価履歴'!$E:$E,AZ$1,'単価履歴'!$F:$F,$A11,'単価履歴'!$O:$O,
MAXIFS('単価履歴'!$O:$O,'単価履歴'!$E:$E,AZ$1,'単価履歴'!$F:$F,$A11))=0,"",
MAXIFS('単価履歴'!$H:$H,'単価履歴'!$E:$E,AZ$1,'単価履歴'!$F:$F,$A11,'単価履歴'!$O:$O,
MAXIFS('単価履歴'!$O:$O,'単価履歴'!$E:$E,AZ$1,'単価履歴'!$F:$F,$A11)))</f>
        <v/>
      </c>
      <c r="BA11" s="248" t="str">
        <f>IF(MAXIFS('単価履歴'!$H:$H,'単価履歴'!$E:$E,BA$1,'単価履歴'!$F:$F,$A11,'単価履歴'!$O:$O,
MAXIFS('単価履歴'!$O:$O,'単価履歴'!$E:$E,BA$1,'単価履歴'!$F:$F,$A11))=0,"",
MAXIFS('単価履歴'!$H:$H,'単価履歴'!$E:$E,BA$1,'単価履歴'!$F:$F,$A11,'単価履歴'!$O:$O,
MAXIFS('単価履歴'!$O:$O,'単価履歴'!$E:$E,BA$1,'単価履歴'!$F:$F,$A11)))</f>
        <v/>
      </c>
      <c r="BB11" s="252" t="str">
        <f>IF(MAXIFS('単価履歴'!$H:$H,'単価履歴'!$E:$E,BB$1,'単価履歴'!$F:$F,$A11,'単価履歴'!$O:$O,
MAXIFS('単価履歴'!$O:$O,'単価履歴'!$E:$E,BB$1,'単価履歴'!$F:$F,$A11))=0,"",
MAXIFS('単価履歴'!$H:$H,'単価履歴'!$E:$E,BB$1,'単価履歴'!$F:$F,$A11,'単価履歴'!$O:$O,
MAXIFS('単価履歴'!$O:$O,'単価履歴'!$E:$E,BB$1,'単価履歴'!$F:$F,$A11)))</f>
        <v/>
      </c>
      <c r="BC11" s="259">
        <f>IF(MAXIFS('単価履歴'!$H:$H,'単価履歴'!$E:$E,BC$1,'単価履歴'!$F:$F,$A11,'単価履歴'!$O:$O,
MAXIFS('単価履歴'!$O:$O,'単価履歴'!$E:$E,BC$1,'単価履歴'!$F:$F,$A11))=0,"",
MAXIFS('単価履歴'!$H:$H,'単価履歴'!$E:$E,BC$1,'単価履歴'!$F:$F,$A11,'単価履歴'!$O:$O,
MAXIFS('単価履歴'!$O:$O,'単価履歴'!$E:$E,BC$1,'単価履歴'!$F:$F,$A11)))</f>
        <v>39</v>
      </c>
      <c r="BD11" s="248" t="str">
        <f>IF(MAXIFS('単価履歴'!$H:$H,'単価履歴'!$E:$E,BD$1,'単価履歴'!$F:$F,$A11,'単価履歴'!$O:$O,
MAXIFS('単価履歴'!$O:$O,'単価履歴'!$E:$E,BD$1,'単価履歴'!$F:$F,$A11))=0,"",
MAXIFS('単価履歴'!$H:$H,'単価履歴'!$E:$E,BD$1,'単価履歴'!$F:$F,$A11,'単価履歴'!$O:$O,
MAXIFS('単価履歴'!$O:$O,'単価履歴'!$E:$E,BD$1,'単価履歴'!$F:$F,$A11)))</f>
        <v/>
      </c>
      <c r="BE11" s="249" t="str">
        <f>IF(MAXIFS('単価履歴'!$H:$H,'単価履歴'!$E:$E,BE$1,'単価履歴'!$F:$F,$A11,'単価履歴'!$O:$O,
MAXIFS('単価履歴'!$O:$O,'単価履歴'!$E:$E,BE$1,'単価履歴'!$F:$F,$A11))=0,"",
MAXIFS('単価履歴'!$H:$H,'単価履歴'!$E:$E,BE$1,'単価履歴'!$F:$F,$A11,'単価履歴'!$O:$O,
MAXIFS('単価履歴'!$O:$O,'単価履歴'!$E:$E,BE$1,'単価履歴'!$F:$F,$A11)))</f>
        <v/>
      </c>
      <c r="BF11" s="248" t="str">
        <f>IF(MAXIFS('単価履歴'!$H:$H,'単価履歴'!$E:$E,BF$1,'単価履歴'!$F:$F,$A11,'単価履歴'!$O:$O,
MAXIFS('単価履歴'!$O:$O,'単価履歴'!$E:$E,BF$1,'単価履歴'!$F:$F,$A11))=0,"",
MAXIFS('単価履歴'!$H:$H,'単価履歴'!$E:$E,BF$1,'単価履歴'!$F:$F,$A11,'単価履歴'!$O:$O,
MAXIFS('単価履歴'!$O:$O,'単価履歴'!$E:$E,BF$1,'単価履歴'!$F:$F,$A11)))</f>
        <v/>
      </c>
      <c r="BG11" s="249" t="str">
        <f>IF(MAXIFS('単価履歴'!$H:$H,'単価履歴'!$E:$E,BG$1,'単価履歴'!$F:$F,$A11,'単価履歴'!$O:$O,
MAXIFS('単価履歴'!$O:$O,'単価履歴'!$E:$E,BG$1,'単価履歴'!$F:$F,$A11))=0,"",
MAXIFS('単価履歴'!$H:$H,'単価履歴'!$E:$E,BG$1,'単価履歴'!$F:$F,$A11,'単価履歴'!$O:$O,
MAXIFS('単価履歴'!$O:$O,'単価履歴'!$E:$E,BG$1,'単価履歴'!$F:$F,$A11)))</f>
        <v/>
      </c>
      <c r="BH11" s="249" t="str">
        <f>IF(MAXIFS('単価履歴'!$H:$H,'単価履歴'!$E:$E,BH$1,'単価履歴'!$F:$F,$A11,'単価履歴'!$O:$O,
MAXIFS('単価履歴'!$O:$O,'単価履歴'!$E:$E,BH$1,'単価履歴'!$F:$F,$A11))=0,"",
MAXIFS('単価履歴'!$H:$H,'単価履歴'!$E:$E,BH$1,'単価履歴'!$F:$F,$A11,'単価履歴'!$O:$O,
MAXIFS('単価履歴'!$O:$O,'単価履歴'!$E:$E,BH$1,'単価履歴'!$F:$F,$A11)))</f>
        <v/>
      </c>
      <c r="BI11" s="252" t="str">
        <f>IF(MAXIFS('単価履歴'!$H:$H,'単価履歴'!$E:$E,BI$1,'単価履歴'!$F:$F,$A11,'単価履歴'!$O:$O,
MAXIFS('単価履歴'!$O:$O,'単価履歴'!$E:$E,BI$1,'単価履歴'!$F:$F,$A11))=0,"",
MAXIFS('単価履歴'!$H:$H,'単価履歴'!$E:$E,BI$1,'単価履歴'!$F:$F,$A11,'単価履歴'!$O:$O,
MAXIFS('単価履歴'!$O:$O,'単価履歴'!$E:$E,BI$1,'単価履歴'!$F:$F,$A11)))</f>
        <v/>
      </c>
      <c r="BJ11" s="260">
        <f>IF(MAXIFS('単価履歴'!$H:$H,'単価履歴'!$E:$E,BJ$1,'単価履歴'!$F:$F,$A11,'単価履歴'!$O:$O,
MAXIFS('単価履歴'!$O:$O,'単価履歴'!$E:$E,BJ$1,'単価履歴'!$F:$F,$A11))=0,"",
MAXIFS('単価履歴'!$H:$H,'単価履歴'!$E:$E,BJ$1,'単価履歴'!$F:$F,$A11,'単価履歴'!$O:$O,
MAXIFS('単価履歴'!$O:$O,'単価履歴'!$E:$E,BJ$1,'単価履歴'!$F:$F,$A11)))</f>
        <v>28.8</v>
      </c>
      <c r="BK11" s="252" t="str">
        <f>IF(MAXIFS('単価履歴'!$H:$H,'単価履歴'!$E:$E,BK$1,'単価履歴'!$F:$F,$A11,'単価履歴'!$O:$O,
MAXIFS('単価履歴'!$O:$O,'単価履歴'!$E:$E,BK$1,'単価履歴'!$F:$F,$A11))=0,"",
MAXIFS('単価履歴'!$H:$H,'単価履歴'!$E:$E,BK$1,'単価履歴'!$F:$F,$A11,'単価履歴'!$O:$O,
MAXIFS('単価履歴'!$O:$O,'単価履歴'!$E:$E,BK$1,'単価履歴'!$F:$F,$A11)))</f>
        <v/>
      </c>
      <c r="BL11" s="252" t="str">
        <f>IF(MAXIFS('単価履歴'!$H:$H,'単価履歴'!$E:$E,BL$1,'単価履歴'!$F:$F,$A11,'単価履歴'!$O:$O,
MAXIFS('単価履歴'!$O:$O,'単価履歴'!$E:$E,BL$1,'単価履歴'!$F:$F,$A11))=0,"",
MAXIFS('単価履歴'!$H:$H,'単価履歴'!$E:$E,BL$1,'単価履歴'!$F:$F,$A11,'単価履歴'!$O:$O,
MAXIFS('単価履歴'!$O:$O,'単価履歴'!$E:$E,BL$1,'単価履歴'!$F:$F,$A11)))</f>
        <v/>
      </c>
      <c r="BM11" s="252" t="str">
        <f>IF(MAXIFS('単価履歴'!$H:$H,'単価履歴'!$E:$E,BM$1,'単価履歴'!$F:$F,$A11,'単価履歴'!$O:$O,
MAXIFS('単価履歴'!$O:$O,'単価履歴'!$E:$E,BM$1,'単価履歴'!$F:$F,$A11))=0,"",
MAXIFS('単価履歴'!$H:$H,'単価履歴'!$E:$E,BM$1,'単価履歴'!$F:$F,$A11,'単価履歴'!$O:$O,
MAXIFS('単価履歴'!$O:$O,'単価履歴'!$E:$E,BM$1,'単価履歴'!$F:$F,$A11)))</f>
        <v/>
      </c>
      <c r="BN11" s="248" t="str">
        <f>IF(MAXIFS('単価履歴'!$H:$H,'単価履歴'!$E:$E,BN$1,'単価履歴'!$F:$F,$A11,'単価履歴'!$O:$O,
MAXIFS('単価履歴'!$O:$O,'単価履歴'!$E:$E,BN$1,'単価履歴'!$F:$F,$A11))=0,"",
MAXIFS('単価履歴'!$H:$H,'単価履歴'!$E:$E,BN$1,'単価履歴'!$F:$F,$A11,'単価履歴'!$O:$O,
MAXIFS('単価履歴'!$O:$O,'単価履歴'!$E:$E,BN$1,'単価履歴'!$F:$F,$A11)))</f>
        <v/>
      </c>
      <c r="BO11" s="249" t="str">
        <f>IF(MAXIFS('単価履歴'!$H:$H,'単価履歴'!$E:$E,BO$1,'単価履歴'!$F:$F,$A11,'単価履歴'!$O:$O,
MAXIFS('単価履歴'!$O:$O,'単価履歴'!$E:$E,BO$1,'単価履歴'!$F:$F,$A11))=0,"",
MAXIFS('単価履歴'!$H:$H,'単価履歴'!$E:$E,BO$1,'単価履歴'!$F:$F,$A11,'単価履歴'!$O:$O,
MAXIFS('単価履歴'!$O:$O,'単価履歴'!$E:$E,BO$1,'単価履歴'!$F:$F,$A11)))</f>
        <v/>
      </c>
      <c r="BP11" s="252" t="str">
        <f>IF(MAXIFS('単価履歴'!$H:$H,'単価履歴'!$E:$E,BP$1,'単価履歴'!$F:$F,$A11,'単価履歴'!$O:$O,
MAXIFS('単価履歴'!$O:$O,'単価履歴'!$E:$E,BP$1,'単価履歴'!$F:$F,$A11))=0,"",
MAXIFS('単価履歴'!$H:$H,'単価履歴'!$E:$E,BP$1,'単価履歴'!$F:$F,$A11,'単価履歴'!$O:$O,
MAXIFS('単価履歴'!$O:$O,'単価履歴'!$E:$E,BP$1,'単価履歴'!$F:$F,$A11)))</f>
        <v/>
      </c>
      <c r="BQ11" s="249"/>
      <c r="BR11" s="249"/>
      <c r="BS11" s="249"/>
      <c r="BT11" s="249"/>
      <c r="BU11" s="249"/>
      <c r="BV11" s="249"/>
      <c r="BW11" s="249"/>
      <c r="BX11" s="249"/>
    </row>
    <row r="12">
      <c r="A12" s="261" t="s">
        <v>101</v>
      </c>
      <c r="B12" s="246" t="str">
        <f>IF(MAXIFS('単価履歴'!$H:$H,'単価履歴'!$E:$E,B$1,'単価履歴'!$F:$F,$A12,'単価履歴'!$O:$O,
MAXIFS('単価履歴'!$O:$O,'単価履歴'!$E:$E,B$1,'単価履歴'!$F:$F,$A12))=0,"",
MAXIFS('単価履歴'!$H:$H,'単価履歴'!$E:$E,B$1,'単価履歴'!$F:$F,$A12,'単価履歴'!$O:$O,
MAXIFS('単価履歴'!$O:$O,'単価履歴'!$E:$E,B$1,'単価履歴'!$F:$F,$A12)))</f>
        <v/>
      </c>
      <c r="C12" s="262">
        <f>IF(MAXIFS('単価履歴'!$H:$H,'単価履歴'!$E:$E,C$1,'単価履歴'!$F:$F,$A12,'単価履歴'!$O:$O,
MAXIFS('単価履歴'!$O:$O,'単価履歴'!$E:$E,C$1,'単価履歴'!$F:$F,$A12))=0,"",
MAXIFS('単価履歴'!$H:$H,'単価履歴'!$E:$E,C$1,'単価履歴'!$F:$F,$A12,'単価履歴'!$O:$O,
MAXIFS('単価履歴'!$O:$O,'単価履歴'!$E:$E,C$1,'単価履歴'!$F:$F,$A12)))</f>
        <v>57.4</v>
      </c>
      <c r="D12" s="256">
        <f>IF(MAXIFS('単価履歴'!$H:$H,'単価履歴'!$E:$E,D$1,'単価履歴'!$F:$F,$A12,'単価履歴'!$O:$O,
MAXIFS('単価履歴'!$O:$O,'単価履歴'!$E:$E,D$1,'単価履歴'!$F:$F,$A12))=0,"",
MAXIFS('単価履歴'!$H:$H,'単価履歴'!$E:$E,D$1,'単価履歴'!$F:$F,$A12,'単価履歴'!$O:$O,
MAXIFS('単価履歴'!$O:$O,'単価履歴'!$E:$E,D$1,'単価履歴'!$F:$F,$A12)))</f>
        <v>57.3</v>
      </c>
      <c r="E12" s="256"/>
      <c r="F12" s="256"/>
      <c r="G12" s="263" t="str">
        <f>IF(MAXIFS('単価履歴'!$H:$H,'単価履歴'!$E:$E,G$1,'単価履歴'!$F:$F,$A12,'単価履歴'!$O:$O,
MAXIFS('単価履歴'!$O:$O,'単価履歴'!$E:$E,G$1,'単価履歴'!$F:$F,$A12))=0,"",
MAXIFS('単価履歴'!$H:$H,'単価履歴'!$E:$E,G$1,'単価履歴'!$F:$F,$A12,'単価履歴'!$O:$O,
MAXIFS('単価履歴'!$O:$O,'単価履歴'!$E:$E,G$1,'単価履歴'!$F:$F,$A12)))</f>
        <v/>
      </c>
      <c r="H12" s="250">
        <f>IF(MAXIFS('単価履歴'!$H:$H,'単価履歴'!$E:$E,H$1,'単価履歴'!$F:$F,$A12,'単価履歴'!$O:$O,
MAXIFS('単価履歴'!$O:$O,'単価履歴'!$E:$E,H$1,'単価履歴'!$F:$F,$A12))=0,"",
MAXIFS('単価履歴'!$H:$H,'単価履歴'!$E:$E,H$1,'単価履歴'!$F:$F,$A12,'単価履歴'!$O:$O,
MAXIFS('単価履歴'!$O:$O,'単価履歴'!$E:$E,H$1,'単価履歴'!$F:$F,$A12)))</f>
        <v>55.3</v>
      </c>
      <c r="I12" s="256">
        <f>IF(MAXIFS('単価履歴'!$H:$H,'単価履歴'!$E:$E,I$1,'単価履歴'!$F:$F,$A12,'単価履歴'!$O:$O,
MAXIFS('単価履歴'!$O:$O,'単価履歴'!$E:$E,I$1,'単価履歴'!$F:$F,$A12))=0,"",
MAXIFS('単価履歴'!$H:$H,'単価履歴'!$E:$E,I$1,'単価履歴'!$F:$F,$A12,'単価履歴'!$O:$O,
MAXIFS('単価履歴'!$O:$O,'単価履歴'!$E:$E,I$1,'単価履歴'!$F:$F,$A12)))</f>
        <v>2</v>
      </c>
      <c r="J12" s="263" t="str">
        <f>IF(MAXIFS('単価履歴'!$H:$H,'単価履歴'!$E:$E,J$1,'単価履歴'!$F:$F,$A12,'単価履歴'!$O:$O,
MAXIFS('単価履歴'!$O:$O,'単価履歴'!$E:$E,J$1,'単価履歴'!$F:$F,$A12))=0,"",
MAXIFS('単価履歴'!$H:$H,'単価履歴'!$E:$E,J$1,'単価履歴'!$F:$F,$A12,'単価履歴'!$O:$O,
MAXIFS('単価履歴'!$O:$O,'単価履歴'!$E:$E,J$1,'単価履歴'!$F:$F,$A12)))</f>
        <v/>
      </c>
      <c r="K12" s="256" t="str">
        <f>IF(MAXIFS('単価履歴'!$H:$H,'単価履歴'!$E:$E,K$1,'単価履歴'!$F:$F,$A12,'単価履歴'!$O:$O,
MAXIFS('単価履歴'!$O:$O,'単価履歴'!$E:$E,K$1,'単価履歴'!$F:$F,$A12))=0,"",
MAXIFS('単価履歴'!$H:$H,'単価履歴'!$E:$E,K$1,'単価履歴'!$F:$F,$A12,'単価履歴'!$O:$O,
MAXIFS('単価履歴'!$O:$O,'単価履歴'!$E:$E,K$1,'単価履歴'!$F:$F,$A12)))</f>
        <v/>
      </c>
      <c r="L12" s="256" t="str">
        <f>IF(MAXIFS('単価履歴'!$H:$H,'単価履歴'!$E:$E,L$1,'単価履歴'!$F:$F,$A12,'単価履歴'!$O:$O,
MAXIFS('単価履歴'!$O:$O,'単価履歴'!$E:$E,L$1,'単価履歴'!$F:$F,$A12))=0,"",
MAXIFS('単価履歴'!$H:$H,'単価履歴'!$E:$E,L$1,'単価履歴'!$F:$F,$A12,'単価履歴'!$O:$O,
MAXIFS('単価履歴'!$O:$O,'単価履歴'!$E:$E,L$1,'単価履歴'!$F:$F,$A12)))</f>
        <v/>
      </c>
      <c r="M12" s="256" t="str">
        <f>IF(MAXIFS('単価履歴'!$H:$H,'単価履歴'!$E:$E,M$1,'単価履歴'!$F:$F,$A12,'単価履歴'!$O:$O,
MAXIFS('単価履歴'!$O:$O,'単価履歴'!$E:$E,M$1,'単価履歴'!$F:$F,$A12))=0,"",
MAXIFS('単価履歴'!$H:$H,'単価履歴'!$E:$E,M$1,'単価履歴'!$F:$F,$A12,'単価履歴'!$O:$O,
MAXIFS('単価履歴'!$O:$O,'単価履歴'!$E:$E,M$1,'単価履歴'!$F:$F,$A12)))</f>
        <v/>
      </c>
      <c r="N12" s="256" t="str">
        <f>IF(MAXIFS('単価履歴'!$H:$H,'単価履歴'!$E:$E,N$1,'単価履歴'!$F:$F,$A12,'単価履歴'!$O:$O,
MAXIFS('単価履歴'!$O:$O,'単価履歴'!$E:$E,N$1,'単価履歴'!$F:$F,$A12))=0,"",
MAXIFS('単価履歴'!$H:$H,'単価履歴'!$E:$E,N$1,'単価履歴'!$F:$F,$A12,'単価履歴'!$O:$O,
MAXIFS('単価履歴'!$O:$O,'単価履歴'!$E:$E,N$1,'単価履歴'!$F:$F,$A12)))</f>
        <v/>
      </c>
      <c r="O12" s="254" t="str">
        <f>IF(MAXIFS('単価履歴'!$H:$H,'単価履歴'!$E:$E,O$1,'単価履歴'!$F:$F,$A12,'単価履歴'!$O:$O,
MAXIFS('単価履歴'!$O:$O,'単価履歴'!$E:$E,O$1,'単価履歴'!$F:$F,$A12))=0,"",
MAXIFS('単価履歴'!$H:$H,'単価履歴'!$E:$E,O$1,'単価履歴'!$F:$F,$A12,'単価履歴'!$O:$O,
MAXIFS('単価履歴'!$O:$O,'単価履歴'!$E:$E,O$1,'単価履歴'!$F:$F,$A12)))</f>
        <v/>
      </c>
      <c r="P12" s="264" t="str">
        <f>IF(MAXIFS('単価履歴'!$H:$H,'単価履歴'!$E:$E,P$1,'単価履歴'!$F:$F,$A12,'単価履歴'!$O:$O,
MAXIFS('単価履歴'!$O:$O,'単価履歴'!$E:$E,P$1,'単価履歴'!$F:$F,$A12))=0,"",
MAXIFS('単価履歴'!$H:$H,'単価履歴'!$E:$E,P$1,'単価履歴'!$F:$F,$A12,'単価履歴'!$O:$O,
MAXIFS('単価履歴'!$O:$O,'単価履歴'!$E:$E,P$1,'単価履歴'!$F:$F,$A12)))</f>
        <v/>
      </c>
      <c r="Q12" s="263" t="str">
        <f>IF(MAXIFS('単価履歴'!$H:$H,'単価履歴'!$E:$E,Q$1,'単価履歴'!$F:$F,$A12,'単価履歴'!$O:$O,
MAXIFS('単価履歴'!$O:$O,'単価履歴'!$E:$E,Q$1,'単価履歴'!$F:$F,$A12))=0,"",
MAXIFS('単価履歴'!$H:$H,'単価履歴'!$E:$E,Q$1,'単価履歴'!$F:$F,$A12,'単価履歴'!$O:$O,
MAXIFS('単価履歴'!$O:$O,'単価履歴'!$E:$E,Q$1,'単価履歴'!$F:$F,$A12)))</f>
        <v/>
      </c>
      <c r="R12" s="265">
        <f>IF(MAXIFS('単価履歴'!$H:$H,'単価履歴'!$E:$E,R$1,'単価履歴'!$F:$F,$A12,'単価履歴'!$O:$O,
MAXIFS('単価履歴'!$O:$O,'単価履歴'!$E:$E,R$1,'単価履歴'!$F:$F,$A12))=0,"",
MAXIFS('単価履歴'!$H:$H,'単価履歴'!$E:$E,R$1,'単価履歴'!$F:$F,$A12,'単価履歴'!$O:$O,
MAXIFS('単価履歴'!$O:$O,'単価履歴'!$E:$E,R$1,'単価履歴'!$F:$F,$A12)))</f>
        <v>58.5</v>
      </c>
      <c r="S12" s="254" t="str">
        <f>IF(MAXIFS('単価履歴'!$H:$H,'単価履歴'!$E:$E,S$1,'単価履歴'!$F:$F,$A12,'単価履歴'!$O:$O,
MAXIFS('単価履歴'!$O:$O,'単価履歴'!$E:$E,S$1,'単価履歴'!$F:$F,$A12))=0,"",
MAXIFS('単価履歴'!$H:$H,'単価履歴'!$E:$E,S$1,'単価履歴'!$F:$F,$A12,'単価履歴'!$O:$O,
MAXIFS('単価履歴'!$O:$O,'単価履歴'!$E:$E,S$1,'単価履歴'!$F:$F,$A12)))</f>
        <v/>
      </c>
      <c r="T12" s="256" t="str">
        <f>IF(MAXIFS('単価履歴'!$H:$H,'単価履歴'!$E:$E,T$1,'単価履歴'!$F:$F,$A12,'単価履歴'!$O:$O,
MAXIFS('単価履歴'!$O:$O,'単価履歴'!$E:$E,T$1,'単価履歴'!$F:$F,$A12))=0,"",
MAXIFS('単価履歴'!$H:$H,'単価履歴'!$E:$E,T$1,'単価履歴'!$F:$F,$A12,'単価履歴'!$O:$O,
MAXIFS('単価履歴'!$O:$O,'単価履歴'!$E:$E,T$1,'単価履歴'!$F:$F,$A12)))</f>
        <v/>
      </c>
      <c r="U12" s="256" t="str">
        <f>IF(MAXIFS('単価履歴'!$H:$H,'単価履歴'!$E:$E,U$1,'単価履歴'!$F:$F,$A12,'単価履歴'!$O:$O,
MAXIFS('単価履歴'!$O:$O,'単価履歴'!$E:$E,U$1,'単価履歴'!$F:$F,$A12))=0,"",
MAXIFS('単価履歴'!$H:$H,'単価履歴'!$E:$E,U$1,'単価履歴'!$F:$F,$A12,'単価履歴'!$O:$O,
MAXIFS('単価履歴'!$O:$O,'単価履歴'!$E:$E,U$1,'単価履歴'!$F:$F,$A12)))</f>
        <v/>
      </c>
      <c r="V12" s="254" t="str">
        <f>IF(MAXIFS('単価履歴'!$H:$H,'単価履歴'!$E:$E,V$1,'単価履歴'!$F:$F,$A12,'単価履歴'!$O:$O,
MAXIFS('単価履歴'!$O:$O,'単価履歴'!$E:$E,V$1,'単価履歴'!$F:$F,$A12))=0,"",
MAXIFS('単価履歴'!$H:$H,'単価履歴'!$E:$E,V$1,'単価履歴'!$F:$F,$A12,'単価履歴'!$O:$O,
MAXIFS('単価履歴'!$O:$O,'単価履歴'!$E:$E,V$1,'単価履歴'!$F:$F,$A12)))</f>
        <v/>
      </c>
      <c r="W12" s="264" t="str">
        <f>IF(MAXIFS('単価履歴'!$H:$H,'単価履歴'!$E:$E,W$1,'単価履歴'!$F:$F,$A12,'単価履歴'!$O:$O,
MAXIFS('単価履歴'!$O:$O,'単価履歴'!$E:$E,W$1,'単価履歴'!$F:$F,$A12))=0,"",
MAXIFS('単価履歴'!$H:$H,'単価履歴'!$E:$E,W$1,'単価履歴'!$F:$F,$A12,'単価履歴'!$O:$O,
MAXIFS('単価履歴'!$O:$O,'単価履歴'!$E:$E,W$1,'単価履歴'!$F:$F,$A12)))</f>
        <v/>
      </c>
      <c r="X12" s="256" t="str">
        <f>IF(MAXIFS('単価履歴'!$H:$H,'単価履歴'!$E:$E,X$1,'単価履歴'!$F:$F,$A12,'単価履歴'!$O:$O,
MAXIFS('単価履歴'!$O:$O,'単価履歴'!$E:$E,X$1,'単価履歴'!$F:$F,$A12))=0,"",
MAXIFS('単価履歴'!$H:$H,'単価履歴'!$E:$E,X$1,'単価履歴'!$F:$F,$A12,'単価履歴'!$O:$O,
MAXIFS('単価履歴'!$O:$O,'単価履歴'!$E:$E,X$1,'単価履歴'!$F:$F,$A12)))</f>
        <v/>
      </c>
      <c r="Y12" s="254" t="str">
        <f>IF(MAXIFS('単価履歴'!$H:$H,'単価履歴'!$E:$E,Y$1,'単価履歴'!$F:$F,$A12,'単価履歴'!$O:$O,
MAXIFS('単価履歴'!$O:$O,'単価履歴'!$E:$E,Y$1,'単価履歴'!$F:$F,$A12))=0,"",
MAXIFS('単価履歴'!$H:$H,'単価履歴'!$E:$E,Y$1,'単価履歴'!$F:$F,$A12,'単価履歴'!$O:$O,
MAXIFS('単価履歴'!$O:$O,'単価履歴'!$E:$E,Y$1,'単価履歴'!$F:$F,$A12)))</f>
        <v/>
      </c>
      <c r="Z12" s="256" t="str">
        <f>IF(MAXIFS('単価履歴'!$H:$H,'単価履歴'!$E:$E,Z$1,'単価履歴'!$F:$F,$A12,'単価履歴'!$O:$O,
MAXIFS('単価履歴'!$O:$O,'単価履歴'!$E:$E,Z$1,'単価履歴'!$F:$F,$A12))=0,"",
MAXIFS('単価履歴'!$H:$H,'単価履歴'!$E:$E,Z$1,'単価履歴'!$F:$F,$A12,'単価履歴'!$O:$O,
MAXIFS('単価履歴'!$O:$O,'単価履歴'!$E:$E,Z$1,'単価履歴'!$F:$F,$A12)))</f>
        <v/>
      </c>
      <c r="AA12" s="254" t="str">
        <f>IF(MAXIFS('単価履歴'!$H:$H,'単価履歴'!$E:$E,AA$1,'単価履歴'!$F:$F,$A12,'単価履歴'!$O:$O,
MAXIFS('単価履歴'!$O:$O,'単価履歴'!$E:$E,AA$1,'単価履歴'!$F:$F,$A12))=0,"",
MAXIFS('単価履歴'!$H:$H,'単価履歴'!$E:$E,AA$1,'単価履歴'!$F:$F,$A12,'単価履歴'!$O:$O,
MAXIFS('単価履歴'!$O:$O,'単価履歴'!$E:$E,AA$1,'単価履歴'!$F:$F,$A12)))</f>
        <v/>
      </c>
      <c r="AB12" s="264" t="str">
        <f>IF(MAXIFS('単価履歴'!$H:$H,'単価履歴'!$E:$E,AB$1,'単価履歴'!$F:$F,$A12,'単価履歴'!$O:$O,
MAXIFS('単価履歴'!$O:$O,'単価履歴'!$E:$E,AB$1,'単価履歴'!$F:$F,$A12))=0,"",
MAXIFS('単価履歴'!$H:$H,'単価履歴'!$E:$E,AB$1,'単価履歴'!$F:$F,$A12,'単価履歴'!$O:$O,
MAXIFS('単価履歴'!$O:$O,'単価履歴'!$E:$E,AB$1,'単価履歴'!$F:$F,$A12)))</f>
        <v/>
      </c>
      <c r="AC12" s="256" t="str">
        <f>IF(MAXIFS('単価履歴'!$H:$H,'単価履歴'!$E:$E,AC$1,'単価履歴'!$F:$F,$A12,'単価履歴'!$O:$O,
MAXIFS('単価履歴'!$O:$O,'単価履歴'!$E:$E,AC$1,'単価履歴'!$F:$F,$A12))=0,"",
MAXIFS('単価履歴'!$H:$H,'単価履歴'!$E:$E,AC$1,'単価履歴'!$F:$F,$A12,'単価履歴'!$O:$O,
MAXIFS('単価履歴'!$O:$O,'単価履歴'!$E:$E,AC$1,'単価履歴'!$F:$F,$A12)))</f>
        <v/>
      </c>
      <c r="AD12" s="254" t="str">
        <f>IF(MAXIFS('単価履歴'!$H:$H,'単価履歴'!$E:$E,AD$1,'単価履歴'!$F:$F,$A12,'単価履歴'!$O:$O,
MAXIFS('単価履歴'!$O:$O,'単価履歴'!$E:$E,AD$1,'単価履歴'!$F:$F,$A12))=0,"",
MAXIFS('単価履歴'!$H:$H,'単価履歴'!$E:$E,AD$1,'単価履歴'!$F:$F,$A12,'単価履歴'!$O:$O,
MAXIFS('単価履歴'!$O:$O,'単価履歴'!$E:$E,AD$1,'単価履歴'!$F:$F,$A12)))</f>
        <v/>
      </c>
      <c r="AE12" s="264" t="str">
        <f>IF(MAXIFS('単価履歴'!$H:$H,'単価履歴'!$E:$E,AE$1,'単価履歴'!$F:$F,$A12,'単価履歴'!$O:$O,
MAXIFS('単価履歴'!$O:$O,'単価履歴'!$E:$E,AE$1,'単価履歴'!$F:$F,$A12))=0,"",
MAXIFS('単価履歴'!$H:$H,'単価履歴'!$E:$E,AE$1,'単価履歴'!$F:$F,$A12,'単価履歴'!$O:$O,
MAXIFS('単価履歴'!$O:$O,'単価履歴'!$E:$E,AE$1,'単価履歴'!$F:$F,$A12)))</f>
        <v/>
      </c>
      <c r="AF12" s="256" t="str">
        <f>IF(MAXIFS('単価履歴'!$H:$H,'単価履歴'!$E:$E,AF$1,'単価履歴'!$F:$F,$A12,'単価履歴'!$O:$O,
MAXIFS('単価履歴'!$O:$O,'単価履歴'!$E:$E,AF$1,'単価履歴'!$F:$F,$A12))=0,"",
MAXIFS('単価履歴'!$H:$H,'単価履歴'!$E:$E,AF$1,'単価履歴'!$F:$F,$A12,'単価履歴'!$O:$O,
MAXIFS('単価履歴'!$O:$O,'単価履歴'!$E:$E,AF$1,'単価履歴'!$F:$F,$A12)))</f>
        <v/>
      </c>
      <c r="AG12" s="263" t="str">
        <f>IF(MAXIFS('単価履歴'!$H:$H,'単価履歴'!$E:$E,AG$1,'単価履歴'!$F:$F,$A12,'単価履歴'!$O:$O,
MAXIFS('単価履歴'!$O:$O,'単価履歴'!$E:$E,AG$1,'単価履歴'!$F:$F,$A12))=0,"",
MAXIFS('単価履歴'!$H:$H,'単価履歴'!$E:$E,AG$1,'単価履歴'!$F:$F,$A12,'単価履歴'!$O:$O,
MAXIFS('単価履歴'!$O:$O,'単価履歴'!$E:$E,AG$1,'単価履歴'!$F:$F,$A12)))</f>
        <v/>
      </c>
      <c r="AH12" s="256" t="str">
        <f>IF(MAXIFS('単価履歴'!$H:$H,'単価履歴'!$E:$E,AH$1,'単価履歴'!$F:$F,$A12,'単価履歴'!$O:$O,
MAXIFS('単価履歴'!$O:$O,'単価履歴'!$E:$E,AH$1,'単価履歴'!$F:$F,$A12))=0,"",
MAXIFS('単価履歴'!$H:$H,'単価履歴'!$E:$E,AH$1,'単価履歴'!$F:$F,$A12,'単価履歴'!$O:$O,
MAXIFS('単価履歴'!$O:$O,'単価履歴'!$E:$E,AH$1,'単価履歴'!$F:$F,$A12)))</f>
        <v/>
      </c>
      <c r="AI12" s="262">
        <f>IF(MAXIFS('単価履歴'!$H:$H,'単価履歴'!$E:$E,AI$1,'単価履歴'!$F:$F,$A12,'単価履歴'!$O:$O,
MAXIFS('単価履歴'!$O:$O,'単価履歴'!$E:$E,AI$1,'単価履歴'!$F:$F,$A12))=0,"",
MAXIFS('単価履歴'!$H:$H,'単価履歴'!$E:$E,AI$1,'単価履歴'!$F:$F,$A12,'単価履歴'!$O:$O,
MAXIFS('単価履歴'!$O:$O,'単価履歴'!$E:$E,AI$1,'単価履歴'!$F:$F,$A12)))</f>
        <v>55.9</v>
      </c>
      <c r="AJ12" s="250">
        <f>IF(MAXIFS('単価履歴'!$H:$H,'単価履歴'!$E:$E,AJ$1,'単価履歴'!$F:$F,$A12,'単価履歴'!$O:$O,
MAXIFS('単価履歴'!$O:$O,'単価履歴'!$E:$E,AJ$1,'単価履歴'!$F:$F,$A12))=0,"",
MAXIFS('単価履歴'!$H:$H,'単価履歴'!$E:$E,AJ$1,'単価履歴'!$F:$F,$A12,'単価履歴'!$O:$O,
MAXIFS('単価履歴'!$O:$O,'単価履歴'!$E:$E,AJ$1,'単価履歴'!$F:$F,$A12)))</f>
        <v>58.8</v>
      </c>
      <c r="AK12" s="254" t="str">
        <f>IF(MAXIFS('単価履歴'!$H:$H,'単価履歴'!$E:$E,AK$1,'単価履歴'!$F:$F,$A12,'単価履歴'!$O:$O,
MAXIFS('単価履歴'!$O:$O,'単価履歴'!$E:$E,AK$1,'単価履歴'!$F:$F,$A12))=0,"",
MAXIFS('単価履歴'!$H:$H,'単価履歴'!$E:$E,AK$1,'単価履歴'!$F:$F,$A12,'単価履歴'!$O:$O,
MAXIFS('単価履歴'!$O:$O,'単価履歴'!$E:$E,AK$1,'単価履歴'!$F:$F,$A12)))</f>
        <v/>
      </c>
      <c r="AL12" s="256" t="str">
        <f>IF(MAXIFS('単価履歴'!$H:$H,'単価履歴'!$E:$E,AL$1,'単価履歴'!$F:$F,$A12,'単価履歴'!$O:$O,
MAXIFS('単価履歴'!$O:$O,'単価履歴'!$E:$E,AL$1,'単価履歴'!$F:$F,$A12))=0,"",
MAXIFS('単価履歴'!$H:$H,'単価履歴'!$E:$E,AL$1,'単価履歴'!$F:$F,$A12,'単価履歴'!$O:$O,
MAXIFS('単価履歴'!$O:$O,'単価履歴'!$E:$E,AL$1,'単価履歴'!$F:$F,$A12)))</f>
        <v/>
      </c>
      <c r="AM12" s="254" t="str">
        <f>IF(MAXIFS('単価履歴'!$H:$H,'単価履歴'!$E:$E,AM$1,'単価履歴'!$F:$F,$A12,'単価履歴'!$O:$O,
MAXIFS('単価履歴'!$O:$O,'単価履歴'!$E:$E,AM$1,'単価履歴'!$F:$F,$A12))=0,"",
MAXIFS('単価履歴'!$H:$H,'単価履歴'!$E:$E,AM$1,'単価履歴'!$F:$F,$A12,'単価履歴'!$O:$O,
MAXIFS('単価履歴'!$O:$O,'単価履歴'!$E:$E,AM$1,'単価履歴'!$F:$F,$A12)))</f>
        <v/>
      </c>
      <c r="AN12" s="264" t="str">
        <f>IF(MAXIFS('単価履歴'!$H:$H,'単価履歴'!$E:$E,AN$1,'単価履歴'!$F:$F,$A12,'単価履歴'!$O:$O,
MAXIFS('単価履歴'!$O:$O,'単価履歴'!$E:$E,AN$1,'単価履歴'!$F:$F,$A12))=0,"",
MAXIFS('単価履歴'!$H:$H,'単価履歴'!$E:$E,AN$1,'単価履歴'!$F:$F,$A12,'単価履歴'!$O:$O,
MAXIFS('単価履歴'!$O:$O,'単価履歴'!$E:$E,AN$1,'単価履歴'!$F:$F,$A12)))</f>
        <v/>
      </c>
      <c r="AO12" s="262">
        <f>IF(MAXIFS('単価履歴'!$H:$H,'単価履歴'!$E:$E,AO$1,'単価履歴'!$F:$F,$A12,'単価履歴'!$O:$O,
MAXIFS('単価履歴'!$O:$O,'単価履歴'!$E:$E,AO$1,'単価履歴'!$F:$F,$A12))=0,"",
MAXIFS('単価履歴'!$H:$H,'単価履歴'!$E:$E,AO$1,'単価履歴'!$F:$F,$A12,'単価履歴'!$O:$O,
MAXIFS('単価履歴'!$O:$O,'単価履歴'!$E:$E,AO$1,'単価履歴'!$F:$F,$A12)))</f>
        <v>55.2</v>
      </c>
      <c r="AP12" s="266">
        <f>IF(MAXIFS('単価履歴'!$H:$H,'単価履歴'!$E:$E,AP$1,'単価履歴'!$F:$F,$A12,'単価履歴'!$O:$O,
MAXIFS('単価履歴'!$O:$O,'単価履歴'!$E:$E,AP$1,'単価履歴'!$F:$F,$A12))=0,"",
MAXIFS('単価履歴'!$H:$H,'単価履歴'!$E:$E,AP$1,'単価履歴'!$F:$F,$A12,'単価履歴'!$O:$O,
MAXIFS('単価履歴'!$O:$O,'単価履歴'!$E:$E,AP$1,'単価履歴'!$F:$F,$A12)))</f>
        <v>52.5</v>
      </c>
      <c r="AQ12" s="254" t="str">
        <f>IF(MAXIFS('単価履歴'!$H:$H,'単価履歴'!$E:$E,AQ$1,'単価履歴'!$F:$F,$A12,'単価履歴'!$O:$O,
MAXIFS('単価履歴'!$O:$O,'単価履歴'!$E:$E,AQ$1,'単価履歴'!$F:$F,$A12))=0,"",
MAXIFS('単価履歴'!$H:$H,'単価履歴'!$E:$E,AQ$1,'単価履歴'!$F:$F,$A12,'単価履歴'!$O:$O,
MAXIFS('単価履歴'!$O:$O,'単価履歴'!$E:$E,AQ$1,'単価履歴'!$F:$F,$A12)))</f>
        <v/>
      </c>
      <c r="AR12" s="264" t="str">
        <f>IF(MAXIFS('単価履歴'!$H:$H,'単価履歴'!$E:$E,AR$1,'単価履歴'!$F:$F,$A12,'単価履歴'!$O:$O,
MAXIFS('単価履歴'!$O:$O,'単価履歴'!$E:$E,AR$1,'単価履歴'!$F:$F,$A12))=0,"",
MAXIFS('単価履歴'!$H:$H,'単価履歴'!$E:$E,AR$1,'単価履歴'!$F:$F,$A12,'単価履歴'!$O:$O,
MAXIFS('単価履歴'!$O:$O,'単価履歴'!$E:$E,AR$1,'単価履歴'!$F:$F,$A12)))</f>
        <v/>
      </c>
      <c r="AS12" s="256" t="str">
        <f>IF(MAXIFS('単価履歴'!$H:$H,'単価履歴'!$E:$E,AS$1,'単価履歴'!$F:$F,$A12,'単価履歴'!$O:$O,
MAXIFS('単価履歴'!$O:$O,'単価履歴'!$E:$E,AS$1,'単価履歴'!$F:$F,$A12))=0,"",
MAXIFS('単価履歴'!$H:$H,'単価履歴'!$E:$E,AS$1,'単価履歴'!$F:$F,$A12,'単価履歴'!$O:$O,
MAXIFS('単価履歴'!$O:$O,'単価履歴'!$E:$E,AS$1,'単価履歴'!$F:$F,$A12)))</f>
        <v/>
      </c>
      <c r="AT12" s="256" t="str">
        <f>IF(MAXIFS('単価履歴'!$H:$H,'単価履歴'!$E:$E,AT$1,'単価履歴'!$F:$F,$A12,'単価履歴'!$O:$O,
MAXIFS('単価履歴'!$O:$O,'単価履歴'!$E:$E,AT$1,'単価履歴'!$F:$F,$A12))=0,"",
MAXIFS('単価履歴'!$H:$H,'単価履歴'!$E:$E,AT$1,'単価履歴'!$F:$F,$A12,'単価履歴'!$O:$O,
MAXIFS('単価履歴'!$O:$O,'単価履歴'!$E:$E,AT$1,'単価履歴'!$F:$F,$A12)))</f>
        <v/>
      </c>
      <c r="AU12" s="256" t="str">
        <f>IF(MAXIFS('単価履歴'!$H:$H,'単価履歴'!$E:$E,AU$1,'単価履歴'!$F:$F,$A12,'単価履歴'!$O:$O,
MAXIFS('単価履歴'!$O:$O,'単価履歴'!$E:$E,AU$1,'単価履歴'!$F:$F,$A12))=0,"",
MAXIFS('単価履歴'!$H:$H,'単価履歴'!$E:$E,AU$1,'単価履歴'!$F:$F,$A12,'単価履歴'!$O:$O,
MAXIFS('単価履歴'!$O:$O,'単価履歴'!$E:$E,AU$1,'単価履歴'!$F:$F,$A12)))</f>
        <v/>
      </c>
      <c r="AV12" s="256" t="str">
        <f>IF(MAXIFS('単価履歴'!$H:$H,'単価履歴'!$E:$E,AV$1,'単価履歴'!$F:$F,$A12,'単価履歴'!$O:$O,
MAXIFS('単価履歴'!$O:$O,'単価履歴'!$E:$E,AV$1,'単価履歴'!$F:$F,$A12))=0,"",
MAXIFS('単価履歴'!$H:$H,'単価履歴'!$E:$E,AV$1,'単価履歴'!$F:$F,$A12,'単価履歴'!$O:$O,
MAXIFS('単価履歴'!$O:$O,'単価履歴'!$E:$E,AV$1,'単価履歴'!$F:$F,$A12)))</f>
        <v/>
      </c>
      <c r="AW12" s="263" t="str">
        <f>IF(MAXIFS('単価履歴'!$H:$H,'単価履歴'!$E:$E,AW$1,'単価履歴'!$F:$F,$A12,'単価履歴'!$O:$O,
MAXIFS('単価履歴'!$O:$O,'単価履歴'!$E:$E,AW$1,'単価履歴'!$F:$F,$A12))=0,"",
MAXIFS('単価履歴'!$H:$H,'単価履歴'!$E:$E,AW$1,'単価履歴'!$F:$F,$A12,'単価履歴'!$O:$O,
MAXIFS('単価履歴'!$O:$O,'単価履歴'!$E:$E,AW$1,'単価履歴'!$F:$F,$A12)))</f>
        <v/>
      </c>
      <c r="AX12" s="264" t="str">
        <f>IF(MAXIFS('単価履歴'!$H:$H,'単価履歴'!$E:$E,AX$1,'単価履歴'!$F:$F,$A12,'単価履歴'!$O:$O,
MAXIFS('単価履歴'!$O:$O,'単価履歴'!$E:$E,AX$1,'単価履歴'!$F:$F,$A12))=0,"",
MAXIFS('単価履歴'!$H:$H,'単価履歴'!$E:$E,AX$1,'単価履歴'!$F:$F,$A12,'単価履歴'!$O:$O,
MAXIFS('単価履歴'!$O:$O,'単価履歴'!$E:$E,AX$1,'単価履歴'!$F:$F,$A12)))</f>
        <v/>
      </c>
      <c r="AY12" s="254" t="str">
        <f>IF(MAXIFS('単価履歴'!$H:$H,'単価履歴'!$E:$E,AY$1,'単価履歴'!$F:$F,$A12,'単価履歴'!$O:$O,
MAXIFS('単価履歴'!$O:$O,'単価履歴'!$E:$E,AY$1,'単価履歴'!$F:$F,$A12))=0,"",
MAXIFS('単価履歴'!$H:$H,'単価履歴'!$E:$E,AY$1,'単価履歴'!$F:$F,$A12,'単価履歴'!$O:$O,
MAXIFS('単価履歴'!$O:$O,'単価履歴'!$E:$E,AY$1,'単価履歴'!$F:$F,$A12)))</f>
        <v/>
      </c>
      <c r="AZ12" s="256" t="str">
        <f>IF(MAXIFS('単価履歴'!$H:$H,'単価履歴'!$E:$E,AZ$1,'単価履歴'!$F:$F,$A12,'単価履歴'!$O:$O,
MAXIFS('単価履歴'!$O:$O,'単価履歴'!$E:$E,AZ$1,'単価履歴'!$F:$F,$A12))=0,"",
MAXIFS('単価履歴'!$H:$H,'単価履歴'!$E:$E,AZ$1,'単価履歴'!$F:$F,$A12,'単価履歴'!$O:$O,
MAXIFS('単価履歴'!$O:$O,'単価履歴'!$E:$E,AZ$1,'単価履歴'!$F:$F,$A12)))</f>
        <v/>
      </c>
      <c r="BA12" s="263" t="str">
        <f>IF(MAXIFS('単価履歴'!$H:$H,'単価履歴'!$E:$E,BA$1,'単価履歴'!$F:$F,$A12,'単価履歴'!$O:$O,
MAXIFS('単価履歴'!$O:$O,'単価履歴'!$E:$E,BA$1,'単価履歴'!$F:$F,$A12))=0,"",
MAXIFS('単価履歴'!$H:$H,'単価履歴'!$E:$E,BA$1,'単価履歴'!$F:$F,$A12,'単価履歴'!$O:$O,
MAXIFS('単価履歴'!$O:$O,'単価履歴'!$E:$E,BA$1,'単価履歴'!$F:$F,$A12)))</f>
        <v/>
      </c>
      <c r="BB12" s="264" t="str">
        <f>IF(MAXIFS('単価履歴'!$H:$H,'単価履歴'!$E:$E,BB$1,'単価履歴'!$F:$F,$A12,'単価履歴'!$O:$O,
MAXIFS('単価履歴'!$O:$O,'単価履歴'!$E:$E,BB$1,'単価履歴'!$F:$F,$A12))=0,"",
MAXIFS('単価履歴'!$H:$H,'単価履歴'!$E:$E,BB$1,'単価履歴'!$F:$F,$A12,'単価履歴'!$O:$O,
MAXIFS('単価履歴'!$O:$O,'単価履歴'!$E:$E,BB$1,'単価履歴'!$F:$F,$A12)))</f>
        <v/>
      </c>
      <c r="BC12" s="256" t="str">
        <f>IF(MAXIFS('単価履歴'!$H:$H,'単価履歴'!$E:$E,BC$1,'単価履歴'!$F:$F,$A12,'単価履歴'!$O:$O,
MAXIFS('単価履歴'!$O:$O,'単価履歴'!$E:$E,BC$1,'単価履歴'!$F:$F,$A12))=0,"",
MAXIFS('単価履歴'!$H:$H,'単価履歴'!$E:$E,BC$1,'単価履歴'!$F:$F,$A12,'単価履歴'!$O:$O,
MAXIFS('単価履歴'!$O:$O,'単価履歴'!$E:$E,BC$1,'単価履歴'!$F:$F,$A12)))</f>
        <v/>
      </c>
      <c r="BD12" s="263" t="str">
        <f>IF(MAXIFS('単価履歴'!$H:$H,'単価履歴'!$E:$E,BD$1,'単価履歴'!$F:$F,$A12,'単価履歴'!$O:$O,
MAXIFS('単価履歴'!$O:$O,'単価履歴'!$E:$E,BD$1,'単価履歴'!$F:$F,$A12))=0,"",
MAXIFS('単価履歴'!$H:$H,'単価履歴'!$E:$E,BD$1,'単価履歴'!$F:$F,$A12,'単価履歴'!$O:$O,
MAXIFS('単価履歴'!$O:$O,'単価履歴'!$E:$E,BD$1,'単価履歴'!$F:$F,$A12)))</f>
        <v/>
      </c>
      <c r="BE12" s="256" t="str">
        <f>IF(MAXIFS('単価履歴'!$H:$H,'単価履歴'!$E:$E,BE$1,'単価履歴'!$F:$F,$A12,'単価履歴'!$O:$O,
MAXIFS('単価履歴'!$O:$O,'単価履歴'!$E:$E,BE$1,'単価履歴'!$F:$F,$A12))=0,"",
MAXIFS('単価履歴'!$H:$H,'単価履歴'!$E:$E,BE$1,'単価履歴'!$F:$F,$A12,'単価履歴'!$O:$O,
MAXIFS('単価履歴'!$O:$O,'単価履歴'!$E:$E,BE$1,'単価履歴'!$F:$F,$A12)))</f>
        <v/>
      </c>
      <c r="BF12" s="263" t="str">
        <f>IF(MAXIFS('単価履歴'!$H:$H,'単価履歴'!$E:$E,BF$1,'単価履歴'!$F:$F,$A12,'単価履歴'!$O:$O,
MAXIFS('単価履歴'!$O:$O,'単価履歴'!$E:$E,BF$1,'単価履歴'!$F:$F,$A12))=0,"",
MAXIFS('単価履歴'!$H:$H,'単価履歴'!$E:$E,BF$1,'単価履歴'!$F:$F,$A12,'単価履歴'!$O:$O,
MAXIFS('単価履歴'!$O:$O,'単価履歴'!$E:$E,BF$1,'単価履歴'!$F:$F,$A12)))</f>
        <v/>
      </c>
      <c r="BG12" s="256" t="str">
        <f>IF(MAXIFS('単価履歴'!$H:$H,'単価履歴'!$E:$E,BG$1,'単価履歴'!$F:$F,$A12,'単価履歴'!$O:$O,
MAXIFS('単価履歴'!$O:$O,'単価履歴'!$E:$E,BG$1,'単価履歴'!$F:$F,$A12))=0,"",
MAXIFS('単価履歴'!$H:$H,'単価履歴'!$E:$E,BG$1,'単価履歴'!$F:$F,$A12,'単価履歴'!$O:$O,
MAXIFS('単価履歴'!$O:$O,'単価履歴'!$E:$E,BG$1,'単価履歴'!$F:$F,$A12)))</f>
        <v/>
      </c>
      <c r="BH12" s="256" t="str">
        <f>IF(MAXIFS('単価履歴'!$H:$H,'単価履歴'!$E:$E,BH$1,'単価履歴'!$F:$F,$A12,'単価履歴'!$O:$O,
MAXIFS('単価履歴'!$O:$O,'単価履歴'!$E:$E,BH$1,'単価履歴'!$F:$F,$A12))=0,"",
MAXIFS('単価履歴'!$H:$H,'単価履歴'!$E:$E,BH$1,'単価履歴'!$F:$F,$A12,'単価履歴'!$O:$O,
MAXIFS('単価履歴'!$O:$O,'単価履歴'!$E:$E,BH$1,'単価履歴'!$F:$F,$A12)))</f>
        <v/>
      </c>
      <c r="BI12" s="264" t="str">
        <f>IF(MAXIFS('単価履歴'!$H:$H,'単価履歴'!$E:$E,BI$1,'単価履歴'!$F:$F,$A12,'単価履歴'!$O:$O,
MAXIFS('単価履歴'!$O:$O,'単価履歴'!$E:$E,BI$1,'単価履歴'!$F:$F,$A12))=0,"",
MAXIFS('単価履歴'!$H:$H,'単価履歴'!$E:$E,BI$1,'単価履歴'!$F:$F,$A12,'単価履歴'!$O:$O,
MAXIFS('単価履歴'!$O:$O,'単価履歴'!$E:$E,BI$1,'単価履歴'!$F:$F,$A12)))</f>
        <v/>
      </c>
      <c r="BJ12" s="264" t="str">
        <f>IF(MAXIFS('単価履歴'!$H:$H,'単価履歴'!$E:$E,BJ$1,'単価履歴'!$F:$F,$A12,'単価履歴'!$O:$O,
MAXIFS('単価履歴'!$O:$O,'単価履歴'!$E:$E,BJ$1,'単価履歴'!$F:$F,$A12))=0,"",
MAXIFS('単価履歴'!$H:$H,'単価履歴'!$E:$E,BJ$1,'単価履歴'!$F:$F,$A12,'単価履歴'!$O:$O,
MAXIFS('単価履歴'!$O:$O,'単価履歴'!$E:$E,BJ$1,'単価履歴'!$F:$F,$A12)))</f>
        <v/>
      </c>
      <c r="BK12" s="264" t="str">
        <f>IF(MAXIFS('単価履歴'!$H:$H,'単価履歴'!$E:$E,BK$1,'単価履歴'!$F:$F,$A12,'単価履歴'!$O:$O,
MAXIFS('単価履歴'!$O:$O,'単価履歴'!$E:$E,BK$1,'単価履歴'!$F:$F,$A12))=0,"",
MAXIFS('単価履歴'!$H:$H,'単価履歴'!$E:$E,BK$1,'単価履歴'!$F:$F,$A12,'単価履歴'!$O:$O,
MAXIFS('単価履歴'!$O:$O,'単価履歴'!$E:$E,BK$1,'単価履歴'!$F:$F,$A12)))</f>
        <v/>
      </c>
      <c r="BL12" s="264" t="str">
        <f>IF(MAXIFS('単価履歴'!$H:$H,'単価履歴'!$E:$E,BL$1,'単価履歴'!$F:$F,$A12,'単価履歴'!$O:$O,
MAXIFS('単価履歴'!$O:$O,'単価履歴'!$E:$E,BL$1,'単価履歴'!$F:$F,$A12))=0,"",
MAXIFS('単価履歴'!$H:$H,'単価履歴'!$E:$E,BL$1,'単価履歴'!$F:$F,$A12,'単価履歴'!$O:$O,
MAXIFS('単価履歴'!$O:$O,'単価履歴'!$E:$E,BL$1,'単価履歴'!$F:$F,$A12)))</f>
        <v/>
      </c>
      <c r="BM12" s="264" t="str">
        <f>IF(MAXIFS('単価履歴'!$H:$H,'単価履歴'!$E:$E,BM$1,'単価履歴'!$F:$F,$A12,'単価履歴'!$O:$O,
MAXIFS('単価履歴'!$O:$O,'単価履歴'!$E:$E,BM$1,'単価履歴'!$F:$F,$A12))=0,"",
MAXIFS('単価履歴'!$H:$H,'単価履歴'!$E:$E,BM$1,'単価履歴'!$F:$F,$A12,'単価履歴'!$O:$O,
MAXIFS('単価履歴'!$O:$O,'単価履歴'!$E:$E,BM$1,'単価履歴'!$F:$F,$A12)))</f>
        <v/>
      </c>
      <c r="BN12" s="263" t="str">
        <f>IF(MAXIFS('単価履歴'!$H:$H,'単価履歴'!$E:$E,BN$1,'単価履歴'!$F:$F,$A12,'単価履歴'!$O:$O,
MAXIFS('単価履歴'!$O:$O,'単価履歴'!$E:$E,BN$1,'単価履歴'!$F:$F,$A12))=0,"",
MAXIFS('単価履歴'!$H:$H,'単価履歴'!$E:$E,BN$1,'単価履歴'!$F:$F,$A12,'単価履歴'!$O:$O,
MAXIFS('単価履歴'!$O:$O,'単価履歴'!$E:$E,BN$1,'単価履歴'!$F:$F,$A12)))</f>
        <v/>
      </c>
      <c r="BO12" s="256" t="str">
        <f>IF(MAXIFS('単価履歴'!$H:$H,'単価履歴'!$E:$E,BO$1,'単価履歴'!$F:$F,$A12,'単価履歴'!$O:$O,
MAXIFS('単価履歴'!$O:$O,'単価履歴'!$E:$E,BO$1,'単価履歴'!$F:$F,$A12))=0,"",
MAXIFS('単価履歴'!$H:$H,'単価履歴'!$E:$E,BO$1,'単価履歴'!$F:$F,$A12,'単価履歴'!$O:$O,
MAXIFS('単価履歴'!$O:$O,'単価履歴'!$E:$E,BO$1,'単価履歴'!$F:$F,$A12)))</f>
        <v/>
      </c>
      <c r="BP12" s="264" t="str">
        <f>IF(MAXIFS('単価履歴'!$H:$H,'単価履歴'!$E:$E,BP$1,'単価履歴'!$F:$F,$A12,'単価履歴'!$O:$O,
MAXIFS('単価履歴'!$O:$O,'単価履歴'!$E:$E,BP$1,'単価履歴'!$F:$F,$A12))=0,"",
MAXIFS('単価履歴'!$H:$H,'単価履歴'!$E:$E,BP$1,'単価履歴'!$F:$F,$A12,'単価履歴'!$O:$O,
MAXIFS('単価履歴'!$O:$O,'単価履歴'!$E:$E,BP$1,'単価履歴'!$F:$F,$A12)))</f>
        <v/>
      </c>
      <c r="BQ12" s="256"/>
      <c r="BR12" s="256"/>
      <c r="BS12" s="256"/>
      <c r="BT12" s="256"/>
      <c r="BU12" s="256"/>
      <c r="BV12" s="256"/>
      <c r="BW12" s="256"/>
      <c r="BX12" s="256"/>
    </row>
    <row r="13">
      <c r="A13" s="267" t="s">
        <v>105</v>
      </c>
      <c r="B13" s="246" t="str">
        <f>IF(MAXIFS('単価履歴'!$H:$H,'単価履歴'!$E:$E,B$1,'単価履歴'!$F:$F,$A13,'単価履歴'!$O:$O,
MAXIFS('単価履歴'!$O:$O,'単価履歴'!$E:$E,B$1,'単価履歴'!$F:$F,$A13))=0,"",
MAXIFS('単価履歴'!$H:$H,'単価履歴'!$E:$E,B$1,'単価履歴'!$F:$F,$A13,'単価履歴'!$O:$O,
MAXIFS('単価履歴'!$O:$O,'単価履歴'!$E:$E,B$1,'単価履歴'!$F:$F,$A13)))</f>
        <v/>
      </c>
      <c r="C13" s="251" t="str">
        <f>IF(MAXIFS('単価履歴'!$H:$H,'単価履歴'!$E:$E,C$1,'単価履歴'!$F:$F,$A13,'単価履歴'!$O:$O,
MAXIFS('単価履歴'!$O:$O,'単価履歴'!$E:$E,C$1,'単価履歴'!$F:$F,$A13))=0,"",
MAXIFS('単価履歴'!$H:$H,'単価履歴'!$E:$E,C$1,'単価履歴'!$F:$F,$A13,'単価履歴'!$O:$O,
MAXIFS('単価履歴'!$O:$O,'単価履歴'!$E:$E,C$1,'単価履歴'!$F:$F,$A13)))</f>
        <v/>
      </c>
      <c r="D13" s="249" t="str">
        <f>IF(MAXIFS('単価履歴'!$H:$H,'単価履歴'!$E:$E,D$1,'単価履歴'!$F:$F,$A13,'単価履歴'!$O:$O,
MAXIFS('単価履歴'!$O:$O,'単価履歴'!$E:$E,D$1,'単価履歴'!$F:$F,$A13))=0,"",
MAXIFS('単価履歴'!$H:$H,'単価履歴'!$E:$E,D$1,'単価履歴'!$F:$F,$A13,'単価履歴'!$O:$O,
MAXIFS('単価履歴'!$O:$O,'単価履歴'!$E:$E,D$1,'単価履歴'!$F:$F,$A13)))</f>
        <v/>
      </c>
      <c r="E13" s="249"/>
      <c r="F13" s="249"/>
      <c r="G13" s="248" t="str">
        <f>IF(MAXIFS('単価履歴'!$H:$H,'単価履歴'!$E:$E,G$1,'単価履歴'!$F:$F,$A13,'単価履歴'!$O:$O,
MAXIFS('単価履歴'!$O:$O,'単価履歴'!$E:$E,G$1,'単価履歴'!$F:$F,$A13))=0,"",
MAXIFS('単価履歴'!$H:$H,'単価履歴'!$E:$E,G$1,'単価履歴'!$F:$F,$A13,'単価履歴'!$O:$O,
MAXIFS('単価履歴'!$O:$O,'単価履歴'!$E:$E,G$1,'単価履歴'!$F:$F,$A13)))</f>
        <v/>
      </c>
      <c r="H13" s="249" t="str">
        <f>IF(MAXIFS('単価履歴'!$H:$H,'単価履歴'!$E:$E,H$1,'単価履歴'!$F:$F,$A13,'単価履歴'!$O:$O,
MAXIFS('単価履歴'!$O:$O,'単価履歴'!$E:$E,H$1,'単価履歴'!$F:$F,$A13))=0,"",
MAXIFS('単価履歴'!$H:$H,'単価履歴'!$E:$E,H$1,'単価履歴'!$F:$F,$A13,'単価履歴'!$O:$O,
MAXIFS('単価履歴'!$O:$O,'単価履歴'!$E:$E,H$1,'単価履歴'!$F:$F,$A13)))</f>
        <v/>
      </c>
      <c r="I13" s="249" t="str">
        <f>IF(MAXIFS('単価履歴'!$H:$H,'単価履歴'!$E:$E,I$1,'単価履歴'!$F:$F,$A13,'単価履歴'!$O:$O,
MAXIFS('単価履歴'!$O:$O,'単価履歴'!$E:$E,I$1,'単価履歴'!$F:$F,$A13))=0,"",
MAXIFS('単価履歴'!$H:$H,'単価履歴'!$E:$E,I$1,'単価履歴'!$F:$F,$A13,'単価履歴'!$O:$O,
MAXIFS('単価履歴'!$O:$O,'単価履歴'!$E:$E,I$1,'単価履歴'!$F:$F,$A13)))</f>
        <v/>
      </c>
      <c r="J13" s="248" t="str">
        <f>IF(MAXIFS('単価履歴'!$H:$H,'単価履歴'!$E:$E,J$1,'単価履歴'!$F:$F,$A13,'単価履歴'!$O:$O,
MAXIFS('単価履歴'!$O:$O,'単価履歴'!$E:$E,J$1,'単価履歴'!$F:$F,$A13))=0,"",
MAXIFS('単価履歴'!$H:$H,'単価履歴'!$E:$E,J$1,'単価履歴'!$F:$F,$A13,'単価履歴'!$O:$O,
MAXIFS('単価履歴'!$O:$O,'単価履歴'!$E:$E,J$1,'単価履歴'!$F:$F,$A13)))</f>
        <v/>
      </c>
      <c r="K13" s="249" t="str">
        <f>IF(MAXIFS('単価履歴'!$H:$H,'単価履歴'!$E:$E,K$1,'単価履歴'!$F:$F,$A13,'単価履歴'!$O:$O,
MAXIFS('単価履歴'!$O:$O,'単価履歴'!$E:$E,K$1,'単価履歴'!$F:$F,$A13))=0,"",
MAXIFS('単価履歴'!$H:$H,'単価履歴'!$E:$E,K$1,'単価履歴'!$F:$F,$A13,'単価履歴'!$O:$O,
MAXIFS('単価履歴'!$O:$O,'単価履歴'!$E:$E,K$1,'単価履歴'!$F:$F,$A13)))</f>
        <v/>
      </c>
      <c r="L13" s="249" t="str">
        <f>IF(MAXIFS('単価履歴'!$H:$H,'単価履歴'!$E:$E,L$1,'単価履歴'!$F:$F,$A13,'単価履歴'!$O:$O,
MAXIFS('単価履歴'!$O:$O,'単価履歴'!$E:$E,L$1,'単価履歴'!$F:$F,$A13))=0,"",
MAXIFS('単価履歴'!$H:$H,'単価履歴'!$E:$E,L$1,'単価履歴'!$F:$F,$A13,'単価履歴'!$O:$O,
MAXIFS('単価履歴'!$O:$O,'単価履歴'!$E:$E,L$1,'単価履歴'!$F:$F,$A13)))</f>
        <v/>
      </c>
      <c r="M13" s="249" t="str">
        <f>IF(MAXIFS('単価履歴'!$H:$H,'単価履歴'!$E:$E,M$1,'単価履歴'!$F:$F,$A13,'単価履歴'!$O:$O,
MAXIFS('単価履歴'!$O:$O,'単価履歴'!$E:$E,M$1,'単価履歴'!$F:$F,$A13))=0,"",
MAXIFS('単価履歴'!$H:$H,'単価履歴'!$E:$E,M$1,'単価履歴'!$F:$F,$A13,'単価履歴'!$O:$O,
MAXIFS('単価履歴'!$O:$O,'単価履歴'!$E:$E,M$1,'単価履歴'!$F:$F,$A13)))</f>
        <v/>
      </c>
      <c r="N13" s="249" t="str">
        <f>IF(MAXIFS('単価履歴'!$H:$H,'単価履歴'!$E:$E,N$1,'単価履歴'!$F:$F,$A13,'単価履歴'!$O:$O,
MAXIFS('単価履歴'!$O:$O,'単価履歴'!$E:$E,N$1,'単価履歴'!$F:$F,$A13))=0,"",
MAXIFS('単価履歴'!$H:$H,'単価履歴'!$E:$E,N$1,'単価履歴'!$F:$F,$A13,'単価履歴'!$O:$O,
MAXIFS('単価履歴'!$O:$O,'単価履歴'!$E:$E,N$1,'単価履歴'!$F:$F,$A13)))</f>
        <v/>
      </c>
      <c r="O13" s="251" t="str">
        <f>IF(MAXIFS('単価履歴'!$H:$H,'単価履歴'!$E:$E,O$1,'単価履歴'!$F:$F,$A13,'単価履歴'!$O:$O,
MAXIFS('単価履歴'!$O:$O,'単価履歴'!$E:$E,O$1,'単価履歴'!$F:$F,$A13))=0,"",
MAXIFS('単価履歴'!$H:$H,'単価履歴'!$E:$E,O$1,'単価履歴'!$F:$F,$A13,'単価履歴'!$O:$O,
MAXIFS('単価履歴'!$O:$O,'単価履歴'!$E:$E,O$1,'単価履歴'!$F:$F,$A13)))</f>
        <v/>
      </c>
      <c r="P13" s="249" t="str">
        <f>IF(MAXIFS('単価履歴'!$H:$H,'単価履歴'!$E:$E,P$1,'単価履歴'!$F:$F,$A13,'単価履歴'!$O:$O,
MAXIFS('単価履歴'!$O:$O,'単価履歴'!$E:$E,P$1,'単価履歴'!$F:$F,$A13))=0,"",
MAXIFS('単価履歴'!$H:$H,'単価履歴'!$E:$E,P$1,'単価履歴'!$F:$F,$A13,'単価履歴'!$O:$O,
MAXIFS('単価履歴'!$O:$O,'単価履歴'!$E:$E,P$1,'単価履歴'!$F:$F,$A13)))</f>
        <v/>
      </c>
      <c r="Q13" s="248" t="str">
        <f>IF(MAXIFS('単価履歴'!$H:$H,'単価履歴'!$E:$E,Q$1,'単価履歴'!$F:$F,$A13,'単価履歴'!$O:$O,
MAXIFS('単価履歴'!$O:$O,'単価履歴'!$E:$E,Q$1,'単価履歴'!$F:$F,$A13))=0,"",
MAXIFS('単価履歴'!$H:$H,'単価履歴'!$E:$E,Q$1,'単価履歴'!$F:$F,$A13,'単価履歴'!$O:$O,
MAXIFS('単価履歴'!$O:$O,'単価履歴'!$E:$E,Q$1,'単価履歴'!$F:$F,$A13)))</f>
        <v/>
      </c>
      <c r="R13" s="253">
        <f>IF(MAXIFS('単価履歴'!$H:$H,'単価履歴'!$E:$E,R$1,'単価履歴'!$F:$F,$A13,'単価履歴'!$O:$O,
MAXIFS('単価履歴'!$O:$O,'単価履歴'!$E:$E,R$1,'単価履歴'!$F:$F,$A13))=0,"",
MAXIFS('単価履歴'!$H:$H,'単価履歴'!$E:$E,R$1,'単価履歴'!$F:$F,$A13,'単価履歴'!$O:$O,
MAXIFS('単価履歴'!$O:$O,'単価履歴'!$E:$E,R$1,'単価履歴'!$F:$F,$A13)))</f>
        <v>57.6</v>
      </c>
      <c r="S13" s="251" t="str">
        <f>IF(MAXIFS('単価履歴'!$H:$H,'単価履歴'!$E:$E,S$1,'単価履歴'!$F:$F,$A13,'単価履歴'!$O:$O,
MAXIFS('単価履歴'!$O:$O,'単価履歴'!$E:$E,S$1,'単価履歴'!$F:$F,$A13))=0,"",
MAXIFS('単価履歴'!$H:$H,'単価履歴'!$E:$E,S$1,'単価履歴'!$F:$F,$A13,'単価履歴'!$O:$O,
MAXIFS('単価履歴'!$O:$O,'単価履歴'!$E:$E,S$1,'単価履歴'!$F:$F,$A13)))</f>
        <v/>
      </c>
      <c r="T13" s="249" t="str">
        <f>IF(MAXIFS('単価履歴'!$H:$H,'単価履歴'!$E:$E,T$1,'単価履歴'!$F:$F,$A13,'単価履歴'!$O:$O,
MAXIFS('単価履歴'!$O:$O,'単価履歴'!$E:$E,T$1,'単価履歴'!$F:$F,$A13))=0,"",
MAXIFS('単価履歴'!$H:$H,'単価履歴'!$E:$E,T$1,'単価履歴'!$F:$F,$A13,'単価履歴'!$O:$O,
MAXIFS('単価履歴'!$O:$O,'単価履歴'!$E:$E,T$1,'単価履歴'!$F:$F,$A13)))</f>
        <v/>
      </c>
      <c r="U13" s="249" t="str">
        <f>IF(MAXIFS('単価履歴'!$H:$H,'単価履歴'!$E:$E,U$1,'単価履歴'!$F:$F,$A13,'単価履歴'!$O:$O,
MAXIFS('単価履歴'!$O:$O,'単価履歴'!$E:$E,U$1,'単価履歴'!$F:$F,$A13))=0,"",
MAXIFS('単価履歴'!$H:$H,'単価履歴'!$E:$E,U$1,'単価履歴'!$F:$F,$A13,'単価履歴'!$O:$O,
MAXIFS('単価履歴'!$O:$O,'単価履歴'!$E:$E,U$1,'単価履歴'!$F:$F,$A13)))</f>
        <v/>
      </c>
      <c r="V13" s="251" t="str">
        <f>IF(MAXIFS('単価履歴'!$H:$H,'単価履歴'!$E:$E,V$1,'単価履歴'!$F:$F,$A13,'単価履歴'!$O:$O,
MAXIFS('単価履歴'!$O:$O,'単価履歴'!$E:$E,V$1,'単価履歴'!$F:$F,$A13))=0,"",
MAXIFS('単価履歴'!$H:$H,'単価履歴'!$E:$E,V$1,'単価履歴'!$F:$F,$A13,'単価履歴'!$O:$O,
MAXIFS('単価履歴'!$O:$O,'単価履歴'!$E:$E,V$1,'単価履歴'!$F:$F,$A13)))</f>
        <v/>
      </c>
      <c r="W13" s="252" t="str">
        <f>IF(MAXIFS('単価履歴'!$H:$H,'単価履歴'!$E:$E,W$1,'単価履歴'!$F:$F,$A13,'単価履歴'!$O:$O,
MAXIFS('単価履歴'!$O:$O,'単価履歴'!$E:$E,W$1,'単価履歴'!$F:$F,$A13))=0,"",
MAXIFS('単価履歴'!$H:$H,'単価履歴'!$E:$E,W$1,'単価履歴'!$F:$F,$A13,'単価履歴'!$O:$O,
MAXIFS('単価履歴'!$O:$O,'単価履歴'!$E:$E,W$1,'単価履歴'!$F:$F,$A13)))</f>
        <v/>
      </c>
      <c r="X13" s="249" t="str">
        <f>IF(MAXIFS('単価履歴'!$H:$H,'単価履歴'!$E:$E,X$1,'単価履歴'!$F:$F,$A13,'単価履歴'!$O:$O,
MAXIFS('単価履歴'!$O:$O,'単価履歴'!$E:$E,X$1,'単価履歴'!$F:$F,$A13))=0,"",
MAXIFS('単価履歴'!$H:$H,'単価履歴'!$E:$E,X$1,'単価履歴'!$F:$F,$A13,'単価履歴'!$O:$O,
MAXIFS('単価履歴'!$O:$O,'単価履歴'!$E:$E,X$1,'単価履歴'!$F:$F,$A13)))</f>
        <v/>
      </c>
      <c r="Y13" s="251" t="str">
        <f>IF(MAXIFS('単価履歴'!$H:$H,'単価履歴'!$E:$E,Y$1,'単価履歴'!$F:$F,$A13,'単価履歴'!$O:$O,
MAXIFS('単価履歴'!$O:$O,'単価履歴'!$E:$E,Y$1,'単価履歴'!$F:$F,$A13))=0,"",
MAXIFS('単価履歴'!$H:$H,'単価履歴'!$E:$E,Y$1,'単価履歴'!$F:$F,$A13,'単価履歴'!$O:$O,
MAXIFS('単価履歴'!$O:$O,'単価履歴'!$E:$E,Y$1,'単価履歴'!$F:$F,$A13)))</f>
        <v/>
      </c>
      <c r="Z13" s="249" t="str">
        <f>IF(MAXIFS('単価履歴'!$H:$H,'単価履歴'!$E:$E,Z$1,'単価履歴'!$F:$F,$A13,'単価履歴'!$O:$O,
MAXIFS('単価履歴'!$O:$O,'単価履歴'!$E:$E,Z$1,'単価履歴'!$F:$F,$A13))=0,"",
MAXIFS('単価履歴'!$H:$H,'単価履歴'!$E:$E,Z$1,'単価履歴'!$F:$F,$A13,'単価履歴'!$O:$O,
MAXIFS('単価履歴'!$O:$O,'単価履歴'!$E:$E,Z$1,'単価履歴'!$F:$F,$A13)))</f>
        <v/>
      </c>
      <c r="AA13" s="251" t="str">
        <f>IF(MAXIFS('単価履歴'!$H:$H,'単価履歴'!$E:$E,AA$1,'単価履歴'!$F:$F,$A13,'単価履歴'!$O:$O,
MAXIFS('単価履歴'!$O:$O,'単価履歴'!$E:$E,AA$1,'単価履歴'!$F:$F,$A13))=0,"",
MAXIFS('単価履歴'!$H:$H,'単価履歴'!$E:$E,AA$1,'単価履歴'!$F:$F,$A13,'単価履歴'!$O:$O,
MAXIFS('単価履歴'!$O:$O,'単価履歴'!$E:$E,AA$1,'単価履歴'!$F:$F,$A13)))</f>
        <v/>
      </c>
      <c r="AB13" s="252" t="str">
        <f>IF(MAXIFS('単価履歴'!$H:$H,'単価履歴'!$E:$E,AB$1,'単価履歴'!$F:$F,$A13,'単価履歴'!$O:$O,
MAXIFS('単価履歴'!$O:$O,'単価履歴'!$E:$E,AB$1,'単価履歴'!$F:$F,$A13))=0,"",
MAXIFS('単価履歴'!$H:$H,'単価履歴'!$E:$E,AB$1,'単価履歴'!$F:$F,$A13,'単価履歴'!$O:$O,
MAXIFS('単価履歴'!$O:$O,'単価履歴'!$E:$E,AB$1,'単価履歴'!$F:$F,$A13)))</f>
        <v/>
      </c>
      <c r="AC13" s="249" t="str">
        <f>IF(MAXIFS('単価履歴'!$H:$H,'単価履歴'!$E:$E,AC$1,'単価履歴'!$F:$F,$A13,'単価履歴'!$O:$O,
MAXIFS('単価履歴'!$O:$O,'単価履歴'!$E:$E,AC$1,'単価履歴'!$F:$F,$A13))=0,"",
MAXIFS('単価履歴'!$H:$H,'単価履歴'!$E:$E,AC$1,'単価履歴'!$F:$F,$A13,'単価履歴'!$O:$O,
MAXIFS('単価履歴'!$O:$O,'単価履歴'!$E:$E,AC$1,'単価履歴'!$F:$F,$A13)))</f>
        <v/>
      </c>
      <c r="AD13" s="251" t="str">
        <f>IF(MAXIFS('単価履歴'!$H:$H,'単価履歴'!$E:$E,AD$1,'単価履歴'!$F:$F,$A13,'単価履歴'!$O:$O,
MAXIFS('単価履歴'!$O:$O,'単価履歴'!$E:$E,AD$1,'単価履歴'!$F:$F,$A13))=0,"",
MAXIFS('単価履歴'!$H:$H,'単価履歴'!$E:$E,AD$1,'単価履歴'!$F:$F,$A13,'単価履歴'!$O:$O,
MAXIFS('単価履歴'!$O:$O,'単価履歴'!$E:$E,AD$1,'単価履歴'!$F:$F,$A13)))</f>
        <v/>
      </c>
      <c r="AE13" s="252" t="str">
        <f>IF(MAXIFS('単価履歴'!$H:$H,'単価履歴'!$E:$E,AE$1,'単価履歴'!$F:$F,$A13,'単価履歴'!$O:$O,
MAXIFS('単価履歴'!$O:$O,'単価履歴'!$E:$E,AE$1,'単価履歴'!$F:$F,$A13))=0,"",
MAXIFS('単価履歴'!$H:$H,'単価履歴'!$E:$E,AE$1,'単価履歴'!$F:$F,$A13,'単価履歴'!$O:$O,
MAXIFS('単価履歴'!$O:$O,'単価履歴'!$E:$E,AE$1,'単価履歴'!$F:$F,$A13)))</f>
        <v/>
      </c>
      <c r="AF13" s="249" t="str">
        <f>IF(MAXIFS('単価履歴'!$H:$H,'単価履歴'!$E:$E,AF$1,'単価履歴'!$F:$F,$A13,'単価履歴'!$O:$O,
MAXIFS('単価履歴'!$O:$O,'単価履歴'!$E:$E,AF$1,'単価履歴'!$F:$F,$A13))=0,"",
MAXIFS('単価履歴'!$H:$H,'単価履歴'!$E:$E,AF$1,'単価履歴'!$F:$F,$A13,'単価履歴'!$O:$O,
MAXIFS('単価履歴'!$O:$O,'単価履歴'!$E:$E,AF$1,'単価履歴'!$F:$F,$A13)))</f>
        <v/>
      </c>
      <c r="AG13" s="248" t="str">
        <f>IF(MAXIFS('単価履歴'!$H:$H,'単価履歴'!$E:$E,AG$1,'単価履歴'!$F:$F,$A13,'単価履歴'!$O:$O,
MAXIFS('単価履歴'!$O:$O,'単価履歴'!$E:$E,AG$1,'単価履歴'!$F:$F,$A13))=0,"",
MAXIFS('単価履歴'!$H:$H,'単価履歴'!$E:$E,AG$1,'単価履歴'!$F:$F,$A13,'単価履歴'!$O:$O,
MAXIFS('単価履歴'!$O:$O,'単価履歴'!$E:$E,AG$1,'単価履歴'!$F:$F,$A13)))</f>
        <v/>
      </c>
      <c r="AH13" s="251" t="str">
        <f>IF(MAXIFS('単価履歴'!$H:$H,'単価履歴'!$E:$E,AH$1,'単価履歴'!$F:$F,$A13,'単価履歴'!$O:$O,
MAXIFS('単価履歴'!$O:$O,'単価履歴'!$E:$E,AH$1,'単価履歴'!$F:$F,$A13))=0,"",
MAXIFS('単価履歴'!$H:$H,'単価履歴'!$E:$E,AH$1,'単価履歴'!$F:$F,$A13,'単価履歴'!$O:$O,
MAXIFS('単価履歴'!$O:$O,'単価履歴'!$E:$E,AH$1,'単価履歴'!$F:$F,$A13)))</f>
        <v/>
      </c>
      <c r="AI13" s="247">
        <f>IF(MAXIFS('単価履歴'!$H:$H,'単価履歴'!$E:$E,AI$1,'単価履歴'!$F:$F,$A13,'単価履歴'!$O:$O,
MAXIFS('単価履歴'!$O:$O,'単価履歴'!$E:$E,AI$1,'単価履歴'!$F:$F,$A13))=0,"",
MAXIFS('単価履歴'!$H:$H,'単価履歴'!$E:$E,AI$1,'単価履歴'!$F:$F,$A13,'単価履歴'!$O:$O,
MAXIFS('単価履歴'!$O:$O,'単価履歴'!$E:$E,AI$1,'単価履歴'!$F:$F,$A13)))</f>
        <v>53.9</v>
      </c>
      <c r="AJ13" s="246">
        <f>IF(MAXIFS('単価履歴'!$H:$H,'単価履歴'!$E:$E,AJ$1,'単価履歴'!$F:$F,$A13,'単価履歴'!$O:$O,
MAXIFS('単価履歴'!$O:$O,'単価履歴'!$E:$E,AJ$1,'単価履歴'!$F:$F,$A13))=0,"",
MAXIFS('単価履歴'!$H:$H,'単価履歴'!$E:$E,AJ$1,'単価履歴'!$F:$F,$A13,'単価履歴'!$O:$O,
MAXIFS('単価履歴'!$O:$O,'単価履歴'!$E:$E,AJ$1,'単価履歴'!$F:$F,$A13)))</f>
        <v>56.8</v>
      </c>
      <c r="AK13" s="251" t="str">
        <f>IF(MAXIFS('単価履歴'!$H:$H,'単価履歴'!$E:$E,AK$1,'単価履歴'!$F:$F,$A13,'単価履歴'!$O:$O,
MAXIFS('単価履歴'!$O:$O,'単価履歴'!$E:$E,AK$1,'単価履歴'!$F:$F,$A13))=0,"",
MAXIFS('単価履歴'!$H:$H,'単価履歴'!$E:$E,AK$1,'単価履歴'!$F:$F,$A13,'単価履歴'!$O:$O,
MAXIFS('単価履歴'!$O:$O,'単価履歴'!$E:$E,AK$1,'単価履歴'!$F:$F,$A13)))</f>
        <v/>
      </c>
      <c r="AL13" s="249" t="str">
        <f>IF(MAXIFS('単価履歴'!$H:$H,'単価履歴'!$E:$E,AL$1,'単価履歴'!$F:$F,$A13,'単価履歴'!$O:$O,
MAXIFS('単価履歴'!$O:$O,'単価履歴'!$E:$E,AL$1,'単価履歴'!$F:$F,$A13))=0,"",
MAXIFS('単価履歴'!$H:$H,'単価履歴'!$E:$E,AL$1,'単価履歴'!$F:$F,$A13,'単価履歴'!$O:$O,
MAXIFS('単価履歴'!$O:$O,'単価履歴'!$E:$E,AL$1,'単価履歴'!$F:$F,$A13)))</f>
        <v/>
      </c>
      <c r="AM13" s="251" t="str">
        <f>IF(MAXIFS('単価履歴'!$H:$H,'単価履歴'!$E:$E,AM$1,'単価履歴'!$F:$F,$A13,'単価履歴'!$O:$O,
MAXIFS('単価履歴'!$O:$O,'単価履歴'!$E:$E,AM$1,'単価履歴'!$F:$F,$A13))=0,"",
MAXIFS('単価履歴'!$H:$H,'単価履歴'!$E:$E,AM$1,'単価履歴'!$F:$F,$A13,'単価履歴'!$O:$O,
MAXIFS('単価履歴'!$O:$O,'単価履歴'!$E:$E,AM$1,'単価履歴'!$F:$F,$A13)))</f>
        <v/>
      </c>
      <c r="AN13" s="252" t="str">
        <f>IF(MAXIFS('単価履歴'!$H:$H,'単価履歴'!$E:$E,AN$1,'単価履歴'!$F:$F,$A13,'単価履歴'!$O:$O,
MAXIFS('単価履歴'!$O:$O,'単価履歴'!$E:$E,AN$1,'単価履歴'!$F:$F,$A13))=0,"",
MAXIFS('単価履歴'!$H:$H,'単価履歴'!$E:$E,AN$1,'単価履歴'!$F:$F,$A13,'単価履歴'!$O:$O,
MAXIFS('単価履歴'!$O:$O,'単価履歴'!$E:$E,AN$1,'単価履歴'!$F:$F,$A13)))</f>
        <v/>
      </c>
      <c r="AO13" s="251" t="str">
        <f>IF(MAXIFS('単価履歴'!$H:$H,'単価履歴'!$E:$E,AO$1,'単価履歴'!$F:$F,$A13,'単価履歴'!$O:$O,
MAXIFS('単価履歴'!$O:$O,'単価履歴'!$E:$E,AO$1,'単価履歴'!$F:$F,$A13))=0,"",
MAXIFS('単価履歴'!$H:$H,'単価履歴'!$E:$E,AO$1,'単価履歴'!$F:$F,$A13,'単価履歴'!$O:$O,
MAXIFS('単価履歴'!$O:$O,'単価履歴'!$E:$E,AO$1,'単価履歴'!$F:$F,$A13)))</f>
        <v/>
      </c>
      <c r="AP13" s="252" t="str">
        <f>IF(MAXIFS('単価履歴'!$H:$H,'単価履歴'!$E:$E,AP$1,'単価履歴'!$F:$F,$A13,'単価履歴'!$O:$O,
MAXIFS('単価履歴'!$O:$O,'単価履歴'!$E:$E,AP$1,'単価履歴'!$F:$F,$A13))=0,"",
MAXIFS('単価履歴'!$H:$H,'単価履歴'!$E:$E,AP$1,'単価履歴'!$F:$F,$A13,'単価履歴'!$O:$O,
MAXIFS('単価履歴'!$O:$O,'単価履歴'!$E:$E,AP$1,'単価履歴'!$F:$F,$A13)))</f>
        <v/>
      </c>
      <c r="AQ13" s="251" t="str">
        <f>IF(MAXIFS('単価履歴'!$H:$H,'単価履歴'!$E:$E,AQ$1,'単価履歴'!$F:$F,$A13,'単価履歴'!$O:$O,
MAXIFS('単価履歴'!$O:$O,'単価履歴'!$E:$E,AQ$1,'単価履歴'!$F:$F,$A13))=0,"",
MAXIFS('単価履歴'!$H:$H,'単価履歴'!$E:$E,AQ$1,'単価履歴'!$F:$F,$A13,'単価履歴'!$O:$O,
MAXIFS('単価履歴'!$O:$O,'単価履歴'!$E:$E,AQ$1,'単価履歴'!$F:$F,$A13)))</f>
        <v/>
      </c>
      <c r="AR13" s="252" t="str">
        <f>IF(MAXIFS('単価履歴'!$H:$H,'単価履歴'!$E:$E,AR$1,'単価履歴'!$F:$F,$A13,'単価履歴'!$O:$O,
MAXIFS('単価履歴'!$O:$O,'単価履歴'!$E:$E,AR$1,'単価履歴'!$F:$F,$A13))=0,"",
MAXIFS('単価履歴'!$H:$H,'単価履歴'!$E:$E,AR$1,'単価履歴'!$F:$F,$A13,'単価履歴'!$O:$O,
MAXIFS('単価履歴'!$O:$O,'単価履歴'!$E:$E,AR$1,'単価履歴'!$F:$F,$A13)))</f>
        <v/>
      </c>
      <c r="AS13" s="249" t="str">
        <f>IF(MAXIFS('単価履歴'!$H:$H,'単価履歴'!$E:$E,AS$1,'単価履歴'!$F:$F,$A13,'単価履歴'!$O:$O,
MAXIFS('単価履歴'!$O:$O,'単価履歴'!$E:$E,AS$1,'単価履歴'!$F:$F,$A13))=0,"",
MAXIFS('単価履歴'!$H:$H,'単価履歴'!$E:$E,AS$1,'単価履歴'!$F:$F,$A13,'単価履歴'!$O:$O,
MAXIFS('単価履歴'!$O:$O,'単価履歴'!$E:$E,AS$1,'単価履歴'!$F:$F,$A13)))</f>
        <v/>
      </c>
      <c r="AT13" s="249" t="str">
        <f>IF(MAXIFS('単価履歴'!$H:$H,'単価履歴'!$E:$E,AT$1,'単価履歴'!$F:$F,$A13,'単価履歴'!$O:$O,
MAXIFS('単価履歴'!$O:$O,'単価履歴'!$E:$E,AT$1,'単価履歴'!$F:$F,$A13))=0,"",
MAXIFS('単価履歴'!$H:$H,'単価履歴'!$E:$E,AT$1,'単価履歴'!$F:$F,$A13,'単価履歴'!$O:$O,
MAXIFS('単価履歴'!$O:$O,'単価履歴'!$E:$E,AT$1,'単価履歴'!$F:$F,$A13)))</f>
        <v/>
      </c>
      <c r="AU13" s="249" t="str">
        <f>IF(MAXIFS('単価履歴'!$H:$H,'単価履歴'!$E:$E,AU$1,'単価履歴'!$F:$F,$A13,'単価履歴'!$O:$O,
MAXIFS('単価履歴'!$O:$O,'単価履歴'!$E:$E,AU$1,'単価履歴'!$F:$F,$A13))=0,"",
MAXIFS('単価履歴'!$H:$H,'単価履歴'!$E:$E,AU$1,'単価履歴'!$F:$F,$A13,'単価履歴'!$O:$O,
MAXIFS('単価履歴'!$O:$O,'単価履歴'!$E:$E,AU$1,'単価履歴'!$F:$F,$A13)))</f>
        <v/>
      </c>
      <c r="AV13" s="249" t="str">
        <f>IF(MAXIFS('単価履歴'!$H:$H,'単価履歴'!$E:$E,AV$1,'単価履歴'!$F:$F,$A13,'単価履歴'!$O:$O,
MAXIFS('単価履歴'!$O:$O,'単価履歴'!$E:$E,AV$1,'単価履歴'!$F:$F,$A13))=0,"",
MAXIFS('単価履歴'!$H:$H,'単価履歴'!$E:$E,AV$1,'単価履歴'!$F:$F,$A13,'単価履歴'!$O:$O,
MAXIFS('単価履歴'!$O:$O,'単価履歴'!$E:$E,AV$1,'単価履歴'!$F:$F,$A13)))</f>
        <v/>
      </c>
      <c r="AW13" s="248" t="str">
        <f>IF(MAXIFS('単価履歴'!$H:$H,'単価履歴'!$E:$E,AW$1,'単価履歴'!$F:$F,$A13,'単価履歴'!$O:$O,
MAXIFS('単価履歴'!$O:$O,'単価履歴'!$E:$E,AW$1,'単価履歴'!$F:$F,$A13))=0,"",
MAXIFS('単価履歴'!$H:$H,'単価履歴'!$E:$E,AW$1,'単価履歴'!$F:$F,$A13,'単価履歴'!$O:$O,
MAXIFS('単価履歴'!$O:$O,'単価履歴'!$E:$E,AW$1,'単価履歴'!$F:$F,$A13)))</f>
        <v/>
      </c>
      <c r="AX13" s="252" t="str">
        <f>IF(MAXIFS('単価履歴'!$H:$H,'単価履歴'!$E:$E,AX$1,'単価履歴'!$F:$F,$A13,'単価履歴'!$O:$O,
MAXIFS('単価履歴'!$O:$O,'単価履歴'!$E:$E,AX$1,'単価履歴'!$F:$F,$A13))=0,"",
MAXIFS('単価履歴'!$H:$H,'単価履歴'!$E:$E,AX$1,'単価履歴'!$F:$F,$A13,'単価履歴'!$O:$O,
MAXIFS('単価履歴'!$O:$O,'単価履歴'!$E:$E,AX$1,'単価履歴'!$F:$F,$A13)))</f>
        <v/>
      </c>
      <c r="AY13" s="251" t="str">
        <f>IF(MAXIFS('単価履歴'!$H:$H,'単価履歴'!$E:$E,AY$1,'単価履歴'!$F:$F,$A13,'単価履歴'!$O:$O,
MAXIFS('単価履歴'!$O:$O,'単価履歴'!$E:$E,AY$1,'単価履歴'!$F:$F,$A13))=0,"",
MAXIFS('単価履歴'!$H:$H,'単価履歴'!$E:$E,AY$1,'単価履歴'!$F:$F,$A13,'単価履歴'!$O:$O,
MAXIFS('単価履歴'!$O:$O,'単価履歴'!$E:$E,AY$1,'単価履歴'!$F:$F,$A13)))</f>
        <v/>
      </c>
      <c r="AZ13" s="249" t="str">
        <f>IF(MAXIFS('単価履歴'!$H:$H,'単価履歴'!$E:$E,AZ$1,'単価履歴'!$F:$F,$A13,'単価履歴'!$O:$O,
MAXIFS('単価履歴'!$O:$O,'単価履歴'!$E:$E,AZ$1,'単価履歴'!$F:$F,$A13))=0,"",
MAXIFS('単価履歴'!$H:$H,'単価履歴'!$E:$E,AZ$1,'単価履歴'!$F:$F,$A13,'単価履歴'!$O:$O,
MAXIFS('単価履歴'!$O:$O,'単価履歴'!$E:$E,AZ$1,'単価履歴'!$F:$F,$A13)))</f>
        <v/>
      </c>
      <c r="BA13" s="248" t="str">
        <f>IF(MAXIFS('単価履歴'!$H:$H,'単価履歴'!$E:$E,BA$1,'単価履歴'!$F:$F,$A13,'単価履歴'!$O:$O,
MAXIFS('単価履歴'!$O:$O,'単価履歴'!$E:$E,BA$1,'単価履歴'!$F:$F,$A13))=0,"",
MAXIFS('単価履歴'!$H:$H,'単価履歴'!$E:$E,BA$1,'単価履歴'!$F:$F,$A13,'単価履歴'!$O:$O,
MAXIFS('単価履歴'!$O:$O,'単価履歴'!$E:$E,BA$1,'単価履歴'!$F:$F,$A13)))</f>
        <v/>
      </c>
      <c r="BB13" s="252" t="str">
        <f>IF(MAXIFS('単価履歴'!$H:$H,'単価履歴'!$E:$E,BB$1,'単価履歴'!$F:$F,$A13,'単価履歴'!$O:$O,
MAXIFS('単価履歴'!$O:$O,'単価履歴'!$E:$E,BB$1,'単価履歴'!$F:$F,$A13))=0,"",
MAXIFS('単価履歴'!$H:$H,'単価履歴'!$E:$E,BB$1,'単価履歴'!$F:$F,$A13,'単価履歴'!$O:$O,
MAXIFS('単価履歴'!$O:$O,'単価履歴'!$E:$E,BB$1,'単価履歴'!$F:$F,$A13)))</f>
        <v/>
      </c>
      <c r="BC13" s="249" t="str">
        <f>IF(MAXIFS('単価履歴'!$H:$H,'単価履歴'!$E:$E,BC$1,'単価履歴'!$F:$F,$A13,'単価履歴'!$O:$O,
MAXIFS('単価履歴'!$O:$O,'単価履歴'!$E:$E,BC$1,'単価履歴'!$F:$F,$A13))=0,"",
MAXIFS('単価履歴'!$H:$H,'単価履歴'!$E:$E,BC$1,'単価履歴'!$F:$F,$A13,'単価履歴'!$O:$O,
MAXIFS('単価履歴'!$O:$O,'単価履歴'!$E:$E,BC$1,'単価履歴'!$F:$F,$A13)))</f>
        <v/>
      </c>
      <c r="BD13" s="248" t="str">
        <f>IF(MAXIFS('単価履歴'!$H:$H,'単価履歴'!$E:$E,BD$1,'単価履歴'!$F:$F,$A13,'単価履歴'!$O:$O,
MAXIFS('単価履歴'!$O:$O,'単価履歴'!$E:$E,BD$1,'単価履歴'!$F:$F,$A13))=0,"",
MAXIFS('単価履歴'!$H:$H,'単価履歴'!$E:$E,BD$1,'単価履歴'!$F:$F,$A13,'単価履歴'!$O:$O,
MAXIFS('単価履歴'!$O:$O,'単価履歴'!$E:$E,BD$1,'単価履歴'!$F:$F,$A13)))</f>
        <v/>
      </c>
      <c r="BE13" s="249" t="str">
        <f>IF(MAXIFS('単価履歴'!$H:$H,'単価履歴'!$E:$E,BE$1,'単価履歴'!$F:$F,$A13,'単価履歴'!$O:$O,
MAXIFS('単価履歴'!$O:$O,'単価履歴'!$E:$E,BE$1,'単価履歴'!$F:$F,$A13))=0,"",
MAXIFS('単価履歴'!$H:$H,'単価履歴'!$E:$E,BE$1,'単価履歴'!$F:$F,$A13,'単価履歴'!$O:$O,
MAXIFS('単価履歴'!$O:$O,'単価履歴'!$E:$E,BE$1,'単価履歴'!$F:$F,$A13)))</f>
        <v/>
      </c>
      <c r="BF13" s="248" t="str">
        <f>IF(MAXIFS('単価履歴'!$H:$H,'単価履歴'!$E:$E,BF$1,'単価履歴'!$F:$F,$A13,'単価履歴'!$O:$O,
MAXIFS('単価履歴'!$O:$O,'単価履歴'!$E:$E,BF$1,'単価履歴'!$F:$F,$A13))=0,"",
MAXIFS('単価履歴'!$H:$H,'単価履歴'!$E:$E,BF$1,'単価履歴'!$F:$F,$A13,'単価履歴'!$O:$O,
MAXIFS('単価履歴'!$O:$O,'単価履歴'!$E:$E,BF$1,'単価履歴'!$F:$F,$A13)))</f>
        <v/>
      </c>
      <c r="BG13" s="249" t="str">
        <f>IF(MAXIFS('単価履歴'!$H:$H,'単価履歴'!$E:$E,BG$1,'単価履歴'!$F:$F,$A13,'単価履歴'!$O:$O,
MAXIFS('単価履歴'!$O:$O,'単価履歴'!$E:$E,BG$1,'単価履歴'!$F:$F,$A13))=0,"",
MAXIFS('単価履歴'!$H:$H,'単価履歴'!$E:$E,BG$1,'単価履歴'!$F:$F,$A13,'単価履歴'!$O:$O,
MAXIFS('単価履歴'!$O:$O,'単価履歴'!$E:$E,BG$1,'単価履歴'!$F:$F,$A13)))</f>
        <v/>
      </c>
      <c r="BH13" s="249" t="str">
        <f>IF(MAXIFS('単価履歴'!$H:$H,'単価履歴'!$E:$E,BH$1,'単価履歴'!$F:$F,$A13,'単価履歴'!$O:$O,
MAXIFS('単価履歴'!$O:$O,'単価履歴'!$E:$E,BH$1,'単価履歴'!$F:$F,$A13))=0,"",
MAXIFS('単価履歴'!$H:$H,'単価履歴'!$E:$E,BH$1,'単価履歴'!$F:$F,$A13,'単価履歴'!$O:$O,
MAXIFS('単価履歴'!$O:$O,'単価履歴'!$E:$E,BH$1,'単価履歴'!$F:$F,$A13)))</f>
        <v/>
      </c>
      <c r="BI13" s="252" t="str">
        <f>IF(MAXIFS('単価履歴'!$H:$H,'単価履歴'!$E:$E,BI$1,'単価履歴'!$F:$F,$A13,'単価履歴'!$O:$O,
MAXIFS('単価履歴'!$O:$O,'単価履歴'!$E:$E,BI$1,'単価履歴'!$F:$F,$A13))=0,"",
MAXIFS('単価履歴'!$H:$H,'単価履歴'!$E:$E,BI$1,'単価履歴'!$F:$F,$A13,'単価履歴'!$O:$O,
MAXIFS('単価履歴'!$O:$O,'単価履歴'!$E:$E,BI$1,'単価履歴'!$F:$F,$A13)))</f>
        <v/>
      </c>
      <c r="BJ13" s="252" t="str">
        <f>IF(MAXIFS('単価履歴'!$H:$H,'単価履歴'!$E:$E,BJ$1,'単価履歴'!$F:$F,$A13,'単価履歴'!$O:$O,
MAXIFS('単価履歴'!$O:$O,'単価履歴'!$E:$E,BJ$1,'単価履歴'!$F:$F,$A13))=0,"",
MAXIFS('単価履歴'!$H:$H,'単価履歴'!$E:$E,BJ$1,'単価履歴'!$F:$F,$A13,'単価履歴'!$O:$O,
MAXIFS('単価履歴'!$O:$O,'単価履歴'!$E:$E,BJ$1,'単価履歴'!$F:$F,$A13)))</f>
        <v/>
      </c>
      <c r="BK13" s="252" t="str">
        <f>IF(MAXIFS('単価履歴'!$H:$H,'単価履歴'!$E:$E,BK$1,'単価履歴'!$F:$F,$A13,'単価履歴'!$O:$O,
MAXIFS('単価履歴'!$O:$O,'単価履歴'!$E:$E,BK$1,'単価履歴'!$F:$F,$A13))=0,"",
MAXIFS('単価履歴'!$H:$H,'単価履歴'!$E:$E,BK$1,'単価履歴'!$F:$F,$A13,'単価履歴'!$O:$O,
MAXIFS('単価履歴'!$O:$O,'単価履歴'!$E:$E,BK$1,'単価履歴'!$F:$F,$A13)))</f>
        <v/>
      </c>
      <c r="BL13" s="252" t="str">
        <f>IF(MAXIFS('単価履歴'!$H:$H,'単価履歴'!$E:$E,BL$1,'単価履歴'!$F:$F,$A13,'単価履歴'!$O:$O,
MAXIFS('単価履歴'!$O:$O,'単価履歴'!$E:$E,BL$1,'単価履歴'!$F:$F,$A13))=0,"",
MAXIFS('単価履歴'!$H:$H,'単価履歴'!$E:$E,BL$1,'単価履歴'!$F:$F,$A13,'単価履歴'!$O:$O,
MAXIFS('単価履歴'!$O:$O,'単価履歴'!$E:$E,BL$1,'単価履歴'!$F:$F,$A13)))</f>
        <v/>
      </c>
      <c r="BM13" s="252" t="str">
        <f>IF(MAXIFS('単価履歴'!$H:$H,'単価履歴'!$E:$E,BM$1,'単価履歴'!$F:$F,$A13,'単価履歴'!$O:$O,
MAXIFS('単価履歴'!$O:$O,'単価履歴'!$E:$E,BM$1,'単価履歴'!$F:$F,$A13))=0,"",
MAXIFS('単価履歴'!$H:$H,'単価履歴'!$E:$E,BM$1,'単価履歴'!$F:$F,$A13,'単価履歴'!$O:$O,
MAXIFS('単価履歴'!$O:$O,'単価履歴'!$E:$E,BM$1,'単価履歴'!$F:$F,$A13)))</f>
        <v/>
      </c>
      <c r="BN13" s="248" t="str">
        <f>IF(MAXIFS('単価履歴'!$H:$H,'単価履歴'!$E:$E,BN$1,'単価履歴'!$F:$F,$A13,'単価履歴'!$O:$O,
MAXIFS('単価履歴'!$O:$O,'単価履歴'!$E:$E,BN$1,'単価履歴'!$F:$F,$A13))=0,"",
MAXIFS('単価履歴'!$H:$H,'単価履歴'!$E:$E,BN$1,'単価履歴'!$F:$F,$A13,'単価履歴'!$O:$O,
MAXIFS('単価履歴'!$O:$O,'単価履歴'!$E:$E,BN$1,'単価履歴'!$F:$F,$A13)))</f>
        <v/>
      </c>
      <c r="BO13" s="249" t="str">
        <f>IF(MAXIFS('単価履歴'!$H:$H,'単価履歴'!$E:$E,BO$1,'単価履歴'!$F:$F,$A13,'単価履歴'!$O:$O,
MAXIFS('単価履歴'!$O:$O,'単価履歴'!$E:$E,BO$1,'単価履歴'!$F:$F,$A13))=0,"",
MAXIFS('単価履歴'!$H:$H,'単価履歴'!$E:$E,BO$1,'単価履歴'!$F:$F,$A13,'単価履歴'!$O:$O,
MAXIFS('単価履歴'!$O:$O,'単価履歴'!$E:$E,BO$1,'単価履歴'!$F:$F,$A13)))</f>
        <v/>
      </c>
      <c r="BP13" s="252" t="str">
        <f>IF(MAXIFS('単価履歴'!$H:$H,'単価履歴'!$E:$E,BP$1,'単価履歴'!$F:$F,$A13,'単価履歴'!$O:$O,
MAXIFS('単価履歴'!$O:$O,'単価履歴'!$E:$E,BP$1,'単価履歴'!$F:$F,$A13))=0,"",
MAXIFS('単価履歴'!$H:$H,'単価履歴'!$E:$E,BP$1,'単価履歴'!$F:$F,$A13,'単価履歴'!$O:$O,
MAXIFS('単価履歴'!$O:$O,'単価履歴'!$E:$E,BP$1,'単価履歴'!$F:$F,$A13)))</f>
        <v/>
      </c>
      <c r="BQ13" s="249"/>
      <c r="BR13" s="249"/>
      <c r="BS13" s="249"/>
      <c r="BT13" s="249"/>
      <c r="BU13" s="249"/>
      <c r="BV13" s="249"/>
      <c r="BW13" s="249"/>
      <c r="BX13" s="249"/>
    </row>
    <row r="14">
      <c r="A14" s="261" t="s">
        <v>111</v>
      </c>
      <c r="B14" s="246">
        <f>IF(MAXIFS('単価履歴'!$H:$H,'単価履歴'!$E:$E,B$1,'単価履歴'!$F:$F,$A14,'単価履歴'!$O:$O,
MAXIFS('単価履歴'!$O:$O,'単価履歴'!$E:$E,B$1,'単価履歴'!$F:$F,$A14))=0,"",
MAXIFS('単価履歴'!$H:$H,'単価履歴'!$E:$E,B$1,'単価履歴'!$F:$F,$A14,'単価履歴'!$O:$O,
MAXIFS('単価履歴'!$O:$O,'単価履歴'!$E:$E,B$1,'単価履歴'!$F:$F,$A14)))</f>
        <v>55</v>
      </c>
      <c r="C14" s="262">
        <f>IF(MAXIFS('単価履歴'!$H:$H,'単価履歴'!$E:$E,C$1,'単価履歴'!$F:$F,$A14,'単価履歴'!$O:$O,
MAXIFS('単価履歴'!$O:$O,'単価履歴'!$E:$E,C$1,'単価履歴'!$F:$F,$A14))=0,"",
MAXIFS('単価履歴'!$H:$H,'単価履歴'!$E:$E,C$1,'単価履歴'!$F:$F,$A14,'単価履歴'!$O:$O,
MAXIFS('単価履歴'!$O:$O,'単価履歴'!$E:$E,C$1,'単価履歴'!$F:$F,$A14)))</f>
        <v>55.3</v>
      </c>
      <c r="D14" s="250">
        <f>IF(MAXIFS('単価履歴'!$H:$H,'単価履歴'!$E:$E,D$1,'単価履歴'!$F:$F,$A14,'単価履歴'!$O:$O,
MAXIFS('単価履歴'!$O:$O,'単価履歴'!$E:$E,D$1,'単価履歴'!$F:$F,$A14))=0,"",
MAXIFS('単価履歴'!$H:$H,'単価履歴'!$E:$E,D$1,'単価履歴'!$F:$F,$A14,'単価履歴'!$O:$O,
MAXIFS('単価履歴'!$O:$O,'単価履歴'!$E:$E,D$1,'単価履歴'!$F:$F,$A14)))</f>
        <v>55.3</v>
      </c>
      <c r="E14" s="250"/>
      <c r="F14" s="250"/>
      <c r="G14" s="268">
        <f>IF(MAXIFS('単価履歴'!$H:$H,'単価履歴'!$E:$E,G$1,'単価履歴'!$F:$F,$A14,'単価履歴'!$O:$O,
MAXIFS('単価履歴'!$O:$O,'単価履歴'!$E:$E,G$1,'単価履歴'!$F:$F,$A14))=0,"",
MAXIFS('単価履歴'!$H:$H,'単価履歴'!$E:$E,G$1,'単価履歴'!$F:$F,$A14,'単価履歴'!$O:$O,
MAXIFS('単価履歴'!$O:$O,'単価履歴'!$E:$E,G$1,'単価履歴'!$F:$F,$A14)))</f>
        <v>55.5</v>
      </c>
      <c r="H14" s="250">
        <f>IF(MAXIFS('単価履歴'!$H:$H,'単価履歴'!$E:$E,H$1,'単価履歴'!$F:$F,$A14,'単価履歴'!$O:$O,
MAXIFS('単価履歴'!$O:$O,'単価履歴'!$E:$E,H$1,'単価履歴'!$F:$F,$A14))=0,"",
MAXIFS('単価履歴'!$H:$H,'単価履歴'!$E:$E,H$1,'単価履歴'!$F:$F,$A14,'単価履歴'!$O:$O,
MAXIFS('単価履歴'!$O:$O,'単価履歴'!$E:$E,H$1,'単価履歴'!$F:$F,$A14)))</f>
        <v>55.8</v>
      </c>
      <c r="I14" s="256">
        <f>IF(MAXIFS('単価履歴'!$H:$H,'単価履歴'!$E:$E,I$1,'単価履歴'!$F:$F,$A14,'単価履歴'!$O:$O,
MAXIFS('単価履歴'!$O:$O,'単価履歴'!$E:$E,I$1,'単価履歴'!$F:$F,$A14))=0,"",
MAXIFS('単価履歴'!$H:$H,'単価履歴'!$E:$E,I$1,'単価履歴'!$F:$F,$A14,'単価履歴'!$O:$O,
MAXIFS('単価履歴'!$O:$O,'単価履歴'!$E:$E,I$1,'単価履歴'!$F:$F,$A14)))</f>
        <v>2</v>
      </c>
      <c r="J14" s="263" t="str">
        <f>IF(MAXIFS('単価履歴'!$H:$H,'単価履歴'!$E:$E,J$1,'単価履歴'!$F:$F,$A14,'単価履歴'!$O:$O,
MAXIFS('単価履歴'!$O:$O,'単価履歴'!$E:$E,J$1,'単価履歴'!$F:$F,$A14))=0,"",
MAXIFS('単価履歴'!$H:$H,'単価履歴'!$E:$E,J$1,'単価履歴'!$F:$F,$A14,'単価履歴'!$O:$O,
MAXIFS('単価履歴'!$O:$O,'単価履歴'!$E:$E,J$1,'単価履歴'!$F:$F,$A14)))</f>
        <v/>
      </c>
      <c r="K14" s="275">
        <v>45.0</v>
      </c>
      <c r="L14" s="275">
        <v>29.9</v>
      </c>
      <c r="M14" s="275">
        <v>43.7</v>
      </c>
      <c r="N14" s="275">
        <v>28.8</v>
      </c>
      <c r="O14" s="270">
        <f>IF(MAXIFS('単価履歴'!$H:$H,'単価履歴'!$E:$E,O$1,'単価履歴'!$F:$F,$A14,'単価履歴'!$O:$O,
MAXIFS('単価履歴'!$O:$O,'単価履歴'!$E:$E,O$1,'単価履歴'!$F:$F,$A14))=0,"",
MAXIFS('単価履歴'!$H:$H,'単価履歴'!$E:$E,O$1,'単価履歴'!$F:$F,$A14,'単価履歴'!$O:$O,
MAXIFS('単価履歴'!$O:$O,'単価履歴'!$E:$E,O$1,'単価履歴'!$F:$F,$A14)))</f>
        <v>58.5</v>
      </c>
      <c r="P14" s="264" t="str">
        <f>IF(MAXIFS('単価履歴'!$H:$H,'単価履歴'!$E:$E,P$1,'単価履歴'!$F:$F,$A14,'単価履歴'!$O:$O,
MAXIFS('単価履歴'!$O:$O,'単価履歴'!$E:$E,P$1,'単価履歴'!$F:$F,$A14))=0,"",
MAXIFS('単価履歴'!$H:$H,'単価履歴'!$E:$E,P$1,'単価履歴'!$F:$F,$A14,'単価履歴'!$O:$O,
MAXIFS('単価履歴'!$O:$O,'単価履歴'!$E:$E,P$1,'単価履歴'!$F:$F,$A14)))</f>
        <v/>
      </c>
      <c r="Q14" s="263" t="str">
        <f>IF(MAXIFS('単価履歴'!$H:$H,'単価履歴'!$E:$E,Q$1,'単価履歴'!$F:$F,$A14,'単価履歴'!$O:$O,
MAXIFS('単価履歴'!$O:$O,'単価履歴'!$E:$E,Q$1,'単価履歴'!$F:$F,$A14))=0,"",
MAXIFS('単価履歴'!$H:$H,'単価履歴'!$E:$E,Q$1,'単価履歴'!$F:$F,$A14,'単価履歴'!$O:$O,
MAXIFS('単価履歴'!$O:$O,'単価履歴'!$E:$E,Q$1,'単価履歴'!$F:$F,$A14)))</f>
        <v/>
      </c>
      <c r="R14" s="264" t="str">
        <f>IF(MAXIFS('単価履歴'!$H:$H,'単価履歴'!$E:$E,R$1,'単価履歴'!$F:$F,$A14,'単価履歴'!$O:$O,
MAXIFS('単価履歴'!$O:$O,'単価履歴'!$E:$E,R$1,'単価履歴'!$F:$F,$A14))=0,"",
MAXIFS('単価履歴'!$H:$H,'単価履歴'!$E:$E,R$1,'単価履歴'!$F:$F,$A14,'単価履歴'!$O:$O,
MAXIFS('単価履歴'!$O:$O,'単価履歴'!$E:$E,R$1,'単価履歴'!$F:$F,$A14)))</f>
        <v/>
      </c>
      <c r="S14" s="262">
        <f>IF(MAXIFS('単価履歴'!$H:$H,'単価履歴'!$E:$E,S$1,'単価履歴'!$F:$F,$A14,'単価履歴'!$O:$O,
MAXIFS('単価履歴'!$O:$O,'単価履歴'!$E:$E,S$1,'単価履歴'!$F:$F,$A14))=0,"",
MAXIFS('単価履歴'!$H:$H,'単価履歴'!$E:$E,S$1,'単価履歴'!$F:$F,$A14,'単価履歴'!$O:$O,
MAXIFS('単価履歴'!$O:$O,'単価履歴'!$E:$E,S$1,'単価履歴'!$F:$F,$A14)))</f>
        <v>52.5</v>
      </c>
      <c r="T14" s="250" t="str">
        <f>IF(MAXIFS('単価履歴'!$H:$H,'単価履歴'!$E:$E,T$1,'単価履歴'!$F:$F,$A14,'単価履歴'!$O:$O,
MAXIFS('単価履歴'!$O:$O,'単価履歴'!$E:$E,T$1,'単価履歴'!$F:$F,$A14))=0,"",
MAXIFS('単価履歴'!$H:$H,'単価履歴'!$E:$E,T$1,'単価履歴'!$F:$F,$A14,'単価履歴'!$O:$O,
MAXIFS('単価履歴'!$O:$O,'単価履歴'!$E:$E,T$1,'単価履歴'!$F:$F,$A14)))</f>
        <v/>
      </c>
      <c r="U14" s="256" t="str">
        <f>IF(MAXIFS('単価履歴'!$H:$H,'単価履歴'!$E:$E,U$1,'単価履歴'!$F:$F,$A14,'単価履歴'!$O:$O,
MAXIFS('単価履歴'!$O:$O,'単価履歴'!$E:$E,U$1,'単価履歴'!$F:$F,$A14))=0,"",
MAXIFS('単価履歴'!$H:$H,'単価履歴'!$E:$E,U$1,'単価履歴'!$F:$F,$A14,'単価履歴'!$O:$O,
MAXIFS('単価履歴'!$O:$O,'単価履歴'!$E:$E,U$1,'単価履歴'!$F:$F,$A14)))</f>
        <v/>
      </c>
      <c r="V14" s="254">
        <f>IF(MAXIFS('単価履歴'!$H:$H,'単価履歴'!$E:$E,V$1,'単価履歴'!$F:$F,$A14,'単価履歴'!$O:$O,
MAXIFS('単価履歴'!$O:$O,'単価履歴'!$E:$E,V$1,'単価履歴'!$F:$F,$A14))=0,"",
MAXIFS('単価履歴'!$H:$H,'単価履歴'!$E:$E,V$1,'単価履歴'!$F:$F,$A14,'単価履歴'!$O:$O,
MAXIFS('単価履歴'!$O:$O,'単価履歴'!$E:$E,V$1,'単価履歴'!$F:$F,$A14)))</f>
        <v>42</v>
      </c>
      <c r="W14" s="264" t="str">
        <f>IF(MAXIFS('単価履歴'!$H:$H,'単価履歴'!$E:$E,W$1,'単価履歴'!$F:$F,$A14,'単価履歴'!$O:$O,
MAXIFS('単価履歴'!$O:$O,'単価履歴'!$E:$E,W$1,'単価履歴'!$F:$F,$A14))=0,"",
MAXIFS('単価履歴'!$H:$H,'単価履歴'!$E:$E,W$1,'単価履歴'!$F:$F,$A14,'単価履歴'!$O:$O,
MAXIFS('単価履歴'!$O:$O,'単価履歴'!$E:$E,W$1,'単価履歴'!$F:$F,$A14)))</f>
        <v/>
      </c>
      <c r="X14" s="256" t="str">
        <f>IF(MAXIFS('単価履歴'!$H:$H,'単価履歴'!$E:$E,X$1,'単価履歴'!$F:$F,$A14,'単価履歴'!$O:$O,
MAXIFS('単価履歴'!$O:$O,'単価履歴'!$E:$E,X$1,'単価履歴'!$F:$F,$A14))=0,"",
MAXIFS('単価履歴'!$H:$H,'単価履歴'!$E:$E,X$1,'単価履歴'!$F:$F,$A14,'単価履歴'!$O:$O,
MAXIFS('単価履歴'!$O:$O,'単価履歴'!$E:$E,X$1,'単価履歴'!$F:$F,$A14)))</f>
        <v/>
      </c>
      <c r="Y14" s="254" t="str">
        <f>IF(MAXIFS('単価履歴'!$H:$H,'単価履歴'!$E:$E,Y$1,'単価履歴'!$F:$F,$A14,'単価履歴'!$O:$O,
MAXIFS('単価履歴'!$O:$O,'単価履歴'!$E:$E,Y$1,'単価履歴'!$F:$F,$A14))=0,"",
MAXIFS('単価履歴'!$H:$H,'単価履歴'!$E:$E,Y$1,'単価履歴'!$F:$F,$A14,'単価履歴'!$O:$O,
MAXIFS('単価履歴'!$O:$O,'単価履歴'!$E:$E,Y$1,'単価履歴'!$F:$F,$A14)))</f>
        <v/>
      </c>
      <c r="Z14" s="256" t="str">
        <f>IF(MAXIFS('単価履歴'!$H:$H,'単価履歴'!$E:$E,Z$1,'単価履歴'!$F:$F,$A14,'単価履歴'!$O:$O,
MAXIFS('単価履歴'!$O:$O,'単価履歴'!$E:$E,Z$1,'単価履歴'!$F:$F,$A14))=0,"",
MAXIFS('単価履歴'!$H:$H,'単価履歴'!$E:$E,Z$1,'単価履歴'!$F:$F,$A14,'単価履歴'!$O:$O,
MAXIFS('単価履歴'!$O:$O,'単価履歴'!$E:$E,Z$1,'単価履歴'!$F:$F,$A14)))</f>
        <v/>
      </c>
      <c r="AA14" s="254" t="str">
        <f>IF(MAXIFS('単価履歴'!$H:$H,'単価履歴'!$E:$E,AA$1,'単価履歴'!$F:$F,$A14,'単価履歴'!$O:$O,
MAXIFS('単価履歴'!$O:$O,'単価履歴'!$E:$E,AA$1,'単価履歴'!$F:$F,$A14))=0,"",
MAXIFS('単価履歴'!$H:$H,'単価履歴'!$E:$E,AA$1,'単価履歴'!$F:$F,$A14,'単価履歴'!$O:$O,
MAXIFS('単価履歴'!$O:$O,'単価履歴'!$E:$E,AA$1,'単価履歴'!$F:$F,$A14)))</f>
        <v/>
      </c>
      <c r="AB14" s="264" t="str">
        <f>IF(MAXIFS('単価履歴'!$H:$H,'単価履歴'!$E:$E,AB$1,'単価履歴'!$F:$F,$A14,'単価履歴'!$O:$O,
MAXIFS('単価履歴'!$O:$O,'単価履歴'!$E:$E,AB$1,'単価履歴'!$F:$F,$A14))=0,"",
MAXIFS('単価履歴'!$H:$H,'単価履歴'!$E:$E,AB$1,'単価履歴'!$F:$F,$A14,'単価履歴'!$O:$O,
MAXIFS('単価履歴'!$O:$O,'単価履歴'!$E:$E,AB$1,'単価履歴'!$F:$F,$A14)))</f>
        <v/>
      </c>
      <c r="AC14" s="256" t="str">
        <f>IF(MAXIFS('単価履歴'!$H:$H,'単価履歴'!$E:$E,AC$1,'単価履歴'!$F:$F,$A14,'単価履歴'!$O:$O,
MAXIFS('単価履歴'!$O:$O,'単価履歴'!$E:$E,AC$1,'単価履歴'!$F:$F,$A14))=0,"",
MAXIFS('単価履歴'!$H:$H,'単価履歴'!$E:$E,AC$1,'単価履歴'!$F:$F,$A14,'単価履歴'!$O:$O,
MAXIFS('単価履歴'!$O:$O,'単価履歴'!$E:$E,AC$1,'単価履歴'!$F:$F,$A14)))</f>
        <v/>
      </c>
      <c r="AD14" s="254" t="str">
        <f>IF(MAXIFS('単価履歴'!$H:$H,'単価履歴'!$E:$E,AD$1,'単価履歴'!$F:$F,$A14,'単価履歴'!$O:$O,
MAXIFS('単価履歴'!$O:$O,'単価履歴'!$E:$E,AD$1,'単価履歴'!$F:$F,$A14))=0,"",
MAXIFS('単価履歴'!$H:$H,'単価履歴'!$E:$E,AD$1,'単価履歴'!$F:$F,$A14,'単価履歴'!$O:$O,
MAXIFS('単価履歴'!$O:$O,'単価履歴'!$E:$E,AD$1,'単価履歴'!$F:$F,$A14)))</f>
        <v/>
      </c>
      <c r="AE14" s="264" t="str">
        <f>IF(MAXIFS('単価履歴'!$H:$H,'単価履歴'!$E:$E,AE$1,'単価履歴'!$F:$F,$A14,'単価履歴'!$O:$O,
MAXIFS('単価履歴'!$O:$O,'単価履歴'!$E:$E,AE$1,'単価履歴'!$F:$F,$A14))=0,"",
MAXIFS('単価履歴'!$H:$H,'単価履歴'!$E:$E,AE$1,'単価履歴'!$F:$F,$A14,'単価履歴'!$O:$O,
MAXIFS('単価履歴'!$O:$O,'単価履歴'!$E:$E,AE$1,'単価履歴'!$F:$F,$A14)))</f>
        <v/>
      </c>
      <c r="AF14" s="256" t="str">
        <f>IF(MAXIFS('単価履歴'!$H:$H,'単価履歴'!$E:$E,AF$1,'単価履歴'!$F:$F,$A14,'単価履歴'!$O:$O,
MAXIFS('単価履歴'!$O:$O,'単価履歴'!$E:$E,AF$1,'単価履歴'!$F:$F,$A14))=0,"",
MAXIFS('単価履歴'!$H:$H,'単価履歴'!$E:$E,AF$1,'単価履歴'!$F:$F,$A14,'単価履歴'!$O:$O,
MAXIFS('単価履歴'!$O:$O,'単価履歴'!$E:$E,AF$1,'単価履歴'!$F:$F,$A14)))</f>
        <v/>
      </c>
      <c r="AG14" s="268">
        <f>IF(MAXIFS('単価履歴'!$H:$H,'単価履歴'!$E:$E,AG$1,'単価履歴'!$F:$F,$A14,'単価履歴'!$O:$O,
MAXIFS('単価履歴'!$O:$O,'単価履歴'!$E:$E,AG$1,'単価履歴'!$F:$F,$A14))=0,"",
MAXIFS('単価履歴'!$H:$H,'単価履歴'!$E:$E,AG$1,'単価履歴'!$F:$F,$A14,'単価履歴'!$O:$O,
MAXIFS('単価履歴'!$O:$O,'単価履歴'!$E:$E,AG$1,'単価履歴'!$F:$F,$A14)))</f>
        <v>54.5</v>
      </c>
      <c r="AH14" s="275">
        <v>43.6</v>
      </c>
      <c r="AI14" s="254" t="str">
        <f>IF(MAXIFS('単価履歴'!$H:$H,'単価履歴'!$E:$E,AI$1,'単価履歴'!$F:$F,$A14,'単価履歴'!$O:$O,
MAXIFS('単価履歴'!$O:$O,'単価履歴'!$E:$E,AI$1,'単価履歴'!$F:$F,$A14))=0,"",
MAXIFS('単価履歴'!$H:$H,'単価履歴'!$E:$E,AI$1,'単価履歴'!$F:$F,$A14,'単価履歴'!$O:$O,
MAXIFS('単価履歴'!$O:$O,'単価履歴'!$E:$E,AI$1,'単価履歴'!$F:$F,$A14)))</f>
        <v/>
      </c>
      <c r="AJ14" s="256" t="str">
        <f>IF(MAXIFS('単価履歴'!$H:$H,'単価履歴'!$E:$E,AJ$1,'単価履歴'!$F:$F,$A14,'単価履歴'!$O:$O,
MAXIFS('単価履歴'!$O:$O,'単価履歴'!$E:$E,AJ$1,'単価履歴'!$F:$F,$A14))=0,"",
MAXIFS('単価履歴'!$H:$H,'単価履歴'!$E:$E,AJ$1,'単価履歴'!$F:$F,$A14,'単価履歴'!$O:$O,
MAXIFS('単価履歴'!$O:$O,'単価履歴'!$E:$E,AJ$1,'単価履歴'!$F:$F,$A14)))</f>
        <v/>
      </c>
      <c r="AK14" s="262">
        <f>IF(MAXIFS('単価履歴'!$H:$H,'単価履歴'!$E:$E,AK$1,'単価履歴'!$F:$F,$A14,'単価履歴'!$O:$O,
MAXIFS('単価履歴'!$O:$O,'単価履歴'!$E:$E,AK$1,'単価履歴'!$F:$F,$A14))=0,"",
MAXIFS('単価履歴'!$H:$H,'単価履歴'!$E:$E,AK$1,'単価履歴'!$F:$F,$A14,'単価履歴'!$O:$O,
MAXIFS('単価履歴'!$O:$O,'単価履歴'!$E:$E,AK$1,'単価履歴'!$F:$F,$A14)))</f>
        <v>54</v>
      </c>
      <c r="AL14" s="256" t="str">
        <f>IF(MAXIFS('単価履歴'!$H:$H,'単価履歴'!$E:$E,AL$1,'単価履歴'!$F:$F,$A14,'単価履歴'!$O:$O,
MAXIFS('単価履歴'!$O:$O,'単価履歴'!$E:$E,AL$1,'単価履歴'!$F:$F,$A14))=0,"",
MAXIFS('単価履歴'!$H:$H,'単価履歴'!$E:$E,AL$1,'単価履歴'!$F:$F,$A14,'単価履歴'!$O:$O,
MAXIFS('単価履歴'!$O:$O,'単価履歴'!$E:$E,AL$1,'単価履歴'!$F:$F,$A14)))</f>
        <v/>
      </c>
      <c r="AM14" s="262">
        <f>IF(MAXIFS('単価履歴'!$H:$H,'単価履歴'!$E:$E,AM$1,'単価履歴'!$F:$F,$A14,'単価履歴'!$O:$O,
MAXIFS('単価履歴'!$O:$O,'単価履歴'!$E:$E,AM$1,'単価履歴'!$F:$F,$A14))=0,"",
MAXIFS('単価履歴'!$H:$H,'単価履歴'!$E:$E,AM$1,'単価履歴'!$F:$F,$A14,'単価履歴'!$O:$O,
MAXIFS('単価履歴'!$O:$O,'単価履歴'!$E:$E,AM$1,'単価履歴'!$F:$F,$A14)))</f>
        <v>55</v>
      </c>
      <c r="AN14" s="266">
        <f>IF(MAXIFS('単価履歴'!$H:$H,'単価履歴'!$E:$E,AN$1,'単価履歴'!$F:$F,$A14,'単価履歴'!$O:$O,
MAXIFS('単価履歴'!$O:$O,'単価履歴'!$E:$E,AN$1,'単価履歴'!$F:$F,$A14))=0,"",
MAXIFS('単価履歴'!$H:$H,'単価履歴'!$E:$E,AN$1,'単価履歴'!$F:$F,$A14,'単価履歴'!$O:$O,
MAXIFS('単価履歴'!$O:$O,'単価履歴'!$E:$E,AN$1,'単価履歴'!$F:$F,$A14)))</f>
        <v>56</v>
      </c>
      <c r="AO14" s="262">
        <f>IF(MAXIFS('単価履歴'!$H:$H,'単価履歴'!$E:$E,AO$1,'単価履歴'!$F:$F,$A14,'単価履歴'!$O:$O,
MAXIFS('単価履歴'!$O:$O,'単価履歴'!$E:$E,AO$1,'単価履歴'!$F:$F,$A14))=0,"",
MAXIFS('単価履歴'!$H:$H,'単価履歴'!$E:$E,AO$1,'単価履歴'!$F:$F,$A14,'単価履歴'!$O:$O,
MAXIFS('単価履歴'!$O:$O,'単価履歴'!$E:$E,AO$1,'単価履歴'!$F:$F,$A14)))</f>
        <v>50.7</v>
      </c>
      <c r="AP14" s="266">
        <f>IF(MAXIFS('単価履歴'!$H:$H,'単価履歴'!$E:$E,AP$1,'単価履歴'!$F:$F,$A14,'単価履歴'!$O:$O,
MAXIFS('単価履歴'!$O:$O,'単価履歴'!$E:$E,AP$1,'単価履歴'!$F:$F,$A14))=0,"",
MAXIFS('単価履歴'!$H:$H,'単価履歴'!$E:$E,AP$1,'単価履歴'!$F:$F,$A14,'単価履歴'!$O:$O,
MAXIFS('単価履歴'!$O:$O,'単価履歴'!$E:$E,AP$1,'単価履歴'!$F:$F,$A14)))</f>
        <v>52</v>
      </c>
      <c r="AQ14" s="254" t="str">
        <f>IF(MAXIFS('単価履歴'!$H:$H,'単価履歴'!$E:$E,AQ$1,'単価履歴'!$F:$F,$A14,'単価履歴'!$O:$O,
MAXIFS('単価履歴'!$O:$O,'単価履歴'!$E:$E,AQ$1,'単価履歴'!$F:$F,$A14))=0,"",
MAXIFS('単価履歴'!$H:$H,'単価履歴'!$E:$E,AQ$1,'単価履歴'!$F:$F,$A14,'単価履歴'!$O:$O,
MAXIFS('単価履歴'!$O:$O,'単価履歴'!$E:$E,AQ$1,'単価履歴'!$F:$F,$A14)))</f>
        <v/>
      </c>
      <c r="AR14" s="266">
        <f>IF(MAXIFS('単価履歴'!$H:$H,'単価履歴'!$E:$E,AR$1,'単価履歴'!$F:$F,$A14,'単価履歴'!$O:$O,
MAXIFS('単価履歴'!$O:$O,'単価履歴'!$E:$E,AR$1,'単価履歴'!$F:$F,$A14))=0,"",
MAXIFS('単価履歴'!$H:$H,'単価履歴'!$E:$E,AR$1,'単価履歴'!$F:$F,$A14,'単価履歴'!$O:$O,
MAXIFS('単価履歴'!$O:$O,'単価履歴'!$E:$E,AR$1,'単価履歴'!$F:$F,$A14)))</f>
        <v>51</v>
      </c>
      <c r="AS14" s="256" t="str">
        <f>IF(MAXIFS('単価履歴'!$H:$H,'単価履歴'!$E:$E,AS$1,'単価履歴'!$F:$F,$A14,'単価履歴'!$O:$O,
MAXIFS('単価履歴'!$O:$O,'単価履歴'!$E:$E,AS$1,'単価履歴'!$F:$F,$A14))=0,"",
MAXIFS('単価履歴'!$H:$H,'単価履歴'!$E:$E,AS$1,'単価履歴'!$F:$F,$A14,'単価履歴'!$O:$O,
MAXIFS('単価履歴'!$O:$O,'単価履歴'!$E:$E,AS$1,'単価履歴'!$F:$F,$A14)))</f>
        <v/>
      </c>
      <c r="AT14" s="256" t="str">
        <f>IF(MAXIFS('単価履歴'!$H:$H,'単価履歴'!$E:$E,AT$1,'単価履歴'!$F:$F,$A14,'単価履歴'!$O:$O,
MAXIFS('単価履歴'!$O:$O,'単価履歴'!$E:$E,AT$1,'単価履歴'!$F:$F,$A14))=0,"",
MAXIFS('単価履歴'!$H:$H,'単価履歴'!$E:$E,AT$1,'単価履歴'!$F:$F,$A14,'単価履歴'!$O:$O,
MAXIFS('単価履歴'!$O:$O,'単価履歴'!$E:$E,AT$1,'単価履歴'!$F:$F,$A14)))</f>
        <v/>
      </c>
      <c r="AU14" s="256" t="str">
        <f>IF(MAXIFS('単価履歴'!$H:$H,'単価履歴'!$E:$E,AU$1,'単価履歴'!$F:$F,$A14,'単価履歴'!$O:$O,
MAXIFS('単価履歴'!$O:$O,'単価履歴'!$E:$E,AU$1,'単価履歴'!$F:$F,$A14))=0,"",
MAXIFS('単価履歴'!$H:$H,'単価履歴'!$E:$E,AU$1,'単価履歴'!$F:$F,$A14,'単価履歴'!$O:$O,
MAXIFS('単価履歴'!$O:$O,'単価履歴'!$E:$E,AU$1,'単価履歴'!$F:$F,$A14)))</f>
        <v/>
      </c>
      <c r="AV14" s="256" t="str">
        <f>IF(MAXIFS('単価履歴'!$H:$H,'単価履歴'!$E:$E,AV$1,'単価履歴'!$F:$F,$A14,'単価履歴'!$O:$O,
MAXIFS('単価履歴'!$O:$O,'単価履歴'!$E:$E,AV$1,'単価履歴'!$F:$F,$A14))=0,"",
MAXIFS('単価履歴'!$H:$H,'単価履歴'!$E:$E,AV$1,'単価履歴'!$F:$F,$A14,'単価履歴'!$O:$O,
MAXIFS('単価履歴'!$O:$O,'単価履歴'!$E:$E,AV$1,'単価履歴'!$F:$F,$A14)))</f>
        <v/>
      </c>
      <c r="AW14" s="263" t="str">
        <f>IF(MAXIFS('単価履歴'!$H:$H,'単価履歴'!$E:$E,AW$1,'単価履歴'!$F:$F,$A14,'単価履歴'!$O:$O,
MAXIFS('単価履歴'!$O:$O,'単価履歴'!$E:$E,AW$1,'単価履歴'!$F:$F,$A14))=0,"",
MAXIFS('単価履歴'!$H:$H,'単価履歴'!$E:$E,AW$1,'単価履歴'!$F:$F,$A14,'単価履歴'!$O:$O,
MAXIFS('単価履歴'!$O:$O,'単価履歴'!$E:$E,AW$1,'単価履歴'!$F:$F,$A14)))</f>
        <v/>
      </c>
      <c r="AX14" s="264" t="str">
        <f>IF(MAXIFS('単価履歴'!$H:$H,'単価履歴'!$E:$E,AX$1,'単価履歴'!$F:$F,$A14,'単価履歴'!$O:$O,
MAXIFS('単価履歴'!$O:$O,'単価履歴'!$E:$E,AX$1,'単価履歴'!$F:$F,$A14))=0,"",
MAXIFS('単価履歴'!$H:$H,'単価履歴'!$E:$E,AX$1,'単価履歴'!$F:$F,$A14,'単価履歴'!$O:$O,
MAXIFS('単価履歴'!$O:$O,'単価履歴'!$E:$E,AX$1,'単価履歴'!$F:$F,$A14)))</f>
        <v/>
      </c>
      <c r="AY14" s="254" t="str">
        <f>IF(MAXIFS('単価履歴'!$H:$H,'単価履歴'!$E:$E,AY$1,'単価履歴'!$F:$F,$A14,'単価履歴'!$O:$O,
MAXIFS('単価履歴'!$O:$O,'単価履歴'!$E:$E,AY$1,'単価履歴'!$F:$F,$A14))=0,"",
MAXIFS('単価履歴'!$H:$H,'単価履歴'!$E:$E,AY$1,'単価履歴'!$F:$F,$A14,'単価履歴'!$O:$O,
MAXIFS('単価履歴'!$O:$O,'単価履歴'!$E:$E,AY$1,'単価履歴'!$F:$F,$A14)))</f>
        <v/>
      </c>
      <c r="AZ14" s="256" t="str">
        <f>IF(MAXIFS('単価履歴'!$H:$H,'単価履歴'!$E:$E,AZ$1,'単価履歴'!$F:$F,$A14,'単価履歴'!$O:$O,
MAXIFS('単価履歴'!$O:$O,'単価履歴'!$E:$E,AZ$1,'単価履歴'!$F:$F,$A14))=0,"",
MAXIFS('単価履歴'!$H:$H,'単価履歴'!$E:$E,AZ$1,'単価履歴'!$F:$F,$A14,'単価履歴'!$O:$O,
MAXIFS('単価履歴'!$O:$O,'単価履歴'!$E:$E,AZ$1,'単価履歴'!$F:$F,$A14)))</f>
        <v/>
      </c>
      <c r="BA14" s="263" t="str">
        <f>IF(MAXIFS('単価履歴'!$H:$H,'単価履歴'!$E:$E,BA$1,'単価履歴'!$F:$F,$A14,'単価履歴'!$O:$O,
MAXIFS('単価履歴'!$O:$O,'単価履歴'!$E:$E,BA$1,'単価履歴'!$F:$F,$A14))=0,"",
MAXIFS('単価履歴'!$H:$H,'単価履歴'!$E:$E,BA$1,'単価履歴'!$F:$F,$A14,'単価履歴'!$O:$O,
MAXIFS('単価履歴'!$O:$O,'単価履歴'!$E:$E,BA$1,'単価履歴'!$F:$F,$A14)))</f>
        <v/>
      </c>
      <c r="BB14" s="266">
        <f>IF(MAXIFS('単価履歴'!$H:$H,'単価履歴'!$E:$E,BB$1,'単価履歴'!$F:$F,$A14,'単価履歴'!$O:$O,
MAXIFS('単価履歴'!$O:$O,'単価履歴'!$E:$E,BB$1,'単価履歴'!$F:$F,$A14))=0,"",
MAXIFS('単価履歴'!$H:$H,'単価履歴'!$E:$E,BB$1,'単価履歴'!$F:$F,$A14,'単価履歴'!$O:$O,
MAXIFS('単価履歴'!$O:$O,'単価履歴'!$E:$E,BB$1,'単価履歴'!$F:$F,$A14)))</f>
        <v>54.7</v>
      </c>
      <c r="BC14" s="256" t="str">
        <f>IF(MAXIFS('単価履歴'!$H:$H,'単価履歴'!$E:$E,BC$1,'単価履歴'!$F:$F,$A14,'単価履歴'!$O:$O,
MAXIFS('単価履歴'!$O:$O,'単価履歴'!$E:$E,BC$1,'単価履歴'!$F:$F,$A14))=0,"",
MAXIFS('単価履歴'!$H:$H,'単価履歴'!$E:$E,BC$1,'単価履歴'!$F:$F,$A14,'単価履歴'!$O:$O,
MAXIFS('単価履歴'!$O:$O,'単価履歴'!$E:$E,BC$1,'単価履歴'!$F:$F,$A14)))</f>
        <v/>
      </c>
      <c r="BD14" s="263" t="str">
        <f>IF(MAXIFS('単価履歴'!$H:$H,'単価履歴'!$E:$E,BD$1,'単価履歴'!$F:$F,$A14,'単価履歴'!$O:$O,
MAXIFS('単価履歴'!$O:$O,'単価履歴'!$E:$E,BD$1,'単価履歴'!$F:$F,$A14))=0,"",
MAXIFS('単価履歴'!$H:$H,'単価履歴'!$E:$E,BD$1,'単価履歴'!$F:$F,$A14,'単価履歴'!$O:$O,
MAXIFS('単価履歴'!$O:$O,'単価履歴'!$E:$E,BD$1,'単価履歴'!$F:$F,$A14)))</f>
        <v/>
      </c>
      <c r="BE14" s="256" t="str">
        <f>IF(MAXIFS('単価履歴'!$H:$H,'単価履歴'!$E:$E,BE$1,'単価履歴'!$F:$F,$A14,'単価履歴'!$O:$O,
MAXIFS('単価履歴'!$O:$O,'単価履歴'!$E:$E,BE$1,'単価履歴'!$F:$F,$A14))=0,"",
MAXIFS('単価履歴'!$H:$H,'単価履歴'!$E:$E,BE$1,'単価履歴'!$F:$F,$A14,'単価履歴'!$O:$O,
MAXIFS('単価履歴'!$O:$O,'単価履歴'!$E:$E,BE$1,'単価履歴'!$F:$F,$A14)))</f>
        <v/>
      </c>
      <c r="BF14" s="263" t="str">
        <f>IF(MAXIFS('単価履歴'!$H:$H,'単価履歴'!$E:$E,BF$1,'単価履歴'!$F:$F,$A14,'単価履歴'!$O:$O,
MAXIFS('単価履歴'!$O:$O,'単価履歴'!$E:$E,BF$1,'単価履歴'!$F:$F,$A14))=0,"",
MAXIFS('単価履歴'!$H:$H,'単価履歴'!$E:$E,BF$1,'単価履歴'!$F:$F,$A14,'単価履歴'!$O:$O,
MAXIFS('単価履歴'!$O:$O,'単価履歴'!$E:$E,BF$1,'単価履歴'!$F:$F,$A14)))</f>
        <v/>
      </c>
      <c r="BG14" s="250">
        <f>IF(MAXIFS('単価履歴'!$H:$H,'単価履歴'!$E:$E,BG$1,'単価履歴'!$F:$F,$A14,'単価履歴'!$O:$O,
MAXIFS('単価履歴'!$O:$O,'単価履歴'!$E:$E,BG$1,'単価履歴'!$F:$F,$A14))=0,"",
MAXIFS('単価履歴'!$H:$H,'単価履歴'!$E:$E,BG$1,'単価履歴'!$F:$F,$A14,'単価履歴'!$O:$O,
MAXIFS('単価履歴'!$O:$O,'単価履歴'!$E:$E,BG$1,'単価履歴'!$F:$F,$A14)))</f>
        <v>51</v>
      </c>
      <c r="BH14" s="256" t="str">
        <f>IF(MAXIFS('単価履歴'!$H:$H,'単価履歴'!$E:$E,BH$1,'単価履歴'!$F:$F,$A14,'単価履歴'!$O:$O,
MAXIFS('単価履歴'!$O:$O,'単価履歴'!$E:$E,BH$1,'単価履歴'!$F:$F,$A14))=0,"",
MAXIFS('単価履歴'!$H:$H,'単価履歴'!$E:$E,BH$1,'単価履歴'!$F:$F,$A14,'単価履歴'!$O:$O,
MAXIFS('単価履歴'!$O:$O,'単価履歴'!$E:$E,BH$1,'単価履歴'!$F:$F,$A14)))</f>
        <v/>
      </c>
      <c r="BI14" s="264" t="str">
        <f>IF(MAXIFS('単価履歴'!$H:$H,'単価履歴'!$E:$E,BI$1,'単価履歴'!$F:$F,$A14,'単価履歴'!$O:$O,
MAXIFS('単価履歴'!$O:$O,'単価履歴'!$E:$E,BI$1,'単価履歴'!$F:$F,$A14))=0,"",
MAXIFS('単価履歴'!$H:$H,'単価履歴'!$E:$E,BI$1,'単価履歴'!$F:$F,$A14,'単価履歴'!$O:$O,
MAXIFS('単価履歴'!$O:$O,'単価履歴'!$E:$E,BI$1,'単価履歴'!$F:$F,$A14)))</f>
        <v/>
      </c>
      <c r="BJ14" s="272">
        <f>IF(MAXIFS('単価履歴'!$H:$H,'単価履歴'!$E:$E,BJ$1,'単価履歴'!$F:$F,$A14,'単価履歴'!$O:$O,
MAXIFS('単価履歴'!$O:$O,'単価履歴'!$E:$E,BJ$1,'単価履歴'!$F:$F,$A14))=0,"",
MAXIFS('単価履歴'!$H:$H,'単価履歴'!$E:$E,BJ$1,'単価履歴'!$F:$F,$A14,'単価履歴'!$O:$O,
MAXIFS('単価履歴'!$O:$O,'単価履歴'!$E:$E,BJ$1,'単価履歴'!$F:$F,$A14)))</f>
        <v>26.8</v>
      </c>
      <c r="BK14" s="264" t="str">
        <f>IF(MAXIFS('単価履歴'!$H:$H,'単価履歴'!$E:$E,BK$1,'単価履歴'!$F:$F,$A14,'単価履歴'!$O:$O,
MAXIFS('単価履歴'!$O:$O,'単価履歴'!$E:$E,BK$1,'単価履歴'!$F:$F,$A14))=0,"",
MAXIFS('単価履歴'!$H:$H,'単価履歴'!$E:$E,BK$1,'単価履歴'!$F:$F,$A14,'単価履歴'!$O:$O,
MAXIFS('単価履歴'!$O:$O,'単価履歴'!$E:$E,BK$1,'単価履歴'!$F:$F,$A14)))</f>
        <v/>
      </c>
      <c r="BL14" s="264" t="str">
        <f>IF(MAXIFS('単価履歴'!$H:$H,'単価履歴'!$E:$E,BL$1,'単価履歴'!$F:$F,$A14,'単価履歴'!$O:$O,
MAXIFS('単価履歴'!$O:$O,'単価履歴'!$E:$E,BL$1,'単価履歴'!$F:$F,$A14))=0,"",
MAXIFS('単価履歴'!$H:$H,'単価履歴'!$E:$E,BL$1,'単価履歴'!$F:$F,$A14,'単価履歴'!$O:$O,
MAXIFS('単価履歴'!$O:$O,'単価履歴'!$E:$E,BL$1,'単価履歴'!$F:$F,$A14)))</f>
        <v/>
      </c>
      <c r="BM14" s="264" t="str">
        <f>IF(MAXIFS('単価履歴'!$H:$H,'単価履歴'!$E:$E,BM$1,'単価履歴'!$F:$F,$A14,'単価履歴'!$O:$O,
MAXIFS('単価履歴'!$O:$O,'単価履歴'!$E:$E,BM$1,'単価履歴'!$F:$F,$A14))=0,"",
MAXIFS('単価履歴'!$H:$H,'単価履歴'!$E:$E,BM$1,'単価履歴'!$F:$F,$A14,'単価履歴'!$O:$O,
MAXIFS('単価履歴'!$O:$O,'単価履歴'!$E:$E,BM$1,'単価履歴'!$F:$F,$A14)))</f>
        <v/>
      </c>
      <c r="BN14" s="263" t="str">
        <f>IF(MAXIFS('単価履歴'!$H:$H,'単価履歴'!$E:$E,BN$1,'単価履歴'!$F:$F,$A14,'単価履歴'!$O:$O,
MAXIFS('単価履歴'!$O:$O,'単価履歴'!$E:$E,BN$1,'単価履歴'!$F:$F,$A14))=0,"",
MAXIFS('単価履歴'!$H:$H,'単価履歴'!$E:$E,BN$1,'単価履歴'!$F:$F,$A14,'単価履歴'!$O:$O,
MAXIFS('単価履歴'!$O:$O,'単価履歴'!$E:$E,BN$1,'単価履歴'!$F:$F,$A14)))</f>
        <v/>
      </c>
      <c r="BO14" s="256" t="str">
        <f>IF(MAXIFS('単価履歴'!$H:$H,'単価履歴'!$E:$E,BO$1,'単価履歴'!$F:$F,$A14,'単価履歴'!$O:$O,
MAXIFS('単価履歴'!$O:$O,'単価履歴'!$E:$E,BO$1,'単価履歴'!$F:$F,$A14))=0,"",
MAXIFS('単価履歴'!$H:$H,'単価履歴'!$E:$E,BO$1,'単価履歴'!$F:$F,$A14,'単価履歴'!$O:$O,
MAXIFS('単価履歴'!$O:$O,'単価履歴'!$E:$E,BO$1,'単価履歴'!$F:$F,$A14)))</f>
        <v/>
      </c>
      <c r="BP14" s="264" t="str">
        <f>IF(MAXIFS('単価履歴'!$H:$H,'単価履歴'!$E:$E,BP$1,'単価履歴'!$F:$F,$A14,'単価履歴'!$O:$O,
MAXIFS('単価履歴'!$O:$O,'単価履歴'!$E:$E,BP$1,'単価履歴'!$F:$F,$A14))=0,"",
MAXIFS('単価履歴'!$H:$H,'単価履歴'!$E:$E,BP$1,'単価履歴'!$F:$F,$A14,'単価履歴'!$O:$O,
MAXIFS('単価履歴'!$O:$O,'単価履歴'!$E:$E,BP$1,'単価履歴'!$F:$F,$A14)))</f>
        <v/>
      </c>
      <c r="BQ14" s="256"/>
      <c r="BR14" s="256"/>
      <c r="BS14" s="256"/>
      <c r="BT14" s="256"/>
      <c r="BU14" s="256"/>
      <c r="BV14" s="256"/>
      <c r="BW14" s="256"/>
      <c r="BX14" s="256"/>
    </row>
    <row r="15">
      <c r="A15" s="245" t="s">
        <v>1146</v>
      </c>
      <c r="B15" s="246" t="str">
        <f>IF(MAXIFS('単価履歴'!$H:$H,'単価履歴'!$E:$E,B$1,'単価履歴'!$F:$F,$A15,'単価履歴'!$O:$O,
MAXIFS('単価履歴'!$O:$O,'単価履歴'!$E:$E,B$1,'単価履歴'!$F:$F,$A15))=0,"",
MAXIFS('単価履歴'!$H:$H,'単価履歴'!$E:$E,B$1,'単価履歴'!$F:$F,$A15,'単価履歴'!$O:$O,
MAXIFS('単価履歴'!$O:$O,'単価履歴'!$E:$E,B$1,'単価履歴'!$F:$F,$A15)))</f>
        <v/>
      </c>
      <c r="C15" s="251" t="str">
        <f>IF(MAXIFS('単価履歴'!$H:$H,'単価履歴'!$E:$E,C$1,'単価履歴'!$F:$F,$A15,'単価履歴'!$O:$O,
MAXIFS('単価履歴'!$O:$O,'単価履歴'!$E:$E,C$1,'単価履歴'!$F:$F,$A15))=0,"",
MAXIFS('単価履歴'!$H:$H,'単価履歴'!$E:$E,C$1,'単価履歴'!$F:$F,$A15,'単価履歴'!$O:$O,
MAXIFS('単価履歴'!$O:$O,'単価履歴'!$E:$E,C$1,'単価履歴'!$F:$F,$A15)))</f>
        <v/>
      </c>
      <c r="D15" s="249" t="str">
        <f>IF(MAXIFS('単価履歴'!$H:$H,'単価履歴'!$E:$E,D$1,'単価履歴'!$F:$F,$A15,'単価履歴'!$O:$O,
MAXIFS('単価履歴'!$O:$O,'単価履歴'!$E:$E,D$1,'単価履歴'!$F:$F,$A15))=0,"",
MAXIFS('単価履歴'!$H:$H,'単価履歴'!$E:$E,D$1,'単価履歴'!$F:$F,$A15,'単価履歴'!$O:$O,
MAXIFS('単価履歴'!$O:$O,'単価履歴'!$E:$E,D$1,'単価履歴'!$F:$F,$A15)))</f>
        <v/>
      </c>
      <c r="E15" s="249"/>
      <c r="F15" s="249"/>
      <c r="G15" s="257">
        <f>IF(MAXIFS('単価履歴'!$H:$H,'単価履歴'!$E:$E,G$1,'単価履歴'!$F:$F,$A15,'単価履歴'!$O:$O,
MAXIFS('単価履歴'!$O:$O,'単価履歴'!$E:$E,G$1,'単価履歴'!$F:$F,$A15))=0,"",
MAXIFS('単価履歴'!$H:$H,'単価履歴'!$E:$E,G$1,'単価履歴'!$F:$F,$A15,'単価履歴'!$O:$O,
MAXIFS('単価履歴'!$O:$O,'単価履歴'!$E:$E,G$1,'単価履歴'!$F:$F,$A15)))</f>
        <v>52.7</v>
      </c>
      <c r="H15" s="249" t="str">
        <f>IF(MAXIFS('単価履歴'!$H:$H,'単価履歴'!$E:$E,H$1,'単価履歴'!$F:$F,$A15,'単価履歴'!$O:$O,
MAXIFS('単価履歴'!$O:$O,'単価履歴'!$E:$E,H$1,'単価履歴'!$F:$F,$A15))=0,"",
MAXIFS('単価履歴'!$H:$H,'単価履歴'!$E:$E,H$1,'単価履歴'!$F:$F,$A15,'単価履歴'!$O:$O,
MAXIFS('単価履歴'!$O:$O,'単価履歴'!$E:$E,H$1,'単価履歴'!$F:$F,$A15)))</f>
        <v/>
      </c>
      <c r="I15" s="249" t="str">
        <f>IF(MAXIFS('単価履歴'!$H:$H,'単価履歴'!$E:$E,I$1,'単価履歴'!$F:$F,$A15,'単価履歴'!$O:$O,
MAXIFS('単価履歴'!$O:$O,'単価履歴'!$E:$E,I$1,'単価履歴'!$F:$F,$A15))=0,"",
MAXIFS('単価履歴'!$H:$H,'単価履歴'!$E:$E,I$1,'単価履歴'!$F:$F,$A15,'単価履歴'!$O:$O,
MAXIFS('単価履歴'!$O:$O,'単価履歴'!$E:$E,I$1,'単価履歴'!$F:$F,$A15)))</f>
        <v/>
      </c>
      <c r="J15" s="248" t="str">
        <f>IF(MAXIFS('単価履歴'!$H:$H,'単価履歴'!$E:$E,J$1,'単価履歴'!$F:$F,$A15,'単価履歴'!$O:$O,
MAXIFS('単価履歴'!$O:$O,'単価履歴'!$E:$E,J$1,'単価履歴'!$F:$F,$A15))=0,"",
MAXIFS('単価履歴'!$H:$H,'単価履歴'!$E:$E,J$1,'単価履歴'!$F:$F,$A15,'単価履歴'!$O:$O,
MAXIFS('単価履歴'!$O:$O,'単価履歴'!$E:$E,J$1,'単価履歴'!$F:$F,$A15)))</f>
        <v/>
      </c>
      <c r="K15" s="285">
        <v>44.0</v>
      </c>
      <c r="L15" s="285">
        <v>28.9</v>
      </c>
      <c r="M15" s="249"/>
      <c r="N15" s="285">
        <v>36.2</v>
      </c>
      <c r="O15" s="251" t="str">
        <f>IF(MAXIFS('単価履歴'!$H:$H,'単価履歴'!$E:$E,O$1,'単価履歴'!$F:$F,$A15,'単価履歴'!$O:$O,
MAXIFS('単価履歴'!$O:$O,'単価履歴'!$E:$E,O$1,'単価履歴'!$F:$F,$A15))=0,"",
MAXIFS('単価履歴'!$H:$H,'単価履歴'!$E:$E,O$1,'単価履歴'!$F:$F,$A15,'単価履歴'!$O:$O,
MAXIFS('単価履歴'!$O:$O,'単価履歴'!$E:$E,O$1,'単価履歴'!$F:$F,$A15)))</f>
        <v/>
      </c>
      <c r="P15" s="252" t="str">
        <f>IF(MAXIFS('単価履歴'!$H:$H,'単価履歴'!$E:$E,P$1,'単価履歴'!$F:$F,$A15,'単価履歴'!$O:$O,
MAXIFS('単価履歴'!$O:$O,'単価履歴'!$E:$E,P$1,'単価履歴'!$F:$F,$A15))=0,"",
MAXIFS('単価履歴'!$H:$H,'単価履歴'!$E:$E,P$1,'単価履歴'!$F:$F,$A15,'単価履歴'!$O:$O,
MAXIFS('単価履歴'!$O:$O,'単価履歴'!$E:$E,P$1,'単価履歴'!$F:$F,$A15)))</f>
        <v/>
      </c>
      <c r="Q15" s="248" t="str">
        <f>IF(MAXIFS('単価履歴'!$H:$H,'単価履歴'!$E:$E,Q$1,'単価履歴'!$F:$F,$A15,'単価履歴'!$O:$O,
MAXIFS('単価履歴'!$O:$O,'単価履歴'!$E:$E,Q$1,'単価履歴'!$F:$F,$A15))=0,"",
MAXIFS('単価履歴'!$H:$H,'単価履歴'!$E:$E,Q$1,'単価履歴'!$F:$F,$A15,'単価履歴'!$O:$O,
MAXIFS('単価履歴'!$O:$O,'単価履歴'!$E:$E,Q$1,'単価履歴'!$F:$F,$A15)))</f>
        <v/>
      </c>
      <c r="R15" s="252" t="str">
        <f>IF(MAXIFS('単価履歴'!$H:$H,'単価履歴'!$E:$E,R$1,'単価履歴'!$F:$F,$A15,'単価履歴'!$O:$O,
MAXIFS('単価履歴'!$O:$O,'単価履歴'!$E:$E,R$1,'単価履歴'!$F:$F,$A15))=0,"",
MAXIFS('単価履歴'!$H:$H,'単価履歴'!$E:$E,R$1,'単価履歴'!$F:$F,$A15,'単価履歴'!$O:$O,
MAXIFS('単価履歴'!$O:$O,'単価履歴'!$E:$E,R$1,'単価履歴'!$F:$F,$A15)))</f>
        <v/>
      </c>
      <c r="S15" s="251" t="str">
        <f>IF(MAXIFS('単価履歴'!$H:$H,'単価履歴'!$E:$E,S$1,'単価履歴'!$F:$F,$A15,'単価履歴'!$O:$O,
MAXIFS('単価履歴'!$O:$O,'単価履歴'!$E:$E,S$1,'単価履歴'!$F:$F,$A15))=0,"",
MAXIFS('単価履歴'!$H:$H,'単価履歴'!$E:$E,S$1,'単価履歴'!$F:$F,$A15,'単価履歴'!$O:$O,
MAXIFS('単価履歴'!$O:$O,'単価履歴'!$E:$E,S$1,'単価履歴'!$F:$F,$A15)))</f>
        <v/>
      </c>
      <c r="T15" s="249" t="str">
        <f>IF(MAXIFS('単価履歴'!$H:$H,'単価履歴'!$E:$E,T$1,'単価履歴'!$F:$F,$A15,'単価履歴'!$O:$O,
MAXIFS('単価履歴'!$O:$O,'単価履歴'!$E:$E,T$1,'単価履歴'!$F:$F,$A15))=0,"",
MAXIFS('単価履歴'!$H:$H,'単価履歴'!$E:$E,T$1,'単価履歴'!$F:$F,$A15,'単価履歴'!$O:$O,
MAXIFS('単価履歴'!$O:$O,'単価履歴'!$E:$E,T$1,'単価履歴'!$F:$F,$A15)))</f>
        <v/>
      </c>
      <c r="U15" s="249" t="str">
        <f>IF(MAXIFS('単価履歴'!$H:$H,'単価履歴'!$E:$E,U$1,'単価履歴'!$F:$F,$A15,'単価履歴'!$O:$O,
MAXIFS('単価履歴'!$O:$O,'単価履歴'!$E:$E,U$1,'単価履歴'!$F:$F,$A15))=0,"",
MAXIFS('単価履歴'!$H:$H,'単価履歴'!$E:$E,U$1,'単価履歴'!$F:$F,$A15,'単価履歴'!$O:$O,
MAXIFS('単価履歴'!$O:$O,'単価履歴'!$E:$E,U$1,'単価履歴'!$F:$F,$A15)))</f>
        <v/>
      </c>
      <c r="V15" s="251" t="str">
        <f>IF(MAXIFS('単価履歴'!$H:$H,'単価履歴'!$E:$E,V$1,'単価履歴'!$F:$F,$A15,'単価履歴'!$O:$O,
MAXIFS('単価履歴'!$O:$O,'単価履歴'!$E:$E,V$1,'単価履歴'!$F:$F,$A15))=0,"",
MAXIFS('単価履歴'!$H:$H,'単価履歴'!$E:$E,V$1,'単価履歴'!$F:$F,$A15,'単価履歴'!$O:$O,
MAXIFS('単価履歴'!$O:$O,'単価履歴'!$E:$E,V$1,'単価履歴'!$F:$F,$A15)))</f>
        <v/>
      </c>
      <c r="W15" s="252" t="str">
        <f>IF(MAXIFS('単価履歴'!$H:$H,'単価履歴'!$E:$E,W$1,'単価履歴'!$F:$F,$A15,'単価履歴'!$O:$O,
MAXIFS('単価履歴'!$O:$O,'単価履歴'!$E:$E,W$1,'単価履歴'!$F:$F,$A15))=0,"",
MAXIFS('単価履歴'!$H:$H,'単価履歴'!$E:$E,W$1,'単価履歴'!$F:$F,$A15,'単価履歴'!$O:$O,
MAXIFS('単価履歴'!$O:$O,'単価履歴'!$E:$E,W$1,'単価履歴'!$F:$F,$A15)))</f>
        <v/>
      </c>
      <c r="X15" s="249" t="str">
        <f>IF(MAXIFS('単価履歴'!$H:$H,'単価履歴'!$E:$E,X$1,'単価履歴'!$F:$F,$A15,'単価履歴'!$O:$O,
MAXIFS('単価履歴'!$O:$O,'単価履歴'!$E:$E,X$1,'単価履歴'!$F:$F,$A15))=0,"",
MAXIFS('単価履歴'!$H:$H,'単価履歴'!$E:$E,X$1,'単価履歴'!$F:$F,$A15,'単価履歴'!$O:$O,
MAXIFS('単価履歴'!$O:$O,'単価履歴'!$E:$E,X$1,'単価履歴'!$F:$F,$A15)))</f>
        <v/>
      </c>
      <c r="Y15" s="251" t="str">
        <f>IF(MAXIFS('単価履歴'!$H:$H,'単価履歴'!$E:$E,Y$1,'単価履歴'!$F:$F,$A15,'単価履歴'!$O:$O,
MAXIFS('単価履歴'!$O:$O,'単価履歴'!$E:$E,Y$1,'単価履歴'!$F:$F,$A15))=0,"",
MAXIFS('単価履歴'!$H:$H,'単価履歴'!$E:$E,Y$1,'単価履歴'!$F:$F,$A15,'単価履歴'!$O:$O,
MAXIFS('単価履歴'!$O:$O,'単価履歴'!$E:$E,Y$1,'単価履歴'!$F:$F,$A15)))</f>
        <v/>
      </c>
      <c r="Z15" s="249" t="str">
        <f>IF(MAXIFS('単価履歴'!$H:$H,'単価履歴'!$E:$E,Z$1,'単価履歴'!$F:$F,$A15,'単価履歴'!$O:$O,
MAXIFS('単価履歴'!$O:$O,'単価履歴'!$E:$E,Z$1,'単価履歴'!$F:$F,$A15))=0,"",
MAXIFS('単価履歴'!$H:$H,'単価履歴'!$E:$E,Z$1,'単価履歴'!$F:$F,$A15,'単価履歴'!$O:$O,
MAXIFS('単価履歴'!$O:$O,'単価履歴'!$E:$E,Z$1,'単価履歴'!$F:$F,$A15)))</f>
        <v/>
      </c>
      <c r="AA15" s="251" t="str">
        <f>IF(MAXIFS('単価履歴'!$H:$H,'単価履歴'!$E:$E,AA$1,'単価履歴'!$F:$F,$A15,'単価履歴'!$O:$O,
MAXIFS('単価履歴'!$O:$O,'単価履歴'!$E:$E,AA$1,'単価履歴'!$F:$F,$A15))=0,"",
MAXIFS('単価履歴'!$H:$H,'単価履歴'!$E:$E,AA$1,'単価履歴'!$F:$F,$A15,'単価履歴'!$O:$O,
MAXIFS('単価履歴'!$O:$O,'単価履歴'!$E:$E,AA$1,'単価履歴'!$F:$F,$A15)))</f>
        <v/>
      </c>
      <c r="AB15" s="252" t="str">
        <f>IF(MAXIFS('単価履歴'!$H:$H,'単価履歴'!$E:$E,AB$1,'単価履歴'!$F:$F,$A15,'単価履歴'!$O:$O,
MAXIFS('単価履歴'!$O:$O,'単価履歴'!$E:$E,AB$1,'単価履歴'!$F:$F,$A15))=0,"",
MAXIFS('単価履歴'!$H:$H,'単価履歴'!$E:$E,AB$1,'単価履歴'!$F:$F,$A15,'単価履歴'!$O:$O,
MAXIFS('単価履歴'!$O:$O,'単価履歴'!$E:$E,AB$1,'単価履歴'!$F:$F,$A15)))</f>
        <v/>
      </c>
      <c r="AC15" s="249" t="str">
        <f>IF(MAXIFS('単価履歴'!$H:$H,'単価履歴'!$E:$E,AC$1,'単価履歴'!$F:$F,$A15,'単価履歴'!$O:$O,
MAXIFS('単価履歴'!$O:$O,'単価履歴'!$E:$E,AC$1,'単価履歴'!$F:$F,$A15))=0,"",
MAXIFS('単価履歴'!$H:$H,'単価履歴'!$E:$E,AC$1,'単価履歴'!$F:$F,$A15,'単価履歴'!$O:$O,
MAXIFS('単価履歴'!$O:$O,'単価履歴'!$E:$E,AC$1,'単価履歴'!$F:$F,$A15)))</f>
        <v/>
      </c>
      <c r="AD15" s="251" t="str">
        <f>IF(MAXIFS('単価履歴'!$H:$H,'単価履歴'!$E:$E,AD$1,'単価履歴'!$F:$F,$A15,'単価履歴'!$O:$O,
MAXIFS('単価履歴'!$O:$O,'単価履歴'!$E:$E,AD$1,'単価履歴'!$F:$F,$A15))=0,"",
MAXIFS('単価履歴'!$H:$H,'単価履歴'!$E:$E,AD$1,'単価履歴'!$F:$F,$A15,'単価履歴'!$O:$O,
MAXIFS('単価履歴'!$O:$O,'単価履歴'!$E:$E,AD$1,'単価履歴'!$F:$F,$A15)))</f>
        <v/>
      </c>
      <c r="AE15" s="252" t="str">
        <f>IF(MAXIFS('単価履歴'!$H:$H,'単価履歴'!$E:$E,AE$1,'単価履歴'!$F:$F,$A15,'単価履歴'!$O:$O,
MAXIFS('単価履歴'!$O:$O,'単価履歴'!$E:$E,AE$1,'単価履歴'!$F:$F,$A15))=0,"",
MAXIFS('単価履歴'!$H:$H,'単価履歴'!$E:$E,AE$1,'単価履歴'!$F:$F,$A15,'単価履歴'!$O:$O,
MAXIFS('単価履歴'!$O:$O,'単価履歴'!$E:$E,AE$1,'単価履歴'!$F:$F,$A15)))</f>
        <v/>
      </c>
      <c r="AF15" s="249" t="str">
        <f>IF(MAXIFS('単価履歴'!$H:$H,'単価履歴'!$E:$E,AF$1,'単価履歴'!$F:$F,$A15,'単価履歴'!$O:$O,
MAXIFS('単価履歴'!$O:$O,'単価履歴'!$E:$E,AF$1,'単価履歴'!$F:$F,$A15))=0,"",
MAXIFS('単価履歴'!$H:$H,'単価履歴'!$E:$E,AF$1,'単価履歴'!$F:$F,$A15,'単価履歴'!$O:$O,
MAXIFS('単価履歴'!$O:$O,'単価履歴'!$E:$E,AF$1,'単価履歴'!$F:$F,$A15)))</f>
        <v/>
      </c>
      <c r="AG15" s="248" t="str">
        <f>IF(MAXIFS('単価履歴'!$H:$H,'単価履歴'!$E:$E,AG$1,'単価履歴'!$F:$F,$A15,'単価履歴'!$O:$O,
MAXIFS('単価履歴'!$O:$O,'単価履歴'!$E:$E,AG$1,'単価履歴'!$F:$F,$A15))=0,"",
MAXIFS('単価履歴'!$H:$H,'単価履歴'!$E:$E,AG$1,'単価履歴'!$F:$F,$A15,'単価履歴'!$O:$O,
MAXIFS('単価履歴'!$O:$O,'単価履歴'!$E:$E,AG$1,'単価履歴'!$F:$F,$A15)))</f>
        <v/>
      </c>
      <c r="AH15" s="249" t="str">
        <f>IF(MAXIFS('単価履歴'!$H:$H,'単価履歴'!$E:$E,AH$1,'単価履歴'!$F:$F,$A15,'単価履歴'!$O:$O,
MAXIFS('単価履歴'!$O:$O,'単価履歴'!$E:$E,AH$1,'単価履歴'!$F:$F,$A15))=0,"",
MAXIFS('単価履歴'!$H:$H,'単価履歴'!$E:$E,AH$1,'単価履歴'!$F:$F,$A15,'単価履歴'!$O:$O,
MAXIFS('単価履歴'!$O:$O,'単価履歴'!$E:$E,AH$1,'単価履歴'!$F:$F,$A15)))</f>
        <v/>
      </c>
      <c r="AI15" s="251" t="str">
        <f>IF(MAXIFS('単価履歴'!$H:$H,'単価履歴'!$E:$E,AI$1,'単価履歴'!$F:$F,$A15,'単価履歴'!$O:$O,
MAXIFS('単価履歴'!$O:$O,'単価履歴'!$E:$E,AI$1,'単価履歴'!$F:$F,$A15))=0,"",
MAXIFS('単価履歴'!$H:$H,'単価履歴'!$E:$E,AI$1,'単価履歴'!$F:$F,$A15,'単価履歴'!$O:$O,
MAXIFS('単価履歴'!$O:$O,'単価履歴'!$E:$E,AI$1,'単価履歴'!$F:$F,$A15)))</f>
        <v/>
      </c>
      <c r="AJ15" s="249" t="str">
        <f>IF(MAXIFS('単価履歴'!$H:$H,'単価履歴'!$E:$E,AJ$1,'単価履歴'!$F:$F,$A15,'単価履歴'!$O:$O,
MAXIFS('単価履歴'!$O:$O,'単価履歴'!$E:$E,AJ$1,'単価履歴'!$F:$F,$A15))=0,"",
MAXIFS('単価履歴'!$H:$H,'単価履歴'!$E:$E,AJ$1,'単価履歴'!$F:$F,$A15,'単価履歴'!$O:$O,
MAXIFS('単価履歴'!$O:$O,'単価履歴'!$E:$E,AJ$1,'単価履歴'!$F:$F,$A15)))</f>
        <v/>
      </c>
      <c r="AK15" s="251" t="str">
        <f>IF(MAXIFS('単価履歴'!$H:$H,'単価履歴'!$E:$E,AK$1,'単価履歴'!$F:$F,$A15,'単価履歴'!$O:$O,
MAXIFS('単価履歴'!$O:$O,'単価履歴'!$E:$E,AK$1,'単価履歴'!$F:$F,$A15))=0,"",
MAXIFS('単価履歴'!$H:$H,'単価履歴'!$E:$E,AK$1,'単価履歴'!$F:$F,$A15,'単価履歴'!$O:$O,
MAXIFS('単価履歴'!$O:$O,'単価履歴'!$E:$E,AK$1,'単価履歴'!$F:$F,$A15)))</f>
        <v/>
      </c>
      <c r="AL15" s="249" t="str">
        <f>IF(MAXIFS('単価履歴'!$H:$H,'単価履歴'!$E:$E,AL$1,'単価履歴'!$F:$F,$A15,'単価履歴'!$O:$O,
MAXIFS('単価履歴'!$O:$O,'単価履歴'!$E:$E,AL$1,'単価履歴'!$F:$F,$A15))=0,"",
MAXIFS('単価履歴'!$H:$H,'単価履歴'!$E:$E,AL$1,'単価履歴'!$F:$F,$A15,'単価履歴'!$O:$O,
MAXIFS('単価履歴'!$O:$O,'単価履歴'!$E:$E,AL$1,'単価履歴'!$F:$F,$A15)))</f>
        <v/>
      </c>
      <c r="AM15" s="251" t="str">
        <f>IF(MAXIFS('単価履歴'!$H:$H,'単価履歴'!$E:$E,AM$1,'単価履歴'!$F:$F,$A15,'単価履歴'!$O:$O,
MAXIFS('単価履歴'!$O:$O,'単価履歴'!$E:$E,AM$1,'単価履歴'!$F:$F,$A15))=0,"",
MAXIFS('単価履歴'!$H:$H,'単価履歴'!$E:$E,AM$1,'単価履歴'!$F:$F,$A15,'単価履歴'!$O:$O,
MAXIFS('単価履歴'!$O:$O,'単価履歴'!$E:$E,AM$1,'単価履歴'!$F:$F,$A15)))</f>
        <v/>
      </c>
      <c r="AN15" s="252" t="str">
        <f>IF(MAXIFS('単価履歴'!$H:$H,'単価履歴'!$E:$E,AN$1,'単価履歴'!$F:$F,$A15,'単価履歴'!$O:$O,
MAXIFS('単価履歴'!$O:$O,'単価履歴'!$E:$E,AN$1,'単価履歴'!$F:$F,$A15))=0,"",
MAXIFS('単価履歴'!$H:$H,'単価履歴'!$E:$E,AN$1,'単価履歴'!$F:$F,$A15,'単価履歴'!$O:$O,
MAXIFS('単価履歴'!$O:$O,'単価履歴'!$E:$E,AN$1,'単価履歴'!$F:$F,$A15)))</f>
        <v/>
      </c>
      <c r="AO15" s="251" t="str">
        <f>IF(MAXIFS('単価履歴'!$H:$H,'単価履歴'!$E:$E,AO$1,'単価履歴'!$F:$F,$A15,'単価履歴'!$O:$O,
MAXIFS('単価履歴'!$O:$O,'単価履歴'!$E:$E,AO$1,'単価履歴'!$F:$F,$A15))=0,"",
MAXIFS('単価履歴'!$H:$H,'単価履歴'!$E:$E,AO$1,'単価履歴'!$F:$F,$A15,'単価履歴'!$O:$O,
MAXIFS('単価履歴'!$O:$O,'単価履歴'!$E:$E,AO$1,'単価履歴'!$F:$F,$A15)))</f>
        <v/>
      </c>
      <c r="AP15" s="252" t="str">
        <f>IF(MAXIFS('単価履歴'!$H:$H,'単価履歴'!$E:$E,AP$1,'単価履歴'!$F:$F,$A15,'単価履歴'!$O:$O,
MAXIFS('単価履歴'!$O:$O,'単価履歴'!$E:$E,AP$1,'単価履歴'!$F:$F,$A15))=0,"",
MAXIFS('単価履歴'!$H:$H,'単価履歴'!$E:$E,AP$1,'単価履歴'!$F:$F,$A15,'単価履歴'!$O:$O,
MAXIFS('単価履歴'!$O:$O,'単価履歴'!$E:$E,AP$1,'単価履歴'!$F:$F,$A15)))</f>
        <v/>
      </c>
      <c r="AQ15" s="247">
        <f>IF(MAXIFS('単価履歴'!$H:$H,'単価履歴'!$E:$E,AQ$1,'単価履歴'!$F:$F,$A15,'単価履歴'!$O:$O,
MAXIFS('単価履歴'!$O:$O,'単価履歴'!$E:$E,AQ$1,'単価履歴'!$F:$F,$A15))=0,"",
MAXIFS('単価履歴'!$H:$H,'単価履歴'!$E:$E,AQ$1,'単価履歴'!$F:$F,$A15,'単価履歴'!$O:$O,
MAXIFS('単価履歴'!$O:$O,'単価履歴'!$E:$E,AQ$1,'単価履歴'!$F:$F,$A15)))</f>
        <v>52</v>
      </c>
      <c r="AR15" s="252">
        <f>IF(MAXIFS('単価履歴'!$H:$H,'単価履歴'!$E:$E,AR$1,'単価履歴'!$F:$F,$A15,'単価履歴'!$O:$O,
MAXIFS('単価履歴'!$O:$O,'単価履歴'!$E:$E,AR$1,'単価履歴'!$F:$F,$A15))=0,"",
MAXIFS('単価履歴'!$H:$H,'単価履歴'!$E:$E,AR$1,'単価履歴'!$F:$F,$A15,'単価履歴'!$O:$O,
MAXIFS('単価履歴'!$O:$O,'単価履歴'!$E:$E,AR$1,'単価履歴'!$F:$F,$A15)))</f>
        <v>2.5</v>
      </c>
      <c r="AS15" s="249" t="str">
        <f>IF(MAXIFS('単価履歴'!$H:$H,'単価履歴'!$E:$E,AS$1,'単価履歴'!$F:$F,$A15,'単価履歴'!$O:$O,
MAXIFS('単価履歴'!$O:$O,'単価履歴'!$E:$E,AS$1,'単価履歴'!$F:$F,$A15))=0,"",
MAXIFS('単価履歴'!$H:$H,'単価履歴'!$E:$E,AS$1,'単価履歴'!$F:$F,$A15,'単価履歴'!$O:$O,
MAXIFS('単価履歴'!$O:$O,'単価履歴'!$E:$E,AS$1,'単価履歴'!$F:$F,$A15)))</f>
        <v/>
      </c>
      <c r="AT15" s="249" t="str">
        <f>IF(MAXIFS('単価履歴'!$H:$H,'単価履歴'!$E:$E,AT$1,'単価履歴'!$F:$F,$A15,'単価履歴'!$O:$O,
MAXIFS('単価履歴'!$O:$O,'単価履歴'!$E:$E,AT$1,'単価履歴'!$F:$F,$A15))=0,"",
MAXIFS('単価履歴'!$H:$H,'単価履歴'!$E:$E,AT$1,'単価履歴'!$F:$F,$A15,'単価履歴'!$O:$O,
MAXIFS('単価履歴'!$O:$O,'単価履歴'!$E:$E,AT$1,'単価履歴'!$F:$F,$A15)))</f>
        <v/>
      </c>
      <c r="AU15" s="249" t="str">
        <f>IF(MAXIFS('単価履歴'!$H:$H,'単価履歴'!$E:$E,AU$1,'単価履歴'!$F:$F,$A15,'単価履歴'!$O:$O,
MAXIFS('単価履歴'!$O:$O,'単価履歴'!$E:$E,AU$1,'単価履歴'!$F:$F,$A15))=0,"",
MAXIFS('単価履歴'!$H:$H,'単価履歴'!$E:$E,AU$1,'単価履歴'!$F:$F,$A15,'単価履歴'!$O:$O,
MAXIFS('単価履歴'!$O:$O,'単価履歴'!$E:$E,AU$1,'単価履歴'!$F:$F,$A15)))</f>
        <v/>
      </c>
      <c r="AV15" s="249" t="str">
        <f>IF(MAXIFS('単価履歴'!$H:$H,'単価履歴'!$E:$E,AV$1,'単価履歴'!$F:$F,$A15,'単価履歴'!$O:$O,
MAXIFS('単価履歴'!$O:$O,'単価履歴'!$E:$E,AV$1,'単価履歴'!$F:$F,$A15))=0,"",
MAXIFS('単価履歴'!$H:$H,'単価履歴'!$E:$E,AV$1,'単価履歴'!$F:$F,$A15,'単価履歴'!$O:$O,
MAXIFS('単価履歴'!$O:$O,'単価履歴'!$E:$E,AV$1,'単価履歴'!$F:$F,$A15)))</f>
        <v/>
      </c>
      <c r="AW15" s="248" t="str">
        <f>IF(MAXIFS('単価履歴'!$H:$H,'単価履歴'!$E:$E,AW$1,'単価履歴'!$F:$F,$A15,'単価履歴'!$O:$O,
MAXIFS('単価履歴'!$O:$O,'単価履歴'!$E:$E,AW$1,'単価履歴'!$F:$F,$A15))=0,"",
MAXIFS('単価履歴'!$H:$H,'単価履歴'!$E:$E,AW$1,'単価履歴'!$F:$F,$A15,'単価履歴'!$O:$O,
MAXIFS('単価履歴'!$O:$O,'単価履歴'!$E:$E,AW$1,'単価履歴'!$F:$F,$A15)))</f>
        <v/>
      </c>
      <c r="AX15" s="252" t="str">
        <f>IF(MAXIFS('単価履歴'!$H:$H,'単価履歴'!$E:$E,AX$1,'単価履歴'!$F:$F,$A15,'単価履歴'!$O:$O,
MAXIFS('単価履歴'!$O:$O,'単価履歴'!$E:$E,AX$1,'単価履歴'!$F:$F,$A15))=0,"",
MAXIFS('単価履歴'!$H:$H,'単価履歴'!$E:$E,AX$1,'単価履歴'!$F:$F,$A15,'単価履歴'!$O:$O,
MAXIFS('単価履歴'!$O:$O,'単価履歴'!$E:$E,AX$1,'単価履歴'!$F:$F,$A15)))</f>
        <v/>
      </c>
      <c r="AY15" s="251" t="str">
        <f>IF(MAXIFS('単価履歴'!$H:$H,'単価履歴'!$E:$E,AY$1,'単価履歴'!$F:$F,$A15,'単価履歴'!$O:$O,
MAXIFS('単価履歴'!$O:$O,'単価履歴'!$E:$E,AY$1,'単価履歴'!$F:$F,$A15))=0,"",
MAXIFS('単価履歴'!$H:$H,'単価履歴'!$E:$E,AY$1,'単価履歴'!$F:$F,$A15,'単価履歴'!$O:$O,
MAXIFS('単価履歴'!$O:$O,'単価履歴'!$E:$E,AY$1,'単価履歴'!$F:$F,$A15)))</f>
        <v/>
      </c>
      <c r="AZ15" s="249" t="str">
        <f>IF(MAXIFS('単価履歴'!$H:$H,'単価履歴'!$E:$E,AZ$1,'単価履歴'!$F:$F,$A15,'単価履歴'!$O:$O,
MAXIFS('単価履歴'!$O:$O,'単価履歴'!$E:$E,AZ$1,'単価履歴'!$F:$F,$A15))=0,"",
MAXIFS('単価履歴'!$H:$H,'単価履歴'!$E:$E,AZ$1,'単価履歴'!$F:$F,$A15,'単価履歴'!$O:$O,
MAXIFS('単価履歴'!$O:$O,'単価履歴'!$E:$E,AZ$1,'単価履歴'!$F:$F,$A15)))</f>
        <v/>
      </c>
      <c r="BA15" s="248" t="str">
        <f>IF(MAXIFS('単価履歴'!$H:$H,'単価履歴'!$E:$E,BA$1,'単価履歴'!$F:$F,$A15,'単価履歴'!$O:$O,
MAXIFS('単価履歴'!$O:$O,'単価履歴'!$E:$E,BA$1,'単価履歴'!$F:$F,$A15))=0,"",
MAXIFS('単価履歴'!$H:$H,'単価履歴'!$E:$E,BA$1,'単価履歴'!$F:$F,$A15,'単価履歴'!$O:$O,
MAXIFS('単価履歴'!$O:$O,'単価履歴'!$E:$E,BA$1,'単価履歴'!$F:$F,$A15)))</f>
        <v/>
      </c>
      <c r="BB15" s="252" t="str">
        <f>IF(MAXIFS('単価履歴'!$H:$H,'単価履歴'!$E:$E,BB$1,'単価履歴'!$F:$F,$A15,'単価履歴'!$O:$O,
MAXIFS('単価履歴'!$O:$O,'単価履歴'!$E:$E,BB$1,'単価履歴'!$F:$F,$A15))=0,"",
MAXIFS('単価履歴'!$H:$H,'単価履歴'!$E:$E,BB$1,'単価履歴'!$F:$F,$A15,'単価履歴'!$O:$O,
MAXIFS('単価履歴'!$O:$O,'単価履歴'!$E:$E,BB$1,'単価履歴'!$F:$F,$A15)))</f>
        <v/>
      </c>
      <c r="BC15" s="249" t="str">
        <f>IF(MAXIFS('単価履歴'!$H:$H,'単価履歴'!$E:$E,BC$1,'単価履歴'!$F:$F,$A15,'単価履歴'!$O:$O,
MAXIFS('単価履歴'!$O:$O,'単価履歴'!$E:$E,BC$1,'単価履歴'!$F:$F,$A15))=0,"",
MAXIFS('単価履歴'!$H:$H,'単価履歴'!$E:$E,BC$1,'単価履歴'!$F:$F,$A15,'単価履歴'!$O:$O,
MAXIFS('単価履歴'!$O:$O,'単価履歴'!$E:$E,BC$1,'単価履歴'!$F:$F,$A15)))</f>
        <v/>
      </c>
      <c r="BD15" s="248" t="str">
        <f>IF(MAXIFS('単価履歴'!$H:$H,'単価履歴'!$E:$E,BD$1,'単価履歴'!$F:$F,$A15,'単価履歴'!$O:$O,
MAXIFS('単価履歴'!$O:$O,'単価履歴'!$E:$E,BD$1,'単価履歴'!$F:$F,$A15))=0,"",
MAXIFS('単価履歴'!$H:$H,'単価履歴'!$E:$E,BD$1,'単価履歴'!$F:$F,$A15,'単価履歴'!$O:$O,
MAXIFS('単価履歴'!$O:$O,'単価履歴'!$E:$E,BD$1,'単価履歴'!$F:$F,$A15)))</f>
        <v/>
      </c>
      <c r="BE15" s="249" t="str">
        <f>IF(MAXIFS('単価履歴'!$H:$H,'単価履歴'!$E:$E,BE$1,'単価履歴'!$F:$F,$A15,'単価履歴'!$O:$O,
MAXIFS('単価履歴'!$O:$O,'単価履歴'!$E:$E,BE$1,'単価履歴'!$F:$F,$A15))=0,"",
MAXIFS('単価履歴'!$H:$H,'単価履歴'!$E:$E,BE$1,'単価履歴'!$F:$F,$A15,'単価履歴'!$O:$O,
MAXIFS('単価履歴'!$O:$O,'単価履歴'!$E:$E,BE$1,'単価履歴'!$F:$F,$A15)))</f>
        <v/>
      </c>
      <c r="BF15" s="248" t="str">
        <f>IF(MAXIFS('単価履歴'!$H:$H,'単価履歴'!$E:$E,BF$1,'単価履歴'!$F:$F,$A15,'単価履歴'!$O:$O,
MAXIFS('単価履歴'!$O:$O,'単価履歴'!$E:$E,BF$1,'単価履歴'!$F:$F,$A15))=0,"",
MAXIFS('単価履歴'!$H:$H,'単価履歴'!$E:$E,BF$1,'単価履歴'!$F:$F,$A15,'単価履歴'!$O:$O,
MAXIFS('単価履歴'!$O:$O,'単価履歴'!$E:$E,BF$1,'単価履歴'!$F:$F,$A15)))</f>
        <v/>
      </c>
      <c r="BG15" s="249" t="str">
        <f>IF(MAXIFS('単価履歴'!$H:$H,'単価履歴'!$E:$E,BG$1,'単価履歴'!$F:$F,$A15,'単価履歴'!$O:$O,
MAXIFS('単価履歴'!$O:$O,'単価履歴'!$E:$E,BG$1,'単価履歴'!$F:$F,$A15))=0,"",
MAXIFS('単価履歴'!$H:$H,'単価履歴'!$E:$E,BG$1,'単価履歴'!$F:$F,$A15,'単価履歴'!$O:$O,
MAXIFS('単価履歴'!$O:$O,'単価履歴'!$E:$E,BG$1,'単価履歴'!$F:$F,$A15)))</f>
        <v/>
      </c>
      <c r="BH15" s="249" t="str">
        <f>IF(MAXIFS('単価履歴'!$H:$H,'単価履歴'!$E:$E,BH$1,'単価履歴'!$F:$F,$A15,'単価履歴'!$O:$O,
MAXIFS('単価履歴'!$O:$O,'単価履歴'!$E:$E,BH$1,'単価履歴'!$F:$F,$A15))=0,"",
MAXIFS('単価履歴'!$H:$H,'単価履歴'!$E:$E,BH$1,'単価履歴'!$F:$F,$A15,'単価履歴'!$O:$O,
MAXIFS('単価履歴'!$O:$O,'単価履歴'!$E:$E,BH$1,'単価履歴'!$F:$F,$A15)))</f>
        <v/>
      </c>
      <c r="BI15" s="252" t="str">
        <f>IF(MAXIFS('単価履歴'!$H:$H,'単価履歴'!$E:$E,BI$1,'単価履歴'!$F:$F,$A15,'単価履歴'!$O:$O,
MAXIFS('単価履歴'!$O:$O,'単価履歴'!$E:$E,BI$1,'単価履歴'!$F:$F,$A15))=0,"",
MAXIFS('単価履歴'!$H:$H,'単価履歴'!$E:$E,BI$1,'単価履歴'!$F:$F,$A15,'単価履歴'!$O:$O,
MAXIFS('単価履歴'!$O:$O,'単価履歴'!$E:$E,BI$1,'単価履歴'!$F:$F,$A15)))</f>
        <v/>
      </c>
      <c r="BJ15" s="252" t="str">
        <f>IF(MAXIFS('単価履歴'!$H:$H,'単価履歴'!$E:$E,BJ$1,'単価履歴'!$F:$F,$A15,'単価履歴'!$O:$O,
MAXIFS('単価履歴'!$O:$O,'単価履歴'!$E:$E,BJ$1,'単価履歴'!$F:$F,$A15))=0,"",
MAXIFS('単価履歴'!$H:$H,'単価履歴'!$E:$E,BJ$1,'単価履歴'!$F:$F,$A15,'単価履歴'!$O:$O,
MAXIFS('単価履歴'!$O:$O,'単価履歴'!$E:$E,BJ$1,'単価履歴'!$F:$F,$A15)))</f>
        <v/>
      </c>
      <c r="BK15" s="252" t="str">
        <f>IF(MAXIFS('単価履歴'!$H:$H,'単価履歴'!$E:$E,BK$1,'単価履歴'!$F:$F,$A15,'単価履歴'!$O:$O,
MAXIFS('単価履歴'!$O:$O,'単価履歴'!$E:$E,BK$1,'単価履歴'!$F:$F,$A15))=0,"",
MAXIFS('単価履歴'!$H:$H,'単価履歴'!$E:$E,BK$1,'単価履歴'!$F:$F,$A15,'単価履歴'!$O:$O,
MAXIFS('単価履歴'!$O:$O,'単価履歴'!$E:$E,BK$1,'単価履歴'!$F:$F,$A15)))</f>
        <v/>
      </c>
      <c r="BL15" s="252" t="str">
        <f>IF(MAXIFS('単価履歴'!$H:$H,'単価履歴'!$E:$E,BL$1,'単価履歴'!$F:$F,$A15,'単価履歴'!$O:$O,
MAXIFS('単価履歴'!$O:$O,'単価履歴'!$E:$E,BL$1,'単価履歴'!$F:$F,$A15))=0,"",
MAXIFS('単価履歴'!$H:$H,'単価履歴'!$E:$E,BL$1,'単価履歴'!$F:$F,$A15,'単価履歴'!$O:$O,
MAXIFS('単価履歴'!$O:$O,'単価履歴'!$E:$E,BL$1,'単価履歴'!$F:$F,$A15)))</f>
        <v/>
      </c>
      <c r="BM15" s="252" t="str">
        <f>IF(MAXIFS('単価履歴'!$H:$H,'単価履歴'!$E:$E,BM$1,'単価履歴'!$F:$F,$A15,'単価履歴'!$O:$O,
MAXIFS('単価履歴'!$O:$O,'単価履歴'!$E:$E,BM$1,'単価履歴'!$F:$F,$A15))=0,"",
MAXIFS('単価履歴'!$H:$H,'単価履歴'!$E:$E,BM$1,'単価履歴'!$F:$F,$A15,'単価履歴'!$O:$O,
MAXIFS('単価履歴'!$O:$O,'単価履歴'!$E:$E,BM$1,'単価履歴'!$F:$F,$A15)))</f>
        <v/>
      </c>
      <c r="BN15" s="248" t="str">
        <f>IF(MAXIFS('単価履歴'!$H:$H,'単価履歴'!$E:$E,BN$1,'単価履歴'!$F:$F,$A15,'単価履歴'!$O:$O,
MAXIFS('単価履歴'!$O:$O,'単価履歴'!$E:$E,BN$1,'単価履歴'!$F:$F,$A15))=0,"",
MAXIFS('単価履歴'!$H:$H,'単価履歴'!$E:$E,BN$1,'単価履歴'!$F:$F,$A15,'単価履歴'!$O:$O,
MAXIFS('単価履歴'!$O:$O,'単価履歴'!$E:$E,BN$1,'単価履歴'!$F:$F,$A15)))</f>
        <v/>
      </c>
      <c r="BO15" s="249" t="str">
        <f>IF(MAXIFS('単価履歴'!$H:$H,'単価履歴'!$E:$E,BO$1,'単価履歴'!$F:$F,$A15,'単価履歴'!$O:$O,
MAXIFS('単価履歴'!$O:$O,'単価履歴'!$E:$E,BO$1,'単価履歴'!$F:$F,$A15))=0,"",
MAXIFS('単価履歴'!$H:$H,'単価履歴'!$E:$E,BO$1,'単価履歴'!$F:$F,$A15,'単価履歴'!$O:$O,
MAXIFS('単価履歴'!$O:$O,'単価履歴'!$E:$E,BO$1,'単価履歴'!$F:$F,$A15)))</f>
        <v/>
      </c>
      <c r="BP15" s="252" t="str">
        <f>IF(MAXIFS('単価履歴'!$H:$H,'単価履歴'!$E:$E,BP$1,'単価履歴'!$F:$F,$A15,'単価履歴'!$O:$O,
MAXIFS('単価履歴'!$O:$O,'単価履歴'!$E:$E,BP$1,'単価履歴'!$F:$F,$A15))=0,"",
MAXIFS('単価履歴'!$H:$H,'単価履歴'!$E:$E,BP$1,'単価履歴'!$F:$F,$A15,'単価履歴'!$O:$O,
MAXIFS('単価履歴'!$O:$O,'単価履歴'!$E:$E,BP$1,'単価履歴'!$F:$F,$A15)))</f>
        <v/>
      </c>
      <c r="BQ15" s="249"/>
      <c r="BR15" s="249"/>
      <c r="BS15" s="249"/>
      <c r="BT15" s="249"/>
      <c r="BU15" s="249"/>
      <c r="BV15" s="249"/>
      <c r="BW15" s="249"/>
      <c r="BX15" s="249"/>
    </row>
    <row r="16">
      <c r="A16" s="261" t="s">
        <v>116</v>
      </c>
      <c r="B16" s="246">
        <f>IF(MAXIFS('単価履歴'!$H:$H,'単価履歴'!$E:$E,B$1,'単価履歴'!$F:$F,$A16,'単価履歴'!$O:$O,
MAXIFS('単価履歴'!$O:$O,'単価履歴'!$E:$E,B$1,'単価履歴'!$F:$F,$A16))=0,"",
MAXIFS('単価履歴'!$H:$H,'単価履歴'!$E:$E,B$1,'単価履歴'!$F:$F,$A16,'単価履歴'!$O:$O,
MAXIFS('単価履歴'!$O:$O,'単価履歴'!$E:$E,B$1,'単価履歴'!$F:$F,$A16)))</f>
        <v>53</v>
      </c>
      <c r="C16" s="262">
        <f>IF(MAXIFS('単価履歴'!$H:$H,'単価履歴'!$E:$E,C$1,'単価履歴'!$F:$F,$A16,'単価履歴'!$O:$O,
MAXIFS('単価履歴'!$O:$O,'単価履歴'!$E:$E,C$1,'単価履歴'!$F:$F,$A16))=0,"",
MAXIFS('単価履歴'!$H:$H,'単価履歴'!$E:$E,C$1,'単価履歴'!$F:$F,$A16,'単価履歴'!$O:$O,
MAXIFS('単価履歴'!$O:$O,'単価履歴'!$E:$E,C$1,'単価履歴'!$F:$F,$A16)))</f>
        <v>52.5</v>
      </c>
      <c r="D16" s="250">
        <f>IF(MAXIFS('単価履歴'!$H:$H,'単価履歴'!$E:$E,D$1,'単価履歴'!$F:$F,$A16,'単価履歴'!$O:$O,
MAXIFS('単価履歴'!$O:$O,'単価履歴'!$E:$E,D$1,'単価履歴'!$F:$F,$A16))=0,"",
MAXIFS('単価履歴'!$H:$H,'単価履歴'!$E:$E,D$1,'単価履歴'!$F:$F,$A16,'単価履歴'!$O:$O,
MAXIFS('単価履歴'!$O:$O,'単価履歴'!$E:$E,D$1,'単価履歴'!$F:$F,$A16)))</f>
        <v>49.3</v>
      </c>
      <c r="E16" s="250"/>
      <c r="F16" s="250"/>
      <c r="G16" s="268">
        <f>IF(MAXIFS('単価履歴'!$H:$H,'単価履歴'!$E:$E,G$1,'単価履歴'!$F:$F,$A16,'単価履歴'!$O:$O,
MAXIFS('単価履歴'!$O:$O,'単価履歴'!$E:$E,G$1,'単価履歴'!$F:$F,$A16))=0,"",
MAXIFS('単価履歴'!$H:$H,'単価履歴'!$E:$E,G$1,'単価履歴'!$F:$F,$A16,'単価履歴'!$O:$O,
MAXIFS('単価履歴'!$O:$O,'単価履歴'!$E:$E,G$1,'単価履歴'!$F:$F,$A16)))</f>
        <v>54.5</v>
      </c>
      <c r="H16" s="250">
        <f>IF(MAXIFS('単価履歴'!$H:$H,'単価履歴'!$E:$E,H$1,'単価履歴'!$F:$F,$A16,'単価履歴'!$O:$O,
MAXIFS('単価履歴'!$O:$O,'単価履歴'!$E:$E,H$1,'単価履歴'!$F:$F,$A16))=0,"",
MAXIFS('単価履歴'!$H:$H,'単価履歴'!$E:$E,H$1,'単価履歴'!$F:$F,$A16,'単価履歴'!$O:$O,
MAXIFS('単価履歴'!$O:$O,'単価履歴'!$E:$E,H$1,'単価履歴'!$F:$F,$A16)))</f>
        <v>53.8</v>
      </c>
      <c r="I16" s="256">
        <f>IF(MAXIFS('単価履歴'!$H:$H,'単価履歴'!$E:$E,I$1,'単価履歴'!$F:$F,$A16,'単価履歴'!$O:$O,
MAXIFS('単価履歴'!$O:$O,'単価履歴'!$E:$E,I$1,'単価履歴'!$F:$F,$A16))=0,"",
MAXIFS('単価履歴'!$H:$H,'単価履歴'!$E:$E,I$1,'単価履歴'!$F:$F,$A16,'単価履歴'!$O:$O,
MAXIFS('単価履歴'!$O:$O,'単価履歴'!$E:$E,I$1,'単価履歴'!$F:$F,$A16)))</f>
        <v>2</v>
      </c>
      <c r="J16" s="263" t="str">
        <f>IF(MAXIFS('単価履歴'!$H:$H,'単価履歴'!$E:$E,J$1,'単価履歴'!$F:$F,$A16,'単価履歴'!$O:$O,
MAXIFS('単価履歴'!$O:$O,'単価履歴'!$E:$E,J$1,'単価履歴'!$F:$F,$A16))=0,"",
MAXIFS('単価履歴'!$H:$H,'単価履歴'!$E:$E,J$1,'単価履歴'!$F:$F,$A16,'単価履歴'!$O:$O,
MAXIFS('単価履歴'!$O:$O,'単価履歴'!$E:$E,J$1,'単価履歴'!$F:$F,$A16)))</f>
        <v/>
      </c>
      <c r="K16" s="275">
        <v>41.5</v>
      </c>
      <c r="L16" s="275">
        <v>25.2</v>
      </c>
      <c r="M16" s="275">
        <v>40.2</v>
      </c>
      <c r="N16" s="275">
        <v>33.5</v>
      </c>
      <c r="O16" s="262">
        <f>IF(MAXIFS('単価履歴'!$H:$H,'単価履歴'!$E:$E,O$1,'単価履歴'!$F:$F,$A16,'単価履歴'!$O:$O,
MAXIFS('単価履歴'!$O:$O,'単価履歴'!$E:$E,O$1,'単価履歴'!$F:$F,$A16))=0,"",
MAXIFS('単価履歴'!$H:$H,'単価履歴'!$E:$E,O$1,'単価履歴'!$F:$F,$A16,'単価履歴'!$O:$O,
MAXIFS('単価履歴'!$O:$O,'単価履歴'!$E:$E,O$1,'単価履歴'!$F:$F,$A16)))</f>
        <v>56.5</v>
      </c>
      <c r="P16" s="264" t="str">
        <f>IF(MAXIFS('単価履歴'!$H:$H,'単価履歴'!$E:$E,P$1,'単価履歴'!$F:$F,$A16,'単価履歴'!$O:$O,
MAXIFS('単価履歴'!$O:$O,'単価履歴'!$E:$E,P$1,'単価履歴'!$F:$F,$A16))=0,"",
MAXIFS('単価履歴'!$H:$H,'単価履歴'!$E:$E,P$1,'単価履歴'!$F:$F,$A16,'単価履歴'!$O:$O,
MAXIFS('単価履歴'!$O:$O,'単価履歴'!$E:$E,P$1,'単価履歴'!$F:$F,$A16)))</f>
        <v/>
      </c>
      <c r="Q16" s="263" t="str">
        <f>IF(MAXIFS('単価履歴'!$H:$H,'単価履歴'!$E:$E,Q$1,'単価履歴'!$F:$F,$A16,'単価履歴'!$O:$O,
MAXIFS('単価履歴'!$O:$O,'単価履歴'!$E:$E,Q$1,'単価履歴'!$F:$F,$A16))=0,"",
MAXIFS('単価履歴'!$H:$H,'単価履歴'!$E:$E,Q$1,'単価履歴'!$F:$F,$A16,'単価履歴'!$O:$O,
MAXIFS('単価履歴'!$O:$O,'単価履歴'!$E:$E,Q$1,'単価履歴'!$F:$F,$A16)))</f>
        <v/>
      </c>
      <c r="R16" s="264" t="str">
        <f>IF(MAXIFS('単価履歴'!$H:$H,'単価履歴'!$E:$E,R$1,'単価履歴'!$F:$F,$A16,'単価履歴'!$O:$O,
MAXIFS('単価履歴'!$O:$O,'単価履歴'!$E:$E,R$1,'単価履歴'!$F:$F,$A16))=0,"",
MAXIFS('単価履歴'!$H:$H,'単価履歴'!$E:$E,R$1,'単価履歴'!$F:$F,$A16,'単価履歴'!$O:$O,
MAXIFS('単価履歴'!$O:$O,'単価履歴'!$E:$E,R$1,'単価履歴'!$F:$F,$A16)))</f>
        <v/>
      </c>
      <c r="S16" s="262">
        <f>IF(MAXIFS('単価履歴'!$H:$H,'単価履歴'!$E:$E,S$1,'単価履歴'!$F:$F,$A16,'単価履歴'!$O:$O,
MAXIFS('単価履歴'!$O:$O,'単価履歴'!$E:$E,S$1,'単価履歴'!$F:$F,$A16))=0,"",
MAXIFS('単価履歴'!$H:$H,'単価履歴'!$E:$E,S$1,'単価履歴'!$F:$F,$A16,'単価履歴'!$O:$O,
MAXIFS('単価履歴'!$O:$O,'単価履歴'!$E:$E,S$1,'単価履歴'!$F:$F,$A16)))</f>
        <v>51</v>
      </c>
      <c r="T16" s="250" t="str">
        <f>IF(MAXIFS('単価履歴'!$H:$H,'単価履歴'!$E:$E,T$1,'単価履歴'!$F:$F,$A16,'単価履歴'!$O:$O,
MAXIFS('単価履歴'!$O:$O,'単価履歴'!$E:$E,T$1,'単価履歴'!$F:$F,$A16))=0,"",
MAXIFS('単価履歴'!$H:$H,'単価履歴'!$E:$E,T$1,'単価履歴'!$F:$F,$A16,'単価履歴'!$O:$O,
MAXIFS('単価履歴'!$O:$O,'単価履歴'!$E:$E,T$1,'単価履歴'!$F:$F,$A16)))</f>
        <v/>
      </c>
      <c r="U16" s="256" t="str">
        <f>IF(MAXIFS('単価履歴'!$H:$H,'単価履歴'!$E:$E,U$1,'単価履歴'!$F:$F,$A16,'単価履歴'!$O:$O,
MAXIFS('単価履歴'!$O:$O,'単価履歴'!$E:$E,U$1,'単価履歴'!$F:$F,$A16))=0,"",
MAXIFS('単価履歴'!$H:$H,'単価履歴'!$E:$E,U$1,'単価履歴'!$F:$F,$A16,'単価履歴'!$O:$O,
MAXIFS('単価履歴'!$O:$O,'単価履歴'!$E:$E,U$1,'単価履歴'!$F:$F,$A16)))</f>
        <v/>
      </c>
      <c r="V16" s="328">
        <v>42.0</v>
      </c>
      <c r="W16" s="264" t="str">
        <f>IF(MAXIFS('単価履歴'!$H:$H,'単価履歴'!$E:$E,W$1,'単価履歴'!$F:$F,$A16,'単価履歴'!$O:$O,
MAXIFS('単価履歴'!$O:$O,'単価履歴'!$E:$E,W$1,'単価履歴'!$F:$F,$A16))=0,"",
MAXIFS('単価履歴'!$H:$H,'単価履歴'!$E:$E,W$1,'単価履歴'!$F:$F,$A16,'単価履歴'!$O:$O,
MAXIFS('単価履歴'!$O:$O,'単価履歴'!$E:$E,W$1,'単価履歴'!$F:$F,$A16)))</f>
        <v/>
      </c>
      <c r="X16" s="256" t="str">
        <f>IF(MAXIFS('単価履歴'!$H:$H,'単価履歴'!$E:$E,X$1,'単価履歴'!$F:$F,$A16,'単価履歴'!$O:$O,
MAXIFS('単価履歴'!$O:$O,'単価履歴'!$E:$E,X$1,'単価履歴'!$F:$F,$A16))=0,"",
MAXIFS('単価履歴'!$H:$H,'単価履歴'!$E:$E,X$1,'単価履歴'!$F:$F,$A16,'単価履歴'!$O:$O,
MAXIFS('単価履歴'!$O:$O,'単価履歴'!$E:$E,X$1,'単価履歴'!$F:$F,$A16)))</f>
        <v/>
      </c>
      <c r="Y16" s="254" t="str">
        <f>IF(MAXIFS('単価履歴'!$H:$H,'単価履歴'!$E:$E,Y$1,'単価履歴'!$F:$F,$A16,'単価履歴'!$O:$O,
MAXIFS('単価履歴'!$O:$O,'単価履歴'!$E:$E,Y$1,'単価履歴'!$F:$F,$A16))=0,"",
MAXIFS('単価履歴'!$H:$H,'単価履歴'!$E:$E,Y$1,'単価履歴'!$F:$F,$A16,'単価履歴'!$O:$O,
MAXIFS('単価履歴'!$O:$O,'単価履歴'!$E:$E,Y$1,'単価履歴'!$F:$F,$A16)))</f>
        <v/>
      </c>
      <c r="Z16" s="275">
        <v>37.2</v>
      </c>
      <c r="AA16" s="254" t="str">
        <f>IF(MAXIFS('単価履歴'!$H:$H,'単価履歴'!$E:$E,AA$1,'単価履歴'!$F:$F,$A16,'単価履歴'!$O:$O,
MAXIFS('単価履歴'!$O:$O,'単価履歴'!$E:$E,AA$1,'単価履歴'!$F:$F,$A16))=0,"",
MAXIFS('単価履歴'!$H:$H,'単価履歴'!$E:$E,AA$1,'単価履歴'!$F:$F,$A16,'単価履歴'!$O:$O,
MAXIFS('単価履歴'!$O:$O,'単価履歴'!$E:$E,AA$1,'単価履歴'!$F:$F,$A16)))</f>
        <v/>
      </c>
      <c r="AB16" s="264" t="str">
        <f>IF(MAXIFS('単価履歴'!$H:$H,'単価履歴'!$E:$E,AB$1,'単価履歴'!$F:$F,$A16,'単価履歴'!$O:$O,
MAXIFS('単価履歴'!$O:$O,'単価履歴'!$E:$E,AB$1,'単価履歴'!$F:$F,$A16))=0,"",
MAXIFS('単価履歴'!$H:$H,'単価履歴'!$E:$E,AB$1,'単価履歴'!$F:$F,$A16,'単価履歴'!$O:$O,
MAXIFS('単価履歴'!$O:$O,'単価履歴'!$E:$E,AB$1,'単価履歴'!$F:$F,$A16)))</f>
        <v/>
      </c>
      <c r="AC16" s="256" t="str">
        <f>IF(MAXIFS('単価履歴'!$H:$H,'単価履歴'!$E:$E,AC$1,'単価履歴'!$F:$F,$A16,'単価履歴'!$O:$O,
MAXIFS('単価履歴'!$O:$O,'単価履歴'!$E:$E,AC$1,'単価履歴'!$F:$F,$A16))=0,"",
MAXIFS('単価履歴'!$H:$H,'単価履歴'!$E:$E,AC$1,'単価履歴'!$F:$F,$A16,'単価履歴'!$O:$O,
MAXIFS('単価履歴'!$O:$O,'単価履歴'!$E:$E,AC$1,'単価履歴'!$F:$F,$A16)))</f>
        <v/>
      </c>
      <c r="AD16" s="254" t="str">
        <f>IF(MAXIFS('単価履歴'!$H:$H,'単価履歴'!$E:$E,AD$1,'単価履歴'!$F:$F,$A16,'単価履歴'!$O:$O,
MAXIFS('単価履歴'!$O:$O,'単価履歴'!$E:$E,AD$1,'単価履歴'!$F:$F,$A16))=0,"",
MAXIFS('単価履歴'!$H:$H,'単価履歴'!$E:$E,AD$1,'単価履歴'!$F:$F,$A16,'単価履歴'!$O:$O,
MAXIFS('単価履歴'!$O:$O,'単価履歴'!$E:$E,AD$1,'単価履歴'!$F:$F,$A16)))</f>
        <v/>
      </c>
      <c r="AE16" s="264" t="str">
        <f>IF(MAXIFS('単価履歴'!$H:$H,'単価履歴'!$E:$E,AE$1,'単価履歴'!$F:$F,$A16,'単価履歴'!$O:$O,
MAXIFS('単価履歴'!$O:$O,'単価履歴'!$E:$E,AE$1,'単価履歴'!$F:$F,$A16))=0,"",
MAXIFS('単価履歴'!$H:$H,'単価履歴'!$E:$E,AE$1,'単価履歴'!$F:$F,$A16,'単価履歴'!$O:$O,
MAXIFS('単価履歴'!$O:$O,'単価履歴'!$E:$E,AE$1,'単価履歴'!$F:$F,$A16)))</f>
        <v/>
      </c>
      <c r="AF16" s="256" t="str">
        <f>IF(MAXIFS('単価履歴'!$H:$H,'単価履歴'!$E:$E,AF$1,'単価履歴'!$F:$F,$A16,'単価履歴'!$O:$O,
MAXIFS('単価履歴'!$O:$O,'単価履歴'!$E:$E,AF$1,'単価履歴'!$F:$F,$A16))=0,"",
MAXIFS('単価履歴'!$H:$H,'単価履歴'!$E:$E,AF$1,'単価履歴'!$F:$F,$A16,'単価履歴'!$O:$O,
MAXIFS('単価履歴'!$O:$O,'単価履歴'!$E:$E,AF$1,'単価履歴'!$F:$F,$A16)))</f>
        <v/>
      </c>
      <c r="AG16" s="268">
        <f>IF(MAXIFS('単価履歴'!$H:$H,'単価履歴'!$E:$E,AG$1,'単価履歴'!$F:$F,$A16,'単価履歴'!$O:$O,
MAXIFS('単価履歴'!$O:$O,'単価履歴'!$E:$E,AG$1,'単価履歴'!$F:$F,$A16))=0,"",
MAXIFS('単価履歴'!$H:$H,'単価履歴'!$E:$E,AG$1,'単価履歴'!$F:$F,$A16,'単価履歴'!$O:$O,
MAXIFS('単価履歴'!$O:$O,'単価履歴'!$E:$E,AG$1,'単価履歴'!$F:$F,$A16)))</f>
        <v>53</v>
      </c>
      <c r="AH16" s="250">
        <f>IF(MAXIFS('単価履歴'!$H:$H,'単価履歴'!$E:$E,AH$1,'単価履歴'!$F:$F,$A16,'単価履歴'!$O:$O,
MAXIFS('単価履歴'!$O:$O,'単価履歴'!$E:$E,AH$1,'単価履歴'!$F:$F,$A16))=0,"",
MAXIFS('単価履歴'!$H:$H,'単価履歴'!$E:$E,AH$1,'単価履歴'!$F:$F,$A16,'単価履歴'!$O:$O,
MAXIFS('単価履歴'!$O:$O,'単価履歴'!$E:$E,AH$1,'単価履歴'!$F:$F,$A16)))</f>
        <v>54.6</v>
      </c>
      <c r="AI16" s="254" t="str">
        <f>IF(MAXIFS('単価履歴'!$H:$H,'単価履歴'!$E:$E,AI$1,'単価履歴'!$F:$F,$A16,'単価履歴'!$O:$O,
MAXIFS('単価履歴'!$O:$O,'単価履歴'!$E:$E,AI$1,'単価履歴'!$F:$F,$A16))=0,"",
MAXIFS('単価履歴'!$H:$H,'単価履歴'!$E:$E,AI$1,'単価履歴'!$F:$F,$A16,'単価履歴'!$O:$O,
MAXIFS('単価履歴'!$O:$O,'単価履歴'!$E:$E,AI$1,'単価履歴'!$F:$F,$A16)))</f>
        <v/>
      </c>
      <c r="AJ16" s="256" t="str">
        <f>IF(MAXIFS('単価履歴'!$H:$H,'単価履歴'!$E:$E,AJ$1,'単価履歴'!$F:$F,$A16,'単価履歴'!$O:$O,
MAXIFS('単価履歴'!$O:$O,'単価履歴'!$E:$E,AJ$1,'単価履歴'!$F:$F,$A16))=0,"",
MAXIFS('単価履歴'!$H:$H,'単価履歴'!$E:$E,AJ$1,'単価履歴'!$F:$F,$A16,'単価履歴'!$O:$O,
MAXIFS('単価履歴'!$O:$O,'単価履歴'!$E:$E,AJ$1,'単価履歴'!$F:$F,$A16)))</f>
        <v/>
      </c>
      <c r="AK16" s="262">
        <f>IF(MAXIFS('単価履歴'!$H:$H,'単価履歴'!$E:$E,AK$1,'単価履歴'!$F:$F,$A16,'単価履歴'!$O:$O,
MAXIFS('単価履歴'!$O:$O,'単価履歴'!$E:$E,AK$1,'単価履歴'!$F:$F,$A16))=0,"",
MAXIFS('単価履歴'!$H:$H,'単価履歴'!$E:$E,AK$1,'単価履歴'!$F:$F,$A16,'単価履歴'!$O:$O,
MAXIFS('単価履歴'!$O:$O,'単価履歴'!$E:$E,AK$1,'単価履歴'!$F:$F,$A16)))</f>
        <v>54</v>
      </c>
      <c r="AL16" s="256" t="str">
        <f>IF(MAXIFS('単価履歴'!$H:$H,'単価履歴'!$E:$E,AL$1,'単価履歴'!$F:$F,$A16,'単価履歴'!$O:$O,
MAXIFS('単価履歴'!$O:$O,'単価履歴'!$E:$E,AL$1,'単価履歴'!$F:$F,$A16))=0,"",
MAXIFS('単価履歴'!$H:$H,'単価履歴'!$E:$E,AL$1,'単価履歴'!$F:$F,$A16,'単価履歴'!$O:$O,
MAXIFS('単価履歴'!$O:$O,'単価履歴'!$E:$E,AL$1,'単価履歴'!$F:$F,$A16)))</f>
        <v/>
      </c>
      <c r="AM16" s="262">
        <f>IF(MAXIFS('単価履歴'!$H:$H,'単価履歴'!$E:$E,AM$1,'単価履歴'!$F:$F,$A16,'単価履歴'!$O:$O,
MAXIFS('単価履歴'!$O:$O,'単価履歴'!$E:$E,AM$1,'単価履歴'!$F:$F,$A16))=0,"",
MAXIFS('単価履歴'!$H:$H,'単価履歴'!$E:$E,AM$1,'単価履歴'!$F:$F,$A16,'単価履歴'!$O:$O,
MAXIFS('単価履歴'!$O:$O,'単価履歴'!$E:$E,AM$1,'単価履歴'!$F:$F,$A16)))</f>
        <v>53</v>
      </c>
      <c r="AN16" s="266">
        <f>IF(MAXIFS('単価履歴'!$H:$H,'単価履歴'!$E:$E,AN$1,'単価履歴'!$F:$F,$A16,'単価履歴'!$O:$O,
MAXIFS('単価履歴'!$O:$O,'単価履歴'!$E:$E,AN$1,'単価履歴'!$F:$F,$A16))=0,"",
MAXIFS('単価履歴'!$H:$H,'単価履歴'!$E:$E,AN$1,'単価履歴'!$F:$F,$A16,'単価履歴'!$O:$O,
MAXIFS('単価履歴'!$O:$O,'単価履歴'!$E:$E,AN$1,'単価履歴'!$F:$F,$A16)))</f>
        <v>53</v>
      </c>
      <c r="AO16" s="262">
        <f>IF(MAXIFS('単価履歴'!$H:$H,'単価履歴'!$E:$E,AO$1,'単価履歴'!$F:$F,$A16,'単価履歴'!$O:$O,
MAXIFS('単価履歴'!$O:$O,'単価履歴'!$E:$E,AO$1,'単価履歴'!$F:$F,$A16))=0,"",
MAXIFS('単価履歴'!$H:$H,'単価履歴'!$E:$E,AO$1,'単価履歴'!$F:$F,$A16,'単価履歴'!$O:$O,
MAXIFS('単価履歴'!$O:$O,'単価履歴'!$E:$E,AO$1,'単価履歴'!$F:$F,$A16)))</f>
        <v>50.2</v>
      </c>
      <c r="AP16" s="266">
        <f>IF(MAXIFS('単価履歴'!$H:$H,'単価履歴'!$E:$E,AP$1,'単価履歴'!$F:$F,$A16,'単価履歴'!$O:$O,
MAXIFS('単価履歴'!$O:$O,'単価履歴'!$E:$E,AP$1,'単価履歴'!$F:$F,$A16))=0,"",
MAXIFS('単価履歴'!$H:$H,'単価履歴'!$E:$E,AP$1,'単価履歴'!$F:$F,$A16,'単価履歴'!$O:$O,
MAXIFS('単価履歴'!$O:$O,'単価履歴'!$E:$E,AP$1,'単価履歴'!$F:$F,$A16)))</f>
        <v>50.4</v>
      </c>
      <c r="AQ16" s="262">
        <f>IF(MAXIFS('単価履歴'!$H:$H,'単価履歴'!$E:$E,AQ$1,'単価履歴'!$F:$F,$A16,'単価履歴'!$O:$O,
MAXIFS('単価履歴'!$O:$O,'単価履歴'!$E:$E,AQ$1,'単価履歴'!$F:$F,$A16))=0,"",
MAXIFS('単価履歴'!$H:$H,'単価履歴'!$E:$E,AQ$1,'単価履歴'!$F:$F,$A16,'単価履歴'!$O:$O,
MAXIFS('単価履歴'!$O:$O,'単価履歴'!$E:$E,AQ$1,'単価履歴'!$F:$F,$A16)))</f>
        <v>51</v>
      </c>
      <c r="AR16" s="266">
        <f>IF(MAXIFS('単価履歴'!$H:$H,'単価履歴'!$E:$E,AR$1,'単価履歴'!$F:$F,$A16,'単価履歴'!$O:$O,
MAXIFS('単価履歴'!$O:$O,'単価履歴'!$E:$E,AR$1,'単価履歴'!$F:$F,$A16))=0,"",
MAXIFS('単価履歴'!$H:$H,'単価履歴'!$E:$E,AR$1,'単価履歴'!$F:$F,$A16,'単価履歴'!$O:$O,
MAXIFS('単価履歴'!$O:$O,'単価履歴'!$E:$E,AR$1,'単価履歴'!$F:$F,$A16)))</f>
        <v>50.5</v>
      </c>
      <c r="AS16" s="256"/>
      <c r="AT16" s="275">
        <v>39.2</v>
      </c>
      <c r="AU16" s="250">
        <f>IF(MAXIFS('単価履歴'!$H:$H,'単価履歴'!$E:$E,AU$1,'単価履歴'!$F:$F,$A16,'単価履歴'!$O:$O,
MAXIFS('単価履歴'!$O:$O,'単価履歴'!$E:$E,AU$1,'単価履歴'!$F:$F,$A16))=0,"",
MAXIFS('単価履歴'!$H:$H,'単価履歴'!$E:$E,AU$1,'単価履歴'!$F:$F,$A16,'単価履歴'!$O:$O,
MAXIFS('単価履歴'!$O:$O,'単価履歴'!$E:$E,AU$1,'単価履歴'!$F:$F,$A16)))</f>
        <v>49.9</v>
      </c>
      <c r="AV16" s="250">
        <f>IF(MAXIFS('単価履歴'!$H:$H,'単価履歴'!$E:$E,AV$1,'単価履歴'!$F:$F,$A16,'単価履歴'!$O:$O,
MAXIFS('単価履歴'!$O:$O,'単価履歴'!$E:$E,AV$1,'単価履歴'!$F:$F,$A16))=0,"",
MAXIFS('単価履歴'!$H:$H,'単価履歴'!$E:$E,AV$1,'単価履歴'!$F:$F,$A16,'単価履歴'!$O:$O,
MAXIFS('単価履歴'!$O:$O,'単価履歴'!$E:$E,AV$1,'単価履歴'!$F:$F,$A16)))</f>
        <v>50.7</v>
      </c>
      <c r="AW16" s="263" t="str">
        <f>IF(MAXIFS('単価履歴'!$H:$H,'単価履歴'!$E:$E,AW$1,'単価履歴'!$F:$F,$A16,'単価履歴'!$O:$O,
MAXIFS('単価履歴'!$O:$O,'単価履歴'!$E:$E,AW$1,'単価履歴'!$F:$F,$A16))=0,"",
MAXIFS('単価履歴'!$H:$H,'単価履歴'!$E:$E,AW$1,'単価履歴'!$F:$F,$A16,'単価履歴'!$O:$O,
MAXIFS('単価履歴'!$O:$O,'単価履歴'!$E:$E,AW$1,'単価履歴'!$F:$F,$A16)))</f>
        <v/>
      </c>
      <c r="AX16" s="266">
        <f>IF(MAXIFS('単価履歴'!$H:$H,'単価履歴'!$E:$E,AX$1,'単価履歴'!$F:$F,$A16,'単価履歴'!$O:$O,
MAXIFS('単価履歴'!$O:$O,'単価履歴'!$E:$E,AX$1,'単価履歴'!$F:$F,$A16))=0,"",
MAXIFS('単価履歴'!$H:$H,'単価履歴'!$E:$E,AX$1,'単価履歴'!$F:$F,$A16,'単価履歴'!$O:$O,
MAXIFS('単価履歴'!$O:$O,'単価履歴'!$E:$E,AX$1,'単価履歴'!$F:$F,$A16)))</f>
        <v>47</v>
      </c>
      <c r="AY16" s="254" t="str">
        <f>IF(MAXIFS('単価履歴'!$H:$H,'単価履歴'!$E:$E,AY$1,'単価履歴'!$F:$F,$A16,'単価履歴'!$O:$O,
MAXIFS('単価履歴'!$O:$O,'単価履歴'!$E:$E,AY$1,'単価履歴'!$F:$F,$A16))=0,"",
MAXIFS('単価履歴'!$H:$H,'単価履歴'!$E:$E,AY$1,'単価履歴'!$F:$F,$A16,'単価履歴'!$O:$O,
MAXIFS('単価履歴'!$O:$O,'単価履歴'!$E:$E,AY$1,'単価履歴'!$F:$F,$A16)))</f>
        <v/>
      </c>
      <c r="AZ16" s="256" t="str">
        <f>IF(MAXIFS('単価履歴'!$H:$H,'単価履歴'!$E:$E,AZ$1,'単価履歴'!$F:$F,$A16,'単価履歴'!$O:$O,
MAXIFS('単価履歴'!$O:$O,'単価履歴'!$E:$E,AZ$1,'単価履歴'!$F:$F,$A16))=0,"",
MAXIFS('単価履歴'!$H:$H,'単価履歴'!$E:$E,AZ$1,'単価履歴'!$F:$F,$A16,'単価履歴'!$O:$O,
MAXIFS('単価履歴'!$O:$O,'単価履歴'!$E:$E,AZ$1,'単価履歴'!$F:$F,$A16)))</f>
        <v/>
      </c>
      <c r="BA16" s="263" t="str">
        <f>IF(MAXIFS('単価履歴'!$H:$H,'単価履歴'!$E:$E,BA$1,'単価履歴'!$F:$F,$A16,'単価履歴'!$O:$O,
MAXIFS('単価履歴'!$O:$O,'単価履歴'!$E:$E,BA$1,'単価履歴'!$F:$F,$A16))=0,"",
MAXIFS('単価履歴'!$H:$H,'単価履歴'!$E:$E,BA$1,'単価履歴'!$F:$F,$A16,'単価履歴'!$O:$O,
MAXIFS('単価履歴'!$O:$O,'単価履歴'!$E:$E,BA$1,'単価履歴'!$F:$F,$A16)))</f>
        <v/>
      </c>
      <c r="BB16" s="266">
        <f>IF(MAXIFS('単価履歴'!$H:$H,'単価履歴'!$E:$E,BB$1,'単価履歴'!$F:$F,$A16,'単価履歴'!$O:$O,
MAXIFS('単価履歴'!$O:$O,'単価履歴'!$E:$E,BB$1,'単価履歴'!$F:$F,$A16))=0,"",
MAXIFS('単価履歴'!$H:$H,'単価履歴'!$E:$E,BB$1,'単価履歴'!$F:$F,$A16,'単価履歴'!$O:$O,
MAXIFS('単価履歴'!$O:$O,'単価履歴'!$E:$E,BB$1,'単価履歴'!$F:$F,$A16)))</f>
        <v>52</v>
      </c>
      <c r="BC16" s="256" t="str">
        <f>IF(MAXIFS('単価履歴'!$H:$H,'単価履歴'!$E:$E,BC$1,'単価履歴'!$F:$F,$A16,'単価履歴'!$O:$O,
MAXIFS('単価履歴'!$O:$O,'単価履歴'!$E:$E,BC$1,'単価履歴'!$F:$F,$A16))=0,"",
MAXIFS('単価履歴'!$H:$H,'単価履歴'!$E:$E,BC$1,'単価履歴'!$F:$F,$A16,'単価履歴'!$O:$O,
MAXIFS('単価履歴'!$O:$O,'単価履歴'!$E:$E,BC$1,'単価履歴'!$F:$F,$A16)))</f>
        <v/>
      </c>
      <c r="BD16" s="263" t="str">
        <f>IF(MAXIFS('単価履歴'!$H:$H,'単価履歴'!$E:$E,BD$1,'単価履歴'!$F:$F,$A16,'単価履歴'!$O:$O,
MAXIFS('単価履歴'!$O:$O,'単価履歴'!$E:$E,BD$1,'単価履歴'!$F:$F,$A16))=0,"",
MAXIFS('単価履歴'!$H:$H,'単価履歴'!$E:$E,BD$1,'単価履歴'!$F:$F,$A16,'単価履歴'!$O:$O,
MAXIFS('単価履歴'!$O:$O,'単価履歴'!$E:$E,BD$1,'単価履歴'!$F:$F,$A16)))</f>
        <v/>
      </c>
      <c r="BE16" s="256" t="str">
        <f>IF(MAXIFS('単価履歴'!$H:$H,'単価履歴'!$E:$E,BE$1,'単価履歴'!$F:$F,$A16,'単価履歴'!$O:$O,
MAXIFS('単価履歴'!$O:$O,'単価履歴'!$E:$E,BE$1,'単価履歴'!$F:$F,$A16))=0,"",
MAXIFS('単価履歴'!$H:$H,'単価履歴'!$E:$E,BE$1,'単価履歴'!$F:$F,$A16,'単価履歴'!$O:$O,
MAXIFS('単価履歴'!$O:$O,'単価履歴'!$E:$E,BE$1,'単価履歴'!$F:$F,$A16)))</f>
        <v/>
      </c>
      <c r="BF16" s="263" t="str">
        <f>IF(MAXIFS('単価履歴'!$H:$H,'単価履歴'!$E:$E,BF$1,'単価履歴'!$F:$F,$A16,'単価履歴'!$O:$O,
MAXIFS('単価履歴'!$O:$O,'単価履歴'!$E:$E,BF$1,'単価履歴'!$F:$F,$A16))=0,"",
MAXIFS('単価履歴'!$H:$H,'単価履歴'!$E:$E,BF$1,'単価履歴'!$F:$F,$A16,'単価履歴'!$O:$O,
MAXIFS('単価履歴'!$O:$O,'単価履歴'!$E:$E,BF$1,'単価履歴'!$F:$F,$A16)))</f>
        <v/>
      </c>
      <c r="BG16" s="250">
        <f>IF(MAXIFS('単価履歴'!$H:$H,'単価履歴'!$E:$E,BG$1,'単価履歴'!$F:$F,$A16,'単価履歴'!$O:$O,
MAXIFS('単価履歴'!$O:$O,'単価履歴'!$E:$E,BG$1,'単価履歴'!$F:$F,$A16))=0,"",
MAXIFS('単価履歴'!$H:$H,'単価履歴'!$E:$E,BG$1,'単価履歴'!$F:$F,$A16,'単価履歴'!$O:$O,
MAXIFS('単価履歴'!$O:$O,'単価履歴'!$E:$E,BG$1,'単価履歴'!$F:$F,$A16)))</f>
        <v>46</v>
      </c>
      <c r="BH16" s="256" t="str">
        <f>IF(MAXIFS('単価履歴'!$H:$H,'単価履歴'!$E:$E,BH$1,'単価履歴'!$F:$F,$A16,'単価履歴'!$O:$O,
MAXIFS('単価履歴'!$O:$O,'単価履歴'!$E:$E,BH$1,'単価履歴'!$F:$F,$A16))=0,"",
MAXIFS('単価履歴'!$H:$H,'単価履歴'!$E:$E,BH$1,'単価履歴'!$F:$F,$A16,'単価履歴'!$O:$O,
MAXIFS('単価履歴'!$O:$O,'単価履歴'!$E:$E,BH$1,'単価履歴'!$F:$F,$A16)))</f>
        <v/>
      </c>
      <c r="BI16" s="264" t="str">
        <f>IF(MAXIFS('単価履歴'!$H:$H,'単価履歴'!$E:$E,BI$1,'単価履歴'!$F:$F,$A16,'単価履歴'!$O:$O,
MAXIFS('単価履歴'!$O:$O,'単価履歴'!$E:$E,BI$1,'単価履歴'!$F:$F,$A16))=0,"",
MAXIFS('単価履歴'!$H:$H,'単価履歴'!$E:$E,BI$1,'単価履歴'!$F:$F,$A16,'単価履歴'!$O:$O,
MAXIFS('単価履歴'!$O:$O,'単価履歴'!$E:$E,BI$1,'単価履歴'!$F:$F,$A16)))</f>
        <v/>
      </c>
      <c r="BJ16" s="272">
        <f>IF(MAXIFS('単価履歴'!$H:$H,'単価履歴'!$E:$E,BJ$1,'単価履歴'!$F:$F,$A16,'単価履歴'!$O:$O,
MAXIFS('単価履歴'!$O:$O,'単価履歴'!$E:$E,BJ$1,'単価履歴'!$F:$F,$A16))=0,"",
MAXIFS('単価履歴'!$H:$H,'単価履歴'!$E:$E,BJ$1,'単価履歴'!$F:$F,$A16,'単価履歴'!$O:$O,
MAXIFS('単価履歴'!$O:$O,'単価履歴'!$E:$E,BJ$1,'単価履歴'!$F:$F,$A16)))</f>
        <v>25.5</v>
      </c>
      <c r="BK16" s="264" t="str">
        <f>IF(MAXIFS('単価履歴'!$H:$H,'単価履歴'!$E:$E,BK$1,'単価履歴'!$F:$F,$A16,'単価履歴'!$O:$O,
MAXIFS('単価履歴'!$O:$O,'単価履歴'!$E:$E,BK$1,'単価履歴'!$F:$F,$A16))=0,"",
MAXIFS('単価履歴'!$H:$H,'単価履歴'!$E:$E,BK$1,'単価履歴'!$F:$F,$A16,'単価履歴'!$O:$O,
MAXIFS('単価履歴'!$O:$O,'単価履歴'!$E:$E,BK$1,'単価履歴'!$F:$F,$A16)))</f>
        <v/>
      </c>
      <c r="BL16" s="264" t="str">
        <f>IF(MAXIFS('単価履歴'!$H:$H,'単価履歴'!$E:$E,BL$1,'単価履歴'!$F:$F,$A16,'単価履歴'!$O:$O,
MAXIFS('単価履歴'!$O:$O,'単価履歴'!$E:$E,BL$1,'単価履歴'!$F:$F,$A16))=0,"",
MAXIFS('単価履歴'!$H:$H,'単価履歴'!$E:$E,BL$1,'単価履歴'!$F:$F,$A16,'単価履歴'!$O:$O,
MAXIFS('単価履歴'!$O:$O,'単価履歴'!$E:$E,BL$1,'単価履歴'!$F:$F,$A16)))</f>
        <v/>
      </c>
      <c r="BM16" s="264" t="str">
        <f>IF(MAXIFS('単価履歴'!$H:$H,'単価履歴'!$E:$E,BM$1,'単価履歴'!$F:$F,$A16,'単価履歴'!$O:$O,
MAXIFS('単価履歴'!$O:$O,'単価履歴'!$E:$E,BM$1,'単価履歴'!$F:$F,$A16))=0,"",
MAXIFS('単価履歴'!$H:$H,'単価履歴'!$E:$E,BM$1,'単価履歴'!$F:$F,$A16,'単価履歴'!$O:$O,
MAXIFS('単価履歴'!$O:$O,'単価履歴'!$E:$E,BM$1,'単価履歴'!$F:$F,$A16)))</f>
        <v/>
      </c>
      <c r="BN16" s="263" t="str">
        <f>IF(MAXIFS('単価履歴'!$H:$H,'単価履歴'!$E:$E,BN$1,'単価履歴'!$F:$F,$A16,'単価履歴'!$O:$O,
MAXIFS('単価履歴'!$O:$O,'単価履歴'!$E:$E,BN$1,'単価履歴'!$F:$F,$A16))=0,"",
MAXIFS('単価履歴'!$H:$H,'単価履歴'!$E:$E,BN$1,'単価履歴'!$F:$F,$A16,'単価履歴'!$O:$O,
MAXIFS('単価履歴'!$O:$O,'単価履歴'!$E:$E,BN$1,'単価履歴'!$F:$F,$A16)))</f>
        <v/>
      </c>
      <c r="BO16" s="256" t="str">
        <f>IF(MAXIFS('単価履歴'!$H:$H,'単価履歴'!$E:$E,BO$1,'単価履歴'!$F:$F,$A16,'単価履歴'!$O:$O,
MAXIFS('単価履歴'!$O:$O,'単価履歴'!$E:$E,BO$1,'単価履歴'!$F:$F,$A16))=0,"",
MAXIFS('単価履歴'!$H:$H,'単価履歴'!$E:$E,BO$1,'単価履歴'!$F:$F,$A16,'単価履歴'!$O:$O,
MAXIFS('単価履歴'!$O:$O,'単価履歴'!$E:$E,BO$1,'単価履歴'!$F:$F,$A16)))</f>
        <v/>
      </c>
      <c r="BP16" s="264" t="str">
        <f>IF(MAXIFS('単価履歴'!$H:$H,'単価履歴'!$E:$E,BP$1,'単価履歴'!$F:$F,$A16,'単価履歴'!$O:$O,
MAXIFS('単価履歴'!$O:$O,'単価履歴'!$E:$E,BP$1,'単価履歴'!$F:$F,$A16))=0,"",
MAXIFS('単価履歴'!$H:$H,'単価履歴'!$E:$E,BP$1,'単価履歴'!$F:$F,$A16,'単価履歴'!$O:$O,
MAXIFS('単価履歴'!$O:$O,'単価履歴'!$E:$E,BP$1,'単価履歴'!$F:$F,$A16)))</f>
        <v/>
      </c>
      <c r="BQ16" s="256"/>
      <c r="BR16" s="256"/>
      <c r="BS16" s="256"/>
      <c r="BT16" s="256"/>
      <c r="BU16" s="256"/>
      <c r="BV16" s="256"/>
      <c r="BW16" s="256"/>
      <c r="BX16" s="256"/>
    </row>
    <row r="17">
      <c r="A17" s="267" t="s">
        <v>119</v>
      </c>
      <c r="B17" s="246">
        <f>IF(MAXIFS('単価履歴'!$H:$H,'単価履歴'!$E:$E,B$1,'単価履歴'!$F:$F,$A17,'単価履歴'!$O:$O,
MAXIFS('単価履歴'!$O:$O,'単価履歴'!$E:$E,B$1,'単価履歴'!$F:$F,$A17))=0,"",
MAXIFS('単価履歴'!$H:$H,'単価履歴'!$E:$E,B$1,'単価履歴'!$F:$F,$A17,'単価履歴'!$O:$O,
MAXIFS('単価履歴'!$O:$O,'単価履歴'!$E:$E,B$1,'単価履歴'!$F:$F,$A17)))</f>
        <v>53</v>
      </c>
      <c r="C17" s="247">
        <f>IF(MAXIFS('単価履歴'!$H:$H,'単価履歴'!$E:$E,C$1,'単価履歴'!$F:$F,$A17,'単価履歴'!$O:$O,
MAXIFS('単価履歴'!$O:$O,'単価履歴'!$E:$E,C$1,'単価履歴'!$F:$F,$A17))=0,"",
MAXIFS('単価履歴'!$H:$H,'単価履歴'!$E:$E,C$1,'単価履歴'!$F:$F,$A17,'単価履歴'!$O:$O,
MAXIFS('単価履歴'!$O:$O,'単価履歴'!$E:$E,C$1,'単価履歴'!$F:$F,$A17)))</f>
        <v>51.5</v>
      </c>
      <c r="D17" s="246">
        <f>IF(MAXIFS('単価履歴'!$H:$H,'単価履歴'!$E:$E,D$1,'単価履歴'!$F:$F,$A17,'単価履歴'!$O:$O,
MAXIFS('単価履歴'!$O:$O,'単価履歴'!$E:$E,D$1,'単価履歴'!$F:$F,$A17))=0,"",
MAXIFS('単価履歴'!$H:$H,'単価履歴'!$E:$E,D$1,'単価履歴'!$F:$F,$A17,'単価履歴'!$O:$O,
MAXIFS('単価履歴'!$O:$O,'単価履歴'!$E:$E,D$1,'単価履歴'!$F:$F,$A17)))</f>
        <v>45.3</v>
      </c>
      <c r="E17" s="246"/>
      <c r="F17" s="246"/>
      <c r="G17" s="257">
        <f>IF(MAXIFS('単価履歴'!$H:$H,'単価履歴'!$E:$E,G$1,'単価履歴'!$F:$F,$A17,'単価履歴'!$O:$O,
MAXIFS('単価履歴'!$O:$O,'単価履歴'!$E:$E,G$1,'単価履歴'!$F:$F,$A17))=0,"",
MAXIFS('単価履歴'!$H:$H,'単価履歴'!$E:$E,G$1,'単価履歴'!$F:$F,$A17,'単価履歴'!$O:$O,
MAXIFS('単価履歴'!$O:$O,'単価履歴'!$E:$E,G$1,'単価履歴'!$F:$F,$A17)))</f>
        <v>54</v>
      </c>
      <c r="H17" s="246">
        <f>IF(MAXIFS('単価履歴'!$H:$H,'単価履歴'!$E:$E,H$1,'単価履歴'!$F:$F,$A17,'単価履歴'!$O:$O,
MAXIFS('単価履歴'!$O:$O,'単価履歴'!$E:$E,H$1,'単価履歴'!$F:$F,$A17))=0,"",
MAXIFS('単価履歴'!$H:$H,'単価履歴'!$E:$E,H$1,'単価履歴'!$F:$F,$A17,'単価履歴'!$O:$O,
MAXIFS('単価履歴'!$O:$O,'単価履歴'!$E:$E,H$1,'単価履歴'!$F:$F,$A17)))</f>
        <v>53.3</v>
      </c>
      <c r="I17" s="249">
        <f>IF(MAXIFS('単価履歴'!$H:$H,'単価履歴'!$E:$E,I$1,'単価履歴'!$F:$F,$A17,'単価履歴'!$O:$O,
MAXIFS('単価履歴'!$O:$O,'単価履歴'!$E:$E,I$1,'単価履歴'!$F:$F,$A17))=0,"",
MAXIFS('単価履歴'!$H:$H,'単価履歴'!$E:$E,I$1,'単価履歴'!$F:$F,$A17,'単価履歴'!$O:$O,
MAXIFS('単価履歴'!$O:$O,'単価履歴'!$E:$E,I$1,'単価履歴'!$F:$F,$A17)))</f>
        <v>2</v>
      </c>
      <c r="J17" s="248" t="str">
        <f>IF(MAXIFS('単価履歴'!$H:$H,'単価履歴'!$E:$E,J$1,'単価履歴'!$F:$F,$A17,'単価履歴'!$O:$O,
MAXIFS('単価履歴'!$O:$O,'単価履歴'!$E:$E,J$1,'単価履歴'!$F:$F,$A17))=0,"",
MAXIFS('単価履歴'!$H:$H,'単価履歴'!$E:$E,J$1,'単価履歴'!$F:$F,$A17,'単価履歴'!$O:$O,
MAXIFS('単価履歴'!$O:$O,'単価履歴'!$E:$E,J$1,'単価履歴'!$F:$F,$A17)))</f>
        <v/>
      </c>
      <c r="K17" s="285">
        <v>41.0</v>
      </c>
      <c r="L17" s="285">
        <v>24.2</v>
      </c>
      <c r="M17" s="249"/>
      <c r="N17" s="285">
        <v>32.5</v>
      </c>
      <c r="O17" s="247">
        <f>IF(MAXIFS('単価履歴'!$H:$H,'単価履歴'!$E:$E,O$1,'単価履歴'!$F:$F,$A17,'単価履歴'!$O:$O,
MAXIFS('単価履歴'!$O:$O,'単価履歴'!$E:$E,O$1,'単価履歴'!$F:$F,$A17))=0,"",
MAXIFS('単価履歴'!$H:$H,'単価履歴'!$E:$E,O$1,'単価履歴'!$F:$F,$A17,'単価履歴'!$O:$O,
MAXIFS('単価履歴'!$O:$O,'単価履歴'!$E:$E,O$1,'単価履歴'!$F:$F,$A17)))</f>
        <v>54.5</v>
      </c>
      <c r="P17" s="252" t="str">
        <f>IF(MAXIFS('単価履歴'!$H:$H,'単価履歴'!$E:$E,P$1,'単価履歴'!$F:$F,$A17,'単価履歴'!$O:$O,
MAXIFS('単価履歴'!$O:$O,'単価履歴'!$E:$E,P$1,'単価履歴'!$F:$F,$A17))=0,"",
MAXIFS('単価履歴'!$H:$H,'単価履歴'!$E:$E,P$1,'単価履歴'!$F:$F,$A17,'単価履歴'!$O:$O,
MAXIFS('単価履歴'!$O:$O,'単価履歴'!$E:$E,P$1,'単価履歴'!$F:$F,$A17)))</f>
        <v/>
      </c>
      <c r="Q17" s="248" t="str">
        <f>IF(MAXIFS('単価履歴'!$H:$H,'単価履歴'!$E:$E,Q$1,'単価履歴'!$F:$F,$A17,'単価履歴'!$O:$O,
MAXIFS('単価履歴'!$O:$O,'単価履歴'!$E:$E,Q$1,'単価履歴'!$F:$F,$A17))=0,"",
MAXIFS('単価履歴'!$H:$H,'単価履歴'!$E:$E,Q$1,'単価履歴'!$F:$F,$A17,'単価履歴'!$O:$O,
MAXIFS('単価履歴'!$O:$O,'単価履歴'!$E:$E,Q$1,'単価履歴'!$F:$F,$A17)))</f>
        <v/>
      </c>
      <c r="R17" s="252" t="str">
        <f>IF(MAXIFS('単価履歴'!$H:$H,'単価履歴'!$E:$E,R$1,'単価履歴'!$F:$F,$A17,'単価履歴'!$O:$O,
MAXIFS('単価履歴'!$O:$O,'単価履歴'!$E:$E,R$1,'単価履歴'!$F:$F,$A17))=0,"",
MAXIFS('単価履歴'!$H:$H,'単価履歴'!$E:$E,R$1,'単価履歴'!$F:$F,$A17,'単価履歴'!$O:$O,
MAXIFS('単価履歴'!$O:$O,'単価履歴'!$E:$E,R$1,'単価履歴'!$F:$F,$A17)))</f>
        <v/>
      </c>
      <c r="S17" s="247">
        <f>IF(MAXIFS('単価履歴'!$H:$H,'単価履歴'!$E:$E,S$1,'単価履歴'!$F:$F,$A17,'単価履歴'!$O:$O,
MAXIFS('単価履歴'!$O:$O,'単価履歴'!$E:$E,S$1,'単価履歴'!$F:$F,$A17))=0,"",
MAXIFS('単価履歴'!$H:$H,'単価履歴'!$E:$E,S$1,'単価履歴'!$F:$F,$A17,'単価履歴'!$O:$O,
MAXIFS('単価履歴'!$O:$O,'単価履歴'!$E:$E,S$1,'単価履歴'!$F:$F,$A17)))</f>
        <v>51</v>
      </c>
      <c r="T17" s="246" t="str">
        <f>IF(MAXIFS('単価履歴'!$H:$H,'単価履歴'!$E:$E,T$1,'単価履歴'!$F:$F,$A17,'単価履歴'!$O:$O,
MAXIFS('単価履歴'!$O:$O,'単価履歴'!$E:$E,T$1,'単価履歴'!$F:$F,$A17))=0,"",
MAXIFS('単価履歴'!$H:$H,'単価履歴'!$E:$E,T$1,'単価履歴'!$F:$F,$A17,'単価履歴'!$O:$O,
MAXIFS('単価履歴'!$O:$O,'単価履歴'!$E:$E,T$1,'単価履歴'!$F:$F,$A17)))</f>
        <v/>
      </c>
      <c r="U17" s="249" t="str">
        <f>IF(MAXIFS('単価履歴'!$H:$H,'単価履歴'!$E:$E,U$1,'単価履歴'!$F:$F,$A17,'単価履歴'!$O:$O,
MAXIFS('単価履歴'!$O:$O,'単価履歴'!$E:$E,U$1,'単価履歴'!$F:$F,$A17))=0,"",
MAXIFS('単価履歴'!$H:$H,'単価履歴'!$E:$E,U$1,'単価履歴'!$F:$F,$A17,'単価履歴'!$O:$O,
MAXIFS('単価履歴'!$O:$O,'単価履歴'!$E:$E,U$1,'単価履歴'!$F:$F,$A17)))</f>
        <v/>
      </c>
      <c r="V17" s="251">
        <f>IF(MAXIFS('単価履歴'!$H:$H,'単価履歴'!$E:$E,V$1,'単価履歴'!$F:$F,$A17,'単価履歴'!$O:$O,
MAXIFS('単価履歴'!$O:$O,'単価履歴'!$E:$E,V$1,'単価履歴'!$F:$F,$A17))=0,"",
MAXIFS('単価履歴'!$H:$H,'単価履歴'!$E:$E,V$1,'単価履歴'!$F:$F,$A17,'単価履歴'!$O:$O,
MAXIFS('単価履歴'!$O:$O,'単価履歴'!$E:$E,V$1,'単価履歴'!$F:$F,$A17)))</f>
        <v>40</v>
      </c>
      <c r="W17" s="252" t="str">
        <f>IF(MAXIFS('単価履歴'!$H:$H,'単価履歴'!$E:$E,W$1,'単価履歴'!$F:$F,$A17,'単価履歴'!$O:$O,
MAXIFS('単価履歴'!$O:$O,'単価履歴'!$E:$E,W$1,'単価履歴'!$F:$F,$A17))=0,"",
MAXIFS('単価履歴'!$H:$H,'単価履歴'!$E:$E,W$1,'単価履歴'!$F:$F,$A17,'単価履歴'!$O:$O,
MAXIFS('単価履歴'!$O:$O,'単価履歴'!$E:$E,W$1,'単価履歴'!$F:$F,$A17)))</f>
        <v/>
      </c>
      <c r="X17" s="249" t="str">
        <f>IF(MAXIFS('単価履歴'!$H:$H,'単価履歴'!$E:$E,X$1,'単価履歴'!$F:$F,$A17,'単価履歴'!$O:$O,
MAXIFS('単価履歴'!$O:$O,'単価履歴'!$E:$E,X$1,'単価履歴'!$F:$F,$A17))=0,"",
MAXIFS('単価履歴'!$H:$H,'単価履歴'!$E:$E,X$1,'単価履歴'!$F:$F,$A17,'単価履歴'!$O:$O,
MAXIFS('単価履歴'!$O:$O,'単価履歴'!$E:$E,X$1,'単価履歴'!$F:$F,$A17)))</f>
        <v/>
      </c>
      <c r="Y17" s="251" t="str">
        <f>IF(MAXIFS('単価履歴'!$H:$H,'単価履歴'!$E:$E,Y$1,'単価履歴'!$F:$F,$A17,'単価履歴'!$O:$O,
MAXIFS('単価履歴'!$O:$O,'単価履歴'!$E:$E,Y$1,'単価履歴'!$F:$F,$A17))=0,"",
MAXIFS('単価履歴'!$H:$H,'単価履歴'!$E:$E,Y$1,'単価履歴'!$F:$F,$A17,'単価履歴'!$O:$O,
MAXIFS('単価履歴'!$O:$O,'単価履歴'!$E:$E,Y$1,'単価履歴'!$F:$F,$A17)))</f>
        <v/>
      </c>
      <c r="Z17" s="249" t="str">
        <f>IF(MAXIFS('単価履歴'!$H:$H,'単価履歴'!$E:$E,Z$1,'単価履歴'!$F:$F,$A17,'単価履歴'!$O:$O,
MAXIFS('単価履歴'!$O:$O,'単価履歴'!$E:$E,Z$1,'単価履歴'!$F:$F,$A17))=0,"",
MAXIFS('単価履歴'!$H:$H,'単価履歴'!$E:$E,Z$1,'単価履歴'!$F:$F,$A17,'単価履歴'!$O:$O,
MAXIFS('単価履歴'!$O:$O,'単価履歴'!$E:$E,Z$1,'単価履歴'!$F:$F,$A17)))</f>
        <v/>
      </c>
      <c r="AA17" s="251" t="str">
        <f>IF(MAXIFS('単価履歴'!$H:$H,'単価履歴'!$E:$E,AA$1,'単価履歴'!$F:$F,$A17,'単価履歴'!$O:$O,
MAXIFS('単価履歴'!$O:$O,'単価履歴'!$E:$E,AA$1,'単価履歴'!$F:$F,$A17))=0,"",
MAXIFS('単価履歴'!$H:$H,'単価履歴'!$E:$E,AA$1,'単価履歴'!$F:$F,$A17,'単価履歴'!$O:$O,
MAXIFS('単価履歴'!$O:$O,'単価履歴'!$E:$E,AA$1,'単価履歴'!$F:$F,$A17)))</f>
        <v/>
      </c>
      <c r="AB17" s="252" t="str">
        <f>IF(MAXIFS('単価履歴'!$H:$H,'単価履歴'!$E:$E,AB$1,'単価履歴'!$F:$F,$A17,'単価履歴'!$O:$O,
MAXIFS('単価履歴'!$O:$O,'単価履歴'!$E:$E,AB$1,'単価履歴'!$F:$F,$A17))=0,"",
MAXIFS('単価履歴'!$H:$H,'単価履歴'!$E:$E,AB$1,'単価履歴'!$F:$F,$A17,'単価履歴'!$O:$O,
MAXIFS('単価履歴'!$O:$O,'単価履歴'!$E:$E,AB$1,'単価履歴'!$F:$F,$A17)))</f>
        <v/>
      </c>
      <c r="AC17" s="249" t="str">
        <f>IF(MAXIFS('単価履歴'!$H:$H,'単価履歴'!$E:$E,AC$1,'単価履歴'!$F:$F,$A17,'単価履歴'!$O:$O,
MAXIFS('単価履歴'!$O:$O,'単価履歴'!$E:$E,AC$1,'単価履歴'!$F:$F,$A17))=0,"",
MAXIFS('単価履歴'!$H:$H,'単価履歴'!$E:$E,AC$1,'単価履歴'!$F:$F,$A17,'単価履歴'!$O:$O,
MAXIFS('単価履歴'!$O:$O,'単価履歴'!$E:$E,AC$1,'単価履歴'!$F:$F,$A17)))</f>
        <v/>
      </c>
      <c r="AD17" s="251" t="str">
        <f>IF(MAXIFS('単価履歴'!$H:$H,'単価履歴'!$E:$E,AD$1,'単価履歴'!$F:$F,$A17,'単価履歴'!$O:$O,
MAXIFS('単価履歴'!$O:$O,'単価履歴'!$E:$E,AD$1,'単価履歴'!$F:$F,$A17))=0,"",
MAXIFS('単価履歴'!$H:$H,'単価履歴'!$E:$E,AD$1,'単価履歴'!$F:$F,$A17,'単価履歴'!$O:$O,
MAXIFS('単価履歴'!$O:$O,'単価履歴'!$E:$E,AD$1,'単価履歴'!$F:$F,$A17)))</f>
        <v/>
      </c>
      <c r="AE17" s="252" t="str">
        <f>IF(MAXIFS('単価履歴'!$H:$H,'単価履歴'!$E:$E,AE$1,'単価履歴'!$F:$F,$A17,'単価履歴'!$O:$O,
MAXIFS('単価履歴'!$O:$O,'単価履歴'!$E:$E,AE$1,'単価履歴'!$F:$F,$A17))=0,"",
MAXIFS('単価履歴'!$H:$H,'単価履歴'!$E:$E,AE$1,'単価履歴'!$F:$F,$A17,'単価履歴'!$O:$O,
MAXIFS('単価履歴'!$O:$O,'単価履歴'!$E:$E,AE$1,'単価履歴'!$F:$F,$A17)))</f>
        <v/>
      </c>
      <c r="AF17" s="249" t="str">
        <f>IF(MAXIFS('単価履歴'!$H:$H,'単価履歴'!$E:$E,AF$1,'単価履歴'!$F:$F,$A17,'単価履歴'!$O:$O,
MAXIFS('単価履歴'!$O:$O,'単価履歴'!$E:$E,AF$1,'単価履歴'!$F:$F,$A17))=0,"",
MAXIFS('単価履歴'!$H:$H,'単価履歴'!$E:$E,AF$1,'単価履歴'!$F:$F,$A17,'単価履歴'!$O:$O,
MAXIFS('単価履歴'!$O:$O,'単価履歴'!$E:$E,AF$1,'単価履歴'!$F:$F,$A17)))</f>
        <v/>
      </c>
      <c r="AG17" s="257">
        <f>IF(MAXIFS('単価履歴'!$H:$H,'単価履歴'!$E:$E,AG$1,'単価履歴'!$F:$F,$A17,'単価履歴'!$O:$O,
MAXIFS('単価履歴'!$O:$O,'単価履歴'!$E:$E,AG$1,'単価履歴'!$F:$F,$A17))=0,"",
MAXIFS('単価履歴'!$H:$H,'単価履歴'!$E:$E,AG$1,'単価履歴'!$F:$F,$A17,'単価履歴'!$O:$O,
MAXIFS('単価履歴'!$O:$O,'単価履歴'!$E:$E,AG$1,'単価履歴'!$F:$F,$A17)))</f>
        <v>53</v>
      </c>
      <c r="AH17" s="246">
        <f>IF(MAXIFS('単価履歴'!$H:$H,'単価履歴'!$E:$E,AH$1,'単価履歴'!$F:$F,$A17,'単価履歴'!$O:$O,
MAXIFS('単価履歴'!$O:$O,'単価履歴'!$E:$E,AH$1,'単価履歴'!$F:$F,$A17))=0,"",
MAXIFS('単価履歴'!$H:$H,'単価履歴'!$E:$E,AH$1,'単価履歴'!$F:$F,$A17,'単価履歴'!$O:$O,
MAXIFS('単価履歴'!$O:$O,'単価履歴'!$E:$E,AH$1,'単価履歴'!$F:$F,$A17)))</f>
        <v>54.1</v>
      </c>
      <c r="AI17" s="251" t="str">
        <f>IF(MAXIFS('単価履歴'!$H:$H,'単価履歴'!$E:$E,AI$1,'単価履歴'!$F:$F,$A17,'単価履歴'!$O:$O,
MAXIFS('単価履歴'!$O:$O,'単価履歴'!$E:$E,AI$1,'単価履歴'!$F:$F,$A17))=0,"",
MAXIFS('単価履歴'!$H:$H,'単価履歴'!$E:$E,AI$1,'単価履歴'!$F:$F,$A17,'単価履歴'!$O:$O,
MAXIFS('単価履歴'!$O:$O,'単価履歴'!$E:$E,AI$1,'単価履歴'!$F:$F,$A17)))</f>
        <v/>
      </c>
      <c r="AJ17" s="249" t="str">
        <f>IF(MAXIFS('単価履歴'!$H:$H,'単価履歴'!$E:$E,AJ$1,'単価履歴'!$F:$F,$A17,'単価履歴'!$O:$O,
MAXIFS('単価履歴'!$O:$O,'単価履歴'!$E:$E,AJ$1,'単価履歴'!$F:$F,$A17))=0,"",
MAXIFS('単価履歴'!$H:$H,'単価履歴'!$E:$E,AJ$1,'単価履歴'!$F:$F,$A17,'単価履歴'!$O:$O,
MAXIFS('単価履歴'!$O:$O,'単価履歴'!$E:$E,AJ$1,'単価履歴'!$F:$F,$A17)))</f>
        <v/>
      </c>
      <c r="AK17" s="247">
        <f>IF(MAXIFS('単価履歴'!$H:$H,'単価履歴'!$E:$E,AK$1,'単価履歴'!$F:$F,$A17,'単価履歴'!$O:$O,
MAXIFS('単価履歴'!$O:$O,'単価履歴'!$E:$E,AK$1,'単価履歴'!$F:$F,$A17))=0,"",
MAXIFS('単価履歴'!$H:$H,'単価履歴'!$E:$E,AK$1,'単価履歴'!$F:$F,$A17,'単価履歴'!$O:$O,
MAXIFS('単価履歴'!$O:$O,'単価履歴'!$E:$E,AK$1,'単価履歴'!$F:$F,$A17)))</f>
        <v>53</v>
      </c>
      <c r="AL17" s="249" t="str">
        <f>IF(MAXIFS('単価履歴'!$H:$H,'単価履歴'!$E:$E,AL$1,'単価履歴'!$F:$F,$A17,'単価履歴'!$O:$O,
MAXIFS('単価履歴'!$O:$O,'単価履歴'!$E:$E,AL$1,'単価履歴'!$F:$F,$A17))=0,"",
MAXIFS('単価履歴'!$H:$H,'単価履歴'!$E:$E,AL$1,'単価履歴'!$F:$F,$A17,'単価履歴'!$O:$O,
MAXIFS('単価履歴'!$O:$O,'単価履歴'!$E:$E,AL$1,'単価履歴'!$F:$F,$A17)))</f>
        <v/>
      </c>
      <c r="AM17" s="247">
        <f>IF(MAXIFS('単価履歴'!$H:$H,'単価履歴'!$E:$E,AM$1,'単価履歴'!$F:$F,$A17,'単価履歴'!$O:$O,
MAXIFS('単価履歴'!$O:$O,'単価履歴'!$E:$E,AM$1,'単価履歴'!$F:$F,$A17))=0,"",
MAXIFS('単価履歴'!$H:$H,'単価履歴'!$E:$E,AM$1,'単価履歴'!$F:$F,$A17,'単価履歴'!$O:$O,
MAXIFS('単価履歴'!$O:$O,'単価履歴'!$E:$E,AM$1,'単価履歴'!$F:$F,$A17)))</f>
        <v>53</v>
      </c>
      <c r="AN17" s="258">
        <f>IF(MAXIFS('単価履歴'!$H:$H,'単価履歴'!$E:$E,AN$1,'単価履歴'!$F:$F,$A17,'単価履歴'!$O:$O,
MAXIFS('単価履歴'!$O:$O,'単価履歴'!$E:$E,AN$1,'単価履歴'!$F:$F,$A17))=0,"",
MAXIFS('単価履歴'!$H:$H,'単価履歴'!$E:$E,AN$1,'単価履歴'!$F:$F,$A17,'単価履歴'!$O:$O,
MAXIFS('単価履歴'!$O:$O,'単価履歴'!$E:$E,AN$1,'単価履歴'!$F:$F,$A17)))</f>
        <v>53</v>
      </c>
      <c r="AO17" s="247">
        <f>IF(MAXIFS('単価履歴'!$H:$H,'単価履歴'!$E:$E,AO$1,'単価履歴'!$F:$F,$A17,'単価履歴'!$O:$O,
MAXIFS('単価履歴'!$O:$O,'単価履歴'!$E:$E,AO$1,'単価履歴'!$F:$F,$A17))=0,"",
MAXIFS('単価履歴'!$H:$H,'単価履歴'!$E:$E,AO$1,'単価履歴'!$F:$F,$A17,'単価履歴'!$O:$O,
MAXIFS('単価履歴'!$O:$O,'単価履歴'!$E:$E,AO$1,'単価履歴'!$F:$F,$A17)))</f>
        <v>49.2</v>
      </c>
      <c r="AP17" s="258">
        <f>IF(MAXIFS('単価履歴'!$H:$H,'単価履歴'!$E:$E,AP$1,'単価履歴'!$F:$F,$A17,'単価履歴'!$O:$O,
MAXIFS('単価履歴'!$O:$O,'単価履歴'!$E:$E,AP$1,'単価履歴'!$F:$F,$A17))=0,"",
MAXIFS('単価履歴'!$H:$H,'単価履歴'!$E:$E,AP$1,'単価履歴'!$F:$F,$A17,'単価履歴'!$O:$O,
MAXIFS('単価履歴'!$O:$O,'単価履歴'!$E:$E,AP$1,'単価履歴'!$F:$F,$A17)))</f>
        <v>49.4</v>
      </c>
      <c r="AQ17" s="246">
        <f>IF(MAXIFS('単価履歴'!$H:$H,'単価履歴'!$E:$E,AQ$1,'単価履歴'!$F:$F,$A17,'単価履歴'!$O:$O,
MAXIFS('単価履歴'!$O:$O,'単価履歴'!$E:$E,AQ$1,'単価履歴'!$F:$F,$A17))=0,"",
MAXIFS('単価履歴'!$H:$H,'単価履歴'!$E:$E,AQ$1,'単価履歴'!$F:$F,$A17,'単価履歴'!$O:$O,
MAXIFS('単価履歴'!$O:$O,'単価履歴'!$E:$E,AQ$1,'単価履歴'!$F:$F,$A17)))</f>
        <v>50</v>
      </c>
      <c r="AR17" s="258">
        <f>IF(MAXIFS('単価履歴'!$H:$H,'単価履歴'!$E:$E,AR$1,'単価履歴'!$F:$F,$A17,'単価履歴'!$O:$O,
MAXIFS('単価履歴'!$O:$O,'単価履歴'!$E:$E,AR$1,'単価履歴'!$F:$F,$A17))=0,"",
MAXIFS('単価履歴'!$H:$H,'単価履歴'!$E:$E,AR$1,'単価履歴'!$F:$F,$A17,'単価履歴'!$O:$O,
MAXIFS('単価履歴'!$O:$O,'単価履歴'!$E:$E,AR$1,'単価履歴'!$F:$F,$A17)))</f>
        <v>49.5</v>
      </c>
      <c r="AS17" s="249"/>
      <c r="AT17" s="249" t="str">
        <f>IF(MAXIFS('単価履歴'!$H:$H,'単価履歴'!$E:$E,AT$1,'単価履歴'!$F:$F,$A17,'単価履歴'!$O:$O,
MAXIFS('単価履歴'!$O:$O,'単価履歴'!$E:$E,AT$1,'単価履歴'!$F:$F,$A17))=0,"",
MAXIFS('単価履歴'!$H:$H,'単価履歴'!$E:$E,AT$1,'単価履歴'!$F:$F,$A17,'単価履歴'!$O:$O,
MAXIFS('単価履歴'!$O:$O,'単価履歴'!$E:$E,AT$1,'単価履歴'!$F:$F,$A17)))</f>
        <v/>
      </c>
      <c r="AU17" s="249" t="str">
        <f>IF(MAXIFS('単価履歴'!$H:$H,'単価履歴'!$E:$E,AU$1,'単価履歴'!$F:$F,$A17,'単価履歴'!$O:$O,
MAXIFS('単価履歴'!$O:$O,'単価履歴'!$E:$E,AU$1,'単価履歴'!$F:$F,$A17))=0,"",
MAXIFS('単価履歴'!$H:$H,'単価履歴'!$E:$E,AU$1,'単価履歴'!$F:$F,$A17,'単価履歴'!$O:$O,
MAXIFS('単価履歴'!$O:$O,'単価履歴'!$E:$E,AU$1,'単価履歴'!$F:$F,$A17)))</f>
        <v/>
      </c>
      <c r="AV17" s="249" t="str">
        <f>IF(MAXIFS('単価履歴'!$H:$H,'単価履歴'!$E:$E,AV$1,'単価履歴'!$F:$F,$A17,'単価履歴'!$O:$O,
MAXIFS('単価履歴'!$O:$O,'単価履歴'!$E:$E,AV$1,'単価履歴'!$F:$F,$A17))=0,"",
MAXIFS('単価履歴'!$H:$H,'単価履歴'!$E:$E,AV$1,'単価履歴'!$F:$F,$A17,'単価履歴'!$O:$O,
MAXIFS('単価履歴'!$O:$O,'単価履歴'!$E:$E,AV$1,'単価履歴'!$F:$F,$A17)))</f>
        <v/>
      </c>
      <c r="AW17" s="248" t="str">
        <f>IF(MAXIFS('単価履歴'!$H:$H,'単価履歴'!$E:$E,AW$1,'単価履歴'!$F:$F,$A17,'単価履歴'!$O:$O,
MAXIFS('単価履歴'!$O:$O,'単価履歴'!$E:$E,AW$1,'単価履歴'!$F:$F,$A17))=0,"",
MAXIFS('単価履歴'!$H:$H,'単価履歴'!$E:$E,AW$1,'単価履歴'!$F:$F,$A17,'単価履歴'!$O:$O,
MAXIFS('単価履歴'!$O:$O,'単価履歴'!$E:$E,AW$1,'単価履歴'!$F:$F,$A17)))</f>
        <v/>
      </c>
      <c r="AX17" s="249" t="str">
        <f>IF(MAXIFS('単価履歴'!$H:$H,'単価履歴'!$E:$E,AX$1,'単価履歴'!$F:$F,$A17,'単価履歴'!$O:$O,
MAXIFS('単価履歴'!$O:$O,'単価履歴'!$E:$E,AX$1,'単価履歴'!$F:$F,$A17))=0,"",
MAXIFS('単価履歴'!$H:$H,'単価履歴'!$E:$E,AX$1,'単価履歴'!$F:$F,$A17,'単価履歴'!$O:$O,
MAXIFS('単価履歴'!$O:$O,'単価履歴'!$E:$E,AX$1,'単価履歴'!$F:$F,$A17)))</f>
        <v/>
      </c>
      <c r="AY17" s="251" t="str">
        <f>IF(MAXIFS('単価履歴'!$H:$H,'単価履歴'!$E:$E,AY$1,'単価履歴'!$F:$F,$A17,'単価履歴'!$O:$O,
MAXIFS('単価履歴'!$O:$O,'単価履歴'!$E:$E,AY$1,'単価履歴'!$F:$F,$A17))=0,"",
MAXIFS('単価履歴'!$H:$H,'単価履歴'!$E:$E,AY$1,'単価履歴'!$F:$F,$A17,'単価履歴'!$O:$O,
MAXIFS('単価履歴'!$O:$O,'単価履歴'!$E:$E,AY$1,'単価履歴'!$F:$F,$A17)))</f>
        <v/>
      </c>
      <c r="AZ17" s="249" t="str">
        <f>IF(MAXIFS('単価履歴'!$H:$H,'単価履歴'!$E:$E,AZ$1,'単価履歴'!$F:$F,$A17,'単価履歴'!$O:$O,
MAXIFS('単価履歴'!$O:$O,'単価履歴'!$E:$E,AZ$1,'単価履歴'!$F:$F,$A17))=0,"",
MAXIFS('単価履歴'!$H:$H,'単価履歴'!$E:$E,AZ$1,'単価履歴'!$F:$F,$A17,'単価履歴'!$O:$O,
MAXIFS('単価履歴'!$O:$O,'単価履歴'!$E:$E,AZ$1,'単価履歴'!$F:$F,$A17)))</f>
        <v/>
      </c>
      <c r="BA17" s="248" t="str">
        <f>IF(MAXIFS('単価履歴'!$H:$H,'単価履歴'!$E:$E,BA$1,'単価履歴'!$F:$F,$A17,'単価履歴'!$O:$O,
MAXIFS('単価履歴'!$O:$O,'単価履歴'!$E:$E,BA$1,'単価履歴'!$F:$F,$A17))=0,"",
MAXIFS('単価履歴'!$H:$H,'単価履歴'!$E:$E,BA$1,'単価履歴'!$F:$F,$A17,'単価履歴'!$O:$O,
MAXIFS('単価履歴'!$O:$O,'単価履歴'!$E:$E,BA$1,'単価履歴'!$F:$F,$A17)))</f>
        <v/>
      </c>
      <c r="BB17" s="258">
        <f>IF(MAXIFS('単価履歴'!$H:$H,'単価履歴'!$E:$E,BB$1,'単価履歴'!$F:$F,$A17,'単価履歴'!$O:$O,
MAXIFS('単価履歴'!$O:$O,'単価履歴'!$E:$E,BB$1,'単価履歴'!$F:$F,$A17))=0,"",
MAXIFS('単価履歴'!$H:$H,'単価履歴'!$E:$E,BB$1,'単価履歴'!$F:$F,$A17,'単価履歴'!$O:$O,
MAXIFS('単価履歴'!$O:$O,'単価履歴'!$E:$E,BB$1,'単価履歴'!$F:$F,$A17)))</f>
        <v>51</v>
      </c>
      <c r="BC17" s="249" t="str">
        <f>IF(MAXIFS('単価履歴'!$H:$H,'単価履歴'!$E:$E,BC$1,'単価履歴'!$F:$F,$A17,'単価履歴'!$O:$O,
MAXIFS('単価履歴'!$O:$O,'単価履歴'!$E:$E,BC$1,'単価履歴'!$F:$F,$A17))=0,"",
MAXIFS('単価履歴'!$H:$H,'単価履歴'!$E:$E,BC$1,'単価履歴'!$F:$F,$A17,'単価履歴'!$O:$O,
MAXIFS('単価履歴'!$O:$O,'単価履歴'!$E:$E,BC$1,'単価履歴'!$F:$F,$A17)))</f>
        <v/>
      </c>
      <c r="BD17" s="248" t="str">
        <f>IF(MAXIFS('単価履歴'!$H:$H,'単価履歴'!$E:$E,BD$1,'単価履歴'!$F:$F,$A17,'単価履歴'!$O:$O,
MAXIFS('単価履歴'!$O:$O,'単価履歴'!$E:$E,BD$1,'単価履歴'!$F:$F,$A17))=0,"",
MAXIFS('単価履歴'!$H:$H,'単価履歴'!$E:$E,BD$1,'単価履歴'!$F:$F,$A17,'単価履歴'!$O:$O,
MAXIFS('単価履歴'!$O:$O,'単価履歴'!$E:$E,BD$1,'単価履歴'!$F:$F,$A17)))</f>
        <v/>
      </c>
      <c r="BE17" s="249" t="str">
        <f>IF(MAXIFS('単価履歴'!$H:$H,'単価履歴'!$E:$E,BE$1,'単価履歴'!$F:$F,$A17,'単価履歴'!$O:$O,
MAXIFS('単価履歴'!$O:$O,'単価履歴'!$E:$E,BE$1,'単価履歴'!$F:$F,$A17))=0,"",
MAXIFS('単価履歴'!$H:$H,'単価履歴'!$E:$E,BE$1,'単価履歴'!$F:$F,$A17,'単価履歴'!$O:$O,
MAXIFS('単価履歴'!$O:$O,'単価履歴'!$E:$E,BE$1,'単価履歴'!$F:$F,$A17)))</f>
        <v/>
      </c>
      <c r="BF17" s="248" t="str">
        <f>IF(MAXIFS('単価履歴'!$H:$H,'単価履歴'!$E:$E,BF$1,'単価履歴'!$F:$F,$A17,'単価履歴'!$O:$O,
MAXIFS('単価履歴'!$O:$O,'単価履歴'!$E:$E,BF$1,'単価履歴'!$F:$F,$A17))=0,"",
MAXIFS('単価履歴'!$H:$H,'単価履歴'!$E:$E,BF$1,'単価履歴'!$F:$F,$A17,'単価履歴'!$O:$O,
MAXIFS('単価履歴'!$O:$O,'単価履歴'!$E:$E,BF$1,'単価履歴'!$F:$F,$A17)))</f>
        <v/>
      </c>
      <c r="BG17" s="249" t="str">
        <f>IF(MAXIFS('単価履歴'!$H:$H,'単価履歴'!$E:$E,BG$1,'単価履歴'!$F:$F,$A17,'単価履歴'!$O:$O,
MAXIFS('単価履歴'!$O:$O,'単価履歴'!$E:$E,BG$1,'単価履歴'!$F:$F,$A17))=0,"",
MAXIFS('単価履歴'!$H:$H,'単価履歴'!$E:$E,BG$1,'単価履歴'!$F:$F,$A17,'単価履歴'!$O:$O,
MAXIFS('単価履歴'!$O:$O,'単価履歴'!$E:$E,BG$1,'単価履歴'!$F:$F,$A17)))</f>
        <v/>
      </c>
      <c r="BH17" s="249" t="str">
        <f>IF(MAXIFS('単価履歴'!$H:$H,'単価履歴'!$E:$E,BH$1,'単価履歴'!$F:$F,$A17,'単価履歴'!$O:$O,
MAXIFS('単価履歴'!$O:$O,'単価履歴'!$E:$E,BH$1,'単価履歴'!$F:$F,$A17))=0,"",
MAXIFS('単価履歴'!$H:$H,'単価履歴'!$E:$E,BH$1,'単価履歴'!$F:$F,$A17,'単価履歴'!$O:$O,
MAXIFS('単価履歴'!$O:$O,'単価履歴'!$E:$E,BH$1,'単価履歴'!$F:$F,$A17)))</f>
        <v/>
      </c>
      <c r="BI17" s="252" t="str">
        <f>IF(MAXIFS('単価履歴'!$H:$H,'単価履歴'!$E:$E,BI$1,'単価履歴'!$F:$F,$A17,'単価履歴'!$O:$O,
MAXIFS('単価履歴'!$O:$O,'単価履歴'!$E:$E,BI$1,'単価履歴'!$F:$F,$A17))=0,"",
MAXIFS('単価履歴'!$H:$H,'単価履歴'!$E:$E,BI$1,'単価履歴'!$F:$F,$A17,'単価履歴'!$O:$O,
MAXIFS('単価履歴'!$O:$O,'単価履歴'!$E:$E,BI$1,'単価履歴'!$F:$F,$A17)))</f>
        <v/>
      </c>
      <c r="BJ17" s="252" t="str">
        <f>IF(MAXIFS('単価履歴'!$H:$H,'単価履歴'!$E:$E,BJ$1,'単価履歴'!$F:$F,$A17,'単価履歴'!$O:$O,
MAXIFS('単価履歴'!$O:$O,'単価履歴'!$E:$E,BJ$1,'単価履歴'!$F:$F,$A17))=0,"",
MAXIFS('単価履歴'!$H:$H,'単価履歴'!$E:$E,BJ$1,'単価履歴'!$F:$F,$A17,'単価履歴'!$O:$O,
MAXIFS('単価履歴'!$O:$O,'単価履歴'!$E:$E,BJ$1,'単価履歴'!$F:$F,$A17)))</f>
        <v/>
      </c>
      <c r="BK17" s="252" t="str">
        <f>IF(MAXIFS('単価履歴'!$H:$H,'単価履歴'!$E:$E,BK$1,'単価履歴'!$F:$F,$A17,'単価履歴'!$O:$O,
MAXIFS('単価履歴'!$O:$O,'単価履歴'!$E:$E,BK$1,'単価履歴'!$F:$F,$A17))=0,"",
MAXIFS('単価履歴'!$H:$H,'単価履歴'!$E:$E,BK$1,'単価履歴'!$F:$F,$A17,'単価履歴'!$O:$O,
MAXIFS('単価履歴'!$O:$O,'単価履歴'!$E:$E,BK$1,'単価履歴'!$F:$F,$A17)))</f>
        <v/>
      </c>
      <c r="BL17" s="252" t="str">
        <f>IF(MAXIFS('単価履歴'!$H:$H,'単価履歴'!$E:$E,BL$1,'単価履歴'!$F:$F,$A17,'単価履歴'!$O:$O,
MAXIFS('単価履歴'!$O:$O,'単価履歴'!$E:$E,BL$1,'単価履歴'!$F:$F,$A17))=0,"",
MAXIFS('単価履歴'!$H:$H,'単価履歴'!$E:$E,BL$1,'単価履歴'!$F:$F,$A17,'単価履歴'!$O:$O,
MAXIFS('単価履歴'!$O:$O,'単価履歴'!$E:$E,BL$1,'単価履歴'!$F:$F,$A17)))</f>
        <v/>
      </c>
      <c r="BM17" s="252" t="str">
        <f>IF(MAXIFS('単価履歴'!$H:$H,'単価履歴'!$E:$E,BM$1,'単価履歴'!$F:$F,$A17,'単価履歴'!$O:$O,
MAXIFS('単価履歴'!$O:$O,'単価履歴'!$E:$E,BM$1,'単価履歴'!$F:$F,$A17))=0,"",
MAXIFS('単価履歴'!$H:$H,'単価履歴'!$E:$E,BM$1,'単価履歴'!$F:$F,$A17,'単価履歴'!$O:$O,
MAXIFS('単価履歴'!$O:$O,'単価履歴'!$E:$E,BM$1,'単価履歴'!$F:$F,$A17)))</f>
        <v/>
      </c>
      <c r="BN17" s="248" t="str">
        <f>IF(MAXIFS('単価履歴'!$H:$H,'単価履歴'!$E:$E,BN$1,'単価履歴'!$F:$F,$A17,'単価履歴'!$O:$O,
MAXIFS('単価履歴'!$O:$O,'単価履歴'!$E:$E,BN$1,'単価履歴'!$F:$F,$A17))=0,"",
MAXIFS('単価履歴'!$H:$H,'単価履歴'!$E:$E,BN$1,'単価履歴'!$F:$F,$A17,'単価履歴'!$O:$O,
MAXIFS('単価履歴'!$O:$O,'単価履歴'!$E:$E,BN$1,'単価履歴'!$F:$F,$A17)))</f>
        <v/>
      </c>
      <c r="BO17" s="249" t="str">
        <f>IF(MAXIFS('単価履歴'!$H:$H,'単価履歴'!$E:$E,BO$1,'単価履歴'!$F:$F,$A17,'単価履歴'!$O:$O,
MAXIFS('単価履歴'!$O:$O,'単価履歴'!$E:$E,BO$1,'単価履歴'!$F:$F,$A17))=0,"",
MAXIFS('単価履歴'!$H:$H,'単価履歴'!$E:$E,BO$1,'単価履歴'!$F:$F,$A17,'単価履歴'!$O:$O,
MAXIFS('単価履歴'!$O:$O,'単価履歴'!$E:$E,BO$1,'単価履歴'!$F:$F,$A17)))</f>
        <v/>
      </c>
      <c r="BP17" s="252" t="str">
        <f>IF(MAXIFS('単価履歴'!$H:$H,'単価履歴'!$E:$E,BP$1,'単価履歴'!$F:$F,$A17,'単価履歴'!$O:$O,
MAXIFS('単価履歴'!$O:$O,'単価履歴'!$E:$E,BP$1,'単価履歴'!$F:$F,$A17))=0,"",
MAXIFS('単価履歴'!$H:$H,'単価履歴'!$E:$E,BP$1,'単価履歴'!$F:$F,$A17,'単価履歴'!$O:$O,
MAXIFS('単価履歴'!$O:$O,'単価履歴'!$E:$E,BP$1,'単価履歴'!$F:$F,$A17)))</f>
        <v/>
      </c>
      <c r="BQ17" s="249"/>
      <c r="BR17" s="249"/>
      <c r="BS17" s="249"/>
      <c r="BT17" s="249"/>
      <c r="BU17" s="249"/>
      <c r="BV17" s="249"/>
      <c r="BW17" s="249"/>
      <c r="BX17" s="249"/>
    </row>
    <row r="18">
      <c r="A18" s="261" t="s">
        <v>122</v>
      </c>
      <c r="B18" s="246">
        <f>IF(MAXIFS('単価履歴'!$H:$H,'単価履歴'!$E:$E,B$1,'単価履歴'!$F:$F,$A18,'単価履歴'!$O:$O,
MAXIFS('単価履歴'!$O:$O,'単価履歴'!$E:$E,B$1,'単価履歴'!$F:$F,$A18))=0,"",
MAXIFS('単価履歴'!$H:$H,'単価履歴'!$E:$E,B$1,'単価履歴'!$F:$F,$A18,'単価履歴'!$O:$O,
MAXIFS('単価履歴'!$O:$O,'単価履歴'!$E:$E,B$1,'単価履歴'!$F:$F,$A18)))</f>
        <v>52.5</v>
      </c>
      <c r="C18" s="262">
        <f>IF(MAXIFS('単価履歴'!$H:$H,'単価履歴'!$E:$E,C$1,'単価履歴'!$F:$F,$A18,'単価履歴'!$O:$O,
MAXIFS('単価履歴'!$O:$O,'単価履歴'!$E:$E,C$1,'単価履歴'!$F:$F,$A18))=0,"",
MAXIFS('単価履歴'!$H:$H,'単価履歴'!$E:$E,C$1,'単価履歴'!$F:$F,$A18,'単価履歴'!$O:$O,
MAXIFS('単価履歴'!$O:$O,'単価履歴'!$E:$E,C$1,'単価履歴'!$F:$F,$A18)))</f>
        <v>51</v>
      </c>
      <c r="D18" s="250">
        <f>IF(MAXIFS('単価履歴'!$H:$H,'単価履歴'!$E:$E,D$1,'単価履歴'!$F:$F,$A18,'単価履歴'!$O:$O,
MAXIFS('単価履歴'!$O:$O,'単価履歴'!$E:$E,D$1,'単価履歴'!$F:$F,$A18))=0,"",
MAXIFS('単価履歴'!$H:$H,'単価履歴'!$E:$E,D$1,'単価履歴'!$F:$F,$A18,'単価履歴'!$O:$O,
MAXIFS('単価履歴'!$O:$O,'単価履歴'!$E:$E,D$1,'単価履歴'!$F:$F,$A18)))</f>
        <v>38.8</v>
      </c>
      <c r="E18" s="250"/>
      <c r="F18" s="250"/>
      <c r="G18" s="268">
        <f>IF(MAXIFS('単価履歴'!$H:$H,'単価履歴'!$E:$E,G$1,'単価履歴'!$F:$F,$A18,'単価履歴'!$O:$O,
MAXIFS('単価履歴'!$O:$O,'単価履歴'!$E:$E,G$1,'単価履歴'!$F:$F,$A18))=0,"",
MAXIFS('単価履歴'!$H:$H,'単価履歴'!$E:$E,G$1,'単価履歴'!$F:$F,$A18,'単価履歴'!$O:$O,
MAXIFS('単価履歴'!$O:$O,'単価履歴'!$E:$E,G$1,'単価履歴'!$F:$F,$A18)))</f>
        <v>53.5</v>
      </c>
      <c r="H18" s="250">
        <f>IF(MAXIFS('単価履歴'!$H:$H,'単価履歴'!$E:$E,H$1,'単価履歴'!$F:$F,$A18,'単価履歴'!$O:$O,
MAXIFS('単価履歴'!$O:$O,'単価履歴'!$E:$E,H$1,'単価履歴'!$F:$F,$A18))=0,"",
MAXIFS('単価履歴'!$H:$H,'単価履歴'!$E:$E,H$1,'単価履歴'!$F:$F,$A18,'単価履歴'!$O:$O,
MAXIFS('単価履歴'!$O:$O,'単価履歴'!$E:$E,H$1,'単価履歴'!$F:$F,$A18)))</f>
        <v>52.3</v>
      </c>
      <c r="I18" s="256">
        <f>IF(MAXIFS('単価履歴'!$H:$H,'単価履歴'!$E:$E,I$1,'単価履歴'!$F:$F,$A18,'単価履歴'!$O:$O,
MAXIFS('単価履歴'!$O:$O,'単価履歴'!$E:$E,I$1,'単価履歴'!$F:$F,$A18))=0,"",
MAXIFS('単価履歴'!$H:$H,'単価履歴'!$E:$E,I$1,'単価履歴'!$F:$F,$A18,'単価履歴'!$O:$O,
MAXIFS('単価履歴'!$O:$O,'単価履歴'!$E:$E,I$1,'単価履歴'!$F:$F,$A18)))</f>
        <v>2</v>
      </c>
      <c r="J18" s="263" t="str">
        <f>IF(MAXIFS('単価履歴'!$H:$H,'単価履歴'!$E:$E,J$1,'単価履歴'!$F:$F,$A18,'単価履歴'!$O:$O,
MAXIFS('単価履歴'!$O:$O,'単価履歴'!$E:$E,J$1,'単価履歴'!$F:$F,$A18))=0,"",
MAXIFS('単価履歴'!$H:$H,'単価履歴'!$E:$E,J$1,'単価履歴'!$F:$F,$A18,'単価履歴'!$O:$O,
MAXIFS('単価履歴'!$O:$O,'単価履歴'!$E:$E,J$1,'単価履歴'!$F:$F,$A18)))</f>
        <v/>
      </c>
      <c r="K18" s="275">
        <v>40.5</v>
      </c>
      <c r="L18" s="250">
        <f>IF(MAXIFS('単価履歴'!$H:$H,'単価履歴'!$E:$E,L$1,'単価履歴'!$F:$F,$A18,'単価履歴'!$O:$O,
MAXIFS('単価履歴'!$O:$O,'単価履歴'!$E:$E,L$1,'単価履歴'!$F:$F,$A18))=0,"",
MAXIFS('単価履歴'!$H:$H,'単価履歴'!$E:$E,L$1,'単価履歴'!$F:$F,$A18,'単価履歴'!$O:$O,
MAXIFS('単価履歴'!$O:$O,'単価履歴'!$E:$E,L$1,'単価履歴'!$F:$F,$A18)))</f>
        <v>32.7</v>
      </c>
      <c r="M18" s="256"/>
      <c r="N18" s="275">
        <v>31.5</v>
      </c>
      <c r="O18" s="262">
        <f>IF(MAXIFS('単価履歴'!$H:$H,'単価履歴'!$E:$E,O$1,'単価履歴'!$F:$F,$A18,'単価履歴'!$O:$O,
MAXIFS('単価履歴'!$O:$O,'単価履歴'!$E:$E,O$1,'単価履歴'!$F:$F,$A18))=0,"",
MAXIFS('単価履歴'!$H:$H,'単価履歴'!$E:$E,O$1,'単価履歴'!$F:$F,$A18,'単価履歴'!$O:$O,
MAXIFS('単価履歴'!$O:$O,'単価履歴'!$E:$E,O$1,'単価履歴'!$F:$F,$A18)))</f>
        <v>50</v>
      </c>
      <c r="P18" s="264" t="str">
        <f>IF(MAXIFS('単価履歴'!$H:$H,'単価履歴'!$E:$E,P$1,'単価履歴'!$F:$F,$A18,'単価履歴'!$O:$O,
MAXIFS('単価履歴'!$O:$O,'単価履歴'!$E:$E,P$1,'単価履歴'!$F:$F,$A18))=0,"",
MAXIFS('単価履歴'!$H:$H,'単価履歴'!$E:$E,P$1,'単価履歴'!$F:$F,$A18,'単価履歴'!$O:$O,
MAXIFS('単価履歴'!$O:$O,'単価履歴'!$E:$E,P$1,'単価履歴'!$F:$F,$A18)))</f>
        <v/>
      </c>
      <c r="Q18" s="263" t="str">
        <f>IF(MAXIFS('単価履歴'!$H:$H,'単価履歴'!$E:$E,Q$1,'単価履歴'!$F:$F,$A18,'単価履歴'!$O:$O,
MAXIFS('単価履歴'!$O:$O,'単価履歴'!$E:$E,Q$1,'単価履歴'!$F:$F,$A18))=0,"",
MAXIFS('単価履歴'!$H:$H,'単価履歴'!$E:$E,Q$1,'単価履歴'!$F:$F,$A18,'単価履歴'!$O:$O,
MAXIFS('単価履歴'!$O:$O,'単価履歴'!$E:$E,Q$1,'単価履歴'!$F:$F,$A18)))</f>
        <v/>
      </c>
      <c r="R18" s="264" t="str">
        <f>IF(MAXIFS('単価履歴'!$H:$H,'単価履歴'!$E:$E,R$1,'単価履歴'!$F:$F,$A18,'単価履歴'!$O:$O,
MAXIFS('単価履歴'!$O:$O,'単価履歴'!$E:$E,R$1,'単価履歴'!$F:$F,$A18))=0,"",
MAXIFS('単価履歴'!$H:$H,'単価履歴'!$E:$E,R$1,'単価履歴'!$F:$F,$A18,'単価履歴'!$O:$O,
MAXIFS('単価履歴'!$O:$O,'単価履歴'!$E:$E,R$1,'単価履歴'!$F:$F,$A18)))</f>
        <v/>
      </c>
      <c r="S18" s="262">
        <f>IF(MAXIFS('単価履歴'!$H:$H,'単価履歴'!$E:$E,S$1,'単価履歴'!$F:$F,$A18,'単価履歴'!$O:$O,
MAXIFS('単価履歴'!$O:$O,'単価履歴'!$E:$E,S$1,'単価履歴'!$F:$F,$A18))=0,"",
MAXIFS('単価履歴'!$H:$H,'単価履歴'!$E:$E,S$1,'単価履歴'!$F:$F,$A18,'単価履歴'!$O:$O,
MAXIFS('単価履歴'!$O:$O,'単価履歴'!$E:$E,S$1,'単価履歴'!$F:$F,$A18)))</f>
        <v>51</v>
      </c>
      <c r="T18" s="250" t="str">
        <f>IF(MAXIFS('単価履歴'!$H:$H,'単価履歴'!$E:$E,T$1,'単価履歴'!$F:$F,$A18,'単価履歴'!$O:$O,
MAXIFS('単価履歴'!$O:$O,'単価履歴'!$E:$E,T$1,'単価履歴'!$F:$F,$A18))=0,"",
MAXIFS('単価履歴'!$H:$H,'単価履歴'!$E:$E,T$1,'単価履歴'!$F:$F,$A18,'単価履歴'!$O:$O,
MAXIFS('単価履歴'!$O:$O,'単価履歴'!$E:$E,T$1,'単価履歴'!$F:$F,$A18)))</f>
        <v/>
      </c>
      <c r="U18" s="256" t="str">
        <f>IF(MAXIFS('単価履歴'!$H:$H,'単価履歴'!$E:$E,U$1,'単価履歴'!$F:$F,$A18,'単価履歴'!$O:$O,
MAXIFS('単価履歴'!$O:$O,'単価履歴'!$E:$E,U$1,'単価履歴'!$F:$F,$A18))=0,"",
MAXIFS('単価履歴'!$H:$H,'単価履歴'!$E:$E,U$1,'単価履歴'!$F:$F,$A18,'単価履歴'!$O:$O,
MAXIFS('単価履歴'!$O:$O,'単価履歴'!$E:$E,U$1,'単価履歴'!$F:$F,$A18)))</f>
        <v/>
      </c>
      <c r="V18" s="254">
        <f>IF(MAXIFS('単価履歴'!$H:$H,'単価履歴'!$E:$E,V$1,'単価履歴'!$F:$F,$A18,'単価履歴'!$O:$O,
MAXIFS('単価履歴'!$O:$O,'単価履歴'!$E:$E,V$1,'単価履歴'!$F:$F,$A18))=0,"",
MAXIFS('単価履歴'!$H:$H,'単価履歴'!$E:$E,V$1,'単価履歴'!$F:$F,$A18,'単価履歴'!$O:$O,
MAXIFS('単価履歴'!$O:$O,'単価履歴'!$E:$E,V$1,'単価履歴'!$F:$F,$A18)))</f>
        <v>39</v>
      </c>
      <c r="W18" s="264" t="str">
        <f>IF(MAXIFS('単価履歴'!$H:$H,'単価履歴'!$E:$E,W$1,'単価履歴'!$F:$F,$A18,'単価履歴'!$O:$O,
MAXIFS('単価履歴'!$O:$O,'単価履歴'!$E:$E,W$1,'単価履歴'!$F:$F,$A18))=0,"",
MAXIFS('単価履歴'!$H:$H,'単価履歴'!$E:$E,W$1,'単価履歴'!$F:$F,$A18,'単価履歴'!$O:$O,
MAXIFS('単価履歴'!$O:$O,'単価履歴'!$E:$E,W$1,'単価履歴'!$F:$F,$A18)))</f>
        <v/>
      </c>
      <c r="X18" s="256" t="str">
        <f>IF(MAXIFS('単価履歴'!$H:$H,'単価履歴'!$E:$E,X$1,'単価履歴'!$F:$F,$A18,'単価履歴'!$O:$O,
MAXIFS('単価履歴'!$O:$O,'単価履歴'!$E:$E,X$1,'単価履歴'!$F:$F,$A18))=0,"",
MAXIFS('単価履歴'!$H:$H,'単価履歴'!$E:$E,X$1,'単価履歴'!$F:$F,$A18,'単価履歴'!$O:$O,
MAXIFS('単価履歴'!$O:$O,'単価履歴'!$E:$E,X$1,'単価履歴'!$F:$F,$A18)))</f>
        <v/>
      </c>
      <c r="Y18" s="254" t="str">
        <f>IF(MAXIFS('単価履歴'!$H:$H,'単価履歴'!$E:$E,Y$1,'単価履歴'!$F:$F,$A18,'単価履歴'!$O:$O,
MAXIFS('単価履歴'!$O:$O,'単価履歴'!$E:$E,Y$1,'単価履歴'!$F:$F,$A18))=0,"",
MAXIFS('単価履歴'!$H:$H,'単価履歴'!$E:$E,Y$1,'単価履歴'!$F:$F,$A18,'単価履歴'!$O:$O,
MAXIFS('単価履歴'!$O:$O,'単価履歴'!$E:$E,Y$1,'単価履歴'!$F:$F,$A18)))</f>
        <v/>
      </c>
      <c r="Z18" s="256" t="str">
        <f>IF(MAXIFS('単価履歴'!$H:$H,'単価履歴'!$E:$E,Z$1,'単価履歴'!$F:$F,$A18,'単価履歴'!$O:$O,
MAXIFS('単価履歴'!$O:$O,'単価履歴'!$E:$E,Z$1,'単価履歴'!$F:$F,$A18))=0,"",
MAXIFS('単価履歴'!$H:$H,'単価履歴'!$E:$E,Z$1,'単価履歴'!$F:$F,$A18,'単価履歴'!$O:$O,
MAXIFS('単価履歴'!$O:$O,'単価履歴'!$E:$E,Z$1,'単価履歴'!$F:$F,$A18)))</f>
        <v/>
      </c>
      <c r="AA18" s="254" t="str">
        <f>IF(MAXIFS('単価履歴'!$H:$H,'単価履歴'!$E:$E,AA$1,'単価履歴'!$F:$F,$A18,'単価履歴'!$O:$O,
MAXIFS('単価履歴'!$O:$O,'単価履歴'!$E:$E,AA$1,'単価履歴'!$F:$F,$A18))=0,"",
MAXIFS('単価履歴'!$H:$H,'単価履歴'!$E:$E,AA$1,'単価履歴'!$F:$F,$A18,'単価履歴'!$O:$O,
MAXIFS('単価履歴'!$O:$O,'単価履歴'!$E:$E,AA$1,'単価履歴'!$F:$F,$A18)))</f>
        <v/>
      </c>
      <c r="AB18" s="264" t="str">
        <f>IF(MAXIFS('単価履歴'!$H:$H,'単価履歴'!$E:$E,AB$1,'単価履歴'!$F:$F,$A18,'単価履歴'!$O:$O,
MAXIFS('単価履歴'!$O:$O,'単価履歴'!$E:$E,AB$1,'単価履歴'!$F:$F,$A18))=0,"",
MAXIFS('単価履歴'!$H:$H,'単価履歴'!$E:$E,AB$1,'単価履歴'!$F:$F,$A18,'単価履歴'!$O:$O,
MAXIFS('単価履歴'!$O:$O,'単価履歴'!$E:$E,AB$1,'単価履歴'!$F:$F,$A18)))</f>
        <v/>
      </c>
      <c r="AC18" s="256" t="str">
        <f>IF(MAXIFS('単価履歴'!$H:$H,'単価履歴'!$E:$E,AC$1,'単価履歴'!$F:$F,$A18,'単価履歴'!$O:$O,
MAXIFS('単価履歴'!$O:$O,'単価履歴'!$E:$E,AC$1,'単価履歴'!$F:$F,$A18))=0,"",
MAXIFS('単価履歴'!$H:$H,'単価履歴'!$E:$E,AC$1,'単価履歴'!$F:$F,$A18,'単価履歴'!$O:$O,
MAXIFS('単価履歴'!$O:$O,'単価履歴'!$E:$E,AC$1,'単価履歴'!$F:$F,$A18)))</f>
        <v/>
      </c>
      <c r="AD18" s="254" t="str">
        <f>IF(MAXIFS('単価履歴'!$H:$H,'単価履歴'!$E:$E,AD$1,'単価履歴'!$F:$F,$A18,'単価履歴'!$O:$O,
MAXIFS('単価履歴'!$O:$O,'単価履歴'!$E:$E,AD$1,'単価履歴'!$F:$F,$A18))=0,"",
MAXIFS('単価履歴'!$H:$H,'単価履歴'!$E:$E,AD$1,'単価履歴'!$F:$F,$A18,'単価履歴'!$O:$O,
MAXIFS('単価履歴'!$O:$O,'単価履歴'!$E:$E,AD$1,'単価履歴'!$F:$F,$A18)))</f>
        <v/>
      </c>
      <c r="AE18" s="264" t="str">
        <f>IF(MAXIFS('単価履歴'!$H:$H,'単価履歴'!$E:$E,AE$1,'単価履歴'!$F:$F,$A18,'単価履歴'!$O:$O,
MAXIFS('単価履歴'!$O:$O,'単価履歴'!$E:$E,AE$1,'単価履歴'!$F:$F,$A18))=0,"",
MAXIFS('単価履歴'!$H:$H,'単価履歴'!$E:$E,AE$1,'単価履歴'!$F:$F,$A18,'単価履歴'!$O:$O,
MAXIFS('単価履歴'!$O:$O,'単価履歴'!$E:$E,AE$1,'単価履歴'!$F:$F,$A18)))</f>
        <v/>
      </c>
      <c r="AF18" s="256" t="str">
        <f>IF(MAXIFS('単価履歴'!$H:$H,'単価履歴'!$E:$E,AF$1,'単価履歴'!$F:$F,$A18,'単価履歴'!$O:$O,
MAXIFS('単価履歴'!$O:$O,'単価履歴'!$E:$E,AF$1,'単価履歴'!$F:$F,$A18))=0,"",
MAXIFS('単価履歴'!$H:$H,'単価履歴'!$E:$E,AF$1,'単価履歴'!$F:$F,$A18,'単価履歴'!$O:$O,
MAXIFS('単価履歴'!$O:$O,'単価履歴'!$E:$E,AF$1,'単価履歴'!$F:$F,$A18)))</f>
        <v/>
      </c>
      <c r="AG18" s="268">
        <f>IF(MAXIFS('単価履歴'!$H:$H,'単価履歴'!$E:$E,AG$1,'単価履歴'!$F:$F,$A18,'単価履歴'!$O:$O,
MAXIFS('単価履歴'!$O:$O,'単価履歴'!$E:$E,AG$1,'単価履歴'!$F:$F,$A18))=0,"",
MAXIFS('単価履歴'!$H:$H,'単価履歴'!$E:$E,AG$1,'単価履歴'!$F:$F,$A18,'単価履歴'!$O:$O,
MAXIFS('単価履歴'!$O:$O,'単価履歴'!$E:$E,AG$1,'単価履歴'!$F:$F,$A18)))</f>
        <v>52.5</v>
      </c>
      <c r="AH18" s="250">
        <f>IF(MAXIFS('単価履歴'!$H:$H,'単価履歴'!$E:$E,AH$1,'単価履歴'!$F:$F,$A18,'単価履歴'!$O:$O,
MAXIFS('単価履歴'!$O:$O,'単価履歴'!$E:$E,AH$1,'単価履歴'!$F:$F,$A18))=0,"",
MAXIFS('単価履歴'!$H:$H,'単価履歴'!$E:$E,AH$1,'単価履歴'!$F:$F,$A18,'単価履歴'!$O:$O,
MAXIFS('単価履歴'!$O:$O,'単価履歴'!$E:$E,AH$1,'単価履歴'!$F:$F,$A18)))</f>
        <v>53.1</v>
      </c>
      <c r="AI18" s="254" t="str">
        <f>IF(MAXIFS('単価履歴'!$H:$H,'単価履歴'!$E:$E,AI$1,'単価履歴'!$F:$F,$A18,'単価履歴'!$O:$O,
MAXIFS('単価履歴'!$O:$O,'単価履歴'!$E:$E,AI$1,'単価履歴'!$F:$F,$A18))=0,"",
MAXIFS('単価履歴'!$H:$H,'単価履歴'!$E:$E,AI$1,'単価履歴'!$F:$F,$A18,'単価履歴'!$O:$O,
MAXIFS('単価履歴'!$O:$O,'単価履歴'!$E:$E,AI$1,'単価履歴'!$F:$F,$A18)))</f>
        <v/>
      </c>
      <c r="AJ18" s="250">
        <f>IF(MAXIFS('単価履歴'!$H:$H,'単価履歴'!$E:$E,AJ$1,'単価履歴'!$F:$F,$A18,'単価履歴'!$O:$O,
MAXIFS('単価履歴'!$O:$O,'単価履歴'!$E:$E,AJ$1,'単価履歴'!$F:$F,$A18))=0,"",
MAXIFS('単価履歴'!$H:$H,'単価履歴'!$E:$E,AJ$1,'単価履歴'!$F:$F,$A18,'単価履歴'!$O:$O,
MAXIFS('単価履歴'!$O:$O,'単価履歴'!$E:$E,AJ$1,'単価履歴'!$F:$F,$A18)))</f>
        <v>15</v>
      </c>
      <c r="AK18" s="262">
        <f>IF(MAXIFS('単価履歴'!$H:$H,'単価履歴'!$E:$E,AK$1,'単価履歴'!$F:$F,$A18,'単価履歴'!$O:$O,
MAXIFS('単価履歴'!$O:$O,'単価履歴'!$E:$E,AK$1,'単価履歴'!$F:$F,$A18))=0,"",
MAXIFS('単価履歴'!$H:$H,'単価履歴'!$E:$E,AK$1,'単価履歴'!$F:$F,$A18,'単価履歴'!$O:$O,
MAXIFS('単価履歴'!$O:$O,'単価履歴'!$E:$E,AK$1,'単価履歴'!$F:$F,$A18)))</f>
        <v>50</v>
      </c>
      <c r="AL18" s="256" t="str">
        <f>IF(MAXIFS('単価履歴'!$H:$H,'単価履歴'!$E:$E,AL$1,'単価履歴'!$F:$F,$A18,'単価履歴'!$O:$O,
MAXIFS('単価履歴'!$O:$O,'単価履歴'!$E:$E,AL$1,'単価履歴'!$F:$F,$A18))=0,"",
MAXIFS('単価履歴'!$H:$H,'単価履歴'!$E:$E,AL$1,'単価履歴'!$F:$F,$A18,'単価履歴'!$O:$O,
MAXIFS('単価履歴'!$O:$O,'単価履歴'!$E:$E,AL$1,'単価履歴'!$F:$F,$A18)))</f>
        <v/>
      </c>
      <c r="AM18" s="262">
        <f>IF(MAXIFS('単価履歴'!$H:$H,'単価履歴'!$E:$E,AM$1,'単価履歴'!$F:$F,$A18,'単価履歴'!$O:$O,
MAXIFS('単価履歴'!$O:$O,'単価履歴'!$E:$E,AM$1,'単価履歴'!$F:$F,$A18))=0,"",
MAXIFS('単価履歴'!$H:$H,'単価履歴'!$E:$E,AM$1,'単価履歴'!$F:$F,$A18,'単価履歴'!$O:$O,
MAXIFS('単価履歴'!$O:$O,'単価履歴'!$E:$E,AM$1,'単価履歴'!$F:$F,$A18)))</f>
        <v>52.5</v>
      </c>
      <c r="AN18" s="266">
        <f>IF(MAXIFS('単価履歴'!$H:$H,'単価履歴'!$E:$E,AN$1,'単価履歴'!$F:$F,$A18,'単価履歴'!$O:$O,
MAXIFS('単価履歴'!$O:$O,'単価履歴'!$E:$E,AN$1,'単価履歴'!$F:$F,$A18))=0,"",
MAXIFS('単価履歴'!$H:$H,'単価履歴'!$E:$E,AN$1,'単価履歴'!$F:$F,$A18,'単価履歴'!$O:$O,
MAXIFS('単価履歴'!$O:$O,'単価履歴'!$E:$E,AN$1,'単価履歴'!$F:$F,$A18)))</f>
        <v>52.5</v>
      </c>
      <c r="AO18" s="254" t="str">
        <f>IF(MAXIFS('単価履歴'!$H:$H,'単価履歴'!$E:$E,AO$1,'単価履歴'!$F:$F,$A18,'単価履歴'!$O:$O,
MAXIFS('単価履歴'!$O:$O,'単価履歴'!$E:$E,AO$1,'単価履歴'!$F:$F,$A18))=0,"",
MAXIFS('単価履歴'!$H:$H,'単価履歴'!$E:$E,AO$1,'単価履歴'!$F:$F,$A18,'単価履歴'!$O:$O,
MAXIFS('単価履歴'!$O:$O,'単価履歴'!$E:$E,AO$1,'単価履歴'!$F:$F,$A18)))</f>
        <v/>
      </c>
      <c r="AP18" s="264" t="str">
        <f>IF(MAXIFS('単価履歴'!$H:$H,'単価履歴'!$E:$E,AP$1,'単価履歴'!$F:$F,$A18,'単価履歴'!$O:$O,
MAXIFS('単価履歴'!$O:$O,'単価履歴'!$E:$E,AP$1,'単価履歴'!$F:$F,$A18))=0,"",
MAXIFS('単価履歴'!$H:$H,'単価履歴'!$E:$E,AP$1,'単価履歴'!$F:$F,$A18,'単価履歴'!$O:$O,
MAXIFS('単価履歴'!$O:$O,'単価履歴'!$E:$E,AP$1,'単価履歴'!$F:$F,$A18)))</f>
        <v/>
      </c>
      <c r="AQ18" s="256" t="str">
        <f>IF(MAXIFS('単価履歴'!$H:$H,'単価履歴'!$E:$E,AQ$1,'単価履歴'!$F:$F,$A18,'単価履歴'!$O:$O,
MAXIFS('単価履歴'!$O:$O,'単価履歴'!$E:$E,AQ$1,'単価履歴'!$F:$F,$A18))=0,"",
MAXIFS('単価履歴'!$H:$H,'単価履歴'!$E:$E,AQ$1,'単価履歴'!$F:$F,$A18,'単価履歴'!$O:$O,
MAXIFS('単価履歴'!$O:$O,'単価履歴'!$E:$E,AQ$1,'単価履歴'!$F:$F,$A18)))</f>
        <v/>
      </c>
      <c r="AR18" s="264" t="str">
        <f>IF(MAXIFS('単価履歴'!$H:$H,'単価履歴'!$E:$E,AR$1,'単価履歴'!$F:$F,$A18,'単価履歴'!$O:$O,
MAXIFS('単価履歴'!$O:$O,'単価履歴'!$E:$E,AR$1,'単価履歴'!$F:$F,$A18))=0,"",
MAXIFS('単価履歴'!$H:$H,'単価履歴'!$E:$E,AR$1,'単価履歴'!$F:$F,$A18,'単価履歴'!$O:$O,
MAXIFS('単価履歴'!$O:$O,'単価履歴'!$E:$E,AR$1,'単価履歴'!$F:$F,$A18)))</f>
        <v/>
      </c>
      <c r="AS18" s="256"/>
      <c r="AT18" s="256" t="str">
        <f>IF(MAXIFS('単価履歴'!$H:$H,'単価履歴'!$E:$E,AT$1,'単価履歴'!$F:$F,$A18,'単価履歴'!$O:$O,
MAXIFS('単価履歴'!$O:$O,'単価履歴'!$E:$E,AT$1,'単価履歴'!$F:$F,$A18))=0,"",
MAXIFS('単価履歴'!$H:$H,'単価履歴'!$E:$E,AT$1,'単価履歴'!$F:$F,$A18,'単価履歴'!$O:$O,
MAXIFS('単価履歴'!$O:$O,'単価履歴'!$E:$E,AT$1,'単価履歴'!$F:$F,$A18)))</f>
        <v/>
      </c>
      <c r="AU18" s="256" t="str">
        <f>IF(MAXIFS('単価履歴'!$H:$H,'単価履歴'!$E:$E,AU$1,'単価履歴'!$F:$F,$A18,'単価履歴'!$O:$O,
MAXIFS('単価履歴'!$O:$O,'単価履歴'!$E:$E,AU$1,'単価履歴'!$F:$F,$A18))=0,"",
MAXIFS('単価履歴'!$H:$H,'単価履歴'!$E:$E,AU$1,'単価履歴'!$F:$F,$A18,'単価履歴'!$O:$O,
MAXIFS('単価履歴'!$O:$O,'単価履歴'!$E:$E,AU$1,'単価履歴'!$F:$F,$A18)))</f>
        <v/>
      </c>
      <c r="AV18" s="256" t="str">
        <f>IF(MAXIFS('単価履歴'!$H:$H,'単価履歴'!$E:$E,AV$1,'単価履歴'!$F:$F,$A18,'単価履歴'!$O:$O,
MAXIFS('単価履歴'!$O:$O,'単価履歴'!$E:$E,AV$1,'単価履歴'!$F:$F,$A18))=0,"",
MAXIFS('単価履歴'!$H:$H,'単価履歴'!$E:$E,AV$1,'単価履歴'!$F:$F,$A18,'単価履歴'!$O:$O,
MAXIFS('単価履歴'!$O:$O,'単価履歴'!$E:$E,AV$1,'単価履歴'!$F:$F,$A18)))</f>
        <v/>
      </c>
      <c r="AW18" s="263" t="str">
        <f>IF(MAXIFS('単価履歴'!$H:$H,'単価履歴'!$E:$E,AW$1,'単価履歴'!$F:$F,$A18,'単価履歴'!$O:$O,
MAXIFS('単価履歴'!$O:$O,'単価履歴'!$E:$E,AW$1,'単価履歴'!$F:$F,$A18))=0,"",
MAXIFS('単価履歴'!$H:$H,'単価履歴'!$E:$E,AW$1,'単価履歴'!$F:$F,$A18,'単価履歴'!$O:$O,
MAXIFS('単価履歴'!$O:$O,'単価履歴'!$E:$E,AW$1,'単価履歴'!$F:$F,$A18)))</f>
        <v/>
      </c>
      <c r="AX18" s="256" t="str">
        <f>IF(MAXIFS('単価履歴'!$H:$H,'単価履歴'!$E:$E,AX$1,'単価履歴'!$F:$F,$A18,'単価履歴'!$O:$O,
MAXIFS('単価履歴'!$O:$O,'単価履歴'!$E:$E,AX$1,'単価履歴'!$F:$F,$A18))=0,"",
MAXIFS('単価履歴'!$H:$H,'単価履歴'!$E:$E,AX$1,'単価履歴'!$F:$F,$A18,'単価履歴'!$O:$O,
MAXIFS('単価履歴'!$O:$O,'単価履歴'!$E:$E,AX$1,'単価履歴'!$F:$F,$A18)))</f>
        <v/>
      </c>
      <c r="AY18" s="254" t="str">
        <f>IF(MAXIFS('単価履歴'!$H:$H,'単価履歴'!$E:$E,AY$1,'単価履歴'!$F:$F,$A18,'単価履歴'!$O:$O,
MAXIFS('単価履歴'!$O:$O,'単価履歴'!$E:$E,AY$1,'単価履歴'!$F:$F,$A18))=0,"",
MAXIFS('単価履歴'!$H:$H,'単価履歴'!$E:$E,AY$1,'単価履歴'!$F:$F,$A18,'単価履歴'!$O:$O,
MAXIFS('単価履歴'!$O:$O,'単価履歴'!$E:$E,AY$1,'単価履歴'!$F:$F,$A18)))</f>
        <v/>
      </c>
      <c r="AZ18" s="256" t="str">
        <f>IF(MAXIFS('単価履歴'!$H:$H,'単価履歴'!$E:$E,AZ$1,'単価履歴'!$F:$F,$A18,'単価履歴'!$O:$O,
MAXIFS('単価履歴'!$O:$O,'単価履歴'!$E:$E,AZ$1,'単価履歴'!$F:$F,$A18))=0,"",
MAXIFS('単価履歴'!$H:$H,'単価履歴'!$E:$E,AZ$1,'単価履歴'!$F:$F,$A18,'単価履歴'!$O:$O,
MAXIFS('単価履歴'!$O:$O,'単価履歴'!$E:$E,AZ$1,'単価履歴'!$F:$F,$A18)))</f>
        <v/>
      </c>
      <c r="BA18" s="263" t="str">
        <f>IF(MAXIFS('単価履歴'!$H:$H,'単価履歴'!$E:$E,BA$1,'単価履歴'!$F:$F,$A18,'単価履歴'!$O:$O,
MAXIFS('単価履歴'!$O:$O,'単価履歴'!$E:$E,BA$1,'単価履歴'!$F:$F,$A18))=0,"",
MAXIFS('単価履歴'!$H:$H,'単価履歴'!$E:$E,BA$1,'単価履歴'!$F:$F,$A18,'単価履歴'!$O:$O,
MAXIFS('単価履歴'!$O:$O,'単価履歴'!$E:$E,BA$1,'単価履歴'!$F:$F,$A18)))</f>
        <v/>
      </c>
      <c r="BB18" s="266">
        <f>IF(MAXIFS('単価履歴'!$H:$H,'単価履歴'!$E:$E,BB$1,'単価履歴'!$F:$F,$A18,'単価履歴'!$O:$O,
MAXIFS('単価履歴'!$O:$O,'単価履歴'!$E:$E,BB$1,'単価履歴'!$F:$F,$A18))=0,"",
MAXIFS('単価履歴'!$H:$H,'単価履歴'!$E:$E,BB$1,'単価履歴'!$F:$F,$A18,'単価履歴'!$O:$O,
MAXIFS('単価履歴'!$O:$O,'単価履歴'!$E:$E,BB$1,'単価履歴'!$F:$F,$A18)))</f>
        <v>48</v>
      </c>
      <c r="BC18" s="256" t="str">
        <f>IF(MAXIFS('単価履歴'!$H:$H,'単価履歴'!$E:$E,BC$1,'単価履歴'!$F:$F,$A18,'単価履歴'!$O:$O,
MAXIFS('単価履歴'!$O:$O,'単価履歴'!$E:$E,BC$1,'単価履歴'!$F:$F,$A18))=0,"",
MAXIFS('単価履歴'!$H:$H,'単価履歴'!$E:$E,BC$1,'単価履歴'!$F:$F,$A18,'単価履歴'!$O:$O,
MAXIFS('単価履歴'!$O:$O,'単価履歴'!$E:$E,BC$1,'単価履歴'!$F:$F,$A18)))</f>
        <v/>
      </c>
      <c r="BD18" s="263" t="str">
        <f>IF(MAXIFS('単価履歴'!$H:$H,'単価履歴'!$E:$E,BD$1,'単価履歴'!$F:$F,$A18,'単価履歴'!$O:$O,
MAXIFS('単価履歴'!$O:$O,'単価履歴'!$E:$E,BD$1,'単価履歴'!$F:$F,$A18))=0,"",
MAXIFS('単価履歴'!$H:$H,'単価履歴'!$E:$E,BD$1,'単価履歴'!$F:$F,$A18,'単価履歴'!$O:$O,
MAXIFS('単価履歴'!$O:$O,'単価履歴'!$E:$E,BD$1,'単価履歴'!$F:$F,$A18)))</f>
        <v/>
      </c>
      <c r="BE18" s="256" t="str">
        <f>IF(MAXIFS('単価履歴'!$H:$H,'単価履歴'!$E:$E,BE$1,'単価履歴'!$F:$F,$A18,'単価履歴'!$O:$O,
MAXIFS('単価履歴'!$O:$O,'単価履歴'!$E:$E,BE$1,'単価履歴'!$F:$F,$A18))=0,"",
MAXIFS('単価履歴'!$H:$H,'単価履歴'!$E:$E,BE$1,'単価履歴'!$F:$F,$A18,'単価履歴'!$O:$O,
MAXIFS('単価履歴'!$O:$O,'単価履歴'!$E:$E,BE$1,'単価履歴'!$F:$F,$A18)))</f>
        <v/>
      </c>
      <c r="BF18" s="263" t="str">
        <f>IF(MAXIFS('単価履歴'!$H:$H,'単価履歴'!$E:$E,BF$1,'単価履歴'!$F:$F,$A18,'単価履歴'!$O:$O,
MAXIFS('単価履歴'!$O:$O,'単価履歴'!$E:$E,BF$1,'単価履歴'!$F:$F,$A18))=0,"",
MAXIFS('単価履歴'!$H:$H,'単価履歴'!$E:$E,BF$1,'単価履歴'!$F:$F,$A18,'単価履歴'!$O:$O,
MAXIFS('単価履歴'!$O:$O,'単価履歴'!$E:$E,BF$1,'単価履歴'!$F:$F,$A18)))</f>
        <v/>
      </c>
      <c r="BG18" s="256" t="str">
        <f>IF(MAXIFS('単価履歴'!$H:$H,'単価履歴'!$E:$E,BG$1,'単価履歴'!$F:$F,$A18,'単価履歴'!$O:$O,
MAXIFS('単価履歴'!$O:$O,'単価履歴'!$E:$E,BG$1,'単価履歴'!$F:$F,$A18))=0,"",
MAXIFS('単価履歴'!$H:$H,'単価履歴'!$E:$E,BG$1,'単価履歴'!$F:$F,$A18,'単価履歴'!$O:$O,
MAXIFS('単価履歴'!$O:$O,'単価履歴'!$E:$E,BG$1,'単価履歴'!$F:$F,$A18)))</f>
        <v/>
      </c>
      <c r="BH18" s="256" t="str">
        <f>IF(MAXIFS('単価履歴'!$H:$H,'単価履歴'!$E:$E,BH$1,'単価履歴'!$F:$F,$A18,'単価履歴'!$O:$O,
MAXIFS('単価履歴'!$O:$O,'単価履歴'!$E:$E,BH$1,'単価履歴'!$F:$F,$A18))=0,"",
MAXIFS('単価履歴'!$H:$H,'単価履歴'!$E:$E,BH$1,'単価履歴'!$F:$F,$A18,'単価履歴'!$O:$O,
MAXIFS('単価履歴'!$O:$O,'単価履歴'!$E:$E,BH$1,'単価履歴'!$F:$F,$A18)))</f>
        <v/>
      </c>
      <c r="BI18" s="264" t="str">
        <f>IF(MAXIFS('単価履歴'!$H:$H,'単価履歴'!$E:$E,BI$1,'単価履歴'!$F:$F,$A18,'単価履歴'!$O:$O,
MAXIFS('単価履歴'!$O:$O,'単価履歴'!$E:$E,BI$1,'単価履歴'!$F:$F,$A18))=0,"",
MAXIFS('単価履歴'!$H:$H,'単価履歴'!$E:$E,BI$1,'単価履歴'!$F:$F,$A18,'単価履歴'!$O:$O,
MAXIFS('単価履歴'!$O:$O,'単価履歴'!$E:$E,BI$1,'単価履歴'!$F:$F,$A18)))</f>
        <v/>
      </c>
      <c r="BJ18" s="264" t="str">
        <f>IF(MAXIFS('単価履歴'!$H:$H,'単価履歴'!$E:$E,BJ$1,'単価履歴'!$F:$F,$A18,'単価履歴'!$O:$O,
MAXIFS('単価履歴'!$O:$O,'単価履歴'!$E:$E,BJ$1,'単価履歴'!$F:$F,$A18))=0,"",
MAXIFS('単価履歴'!$H:$H,'単価履歴'!$E:$E,BJ$1,'単価履歴'!$F:$F,$A18,'単価履歴'!$O:$O,
MAXIFS('単価履歴'!$O:$O,'単価履歴'!$E:$E,BJ$1,'単価履歴'!$F:$F,$A18)))</f>
        <v/>
      </c>
      <c r="BK18" s="264" t="str">
        <f>IF(MAXIFS('単価履歴'!$H:$H,'単価履歴'!$E:$E,BK$1,'単価履歴'!$F:$F,$A18,'単価履歴'!$O:$O,
MAXIFS('単価履歴'!$O:$O,'単価履歴'!$E:$E,BK$1,'単価履歴'!$F:$F,$A18))=0,"",
MAXIFS('単価履歴'!$H:$H,'単価履歴'!$E:$E,BK$1,'単価履歴'!$F:$F,$A18,'単価履歴'!$O:$O,
MAXIFS('単価履歴'!$O:$O,'単価履歴'!$E:$E,BK$1,'単価履歴'!$F:$F,$A18)))</f>
        <v/>
      </c>
      <c r="BL18" s="264" t="str">
        <f>IF(MAXIFS('単価履歴'!$H:$H,'単価履歴'!$E:$E,BL$1,'単価履歴'!$F:$F,$A18,'単価履歴'!$O:$O,
MAXIFS('単価履歴'!$O:$O,'単価履歴'!$E:$E,BL$1,'単価履歴'!$F:$F,$A18))=0,"",
MAXIFS('単価履歴'!$H:$H,'単価履歴'!$E:$E,BL$1,'単価履歴'!$F:$F,$A18,'単価履歴'!$O:$O,
MAXIFS('単価履歴'!$O:$O,'単価履歴'!$E:$E,BL$1,'単価履歴'!$F:$F,$A18)))</f>
        <v/>
      </c>
      <c r="BM18" s="264" t="str">
        <f>IF(MAXIFS('単価履歴'!$H:$H,'単価履歴'!$E:$E,BM$1,'単価履歴'!$F:$F,$A18,'単価履歴'!$O:$O,
MAXIFS('単価履歴'!$O:$O,'単価履歴'!$E:$E,BM$1,'単価履歴'!$F:$F,$A18))=0,"",
MAXIFS('単価履歴'!$H:$H,'単価履歴'!$E:$E,BM$1,'単価履歴'!$F:$F,$A18,'単価履歴'!$O:$O,
MAXIFS('単価履歴'!$O:$O,'単価履歴'!$E:$E,BM$1,'単価履歴'!$F:$F,$A18)))</f>
        <v/>
      </c>
      <c r="BN18" s="263" t="str">
        <f>IF(MAXIFS('単価履歴'!$H:$H,'単価履歴'!$E:$E,BN$1,'単価履歴'!$F:$F,$A18,'単価履歴'!$O:$O,
MAXIFS('単価履歴'!$O:$O,'単価履歴'!$E:$E,BN$1,'単価履歴'!$F:$F,$A18))=0,"",
MAXIFS('単価履歴'!$H:$H,'単価履歴'!$E:$E,BN$1,'単価履歴'!$F:$F,$A18,'単価履歴'!$O:$O,
MAXIFS('単価履歴'!$O:$O,'単価履歴'!$E:$E,BN$1,'単価履歴'!$F:$F,$A18)))</f>
        <v/>
      </c>
      <c r="BO18" s="256" t="str">
        <f>IF(MAXIFS('単価履歴'!$H:$H,'単価履歴'!$E:$E,BO$1,'単価履歴'!$F:$F,$A18,'単価履歴'!$O:$O,
MAXIFS('単価履歴'!$O:$O,'単価履歴'!$E:$E,BO$1,'単価履歴'!$F:$F,$A18))=0,"",
MAXIFS('単価履歴'!$H:$H,'単価履歴'!$E:$E,BO$1,'単価履歴'!$F:$F,$A18,'単価履歴'!$O:$O,
MAXIFS('単価履歴'!$O:$O,'単価履歴'!$E:$E,BO$1,'単価履歴'!$F:$F,$A18)))</f>
        <v/>
      </c>
      <c r="BP18" s="264" t="str">
        <f>IF(MAXIFS('単価履歴'!$H:$H,'単価履歴'!$E:$E,BP$1,'単価履歴'!$F:$F,$A18,'単価履歴'!$O:$O,
MAXIFS('単価履歴'!$O:$O,'単価履歴'!$E:$E,BP$1,'単価履歴'!$F:$F,$A18))=0,"",
MAXIFS('単価履歴'!$H:$H,'単価履歴'!$E:$E,BP$1,'単価履歴'!$F:$F,$A18,'単価履歴'!$O:$O,
MAXIFS('単価履歴'!$O:$O,'単価履歴'!$E:$E,BP$1,'単価履歴'!$F:$F,$A18)))</f>
        <v/>
      </c>
      <c r="BQ18" s="256"/>
      <c r="BR18" s="256"/>
      <c r="BS18" s="256"/>
      <c r="BT18" s="256"/>
      <c r="BU18" s="256"/>
      <c r="BV18" s="256"/>
      <c r="BW18" s="256"/>
      <c r="BX18" s="256"/>
    </row>
    <row r="19">
      <c r="A19" s="267" t="s">
        <v>573</v>
      </c>
      <c r="B19" s="246">
        <f>IF(MAXIFS('単価履歴'!$H:$H,'単価履歴'!$E:$E,B$1,'単価履歴'!$F:$F,$A19,'単価履歴'!$O:$O,
MAXIFS('単価履歴'!$O:$O,'単価履歴'!$E:$E,B$1,'単価履歴'!$F:$F,$A19))=0,"",
MAXIFS('単価履歴'!$H:$H,'単価履歴'!$E:$E,B$1,'単価履歴'!$F:$F,$A19,'単価履歴'!$O:$O,
MAXIFS('単価履歴'!$O:$O,'単価履歴'!$E:$E,B$1,'単価履歴'!$F:$F,$A19)))</f>
        <v>48</v>
      </c>
      <c r="C19" s="251" t="str">
        <f>IF(MAXIFS('単価履歴'!$H:$H,'単価履歴'!$E:$E,C$1,'単価履歴'!$F:$F,$A19,'単価履歴'!$O:$O,
MAXIFS('単価履歴'!$O:$O,'単価履歴'!$E:$E,C$1,'単価履歴'!$F:$F,$A19))=0,"",
MAXIFS('単価履歴'!$H:$H,'単価履歴'!$E:$E,C$1,'単価履歴'!$F:$F,$A19,'単価履歴'!$O:$O,
MAXIFS('単価履歴'!$O:$O,'単価履歴'!$E:$E,C$1,'単価履歴'!$F:$F,$A19)))</f>
        <v/>
      </c>
      <c r="D19" s="249" t="str">
        <f>IF(MAXIFS('単価履歴'!$H:$H,'単価履歴'!$E:$E,D$1,'単価履歴'!$F:$F,$A19,'単価履歴'!$O:$O,
MAXIFS('単価履歴'!$O:$O,'単価履歴'!$E:$E,D$1,'単価履歴'!$F:$F,$A19))=0,"",
MAXIFS('単価履歴'!$H:$H,'単価履歴'!$E:$E,D$1,'単価履歴'!$F:$F,$A19,'単価履歴'!$O:$O,
MAXIFS('単価履歴'!$O:$O,'単価履歴'!$E:$E,D$1,'単価履歴'!$F:$F,$A19)))</f>
        <v/>
      </c>
      <c r="E19" s="249" t="str">
        <f>IF(MAXIFS('単価履歴'!$H:$H,'単価履歴'!$E:$E,E$1,'単価履歴'!$F:$F,$A19,'単価履歴'!$O:$O,
MAXIFS('単価履歴'!$O:$O,'単価履歴'!$E:$E,E$1,'単価履歴'!$F:$F,$A19))=0,"",
MAXIFS('単価履歴'!$H:$H,'単価履歴'!$E:$E,E$1,'単価履歴'!$F:$F,$A19,'単価履歴'!$O:$O,
MAXIFS('単価履歴'!$O:$O,'単価履歴'!$E:$E,E$1,'単価履歴'!$F:$F,$A19)))</f>
        <v/>
      </c>
      <c r="F19" s="249" t="str">
        <f>IF(MAXIFS('単価履歴'!$H:$H,'単価履歴'!$E:$E,F$1,'単価履歴'!$F:$F,$A19,'単価履歴'!$O:$O,
MAXIFS('単価履歴'!$O:$O,'単価履歴'!$E:$E,F$1,'単価履歴'!$F:$F,$A19))=0,"",
MAXIFS('単価履歴'!$H:$H,'単価履歴'!$E:$E,F$1,'単価履歴'!$F:$F,$A19,'単価履歴'!$O:$O,
MAXIFS('単価履歴'!$O:$O,'単価履歴'!$E:$E,F$1,'単価履歴'!$F:$F,$A19)))</f>
        <v/>
      </c>
      <c r="G19" s="257">
        <f>IF(MAXIFS('単価履歴'!$H:$H,'単価履歴'!$E:$E,G$1,'単価履歴'!$F:$F,$A19,'単価履歴'!$O:$O,
MAXIFS('単価履歴'!$O:$O,'単価履歴'!$E:$E,G$1,'単価履歴'!$F:$F,$A19))=0,"",
MAXIFS('単価履歴'!$H:$H,'単価履歴'!$E:$E,G$1,'単価履歴'!$F:$F,$A19,'単価履歴'!$O:$O,
MAXIFS('単価履歴'!$O:$O,'単価履歴'!$E:$E,G$1,'単価履歴'!$F:$F,$A19)))</f>
        <v>48</v>
      </c>
      <c r="H19" s="249" t="str">
        <f>IF(MAXIFS('単価履歴'!$H:$H,'単価履歴'!$E:$E,H$1,'単価履歴'!$F:$F,$A19,'単価履歴'!$O:$O,
MAXIFS('単価履歴'!$O:$O,'単価履歴'!$E:$E,H$1,'単価履歴'!$F:$F,$A19))=0,"",
MAXIFS('単価履歴'!$H:$H,'単価履歴'!$E:$E,H$1,'単価履歴'!$F:$F,$A19,'単価履歴'!$O:$O,
MAXIFS('単価履歴'!$O:$O,'単価履歴'!$E:$E,H$1,'単価履歴'!$F:$F,$A19)))</f>
        <v/>
      </c>
      <c r="I19" s="249" t="str">
        <f>IF(MAXIFS('単価履歴'!$H:$H,'単価履歴'!$E:$E,I$1,'単価履歴'!$F:$F,$A19,'単価履歴'!$O:$O,
MAXIFS('単価履歴'!$O:$O,'単価履歴'!$E:$E,I$1,'単価履歴'!$F:$F,$A19))=0,"",
MAXIFS('単価履歴'!$H:$H,'単価履歴'!$E:$E,I$1,'単価履歴'!$F:$F,$A19,'単価履歴'!$O:$O,
MAXIFS('単価履歴'!$O:$O,'単価履歴'!$E:$E,I$1,'単価履歴'!$F:$F,$A19)))</f>
        <v/>
      </c>
      <c r="J19" s="248" t="str">
        <f>IF(MAXIFS('単価履歴'!$H:$H,'単価履歴'!$E:$E,J$1,'単価履歴'!$F:$F,$A19,'単価履歴'!$O:$O,
MAXIFS('単価履歴'!$O:$O,'単価履歴'!$E:$E,J$1,'単価履歴'!$F:$F,$A19))=0,"",
MAXIFS('単価履歴'!$H:$H,'単価履歴'!$E:$E,J$1,'単価履歴'!$F:$F,$A19,'単価履歴'!$O:$O,
MAXIFS('単価履歴'!$O:$O,'単価履歴'!$E:$E,J$1,'単価履歴'!$F:$F,$A19)))</f>
        <v/>
      </c>
      <c r="K19" s="246" t="str">
        <f>IF(MAXIFS('単価履歴'!$H:$H,'単価履歴'!$E:$E,K$1,'単価履歴'!$F:$F,$A19,'単価履歴'!$O:$O,
MAXIFS('単価履歴'!$O:$O,'単価履歴'!$E:$E,K$1,'単価履歴'!$F:$F,$A19))=0,"",
MAXIFS('単価履歴'!$H:$H,'単価履歴'!$E:$E,K$1,'単価履歴'!$F:$F,$A19,'単価履歴'!$O:$O,
MAXIFS('単価履歴'!$O:$O,'単価履歴'!$E:$E,K$1,'単価履歴'!$F:$F,$A19)))</f>
        <v/>
      </c>
      <c r="L19" s="249" t="str">
        <f>IF(MAXIFS('単価履歴'!$H:$H,'単価履歴'!$E:$E,L$1,'単価履歴'!$F:$F,$A19,'単価履歴'!$O:$O,
MAXIFS('単価履歴'!$O:$O,'単価履歴'!$E:$E,L$1,'単価履歴'!$F:$F,$A19))=0,"",
MAXIFS('単価履歴'!$H:$H,'単価履歴'!$E:$E,L$1,'単価履歴'!$F:$F,$A19,'単価履歴'!$O:$O,
MAXIFS('単価履歴'!$O:$O,'単価履歴'!$E:$E,L$1,'単価履歴'!$F:$F,$A19)))</f>
        <v/>
      </c>
      <c r="M19" s="249"/>
      <c r="N19" s="249" t="str">
        <f>IF(MAXIFS('単価履歴'!$H:$H,'単価履歴'!$E:$E,N$1,'単価履歴'!$F:$F,$A19,'単価履歴'!$O:$O,
MAXIFS('単価履歴'!$O:$O,'単価履歴'!$E:$E,N$1,'単価履歴'!$F:$F,$A19))=0,"",
MAXIFS('単価履歴'!$H:$H,'単価履歴'!$E:$E,N$1,'単価履歴'!$F:$F,$A19,'単価履歴'!$O:$O,
MAXIFS('単価履歴'!$O:$O,'単価履歴'!$E:$E,N$1,'単価履歴'!$F:$F,$A19)))</f>
        <v/>
      </c>
      <c r="O19" s="251" t="str">
        <f>IF(MAXIFS('単価履歴'!$H:$H,'単価履歴'!$E:$E,O$1,'単価履歴'!$F:$F,$A19,'単価履歴'!$O:$O,
MAXIFS('単価履歴'!$O:$O,'単価履歴'!$E:$E,O$1,'単価履歴'!$F:$F,$A19))=0,"",
MAXIFS('単価履歴'!$H:$H,'単価履歴'!$E:$E,O$1,'単価履歴'!$F:$F,$A19,'単価履歴'!$O:$O,
MAXIFS('単価履歴'!$O:$O,'単価履歴'!$E:$E,O$1,'単価履歴'!$F:$F,$A19)))</f>
        <v/>
      </c>
      <c r="P19" s="252" t="str">
        <f>IF(MAXIFS('単価履歴'!$H:$H,'単価履歴'!$E:$E,P$1,'単価履歴'!$F:$F,$A19,'単価履歴'!$O:$O,
MAXIFS('単価履歴'!$O:$O,'単価履歴'!$E:$E,P$1,'単価履歴'!$F:$F,$A19))=0,"",
MAXIFS('単価履歴'!$H:$H,'単価履歴'!$E:$E,P$1,'単価履歴'!$F:$F,$A19,'単価履歴'!$O:$O,
MAXIFS('単価履歴'!$O:$O,'単価履歴'!$E:$E,P$1,'単価履歴'!$F:$F,$A19)))</f>
        <v/>
      </c>
      <c r="Q19" s="248" t="str">
        <f>IF(MAXIFS('単価履歴'!$H:$H,'単価履歴'!$E:$E,Q$1,'単価履歴'!$F:$F,$A19,'単価履歴'!$O:$O,
MAXIFS('単価履歴'!$O:$O,'単価履歴'!$E:$E,Q$1,'単価履歴'!$F:$F,$A19))=0,"",
MAXIFS('単価履歴'!$H:$H,'単価履歴'!$E:$E,Q$1,'単価履歴'!$F:$F,$A19,'単価履歴'!$O:$O,
MAXIFS('単価履歴'!$O:$O,'単価履歴'!$E:$E,Q$1,'単価履歴'!$F:$F,$A19)))</f>
        <v/>
      </c>
      <c r="R19" s="252" t="str">
        <f>IF(MAXIFS('単価履歴'!$H:$H,'単価履歴'!$E:$E,R$1,'単価履歴'!$F:$F,$A19,'単価履歴'!$O:$O,
MAXIFS('単価履歴'!$O:$O,'単価履歴'!$E:$E,R$1,'単価履歴'!$F:$F,$A19))=0,"",
MAXIFS('単価履歴'!$H:$H,'単価履歴'!$E:$E,R$1,'単価履歴'!$F:$F,$A19,'単価履歴'!$O:$O,
MAXIFS('単価履歴'!$O:$O,'単価履歴'!$E:$E,R$1,'単価履歴'!$F:$F,$A19)))</f>
        <v/>
      </c>
      <c r="S19" s="251" t="str">
        <f>IF(MAXIFS('単価履歴'!$H:$H,'単価履歴'!$E:$E,S$1,'単価履歴'!$F:$F,$A19,'単価履歴'!$O:$O,
MAXIFS('単価履歴'!$O:$O,'単価履歴'!$E:$E,S$1,'単価履歴'!$F:$F,$A19))=0,"",
MAXIFS('単価履歴'!$H:$H,'単価履歴'!$E:$E,S$1,'単価履歴'!$F:$F,$A19,'単価履歴'!$O:$O,
MAXIFS('単価履歴'!$O:$O,'単価履歴'!$E:$E,S$1,'単価履歴'!$F:$F,$A19)))</f>
        <v/>
      </c>
      <c r="T19" s="249" t="str">
        <f>IF(MAXIFS('単価履歴'!$H:$H,'単価履歴'!$E:$E,T$1,'単価履歴'!$F:$F,$A19,'単価履歴'!$O:$O,
MAXIFS('単価履歴'!$O:$O,'単価履歴'!$E:$E,T$1,'単価履歴'!$F:$F,$A19))=0,"",
MAXIFS('単価履歴'!$H:$H,'単価履歴'!$E:$E,T$1,'単価履歴'!$F:$F,$A19,'単価履歴'!$O:$O,
MAXIFS('単価履歴'!$O:$O,'単価履歴'!$E:$E,T$1,'単価履歴'!$F:$F,$A19)))</f>
        <v/>
      </c>
      <c r="U19" s="249" t="str">
        <f>IF(MAXIFS('単価履歴'!$H:$H,'単価履歴'!$E:$E,U$1,'単価履歴'!$F:$F,$A19,'単価履歴'!$O:$O,
MAXIFS('単価履歴'!$O:$O,'単価履歴'!$E:$E,U$1,'単価履歴'!$F:$F,$A19))=0,"",
MAXIFS('単価履歴'!$H:$H,'単価履歴'!$E:$E,U$1,'単価履歴'!$F:$F,$A19,'単価履歴'!$O:$O,
MAXIFS('単価履歴'!$O:$O,'単価履歴'!$E:$E,U$1,'単価履歴'!$F:$F,$A19)))</f>
        <v/>
      </c>
      <c r="V19" s="251" t="str">
        <f>IF(MAXIFS('単価履歴'!$H:$H,'単価履歴'!$E:$E,V$1,'単価履歴'!$F:$F,$A19,'単価履歴'!$O:$O,
MAXIFS('単価履歴'!$O:$O,'単価履歴'!$E:$E,V$1,'単価履歴'!$F:$F,$A19))=0,"",
MAXIFS('単価履歴'!$H:$H,'単価履歴'!$E:$E,V$1,'単価履歴'!$F:$F,$A19,'単価履歴'!$O:$O,
MAXIFS('単価履歴'!$O:$O,'単価履歴'!$E:$E,V$1,'単価履歴'!$F:$F,$A19)))</f>
        <v/>
      </c>
      <c r="W19" s="252" t="str">
        <f>IF(MAXIFS('単価履歴'!$H:$H,'単価履歴'!$E:$E,W$1,'単価履歴'!$F:$F,$A19,'単価履歴'!$O:$O,
MAXIFS('単価履歴'!$O:$O,'単価履歴'!$E:$E,W$1,'単価履歴'!$F:$F,$A19))=0,"",
MAXIFS('単価履歴'!$H:$H,'単価履歴'!$E:$E,W$1,'単価履歴'!$F:$F,$A19,'単価履歴'!$O:$O,
MAXIFS('単価履歴'!$O:$O,'単価履歴'!$E:$E,W$1,'単価履歴'!$F:$F,$A19)))</f>
        <v/>
      </c>
      <c r="X19" s="249" t="str">
        <f>IF(MAXIFS('単価履歴'!$H:$H,'単価履歴'!$E:$E,X$1,'単価履歴'!$F:$F,$A19,'単価履歴'!$O:$O,
MAXIFS('単価履歴'!$O:$O,'単価履歴'!$E:$E,X$1,'単価履歴'!$F:$F,$A19))=0,"",
MAXIFS('単価履歴'!$H:$H,'単価履歴'!$E:$E,X$1,'単価履歴'!$F:$F,$A19,'単価履歴'!$O:$O,
MAXIFS('単価履歴'!$O:$O,'単価履歴'!$E:$E,X$1,'単価履歴'!$F:$F,$A19)))</f>
        <v/>
      </c>
      <c r="Y19" s="276" t="str">
        <f>IF(MAXIFS('単価履歴'!$H:$H,'単価履歴'!$E:$E,Y$1,'単価履歴'!$F:$F,$A19,'単価履歴'!$O:$O,
MAXIFS('単価履歴'!$O:$O,'単価履歴'!$E:$E,Y$1,'単価履歴'!$F:$F,$A19))=0,"",
MAXIFS('単価履歴'!$H:$H,'単価履歴'!$E:$E,Y$1,'単価履歴'!$F:$F,$A19,'単価履歴'!$O:$O,
MAXIFS('単価履歴'!$O:$O,'単価履歴'!$E:$E,Y$1,'単価履歴'!$F:$F,$A19)))</f>
        <v/>
      </c>
      <c r="Z19" s="277" t="str">
        <f>IF(MAXIFS('単価履歴'!$H:$H,'単価履歴'!$E:$E,Z$1,'単価履歴'!$F:$F,$A19,'単価履歴'!$O:$O,
MAXIFS('単価履歴'!$O:$O,'単価履歴'!$E:$E,Z$1,'単価履歴'!$F:$F,$A19))=0,"",
MAXIFS('単価履歴'!$H:$H,'単価履歴'!$E:$E,Z$1,'単価履歴'!$F:$F,$A19,'単価履歴'!$O:$O,
MAXIFS('単価履歴'!$O:$O,'単価履歴'!$E:$E,Z$1,'単価履歴'!$F:$F,$A19)))</f>
        <v/>
      </c>
      <c r="AA19" s="251" t="str">
        <f>IF(MAXIFS('単価履歴'!$H:$H,'単価履歴'!$E:$E,AA$1,'単価履歴'!$F:$F,$A19,'単価履歴'!$O:$O,
MAXIFS('単価履歴'!$O:$O,'単価履歴'!$E:$E,AA$1,'単価履歴'!$F:$F,$A19))=0,"",
MAXIFS('単価履歴'!$H:$H,'単価履歴'!$E:$E,AA$1,'単価履歴'!$F:$F,$A19,'単価履歴'!$O:$O,
MAXIFS('単価履歴'!$O:$O,'単価履歴'!$E:$E,AA$1,'単価履歴'!$F:$F,$A19)))</f>
        <v/>
      </c>
      <c r="AB19" s="252" t="str">
        <f>IF(MAXIFS('単価履歴'!$H:$H,'単価履歴'!$E:$E,AB$1,'単価履歴'!$F:$F,$A19,'単価履歴'!$O:$O,
MAXIFS('単価履歴'!$O:$O,'単価履歴'!$E:$E,AB$1,'単価履歴'!$F:$F,$A19))=0,"",
MAXIFS('単価履歴'!$H:$H,'単価履歴'!$E:$E,AB$1,'単価履歴'!$F:$F,$A19,'単価履歴'!$O:$O,
MAXIFS('単価履歴'!$O:$O,'単価履歴'!$E:$E,AB$1,'単価履歴'!$F:$F,$A19)))</f>
        <v/>
      </c>
      <c r="AC19" s="249" t="str">
        <f>IF(MAXIFS('単価履歴'!$H:$H,'単価履歴'!$E:$E,AC$1,'単価履歴'!$F:$F,$A19,'単価履歴'!$O:$O,
MAXIFS('単価履歴'!$O:$O,'単価履歴'!$E:$E,AC$1,'単価履歴'!$F:$F,$A19))=0,"",
MAXIFS('単価履歴'!$H:$H,'単価履歴'!$E:$E,AC$1,'単価履歴'!$F:$F,$A19,'単価履歴'!$O:$O,
MAXIFS('単価履歴'!$O:$O,'単価履歴'!$E:$E,AC$1,'単価履歴'!$F:$F,$A19)))</f>
        <v/>
      </c>
      <c r="AD19" s="251" t="str">
        <f>IF(MAXIFS('単価履歴'!$H:$H,'単価履歴'!$E:$E,AD$1,'単価履歴'!$F:$F,$A19,'単価履歴'!$O:$O,
MAXIFS('単価履歴'!$O:$O,'単価履歴'!$E:$E,AD$1,'単価履歴'!$F:$F,$A19))=0,"",
MAXIFS('単価履歴'!$H:$H,'単価履歴'!$E:$E,AD$1,'単価履歴'!$F:$F,$A19,'単価履歴'!$O:$O,
MAXIFS('単価履歴'!$O:$O,'単価履歴'!$E:$E,AD$1,'単価履歴'!$F:$F,$A19)))</f>
        <v/>
      </c>
      <c r="AE19" s="252" t="str">
        <f>IF(MAXIFS('単価履歴'!$H:$H,'単価履歴'!$E:$E,AE$1,'単価履歴'!$F:$F,$A19,'単価履歴'!$O:$O,
MAXIFS('単価履歴'!$O:$O,'単価履歴'!$E:$E,AE$1,'単価履歴'!$F:$F,$A19))=0,"",
MAXIFS('単価履歴'!$H:$H,'単価履歴'!$E:$E,AE$1,'単価履歴'!$F:$F,$A19,'単価履歴'!$O:$O,
MAXIFS('単価履歴'!$O:$O,'単価履歴'!$E:$E,AE$1,'単価履歴'!$F:$F,$A19)))</f>
        <v/>
      </c>
      <c r="AF19" s="249" t="str">
        <f>IF(MAXIFS('単価履歴'!$H:$H,'単価履歴'!$E:$E,AF$1,'単価履歴'!$F:$F,$A19,'単価履歴'!$O:$O,
MAXIFS('単価履歴'!$O:$O,'単価履歴'!$E:$E,AF$1,'単価履歴'!$F:$F,$A19))=0,"",
MAXIFS('単価履歴'!$H:$H,'単価履歴'!$E:$E,AF$1,'単価履歴'!$F:$F,$A19,'単価履歴'!$O:$O,
MAXIFS('単価履歴'!$O:$O,'単価履歴'!$E:$E,AF$1,'単価履歴'!$F:$F,$A19)))</f>
        <v/>
      </c>
      <c r="AG19" s="257">
        <f>IF(MAXIFS('単価履歴'!$H:$H,'単価履歴'!$E:$E,AG$1,'単価履歴'!$F:$F,$A19,'単価履歴'!$O:$O,
MAXIFS('単価履歴'!$O:$O,'単価履歴'!$E:$E,AG$1,'単価履歴'!$F:$F,$A19))=0,"",
MAXIFS('単価履歴'!$H:$H,'単価履歴'!$E:$E,AG$1,'単価履歴'!$F:$F,$A19,'単価履歴'!$O:$O,
MAXIFS('単価履歴'!$O:$O,'単価履歴'!$E:$E,AG$1,'単価履歴'!$F:$F,$A19)))</f>
        <v>48</v>
      </c>
      <c r="AH19" s="246">
        <f>IF(MAXIFS('単価履歴'!$H:$H,'単価履歴'!$E:$E,AH$1,'単価履歴'!$F:$F,$A19,'単価履歴'!$O:$O,
MAXIFS('単価履歴'!$O:$O,'単価履歴'!$E:$E,AH$1,'単価履歴'!$F:$F,$A19))=0,"",
MAXIFS('単価履歴'!$H:$H,'単価履歴'!$E:$E,AH$1,'単価履歴'!$F:$F,$A19,'単価履歴'!$O:$O,
MAXIFS('単価履歴'!$O:$O,'単価履歴'!$E:$E,AH$1,'単価履歴'!$F:$F,$A19)))</f>
        <v>49.1</v>
      </c>
      <c r="AI19" s="251" t="str">
        <f>IF(MAXIFS('単価履歴'!$H:$H,'単価履歴'!$E:$E,AI$1,'単価履歴'!$F:$F,$A19,'単価履歴'!$O:$O,
MAXIFS('単価履歴'!$O:$O,'単価履歴'!$E:$E,AI$1,'単価履歴'!$F:$F,$A19))=0,"",
MAXIFS('単価履歴'!$H:$H,'単価履歴'!$E:$E,AI$1,'単価履歴'!$F:$F,$A19,'単価履歴'!$O:$O,
MAXIFS('単価履歴'!$O:$O,'単価履歴'!$E:$E,AI$1,'単価履歴'!$F:$F,$A19)))</f>
        <v/>
      </c>
      <c r="AJ19" s="249" t="str">
        <f>IF(MAXIFS('単価履歴'!$H:$H,'単価履歴'!$E:$E,AJ$1,'単価履歴'!$F:$F,$A19,'単価履歴'!$O:$O,
MAXIFS('単価履歴'!$O:$O,'単価履歴'!$E:$E,AJ$1,'単価履歴'!$F:$F,$A19))=0,"",
MAXIFS('単価履歴'!$H:$H,'単価履歴'!$E:$E,AJ$1,'単価履歴'!$F:$F,$A19,'単価履歴'!$O:$O,
MAXIFS('単価履歴'!$O:$O,'単価履歴'!$E:$E,AJ$1,'単価履歴'!$F:$F,$A19)))</f>
        <v/>
      </c>
      <c r="AK19" s="247">
        <f>IF(MAXIFS('単価履歴'!$H:$H,'単価履歴'!$E:$E,AK$1,'単価履歴'!$F:$F,$A19,'単価履歴'!$O:$O,
MAXIFS('単価履歴'!$O:$O,'単価履歴'!$E:$E,AK$1,'単価履歴'!$F:$F,$A19))=0,"",
MAXIFS('単価履歴'!$H:$H,'単価履歴'!$E:$E,AK$1,'単価履歴'!$F:$F,$A19,'単価履歴'!$O:$O,
MAXIFS('単価履歴'!$O:$O,'単価履歴'!$E:$E,AK$1,'単価履歴'!$F:$F,$A19)))</f>
        <v>43</v>
      </c>
      <c r="AL19" s="249" t="str">
        <f>IF(MAXIFS('単価履歴'!$H:$H,'単価履歴'!$E:$E,AL$1,'単価履歴'!$F:$F,$A19,'単価履歴'!$O:$O,
MAXIFS('単価履歴'!$O:$O,'単価履歴'!$E:$E,AL$1,'単価履歴'!$F:$F,$A19))=0,"",
MAXIFS('単価履歴'!$H:$H,'単価履歴'!$E:$E,AL$1,'単価履歴'!$F:$F,$A19,'単価履歴'!$O:$O,
MAXIFS('単価履歴'!$O:$O,'単価履歴'!$E:$E,AL$1,'単価履歴'!$F:$F,$A19)))</f>
        <v/>
      </c>
      <c r="AM19" s="247">
        <f>IF(MAXIFS('単価履歴'!$H:$H,'単価履歴'!$E:$E,AM$1,'単価履歴'!$F:$F,$A19,'単価履歴'!$O:$O,
MAXIFS('単価履歴'!$O:$O,'単価履歴'!$E:$E,AM$1,'単価履歴'!$F:$F,$A19))=0,"",
MAXIFS('単価履歴'!$H:$H,'単価履歴'!$E:$E,AM$1,'単価履歴'!$F:$F,$A19,'単価履歴'!$O:$O,
MAXIFS('単価履歴'!$O:$O,'単価履歴'!$E:$E,AM$1,'単価履歴'!$F:$F,$A19)))</f>
        <v>48</v>
      </c>
      <c r="AN19" s="258">
        <f>IF(MAXIFS('単価履歴'!$H:$H,'単価履歴'!$E:$E,AN$1,'単価履歴'!$F:$F,$A19,'単価履歴'!$O:$O,
MAXIFS('単価履歴'!$O:$O,'単価履歴'!$E:$E,AN$1,'単価履歴'!$F:$F,$A19))=0,"",
MAXIFS('単価履歴'!$H:$H,'単価履歴'!$E:$E,AN$1,'単価履歴'!$F:$F,$A19,'単価履歴'!$O:$O,
MAXIFS('単価履歴'!$O:$O,'単価履歴'!$E:$E,AN$1,'単価履歴'!$F:$F,$A19)))</f>
        <v>48</v>
      </c>
      <c r="AO19" s="247">
        <f>IF(MAXIFS('単価履歴'!$H:$H,'単価履歴'!$E:$E,AO$1,'単価履歴'!$F:$F,$A19,'単価履歴'!$O:$O,
MAXIFS('単価履歴'!$O:$O,'単価履歴'!$E:$E,AO$1,'単価履歴'!$F:$F,$A19))=0,"",
MAXIFS('単価履歴'!$H:$H,'単価履歴'!$E:$E,AO$1,'単価履歴'!$F:$F,$A19,'単価履歴'!$O:$O,
MAXIFS('単価履歴'!$O:$O,'単価履歴'!$E:$E,AO$1,'単価履歴'!$F:$F,$A19)))</f>
        <v>45.8</v>
      </c>
      <c r="AP19" s="258">
        <f>IF(MAXIFS('単価履歴'!$H:$H,'単価履歴'!$E:$E,AP$1,'単価履歴'!$F:$F,$A19,'単価履歴'!$O:$O,
MAXIFS('単価履歴'!$O:$O,'単価履歴'!$E:$E,AP$1,'単価履歴'!$F:$F,$A19))=0,"",
MAXIFS('単価履歴'!$H:$H,'単価履歴'!$E:$E,AP$1,'単価履歴'!$F:$F,$A19,'単価履歴'!$O:$O,
MAXIFS('単価履歴'!$O:$O,'単価履歴'!$E:$E,AP$1,'単価履歴'!$F:$F,$A19)))</f>
        <v>45.4</v>
      </c>
      <c r="AQ19" s="246">
        <f>IF(MAXIFS('単価履歴'!$H:$H,'単価履歴'!$E:$E,AQ$1,'単価履歴'!$F:$F,$A19,'単価履歴'!$O:$O,
MAXIFS('単価履歴'!$O:$O,'単価履歴'!$E:$E,AQ$1,'単価履歴'!$F:$F,$A19))=0,"",
MAXIFS('単価履歴'!$H:$H,'単価履歴'!$E:$E,AQ$1,'単価履歴'!$F:$F,$A19,'単価履歴'!$O:$O,
MAXIFS('単価履歴'!$O:$O,'単価履歴'!$E:$E,AQ$1,'単価履歴'!$F:$F,$A19)))</f>
        <v>48.5</v>
      </c>
      <c r="AR19" s="258">
        <f>IF(MAXIFS('単価履歴'!$H:$H,'単価履歴'!$E:$E,AR$1,'単価履歴'!$F:$F,$A19,'単価履歴'!$O:$O,
MAXIFS('単価履歴'!$O:$O,'単価履歴'!$E:$E,AR$1,'単価履歴'!$F:$F,$A19))=0,"",
MAXIFS('単価履歴'!$H:$H,'単価履歴'!$E:$E,AR$1,'単価履歴'!$F:$F,$A19,'単価履歴'!$O:$O,
MAXIFS('単価履歴'!$O:$O,'単価履歴'!$E:$E,AR$1,'単価履歴'!$F:$F,$A19)))</f>
        <v>48</v>
      </c>
      <c r="AS19" s="249"/>
      <c r="AT19" s="249" t="str">
        <f>IF(MAXIFS('単価履歴'!$H:$H,'単価履歴'!$E:$E,AT$1,'単価履歴'!$F:$F,$A19,'単価履歴'!$O:$O,
MAXIFS('単価履歴'!$O:$O,'単価履歴'!$E:$E,AT$1,'単価履歴'!$F:$F,$A19))=0,"",
MAXIFS('単価履歴'!$H:$H,'単価履歴'!$E:$E,AT$1,'単価履歴'!$F:$F,$A19,'単価履歴'!$O:$O,
MAXIFS('単価履歴'!$O:$O,'単価履歴'!$E:$E,AT$1,'単価履歴'!$F:$F,$A19)))</f>
        <v/>
      </c>
      <c r="AU19" s="249" t="str">
        <f>IF(MAXIFS('単価履歴'!$H:$H,'単価履歴'!$E:$E,AU$1,'単価履歴'!$F:$F,$A19,'単価履歴'!$O:$O,
MAXIFS('単価履歴'!$O:$O,'単価履歴'!$E:$E,AU$1,'単価履歴'!$F:$F,$A19))=0,"",
MAXIFS('単価履歴'!$H:$H,'単価履歴'!$E:$E,AU$1,'単価履歴'!$F:$F,$A19,'単価履歴'!$O:$O,
MAXIFS('単価履歴'!$O:$O,'単価履歴'!$E:$E,AU$1,'単価履歴'!$F:$F,$A19)))</f>
        <v/>
      </c>
      <c r="AV19" s="249" t="str">
        <f>IF(MAXIFS('単価履歴'!$H:$H,'単価履歴'!$E:$E,AV$1,'単価履歴'!$F:$F,$A19,'単価履歴'!$O:$O,
MAXIFS('単価履歴'!$O:$O,'単価履歴'!$E:$E,AV$1,'単価履歴'!$F:$F,$A19))=0,"",
MAXIFS('単価履歴'!$H:$H,'単価履歴'!$E:$E,AV$1,'単価履歴'!$F:$F,$A19,'単価履歴'!$O:$O,
MAXIFS('単価履歴'!$O:$O,'単価履歴'!$E:$E,AV$1,'単価履歴'!$F:$F,$A19)))</f>
        <v/>
      </c>
      <c r="AW19" s="248" t="str">
        <f>IF(MAXIFS('単価履歴'!$H:$H,'単価履歴'!$E:$E,AW$1,'単価履歴'!$F:$F,$A19,'単価履歴'!$O:$O,
MAXIFS('単価履歴'!$O:$O,'単価履歴'!$E:$E,AW$1,'単価履歴'!$F:$F,$A19))=0,"",
MAXIFS('単価履歴'!$H:$H,'単価履歴'!$E:$E,AW$1,'単価履歴'!$F:$F,$A19,'単価履歴'!$O:$O,
MAXIFS('単価履歴'!$O:$O,'単価履歴'!$E:$E,AW$1,'単価履歴'!$F:$F,$A19)))</f>
        <v/>
      </c>
      <c r="AX19" s="249" t="str">
        <f>IF(MAXIFS('単価履歴'!$H:$H,'単価履歴'!$E:$E,AX$1,'単価履歴'!$F:$F,$A19,'単価履歴'!$O:$O,
MAXIFS('単価履歴'!$O:$O,'単価履歴'!$E:$E,AX$1,'単価履歴'!$F:$F,$A19))=0,"",
MAXIFS('単価履歴'!$H:$H,'単価履歴'!$E:$E,AX$1,'単価履歴'!$F:$F,$A19,'単価履歴'!$O:$O,
MAXIFS('単価履歴'!$O:$O,'単価履歴'!$E:$E,AX$1,'単価履歴'!$F:$F,$A19)))</f>
        <v/>
      </c>
      <c r="AY19" s="251" t="str">
        <f>IF(MAXIFS('単価履歴'!$H:$H,'単価履歴'!$E:$E,AY$1,'単価履歴'!$F:$F,$A19,'単価履歴'!$O:$O,
MAXIFS('単価履歴'!$O:$O,'単価履歴'!$E:$E,AY$1,'単価履歴'!$F:$F,$A19))=0,"",
MAXIFS('単価履歴'!$H:$H,'単価履歴'!$E:$E,AY$1,'単価履歴'!$F:$F,$A19,'単価履歴'!$O:$O,
MAXIFS('単価履歴'!$O:$O,'単価履歴'!$E:$E,AY$1,'単価履歴'!$F:$F,$A19)))</f>
        <v/>
      </c>
      <c r="AZ19" s="249" t="str">
        <f>IF(MAXIFS('単価履歴'!$H:$H,'単価履歴'!$E:$E,AZ$1,'単価履歴'!$F:$F,$A19,'単価履歴'!$O:$O,
MAXIFS('単価履歴'!$O:$O,'単価履歴'!$E:$E,AZ$1,'単価履歴'!$F:$F,$A19))=0,"",
MAXIFS('単価履歴'!$H:$H,'単価履歴'!$E:$E,AZ$1,'単価履歴'!$F:$F,$A19,'単価履歴'!$O:$O,
MAXIFS('単価履歴'!$O:$O,'単価履歴'!$E:$E,AZ$1,'単価履歴'!$F:$F,$A19)))</f>
        <v/>
      </c>
      <c r="BA19" s="248" t="str">
        <f>IF(MAXIFS('単価履歴'!$H:$H,'単価履歴'!$E:$E,BA$1,'単価履歴'!$F:$F,$A19,'単価履歴'!$O:$O,
MAXIFS('単価履歴'!$O:$O,'単価履歴'!$E:$E,BA$1,'単価履歴'!$F:$F,$A19))=0,"",
MAXIFS('単価履歴'!$H:$H,'単価履歴'!$E:$E,BA$1,'単価履歴'!$F:$F,$A19,'単価履歴'!$O:$O,
MAXIFS('単価履歴'!$O:$O,'単価履歴'!$E:$E,BA$1,'単価履歴'!$F:$F,$A19)))</f>
        <v/>
      </c>
      <c r="BB19" s="278" t="str">
        <f>IF(MAXIFS('単価履歴'!$H:$H,'単価履歴'!$E:$E,BB$1,'単価履歴'!$F:$F,$A19,'単価履歴'!$O:$O,
MAXIFS('単価履歴'!$O:$O,'単価履歴'!$E:$E,BB$1,'単価履歴'!$F:$F,$A19))=0,"",
MAXIFS('単価履歴'!$H:$H,'単価履歴'!$E:$E,BB$1,'単価履歴'!$F:$F,$A19,'単価履歴'!$O:$O,
MAXIFS('単価履歴'!$O:$O,'単価履歴'!$E:$E,BB$1,'単価履歴'!$F:$F,$A19)))</f>
        <v/>
      </c>
      <c r="BC19" s="249" t="str">
        <f>IF(MAXIFS('単価履歴'!$H:$H,'単価履歴'!$E:$E,BC$1,'単価履歴'!$F:$F,$A19,'単価履歴'!$O:$O,
MAXIFS('単価履歴'!$O:$O,'単価履歴'!$E:$E,BC$1,'単価履歴'!$F:$F,$A19))=0,"",
MAXIFS('単価履歴'!$H:$H,'単価履歴'!$E:$E,BC$1,'単価履歴'!$F:$F,$A19,'単価履歴'!$O:$O,
MAXIFS('単価履歴'!$O:$O,'単価履歴'!$E:$E,BC$1,'単価履歴'!$F:$F,$A19)))</f>
        <v/>
      </c>
      <c r="BD19" s="248" t="str">
        <f>IF(MAXIFS('単価履歴'!$H:$H,'単価履歴'!$E:$E,BD$1,'単価履歴'!$F:$F,$A19,'単価履歴'!$O:$O,
MAXIFS('単価履歴'!$O:$O,'単価履歴'!$E:$E,BD$1,'単価履歴'!$F:$F,$A19))=0,"",
MAXIFS('単価履歴'!$H:$H,'単価履歴'!$E:$E,BD$1,'単価履歴'!$F:$F,$A19,'単価履歴'!$O:$O,
MAXIFS('単価履歴'!$O:$O,'単価履歴'!$E:$E,BD$1,'単価履歴'!$F:$F,$A19)))</f>
        <v/>
      </c>
      <c r="BE19" s="249" t="str">
        <f>IF(MAXIFS('単価履歴'!$H:$H,'単価履歴'!$E:$E,BE$1,'単価履歴'!$F:$F,$A19,'単価履歴'!$O:$O,
MAXIFS('単価履歴'!$O:$O,'単価履歴'!$E:$E,BE$1,'単価履歴'!$F:$F,$A19))=0,"",
MAXIFS('単価履歴'!$H:$H,'単価履歴'!$E:$E,BE$1,'単価履歴'!$F:$F,$A19,'単価履歴'!$O:$O,
MAXIFS('単価履歴'!$O:$O,'単価履歴'!$E:$E,BE$1,'単価履歴'!$F:$F,$A19)))</f>
        <v/>
      </c>
      <c r="BF19" s="248" t="str">
        <f>IF(MAXIFS('単価履歴'!$H:$H,'単価履歴'!$E:$E,BF$1,'単価履歴'!$F:$F,$A19,'単価履歴'!$O:$O,
MAXIFS('単価履歴'!$O:$O,'単価履歴'!$E:$E,BF$1,'単価履歴'!$F:$F,$A19))=0,"",
MAXIFS('単価履歴'!$H:$H,'単価履歴'!$E:$E,BF$1,'単価履歴'!$F:$F,$A19,'単価履歴'!$O:$O,
MAXIFS('単価履歴'!$O:$O,'単価履歴'!$E:$E,BF$1,'単価履歴'!$F:$F,$A19)))</f>
        <v/>
      </c>
      <c r="BG19" s="249" t="str">
        <f>IF(MAXIFS('単価履歴'!$H:$H,'単価履歴'!$E:$E,BG$1,'単価履歴'!$F:$F,$A19,'単価履歴'!$O:$O,
MAXIFS('単価履歴'!$O:$O,'単価履歴'!$E:$E,BG$1,'単価履歴'!$F:$F,$A19))=0,"",
MAXIFS('単価履歴'!$H:$H,'単価履歴'!$E:$E,BG$1,'単価履歴'!$F:$F,$A19,'単価履歴'!$O:$O,
MAXIFS('単価履歴'!$O:$O,'単価履歴'!$E:$E,BG$1,'単価履歴'!$F:$F,$A19)))</f>
        <v/>
      </c>
      <c r="BH19" s="249" t="str">
        <f>IF(MAXIFS('単価履歴'!$H:$H,'単価履歴'!$E:$E,BH$1,'単価履歴'!$F:$F,$A19,'単価履歴'!$O:$O,
MAXIFS('単価履歴'!$O:$O,'単価履歴'!$E:$E,BH$1,'単価履歴'!$F:$F,$A19))=0,"",
MAXIFS('単価履歴'!$H:$H,'単価履歴'!$E:$E,BH$1,'単価履歴'!$F:$F,$A19,'単価履歴'!$O:$O,
MAXIFS('単価履歴'!$O:$O,'単価履歴'!$E:$E,BH$1,'単価履歴'!$F:$F,$A19)))</f>
        <v/>
      </c>
      <c r="BI19" s="252" t="str">
        <f>IF(MAXIFS('単価履歴'!$H:$H,'単価履歴'!$E:$E,BI$1,'単価履歴'!$F:$F,$A19,'単価履歴'!$O:$O,
MAXIFS('単価履歴'!$O:$O,'単価履歴'!$E:$E,BI$1,'単価履歴'!$F:$F,$A19))=0,"",
MAXIFS('単価履歴'!$H:$H,'単価履歴'!$E:$E,BI$1,'単価履歴'!$F:$F,$A19,'単価履歴'!$O:$O,
MAXIFS('単価履歴'!$O:$O,'単価履歴'!$E:$E,BI$1,'単価履歴'!$F:$F,$A19)))</f>
        <v/>
      </c>
      <c r="BJ19" s="252" t="str">
        <f>IF(MAXIFS('単価履歴'!$H:$H,'単価履歴'!$E:$E,BJ$1,'単価履歴'!$F:$F,$A19,'単価履歴'!$O:$O,
MAXIFS('単価履歴'!$O:$O,'単価履歴'!$E:$E,BJ$1,'単価履歴'!$F:$F,$A19))=0,"",
MAXIFS('単価履歴'!$H:$H,'単価履歴'!$E:$E,BJ$1,'単価履歴'!$F:$F,$A19,'単価履歴'!$O:$O,
MAXIFS('単価履歴'!$O:$O,'単価履歴'!$E:$E,BJ$1,'単価履歴'!$F:$F,$A19)))</f>
        <v/>
      </c>
      <c r="BK19" s="252" t="str">
        <f>IF(MAXIFS('単価履歴'!$H:$H,'単価履歴'!$E:$E,BK$1,'単価履歴'!$F:$F,$A19,'単価履歴'!$O:$O,
MAXIFS('単価履歴'!$O:$O,'単価履歴'!$E:$E,BK$1,'単価履歴'!$F:$F,$A19))=0,"",
MAXIFS('単価履歴'!$H:$H,'単価履歴'!$E:$E,BK$1,'単価履歴'!$F:$F,$A19,'単価履歴'!$O:$O,
MAXIFS('単価履歴'!$O:$O,'単価履歴'!$E:$E,BK$1,'単価履歴'!$F:$F,$A19)))</f>
        <v/>
      </c>
      <c r="BL19" s="252" t="str">
        <f>IF(MAXIFS('単価履歴'!$H:$H,'単価履歴'!$E:$E,BL$1,'単価履歴'!$F:$F,$A19,'単価履歴'!$O:$O,
MAXIFS('単価履歴'!$O:$O,'単価履歴'!$E:$E,BL$1,'単価履歴'!$F:$F,$A19))=0,"",
MAXIFS('単価履歴'!$H:$H,'単価履歴'!$E:$E,BL$1,'単価履歴'!$F:$F,$A19,'単価履歴'!$O:$O,
MAXIFS('単価履歴'!$O:$O,'単価履歴'!$E:$E,BL$1,'単価履歴'!$F:$F,$A19)))</f>
        <v/>
      </c>
      <c r="BM19" s="252" t="str">
        <f>IF(MAXIFS('単価履歴'!$H:$H,'単価履歴'!$E:$E,BM$1,'単価履歴'!$F:$F,$A19,'単価履歴'!$O:$O,
MAXIFS('単価履歴'!$O:$O,'単価履歴'!$E:$E,BM$1,'単価履歴'!$F:$F,$A19))=0,"",
MAXIFS('単価履歴'!$H:$H,'単価履歴'!$E:$E,BM$1,'単価履歴'!$F:$F,$A19,'単価履歴'!$O:$O,
MAXIFS('単価履歴'!$O:$O,'単価履歴'!$E:$E,BM$1,'単価履歴'!$F:$F,$A19)))</f>
        <v/>
      </c>
      <c r="BN19" s="248" t="str">
        <f>IF(MAXIFS('単価履歴'!$H:$H,'単価履歴'!$E:$E,BN$1,'単価履歴'!$F:$F,$A19,'単価履歴'!$O:$O,
MAXIFS('単価履歴'!$O:$O,'単価履歴'!$E:$E,BN$1,'単価履歴'!$F:$F,$A19))=0,"",
MAXIFS('単価履歴'!$H:$H,'単価履歴'!$E:$E,BN$1,'単価履歴'!$F:$F,$A19,'単価履歴'!$O:$O,
MAXIFS('単価履歴'!$O:$O,'単価履歴'!$E:$E,BN$1,'単価履歴'!$F:$F,$A19)))</f>
        <v/>
      </c>
      <c r="BO19" s="249" t="str">
        <f>IF(MAXIFS('単価履歴'!$H:$H,'単価履歴'!$E:$E,BO$1,'単価履歴'!$F:$F,$A19,'単価履歴'!$O:$O,
MAXIFS('単価履歴'!$O:$O,'単価履歴'!$E:$E,BO$1,'単価履歴'!$F:$F,$A19))=0,"",
MAXIFS('単価履歴'!$H:$H,'単価履歴'!$E:$E,BO$1,'単価履歴'!$F:$F,$A19,'単価履歴'!$O:$O,
MAXIFS('単価履歴'!$O:$O,'単価履歴'!$E:$E,BO$1,'単価履歴'!$F:$F,$A19)))</f>
        <v/>
      </c>
      <c r="BP19" s="252" t="str">
        <f>IF(MAXIFS('単価履歴'!$H:$H,'単価履歴'!$E:$E,BP$1,'単価履歴'!$F:$F,$A19,'単価履歴'!$O:$O,
MAXIFS('単価履歴'!$O:$O,'単価履歴'!$E:$E,BP$1,'単価履歴'!$F:$F,$A19))=0,"",
MAXIFS('単価履歴'!$H:$H,'単価履歴'!$E:$E,BP$1,'単価履歴'!$F:$F,$A19,'単価履歴'!$O:$O,
MAXIFS('単価履歴'!$O:$O,'単価履歴'!$E:$E,BP$1,'単価履歴'!$F:$F,$A19)))</f>
        <v/>
      </c>
      <c r="BQ19" s="249"/>
      <c r="BR19" s="249"/>
      <c r="BS19" s="249"/>
      <c r="BT19" s="249"/>
      <c r="BU19" s="249"/>
      <c r="BV19" s="249"/>
      <c r="BW19" s="249"/>
      <c r="BX19" s="249"/>
    </row>
    <row r="20">
      <c r="A20" s="261" t="s">
        <v>130</v>
      </c>
      <c r="B20" s="246" t="str">
        <f>IF(MAXIFS('単価履歴'!$H:$H,'単価履歴'!$E:$E,B$1,'単価履歴'!$F:$F,$A20,'単価履歴'!$O:$O,
MAXIFS('単価履歴'!$O:$O,'単価履歴'!$E:$E,B$1,'単価履歴'!$F:$F,$A20))=0,"",
MAXIFS('単価履歴'!$H:$H,'単価履歴'!$E:$E,B$1,'単価履歴'!$F:$F,$A20,'単価履歴'!$O:$O,
MAXIFS('単価履歴'!$O:$O,'単価履歴'!$E:$E,B$1,'単価履歴'!$F:$F,$A20)))</f>
        <v/>
      </c>
      <c r="C20" s="262">
        <f>IF(MAXIFS('単価履歴'!$H:$H,'単価履歴'!$E:$E,C$1,'単価履歴'!$F:$F,$A20,'単価履歴'!$O:$O,
MAXIFS('単価履歴'!$O:$O,'単価履歴'!$E:$E,C$1,'単価履歴'!$F:$F,$A20))=0,"",
MAXIFS('単価履歴'!$H:$H,'単価履歴'!$E:$E,C$1,'単価履歴'!$F:$F,$A20,'単価履歴'!$O:$O,
MAXIFS('単価履歴'!$O:$O,'単価履歴'!$E:$E,C$1,'単価履歴'!$F:$F,$A20)))</f>
        <v>58.3</v>
      </c>
      <c r="D20" s="250">
        <f>IF(MAXIFS('単価履歴'!$H:$H,'単価履歴'!$E:$E,D$1,'単価履歴'!$F:$F,$A20,'単価履歴'!$O:$O,
MAXIFS('単価履歴'!$O:$O,'単価履歴'!$E:$E,D$1,'単価履歴'!$F:$F,$A20))=0,"",
MAXIFS('単価履歴'!$H:$H,'単価履歴'!$E:$E,D$1,'単価履歴'!$F:$F,$A20,'単価履歴'!$O:$O,
MAXIFS('単価履歴'!$O:$O,'単価履歴'!$E:$E,D$1,'単価履歴'!$F:$F,$A20)))</f>
        <v>58.3</v>
      </c>
      <c r="E20" s="250">
        <f>IF(MAXIFS('単価履歴'!$H:$H,'単価履歴'!$E:$E,E$1,'単価履歴'!$F:$F,$A20,'単価履歴'!$O:$O,
MAXIFS('単価履歴'!$O:$O,'単価履歴'!$E:$E,E$1,'単価履歴'!$F:$F,$A20))=0,"",
MAXIFS('単価履歴'!$H:$H,'単価履歴'!$E:$E,E$1,'単価履歴'!$F:$F,$A20,'単価履歴'!$O:$O,
MAXIFS('単価履歴'!$O:$O,'単価履歴'!$E:$E,E$1,'単価履歴'!$F:$F,$A20)))</f>
        <v>57.3</v>
      </c>
      <c r="F20" s="250">
        <f>IF(MAXIFS('単価履歴'!$H:$H,'単価履歴'!$E:$E,F$1,'単価履歴'!$F:$F,$A20,'単価履歴'!$O:$O,
MAXIFS('単価履歴'!$O:$O,'単価履歴'!$E:$E,F$1,'単価履歴'!$F:$F,$A20))=0,"",
MAXIFS('単価履歴'!$H:$H,'単価履歴'!$E:$E,F$1,'単価履歴'!$F:$F,$A20,'単価履歴'!$O:$O,
MAXIFS('単価履歴'!$O:$O,'単価履歴'!$E:$E,F$1,'単価履歴'!$F:$F,$A20)))</f>
        <v>55.3</v>
      </c>
      <c r="G20" s="263"/>
      <c r="H20" s="250">
        <f>IF(MAXIFS('単価履歴'!$H:$H,'単価履歴'!$E:$E,H$1,'単価履歴'!$F:$F,$A20,'単価履歴'!$O:$O,
MAXIFS('単価履歴'!$O:$O,'単価履歴'!$E:$E,H$1,'単価履歴'!$F:$F,$A20))=0,"",
MAXIFS('単価履歴'!$H:$H,'単価履歴'!$E:$E,H$1,'単価履歴'!$F:$F,$A20,'単価履歴'!$O:$O,
MAXIFS('単価履歴'!$O:$O,'単価履歴'!$E:$E,H$1,'単価履歴'!$F:$F,$A20)))</f>
        <v>58.3</v>
      </c>
      <c r="I20" s="256">
        <f>IF(MAXIFS('単価履歴'!$H:$H,'単価履歴'!$E:$E,I$1,'単価履歴'!$F:$F,$A20,'単価履歴'!$O:$O,
MAXIFS('単価履歴'!$O:$O,'単価履歴'!$E:$E,I$1,'単価履歴'!$F:$F,$A20))=0,"",
MAXIFS('単価履歴'!$H:$H,'単価履歴'!$E:$E,I$1,'単価履歴'!$F:$F,$A20,'単価履歴'!$O:$O,
MAXIFS('単価履歴'!$O:$O,'単価履歴'!$E:$E,I$1,'単価履歴'!$F:$F,$A20)))</f>
        <v>2</v>
      </c>
      <c r="J20" s="263" t="str">
        <f>IF(MAXIFS('単価履歴'!$H:$H,'単価履歴'!$E:$E,J$1,'単価履歴'!$F:$F,$A20,'単価履歴'!$O:$O,
MAXIFS('単価履歴'!$O:$O,'単価履歴'!$E:$E,J$1,'単価履歴'!$F:$F,$A20))=0,"",
MAXIFS('単価履歴'!$H:$H,'単価履歴'!$E:$E,J$1,'単価履歴'!$F:$F,$A20,'単価履歴'!$O:$O,
MAXIFS('単価履歴'!$O:$O,'単価履歴'!$E:$E,J$1,'単価履歴'!$F:$F,$A20)))</f>
        <v/>
      </c>
      <c r="K20" s="275">
        <v>28.0</v>
      </c>
      <c r="L20" s="275">
        <v>26.2</v>
      </c>
      <c r="M20" s="256"/>
      <c r="N20" s="275">
        <v>27.8</v>
      </c>
      <c r="O20" s="254" t="str">
        <f>IF(MAXIFS('単価履歴'!$H:$H,'単価履歴'!$E:$E,O$1,'単価履歴'!$F:$F,$A20,'単価履歴'!$O:$O,
MAXIFS('単価履歴'!$O:$O,'単価履歴'!$E:$E,O$1,'単価履歴'!$F:$F,$A20))=0,"",
MAXIFS('単価履歴'!$H:$H,'単価履歴'!$E:$E,O$1,'単価履歴'!$F:$F,$A20,'単価履歴'!$O:$O,
MAXIFS('単価履歴'!$O:$O,'単価履歴'!$E:$E,O$1,'単価履歴'!$F:$F,$A20)))</f>
        <v/>
      </c>
      <c r="P20" s="264" t="str">
        <f>IF(MAXIFS('単価履歴'!$H:$H,'単価履歴'!$E:$E,P$1,'単価履歴'!$F:$F,$A20,'単価履歴'!$O:$O,
MAXIFS('単価履歴'!$O:$O,'単価履歴'!$E:$E,P$1,'単価履歴'!$F:$F,$A20))=0,"",
MAXIFS('単価履歴'!$H:$H,'単価履歴'!$E:$E,P$1,'単価履歴'!$F:$F,$A20,'単価履歴'!$O:$O,
MAXIFS('単価履歴'!$O:$O,'単価履歴'!$E:$E,P$1,'単価履歴'!$F:$F,$A20)))</f>
        <v/>
      </c>
      <c r="Q20" s="268">
        <f>IF(MAXIFS('単価履歴'!$H:$H,'単価履歴'!$E:$E,Q$1,'単価履歴'!$F:$F,$A20,'単価履歴'!$O:$O,
MAXIFS('単価履歴'!$O:$O,'単価履歴'!$E:$E,Q$1,'単価履歴'!$F:$F,$A20))=0,"",
MAXIFS('単価履歴'!$H:$H,'単価履歴'!$E:$E,Q$1,'単価履歴'!$F:$F,$A20,'単価履歴'!$O:$O,
MAXIFS('単価履歴'!$O:$O,'単価履歴'!$E:$E,Q$1,'単価履歴'!$F:$F,$A20)))</f>
        <v>58.7</v>
      </c>
      <c r="R20" s="264" t="str">
        <f>IF(MAXIFS('単価履歴'!$H:$H,'単価履歴'!$E:$E,R$1,'単価履歴'!$F:$F,$A20,'単価履歴'!$O:$O,
MAXIFS('単価履歴'!$O:$O,'単価履歴'!$E:$E,R$1,'単価履歴'!$F:$F,$A20))=0,"",
MAXIFS('単価履歴'!$H:$H,'単価履歴'!$E:$E,R$1,'単価履歴'!$F:$F,$A20,'単価履歴'!$O:$O,
MAXIFS('単価履歴'!$O:$O,'単価履歴'!$E:$E,R$1,'単価履歴'!$F:$F,$A20)))</f>
        <v/>
      </c>
      <c r="S20" s="254" t="str">
        <f>IF(MAXIFS('単価履歴'!$H:$H,'単価履歴'!$E:$E,S$1,'単価履歴'!$F:$F,$A20,'単価履歴'!$O:$O,
MAXIFS('単価履歴'!$O:$O,'単価履歴'!$E:$E,S$1,'単価履歴'!$F:$F,$A20))=0,"",
MAXIFS('単価履歴'!$H:$H,'単価履歴'!$E:$E,S$1,'単価履歴'!$F:$F,$A20,'単価履歴'!$O:$O,
MAXIFS('単価履歴'!$O:$O,'単価履歴'!$E:$E,S$1,'単価履歴'!$F:$F,$A20)))</f>
        <v/>
      </c>
      <c r="T20" s="256" t="str">
        <f>IF(MAXIFS('単価履歴'!$H:$H,'単価履歴'!$E:$E,T$1,'単価履歴'!$F:$F,$A20,'単価履歴'!$O:$O,
MAXIFS('単価履歴'!$O:$O,'単価履歴'!$E:$E,T$1,'単価履歴'!$F:$F,$A20))=0,"",
MAXIFS('単価履歴'!$H:$H,'単価履歴'!$E:$E,T$1,'単価履歴'!$F:$F,$A20,'単価履歴'!$O:$O,
MAXIFS('単価履歴'!$O:$O,'単価履歴'!$E:$E,T$1,'単価履歴'!$F:$F,$A20)))</f>
        <v/>
      </c>
      <c r="U20" s="256" t="str">
        <f>IF(MAXIFS('単価履歴'!$H:$H,'単価履歴'!$E:$E,U$1,'単価履歴'!$F:$F,$A20,'単価履歴'!$O:$O,
MAXIFS('単価履歴'!$O:$O,'単価履歴'!$E:$E,U$1,'単価履歴'!$F:$F,$A20))=0,"",
MAXIFS('単価履歴'!$H:$H,'単価履歴'!$E:$E,U$1,'単価履歴'!$F:$F,$A20,'単価履歴'!$O:$O,
MAXIFS('単価履歴'!$O:$O,'単価履歴'!$E:$E,U$1,'単価履歴'!$F:$F,$A20)))</f>
        <v/>
      </c>
      <c r="V20" s="329">
        <v>43.0</v>
      </c>
      <c r="W20" s="265">
        <f>IF(MAXIFS('単価履歴'!$H:$H,'単価履歴'!$E:$E,W$1,'単価履歴'!$F:$F,$A20,'単価履歴'!$O:$O,
MAXIFS('単価履歴'!$O:$O,'単価履歴'!$E:$E,W$1,'単価履歴'!$F:$F,$A20))=0,"",
MAXIFS('単価履歴'!$H:$H,'単価履歴'!$E:$E,W$1,'単価履歴'!$F:$F,$A20,'単価履歴'!$O:$O,
MAXIFS('単価履歴'!$O:$O,'単価履歴'!$E:$E,W$1,'単価履歴'!$F:$F,$A20)))</f>
        <v>54.5</v>
      </c>
      <c r="X20" s="256" t="str">
        <f>IF(MAXIFS('単価履歴'!$H:$H,'単価履歴'!$E:$E,X$1,'単価履歴'!$F:$F,$A20,'単価履歴'!$O:$O,
MAXIFS('単価履歴'!$O:$O,'単価履歴'!$E:$E,X$1,'単価履歴'!$F:$F,$A20))=0,"",
MAXIFS('単価履歴'!$H:$H,'単価履歴'!$E:$E,X$1,'単価履歴'!$F:$F,$A20,'単価履歴'!$O:$O,
MAXIFS('単価履歴'!$O:$O,'単価履歴'!$E:$E,X$1,'単価履歴'!$F:$F,$A20)))</f>
        <v/>
      </c>
      <c r="Y20" s="254" t="str">
        <f>IF(MAXIFS('単価履歴'!$H:$H,'単価履歴'!$E:$E,Y$1,'単価履歴'!$F:$F,$A20,'単価履歴'!$O:$O,
MAXIFS('単価履歴'!$O:$O,'単価履歴'!$E:$E,Y$1,'単価履歴'!$F:$F,$A20))=0,"",
MAXIFS('単価履歴'!$H:$H,'単価履歴'!$E:$E,Y$1,'単価履歴'!$F:$F,$A20,'単価履歴'!$O:$O,
MAXIFS('単価履歴'!$O:$O,'単価履歴'!$E:$E,Y$1,'単価履歴'!$F:$F,$A20)))</f>
        <v/>
      </c>
      <c r="Z20" s="275">
        <v>45.0</v>
      </c>
      <c r="AA20" s="254" t="str">
        <f>IF(MAXIFS('単価履歴'!$H:$H,'単価履歴'!$E:$E,AA$1,'単価履歴'!$F:$F,$A20,'単価履歴'!$O:$O,
MAXIFS('単価履歴'!$O:$O,'単価履歴'!$E:$E,AA$1,'単価履歴'!$F:$F,$A20))=0,"",
MAXIFS('単価履歴'!$H:$H,'単価履歴'!$E:$E,AA$1,'単価履歴'!$F:$F,$A20,'単価履歴'!$O:$O,
MAXIFS('単価履歴'!$O:$O,'単価履歴'!$E:$E,AA$1,'単価履歴'!$F:$F,$A20)))</f>
        <v/>
      </c>
      <c r="AB20" s="264" t="str">
        <f>IF(MAXIFS('単価履歴'!$H:$H,'単価履歴'!$E:$E,AB$1,'単価履歴'!$F:$F,$A20,'単価履歴'!$O:$O,
MAXIFS('単価履歴'!$O:$O,'単価履歴'!$E:$E,AB$1,'単価履歴'!$F:$F,$A20))=0,"",
MAXIFS('単価履歴'!$H:$H,'単価履歴'!$E:$E,AB$1,'単価履歴'!$F:$F,$A20,'単価履歴'!$O:$O,
MAXIFS('単価履歴'!$O:$O,'単価履歴'!$E:$E,AB$1,'単価履歴'!$F:$F,$A20)))</f>
        <v/>
      </c>
      <c r="AC20" s="256">
        <f>IF(MAXIFS('単価履歴'!$H:$H,'単価履歴'!$E:$E,AC$1,'単価履歴'!$F:$F,$A20,'単価履歴'!$O:$O,
MAXIFS('単価履歴'!$O:$O,'単価履歴'!$E:$E,AC$1,'単価履歴'!$F:$F,$A20))=0,"",
MAXIFS('単価履歴'!$H:$H,'単価履歴'!$E:$E,AC$1,'単価履歴'!$F:$F,$A20,'単価履歴'!$O:$O,
MAXIFS('単価履歴'!$O:$O,'単価履歴'!$E:$E,AC$1,'単価履歴'!$F:$F,$A20)))</f>
        <v>58.5</v>
      </c>
      <c r="AD20" s="254" t="str">
        <f>IF(MAXIFS('単価履歴'!$H:$H,'単価履歴'!$E:$E,AD$1,'単価履歴'!$F:$F,$A20,'単価履歴'!$O:$O,
MAXIFS('単価履歴'!$O:$O,'単価履歴'!$E:$E,AD$1,'単価履歴'!$F:$F,$A20))=0,"",
MAXIFS('単価履歴'!$H:$H,'単価履歴'!$E:$E,AD$1,'単価履歴'!$F:$F,$A20,'単価履歴'!$O:$O,
MAXIFS('単価履歴'!$O:$O,'単価履歴'!$E:$E,AD$1,'単価履歴'!$F:$F,$A20)))</f>
        <v/>
      </c>
      <c r="AE20" s="264" t="str">
        <f>IF(MAXIFS('単価履歴'!$H:$H,'単価履歴'!$E:$E,AE$1,'単価履歴'!$F:$F,$A20,'単価履歴'!$O:$O,
MAXIFS('単価履歴'!$O:$O,'単価履歴'!$E:$E,AE$1,'単価履歴'!$F:$F,$A20))=0,"",
MAXIFS('単価履歴'!$H:$H,'単価履歴'!$E:$E,AE$1,'単価履歴'!$F:$F,$A20,'単価履歴'!$O:$O,
MAXIFS('単価履歴'!$O:$O,'単価履歴'!$E:$E,AE$1,'単価履歴'!$F:$F,$A20)))</f>
        <v/>
      </c>
      <c r="AF20" s="256" t="str">
        <f>IF(MAXIFS('単価履歴'!$H:$H,'単価履歴'!$E:$E,AF$1,'単価履歴'!$F:$F,$A20,'単価履歴'!$O:$O,
MAXIFS('単価履歴'!$O:$O,'単価履歴'!$E:$E,AF$1,'単価履歴'!$F:$F,$A20))=0,"",
MAXIFS('単価履歴'!$H:$H,'単価履歴'!$E:$E,AF$1,'単価履歴'!$F:$F,$A20,'単価履歴'!$O:$O,
MAXIFS('単価履歴'!$O:$O,'単価履歴'!$E:$E,AF$1,'単価履歴'!$F:$F,$A20)))</f>
        <v/>
      </c>
      <c r="AG20" s="279">
        <v>42.0</v>
      </c>
      <c r="AH20" s="256" t="str">
        <f>IF(MAXIFS('単価履歴'!$H:$H,'単価履歴'!$E:$E,AH$1,'単価履歴'!$F:$F,$A20,'単価履歴'!$O:$O,
MAXIFS('単価履歴'!$O:$O,'単価履歴'!$E:$E,AH$1,'単価履歴'!$F:$F,$A20))=0,"",
MAXIFS('単価履歴'!$H:$H,'単価履歴'!$E:$E,AH$1,'単価履歴'!$F:$F,$A20,'単価履歴'!$O:$O,
MAXIFS('単価履歴'!$O:$O,'単価履歴'!$E:$E,AH$1,'単価履歴'!$F:$F,$A20)))</f>
        <v/>
      </c>
      <c r="AI20" s="254" t="str">
        <f>IF(MAXIFS('単価履歴'!$H:$H,'単価履歴'!$E:$E,AI$1,'単価履歴'!$F:$F,$A20,'単価履歴'!$O:$O,
MAXIFS('単価履歴'!$O:$O,'単価履歴'!$E:$E,AI$1,'単価履歴'!$F:$F,$A20))=0,"",
MAXIFS('単価履歴'!$H:$H,'単価履歴'!$E:$E,AI$1,'単価履歴'!$F:$F,$A20,'単価履歴'!$O:$O,
MAXIFS('単価履歴'!$O:$O,'単価履歴'!$E:$E,AI$1,'単価履歴'!$F:$F,$A20)))</f>
        <v/>
      </c>
      <c r="AJ20" s="250">
        <f>IF(MAXIFS('単価履歴'!$H:$H,'単価履歴'!$E:$E,AJ$1,'単価履歴'!$F:$F,$A20,'単価履歴'!$O:$O,
MAXIFS('単価履歴'!$O:$O,'単価履歴'!$E:$E,AJ$1,'単価履歴'!$F:$F,$A20))=0,"",
MAXIFS('単価履歴'!$H:$H,'単価履歴'!$E:$E,AJ$1,'単価履歴'!$F:$F,$A20,'単価履歴'!$O:$O,
MAXIFS('単価履歴'!$O:$O,'単価履歴'!$E:$E,AJ$1,'単価履歴'!$F:$F,$A20)))</f>
        <v>58.5</v>
      </c>
      <c r="AK20" s="328">
        <v>42.5</v>
      </c>
      <c r="AL20" s="256" t="str">
        <f>IF(MAXIFS('単価履歴'!$H:$H,'単価履歴'!$E:$E,AL$1,'単価履歴'!$F:$F,$A20,'単価履歴'!$O:$O,
MAXIFS('単価履歴'!$O:$O,'単価履歴'!$E:$E,AL$1,'単価履歴'!$F:$F,$A20))=0,"",
MAXIFS('単価履歴'!$H:$H,'単価履歴'!$E:$E,AL$1,'単価履歴'!$F:$F,$A20,'単価履歴'!$O:$O,
MAXIFS('単価履歴'!$O:$O,'単価履歴'!$E:$E,AL$1,'単価履歴'!$F:$F,$A20)))</f>
        <v/>
      </c>
      <c r="AM20" s="254" t="str">
        <f>IF(MAXIFS('単価履歴'!$H:$H,'単価履歴'!$E:$E,AM$1,'単価履歴'!$F:$F,$A20,'単価履歴'!$O:$O,
MAXIFS('単価履歴'!$O:$O,'単価履歴'!$E:$E,AM$1,'単価履歴'!$F:$F,$A20))=0,"",
MAXIFS('単価履歴'!$H:$H,'単価履歴'!$E:$E,AM$1,'単価履歴'!$F:$F,$A20,'単価履歴'!$O:$O,
MAXIFS('単価履歴'!$O:$O,'単価履歴'!$E:$E,AM$1,'単価履歴'!$F:$F,$A20)))</f>
        <v/>
      </c>
      <c r="AN20" s="266">
        <f>IF(MAXIFS('単価履歴'!$H:$H,'単価履歴'!$E:$E,AN$1,'単価履歴'!$F:$F,$A20,'単価履歴'!$O:$O,
MAXIFS('単価履歴'!$O:$O,'単価履歴'!$E:$E,AN$1,'単価履歴'!$F:$F,$A20))=0,"",
MAXIFS('単価履歴'!$H:$H,'単価履歴'!$E:$E,AN$1,'単価履歴'!$F:$F,$A20,'単価履歴'!$O:$O,
MAXIFS('単価履歴'!$O:$O,'単価履歴'!$E:$E,AN$1,'単価履歴'!$F:$F,$A20)))</f>
        <v>58</v>
      </c>
      <c r="AO20" s="262">
        <f>IF(MAXIFS('単価履歴'!$H:$H,'単価履歴'!$E:$E,AO$1,'単価履歴'!$F:$F,$A20,'単価履歴'!$O:$O,
MAXIFS('単価履歴'!$O:$O,'単価履歴'!$E:$E,AO$1,'単価履歴'!$F:$F,$A20))=0,"",
MAXIFS('単価履歴'!$H:$H,'単価履歴'!$E:$E,AO$1,'単価履歴'!$F:$F,$A20,'単価履歴'!$O:$O,
MAXIFS('単価履歴'!$O:$O,'単価履歴'!$E:$E,AO$1,'単価履歴'!$F:$F,$A20)))</f>
        <v>56.5</v>
      </c>
      <c r="AP20" s="264" t="str">
        <f>IF(MAXIFS('単価履歴'!$H:$H,'単価履歴'!$E:$E,AP$1,'単価履歴'!$F:$F,$A20,'単価履歴'!$O:$O,
MAXIFS('単価履歴'!$O:$O,'単価履歴'!$E:$E,AP$1,'単価履歴'!$F:$F,$A20))=0,"",
MAXIFS('単価履歴'!$H:$H,'単価履歴'!$E:$E,AP$1,'単価履歴'!$F:$F,$A20,'単価履歴'!$O:$O,
MAXIFS('単価履歴'!$O:$O,'単価履歴'!$E:$E,AP$1,'単価履歴'!$F:$F,$A20)))</f>
        <v/>
      </c>
      <c r="AQ20" s="256" t="str">
        <f>IF(MAXIFS('単価履歴'!$H:$H,'単価履歴'!$E:$E,AQ$1,'単価履歴'!$F:$F,$A20,'単価履歴'!$O:$O,
MAXIFS('単価履歴'!$O:$O,'単価履歴'!$E:$E,AQ$1,'単価履歴'!$F:$F,$A20))=0,"",
MAXIFS('単価履歴'!$H:$H,'単価履歴'!$E:$E,AQ$1,'単価履歴'!$F:$F,$A20,'単価履歴'!$O:$O,
MAXIFS('単価履歴'!$O:$O,'単価履歴'!$E:$E,AQ$1,'単価履歴'!$F:$F,$A20)))</f>
        <v/>
      </c>
      <c r="AR20" s="264" t="str">
        <f>IF(MAXIFS('単価履歴'!$H:$H,'単価履歴'!$E:$E,AR$1,'単価履歴'!$F:$F,$A20,'単価履歴'!$O:$O,
MAXIFS('単価履歴'!$O:$O,'単価履歴'!$E:$E,AR$1,'単価履歴'!$F:$F,$A20))=0,"",
MAXIFS('単価履歴'!$H:$H,'単価履歴'!$E:$E,AR$1,'単価履歴'!$F:$F,$A20,'単価履歴'!$O:$O,
MAXIFS('単価履歴'!$O:$O,'単価履歴'!$E:$E,AR$1,'単価履歴'!$F:$F,$A20)))</f>
        <v/>
      </c>
      <c r="AS20" s="256"/>
      <c r="AT20" s="256" t="str">
        <f>IF(MAXIFS('単価履歴'!$H:$H,'単価履歴'!$E:$E,AT$1,'単価履歴'!$F:$F,$A20,'単価履歴'!$O:$O,
MAXIFS('単価履歴'!$O:$O,'単価履歴'!$E:$E,AT$1,'単価履歴'!$F:$F,$A20))=0,"",
MAXIFS('単価履歴'!$H:$H,'単価履歴'!$E:$E,AT$1,'単価履歴'!$F:$F,$A20,'単価履歴'!$O:$O,
MAXIFS('単価履歴'!$O:$O,'単価履歴'!$E:$E,AT$1,'単価履歴'!$F:$F,$A20)))</f>
        <v/>
      </c>
      <c r="AU20" s="256" t="str">
        <f>IF(MAXIFS('単価履歴'!$H:$H,'単価履歴'!$E:$E,AU$1,'単価履歴'!$F:$F,$A20,'単価履歴'!$O:$O,
MAXIFS('単価履歴'!$O:$O,'単価履歴'!$E:$E,AU$1,'単価履歴'!$F:$F,$A20))=0,"",
MAXIFS('単価履歴'!$H:$H,'単価履歴'!$E:$E,AU$1,'単価履歴'!$F:$F,$A20,'単価履歴'!$O:$O,
MAXIFS('単価履歴'!$O:$O,'単価履歴'!$E:$E,AU$1,'単価履歴'!$F:$F,$A20)))</f>
        <v/>
      </c>
      <c r="AV20" s="256" t="str">
        <f>IF(MAXIFS('単価履歴'!$H:$H,'単価履歴'!$E:$E,AV$1,'単価履歴'!$F:$F,$A20,'単価履歴'!$O:$O,
MAXIFS('単価履歴'!$O:$O,'単価履歴'!$E:$E,AV$1,'単価履歴'!$F:$F,$A20))=0,"",
MAXIFS('単価履歴'!$H:$H,'単価履歴'!$E:$E,AV$1,'単価履歴'!$F:$F,$A20,'単価履歴'!$O:$O,
MAXIFS('単価履歴'!$O:$O,'単価履歴'!$E:$E,AV$1,'単価履歴'!$F:$F,$A20)))</f>
        <v/>
      </c>
      <c r="AW20" s="263" t="str">
        <f>IF(MAXIFS('単価履歴'!$H:$H,'単価履歴'!$E:$E,AW$1,'単価履歴'!$F:$F,$A20,'単価履歴'!$O:$O,
MAXIFS('単価履歴'!$O:$O,'単価履歴'!$E:$E,AW$1,'単価履歴'!$F:$F,$A20))=0,"",
MAXIFS('単価履歴'!$H:$H,'単価履歴'!$E:$E,AW$1,'単価履歴'!$F:$F,$A20,'単価履歴'!$O:$O,
MAXIFS('単価履歴'!$O:$O,'単価履歴'!$E:$E,AW$1,'単価履歴'!$F:$F,$A20)))</f>
        <v/>
      </c>
      <c r="AX20" s="256" t="str">
        <f>IF(MAXIFS('単価履歴'!$H:$H,'単価履歴'!$E:$E,AX$1,'単価履歴'!$F:$F,$A20,'単価履歴'!$O:$O,
MAXIFS('単価履歴'!$O:$O,'単価履歴'!$E:$E,AX$1,'単価履歴'!$F:$F,$A20))=0,"",
MAXIFS('単価履歴'!$H:$H,'単価履歴'!$E:$E,AX$1,'単価履歴'!$F:$F,$A20,'単価履歴'!$O:$O,
MAXIFS('単価履歴'!$O:$O,'単価履歴'!$E:$E,AX$1,'単価履歴'!$F:$F,$A20)))</f>
        <v/>
      </c>
      <c r="AY20" s="254" t="str">
        <f>IF(MAXIFS('単価履歴'!$H:$H,'単価履歴'!$E:$E,AY$1,'単価履歴'!$F:$F,$A20,'単価履歴'!$O:$O,
MAXIFS('単価履歴'!$O:$O,'単価履歴'!$E:$E,AY$1,'単価履歴'!$F:$F,$A20))=0,"",
MAXIFS('単価履歴'!$H:$H,'単価履歴'!$E:$E,AY$1,'単価履歴'!$F:$F,$A20,'単価履歴'!$O:$O,
MAXIFS('単価履歴'!$O:$O,'単価履歴'!$E:$E,AY$1,'単価履歴'!$F:$F,$A20)))</f>
        <v/>
      </c>
      <c r="AZ20" s="256" t="str">
        <f>IF(MAXIFS('単価履歴'!$H:$H,'単価履歴'!$E:$E,AZ$1,'単価履歴'!$F:$F,$A20,'単価履歴'!$O:$O,
MAXIFS('単価履歴'!$O:$O,'単価履歴'!$E:$E,AZ$1,'単価履歴'!$F:$F,$A20))=0,"",
MAXIFS('単価履歴'!$H:$H,'単価履歴'!$E:$E,AZ$1,'単価履歴'!$F:$F,$A20,'単価履歴'!$O:$O,
MAXIFS('単価履歴'!$O:$O,'単価履歴'!$E:$E,AZ$1,'単価履歴'!$F:$F,$A20)))</f>
        <v/>
      </c>
      <c r="BA20" s="268">
        <f>IF(MAXIFS('単価履歴'!$H:$H,'単価履歴'!$E:$E,BA$1,'単価履歴'!$F:$F,$A20,'単価履歴'!$O:$O,
MAXIFS('単価履歴'!$O:$O,'単価履歴'!$E:$E,BA$1,'単価履歴'!$F:$F,$A20))=0,"",
MAXIFS('単価履歴'!$H:$H,'単価履歴'!$E:$E,BA$1,'単価履歴'!$F:$F,$A20,'単価履歴'!$O:$O,
MAXIFS('単価履歴'!$O:$O,'単価履歴'!$E:$E,BA$1,'単価履歴'!$F:$F,$A20)))</f>
        <v>45</v>
      </c>
      <c r="BB20" s="264" t="str">
        <f>IF(MAXIFS('単価履歴'!$H:$H,'単価履歴'!$E:$E,BB$1,'単価履歴'!$F:$F,$A20,'単価履歴'!$O:$O,
MAXIFS('単価履歴'!$O:$O,'単価履歴'!$E:$E,BB$1,'単価履歴'!$F:$F,$A20))=0,"",
MAXIFS('単価履歴'!$H:$H,'単価履歴'!$E:$E,BB$1,'単価履歴'!$F:$F,$A20,'単価履歴'!$O:$O,
MAXIFS('単価履歴'!$O:$O,'単価履歴'!$E:$E,BB$1,'単価履歴'!$F:$F,$A20)))</f>
        <v/>
      </c>
      <c r="BC20" s="256" t="str">
        <f>IF(MAXIFS('単価履歴'!$H:$H,'単価履歴'!$E:$E,BC$1,'単価履歴'!$F:$F,$A20,'単価履歴'!$O:$O,
MAXIFS('単価履歴'!$O:$O,'単価履歴'!$E:$E,BC$1,'単価履歴'!$F:$F,$A20))=0,"",
MAXIFS('単価履歴'!$H:$H,'単価履歴'!$E:$E,BC$1,'単価履歴'!$F:$F,$A20,'単価履歴'!$O:$O,
MAXIFS('単価履歴'!$O:$O,'単価履歴'!$E:$E,BC$1,'単価履歴'!$F:$F,$A20)))</f>
        <v/>
      </c>
      <c r="BD20" s="263" t="str">
        <f>IF(MAXIFS('単価履歴'!$H:$H,'単価履歴'!$E:$E,BD$1,'単価履歴'!$F:$F,$A20,'単価履歴'!$O:$O,
MAXIFS('単価履歴'!$O:$O,'単価履歴'!$E:$E,BD$1,'単価履歴'!$F:$F,$A20))=0,"",
MAXIFS('単価履歴'!$H:$H,'単価履歴'!$E:$E,BD$1,'単価履歴'!$F:$F,$A20,'単価履歴'!$O:$O,
MAXIFS('単価履歴'!$O:$O,'単価履歴'!$E:$E,BD$1,'単価履歴'!$F:$F,$A20)))</f>
        <v/>
      </c>
      <c r="BE20" s="256" t="str">
        <f>IF(MAXIFS('単価履歴'!$H:$H,'単価履歴'!$E:$E,BE$1,'単価履歴'!$F:$F,$A20,'単価履歴'!$O:$O,
MAXIFS('単価履歴'!$O:$O,'単価履歴'!$E:$E,BE$1,'単価履歴'!$F:$F,$A20))=0,"",
MAXIFS('単価履歴'!$H:$H,'単価履歴'!$E:$E,BE$1,'単価履歴'!$F:$F,$A20,'単価履歴'!$O:$O,
MAXIFS('単価履歴'!$O:$O,'単価履歴'!$E:$E,BE$1,'単価履歴'!$F:$F,$A20)))</f>
        <v/>
      </c>
      <c r="BF20" s="263" t="str">
        <f>IF(MAXIFS('単価履歴'!$H:$H,'単価履歴'!$E:$E,BF$1,'単価履歴'!$F:$F,$A20,'単価履歴'!$O:$O,
MAXIFS('単価履歴'!$O:$O,'単価履歴'!$E:$E,BF$1,'単価履歴'!$F:$F,$A20))=0,"",
MAXIFS('単価履歴'!$H:$H,'単価履歴'!$E:$E,BF$1,'単価履歴'!$F:$F,$A20,'単価履歴'!$O:$O,
MAXIFS('単価履歴'!$O:$O,'単価履歴'!$E:$E,BF$1,'単価履歴'!$F:$F,$A20)))</f>
        <v/>
      </c>
      <c r="BG20" s="256" t="str">
        <f>IF(MAXIFS('単価履歴'!$H:$H,'単価履歴'!$E:$E,BG$1,'単価履歴'!$F:$F,$A20,'単価履歴'!$O:$O,
MAXIFS('単価履歴'!$O:$O,'単価履歴'!$E:$E,BG$1,'単価履歴'!$F:$F,$A20))=0,"",
MAXIFS('単価履歴'!$H:$H,'単価履歴'!$E:$E,BG$1,'単価履歴'!$F:$F,$A20,'単価履歴'!$O:$O,
MAXIFS('単価履歴'!$O:$O,'単価履歴'!$E:$E,BG$1,'単価履歴'!$F:$F,$A20)))</f>
        <v/>
      </c>
      <c r="BH20" s="256" t="str">
        <f>IF(MAXIFS('単価履歴'!$H:$H,'単価履歴'!$E:$E,BH$1,'単価履歴'!$F:$F,$A20,'単価履歴'!$O:$O,
MAXIFS('単価履歴'!$O:$O,'単価履歴'!$E:$E,BH$1,'単価履歴'!$F:$F,$A20))=0,"",
MAXIFS('単価履歴'!$H:$H,'単価履歴'!$E:$E,BH$1,'単価履歴'!$F:$F,$A20,'単価履歴'!$O:$O,
MAXIFS('単価履歴'!$O:$O,'単価履歴'!$E:$E,BH$1,'単価履歴'!$F:$F,$A20)))</f>
        <v/>
      </c>
      <c r="BI20" s="264" t="str">
        <f>IF(MAXIFS('単価履歴'!$H:$H,'単価履歴'!$E:$E,BI$1,'単価履歴'!$F:$F,$A20,'単価履歴'!$O:$O,
MAXIFS('単価履歴'!$O:$O,'単価履歴'!$E:$E,BI$1,'単価履歴'!$F:$F,$A20))=0,"",
MAXIFS('単価履歴'!$H:$H,'単価履歴'!$E:$E,BI$1,'単価履歴'!$F:$F,$A20,'単価履歴'!$O:$O,
MAXIFS('単価履歴'!$O:$O,'単価履歴'!$E:$E,BI$1,'単価履歴'!$F:$F,$A20)))</f>
        <v/>
      </c>
      <c r="BJ20" s="264" t="str">
        <f>IF(MAXIFS('単価履歴'!$H:$H,'単価履歴'!$E:$E,BJ$1,'単価履歴'!$F:$F,$A20,'単価履歴'!$O:$O,
MAXIFS('単価履歴'!$O:$O,'単価履歴'!$E:$E,BJ$1,'単価履歴'!$F:$F,$A20))=0,"",
MAXIFS('単価履歴'!$H:$H,'単価履歴'!$E:$E,BJ$1,'単価履歴'!$F:$F,$A20,'単価履歴'!$O:$O,
MAXIFS('単価履歴'!$O:$O,'単価履歴'!$E:$E,BJ$1,'単価履歴'!$F:$F,$A20)))</f>
        <v/>
      </c>
      <c r="BK20" s="264" t="str">
        <f>IF(MAXIFS('単価履歴'!$H:$H,'単価履歴'!$E:$E,BK$1,'単価履歴'!$F:$F,$A20,'単価履歴'!$O:$O,
MAXIFS('単価履歴'!$O:$O,'単価履歴'!$E:$E,BK$1,'単価履歴'!$F:$F,$A20))=0,"",
MAXIFS('単価履歴'!$H:$H,'単価履歴'!$E:$E,BK$1,'単価履歴'!$F:$F,$A20,'単価履歴'!$O:$O,
MAXIFS('単価履歴'!$O:$O,'単価履歴'!$E:$E,BK$1,'単価履歴'!$F:$F,$A20)))</f>
        <v/>
      </c>
      <c r="BL20" s="264" t="str">
        <f>IF(MAXIFS('単価履歴'!$H:$H,'単価履歴'!$E:$E,BL$1,'単価履歴'!$F:$F,$A20,'単価履歴'!$O:$O,
MAXIFS('単価履歴'!$O:$O,'単価履歴'!$E:$E,BL$1,'単価履歴'!$F:$F,$A20))=0,"",
MAXIFS('単価履歴'!$H:$H,'単価履歴'!$E:$E,BL$1,'単価履歴'!$F:$F,$A20,'単価履歴'!$O:$O,
MAXIFS('単価履歴'!$O:$O,'単価履歴'!$E:$E,BL$1,'単価履歴'!$F:$F,$A20)))</f>
        <v/>
      </c>
      <c r="BM20" s="264" t="str">
        <f>IF(MAXIFS('単価履歴'!$H:$H,'単価履歴'!$E:$E,BM$1,'単価履歴'!$F:$F,$A20,'単価履歴'!$O:$O,
MAXIFS('単価履歴'!$O:$O,'単価履歴'!$E:$E,BM$1,'単価履歴'!$F:$F,$A20))=0,"",
MAXIFS('単価履歴'!$H:$H,'単価履歴'!$E:$E,BM$1,'単価履歴'!$F:$F,$A20,'単価履歴'!$O:$O,
MAXIFS('単価履歴'!$O:$O,'単価履歴'!$E:$E,BM$1,'単価履歴'!$F:$F,$A20)))</f>
        <v/>
      </c>
      <c r="BN20" s="263" t="str">
        <f>IF(MAXIFS('単価履歴'!$H:$H,'単価履歴'!$E:$E,BN$1,'単価履歴'!$F:$F,$A20,'単価履歴'!$O:$O,
MAXIFS('単価履歴'!$O:$O,'単価履歴'!$E:$E,BN$1,'単価履歴'!$F:$F,$A20))=0,"",
MAXIFS('単価履歴'!$H:$H,'単価履歴'!$E:$E,BN$1,'単価履歴'!$F:$F,$A20,'単価履歴'!$O:$O,
MAXIFS('単価履歴'!$O:$O,'単価履歴'!$E:$E,BN$1,'単価履歴'!$F:$F,$A20)))</f>
        <v/>
      </c>
      <c r="BO20" s="256" t="str">
        <f>IF(MAXIFS('単価履歴'!$H:$H,'単価履歴'!$E:$E,BO$1,'単価履歴'!$F:$F,$A20,'単価履歴'!$O:$O,
MAXIFS('単価履歴'!$O:$O,'単価履歴'!$E:$E,BO$1,'単価履歴'!$F:$F,$A20))=0,"",
MAXIFS('単価履歴'!$H:$H,'単価履歴'!$E:$E,BO$1,'単価履歴'!$F:$F,$A20,'単価履歴'!$O:$O,
MAXIFS('単価履歴'!$O:$O,'単価履歴'!$E:$E,BO$1,'単価履歴'!$F:$F,$A20)))</f>
        <v/>
      </c>
      <c r="BP20" s="264" t="str">
        <f>IF(MAXIFS('単価履歴'!$H:$H,'単価履歴'!$E:$E,BP$1,'単価履歴'!$F:$F,$A20,'単価履歴'!$O:$O,
MAXIFS('単価履歴'!$O:$O,'単価履歴'!$E:$E,BP$1,'単価履歴'!$F:$F,$A20))=0,"",
MAXIFS('単価履歴'!$H:$H,'単価履歴'!$E:$E,BP$1,'単価履歴'!$F:$F,$A20,'単価履歴'!$O:$O,
MAXIFS('単価履歴'!$O:$O,'単価履歴'!$E:$E,BP$1,'単価履歴'!$F:$F,$A20)))</f>
        <v/>
      </c>
      <c r="BQ20" s="256"/>
      <c r="BR20" s="256"/>
      <c r="BS20" s="256"/>
      <c r="BT20" s="256"/>
      <c r="BU20" s="256"/>
      <c r="BV20" s="256"/>
      <c r="BW20" s="256"/>
      <c r="BX20" s="256"/>
    </row>
    <row r="21">
      <c r="A21" s="267" t="s">
        <v>131</v>
      </c>
      <c r="B21" s="246" t="str">
        <f>IF(MAXIFS('単価履歴'!$H:$H,'単価履歴'!$E:$E,B$1,'単価履歴'!$F:$F,$A21,'単価履歴'!$O:$O,
MAXIFS('単価履歴'!$O:$O,'単価履歴'!$E:$E,B$1,'単価履歴'!$F:$F,$A21))=0,"",
MAXIFS('単価履歴'!$H:$H,'単価履歴'!$E:$E,B$1,'単価履歴'!$F:$F,$A21,'単価履歴'!$O:$O,
MAXIFS('単価履歴'!$O:$O,'単価履歴'!$E:$E,B$1,'単価履歴'!$F:$F,$A21)))</f>
        <v/>
      </c>
      <c r="C21" s="247">
        <f>IF(MAXIFS('単価履歴'!$H:$H,'単価履歴'!$E:$E,C$1,'単価履歴'!$F:$F,$A21,'単価履歴'!$O:$O,
MAXIFS('単価履歴'!$O:$O,'単価履歴'!$E:$E,C$1,'単価履歴'!$F:$F,$A21))=0,"",
MAXIFS('単価履歴'!$H:$H,'単価履歴'!$E:$E,C$1,'単価履歴'!$F:$F,$A21,'単価履歴'!$O:$O,
MAXIFS('単価履歴'!$O:$O,'単価履歴'!$E:$E,C$1,'単価履歴'!$F:$F,$A21)))</f>
        <v>57.3</v>
      </c>
      <c r="D21" s="246">
        <f>IF(MAXIFS('単価履歴'!$H:$H,'単価履歴'!$E:$E,D$1,'単価履歴'!$F:$F,$A21,'単価履歴'!$O:$O,
MAXIFS('単価履歴'!$O:$O,'単価履歴'!$E:$E,D$1,'単価履歴'!$F:$F,$A21))=0,"",
MAXIFS('単価履歴'!$H:$H,'単価履歴'!$E:$E,D$1,'単価履歴'!$F:$F,$A21,'単価履歴'!$O:$O,
MAXIFS('単価履歴'!$O:$O,'単価履歴'!$E:$E,D$1,'単価履歴'!$F:$F,$A21)))</f>
        <v>57.3</v>
      </c>
      <c r="E21" s="246"/>
      <c r="F21" s="246"/>
      <c r="G21" s="248" t="str">
        <f>IF(MAXIFS('単価履歴'!$H:$H,'単価履歴'!$E:$E,G$1,'単価履歴'!$F:$F,$A21,'単価履歴'!$O:$O,
MAXIFS('単価履歴'!$O:$O,'単価履歴'!$E:$E,G$1,'単価履歴'!$F:$F,$A21))=0,"",
MAXIFS('単価履歴'!$H:$H,'単価履歴'!$E:$E,G$1,'単価履歴'!$F:$F,$A21,'単価履歴'!$O:$O,
MAXIFS('単価履歴'!$O:$O,'単価履歴'!$E:$E,G$1,'単価履歴'!$F:$F,$A21)))</f>
        <v/>
      </c>
      <c r="H21" s="246">
        <f>IF(MAXIFS('単価履歴'!$H:$H,'単価履歴'!$E:$E,H$1,'単価履歴'!$F:$F,$A21,'単価履歴'!$O:$O,
MAXIFS('単価履歴'!$O:$O,'単価履歴'!$E:$E,H$1,'単価履歴'!$F:$F,$A21))=0,"",
MAXIFS('単価履歴'!$H:$H,'単価履歴'!$E:$E,H$1,'単価履歴'!$F:$F,$A21,'単価履歴'!$O:$O,
MAXIFS('単価履歴'!$O:$O,'単価履歴'!$E:$E,H$1,'単価履歴'!$F:$F,$A21)))</f>
        <v>57.8</v>
      </c>
      <c r="I21" s="249">
        <f>IF(MAXIFS('単価履歴'!$H:$H,'単価履歴'!$E:$E,I$1,'単価履歴'!$F:$F,$A21,'単価履歴'!$O:$O,
MAXIFS('単価履歴'!$O:$O,'単価履歴'!$E:$E,I$1,'単価履歴'!$F:$F,$A21))=0,"",
MAXIFS('単価履歴'!$H:$H,'単価履歴'!$E:$E,I$1,'単価履歴'!$F:$F,$A21,'単価履歴'!$O:$O,
MAXIFS('単価履歴'!$O:$O,'単価履歴'!$E:$E,I$1,'単価履歴'!$F:$F,$A21)))</f>
        <v>2</v>
      </c>
      <c r="J21" s="248" t="str">
        <f>IF(MAXIFS('単価履歴'!$H:$H,'単価履歴'!$E:$E,J$1,'単価履歴'!$F:$F,$A21,'単価履歴'!$O:$O,
MAXIFS('単価履歴'!$O:$O,'単価履歴'!$E:$E,J$1,'単価履歴'!$F:$F,$A21))=0,"",
MAXIFS('単価履歴'!$H:$H,'単価履歴'!$E:$E,J$1,'単価履歴'!$F:$F,$A21,'単価履歴'!$O:$O,
MAXIFS('単価履歴'!$O:$O,'単価履歴'!$E:$E,J$1,'単価履歴'!$F:$F,$A21)))</f>
        <v/>
      </c>
      <c r="K21" s="285">
        <v>27.5</v>
      </c>
      <c r="L21" s="285">
        <v>25.7</v>
      </c>
      <c r="M21" s="249"/>
      <c r="N21" s="285">
        <v>27.3</v>
      </c>
      <c r="O21" s="251" t="str">
        <f>IF(MAXIFS('単価履歴'!$H:$H,'単価履歴'!$E:$E,O$1,'単価履歴'!$F:$F,$A21,'単価履歴'!$O:$O,
MAXIFS('単価履歴'!$O:$O,'単価履歴'!$E:$E,O$1,'単価履歴'!$F:$F,$A21))=0,"",
MAXIFS('単価履歴'!$H:$H,'単価履歴'!$E:$E,O$1,'単価履歴'!$F:$F,$A21,'単価履歴'!$O:$O,
MAXIFS('単価履歴'!$O:$O,'単価履歴'!$E:$E,O$1,'単価履歴'!$F:$F,$A21)))</f>
        <v/>
      </c>
      <c r="P21" s="252" t="str">
        <f>IF(MAXIFS('単価履歴'!$H:$H,'単価履歴'!$E:$E,P$1,'単価履歴'!$F:$F,$A21,'単価履歴'!$O:$O,
MAXIFS('単価履歴'!$O:$O,'単価履歴'!$E:$E,P$1,'単価履歴'!$F:$F,$A21))=0,"",
MAXIFS('単価履歴'!$H:$H,'単価履歴'!$E:$E,P$1,'単価履歴'!$F:$F,$A21,'単価履歴'!$O:$O,
MAXIFS('単価履歴'!$O:$O,'単価履歴'!$E:$E,P$1,'単価履歴'!$F:$F,$A21)))</f>
        <v/>
      </c>
      <c r="Q21" s="248" t="str">
        <f>IF(MAXIFS('単価履歴'!$H:$H,'単価履歴'!$E:$E,Q$1,'単価履歴'!$F:$F,$A21,'単価履歴'!$O:$O,
MAXIFS('単価履歴'!$O:$O,'単価履歴'!$E:$E,Q$1,'単価履歴'!$F:$F,$A21))=0,"",
MAXIFS('単価履歴'!$H:$H,'単価履歴'!$E:$E,Q$1,'単価履歴'!$F:$F,$A21,'単価履歴'!$O:$O,
MAXIFS('単価履歴'!$O:$O,'単価履歴'!$E:$E,Q$1,'単価履歴'!$F:$F,$A21)))</f>
        <v/>
      </c>
      <c r="R21" s="252" t="str">
        <f>IF(MAXIFS('単価履歴'!$H:$H,'単価履歴'!$E:$E,R$1,'単価履歴'!$F:$F,$A21,'単価履歴'!$O:$O,
MAXIFS('単価履歴'!$O:$O,'単価履歴'!$E:$E,R$1,'単価履歴'!$F:$F,$A21))=0,"",
MAXIFS('単価履歴'!$H:$H,'単価履歴'!$E:$E,R$1,'単価履歴'!$F:$F,$A21,'単価履歴'!$O:$O,
MAXIFS('単価履歴'!$O:$O,'単価履歴'!$E:$E,R$1,'単価履歴'!$F:$F,$A21)))</f>
        <v/>
      </c>
      <c r="S21" s="251" t="str">
        <f>IF(MAXIFS('単価履歴'!$H:$H,'単価履歴'!$E:$E,S$1,'単価履歴'!$F:$F,$A21,'単価履歴'!$O:$O,
MAXIFS('単価履歴'!$O:$O,'単価履歴'!$E:$E,S$1,'単価履歴'!$F:$F,$A21))=0,"",
MAXIFS('単価履歴'!$H:$H,'単価履歴'!$E:$E,S$1,'単価履歴'!$F:$F,$A21,'単価履歴'!$O:$O,
MAXIFS('単価履歴'!$O:$O,'単価履歴'!$E:$E,S$1,'単価履歴'!$F:$F,$A21)))</f>
        <v/>
      </c>
      <c r="T21" s="249" t="str">
        <f>IF(MAXIFS('単価履歴'!$H:$H,'単価履歴'!$E:$E,T$1,'単価履歴'!$F:$F,$A21,'単価履歴'!$O:$O,
MAXIFS('単価履歴'!$O:$O,'単価履歴'!$E:$E,T$1,'単価履歴'!$F:$F,$A21))=0,"",
MAXIFS('単価履歴'!$H:$H,'単価履歴'!$E:$E,T$1,'単価履歴'!$F:$F,$A21,'単価履歴'!$O:$O,
MAXIFS('単価履歴'!$O:$O,'単価履歴'!$E:$E,T$1,'単価履歴'!$F:$F,$A21)))</f>
        <v/>
      </c>
      <c r="U21" s="249" t="str">
        <f>IF(MAXIFS('単価履歴'!$H:$H,'単価履歴'!$E:$E,U$1,'単価履歴'!$F:$F,$A21,'単価履歴'!$O:$O,
MAXIFS('単価履歴'!$O:$O,'単価履歴'!$E:$E,U$1,'単価履歴'!$F:$F,$A21))=0,"",
MAXIFS('単価履歴'!$H:$H,'単価履歴'!$E:$E,U$1,'単価履歴'!$F:$F,$A21,'単価履歴'!$O:$O,
MAXIFS('単価履歴'!$O:$O,'単価履歴'!$E:$E,U$1,'単価履歴'!$F:$F,$A21)))</f>
        <v/>
      </c>
      <c r="V21" s="251" t="str">
        <f>IF(MAXIFS('単価履歴'!$H:$H,'単価履歴'!$E:$E,V$1,'単価履歴'!$F:$F,$A21,'単価履歴'!$O:$O,
MAXIFS('単価履歴'!$O:$O,'単価履歴'!$E:$E,V$1,'単価履歴'!$F:$F,$A21))=0,"",
MAXIFS('単価履歴'!$H:$H,'単価履歴'!$E:$E,V$1,'単価履歴'!$F:$F,$A21,'単価履歴'!$O:$O,
MAXIFS('単価履歴'!$O:$O,'単価履歴'!$E:$E,V$1,'単価履歴'!$F:$F,$A21)))</f>
        <v/>
      </c>
      <c r="W21" s="252" t="str">
        <f>IF(MAXIFS('単価履歴'!$H:$H,'単価履歴'!$E:$E,W$1,'単価履歴'!$F:$F,$A21,'単価履歴'!$O:$O,
MAXIFS('単価履歴'!$O:$O,'単価履歴'!$E:$E,W$1,'単価履歴'!$F:$F,$A21))=0,"",
MAXIFS('単価履歴'!$H:$H,'単価履歴'!$E:$E,W$1,'単価履歴'!$F:$F,$A21,'単価履歴'!$O:$O,
MAXIFS('単価履歴'!$O:$O,'単価履歴'!$E:$E,W$1,'単価履歴'!$F:$F,$A21)))</f>
        <v/>
      </c>
      <c r="X21" s="249" t="str">
        <f>IF(MAXIFS('単価履歴'!$H:$H,'単価履歴'!$E:$E,X$1,'単価履歴'!$F:$F,$A21,'単価履歴'!$O:$O,
MAXIFS('単価履歴'!$O:$O,'単価履歴'!$E:$E,X$1,'単価履歴'!$F:$F,$A21))=0,"",
MAXIFS('単価履歴'!$H:$H,'単価履歴'!$E:$E,X$1,'単価履歴'!$F:$F,$A21,'単価履歴'!$O:$O,
MAXIFS('単価履歴'!$O:$O,'単価履歴'!$E:$E,X$1,'単価履歴'!$F:$F,$A21)))</f>
        <v/>
      </c>
      <c r="Y21" s="251" t="str">
        <f>IF(MAXIFS('単価履歴'!$H:$H,'単価履歴'!$E:$E,Y$1,'単価履歴'!$F:$F,$A21,'単価履歴'!$O:$O,
MAXIFS('単価履歴'!$O:$O,'単価履歴'!$E:$E,Y$1,'単価履歴'!$F:$F,$A21))=0,"",
MAXIFS('単価履歴'!$H:$H,'単価履歴'!$E:$E,Y$1,'単価履歴'!$F:$F,$A21,'単価履歴'!$O:$O,
MAXIFS('単価履歴'!$O:$O,'単価履歴'!$E:$E,Y$1,'単価履歴'!$F:$F,$A21)))</f>
        <v/>
      </c>
      <c r="Z21" s="249" t="str">
        <f>IF(MAXIFS('単価履歴'!$H:$H,'単価履歴'!$E:$E,Z$1,'単価履歴'!$F:$F,$A21,'単価履歴'!$O:$O,
MAXIFS('単価履歴'!$O:$O,'単価履歴'!$E:$E,Z$1,'単価履歴'!$F:$F,$A21))=0,"",
MAXIFS('単価履歴'!$H:$H,'単価履歴'!$E:$E,Z$1,'単価履歴'!$F:$F,$A21,'単価履歴'!$O:$O,
MAXIFS('単価履歴'!$O:$O,'単価履歴'!$E:$E,Z$1,'単価履歴'!$F:$F,$A21)))</f>
        <v/>
      </c>
      <c r="AA21" s="251" t="str">
        <f>IF(MAXIFS('単価履歴'!$H:$H,'単価履歴'!$E:$E,AA$1,'単価履歴'!$F:$F,$A21,'単価履歴'!$O:$O,
MAXIFS('単価履歴'!$O:$O,'単価履歴'!$E:$E,AA$1,'単価履歴'!$F:$F,$A21))=0,"",
MAXIFS('単価履歴'!$H:$H,'単価履歴'!$E:$E,AA$1,'単価履歴'!$F:$F,$A21,'単価履歴'!$O:$O,
MAXIFS('単価履歴'!$O:$O,'単価履歴'!$E:$E,AA$1,'単価履歴'!$F:$F,$A21)))</f>
        <v/>
      </c>
      <c r="AB21" s="252" t="str">
        <f>IF(MAXIFS('単価履歴'!$H:$H,'単価履歴'!$E:$E,AB$1,'単価履歴'!$F:$F,$A21,'単価履歴'!$O:$O,
MAXIFS('単価履歴'!$O:$O,'単価履歴'!$E:$E,AB$1,'単価履歴'!$F:$F,$A21))=0,"",
MAXIFS('単価履歴'!$H:$H,'単価履歴'!$E:$E,AB$1,'単価履歴'!$F:$F,$A21,'単価履歴'!$O:$O,
MAXIFS('単価履歴'!$O:$O,'単価履歴'!$E:$E,AB$1,'単価履歴'!$F:$F,$A21)))</f>
        <v/>
      </c>
      <c r="AC21" s="249" t="str">
        <f>IF(MAXIFS('単価履歴'!$H:$H,'単価履歴'!$E:$E,AC$1,'単価履歴'!$F:$F,$A21,'単価履歴'!$O:$O,
MAXIFS('単価履歴'!$O:$O,'単価履歴'!$E:$E,AC$1,'単価履歴'!$F:$F,$A21))=0,"",
MAXIFS('単価履歴'!$H:$H,'単価履歴'!$E:$E,AC$1,'単価履歴'!$F:$F,$A21,'単価履歴'!$O:$O,
MAXIFS('単価履歴'!$O:$O,'単価履歴'!$E:$E,AC$1,'単価履歴'!$F:$F,$A21)))</f>
        <v/>
      </c>
      <c r="AD21" s="251" t="str">
        <f>IF(MAXIFS('単価履歴'!$H:$H,'単価履歴'!$E:$E,AD$1,'単価履歴'!$F:$F,$A21,'単価履歴'!$O:$O,
MAXIFS('単価履歴'!$O:$O,'単価履歴'!$E:$E,AD$1,'単価履歴'!$F:$F,$A21))=0,"",
MAXIFS('単価履歴'!$H:$H,'単価履歴'!$E:$E,AD$1,'単価履歴'!$F:$F,$A21,'単価履歴'!$O:$O,
MAXIFS('単価履歴'!$O:$O,'単価履歴'!$E:$E,AD$1,'単価履歴'!$F:$F,$A21)))</f>
        <v/>
      </c>
      <c r="AE21" s="252" t="str">
        <f>IF(MAXIFS('単価履歴'!$H:$H,'単価履歴'!$E:$E,AE$1,'単価履歴'!$F:$F,$A21,'単価履歴'!$O:$O,
MAXIFS('単価履歴'!$O:$O,'単価履歴'!$E:$E,AE$1,'単価履歴'!$F:$F,$A21))=0,"",
MAXIFS('単価履歴'!$H:$H,'単価履歴'!$E:$E,AE$1,'単価履歴'!$F:$F,$A21,'単価履歴'!$O:$O,
MAXIFS('単価履歴'!$O:$O,'単価履歴'!$E:$E,AE$1,'単価履歴'!$F:$F,$A21)))</f>
        <v/>
      </c>
      <c r="AF21" s="249" t="str">
        <f>IF(MAXIFS('単価履歴'!$H:$H,'単価履歴'!$E:$E,AF$1,'単価履歴'!$F:$F,$A21,'単価履歴'!$O:$O,
MAXIFS('単価履歴'!$O:$O,'単価履歴'!$E:$E,AF$1,'単価履歴'!$F:$F,$A21))=0,"",
MAXIFS('単価履歴'!$H:$H,'単価履歴'!$E:$E,AF$1,'単価履歴'!$F:$F,$A21,'単価履歴'!$O:$O,
MAXIFS('単価履歴'!$O:$O,'単価履歴'!$E:$E,AF$1,'単価履歴'!$F:$F,$A21)))</f>
        <v/>
      </c>
      <c r="AG21" s="280">
        <v>42.0</v>
      </c>
      <c r="AH21" s="249" t="str">
        <f>IF(MAXIFS('単価履歴'!$H:$H,'単価履歴'!$E:$E,AH$1,'単価履歴'!$F:$F,$A21,'単価履歴'!$O:$O,
MAXIFS('単価履歴'!$O:$O,'単価履歴'!$E:$E,AH$1,'単価履歴'!$F:$F,$A21))=0,"",
MAXIFS('単価履歴'!$H:$H,'単価履歴'!$E:$E,AH$1,'単価履歴'!$F:$F,$A21,'単価履歴'!$O:$O,
MAXIFS('単価履歴'!$O:$O,'単価履歴'!$E:$E,AH$1,'単価履歴'!$F:$F,$A21)))</f>
        <v/>
      </c>
      <c r="AI21" s="251" t="str">
        <f>IF(MAXIFS('単価履歴'!$H:$H,'単価履歴'!$E:$E,AI$1,'単価履歴'!$F:$F,$A21,'単価履歴'!$O:$O,
MAXIFS('単価履歴'!$O:$O,'単価履歴'!$E:$E,AI$1,'単価履歴'!$F:$F,$A21))=0,"",
MAXIFS('単価履歴'!$H:$H,'単価履歴'!$E:$E,AI$1,'単価履歴'!$F:$F,$A21,'単価履歴'!$O:$O,
MAXIFS('単価履歴'!$O:$O,'単価履歴'!$E:$E,AI$1,'単価履歴'!$F:$F,$A21)))</f>
        <v/>
      </c>
      <c r="AJ21" s="246">
        <f>IF(MAXIFS('単価履歴'!$H:$H,'単価履歴'!$E:$E,AJ$1,'単価履歴'!$F:$F,$A21,'単価履歴'!$O:$O,
MAXIFS('単価履歴'!$O:$O,'単価履歴'!$E:$E,AJ$1,'単価履歴'!$F:$F,$A21))=0,"",
MAXIFS('単価履歴'!$H:$H,'単価履歴'!$E:$E,AJ$1,'単価履歴'!$F:$F,$A21,'単価履歴'!$O:$O,
MAXIFS('単価履歴'!$O:$O,'単価履歴'!$E:$E,AJ$1,'単価履歴'!$F:$F,$A21)))</f>
        <v>57.5</v>
      </c>
      <c r="AK21" s="330">
        <v>41.5</v>
      </c>
      <c r="AL21" s="249" t="str">
        <f>IF(MAXIFS('単価履歴'!$H:$H,'単価履歴'!$E:$E,AL$1,'単価履歴'!$F:$F,$A21,'単価履歴'!$O:$O,
MAXIFS('単価履歴'!$O:$O,'単価履歴'!$E:$E,AL$1,'単価履歴'!$F:$F,$A21))=0,"",
MAXIFS('単価履歴'!$H:$H,'単価履歴'!$E:$E,AL$1,'単価履歴'!$F:$F,$A21,'単価履歴'!$O:$O,
MAXIFS('単価履歴'!$O:$O,'単価履歴'!$E:$E,AL$1,'単価履歴'!$F:$F,$A21)))</f>
        <v/>
      </c>
      <c r="AM21" s="251" t="str">
        <f>IF(MAXIFS('単価履歴'!$H:$H,'単価履歴'!$E:$E,AM$1,'単価履歴'!$F:$F,$A21,'単価履歴'!$O:$O,
MAXIFS('単価履歴'!$O:$O,'単価履歴'!$E:$E,AM$1,'単価履歴'!$F:$F,$A21))=0,"",
MAXIFS('単価履歴'!$H:$H,'単価履歴'!$E:$E,AM$1,'単価履歴'!$F:$F,$A21,'単価履歴'!$O:$O,
MAXIFS('単価履歴'!$O:$O,'単価履歴'!$E:$E,AM$1,'単価履歴'!$F:$F,$A21)))</f>
        <v/>
      </c>
      <c r="AN21" s="258">
        <f>IF(MAXIFS('単価履歴'!$H:$H,'単価履歴'!$E:$E,AN$1,'単価履歴'!$F:$F,$A21,'単価履歴'!$O:$O,
MAXIFS('単価履歴'!$O:$O,'単価履歴'!$E:$E,AN$1,'単価履歴'!$F:$F,$A21))=0,"",
MAXIFS('単価履歴'!$H:$H,'単価履歴'!$E:$E,AN$1,'単価履歴'!$F:$F,$A21,'単価履歴'!$O:$O,
MAXIFS('単価履歴'!$O:$O,'単価履歴'!$E:$E,AN$1,'単価履歴'!$F:$F,$A21)))</f>
        <v>58</v>
      </c>
      <c r="AO21" s="247">
        <f>IF(MAXIFS('単価履歴'!$H:$H,'単価履歴'!$E:$E,AO$1,'単価履歴'!$F:$F,$A21,'単価履歴'!$O:$O,
MAXIFS('単価履歴'!$O:$O,'単価履歴'!$E:$E,AO$1,'単価履歴'!$F:$F,$A21))=0,"",
MAXIFS('単価履歴'!$H:$H,'単価履歴'!$E:$E,AO$1,'単価履歴'!$F:$F,$A21,'単価履歴'!$O:$O,
MAXIFS('単価履歴'!$O:$O,'単価履歴'!$E:$E,AO$1,'単価履歴'!$F:$F,$A21)))</f>
        <v>55.5</v>
      </c>
      <c r="AP21" s="252" t="str">
        <f>IF(MAXIFS('単価履歴'!$H:$H,'単価履歴'!$E:$E,AP$1,'単価履歴'!$F:$F,$A21,'単価履歴'!$O:$O,
MAXIFS('単価履歴'!$O:$O,'単価履歴'!$E:$E,AP$1,'単価履歴'!$F:$F,$A21))=0,"",
MAXIFS('単価履歴'!$H:$H,'単価履歴'!$E:$E,AP$1,'単価履歴'!$F:$F,$A21,'単価履歴'!$O:$O,
MAXIFS('単価履歴'!$O:$O,'単価履歴'!$E:$E,AP$1,'単価履歴'!$F:$F,$A21)))</f>
        <v/>
      </c>
      <c r="AQ21" s="249" t="str">
        <f>IF(MAXIFS('単価履歴'!$H:$H,'単価履歴'!$E:$E,AQ$1,'単価履歴'!$F:$F,$A21,'単価履歴'!$O:$O,
MAXIFS('単価履歴'!$O:$O,'単価履歴'!$E:$E,AQ$1,'単価履歴'!$F:$F,$A21))=0,"",
MAXIFS('単価履歴'!$H:$H,'単価履歴'!$E:$E,AQ$1,'単価履歴'!$F:$F,$A21,'単価履歴'!$O:$O,
MAXIFS('単価履歴'!$O:$O,'単価履歴'!$E:$E,AQ$1,'単価履歴'!$F:$F,$A21)))</f>
        <v/>
      </c>
      <c r="AR21" s="252" t="str">
        <f>IF(MAXIFS('単価履歴'!$H:$H,'単価履歴'!$E:$E,AR$1,'単価履歴'!$F:$F,$A21,'単価履歴'!$O:$O,
MAXIFS('単価履歴'!$O:$O,'単価履歴'!$E:$E,AR$1,'単価履歴'!$F:$F,$A21))=0,"",
MAXIFS('単価履歴'!$H:$H,'単価履歴'!$E:$E,AR$1,'単価履歴'!$F:$F,$A21,'単価履歴'!$O:$O,
MAXIFS('単価履歴'!$O:$O,'単価履歴'!$E:$E,AR$1,'単価履歴'!$F:$F,$A21)))</f>
        <v/>
      </c>
      <c r="AS21" s="249" t="str">
        <f>IF(MAXIFS('単価履歴'!$H:$H,'単価履歴'!$E:$E,AS$1,'単価履歴'!$F:$F,$A21,'単価履歴'!$O:$O,
MAXIFS('単価履歴'!$O:$O,'単価履歴'!$E:$E,AS$1,'単価履歴'!$F:$F,$A21))=0,"",
MAXIFS('単価履歴'!$H:$H,'単価履歴'!$E:$E,AS$1,'単価履歴'!$F:$F,$A21,'単価履歴'!$O:$O,
MAXIFS('単価履歴'!$O:$O,'単価履歴'!$E:$E,AS$1,'単価履歴'!$F:$F,$A21)))</f>
        <v/>
      </c>
      <c r="AT21" s="249" t="str">
        <f>IF(MAXIFS('単価履歴'!$H:$H,'単価履歴'!$E:$E,AT$1,'単価履歴'!$F:$F,$A21,'単価履歴'!$O:$O,
MAXIFS('単価履歴'!$O:$O,'単価履歴'!$E:$E,AT$1,'単価履歴'!$F:$F,$A21))=0,"",
MAXIFS('単価履歴'!$H:$H,'単価履歴'!$E:$E,AT$1,'単価履歴'!$F:$F,$A21,'単価履歴'!$O:$O,
MAXIFS('単価履歴'!$O:$O,'単価履歴'!$E:$E,AT$1,'単価履歴'!$F:$F,$A21)))</f>
        <v/>
      </c>
      <c r="AU21" s="249" t="str">
        <f>IF(MAXIFS('単価履歴'!$H:$H,'単価履歴'!$E:$E,AU$1,'単価履歴'!$F:$F,$A21,'単価履歴'!$O:$O,
MAXIFS('単価履歴'!$O:$O,'単価履歴'!$E:$E,AU$1,'単価履歴'!$F:$F,$A21))=0,"",
MAXIFS('単価履歴'!$H:$H,'単価履歴'!$E:$E,AU$1,'単価履歴'!$F:$F,$A21,'単価履歴'!$O:$O,
MAXIFS('単価履歴'!$O:$O,'単価履歴'!$E:$E,AU$1,'単価履歴'!$F:$F,$A21)))</f>
        <v/>
      </c>
      <c r="AV21" s="249" t="str">
        <f>IF(MAXIFS('単価履歴'!$H:$H,'単価履歴'!$E:$E,AV$1,'単価履歴'!$F:$F,$A21,'単価履歴'!$O:$O,
MAXIFS('単価履歴'!$O:$O,'単価履歴'!$E:$E,AV$1,'単価履歴'!$F:$F,$A21))=0,"",
MAXIFS('単価履歴'!$H:$H,'単価履歴'!$E:$E,AV$1,'単価履歴'!$F:$F,$A21,'単価履歴'!$O:$O,
MAXIFS('単価履歴'!$O:$O,'単価履歴'!$E:$E,AV$1,'単価履歴'!$F:$F,$A21)))</f>
        <v/>
      </c>
      <c r="AW21" s="248" t="str">
        <f>IF(MAXIFS('単価履歴'!$H:$H,'単価履歴'!$E:$E,AW$1,'単価履歴'!$F:$F,$A21,'単価履歴'!$O:$O,
MAXIFS('単価履歴'!$O:$O,'単価履歴'!$E:$E,AW$1,'単価履歴'!$F:$F,$A21))=0,"",
MAXIFS('単価履歴'!$H:$H,'単価履歴'!$E:$E,AW$1,'単価履歴'!$F:$F,$A21,'単価履歴'!$O:$O,
MAXIFS('単価履歴'!$O:$O,'単価履歴'!$E:$E,AW$1,'単価履歴'!$F:$F,$A21)))</f>
        <v/>
      </c>
      <c r="AX21" s="249" t="str">
        <f>IF(MAXIFS('単価履歴'!$H:$H,'単価履歴'!$E:$E,AX$1,'単価履歴'!$F:$F,$A21,'単価履歴'!$O:$O,
MAXIFS('単価履歴'!$O:$O,'単価履歴'!$E:$E,AX$1,'単価履歴'!$F:$F,$A21))=0,"",
MAXIFS('単価履歴'!$H:$H,'単価履歴'!$E:$E,AX$1,'単価履歴'!$F:$F,$A21,'単価履歴'!$O:$O,
MAXIFS('単価履歴'!$O:$O,'単価履歴'!$E:$E,AX$1,'単価履歴'!$F:$F,$A21)))</f>
        <v/>
      </c>
      <c r="AY21" s="251" t="str">
        <f>IF(MAXIFS('単価履歴'!$H:$H,'単価履歴'!$E:$E,AY$1,'単価履歴'!$F:$F,$A21,'単価履歴'!$O:$O,
MAXIFS('単価履歴'!$O:$O,'単価履歴'!$E:$E,AY$1,'単価履歴'!$F:$F,$A21))=0,"",
MAXIFS('単価履歴'!$H:$H,'単価履歴'!$E:$E,AY$1,'単価履歴'!$F:$F,$A21,'単価履歴'!$O:$O,
MAXIFS('単価履歴'!$O:$O,'単価履歴'!$E:$E,AY$1,'単価履歴'!$F:$F,$A21)))</f>
        <v/>
      </c>
      <c r="AZ21" s="249" t="str">
        <f>IF(MAXIFS('単価履歴'!$H:$H,'単価履歴'!$E:$E,AZ$1,'単価履歴'!$F:$F,$A21,'単価履歴'!$O:$O,
MAXIFS('単価履歴'!$O:$O,'単価履歴'!$E:$E,AZ$1,'単価履歴'!$F:$F,$A21))=0,"",
MAXIFS('単価履歴'!$H:$H,'単価履歴'!$E:$E,AZ$1,'単価履歴'!$F:$F,$A21,'単価履歴'!$O:$O,
MAXIFS('単価履歴'!$O:$O,'単価履歴'!$E:$E,AZ$1,'単価履歴'!$F:$F,$A21)))</f>
        <v/>
      </c>
      <c r="BA21" s="248" t="str">
        <f>IF(MAXIFS('単価履歴'!$H:$H,'単価履歴'!$E:$E,BA$1,'単価履歴'!$F:$F,$A21,'単価履歴'!$O:$O,
MAXIFS('単価履歴'!$O:$O,'単価履歴'!$E:$E,BA$1,'単価履歴'!$F:$F,$A21))=0,"",
MAXIFS('単価履歴'!$H:$H,'単価履歴'!$E:$E,BA$1,'単価履歴'!$F:$F,$A21,'単価履歴'!$O:$O,
MAXIFS('単価履歴'!$O:$O,'単価履歴'!$E:$E,BA$1,'単価履歴'!$F:$F,$A21)))</f>
        <v/>
      </c>
      <c r="BB21" s="252" t="str">
        <f>IF(MAXIFS('単価履歴'!$H:$H,'単価履歴'!$E:$E,BB$1,'単価履歴'!$F:$F,$A21,'単価履歴'!$O:$O,
MAXIFS('単価履歴'!$O:$O,'単価履歴'!$E:$E,BB$1,'単価履歴'!$F:$F,$A21))=0,"",
MAXIFS('単価履歴'!$H:$H,'単価履歴'!$E:$E,BB$1,'単価履歴'!$F:$F,$A21,'単価履歴'!$O:$O,
MAXIFS('単価履歴'!$O:$O,'単価履歴'!$E:$E,BB$1,'単価履歴'!$F:$F,$A21)))</f>
        <v/>
      </c>
      <c r="BC21" s="249" t="str">
        <f>IF(MAXIFS('単価履歴'!$H:$H,'単価履歴'!$E:$E,BC$1,'単価履歴'!$F:$F,$A21,'単価履歴'!$O:$O,
MAXIFS('単価履歴'!$O:$O,'単価履歴'!$E:$E,BC$1,'単価履歴'!$F:$F,$A21))=0,"",
MAXIFS('単価履歴'!$H:$H,'単価履歴'!$E:$E,BC$1,'単価履歴'!$F:$F,$A21,'単価履歴'!$O:$O,
MAXIFS('単価履歴'!$O:$O,'単価履歴'!$E:$E,BC$1,'単価履歴'!$F:$F,$A21)))</f>
        <v/>
      </c>
      <c r="BD21" s="248" t="str">
        <f>IF(MAXIFS('単価履歴'!$H:$H,'単価履歴'!$E:$E,BD$1,'単価履歴'!$F:$F,$A21,'単価履歴'!$O:$O,
MAXIFS('単価履歴'!$O:$O,'単価履歴'!$E:$E,BD$1,'単価履歴'!$F:$F,$A21))=0,"",
MAXIFS('単価履歴'!$H:$H,'単価履歴'!$E:$E,BD$1,'単価履歴'!$F:$F,$A21,'単価履歴'!$O:$O,
MAXIFS('単価履歴'!$O:$O,'単価履歴'!$E:$E,BD$1,'単価履歴'!$F:$F,$A21)))</f>
        <v/>
      </c>
      <c r="BE21" s="249" t="str">
        <f>IF(MAXIFS('単価履歴'!$H:$H,'単価履歴'!$E:$E,BE$1,'単価履歴'!$F:$F,$A21,'単価履歴'!$O:$O,
MAXIFS('単価履歴'!$O:$O,'単価履歴'!$E:$E,BE$1,'単価履歴'!$F:$F,$A21))=0,"",
MAXIFS('単価履歴'!$H:$H,'単価履歴'!$E:$E,BE$1,'単価履歴'!$F:$F,$A21,'単価履歴'!$O:$O,
MAXIFS('単価履歴'!$O:$O,'単価履歴'!$E:$E,BE$1,'単価履歴'!$F:$F,$A21)))</f>
        <v/>
      </c>
      <c r="BF21" s="248" t="str">
        <f>IF(MAXIFS('単価履歴'!$H:$H,'単価履歴'!$E:$E,BF$1,'単価履歴'!$F:$F,$A21,'単価履歴'!$O:$O,
MAXIFS('単価履歴'!$O:$O,'単価履歴'!$E:$E,BF$1,'単価履歴'!$F:$F,$A21))=0,"",
MAXIFS('単価履歴'!$H:$H,'単価履歴'!$E:$E,BF$1,'単価履歴'!$F:$F,$A21,'単価履歴'!$O:$O,
MAXIFS('単価履歴'!$O:$O,'単価履歴'!$E:$E,BF$1,'単価履歴'!$F:$F,$A21)))</f>
        <v/>
      </c>
      <c r="BG21" s="249" t="str">
        <f>IF(MAXIFS('単価履歴'!$H:$H,'単価履歴'!$E:$E,BG$1,'単価履歴'!$F:$F,$A21,'単価履歴'!$O:$O,
MAXIFS('単価履歴'!$O:$O,'単価履歴'!$E:$E,BG$1,'単価履歴'!$F:$F,$A21))=0,"",
MAXIFS('単価履歴'!$H:$H,'単価履歴'!$E:$E,BG$1,'単価履歴'!$F:$F,$A21,'単価履歴'!$O:$O,
MAXIFS('単価履歴'!$O:$O,'単価履歴'!$E:$E,BG$1,'単価履歴'!$F:$F,$A21)))</f>
        <v/>
      </c>
      <c r="BH21" s="249" t="str">
        <f>IF(MAXIFS('単価履歴'!$H:$H,'単価履歴'!$E:$E,BH$1,'単価履歴'!$F:$F,$A21,'単価履歴'!$O:$O,
MAXIFS('単価履歴'!$O:$O,'単価履歴'!$E:$E,BH$1,'単価履歴'!$F:$F,$A21))=0,"",
MAXIFS('単価履歴'!$H:$H,'単価履歴'!$E:$E,BH$1,'単価履歴'!$F:$F,$A21,'単価履歴'!$O:$O,
MAXIFS('単価履歴'!$O:$O,'単価履歴'!$E:$E,BH$1,'単価履歴'!$F:$F,$A21)))</f>
        <v/>
      </c>
      <c r="BI21" s="252" t="str">
        <f>IF(MAXIFS('単価履歴'!$H:$H,'単価履歴'!$E:$E,BI$1,'単価履歴'!$F:$F,$A21,'単価履歴'!$O:$O,
MAXIFS('単価履歴'!$O:$O,'単価履歴'!$E:$E,BI$1,'単価履歴'!$F:$F,$A21))=0,"",
MAXIFS('単価履歴'!$H:$H,'単価履歴'!$E:$E,BI$1,'単価履歴'!$F:$F,$A21,'単価履歴'!$O:$O,
MAXIFS('単価履歴'!$O:$O,'単価履歴'!$E:$E,BI$1,'単価履歴'!$F:$F,$A21)))</f>
        <v/>
      </c>
      <c r="BJ21" s="252" t="str">
        <f>IF(MAXIFS('単価履歴'!$H:$H,'単価履歴'!$E:$E,BJ$1,'単価履歴'!$F:$F,$A21,'単価履歴'!$O:$O,
MAXIFS('単価履歴'!$O:$O,'単価履歴'!$E:$E,BJ$1,'単価履歴'!$F:$F,$A21))=0,"",
MAXIFS('単価履歴'!$H:$H,'単価履歴'!$E:$E,BJ$1,'単価履歴'!$F:$F,$A21,'単価履歴'!$O:$O,
MAXIFS('単価履歴'!$O:$O,'単価履歴'!$E:$E,BJ$1,'単価履歴'!$F:$F,$A21)))</f>
        <v/>
      </c>
      <c r="BK21" s="252" t="str">
        <f>IF(MAXIFS('単価履歴'!$H:$H,'単価履歴'!$E:$E,BK$1,'単価履歴'!$F:$F,$A21,'単価履歴'!$O:$O,
MAXIFS('単価履歴'!$O:$O,'単価履歴'!$E:$E,BK$1,'単価履歴'!$F:$F,$A21))=0,"",
MAXIFS('単価履歴'!$H:$H,'単価履歴'!$E:$E,BK$1,'単価履歴'!$F:$F,$A21,'単価履歴'!$O:$O,
MAXIFS('単価履歴'!$O:$O,'単価履歴'!$E:$E,BK$1,'単価履歴'!$F:$F,$A21)))</f>
        <v/>
      </c>
      <c r="BL21" s="252" t="str">
        <f>IF(MAXIFS('単価履歴'!$H:$H,'単価履歴'!$E:$E,BL$1,'単価履歴'!$F:$F,$A21,'単価履歴'!$O:$O,
MAXIFS('単価履歴'!$O:$O,'単価履歴'!$E:$E,BL$1,'単価履歴'!$F:$F,$A21))=0,"",
MAXIFS('単価履歴'!$H:$H,'単価履歴'!$E:$E,BL$1,'単価履歴'!$F:$F,$A21,'単価履歴'!$O:$O,
MAXIFS('単価履歴'!$O:$O,'単価履歴'!$E:$E,BL$1,'単価履歴'!$F:$F,$A21)))</f>
        <v/>
      </c>
      <c r="BM21" s="252" t="str">
        <f>IF(MAXIFS('単価履歴'!$H:$H,'単価履歴'!$E:$E,BM$1,'単価履歴'!$F:$F,$A21,'単価履歴'!$O:$O,
MAXIFS('単価履歴'!$O:$O,'単価履歴'!$E:$E,BM$1,'単価履歴'!$F:$F,$A21))=0,"",
MAXIFS('単価履歴'!$H:$H,'単価履歴'!$E:$E,BM$1,'単価履歴'!$F:$F,$A21,'単価履歴'!$O:$O,
MAXIFS('単価履歴'!$O:$O,'単価履歴'!$E:$E,BM$1,'単価履歴'!$F:$F,$A21)))</f>
        <v/>
      </c>
      <c r="BN21" s="248" t="str">
        <f>IF(MAXIFS('単価履歴'!$H:$H,'単価履歴'!$E:$E,BN$1,'単価履歴'!$F:$F,$A21,'単価履歴'!$O:$O,
MAXIFS('単価履歴'!$O:$O,'単価履歴'!$E:$E,BN$1,'単価履歴'!$F:$F,$A21))=0,"",
MAXIFS('単価履歴'!$H:$H,'単価履歴'!$E:$E,BN$1,'単価履歴'!$F:$F,$A21,'単価履歴'!$O:$O,
MAXIFS('単価履歴'!$O:$O,'単価履歴'!$E:$E,BN$1,'単価履歴'!$F:$F,$A21)))</f>
        <v/>
      </c>
      <c r="BO21" s="249" t="str">
        <f>IF(MAXIFS('単価履歴'!$H:$H,'単価履歴'!$E:$E,BO$1,'単価履歴'!$F:$F,$A21,'単価履歴'!$O:$O,
MAXIFS('単価履歴'!$O:$O,'単価履歴'!$E:$E,BO$1,'単価履歴'!$F:$F,$A21))=0,"",
MAXIFS('単価履歴'!$H:$H,'単価履歴'!$E:$E,BO$1,'単価履歴'!$F:$F,$A21,'単価履歴'!$O:$O,
MAXIFS('単価履歴'!$O:$O,'単価履歴'!$E:$E,BO$1,'単価履歴'!$F:$F,$A21)))</f>
        <v/>
      </c>
      <c r="BP21" s="252" t="str">
        <f>IF(MAXIFS('単価履歴'!$H:$H,'単価履歴'!$E:$E,BP$1,'単価履歴'!$F:$F,$A21,'単価履歴'!$O:$O,
MAXIFS('単価履歴'!$O:$O,'単価履歴'!$E:$E,BP$1,'単価履歴'!$F:$F,$A21))=0,"",
MAXIFS('単価履歴'!$H:$H,'単価履歴'!$E:$E,BP$1,'単価履歴'!$F:$F,$A21,'単価履歴'!$O:$O,
MAXIFS('単価履歴'!$O:$O,'単価履歴'!$E:$E,BP$1,'単価履歴'!$F:$F,$A21)))</f>
        <v/>
      </c>
      <c r="BQ21" s="249"/>
      <c r="BR21" s="249"/>
      <c r="BS21" s="249"/>
      <c r="BT21" s="249"/>
      <c r="BU21" s="249"/>
      <c r="BV21" s="249"/>
      <c r="BW21" s="249"/>
      <c r="BX21" s="249"/>
    </row>
    <row r="22">
      <c r="A22" s="261" t="s">
        <v>574</v>
      </c>
      <c r="B22" s="246" t="str">
        <f>IF(MAXIFS('単価履歴'!$H:$H,'単価履歴'!$E:$E,B$1,'単価履歴'!$F:$F,$A22,'単価履歴'!$O:$O,
MAXIFS('単価履歴'!$O:$O,'単価履歴'!$E:$E,B$1,'単価履歴'!$F:$F,$A22))=0,"",
MAXIFS('単価履歴'!$H:$H,'単価履歴'!$E:$E,B$1,'単価履歴'!$F:$F,$A22,'単価履歴'!$O:$O,
MAXIFS('単価履歴'!$O:$O,'単価履歴'!$E:$E,B$1,'単価履歴'!$F:$F,$A22)))</f>
        <v/>
      </c>
      <c r="C22" s="254">
        <f>IF(MAXIFS('単価履歴'!$H:$H,'単価履歴'!$E:$E,C$1,'単価履歴'!$F:$F,$A22,'単価履歴'!$O:$O,
MAXIFS('単価履歴'!$O:$O,'単価履歴'!$E:$E,C$1,'単価履歴'!$F:$F,$A22))=0,"",
MAXIFS('単価履歴'!$H:$H,'単価履歴'!$E:$E,C$1,'単価履歴'!$F:$F,$A22,'単価履歴'!$O:$O,
MAXIFS('単価履歴'!$O:$O,'単価履歴'!$E:$E,C$1,'単価履歴'!$F:$F,$A22)))</f>
        <v>56.3</v>
      </c>
      <c r="D22" s="256">
        <f>IF(MAXIFS('単価履歴'!$H:$H,'単価履歴'!$E:$E,D$1,'単価履歴'!$F:$F,$A22,'単価履歴'!$O:$O,
MAXIFS('単価履歴'!$O:$O,'単価履歴'!$E:$E,D$1,'単価履歴'!$F:$F,$A22))=0,"",
MAXIFS('単価履歴'!$H:$H,'単価履歴'!$E:$E,D$1,'単価履歴'!$F:$F,$A22,'単価履歴'!$O:$O,
MAXIFS('単価履歴'!$O:$O,'単価履歴'!$E:$E,D$1,'単価履歴'!$F:$F,$A22)))</f>
        <v>56.3</v>
      </c>
      <c r="E22" s="256"/>
      <c r="F22" s="256"/>
      <c r="G22" s="263" t="str">
        <f>IF(MAXIFS('単価履歴'!$H:$H,'単価履歴'!$E:$E,G$1,'単価履歴'!$F:$F,$A22,'単価履歴'!$O:$O,
MAXIFS('単価履歴'!$O:$O,'単価履歴'!$E:$E,G$1,'単価履歴'!$F:$F,$A22))=0,"",
MAXIFS('単価履歴'!$H:$H,'単価履歴'!$E:$E,G$1,'単価履歴'!$F:$F,$A22,'単価履歴'!$O:$O,
MAXIFS('単価履歴'!$O:$O,'単価履歴'!$E:$E,G$1,'単価履歴'!$F:$F,$A22)))</f>
        <v/>
      </c>
      <c r="H22" s="256" t="str">
        <f>IF(MAXIFS('単価履歴'!$H:$H,'単価履歴'!$E:$E,H$1,'単価履歴'!$F:$F,$A22,'単価履歴'!$O:$O,
MAXIFS('単価履歴'!$O:$O,'単価履歴'!$E:$E,H$1,'単価履歴'!$F:$F,$A22))=0,"",
MAXIFS('単価履歴'!$H:$H,'単価履歴'!$E:$E,H$1,'単価履歴'!$F:$F,$A22,'単価履歴'!$O:$O,
MAXIFS('単価履歴'!$O:$O,'単価履歴'!$E:$E,H$1,'単価履歴'!$F:$F,$A22)))</f>
        <v/>
      </c>
      <c r="I22" s="256" t="str">
        <f>IF(MAXIFS('単価履歴'!$H:$H,'単価履歴'!$E:$E,I$1,'単価履歴'!$F:$F,$A22,'単価履歴'!$O:$O,
MAXIFS('単価履歴'!$O:$O,'単価履歴'!$E:$E,I$1,'単価履歴'!$F:$F,$A22))=0,"",
MAXIFS('単価履歴'!$H:$H,'単価履歴'!$E:$E,I$1,'単価履歴'!$F:$F,$A22,'単価履歴'!$O:$O,
MAXIFS('単価履歴'!$O:$O,'単価履歴'!$E:$E,I$1,'単価履歴'!$F:$F,$A22)))</f>
        <v/>
      </c>
      <c r="J22" s="263" t="str">
        <f>IF(MAXIFS('単価履歴'!$H:$H,'単価履歴'!$E:$E,J$1,'単価履歴'!$F:$F,$A22,'単価履歴'!$O:$O,
MAXIFS('単価履歴'!$O:$O,'単価履歴'!$E:$E,J$1,'単価履歴'!$F:$F,$A22))=0,"",
MAXIFS('単価履歴'!$H:$H,'単価履歴'!$E:$E,J$1,'単価履歴'!$F:$F,$A22,'単価履歴'!$O:$O,
MAXIFS('単価履歴'!$O:$O,'単価履歴'!$E:$E,J$1,'単価履歴'!$F:$F,$A22)))</f>
        <v/>
      </c>
      <c r="K22" s="256" t="str">
        <f>IF(MAXIFS('単価履歴'!$H:$H,'単価履歴'!$E:$E,K$1,'単価履歴'!$F:$F,$A22,'単価履歴'!$O:$O,
MAXIFS('単価履歴'!$O:$O,'単価履歴'!$E:$E,K$1,'単価履歴'!$F:$F,$A22))=0,"",
MAXIFS('単価履歴'!$H:$H,'単価履歴'!$E:$E,K$1,'単価履歴'!$F:$F,$A22,'単価履歴'!$O:$O,
MAXIFS('単価履歴'!$O:$O,'単価履歴'!$E:$E,K$1,'単価履歴'!$F:$F,$A22)))</f>
        <v/>
      </c>
      <c r="L22" s="256" t="str">
        <f>IF(MAXIFS('単価履歴'!$H:$H,'単価履歴'!$E:$E,L$1,'単価履歴'!$F:$F,$A22,'単価履歴'!$O:$O,
MAXIFS('単価履歴'!$O:$O,'単価履歴'!$E:$E,L$1,'単価履歴'!$F:$F,$A22))=0,"",
MAXIFS('単価履歴'!$H:$H,'単価履歴'!$E:$E,L$1,'単価履歴'!$F:$F,$A22,'単価履歴'!$O:$O,
MAXIFS('単価履歴'!$O:$O,'単価履歴'!$E:$E,L$1,'単価履歴'!$F:$F,$A22)))</f>
        <v/>
      </c>
      <c r="M22" s="256" t="str">
        <f>IF(MAXIFS('単価履歴'!$H:$H,'単価履歴'!$E:$E,M$1,'単価履歴'!$F:$F,$A22,'単価履歴'!$O:$O,
MAXIFS('単価履歴'!$O:$O,'単価履歴'!$E:$E,M$1,'単価履歴'!$F:$F,$A22))=0,"",
MAXIFS('単価履歴'!$H:$H,'単価履歴'!$E:$E,M$1,'単価履歴'!$F:$F,$A22,'単価履歴'!$O:$O,
MAXIFS('単価履歴'!$O:$O,'単価履歴'!$E:$E,M$1,'単価履歴'!$F:$F,$A22)))</f>
        <v/>
      </c>
      <c r="N22" s="256" t="str">
        <f>IF(MAXIFS('単価履歴'!$H:$H,'単価履歴'!$E:$E,N$1,'単価履歴'!$F:$F,$A22,'単価履歴'!$O:$O,
MAXIFS('単価履歴'!$O:$O,'単価履歴'!$E:$E,N$1,'単価履歴'!$F:$F,$A22))=0,"",
MAXIFS('単価履歴'!$H:$H,'単価履歴'!$E:$E,N$1,'単価履歴'!$F:$F,$A22,'単価履歴'!$O:$O,
MAXIFS('単価履歴'!$O:$O,'単価履歴'!$E:$E,N$1,'単価履歴'!$F:$F,$A22)))</f>
        <v/>
      </c>
      <c r="O22" s="254" t="str">
        <f>IF(MAXIFS('単価履歴'!$H:$H,'単価履歴'!$E:$E,O$1,'単価履歴'!$F:$F,$A22,'単価履歴'!$O:$O,
MAXIFS('単価履歴'!$O:$O,'単価履歴'!$E:$E,O$1,'単価履歴'!$F:$F,$A22))=0,"",
MAXIFS('単価履歴'!$H:$H,'単価履歴'!$E:$E,O$1,'単価履歴'!$F:$F,$A22,'単価履歴'!$O:$O,
MAXIFS('単価履歴'!$O:$O,'単価履歴'!$E:$E,O$1,'単価履歴'!$F:$F,$A22)))</f>
        <v/>
      </c>
      <c r="P22" s="264" t="str">
        <f>IF(MAXIFS('単価履歴'!$H:$H,'単価履歴'!$E:$E,P$1,'単価履歴'!$F:$F,$A22,'単価履歴'!$O:$O,
MAXIFS('単価履歴'!$O:$O,'単価履歴'!$E:$E,P$1,'単価履歴'!$F:$F,$A22))=0,"",
MAXIFS('単価履歴'!$H:$H,'単価履歴'!$E:$E,P$1,'単価履歴'!$F:$F,$A22,'単価履歴'!$O:$O,
MAXIFS('単価履歴'!$O:$O,'単価履歴'!$E:$E,P$1,'単価履歴'!$F:$F,$A22)))</f>
        <v/>
      </c>
      <c r="Q22" s="263" t="str">
        <f>IF(MAXIFS('単価履歴'!$H:$H,'単価履歴'!$E:$E,Q$1,'単価履歴'!$F:$F,$A22,'単価履歴'!$O:$O,
MAXIFS('単価履歴'!$O:$O,'単価履歴'!$E:$E,Q$1,'単価履歴'!$F:$F,$A22))=0,"",
MAXIFS('単価履歴'!$H:$H,'単価履歴'!$E:$E,Q$1,'単価履歴'!$F:$F,$A22,'単価履歴'!$O:$O,
MAXIFS('単価履歴'!$O:$O,'単価履歴'!$E:$E,Q$1,'単価履歴'!$F:$F,$A22)))</f>
        <v/>
      </c>
      <c r="R22" s="264" t="str">
        <f>IF(MAXIFS('単価履歴'!$H:$H,'単価履歴'!$E:$E,R$1,'単価履歴'!$F:$F,$A22,'単価履歴'!$O:$O,
MAXIFS('単価履歴'!$O:$O,'単価履歴'!$E:$E,R$1,'単価履歴'!$F:$F,$A22))=0,"",
MAXIFS('単価履歴'!$H:$H,'単価履歴'!$E:$E,R$1,'単価履歴'!$F:$F,$A22,'単価履歴'!$O:$O,
MAXIFS('単価履歴'!$O:$O,'単価履歴'!$E:$E,R$1,'単価履歴'!$F:$F,$A22)))</f>
        <v/>
      </c>
      <c r="S22" s="254" t="str">
        <f>IF(MAXIFS('単価履歴'!$H:$H,'単価履歴'!$E:$E,S$1,'単価履歴'!$F:$F,$A22,'単価履歴'!$O:$O,
MAXIFS('単価履歴'!$O:$O,'単価履歴'!$E:$E,S$1,'単価履歴'!$F:$F,$A22))=0,"",
MAXIFS('単価履歴'!$H:$H,'単価履歴'!$E:$E,S$1,'単価履歴'!$F:$F,$A22,'単価履歴'!$O:$O,
MAXIFS('単価履歴'!$O:$O,'単価履歴'!$E:$E,S$1,'単価履歴'!$F:$F,$A22)))</f>
        <v/>
      </c>
      <c r="T22" s="256" t="str">
        <f>IF(MAXIFS('単価履歴'!$H:$H,'単価履歴'!$E:$E,T$1,'単価履歴'!$F:$F,$A22,'単価履歴'!$O:$O,
MAXIFS('単価履歴'!$O:$O,'単価履歴'!$E:$E,T$1,'単価履歴'!$F:$F,$A22))=0,"",
MAXIFS('単価履歴'!$H:$H,'単価履歴'!$E:$E,T$1,'単価履歴'!$F:$F,$A22,'単価履歴'!$O:$O,
MAXIFS('単価履歴'!$O:$O,'単価履歴'!$E:$E,T$1,'単価履歴'!$F:$F,$A22)))</f>
        <v/>
      </c>
      <c r="U22" s="256" t="str">
        <f>IF(MAXIFS('単価履歴'!$H:$H,'単価履歴'!$E:$E,U$1,'単価履歴'!$F:$F,$A22,'単価履歴'!$O:$O,
MAXIFS('単価履歴'!$O:$O,'単価履歴'!$E:$E,U$1,'単価履歴'!$F:$F,$A22))=0,"",
MAXIFS('単価履歴'!$H:$H,'単価履歴'!$E:$E,U$1,'単価履歴'!$F:$F,$A22,'単価履歴'!$O:$O,
MAXIFS('単価履歴'!$O:$O,'単価履歴'!$E:$E,U$1,'単価履歴'!$F:$F,$A22)))</f>
        <v/>
      </c>
      <c r="V22" s="254" t="str">
        <f>IF(MAXIFS('単価履歴'!$H:$H,'単価履歴'!$E:$E,V$1,'単価履歴'!$F:$F,$A22,'単価履歴'!$O:$O,
MAXIFS('単価履歴'!$O:$O,'単価履歴'!$E:$E,V$1,'単価履歴'!$F:$F,$A22))=0,"",
MAXIFS('単価履歴'!$H:$H,'単価履歴'!$E:$E,V$1,'単価履歴'!$F:$F,$A22,'単価履歴'!$O:$O,
MAXIFS('単価履歴'!$O:$O,'単価履歴'!$E:$E,V$1,'単価履歴'!$F:$F,$A22)))</f>
        <v/>
      </c>
      <c r="W22" s="264" t="str">
        <f>IF(MAXIFS('単価履歴'!$H:$H,'単価履歴'!$E:$E,W$1,'単価履歴'!$F:$F,$A22,'単価履歴'!$O:$O,
MAXIFS('単価履歴'!$O:$O,'単価履歴'!$E:$E,W$1,'単価履歴'!$F:$F,$A22))=0,"",
MAXIFS('単価履歴'!$H:$H,'単価履歴'!$E:$E,W$1,'単価履歴'!$F:$F,$A22,'単価履歴'!$O:$O,
MAXIFS('単価履歴'!$O:$O,'単価履歴'!$E:$E,W$1,'単価履歴'!$F:$F,$A22)))</f>
        <v/>
      </c>
      <c r="X22" s="256" t="str">
        <f>IF(MAXIFS('単価履歴'!$H:$H,'単価履歴'!$E:$E,X$1,'単価履歴'!$F:$F,$A22,'単価履歴'!$O:$O,
MAXIFS('単価履歴'!$O:$O,'単価履歴'!$E:$E,X$1,'単価履歴'!$F:$F,$A22))=0,"",
MAXIFS('単価履歴'!$H:$H,'単価履歴'!$E:$E,X$1,'単価履歴'!$F:$F,$A22,'単価履歴'!$O:$O,
MAXIFS('単価履歴'!$O:$O,'単価履歴'!$E:$E,X$1,'単価履歴'!$F:$F,$A22)))</f>
        <v/>
      </c>
      <c r="Y22" s="254" t="str">
        <f>IF(MAXIFS('単価履歴'!$H:$H,'単価履歴'!$E:$E,Y$1,'単価履歴'!$F:$F,$A22,'単価履歴'!$O:$O,
MAXIFS('単価履歴'!$O:$O,'単価履歴'!$E:$E,Y$1,'単価履歴'!$F:$F,$A22))=0,"",
MAXIFS('単価履歴'!$H:$H,'単価履歴'!$E:$E,Y$1,'単価履歴'!$F:$F,$A22,'単価履歴'!$O:$O,
MAXIFS('単価履歴'!$O:$O,'単価履歴'!$E:$E,Y$1,'単価履歴'!$F:$F,$A22)))</f>
        <v/>
      </c>
      <c r="Z22" s="256" t="str">
        <f>IF(MAXIFS('単価履歴'!$H:$H,'単価履歴'!$E:$E,Z$1,'単価履歴'!$F:$F,$A22,'単価履歴'!$O:$O,
MAXIFS('単価履歴'!$O:$O,'単価履歴'!$E:$E,Z$1,'単価履歴'!$F:$F,$A22))=0,"",
MAXIFS('単価履歴'!$H:$H,'単価履歴'!$E:$E,Z$1,'単価履歴'!$F:$F,$A22,'単価履歴'!$O:$O,
MAXIFS('単価履歴'!$O:$O,'単価履歴'!$E:$E,Z$1,'単価履歴'!$F:$F,$A22)))</f>
        <v/>
      </c>
      <c r="AA22" s="254" t="str">
        <f>IF(MAXIFS('単価履歴'!$H:$H,'単価履歴'!$E:$E,AA$1,'単価履歴'!$F:$F,$A22,'単価履歴'!$O:$O,
MAXIFS('単価履歴'!$O:$O,'単価履歴'!$E:$E,AA$1,'単価履歴'!$F:$F,$A22))=0,"",
MAXIFS('単価履歴'!$H:$H,'単価履歴'!$E:$E,AA$1,'単価履歴'!$F:$F,$A22,'単価履歴'!$O:$O,
MAXIFS('単価履歴'!$O:$O,'単価履歴'!$E:$E,AA$1,'単価履歴'!$F:$F,$A22)))</f>
        <v/>
      </c>
      <c r="AB22" s="264" t="str">
        <f>IF(MAXIFS('単価履歴'!$H:$H,'単価履歴'!$E:$E,AB$1,'単価履歴'!$F:$F,$A22,'単価履歴'!$O:$O,
MAXIFS('単価履歴'!$O:$O,'単価履歴'!$E:$E,AB$1,'単価履歴'!$F:$F,$A22))=0,"",
MAXIFS('単価履歴'!$H:$H,'単価履歴'!$E:$E,AB$1,'単価履歴'!$F:$F,$A22,'単価履歴'!$O:$O,
MAXIFS('単価履歴'!$O:$O,'単価履歴'!$E:$E,AB$1,'単価履歴'!$F:$F,$A22)))</f>
        <v/>
      </c>
      <c r="AC22" s="256" t="str">
        <f>IF(MAXIFS('単価履歴'!$H:$H,'単価履歴'!$E:$E,AC$1,'単価履歴'!$F:$F,$A22,'単価履歴'!$O:$O,
MAXIFS('単価履歴'!$O:$O,'単価履歴'!$E:$E,AC$1,'単価履歴'!$F:$F,$A22))=0,"",
MAXIFS('単価履歴'!$H:$H,'単価履歴'!$E:$E,AC$1,'単価履歴'!$F:$F,$A22,'単価履歴'!$O:$O,
MAXIFS('単価履歴'!$O:$O,'単価履歴'!$E:$E,AC$1,'単価履歴'!$F:$F,$A22)))</f>
        <v/>
      </c>
      <c r="AD22" s="254" t="str">
        <f>IF(MAXIFS('単価履歴'!$H:$H,'単価履歴'!$E:$E,AD$1,'単価履歴'!$F:$F,$A22,'単価履歴'!$O:$O,
MAXIFS('単価履歴'!$O:$O,'単価履歴'!$E:$E,AD$1,'単価履歴'!$F:$F,$A22))=0,"",
MAXIFS('単価履歴'!$H:$H,'単価履歴'!$E:$E,AD$1,'単価履歴'!$F:$F,$A22,'単価履歴'!$O:$O,
MAXIFS('単価履歴'!$O:$O,'単価履歴'!$E:$E,AD$1,'単価履歴'!$F:$F,$A22)))</f>
        <v/>
      </c>
      <c r="AE22" s="264" t="str">
        <f>IF(MAXIFS('単価履歴'!$H:$H,'単価履歴'!$E:$E,AE$1,'単価履歴'!$F:$F,$A22,'単価履歴'!$O:$O,
MAXIFS('単価履歴'!$O:$O,'単価履歴'!$E:$E,AE$1,'単価履歴'!$F:$F,$A22))=0,"",
MAXIFS('単価履歴'!$H:$H,'単価履歴'!$E:$E,AE$1,'単価履歴'!$F:$F,$A22,'単価履歴'!$O:$O,
MAXIFS('単価履歴'!$O:$O,'単価履歴'!$E:$E,AE$1,'単価履歴'!$F:$F,$A22)))</f>
        <v/>
      </c>
      <c r="AF22" s="256" t="str">
        <f>IF(MAXIFS('単価履歴'!$H:$H,'単価履歴'!$E:$E,AF$1,'単価履歴'!$F:$F,$A22,'単価履歴'!$O:$O,
MAXIFS('単価履歴'!$O:$O,'単価履歴'!$E:$E,AF$1,'単価履歴'!$F:$F,$A22))=0,"",
MAXIFS('単価履歴'!$H:$H,'単価履歴'!$E:$E,AF$1,'単価履歴'!$F:$F,$A22,'単価履歴'!$O:$O,
MAXIFS('単価履歴'!$O:$O,'単価履歴'!$E:$E,AF$1,'単価履歴'!$F:$F,$A22)))</f>
        <v/>
      </c>
      <c r="AG22" s="263" t="str">
        <f>IF(MAXIFS('単価履歴'!$H:$H,'単価履歴'!$E:$E,AG$1,'単価履歴'!$F:$F,$A22,'単価履歴'!$O:$O,
MAXIFS('単価履歴'!$O:$O,'単価履歴'!$E:$E,AG$1,'単価履歴'!$F:$F,$A22))=0,"",
MAXIFS('単価履歴'!$H:$H,'単価履歴'!$E:$E,AG$1,'単価履歴'!$F:$F,$A22,'単価履歴'!$O:$O,
MAXIFS('単価履歴'!$O:$O,'単価履歴'!$E:$E,AG$1,'単価履歴'!$F:$F,$A22)))</f>
        <v/>
      </c>
      <c r="AH22" s="256" t="str">
        <f>IF(MAXIFS('単価履歴'!$H:$H,'単価履歴'!$E:$E,AH$1,'単価履歴'!$F:$F,$A22,'単価履歴'!$O:$O,
MAXIFS('単価履歴'!$O:$O,'単価履歴'!$E:$E,AH$1,'単価履歴'!$F:$F,$A22))=0,"",
MAXIFS('単価履歴'!$H:$H,'単価履歴'!$E:$E,AH$1,'単価履歴'!$F:$F,$A22,'単価履歴'!$O:$O,
MAXIFS('単価履歴'!$O:$O,'単価履歴'!$E:$E,AH$1,'単価履歴'!$F:$F,$A22)))</f>
        <v/>
      </c>
      <c r="AI22" s="254" t="str">
        <f>IF(MAXIFS('単価履歴'!$H:$H,'単価履歴'!$E:$E,AI$1,'単価履歴'!$F:$F,$A22,'単価履歴'!$O:$O,
MAXIFS('単価履歴'!$O:$O,'単価履歴'!$E:$E,AI$1,'単価履歴'!$F:$F,$A22))=0,"",
MAXIFS('単価履歴'!$H:$H,'単価履歴'!$E:$E,AI$1,'単価履歴'!$F:$F,$A22,'単価履歴'!$O:$O,
MAXIFS('単価履歴'!$O:$O,'単価履歴'!$E:$E,AI$1,'単価履歴'!$F:$F,$A22)))</f>
        <v/>
      </c>
      <c r="AJ22" s="250">
        <f>IF(MAXIFS('単価履歴'!$H:$H,'単価履歴'!$E:$E,AJ$1,'単価履歴'!$F:$F,$A22,'単価履歴'!$O:$O,
MAXIFS('単価履歴'!$O:$O,'単価履歴'!$E:$E,AJ$1,'単価履歴'!$F:$F,$A22))=0,"",
MAXIFS('単価履歴'!$H:$H,'単価履歴'!$E:$E,AJ$1,'単価履歴'!$F:$F,$A22,'単価履歴'!$O:$O,
MAXIFS('単価履歴'!$O:$O,'単価履歴'!$E:$E,AJ$1,'単価履歴'!$F:$F,$A22)))</f>
        <v>56.2</v>
      </c>
      <c r="AK22" s="254" t="str">
        <f>IF(MAXIFS('単価履歴'!$H:$H,'単価履歴'!$E:$E,AK$1,'単価履歴'!$F:$F,$A22,'単価履歴'!$O:$O,
MAXIFS('単価履歴'!$O:$O,'単価履歴'!$E:$E,AK$1,'単価履歴'!$F:$F,$A22))=0,"",
MAXIFS('単価履歴'!$H:$H,'単価履歴'!$E:$E,AK$1,'単価履歴'!$F:$F,$A22,'単価履歴'!$O:$O,
MAXIFS('単価履歴'!$O:$O,'単価履歴'!$E:$E,AK$1,'単価履歴'!$F:$F,$A22)))</f>
        <v/>
      </c>
      <c r="AL22" s="256" t="str">
        <f>IF(MAXIFS('単価履歴'!$H:$H,'単価履歴'!$E:$E,AL$1,'単価履歴'!$F:$F,$A22,'単価履歴'!$O:$O,
MAXIFS('単価履歴'!$O:$O,'単価履歴'!$E:$E,AL$1,'単価履歴'!$F:$F,$A22))=0,"",
MAXIFS('単価履歴'!$H:$H,'単価履歴'!$E:$E,AL$1,'単価履歴'!$F:$F,$A22,'単価履歴'!$O:$O,
MAXIFS('単価履歴'!$O:$O,'単価履歴'!$E:$E,AL$1,'単価履歴'!$F:$F,$A22)))</f>
        <v/>
      </c>
      <c r="AM22" s="254" t="str">
        <f>IF(MAXIFS('単価履歴'!$H:$H,'単価履歴'!$E:$E,AM$1,'単価履歴'!$F:$F,$A22,'単価履歴'!$O:$O,
MAXIFS('単価履歴'!$O:$O,'単価履歴'!$E:$E,AM$1,'単価履歴'!$F:$F,$A22))=0,"",
MAXIFS('単価履歴'!$H:$H,'単価履歴'!$E:$E,AM$1,'単価履歴'!$F:$F,$A22,'単価履歴'!$O:$O,
MAXIFS('単価履歴'!$O:$O,'単価履歴'!$E:$E,AM$1,'単価履歴'!$F:$F,$A22)))</f>
        <v/>
      </c>
      <c r="AN22" s="264" t="str">
        <f>IF(MAXIFS('単価履歴'!$H:$H,'単価履歴'!$E:$E,AN$1,'単価履歴'!$F:$F,$A22,'単価履歴'!$O:$O,
MAXIFS('単価履歴'!$O:$O,'単価履歴'!$E:$E,AN$1,'単価履歴'!$F:$F,$A22))=0,"",
MAXIFS('単価履歴'!$H:$H,'単価履歴'!$E:$E,AN$1,'単価履歴'!$F:$F,$A22,'単価履歴'!$O:$O,
MAXIFS('単価履歴'!$O:$O,'単価履歴'!$E:$E,AN$1,'単価履歴'!$F:$F,$A22)))</f>
        <v/>
      </c>
      <c r="AO22" s="254" t="str">
        <f>IF(MAXIFS('単価履歴'!$H:$H,'単価履歴'!$E:$E,AO$1,'単価履歴'!$F:$F,$A22,'単価履歴'!$O:$O,
MAXIFS('単価履歴'!$O:$O,'単価履歴'!$E:$E,AO$1,'単価履歴'!$F:$F,$A22))=0,"",
MAXIFS('単価履歴'!$H:$H,'単価履歴'!$E:$E,AO$1,'単価履歴'!$F:$F,$A22,'単価履歴'!$O:$O,
MAXIFS('単価履歴'!$O:$O,'単価履歴'!$E:$E,AO$1,'単価履歴'!$F:$F,$A22)))</f>
        <v/>
      </c>
      <c r="AP22" s="264" t="str">
        <f>IF(MAXIFS('単価履歴'!$H:$H,'単価履歴'!$E:$E,AP$1,'単価履歴'!$F:$F,$A22,'単価履歴'!$O:$O,
MAXIFS('単価履歴'!$O:$O,'単価履歴'!$E:$E,AP$1,'単価履歴'!$F:$F,$A22))=0,"",
MAXIFS('単価履歴'!$H:$H,'単価履歴'!$E:$E,AP$1,'単価履歴'!$F:$F,$A22,'単価履歴'!$O:$O,
MAXIFS('単価履歴'!$O:$O,'単価履歴'!$E:$E,AP$1,'単価履歴'!$F:$F,$A22)))</f>
        <v/>
      </c>
      <c r="AQ22" s="256" t="str">
        <f>IF(MAXIFS('単価履歴'!$H:$H,'単価履歴'!$E:$E,AQ$1,'単価履歴'!$F:$F,$A22,'単価履歴'!$O:$O,
MAXIFS('単価履歴'!$O:$O,'単価履歴'!$E:$E,AQ$1,'単価履歴'!$F:$F,$A22))=0,"",
MAXIFS('単価履歴'!$H:$H,'単価履歴'!$E:$E,AQ$1,'単価履歴'!$F:$F,$A22,'単価履歴'!$O:$O,
MAXIFS('単価履歴'!$O:$O,'単価履歴'!$E:$E,AQ$1,'単価履歴'!$F:$F,$A22)))</f>
        <v/>
      </c>
      <c r="AR22" s="264" t="str">
        <f>IF(MAXIFS('単価履歴'!$H:$H,'単価履歴'!$E:$E,AR$1,'単価履歴'!$F:$F,$A22,'単価履歴'!$O:$O,
MAXIFS('単価履歴'!$O:$O,'単価履歴'!$E:$E,AR$1,'単価履歴'!$F:$F,$A22))=0,"",
MAXIFS('単価履歴'!$H:$H,'単価履歴'!$E:$E,AR$1,'単価履歴'!$F:$F,$A22,'単価履歴'!$O:$O,
MAXIFS('単価履歴'!$O:$O,'単価履歴'!$E:$E,AR$1,'単価履歴'!$F:$F,$A22)))</f>
        <v/>
      </c>
      <c r="AS22" s="256" t="str">
        <f>IF(MAXIFS('単価履歴'!$H:$H,'単価履歴'!$E:$E,AS$1,'単価履歴'!$F:$F,$A22,'単価履歴'!$O:$O,
MAXIFS('単価履歴'!$O:$O,'単価履歴'!$E:$E,AS$1,'単価履歴'!$F:$F,$A22))=0,"",
MAXIFS('単価履歴'!$H:$H,'単価履歴'!$E:$E,AS$1,'単価履歴'!$F:$F,$A22,'単価履歴'!$O:$O,
MAXIFS('単価履歴'!$O:$O,'単価履歴'!$E:$E,AS$1,'単価履歴'!$F:$F,$A22)))</f>
        <v/>
      </c>
      <c r="AT22" s="256" t="str">
        <f>IF(MAXIFS('単価履歴'!$H:$H,'単価履歴'!$E:$E,AT$1,'単価履歴'!$F:$F,$A22,'単価履歴'!$O:$O,
MAXIFS('単価履歴'!$O:$O,'単価履歴'!$E:$E,AT$1,'単価履歴'!$F:$F,$A22))=0,"",
MAXIFS('単価履歴'!$H:$H,'単価履歴'!$E:$E,AT$1,'単価履歴'!$F:$F,$A22,'単価履歴'!$O:$O,
MAXIFS('単価履歴'!$O:$O,'単価履歴'!$E:$E,AT$1,'単価履歴'!$F:$F,$A22)))</f>
        <v/>
      </c>
      <c r="AU22" s="256" t="str">
        <f>IF(MAXIFS('単価履歴'!$H:$H,'単価履歴'!$E:$E,AU$1,'単価履歴'!$F:$F,$A22,'単価履歴'!$O:$O,
MAXIFS('単価履歴'!$O:$O,'単価履歴'!$E:$E,AU$1,'単価履歴'!$F:$F,$A22))=0,"",
MAXIFS('単価履歴'!$H:$H,'単価履歴'!$E:$E,AU$1,'単価履歴'!$F:$F,$A22,'単価履歴'!$O:$O,
MAXIFS('単価履歴'!$O:$O,'単価履歴'!$E:$E,AU$1,'単価履歴'!$F:$F,$A22)))</f>
        <v/>
      </c>
      <c r="AV22" s="256" t="str">
        <f>IF(MAXIFS('単価履歴'!$H:$H,'単価履歴'!$E:$E,AV$1,'単価履歴'!$F:$F,$A22,'単価履歴'!$O:$O,
MAXIFS('単価履歴'!$O:$O,'単価履歴'!$E:$E,AV$1,'単価履歴'!$F:$F,$A22))=0,"",
MAXIFS('単価履歴'!$H:$H,'単価履歴'!$E:$E,AV$1,'単価履歴'!$F:$F,$A22,'単価履歴'!$O:$O,
MAXIFS('単価履歴'!$O:$O,'単価履歴'!$E:$E,AV$1,'単価履歴'!$F:$F,$A22)))</f>
        <v/>
      </c>
      <c r="AW22" s="263" t="str">
        <f>IF(MAXIFS('単価履歴'!$H:$H,'単価履歴'!$E:$E,AW$1,'単価履歴'!$F:$F,$A22,'単価履歴'!$O:$O,
MAXIFS('単価履歴'!$O:$O,'単価履歴'!$E:$E,AW$1,'単価履歴'!$F:$F,$A22))=0,"",
MAXIFS('単価履歴'!$H:$H,'単価履歴'!$E:$E,AW$1,'単価履歴'!$F:$F,$A22,'単価履歴'!$O:$O,
MAXIFS('単価履歴'!$O:$O,'単価履歴'!$E:$E,AW$1,'単価履歴'!$F:$F,$A22)))</f>
        <v/>
      </c>
      <c r="AX22" s="256" t="str">
        <f>IF(MAXIFS('単価履歴'!$H:$H,'単価履歴'!$E:$E,AX$1,'単価履歴'!$F:$F,$A22,'単価履歴'!$O:$O,
MAXIFS('単価履歴'!$O:$O,'単価履歴'!$E:$E,AX$1,'単価履歴'!$F:$F,$A22))=0,"",
MAXIFS('単価履歴'!$H:$H,'単価履歴'!$E:$E,AX$1,'単価履歴'!$F:$F,$A22,'単価履歴'!$O:$O,
MAXIFS('単価履歴'!$O:$O,'単価履歴'!$E:$E,AX$1,'単価履歴'!$F:$F,$A22)))</f>
        <v/>
      </c>
      <c r="AY22" s="254" t="str">
        <f>IF(MAXIFS('単価履歴'!$H:$H,'単価履歴'!$E:$E,AY$1,'単価履歴'!$F:$F,$A22,'単価履歴'!$O:$O,
MAXIFS('単価履歴'!$O:$O,'単価履歴'!$E:$E,AY$1,'単価履歴'!$F:$F,$A22))=0,"",
MAXIFS('単価履歴'!$H:$H,'単価履歴'!$E:$E,AY$1,'単価履歴'!$F:$F,$A22,'単価履歴'!$O:$O,
MAXIFS('単価履歴'!$O:$O,'単価履歴'!$E:$E,AY$1,'単価履歴'!$F:$F,$A22)))</f>
        <v/>
      </c>
      <c r="AZ22" s="256" t="str">
        <f>IF(MAXIFS('単価履歴'!$H:$H,'単価履歴'!$E:$E,AZ$1,'単価履歴'!$F:$F,$A22,'単価履歴'!$O:$O,
MAXIFS('単価履歴'!$O:$O,'単価履歴'!$E:$E,AZ$1,'単価履歴'!$F:$F,$A22))=0,"",
MAXIFS('単価履歴'!$H:$H,'単価履歴'!$E:$E,AZ$1,'単価履歴'!$F:$F,$A22,'単価履歴'!$O:$O,
MAXIFS('単価履歴'!$O:$O,'単価履歴'!$E:$E,AZ$1,'単価履歴'!$F:$F,$A22)))</f>
        <v/>
      </c>
      <c r="BA22" s="263" t="str">
        <f>IF(MAXIFS('単価履歴'!$H:$H,'単価履歴'!$E:$E,BA$1,'単価履歴'!$F:$F,$A22,'単価履歴'!$O:$O,
MAXIFS('単価履歴'!$O:$O,'単価履歴'!$E:$E,BA$1,'単価履歴'!$F:$F,$A22))=0,"",
MAXIFS('単価履歴'!$H:$H,'単価履歴'!$E:$E,BA$1,'単価履歴'!$F:$F,$A22,'単価履歴'!$O:$O,
MAXIFS('単価履歴'!$O:$O,'単価履歴'!$E:$E,BA$1,'単価履歴'!$F:$F,$A22)))</f>
        <v/>
      </c>
      <c r="BB22" s="264" t="str">
        <f>IF(MAXIFS('単価履歴'!$H:$H,'単価履歴'!$E:$E,BB$1,'単価履歴'!$F:$F,$A22,'単価履歴'!$O:$O,
MAXIFS('単価履歴'!$O:$O,'単価履歴'!$E:$E,BB$1,'単価履歴'!$F:$F,$A22))=0,"",
MAXIFS('単価履歴'!$H:$H,'単価履歴'!$E:$E,BB$1,'単価履歴'!$F:$F,$A22,'単価履歴'!$O:$O,
MAXIFS('単価履歴'!$O:$O,'単価履歴'!$E:$E,BB$1,'単価履歴'!$F:$F,$A22)))</f>
        <v/>
      </c>
      <c r="BC22" s="256" t="str">
        <f>IF(MAXIFS('単価履歴'!$H:$H,'単価履歴'!$E:$E,BC$1,'単価履歴'!$F:$F,$A22,'単価履歴'!$O:$O,
MAXIFS('単価履歴'!$O:$O,'単価履歴'!$E:$E,BC$1,'単価履歴'!$F:$F,$A22))=0,"",
MAXIFS('単価履歴'!$H:$H,'単価履歴'!$E:$E,BC$1,'単価履歴'!$F:$F,$A22,'単価履歴'!$O:$O,
MAXIFS('単価履歴'!$O:$O,'単価履歴'!$E:$E,BC$1,'単価履歴'!$F:$F,$A22)))</f>
        <v/>
      </c>
      <c r="BD22" s="263" t="str">
        <f>IF(MAXIFS('単価履歴'!$H:$H,'単価履歴'!$E:$E,BD$1,'単価履歴'!$F:$F,$A22,'単価履歴'!$O:$O,
MAXIFS('単価履歴'!$O:$O,'単価履歴'!$E:$E,BD$1,'単価履歴'!$F:$F,$A22))=0,"",
MAXIFS('単価履歴'!$H:$H,'単価履歴'!$E:$E,BD$1,'単価履歴'!$F:$F,$A22,'単価履歴'!$O:$O,
MAXIFS('単価履歴'!$O:$O,'単価履歴'!$E:$E,BD$1,'単価履歴'!$F:$F,$A22)))</f>
        <v/>
      </c>
      <c r="BE22" s="256" t="str">
        <f>IF(MAXIFS('単価履歴'!$H:$H,'単価履歴'!$E:$E,BE$1,'単価履歴'!$F:$F,$A22,'単価履歴'!$O:$O,
MAXIFS('単価履歴'!$O:$O,'単価履歴'!$E:$E,BE$1,'単価履歴'!$F:$F,$A22))=0,"",
MAXIFS('単価履歴'!$H:$H,'単価履歴'!$E:$E,BE$1,'単価履歴'!$F:$F,$A22,'単価履歴'!$O:$O,
MAXIFS('単価履歴'!$O:$O,'単価履歴'!$E:$E,BE$1,'単価履歴'!$F:$F,$A22)))</f>
        <v/>
      </c>
      <c r="BF22" s="263" t="str">
        <f>IF(MAXIFS('単価履歴'!$H:$H,'単価履歴'!$E:$E,BF$1,'単価履歴'!$F:$F,$A22,'単価履歴'!$O:$O,
MAXIFS('単価履歴'!$O:$O,'単価履歴'!$E:$E,BF$1,'単価履歴'!$F:$F,$A22))=0,"",
MAXIFS('単価履歴'!$H:$H,'単価履歴'!$E:$E,BF$1,'単価履歴'!$F:$F,$A22,'単価履歴'!$O:$O,
MAXIFS('単価履歴'!$O:$O,'単価履歴'!$E:$E,BF$1,'単価履歴'!$F:$F,$A22)))</f>
        <v/>
      </c>
      <c r="BG22" s="256" t="str">
        <f>IF(MAXIFS('単価履歴'!$H:$H,'単価履歴'!$E:$E,BG$1,'単価履歴'!$F:$F,$A22,'単価履歴'!$O:$O,
MAXIFS('単価履歴'!$O:$O,'単価履歴'!$E:$E,BG$1,'単価履歴'!$F:$F,$A22))=0,"",
MAXIFS('単価履歴'!$H:$H,'単価履歴'!$E:$E,BG$1,'単価履歴'!$F:$F,$A22,'単価履歴'!$O:$O,
MAXIFS('単価履歴'!$O:$O,'単価履歴'!$E:$E,BG$1,'単価履歴'!$F:$F,$A22)))</f>
        <v/>
      </c>
      <c r="BH22" s="256" t="str">
        <f>IF(MAXIFS('単価履歴'!$H:$H,'単価履歴'!$E:$E,BH$1,'単価履歴'!$F:$F,$A22,'単価履歴'!$O:$O,
MAXIFS('単価履歴'!$O:$O,'単価履歴'!$E:$E,BH$1,'単価履歴'!$F:$F,$A22))=0,"",
MAXIFS('単価履歴'!$H:$H,'単価履歴'!$E:$E,BH$1,'単価履歴'!$F:$F,$A22,'単価履歴'!$O:$O,
MAXIFS('単価履歴'!$O:$O,'単価履歴'!$E:$E,BH$1,'単価履歴'!$F:$F,$A22)))</f>
        <v/>
      </c>
      <c r="BI22" s="264" t="str">
        <f>IF(MAXIFS('単価履歴'!$H:$H,'単価履歴'!$E:$E,BI$1,'単価履歴'!$F:$F,$A22,'単価履歴'!$O:$O,
MAXIFS('単価履歴'!$O:$O,'単価履歴'!$E:$E,BI$1,'単価履歴'!$F:$F,$A22))=0,"",
MAXIFS('単価履歴'!$H:$H,'単価履歴'!$E:$E,BI$1,'単価履歴'!$F:$F,$A22,'単価履歴'!$O:$O,
MAXIFS('単価履歴'!$O:$O,'単価履歴'!$E:$E,BI$1,'単価履歴'!$F:$F,$A22)))</f>
        <v/>
      </c>
      <c r="BJ22" s="264" t="str">
        <f>IF(MAXIFS('単価履歴'!$H:$H,'単価履歴'!$E:$E,BJ$1,'単価履歴'!$F:$F,$A22,'単価履歴'!$O:$O,
MAXIFS('単価履歴'!$O:$O,'単価履歴'!$E:$E,BJ$1,'単価履歴'!$F:$F,$A22))=0,"",
MAXIFS('単価履歴'!$H:$H,'単価履歴'!$E:$E,BJ$1,'単価履歴'!$F:$F,$A22,'単価履歴'!$O:$O,
MAXIFS('単価履歴'!$O:$O,'単価履歴'!$E:$E,BJ$1,'単価履歴'!$F:$F,$A22)))</f>
        <v/>
      </c>
      <c r="BK22" s="264" t="str">
        <f>IF(MAXIFS('単価履歴'!$H:$H,'単価履歴'!$E:$E,BK$1,'単価履歴'!$F:$F,$A22,'単価履歴'!$O:$O,
MAXIFS('単価履歴'!$O:$O,'単価履歴'!$E:$E,BK$1,'単価履歴'!$F:$F,$A22))=0,"",
MAXIFS('単価履歴'!$H:$H,'単価履歴'!$E:$E,BK$1,'単価履歴'!$F:$F,$A22,'単価履歴'!$O:$O,
MAXIFS('単価履歴'!$O:$O,'単価履歴'!$E:$E,BK$1,'単価履歴'!$F:$F,$A22)))</f>
        <v/>
      </c>
      <c r="BL22" s="264" t="str">
        <f>IF(MAXIFS('単価履歴'!$H:$H,'単価履歴'!$E:$E,BL$1,'単価履歴'!$F:$F,$A22,'単価履歴'!$O:$O,
MAXIFS('単価履歴'!$O:$O,'単価履歴'!$E:$E,BL$1,'単価履歴'!$F:$F,$A22))=0,"",
MAXIFS('単価履歴'!$H:$H,'単価履歴'!$E:$E,BL$1,'単価履歴'!$F:$F,$A22,'単価履歴'!$O:$O,
MAXIFS('単価履歴'!$O:$O,'単価履歴'!$E:$E,BL$1,'単価履歴'!$F:$F,$A22)))</f>
        <v/>
      </c>
      <c r="BM22" s="264" t="str">
        <f>IF(MAXIFS('単価履歴'!$H:$H,'単価履歴'!$E:$E,BM$1,'単価履歴'!$F:$F,$A22,'単価履歴'!$O:$O,
MAXIFS('単価履歴'!$O:$O,'単価履歴'!$E:$E,BM$1,'単価履歴'!$F:$F,$A22))=0,"",
MAXIFS('単価履歴'!$H:$H,'単価履歴'!$E:$E,BM$1,'単価履歴'!$F:$F,$A22,'単価履歴'!$O:$O,
MAXIFS('単価履歴'!$O:$O,'単価履歴'!$E:$E,BM$1,'単価履歴'!$F:$F,$A22)))</f>
        <v/>
      </c>
      <c r="BN22" s="263" t="str">
        <f>IF(MAXIFS('単価履歴'!$H:$H,'単価履歴'!$E:$E,BN$1,'単価履歴'!$F:$F,$A22,'単価履歴'!$O:$O,
MAXIFS('単価履歴'!$O:$O,'単価履歴'!$E:$E,BN$1,'単価履歴'!$F:$F,$A22))=0,"",
MAXIFS('単価履歴'!$H:$H,'単価履歴'!$E:$E,BN$1,'単価履歴'!$F:$F,$A22,'単価履歴'!$O:$O,
MAXIFS('単価履歴'!$O:$O,'単価履歴'!$E:$E,BN$1,'単価履歴'!$F:$F,$A22)))</f>
        <v/>
      </c>
      <c r="BO22" s="256" t="str">
        <f>IF(MAXIFS('単価履歴'!$H:$H,'単価履歴'!$E:$E,BO$1,'単価履歴'!$F:$F,$A22,'単価履歴'!$O:$O,
MAXIFS('単価履歴'!$O:$O,'単価履歴'!$E:$E,BO$1,'単価履歴'!$F:$F,$A22))=0,"",
MAXIFS('単価履歴'!$H:$H,'単価履歴'!$E:$E,BO$1,'単価履歴'!$F:$F,$A22,'単価履歴'!$O:$O,
MAXIFS('単価履歴'!$O:$O,'単価履歴'!$E:$E,BO$1,'単価履歴'!$F:$F,$A22)))</f>
        <v/>
      </c>
      <c r="BP22" s="264" t="str">
        <f>IF(MAXIFS('単価履歴'!$H:$H,'単価履歴'!$E:$E,BP$1,'単価履歴'!$F:$F,$A22,'単価履歴'!$O:$O,
MAXIFS('単価履歴'!$O:$O,'単価履歴'!$E:$E,BP$1,'単価履歴'!$F:$F,$A22))=0,"",
MAXIFS('単価履歴'!$H:$H,'単価履歴'!$E:$E,BP$1,'単価履歴'!$F:$F,$A22,'単価履歴'!$O:$O,
MAXIFS('単価履歴'!$O:$O,'単価履歴'!$E:$E,BP$1,'単価履歴'!$F:$F,$A22)))</f>
        <v/>
      </c>
      <c r="BQ22" s="256"/>
      <c r="BR22" s="256"/>
      <c r="BS22" s="256"/>
      <c r="BT22" s="256"/>
      <c r="BU22" s="256"/>
      <c r="BV22" s="256"/>
      <c r="BW22" s="256"/>
      <c r="BX22" s="256"/>
    </row>
    <row r="23">
      <c r="A23" s="267" t="s">
        <v>575</v>
      </c>
      <c r="B23" s="246" t="str">
        <f>IF(MAXIFS('単価履歴'!$H:$H,'単価履歴'!$E:$E,B$1,'単価履歴'!$F:$F,$A23,'単価履歴'!$O:$O,
MAXIFS('単価履歴'!$O:$O,'単価履歴'!$E:$E,B$1,'単価履歴'!$F:$F,$A23))=0,"",
MAXIFS('単価履歴'!$H:$H,'単価履歴'!$E:$E,B$1,'単価履歴'!$F:$F,$A23,'単価履歴'!$O:$O,
MAXIFS('単価履歴'!$O:$O,'単価履歴'!$E:$E,B$1,'単価履歴'!$F:$F,$A23)))</f>
        <v/>
      </c>
      <c r="C23" s="251" t="str">
        <f>IF(MAXIFS('単価履歴'!$H:$H,'単価履歴'!$E:$E,C$1,'単価履歴'!$F:$F,$A23,'単価履歴'!$O:$O,
MAXIFS('単価履歴'!$O:$O,'単価履歴'!$E:$E,C$1,'単価履歴'!$F:$F,$A23))=0,"",
MAXIFS('単価履歴'!$H:$H,'単価履歴'!$E:$E,C$1,'単価履歴'!$F:$F,$A23,'単価履歴'!$O:$O,
MAXIFS('単価履歴'!$O:$O,'単価履歴'!$E:$E,C$1,'単価履歴'!$F:$F,$A23)))</f>
        <v/>
      </c>
      <c r="D23" s="249" t="str">
        <f>IF(MAXIFS('単価履歴'!$H:$H,'単価履歴'!$E:$E,D$1,'単価履歴'!$F:$F,$A23,'単価履歴'!$O:$O,
MAXIFS('単価履歴'!$O:$O,'単価履歴'!$E:$E,D$1,'単価履歴'!$F:$F,$A23))=0,"",
MAXIFS('単価履歴'!$H:$H,'単価履歴'!$E:$E,D$1,'単価履歴'!$F:$F,$A23,'単価履歴'!$O:$O,
MAXIFS('単価履歴'!$O:$O,'単価履歴'!$E:$E,D$1,'単価履歴'!$F:$F,$A23)))</f>
        <v/>
      </c>
      <c r="E23" s="249" t="str">
        <f>IF(MAXIFS('単価履歴'!$H:$H,'単価履歴'!$E:$E,E$1,'単価履歴'!$F:$F,$A23,'単価履歴'!$O:$O,
MAXIFS('単価履歴'!$O:$O,'単価履歴'!$E:$E,E$1,'単価履歴'!$F:$F,$A23))=0,"",
MAXIFS('単価履歴'!$H:$H,'単価履歴'!$E:$E,E$1,'単価履歴'!$F:$F,$A23,'単価履歴'!$O:$O,
MAXIFS('単価履歴'!$O:$O,'単価履歴'!$E:$E,E$1,'単価履歴'!$F:$F,$A23)))</f>
        <v/>
      </c>
      <c r="F23" s="249" t="str">
        <f>IF(MAXIFS('単価履歴'!$H:$H,'単価履歴'!$E:$E,F$1,'単価履歴'!$F:$F,$A23,'単価履歴'!$O:$O,
MAXIFS('単価履歴'!$O:$O,'単価履歴'!$E:$E,F$1,'単価履歴'!$F:$F,$A23))=0,"",
MAXIFS('単価履歴'!$H:$H,'単価履歴'!$E:$E,F$1,'単価履歴'!$F:$F,$A23,'単価履歴'!$O:$O,
MAXIFS('単価履歴'!$O:$O,'単価履歴'!$E:$E,F$1,'単価履歴'!$F:$F,$A23)))</f>
        <v/>
      </c>
      <c r="G23" s="257">
        <f>IF(MAXIFS('単価履歴'!$H:$H,'単価履歴'!$E:$E,G$1,'単価履歴'!$F:$F,$A23,'単価履歴'!$O:$O,
MAXIFS('単価履歴'!$O:$O,'単価履歴'!$E:$E,G$1,'単価履歴'!$F:$F,$A23))=0,"",
MAXIFS('単価履歴'!$H:$H,'単価履歴'!$E:$E,G$1,'単価履歴'!$F:$F,$A23,'単価履歴'!$O:$O,
MAXIFS('単価履歴'!$O:$O,'単価履歴'!$E:$E,G$1,'単価履歴'!$F:$F,$A23)))</f>
        <v>44.2</v>
      </c>
      <c r="H23" s="246">
        <f>IF(MAXIFS('単価履歴'!$H:$H,'単価履歴'!$E:$E,H$1,'単価履歴'!$F:$F,$A23,'単価履歴'!$O:$O,
MAXIFS('単価履歴'!$O:$O,'単価履歴'!$E:$E,H$1,'単価履歴'!$F:$F,$A23))=0,"",
MAXIFS('単価履歴'!$H:$H,'単価履歴'!$E:$E,H$1,'単価履歴'!$F:$F,$A23,'単価履歴'!$O:$O,
MAXIFS('単価履歴'!$O:$O,'単価履歴'!$E:$E,H$1,'単価履歴'!$F:$F,$A23)))</f>
        <v>44.3</v>
      </c>
      <c r="I23" s="249">
        <f>IF(MAXIFS('単価履歴'!$H:$H,'単価履歴'!$E:$E,I$1,'単価履歴'!$F:$F,$A23,'単価履歴'!$O:$O,
MAXIFS('単価履歴'!$O:$O,'単価履歴'!$E:$E,I$1,'単価履歴'!$F:$F,$A23))=0,"",
MAXIFS('単価履歴'!$H:$H,'単価履歴'!$E:$E,I$1,'単価履歴'!$F:$F,$A23,'単価履歴'!$O:$O,
MAXIFS('単価履歴'!$O:$O,'単価履歴'!$E:$E,I$1,'単価履歴'!$F:$F,$A23)))</f>
        <v>2</v>
      </c>
      <c r="J23" s="248" t="str">
        <f>IF(MAXIFS('単価履歴'!$H:$H,'単価履歴'!$E:$E,J$1,'単価履歴'!$F:$F,$A23,'単価履歴'!$O:$O,
MAXIFS('単価履歴'!$O:$O,'単価履歴'!$E:$E,J$1,'単価履歴'!$F:$F,$A23))=0,"",
MAXIFS('単価履歴'!$H:$H,'単価履歴'!$E:$E,J$1,'単価履歴'!$F:$F,$A23,'単価履歴'!$O:$O,
MAXIFS('単価履歴'!$O:$O,'単価履歴'!$E:$E,J$1,'単価履歴'!$F:$F,$A23)))</f>
        <v/>
      </c>
      <c r="K23" s="285">
        <v>29.0</v>
      </c>
      <c r="L23" s="285">
        <v>28.7</v>
      </c>
      <c r="M23" s="249"/>
      <c r="N23" s="249"/>
      <c r="O23" s="251" t="str">
        <f>IF(MAXIFS('単価履歴'!$H:$H,'単価履歴'!$E:$E,O$1,'単価履歴'!$F:$F,$A23,'単価履歴'!$O:$O,
MAXIFS('単価履歴'!$O:$O,'単価履歴'!$E:$E,O$1,'単価履歴'!$F:$F,$A23))=0,"",
MAXIFS('単価履歴'!$H:$H,'単価履歴'!$E:$E,O$1,'単価履歴'!$F:$F,$A23,'単価履歴'!$O:$O,
MAXIFS('単価履歴'!$O:$O,'単価履歴'!$E:$E,O$1,'単価履歴'!$F:$F,$A23)))</f>
        <v/>
      </c>
      <c r="P23" s="252" t="str">
        <f>IF(MAXIFS('単価履歴'!$H:$H,'単価履歴'!$E:$E,P$1,'単価履歴'!$F:$F,$A23,'単価履歴'!$O:$O,
MAXIFS('単価履歴'!$O:$O,'単価履歴'!$E:$E,P$1,'単価履歴'!$F:$F,$A23))=0,"",
MAXIFS('単価履歴'!$H:$H,'単価履歴'!$E:$E,P$1,'単価履歴'!$F:$F,$A23,'単価履歴'!$O:$O,
MAXIFS('単価履歴'!$O:$O,'単価履歴'!$E:$E,P$1,'単価履歴'!$F:$F,$A23)))</f>
        <v/>
      </c>
      <c r="Q23" s="248" t="str">
        <f>IF(MAXIFS('単価履歴'!$H:$H,'単価履歴'!$E:$E,Q$1,'単価履歴'!$F:$F,$A23,'単価履歴'!$O:$O,
MAXIFS('単価履歴'!$O:$O,'単価履歴'!$E:$E,Q$1,'単価履歴'!$F:$F,$A23))=0,"",
MAXIFS('単価履歴'!$H:$H,'単価履歴'!$E:$E,Q$1,'単価履歴'!$F:$F,$A23,'単価履歴'!$O:$O,
MAXIFS('単価履歴'!$O:$O,'単価履歴'!$E:$E,Q$1,'単価履歴'!$F:$F,$A23)))</f>
        <v/>
      </c>
      <c r="R23" s="252" t="str">
        <f>IF(MAXIFS('単価履歴'!$H:$H,'単価履歴'!$E:$E,R$1,'単価履歴'!$F:$F,$A23,'単価履歴'!$O:$O,
MAXIFS('単価履歴'!$O:$O,'単価履歴'!$E:$E,R$1,'単価履歴'!$F:$F,$A23))=0,"",
MAXIFS('単価履歴'!$H:$H,'単価履歴'!$E:$E,R$1,'単価履歴'!$F:$F,$A23,'単価履歴'!$O:$O,
MAXIFS('単価履歴'!$O:$O,'単価履歴'!$E:$E,R$1,'単価履歴'!$F:$F,$A23)))</f>
        <v/>
      </c>
      <c r="S23" s="251" t="str">
        <f>IF(MAXIFS('単価履歴'!$H:$H,'単価履歴'!$E:$E,S$1,'単価履歴'!$F:$F,$A23,'単価履歴'!$O:$O,
MAXIFS('単価履歴'!$O:$O,'単価履歴'!$E:$E,S$1,'単価履歴'!$F:$F,$A23))=0,"",
MAXIFS('単価履歴'!$H:$H,'単価履歴'!$E:$E,S$1,'単価履歴'!$F:$F,$A23,'単価履歴'!$O:$O,
MAXIFS('単価履歴'!$O:$O,'単価履歴'!$E:$E,S$1,'単価履歴'!$F:$F,$A23)))</f>
        <v/>
      </c>
      <c r="T23" s="249" t="str">
        <f>IF(MAXIFS('単価履歴'!$H:$H,'単価履歴'!$E:$E,T$1,'単価履歴'!$F:$F,$A23,'単価履歴'!$O:$O,
MAXIFS('単価履歴'!$O:$O,'単価履歴'!$E:$E,T$1,'単価履歴'!$F:$F,$A23))=0,"",
MAXIFS('単価履歴'!$H:$H,'単価履歴'!$E:$E,T$1,'単価履歴'!$F:$F,$A23,'単価履歴'!$O:$O,
MAXIFS('単価履歴'!$O:$O,'単価履歴'!$E:$E,T$1,'単価履歴'!$F:$F,$A23)))</f>
        <v/>
      </c>
      <c r="U23" s="249" t="str">
        <f>IF(MAXIFS('単価履歴'!$H:$H,'単価履歴'!$E:$E,U$1,'単価履歴'!$F:$F,$A23,'単価履歴'!$O:$O,
MAXIFS('単価履歴'!$O:$O,'単価履歴'!$E:$E,U$1,'単価履歴'!$F:$F,$A23))=0,"",
MAXIFS('単価履歴'!$H:$H,'単価履歴'!$E:$E,U$1,'単価履歴'!$F:$F,$A23,'単価履歴'!$O:$O,
MAXIFS('単価履歴'!$O:$O,'単価履歴'!$E:$E,U$1,'単価履歴'!$F:$F,$A23)))</f>
        <v/>
      </c>
      <c r="V23" s="251" t="str">
        <f>IF(MAXIFS('単価履歴'!$H:$H,'単価履歴'!$E:$E,V$1,'単価履歴'!$F:$F,$A23,'単価履歴'!$O:$O,
MAXIFS('単価履歴'!$O:$O,'単価履歴'!$E:$E,V$1,'単価履歴'!$F:$F,$A23))=0,"",
MAXIFS('単価履歴'!$H:$H,'単価履歴'!$E:$E,V$1,'単価履歴'!$F:$F,$A23,'単価履歴'!$O:$O,
MAXIFS('単価履歴'!$O:$O,'単価履歴'!$E:$E,V$1,'単価履歴'!$F:$F,$A23)))</f>
        <v/>
      </c>
      <c r="W23" s="252" t="str">
        <f>IF(MAXIFS('単価履歴'!$H:$H,'単価履歴'!$E:$E,W$1,'単価履歴'!$F:$F,$A23,'単価履歴'!$O:$O,
MAXIFS('単価履歴'!$O:$O,'単価履歴'!$E:$E,W$1,'単価履歴'!$F:$F,$A23))=0,"",
MAXIFS('単価履歴'!$H:$H,'単価履歴'!$E:$E,W$1,'単価履歴'!$F:$F,$A23,'単価履歴'!$O:$O,
MAXIFS('単価履歴'!$O:$O,'単価履歴'!$E:$E,W$1,'単価履歴'!$F:$F,$A23)))</f>
        <v/>
      </c>
      <c r="X23" s="249" t="str">
        <f>IF(MAXIFS('単価履歴'!$H:$H,'単価履歴'!$E:$E,X$1,'単価履歴'!$F:$F,$A23,'単価履歴'!$O:$O,
MAXIFS('単価履歴'!$O:$O,'単価履歴'!$E:$E,X$1,'単価履歴'!$F:$F,$A23))=0,"",
MAXIFS('単価履歴'!$H:$H,'単価履歴'!$E:$E,X$1,'単価履歴'!$F:$F,$A23,'単価履歴'!$O:$O,
MAXIFS('単価履歴'!$O:$O,'単価履歴'!$E:$E,X$1,'単価履歴'!$F:$F,$A23)))</f>
        <v/>
      </c>
      <c r="Y23" s="251" t="str">
        <f>IF(MAXIFS('単価履歴'!$H:$H,'単価履歴'!$E:$E,Y$1,'単価履歴'!$F:$F,$A23,'単価履歴'!$O:$O,
MAXIFS('単価履歴'!$O:$O,'単価履歴'!$E:$E,Y$1,'単価履歴'!$F:$F,$A23))=0,"",
MAXIFS('単価履歴'!$H:$H,'単価履歴'!$E:$E,Y$1,'単価履歴'!$F:$F,$A23,'単価履歴'!$O:$O,
MAXIFS('単価履歴'!$O:$O,'単価履歴'!$E:$E,Y$1,'単価履歴'!$F:$F,$A23)))</f>
        <v/>
      </c>
      <c r="Z23" s="249" t="str">
        <f>IF(MAXIFS('単価履歴'!$H:$H,'単価履歴'!$E:$E,Z$1,'単価履歴'!$F:$F,$A23,'単価履歴'!$O:$O,
MAXIFS('単価履歴'!$O:$O,'単価履歴'!$E:$E,Z$1,'単価履歴'!$F:$F,$A23))=0,"",
MAXIFS('単価履歴'!$H:$H,'単価履歴'!$E:$E,Z$1,'単価履歴'!$F:$F,$A23,'単価履歴'!$O:$O,
MAXIFS('単価履歴'!$O:$O,'単価履歴'!$E:$E,Z$1,'単価履歴'!$F:$F,$A23)))</f>
        <v/>
      </c>
      <c r="AA23" s="251" t="str">
        <f>IF(MAXIFS('単価履歴'!$H:$H,'単価履歴'!$E:$E,AA$1,'単価履歴'!$F:$F,$A23,'単価履歴'!$O:$O,
MAXIFS('単価履歴'!$O:$O,'単価履歴'!$E:$E,AA$1,'単価履歴'!$F:$F,$A23))=0,"",
MAXIFS('単価履歴'!$H:$H,'単価履歴'!$E:$E,AA$1,'単価履歴'!$F:$F,$A23,'単価履歴'!$O:$O,
MAXIFS('単価履歴'!$O:$O,'単価履歴'!$E:$E,AA$1,'単価履歴'!$F:$F,$A23)))</f>
        <v/>
      </c>
      <c r="AB23" s="252" t="str">
        <f>IF(MAXIFS('単価履歴'!$H:$H,'単価履歴'!$E:$E,AB$1,'単価履歴'!$F:$F,$A23,'単価履歴'!$O:$O,
MAXIFS('単価履歴'!$O:$O,'単価履歴'!$E:$E,AB$1,'単価履歴'!$F:$F,$A23))=0,"",
MAXIFS('単価履歴'!$H:$H,'単価履歴'!$E:$E,AB$1,'単価履歴'!$F:$F,$A23,'単価履歴'!$O:$O,
MAXIFS('単価履歴'!$O:$O,'単価履歴'!$E:$E,AB$1,'単価履歴'!$F:$F,$A23)))</f>
        <v/>
      </c>
      <c r="AC23" s="249" t="str">
        <f>IF(MAXIFS('単価履歴'!$H:$H,'単価履歴'!$E:$E,AC$1,'単価履歴'!$F:$F,$A23,'単価履歴'!$O:$O,
MAXIFS('単価履歴'!$O:$O,'単価履歴'!$E:$E,AC$1,'単価履歴'!$F:$F,$A23))=0,"",
MAXIFS('単価履歴'!$H:$H,'単価履歴'!$E:$E,AC$1,'単価履歴'!$F:$F,$A23,'単価履歴'!$O:$O,
MAXIFS('単価履歴'!$O:$O,'単価履歴'!$E:$E,AC$1,'単価履歴'!$F:$F,$A23)))</f>
        <v/>
      </c>
      <c r="AD23" s="281">
        <f>IF(MAXIFS('単価履歴'!$H:$H,'単価履歴'!$E:$E,AD$1,'単価履歴'!$F:$F,$A23,'単価履歴'!$O:$O,
MAXIFS('単価履歴'!$O:$O,'単価履歴'!$E:$E,AD$1,'単価履歴'!$F:$F,$A23))=0,"",
MAXIFS('単価履歴'!$H:$H,'単価履歴'!$E:$E,AD$1,'単価履歴'!$F:$F,$A23,'単価履歴'!$O:$O,
MAXIFS('単価履歴'!$O:$O,'単価履歴'!$E:$E,AD$1,'単価履歴'!$F:$F,$A23)))</f>
        <v>44</v>
      </c>
      <c r="AE23" s="252" t="str">
        <f>IF(MAXIFS('単価履歴'!$H:$H,'単価履歴'!$E:$E,AE$1,'単価履歴'!$F:$F,$A23,'単価履歴'!$O:$O,
MAXIFS('単価履歴'!$O:$O,'単価履歴'!$E:$E,AE$1,'単価履歴'!$F:$F,$A23))=0,"",
MAXIFS('単価履歴'!$H:$H,'単価履歴'!$E:$E,AE$1,'単価履歴'!$F:$F,$A23,'単価履歴'!$O:$O,
MAXIFS('単価履歴'!$O:$O,'単価履歴'!$E:$E,AE$1,'単価履歴'!$F:$F,$A23)))</f>
        <v/>
      </c>
      <c r="AF23" s="249" t="str">
        <f>IF(MAXIFS('単価履歴'!$H:$H,'単価履歴'!$E:$E,AF$1,'単価履歴'!$F:$F,$A23,'単価履歴'!$O:$O,
MAXIFS('単価履歴'!$O:$O,'単価履歴'!$E:$E,AF$1,'単価履歴'!$F:$F,$A23))=0,"",
MAXIFS('単価履歴'!$H:$H,'単価履歴'!$E:$E,AF$1,'単価履歴'!$F:$F,$A23,'単価履歴'!$O:$O,
MAXIFS('単価履歴'!$O:$O,'単価履歴'!$E:$E,AF$1,'単価履歴'!$F:$F,$A23)))</f>
        <v/>
      </c>
      <c r="AG23" s="280">
        <v>37.0</v>
      </c>
      <c r="AH23" s="249" t="str">
        <f>IF(MAXIFS('単価履歴'!$H:$H,'単価履歴'!$E:$E,AH$1,'単価履歴'!$F:$F,$A23,'単価履歴'!$O:$O,
MAXIFS('単価履歴'!$O:$O,'単価履歴'!$E:$E,AH$1,'単価履歴'!$F:$F,$A23))=0,"",
MAXIFS('単価履歴'!$H:$H,'単価履歴'!$E:$E,AH$1,'単価履歴'!$F:$F,$A23,'単価履歴'!$O:$O,
MAXIFS('単価履歴'!$O:$O,'単価履歴'!$E:$E,AH$1,'単価履歴'!$F:$F,$A23)))</f>
        <v/>
      </c>
      <c r="AI23" s="251" t="str">
        <f>IF(MAXIFS('単価履歴'!$H:$H,'単価履歴'!$E:$E,AI$1,'単価履歴'!$F:$F,$A23,'単価履歴'!$O:$O,
MAXIFS('単価履歴'!$O:$O,'単価履歴'!$E:$E,AI$1,'単価履歴'!$F:$F,$A23))=0,"",
MAXIFS('単価履歴'!$H:$H,'単価履歴'!$E:$E,AI$1,'単価履歴'!$F:$F,$A23,'単価履歴'!$O:$O,
MAXIFS('単価履歴'!$O:$O,'単価履歴'!$E:$E,AI$1,'単価履歴'!$F:$F,$A23)))</f>
        <v/>
      </c>
      <c r="AJ23" s="249" t="str">
        <f>IF(MAXIFS('単価履歴'!$H:$H,'単価履歴'!$E:$E,AJ$1,'単価履歴'!$F:$F,$A23,'単価履歴'!$O:$O,
MAXIFS('単価履歴'!$O:$O,'単価履歴'!$E:$E,AJ$1,'単価履歴'!$F:$F,$A23))=0,"",
MAXIFS('単価履歴'!$H:$H,'単価履歴'!$E:$E,AJ$1,'単価履歴'!$F:$F,$A23,'単価履歴'!$O:$O,
MAXIFS('単価履歴'!$O:$O,'単価履歴'!$E:$E,AJ$1,'単価履歴'!$F:$F,$A23)))</f>
        <v/>
      </c>
      <c r="AK23" s="330">
        <f>IF(MAXIFS('単価履歴'!$H:$H,'単価履歴'!$E:$E,AK$1,'単価履歴'!$F:$F,$A23,'単価履歴'!$O:$O,
MAXIFS('単価履歴'!$O:$O,'単価履歴'!$E:$E,AK$1,'単価履歴'!$F:$F,$A23))=0,"",
MAXIFS('単価履歴'!$H:$H,'単価履歴'!$E:$E,AK$1,'単価履歴'!$F:$F,$A23,'単価履歴'!$O:$O,
MAXIFS('単価履歴'!$O:$O,'単価履歴'!$E:$E,AK$1,'単価履歴'!$F:$F,$A23)))</f>
        <v>48</v>
      </c>
      <c r="AL23" s="249" t="str">
        <f>IF(MAXIFS('単価履歴'!$H:$H,'単価履歴'!$E:$E,AL$1,'単価履歴'!$F:$F,$A23,'単価履歴'!$O:$O,
MAXIFS('単価履歴'!$O:$O,'単価履歴'!$E:$E,AL$1,'単価履歴'!$F:$F,$A23))=0,"",
MAXIFS('単価履歴'!$H:$H,'単価履歴'!$E:$E,AL$1,'単価履歴'!$F:$F,$A23,'単価履歴'!$O:$O,
MAXIFS('単価履歴'!$O:$O,'単価履歴'!$E:$E,AL$1,'単価履歴'!$F:$F,$A23)))</f>
        <v/>
      </c>
      <c r="AM23" s="251" t="str">
        <f>IF(MAXIFS('単価履歴'!$H:$H,'単価履歴'!$E:$E,AM$1,'単価履歴'!$F:$F,$A23,'単価履歴'!$O:$O,
MAXIFS('単価履歴'!$O:$O,'単価履歴'!$E:$E,AM$1,'単価履歴'!$F:$F,$A23))=0,"",
MAXIFS('単価履歴'!$H:$H,'単価履歴'!$E:$E,AM$1,'単価履歴'!$F:$F,$A23,'単価履歴'!$O:$O,
MAXIFS('単価履歴'!$O:$O,'単価履歴'!$E:$E,AM$1,'単価履歴'!$F:$F,$A23)))</f>
        <v/>
      </c>
      <c r="AN23" s="258">
        <f>IF(MAXIFS('単価履歴'!$H:$H,'単価履歴'!$E:$E,AN$1,'単価履歴'!$F:$F,$A23,'単価履歴'!$O:$O,
MAXIFS('単価履歴'!$O:$O,'単価履歴'!$E:$E,AN$1,'単価履歴'!$F:$F,$A23))=0,"",
MAXIFS('単価履歴'!$H:$H,'単価履歴'!$E:$E,AN$1,'単価履歴'!$F:$F,$A23,'単価履歴'!$O:$O,
MAXIFS('単価履歴'!$O:$O,'単価履歴'!$E:$E,AN$1,'単価履歴'!$F:$F,$A23)))</f>
        <v>51.5</v>
      </c>
      <c r="AO23" s="251">
        <f>IF(MAXIFS('単価履歴'!$H:$H,'単価履歴'!$E:$E,AO$1,'単価履歴'!$F:$F,$A23,'単価履歴'!$O:$O,
MAXIFS('単価履歴'!$O:$O,'単価履歴'!$E:$E,AO$1,'単価履歴'!$F:$F,$A23))=0,"",
MAXIFS('単価履歴'!$H:$H,'単価履歴'!$E:$E,AO$1,'単価履歴'!$F:$F,$A23,'単価履歴'!$O:$O,
MAXIFS('単価履歴'!$O:$O,'単価履歴'!$E:$E,AO$1,'単価履歴'!$F:$F,$A23)))</f>
        <v>2.5</v>
      </c>
      <c r="AP23" s="282"/>
      <c r="AQ23" s="246">
        <f>IF(MAXIFS('単価履歴'!$H:$H,'単価履歴'!$E:$E,AQ$1,'単価履歴'!$F:$F,$A23,'単価履歴'!$O:$O,
MAXIFS('単価履歴'!$O:$O,'単価履歴'!$E:$E,AQ$1,'単価履歴'!$F:$F,$A23))=0,"",
MAXIFS('単価履歴'!$H:$H,'単価履歴'!$E:$E,AQ$1,'単価履歴'!$F:$F,$A23,'単価履歴'!$O:$O,
MAXIFS('単価履歴'!$O:$O,'単価履歴'!$E:$E,AQ$1,'単価履歴'!$F:$F,$A23)))</f>
        <v>47.6</v>
      </c>
      <c r="AR23" s="282"/>
      <c r="AS23" s="246">
        <f>IF(MAXIFS('単価履歴'!$H:$H,'単価履歴'!$E:$E,AS$1,'単価履歴'!$F:$F,$A23,'単価履歴'!$O:$O,
MAXIFS('単価履歴'!$O:$O,'単価履歴'!$E:$E,AS$1,'単価履歴'!$F:$F,$A23))=0,"",
MAXIFS('単価履歴'!$H:$H,'単価履歴'!$E:$E,AS$1,'単価履歴'!$F:$F,$A23,'単価履歴'!$O:$O,
MAXIFS('単価履歴'!$O:$O,'単価履歴'!$E:$E,AS$1,'単価履歴'!$F:$F,$A23)))</f>
        <v>48.4</v>
      </c>
      <c r="AT23" s="331">
        <v>38.0</v>
      </c>
      <c r="AU23" s="249">
        <f>IF(MAXIFS('単価履歴'!$H:$H,'単価履歴'!$E:$E,AU$1,'単価履歴'!$F:$F,$A23,'単価履歴'!$O:$O,
MAXIFS('単価履歴'!$O:$O,'単価履歴'!$E:$E,AU$1,'単価履歴'!$F:$F,$A23))=0,"",
MAXIFS('単価履歴'!$H:$H,'単価履歴'!$E:$E,AU$1,'単価履歴'!$F:$F,$A23,'単価履歴'!$O:$O,
MAXIFS('単価履歴'!$O:$O,'単価履歴'!$E:$E,AU$1,'単価履歴'!$F:$F,$A23)))</f>
        <v>48.2</v>
      </c>
      <c r="AV23" s="249">
        <f>IF(MAXIFS('単価履歴'!$H:$H,'単価履歴'!$E:$E,AV$1,'単価履歴'!$F:$F,$A23,'単価履歴'!$O:$O,
MAXIFS('単価履歴'!$O:$O,'単価履歴'!$E:$E,AV$1,'単価履歴'!$F:$F,$A23))=0,"",
MAXIFS('単価履歴'!$H:$H,'単価履歴'!$E:$E,AV$1,'単価履歴'!$F:$F,$A23,'単価履歴'!$O:$O,
MAXIFS('単価履歴'!$O:$O,'単価履歴'!$E:$E,AV$1,'単価履歴'!$F:$F,$A23)))</f>
        <v>49</v>
      </c>
      <c r="AW23" s="248" t="str">
        <f>IF(MAXIFS('単価履歴'!$H:$H,'単価履歴'!$E:$E,AW$1,'単価履歴'!$F:$F,$A23,'単価履歴'!$O:$O,
MAXIFS('単価履歴'!$O:$O,'単価履歴'!$E:$E,AW$1,'単価履歴'!$F:$F,$A23))=0,"",
MAXIFS('単価履歴'!$H:$H,'単価履歴'!$E:$E,AW$1,'単価履歴'!$F:$F,$A23,'単価履歴'!$O:$O,
MAXIFS('単価履歴'!$O:$O,'単価履歴'!$E:$E,AW$1,'単価履歴'!$F:$F,$A23)))</f>
        <v/>
      </c>
      <c r="AX23" s="249" t="str">
        <f>IF(MAXIFS('単価履歴'!$H:$H,'単価履歴'!$E:$E,AX$1,'単価履歴'!$F:$F,$A23,'単価履歴'!$O:$O,
MAXIFS('単価履歴'!$O:$O,'単価履歴'!$E:$E,AX$1,'単価履歴'!$F:$F,$A23))=0,"",
MAXIFS('単価履歴'!$H:$H,'単価履歴'!$E:$E,AX$1,'単価履歴'!$F:$F,$A23,'単価履歴'!$O:$O,
MAXIFS('単価履歴'!$O:$O,'単価履歴'!$E:$E,AX$1,'単価履歴'!$F:$F,$A23)))</f>
        <v/>
      </c>
      <c r="AY23" s="247">
        <f>IF(MAXIFS('単価履歴'!$H:$H,'単価履歴'!$E:$E,AY$1,'単価履歴'!$F:$F,$A23,'単価履歴'!$O:$O,
MAXIFS('単価履歴'!$O:$O,'単価履歴'!$E:$E,AY$1,'単価履歴'!$F:$F,$A23))=0,"",
MAXIFS('単価履歴'!$H:$H,'単価履歴'!$E:$E,AY$1,'単価履歴'!$F:$F,$A23,'単価履歴'!$O:$O,
MAXIFS('単価履歴'!$O:$O,'単価履歴'!$E:$E,AY$1,'単価履歴'!$F:$F,$A23)))</f>
        <v>37</v>
      </c>
      <c r="AZ23" s="246">
        <f>IF(MAXIFS('単価履歴'!$H:$H,'単価履歴'!$E:$E,AZ$1,'単価履歴'!$F:$F,$A23,'単価履歴'!$O:$O,
MAXIFS('単価履歴'!$O:$O,'単価履歴'!$E:$E,AZ$1,'単価履歴'!$F:$F,$A23))=0,"",
MAXIFS('単価履歴'!$H:$H,'単価履歴'!$E:$E,AZ$1,'単価履歴'!$F:$F,$A23,'単価履歴'!$O:$O,
MAXIFS('単価履歴'!$O:$O,'単価履歴'!$E:$E,AZ$1,'単価履歴'!$F:$F,$A23)))</f>
        <v>37.5</v>
      </c>
      <c r="BA23" s="248" t="str">
        <f>IF(MAXIFS('単価履歴'!$H:$H,'単価履歴'!$E:$E,BA$1,'単価履歴'!$F:$F,$A23,'単価履歴'!$O:$O,
MAXIFS('単価履歴'!$O:$O,'単価履歴'!$E:$E,BA$1,'単価履歴'!$F:$F,$A23))=0,"",
MAXIFS('単価履歴'!$H:$H,'単価履歴'!$E:$E,BA$1,'単価履歴'!$F:$F,$A23,'単価履歴'!$O:$O,
MAXIFS('単価履歴'!$O:$O,'単価履歴'!$E:$E,BA$1,'単価履歴'!$F:$F,$A23)))</f>
        <v/>
      </c>
      <c r="BB23" s="249" t="str">
        <f>IF(MAXIFS('単価履歴'!$H:$H,'単価履歴'!$E:$E,BB$1,'単価履歴'!$F:$F,$A23,'単価履歴'!$O:$O,
MAXIFS('単価履歴'!$O:$O,'単価履歴'!$E:$E,BB$1,'単価履歴'!$F:$F,$A23))=0,"",
MAXIFS('単価履歴'!$H:$H,'単価履歴'!$E:$E,BB$1,'単価履歴'!$F:$F,$A23,'単価履歴'!$O:$O,
MAXIFS('単価履歴'!$O:$O,'単価履歴'!$E:$E,BB$1,'単価履歴'!$F:$F,$A23)))</f>
        <v/>
      </c>
      <c r="BC23" s="251" t="str">
        <f>IF(MAXIFS('単価履歴'!$H:$H,'単価履歴'!$E:$E,BC$1,'単価履歴'!$F:$F,$A23,'単価履歴'!$O:$O,
MAXIFS('単価履歴'!$O:$O,'単価履歴'!$E:$E,BC$1,'単価履歴'!$F:$F,$A23))=0,"",
MAXIFS('単価履歴'!$H:$H,'単価履歴'!$E:$E,BC$1,'単価履歴'!$F:$F,$A23,'単価履歴'!$O:$O,
MAXIFS('単価履歴'!$O:$O,'単価履歴'!$E:$E,BC$1,'単価履歴'!$F:$F,$A23)))</f>
        <v/>
      </c>
      <c r="BD23" s="248" t="str">
        <f>IF(MAXIFS('単価履歴'!$H:$H,'単価履歴'!$E:$E,BD$1,'単価履歴'!$F:$F,$A23,'単価履歴'!$O:$O,
MAXIFS('単価履歴'!$O:$O,'単価履歴'!$E:$E,BD$1,'単価履歴'!$F:$F,$A23))=0,"",
MAXIFS('単価履歴'!$H:$H,'単価履歴'!$E:$E,BD$1,'単価履歴'!$F:$F,$A23,'単価履歴'!$O:$O,
MAXIFS('単価履歴'!$O:$O,'単価履歴'!$E:$E,BD$1,'単価履歴'!$F:$F,$A23)))</f>
        <v/>
      </c>
      <c r="BE23" s="249" t="str">
        <f>IF(MAXIFS('単価履歴'!$H:$H,'単価履歴'!$E:$E,BE$1,'単価履歴'!$F:$F,$A23,'単価履歴'!$O:$O,
MAXIFS('単価履歴'!$O:$O,'単価履歴'!$E:$E,BE$1,'単価履歴'!$F:$F,$A23))=0,"",
MAXIFS('単価履歴'!$H:$H,'単価履歴'!$E:$E,BE$1,'単価履歴'!$F:$F,$A23,'単価履歴'!$O:$O,
MAXIFS('単価履歴'!$O:$O,'単価履歴'!$E:$E,BE$1,'単価履歴'!$F:$F,$A23)))</f>
        <v/>
      </c>
      <c r="BF23" s="248" t="str">
        <f>IF(MAXIFS('単価履歴'!$H:$H,'単価履歴'!$E:$E,BF$1,'単価履歴'!$F:$F,$A23,'単価履歴'!$O:$O,
MAXIFS('単価履歴'!$O:$O,'単価履歴'!$E:$E,BF$1,'単価履歴'!$F:$F,$A23))=0,"",
MAXIFS('単価履歴'!$H:$H,'単価履歴'!$E:$E,BF$1,'単価履歴'!$F:$F,$A23,'単価履歴'!$O:$O,
MAXIFS('単価履歴'!$O:$O,'単価履歴'!$E:$E,BF$1,'単価履歴'!$F:$F,$A23)))</f>
        <v/>
      </c>
      <c r="BG23" s="249" t="str">
        <f>IF(MAXIFS('単価履歴'!$H:$H,'単価履歴'!$E:$E,BG$1,'単価履歴'!$F:$F,$A23,'単価履歴'!$O:$O,
MAXIFS('単価履歴'!$O:$O,'単価履歴'!$E:$E,BG$1,'単価履歴'!$F:$F,$A23))=0,"",
MAXIFS('単価履歴'!$H:$H,'単価履歴'!$E:$E,BG$1,'単価履歴'!$F:$F,$A23,'単価履歴'!$O:$O,
MAXIFS('単価履歴'!$O:$O,'単価履歴'!$E:$E,BG$1,'単価履歴'!$F:$F,$A23)))</f>
        <v/>
      </c>
      <c r="BH23" s="249" t="str">
        <f>IF(MAXIFS('単価履歴'!$H:$H,'単価履歴'!$E:$E,BH$1,'単価履歴'!$F:$F,$A23,'単価履歴'!$O:$O,
MAXIFS('単価履歴'!$O:$O,'単価履歴'!$E:$E,BH$1,'単価履歴'!$F:$F,$A23))=0,"",
MAXIFS('単価履歴'!$H:$H,'単価履歴'!$E:$E,BH$1,'単価履歴'!$F:$F,$A23,'単価履歴'!$O:$O,
MAXIFS('単価履歴'!$O:$O,'単価履歴'!$E:$E,BH$1,'単価履歴'!$F:$F,$A23)))</f>
        <v/>
      </c>
      <c r="BI23" s="252" t="str">
        <f>IF(MAXIFS('単価履歴'!$H:$H,'単価履歴'!$E:$E,BI$1,'単価履歴'!$F:$F,$A23,'単価履歴'!$O:$O,
MAXIFS('単価履歴'!$O:$O,'単価履歴'!$E:$E,BI$1,'単価履歴'!$F:$F,$A23))=0,"",
MAXIFS('単価履歴'!$H:$H,'単価履歴'!$E:$E,BI$1,'単価履歴'!$F:$F,$A23,'単価履歴'!$O:$O,
MAXIFS('単価履歴'!$O:$O,'単価履歴'!$E:$E,BI$1,'単価履歴'!$F:$F,$A23)))</f>
        <v/>
      </c>
      <c r="BJ23" s="252" t="str">
        <f>IF(MAXIFS('単価履歴'!$H:$H,'単価履歴'!$E:$E,BJ$1,'単価履歴'!$F:$F,$A23,'単価履歴'!$O:$O,
MAXIFS('単価履歴'!$O:$O,'単価履歴'!$E:$E,BJ$1,'単価履歴'!$F:$F,$A23))=0,"",
MAXIFS('単価履歴'!$H:$H,'単価履歴'!$E:$E,BJ$1,'単価履歴'!$F:$F,$A23,'単価履歴'!$O:$O,
MAXIFS('単価履歴'!$O:$O,'単価履歴'!$E:$E,BJ$1,'単価履歴'!$F:$F,$A23)))</f>
        <v/>
      </c>
      <c r="BK23" s="252" t="str">
        <f>IF(MAXIFS('単価履歴'!$H:$H,'単価履歴'!$E:$E,BK$1,'単価履歴'!$F:$F,$A23,'単価履歴'!$O:$O,
MAXIFS('単価履歴'!$O:$O,'単価履歴'!$E:$E,BK$1,'単価履歴'!$F:$F,$A23))=0,"",
MAXIFS('単価履歴'!$H:$H,'単価履歴'!$E:$E,BK$1,'単価履歴'!$F:$F,$A23,'単価履歴'!$O:$O,
MAXIFS('単価履歴'!$O:$O,'単価履歴'!$E:$E,BK$1,'単価履歴'!$F:$F,$A23)))</f>
        <v/>
      </c>
      <c r="BL23" s="252" t="str">
        <f>IF(MAXIFS('単価履歴'!$H:$H,'単価履歴'!$E:$E,BL$1,'単価履歴'!$F:$F,$A23,'単価履歴'!$O:$O,
MAXIFS('単価履歴'!$O:$O,'単価履歴'!$E:$E,BL$1,'単価履歴'!$F:$F,$A23))=0,"",
MAXIFS('単価履歴'!$H:$H,'単価履歴'!$E:$E,BL$1,'単価履歴'!$F:$F,$A23,'単価履歴'!$O:$O,
MAXIFS('単価履歴'!$O:$O,'単価履歴'!$E:$E,BL$1,'単価履歴'!$F:$F,$A23)))</f>
        <v/>
      </c>
      <c r="BM23" s="252" t="str">
        <f>IF(MAXIFS('単価履歴'!$H:$H,'単価履歴'!$E:$E,BM$1,'単価履歴'!$F:$F,$A23,'単価履歴'!$O:$O,
MAXIFS('単価履歴'!$O:$O,'単価履歴'!$E:$E,BM$1,'単価履歴'!$F:$F,$A23))=0,"",
MAXIFS('単価履歴'!$H:$H,'単価履歴'!$E:$E,BM$1,'単価履歴'!$F:$F,$A23,'単価履歴'!$O:$O,
MAXIFS('単価履歴'!$O:$O,'単価履歴'!$E:$E,BM$1,'単価履歴'!$F:$F,$A23)))</f>
        <v/>
      </c>
      <c r="BN23" s="248" t="str">
        <f>IF(MAXIFS('単価履歴'!$H:$H,'単価履歴'!$E:$E,BN$1,'単価履歴'!$F:$F,$A23,'単価履歴'!$O:$O,
MAXIFS('単価履歴'!$O:$O,'単価履歴'!$E:$E,BN$1,'単価履歴'!$F:$F,$A23))=0,"",
MAXIFS('単価履歴'!$H:$H,'単価履歴'!$E:$E,BN$1,'単価履歴'!$F:$F,$A23,'単価履歴'!$O:$O,
MAXIFS('単価履歴'!$O:$O,'単価履歴'!$E:$E,BN$1,'単価履歴'!$F:$F,$A23)))</f>
        <v/>
      </c>
      <c r="BO23" s="249" t="str">
        <f>IF(MAXIFS('単価履歴'!$H:$H,'単価履歴'!$E:$E,BO$1,'単価履歴'!$F:$F,$A23,'単価履歴'!$O:$O,
MAXIFS('単価履歴'!$O:$O,'単価履歴'!$E:$E,BO$1,'単価履歴'!$F:$F,$A23))=0,"",
MAXIFS('単価履歴'!$H:$H,'単価履歴'!$E:$E,BO$1,'単価履歴'!$F:$F,$A23,'単価履歴'!$O:$O,
MAXIFS('単価履歴'!$O:$O,'単価履歴'!$E:$E,BO$1,'単価履歴'!$F:$F,$A23)))</f>
        <v/>
      </c>
      <c r="BP23" s="252" t="str">
        <f>IF(MAXIFS('単価履歴'!$H:$H,'単価履歴'!$E:$E,BP$1,'単価履歴'!$F:$F,$A23,'単価履歴'!$O:$O,
MAXIFS('単価履歴'!$O:$O,'単価履歴'!$E:$E,BP$1,'単価履歴'!$F:$F,$A23))=0,"",
MAXIFS('単価履歴'!$H:$H,'単価履歴'!$E:$E,BP$1,'単価履歴'!$F:$F,$A23,'単価履歴'!$O:$O,
MAXIFS('単価履歴'!$O:$O,'単価履歴'!$E:$E,BP$1,'単価履歴'!$F:$F,$A23)))</f>
        <v/>
      </c>
      <c r="BQ23" s="249"/>
      <c r="BR23" s="249"/>
      <c r="BS23" s="249"/>
      <c r="BT23" s="249"/>
      <c r="BU23" s="249"/>
      <c r="BV23" s="249"/>
      <c r="BW23" s="249"/>
      <c r="BX23" s="249"/>
    </row>
    <row r="24">
      <c r="A24" s="261" t="s">
        <v>576</v>
      </c>
      <c r="B24" s="246" t="str">
        <f>IF(MAXIFS('単価履歴'!$H:$H,'単価履歴'!$E:$E,B$1,'単価履歴'!$F:$F,$A24,'単価履歴'!$O:$O,
MAXIFS('単価履歴'!$O:$O,'単価履歴'!$E:$E,B$1,'単価履歴'!$F:$F,$A24))=0,"",
MAXIFS('単価履歴'!$H:$H,'単価履歴'!$E:$E,B$1,'単価履歴'!$F:$F,$A24,'単価履歴'!$O:$O,
MAXIFS('単価履歴'!$O:$O,'単価履歴'!$E:$E,B$1,'単価履歴'!$F:$F,$A24)))</f>
        <v/>
      </c>
      <c r="C24" s="254" t="str">
        <f>IF(MAXIFS('単価履歴'!$H:$H,'単価履歴'!$E:$E,C$1,'単価履歴'!$F:$F,$A24,'単価履歴'!$O:$O,
MAXIFS('単価履歴'!$O:$O,'単価履歴'!$E:$E,C$1,'単価履歴'!$F:$F,$A24))=0,"",
MAXIFS('単価履歴'!$H:$H,'単価履歴'!$E:$E,C$1,'単価履歴'!$F:$F,$A24,'単価履歴'!$O:$O,
MAXIFS('単価履歴'!$O:$O,'単価履歴'!$E:$E,C$1,'単価履歴'!$F:$F,$A24)))</f>
        <v/>
      </c>
      <c r="D24" s="256" t="str">
        <f>IF(MAXIFS('単価履歴'!$H:$H,'単価履歴'!$E:$E,D$1,'単価履歴'!$F:$F,$A24,'単価履歴'!$O:$O,
MAXIFS('単価履歴'!$O:$O,'単価履歴'!$E:$E,D$1,'単価履歴'!$F:$F,$A24))=0,"",
MAXIFS('単価履歴'!$H:$H,'単価履歴'!$E:$E,D$1,'単価履歴'!$F:$F,$A24,'単価履歴'!$O:$O,
MAXIFS('単価履歴'!$O:$O,'単価履歴'!$E:$E,D$1,'単価履歴'!$F:$F,$A24)))</f>
        <v/>
      </c>
      <c r="E24" s="256" t="str">
        <f>IF(MAXIFS('単価履歴'!$H:$H,'単価履歴'!$E:$E,E$1,'単価履歴'!$F:$F,$A24,'単価履歴'!$O:$O,
MAXIFS('単価履歴'!$O:$O,'単価履歴'!$E:$E,E$1,'単価履歴'!$F:$F,$A24))=0,"",
MAXIFS('単価履歴'!$H:$H,'単価履歴'!$E:$E,E$1,'単価履歴'!$F:$F,$A24,'単価履歴'!$O:$O,
MAXIFS('単価履歴'!$O:$O,'単価履歴'!$E:$E,E$1,'単価履歴'!$F:$F,$A24)))</f>
        <v/>
      </c>
      <c r="F24" s="256" t="str">
        <f>IF(MAXIFS('単価履歴'!$H:$H,'単価履歴'!$E:$E,F$1,'単価履歴'!$F:$F,$A24,'単価履歴'!$O:$O,
MAXIFS('単価履歴'!$O:$O,'単価履歴'!$E:$E,F$1,'単価履歴'!$F:$F,$A24))=0,"",
MAXIFS('単価履歴'!$H:$H,'単価履歴'!$E:$E,F$1,'単価履歴'!$F:$F,$A24,'単価履歴'!$O:$O,
MAXIFS('単価履歴'!$O:$O,'単価履歴'!$E:$E,F$1,'単価履歴'!$F:$F,$A24)))</f>
        <v/>
      </c>
      <c r="G24" s="263" t="str">
        <f>IF(MAXIFS('単価履歴'!$H:$H,'単価履歴'!$E:$E,G$1,'単価履歴'!$F:$F,$A24,'単価履歴'!$O:$O,
MAXIFS('単価履歴'!$O:$O,'単価履歴'!$E:$E,G$1,'単価履歴'!$F:$F,$A24))=0,"",
MAXIFS('単価履歴'!$H:$H,'単価履歴'!$E:$E,G$1,'単価履歴'!$F:$F,$A24,'単価履歴'!$O:$O,
MAXIFS('単価履歴'!$O:$O,'単価履歴'!$E:$E,G$1,'単価履歴'!$F:$F,$A24)))</f>
        <v/>
      </c>
      <c r="H24" s="250">
        <f>IF(MAXIFS('単価履歴'!$H:$H,'単価履歴'!$E:$E,H$1,'単価履歴'!$F:$F,$A24,'単価履歴'!$O:$O,
MAXIFS('単価履歴'!$O:$O,'単価履歴'!$E:$E,H$1,'単価履歴'!$F:$F,$A24))=0,"",
MAXIFS('単価履歴'!$H:$H,'単価履歴'!$E:$E,H$1,'単価履歴'!$F:$F,$A24,'単価履歴'!$O:$O,
MAXIFS('単価履歴'!$O:$O,'単価履歴'!$E:$E,H$1,'単価履歴'!$F:$F,$A24)))</f>
        <v>43.8</v>
      </c>
      <c r="I24" s="256">
        <f>IF(MAXIFS('単価履歴'!$H:$H,'単価履歴'!$E:$E,I$1,'単価履歴'!$F:$F,$A24,'単価履歴'!$O:$O,
MAXIFS('単価履歴'!$O:$O,'単価履歴'!$E:$E,I$1,'単価履歴'!$F:$F,$A24))=0,"",
MAXIFS('単価履歴'!$H:$H,'単価履歴'!$E:$E,I$1,'単価履歴'!$F:$F,$A24,'単価履歴'!$O:$O,
MAXIFS('単価履歴'!$O:$O,'単価履歴'!$E:$E,I$1,'単価履歴'!$F:$F,$A24)))</f>
        <v>2</v>
      </c>
      <c r="J24" s="263" t="str">
        <f>IF(MAXIFS('単価履歴'!$H:$H,'単価履歴'!$E:$E,J$1,'単価履歴'!$F:$F,$A24,'単価履歴'!$O:$O,
MAXIFS('単価履歴'!$O:$O,'単価履歴'!$E:$E,J$1,'単価履歴'!$F:$F,$A24))=0,"",
MAXIFS('単価履歴'!$H:$H,'単価履歴'!$E:$E,J$1,'単価履歴'!$F:$F,$A24,'単価履歴'!$O:$O,
MAXIFS('単価履歴'!$O:$O,'単価履歴'!$E:$E,J$1,'単価履歴'!$F:$F,$A24)))</f>
        <v/>
      </c>
      <c r="K24" s="275">
        <v>29.0</v>
      </c>
      <c r="L24" s="275">
        <v>28.7</v>
      </c>
      <c r="M24" s="256"/>
      <c r="N24" s="256"/>
      <c r="O24" s="254" t="str">
        <f>IF(MAXIFS('単価履歴'!$H:$H,'単価履歴'!$E:$E,O$1,'単価履歴'!$F:$F,$A24,'単価履歴'!$O:$O,
MAXIFS('単価履歴'!$O:$O,'単価履歴'!$E:$E,O$1,'単価履歴'!$F:$F,$A24))=0,"",
MAXIFS('単価履歴'!$H:$H,'単価履歴'!$E:$E,O$1,'単価履歴'!$F:$F,$A24,'単価履歴'!$O:$O,
MAXIFS('単価履歴'!$O:$O,'単価履歴'!$E:$E,O$1,'単価履歴'!$F:$F,$A24)))</f>
        <v/>
      </c>
      <c r="P24" s="264" t="str">
        <f>IF(MAXIFS('単価履歴'!$H:$H,'単価履歴'!$E:$E,P$1,'単価履歴'!$F:$F,$A24,'単価履歴'!$O:$O,
MAXIFS('単価履歴'!$O:$O,'単価履歴'!$E:$E,P$1,'単価履歴'!$F:$F,$A24))=0,"",
MAXIFS('単価履歴'!$H:$H,'単価履歴'!$E:$E,P$1,'単価履歴'!$F:$F,$A24,'単価履歴'!$O:$O,
MAXIFS('単価履歴'!$O:$O,'単価履歴'!$E:$E,P$1,'単価履歴'!$F:$F,$A24)))</f>
        <v/>
      </c>
      <c r="Q24" s="263" t="str">
        <f>IF(MAXIFS('単価履歴'!$H:$H,'単価履歴'!$E:$E,Q$1,'単価履歴'!$F:$F,$A24,'単価履歴'!$O:$O,
MAXIFS('単価履歴'!$O:$O,'単価履歴'!$E:$E,Q$1,'単価履歴'!$F:$F,$A24))=0,"",
MAXIFS('単価履歴'!$H:$H,'単価履歴'!$E:$E,Q$1,'単価履歴'!$F:$F,$A24,'単価履歴'!$O:$O,
MAXIFS('単価履歴'!$O:$O,'単価履歴'!$E:$E,Q$1,'単価履歴'!$F:$F,$A24)))</f>
        <v/>
      </c>
      <c r="R24" s="264" t="str">
        <f>IF(MAXIFS('単価履歴'!$H:$H,'単価履歴'!$E:$E,R$1,'単価履歴'!$F:$F,$A24,'単価履歴'!$O:$O,
MAXIFS('単価履歴'!$O:$O,'単価履歴'!$E:$E,R$1,'単価履歴'!$F:$F,$A24))=0,"",
MAXIFS('単価履歴'!$H:$H,'単価履歴'!$E:$E,R$1,'単価履歴'!$F:$F,$A24,'単価履歴'!$O:$O,
MAXIFS('単価履歴'!$O:$O,'単価履歴'!$E:$E,R$1,'単価履歴'!$F:$F,$A24)))</f>
        <v/>
      </c>
      <c r="S24" s="254" t="str">
        <f>IF(MAXIFS('単価履歴'!$H:$H,'単価履歴'!$E:$E,S$1,'単価履歴'!$F:$F,$A24,'単価履歴'!$O:$O,
MAXIFS('単価履歴'!$O:$O,'単価履歴'!$E:$E,S$1,'単価履歴'!$F:$F,$A24))=0,"",
MAXIFS('単価履歴'!$H:$H,'単価履歴'!$E:$E,S$1,'単価履歴'!$F:$F,$A24,'単価履歴'!$O:$O,
MAXIFS('単価履歴'!$O:$O,'単価履歴'!$E:$E,S$1,'単価履歴'!$F:$F,$A24)))</f>
        <v/>
      </c>
      <c r="T24" s="256" t="str">
        <f>IF(MAXIFS('単価履歴'!$H:$H,'単価履歴'!$E:$E,T$1,'単価履歴'!$F:$F,$A24,'単価履歴'!$O:$O,
MAXIFS('単価履歴'!$O:$O,'単価履歴'!$E:$E,T$1,'単価履歴'!$F:$F,$A24))=0,"",
MAXIFS('単価履歴'!$H:$H,'単価履歴'!$E:$E,T$1,'単価履歴'!$F:$F,$A24,'単価履歴'!$O:$O,
MAXIFS('単価履歴'!$O:$O,'単価履歴'!$E:$E,T$1,'単価履歴'!$F:$F,$A24)))</f>
        <v/>
      </c>
      <c r="U24" s="256" t="str">
        <f>IF(MAXIFS('単価履歴'!$H:$H,'単価履歴'!$E:$E,U$1,'単価履歴'!$F:$F,$A24,'単価履歴'!$O:$O,
MAXIFS('単価履歴'!$O:$O,'単価履歴'!$E:$E,U$1,'単価履歴'!$F:$F,$A24))=0,"",
MAXIFS('単価履歴'!$H:$H,'単価履歴'!$E:$E,U$1,'単価履歴'!$F:$F,$A24,'単価履歴'!$O:$O,
MAXIFS('単価履歴'!$O:$O,'単価履歴'!$E:$E,U$1,'単価履歴'!$F:$F,$A24)))</f>
        <v/>
      </c>
      <c r="V24" s="254" t="str">
        <f>IF(MAXIFS('単価履歴'!$H:$H,'単価履歴'!$E:$E,V$1,'単価履歴'!$F:$F,$A24,'単価履歴'!$O:$O,
MAXIFS('単価履歴'!$O:$O,'単価履歴'!$E:$E,V$1,'単価履歴'!$F:$F,$A24))=0,"",
MAXIFS('単価履歴'!$H:$H,'単価履歴'!$E:$E,V$1,'単価履歴'!$F:$F,$A24,'単価履歴'!$O:$O,
MAXIFS('単価履歴'!$O:$O,'単価履歴'!$E:$E,V$1,'単価履歴'!$F:$F,$A24)))</f>
        <v/>
      </c>
      <c r="W24" s="264" t="str">
        <f>IF(MAXIFS('単価履歴'!$H:$H,'単価履歴'!$E:$E,W$1,'単価履歴'!$F:$F,$A24,'単価履歴'!$O:$O,
MAXIFS('単価履歴'!$O:$O,'単価履歴'!$E:$E,W$1,'単価履歴'!$F:$F,$A24))=0,"",
MAXIFS('単価履歴'!$H:$H,'単価履歴'!$E:$E,W$1,'単価履歴'!$F:$F,$A24,'単価履歴'!$O:$O,
MAXIFS('単価履歴'!$O:$O,'単価履歴'!$E:$E,W$1,'単価履歴'!$F:$F,$A24)))</f>
        <v/>
      </c>
      <c r="X24" s="256" t="str">
        <f>IF(MAXIFS('単価履歴'!$H:$H,'単価履歴'!$E:$E,X$1,'単価履歴'!$F:$F,$A24,'単価履歴'!$O:$O,
MAXIFS('単価履歴'!$O:$O,'単価履歴'!$E:$E,X$1,'単価履歴'!$F:$F,$A24))=0,"",
MAXIFS('単価履歴'!$H:$H,'単価履歴'!$E:$E,X$1,'単価履歴'!$F:$F,$A24,'単価履歴'!$O:$O,
MAXIFS('単価履歴'!$O:$O,'単価履歴'!$E:$E,X$1,'単価履歴'!$F:$F,$A24)))</f>
        <v/>
      </c>
      <c r="Y24" s="254" t="str">
        <f>IF(MAXIFS('単価履歴'!$H:$H,'単価履歴'!$E:$E,Y$1,'単価履歴'!$F:$F,$A24,'単価履歴'!$O:$O,
MAXIFS('単価履歴'!$O:$O,'単価履歴'!$E:$E,Y$1,'単価履歴'!$F:$F,$A24))=0,"",
MAXIFS('単価履歴'!$H:$H,'単価履歴'!$E:$E,Y$1,'単価履歴'!$F:$F,$A24,'単価履歴'!$O:$O,
MAXIFS('単価履歴'!$O:$O,'単価履歴'!$E:$E,Y$1,'単価履歴'!$F:$F,$A24)))</f>
        <v/>
      </c>
      <c r="Z24" s="256" t="str">
        <f>IF(MAXIFS('単価履歴'!$H:$H,'単価履歴'!$E:$E,Z$1,'単価履歴'!$F:$F,$A24,'単価履歴'!$O:$O,
MAXIFS('単価履歴'!$O:$O,'単価履歴'!$E:$E,Z$1,'単価履歴'!$F:$F,$A24))=0,"",
MAXIFS('単価履歴'!$H:$H,'単価履歴'!$E:$E,Z$1,'単価履歴'!$F:$F,$A24,'単価履歴'!$O:$O,
MAXIFS('単価履歴'!$O:$O,'単価履歴'!$E:$E,Z$1,'単価履歴'!$F:$F,$A24)))</f>
        <v/>
      </c>
      <c r="AA24" s="254" t="str">
        <f>IF(MAXIFS('単価履歴'!$H:$H,'単価履歴'!$E:$E,AA$1,'単価履歴'!$F:$F,$A24,'単価履歴'!$O:$O,
MAXIFS('単価履歴'!$O:$O,'単価履歴'!$E:$E,AA$1,'単価履歴'!$F:$F,$A24))=0,"",
MAXIFS('単価履歴'!$H:$H,'単価履歴'!$E:$E,AA$1,'単価履歴'!$F:$F,$A24,'単価履歴'!$O:$O,
MAXIFS('単価履歴'!$O:$O,'単価履歴'!$E:$E,AA$1,'単価履歴'!$F:$F,$A24)))</f>
        <v/>
      </c>
      <c r="AB24" s="264" t="str">
        <f>IF(MAXIFS('単価履歴'!$H:$H,'単価履歴'!$E:$E,AB$1,'単価履歴'!$F:$F,$A24,'単価履歴'!$O:$O,
MAXIFS('単価履歴'!$O:$O,'単価履歴'!$E:$E,AB$1,'単価履歴'!$F:$F,$A24))=0,"",
MAXIFS('単価履歴'!$H:$H,'単価履歴'!$E:$E,AB$1,'単価履歴'!$F:$F,$A24,'単価履歴'!$O:$O,
MAXIFS('単価履歴'!$O:$O,'単価履歴'!$E:$E,AB$1,'単価履歴'!$F:$F,$A24)))</f>
        <v/>
      </c>
      <c r="AC24" s="256" t="str">
        <f>IF(MAXIFS('単価履歴'!$H:$H,'単価履歴'!$E:$E,AC$1,'単価履歴'!$F:$F,$A24,'単価履歴'!$O:$O,
MAXIFS('単価履歴'!$O:$O,'単価履歴'!$E:$E,AC$1,'単価履歴'!$F:$F,$A24))=0,"",
MAXIFS('単価履歴'!$H:$H,'単価履歴'!$E:$E,AC$1,'単価履歴'!$F:$F,$A24,'単価履歴'!$O:$O,
MAXIFS('単価履歴'!$O:$O,'単価履歴'!$E:$E,AC$1,'単価履歴'!$F:$F,$A24)))</f>
        <v/>
      </c>
      <c r="AD24" s="254" t="str">
        <f>IF(MAXIFS('単価履歴'!$H:$H,'単価履歴'!$E:$E,AD$1,'単価履歴'!$F:$F,$A24,'単価履歴'!$O:$O,
MAXIFS('単価履歴'!$O:$O,'単価履歴'!$E:$E,AD$1,'単価履歴'!$F:$F,$A24))=0,"",
MAXIFS('単価履歴'!$H:$H,'単価履歴'!$E:$E,AD$1,'単価履歴'!$F:$F,$A24,'単価履歴'!$O:$O,
MAXIFS('単価履歴'!$O:$O,'単価履歴'!$E:$E,AD$1,'単価履歴'!$F:$F,$A24)))</f>
        <v/>
      </c>
      <c r="AE24" s="264" t="str">
        <f>IF(MAXIFS('単価履歴'!$H:$H,'単価履歴'!$E:$E,AE$1,'単価履歴'!$F:$F,$A24,'単価履歴'!$O:$O,
MAXIFS('単価履歴'!$O:$O,'単価履歴'!$E:$E,AE$1,'単価履歴'!$F:$F,$A24))=0,"",
MAXIFS('単価履歴'!$H:$H,'単価履歴'!$E:$E,AE$1,'単価履歴'!$F:$F,$A24,'単価履歴'!$O:$O,
MAXIFS('単価履歴'!$O:$O,'単価履歴'!$E:$E,AE$1,'単価履歴'!$F:$F,$A24)))</f>
        <v/>
      </c>
      <c r="AF24" s="256" t="str">
        <f>IF(MAXIFS('単価履歴'!$H:$H,'単価履歴'!$E:$E,AF$1,'単価履歴'!$F:$F,$A24,'単価履歴'!$O:$O,
MAXIFS('単価履歴'!$O:$O,'単価履歴'!$E:$E,AF$1,'単価履歴'!$F:$F,$A24))=0,"",
MAXIFS('単価履歴'!$H:$H,'単価履歴'!$E:$E,AF$1,'単価履歴'!$F:$F,$A24,'単価履歴'!$O:$O,
MAXIFS('単価履歴'!$O:$O,'単価履歴'!$E:$E,AF$1,'単価履歴'!$F:$F,$A24)))</f>
        <v/>
      </c>
      <c r="AG24" s="263" t="str">
        <f>IF(MAXIFS('単価履歴'!$H:$H,'単価履歴'!$E:$E,AG$1,'単価履歴'!$F:$F,$A24,'単価履歴'!$O:$O,
MAXIFS('単価履歴'!$O:$O,'単価履歴'!$E:$E,AG$1,'単価履歴'!$F:$F,$A24))=0,"",
MAXIFS('単価履歴'!$H:$H,'単価履歴'!$E:$E,AG$1,'単価履歴'!$F:$F,$A24,'単価履歴'!$O:$O,
MAXIFS('単価履歴'!$O:$O,'単価履歴'!$E:$E,AG$1,'単価履歴'!$F:$F,$A24)))</f>
        <v/>
      </c>
      <c r="AH24" s="256" t="str">
        <f>IF(MAXIFS('単価履歴'!$H:$H,'単価履歴'!$E:$E,AH$1,'単価履歴'!$F:$F,$A24,'単価履歴'!$O:$O,
MAXIFS('単価履歴'!$O:$O,'単価履歴'!$E:$E,AH$1,'単価履歴'!$F:$F,$A24))=0,"",
MAXIFS('単価履歴'!$H:$H,'単価履歴'!$E:$E,AH$1,'単価履歴'!$F:$F,$A24,'単価履歴'!$O:$O,
MAXIFS('単価履歴'!$O:$O,'単価履歴'!$E:$E,AH$1,'単価履歴'!$F:$F,$A24)))</f>
        <v/>
      </c>
      <c r="AI24" s="254" t="str">
        <f>IF(MAXIFS('単価履歴'!$H:$H,'単価履歴'!$E:$E,AI$1,'単価履歴'!$F:$F,$A24,'単価履歴'!$O:$O,
MAXIFS('単価履歴'!$O:$O,'単価履歴'!$E:$E,AI$1,'単価履歴'!$F:$F,$A24))=0,"",
MAXIFS('単価履歴'!$H:$H,'単価履歴'!$E:$E,AI$1,'単価履歴'!$F:$F,$A24,'単価履歴'!$O:$O,
MAXIFS('単価履歴'!$O:$O,'単価履歴'!$E:$E,AI$1,'単価履歴'!$F:$F,$A24)))</f>
        <v/>
      </c>
      <c r="AJ24" s="256" t="str">
        <f>IF(MAXIFS('単価履歴'!$H:$H,'単価履歴'!$E:$E,AJ$1,'単価履歴'!$F:$F,$A24,'単価履歴'!$O:$O,
MAXIFS('単価履歴'!$O:$O,'単価履歴'!$E:$E,AJ$1,'単価履歴'!$F:$F,$A24))=0,"",
MAXIFS('単価履歴'!$H:$H,'単価履歴'!$E:$E,AJ$1,'単価履歴'!$F:$F,$A24,'単価履歴'!$O:$O,
MAXIFS('単価履歴'!$O:$O,'単価履歴'!$E:$E,AJ$1,'単価履歴'!$F:$F,$A24)))</f>
        <v/>
      </c>
      <c r="AK24" s="254" t="str">
        <f>IF(MAXIFS('単価履歴'!$H:$H,'単価履歴'!$E:$E,AK$1,'単価履歴'!$F:$F,$A24,'単価履歴'!$O:$O,
MAXIFS('単価履歴'!$O:$O,'単価履歴'!$E:$E,AK$1,'単価履歴'!$F:$F,$A24))=0,"",
MAXIFS('単価履歴'!$H:$H,'単価履歴'!$E:$E,AK$1,'単価履歴'!$F:$F,$A24,'単価履歴'!$O:$O,
MAXIFS('単価履歴'!$O:$O,'単価履歴'!$E:$E,AK$1,'単価履歴'!$F:$F,$A24)))</f>
        <v/>
      </c>
      <c r="AL24" s="256" t="str">
        <f>IF(MAXIFS('単価履歴'!$H:$H,'単価履歴'!$E:$E,AL$1,'単価履歴'!$F:$F,$A24,'単価履歴'!$O:$O,
MAXIFS('単価履歴'!$O:$O,'単価履歴'!$E:$E,AL$1,'単価履歴'!$F:$F,$A24))=0,"",
MAXIFS('単価履歴'!$H:$H,'単価履歴'!$E:$E,AL$1,'単価履歴'!$F:$F,$A24,'単価履歴'!$O:$O,
MAXIFS('単価履歴'!$O:$O,'単価履歴'!$E:$E,AL$1,'単価履歴'!$F:$F,$A24)))</f>
        <v/>
      </c>
      <c r="AM24" s="254" t="str">
        <f>IF(MAXIFS('単価履歴'!$H:$H,'単価履歴'!$E:$E,AM$1,'単価履歴'!$F:$F,$A24,'単価履歴'!$O:$O,
MAXIFS('単価履歴'!$O:$O,'単価履歴'!$E:$E,AM$1,'単価履歴'!$F:$F,$A24))=0,"",
MAXIFS('単価履歴'!$H:$H,'単価履歴'!$E:$E,AM$1,'単価履歴'!$F:$F,$A24,'単価履歴'!$O:$O,
MAXIFS('単価履歴'!$O:$O,'単価履歴'!$E:$E,AM$1,'単価履歴'!$F:$F,$A24)))</f>
        <v/>
      </c>
      <c r="AN24" s="264" t="str">
        <f>IF(MAXIFS('単価履歴'!$H:$H,'単価履歴'!$E:$E,AN$1,'単価履歴'!$F:$F,$A24,'単価履歴'!$O:$O,
MAXIFS('単価履歴'!$O:$O,'単価履歴'!$E:$E,AN$1,'単価履歴'!$F:$F,$A24))=0,"",
MAXIFS('単価履歴'!$H:$H,'単価履歴'!$E:$E,AN$1,'単価履歴'!$F:$F,$A24,'単価履歴'!$O:$O,
MAXIFS('単価履歴'!$O:$O,'単価履歴'!$E:$E,AN$1,'単価履歴'!$F:$F,$A24)))</f>
        <v/>
      </c>
      <c r="AO24" s="254" t="str">
        <f>IF(MAXIFS('単価履歴'!$H:$H,'単価履歴'!$E:$E,AO$1,'単価履歴'!$F:$F,$A24,'単価履歴'!$O:$O,
MAXIFS('単価履歴'!$O:$O,'単価履歴'!$E:$E,AO$1,'単価履歴'!$F:$F,$A24))=0,"",
MAXIFS('単価履歴'!$H:$H,'単価履歴'!$E:$E,AO$1,'単価履歴'!$F:$F,$A24,'単価履歴'!$O:$O,
MAXIFS('単価履歴'!$O:$O,'単価履歴'!$E:$E,AO$1,'単価履歴'!$F:$F,$A24)))</f>
        <v/>
      </c>
      <c r="AP24" s="264" t="str">
        <f>IF(MAXIFS('単価履歴'!$H:$H,'単価履歴'!$E:$E,AP$1,'単価履歴'!$F:$F,$A24,'単価履歴'!$O:$O,
MAXIFS('単価履歴'!$O:$O,'単価履歴'!$E:$E,AP$1,'単価履歴'!$F:$F,$A24))=0,"",
MAXIFS('単価履歴'!$H:$H,'単価履歴'!$E:$E,AP$1,'単価履歴'!$F:$F,$A24,'単価履歴'!$O:$O,
MAXIFS('単価履歴'!$O:$O,'単価履歴'!$E:$E,AP$1,'単価履歴'!$F:$F,$A24)))</f>
        <v/>
      </c>
      <c r="AQ24" s="256" t="str">
        <f>IF(MAXIFS('単価履歴'!$H:$H,'単価履歴'!$E:$E,AQ$1,'単価履歴'!$F:$F,$A24,'単価履歴'!$O:$O,
MAXIFS('単価履歴'!$O:$O,'単価履歴'!$E:$E,AQ$1,'単価履歴'!$F:$F,$A24))=0,"",
MAXIFS('単価履歴'!$H:$H,'単価履歴'!$E:$E,AQ$1,'単価履歴'!$F:$F,$A24,'単価履歴'!$O:$O,
MAXIFS('単価履歴'!$O:$O,'単価履歴'!$E:$E,AQ$1,'単価履歴'!$F:$F,$A24)))</f>
        <v/>
      </c>
      <c r="AR24" s="264" t="str">
        <f>IF(MAXIFS('単価履歴'!$H:$H,'単価履歴'!$E:$E,AR$1,'単価履歴'!$F:$F,$A24,'単価履歴'!$O:$O,
MAXIFS('単価履歴'!$O:$O,'単価履歴'!$E:$E,AR$1,'単価履歴'!$F:$F,$A24))=0,"",
MAXIFS('単価履歴'!$H:$H,'単価履歴'!$E:$E,AR$1,'単価履歴'!$F:$F,$A24,'単価履歴'!$O:$O,
MAXIFS('単価履歴'!$O:$O,'単価履歴'!$E:$E,AR$1,'単価履歴'!$F:$F,$A24)))</f>
        <v/>
      </c>
      <c r="AS24" s="256" t="str">
        <f>IF(MAXIFS('単価履歴'!$H:$H,'単価履歴'!$E:$E,AS$1,'単価履歴'!$F:$F,$A24,'単価履歴'!$O:$O,
MAXIFS('単価履歴'!$O:$O,'単価履歴'!$E:$E,AS$1,'単価履歴'!$F:$F,$A24))=0,"",
MAXIFS('単価履歴'!$H:$H,'単価履歴'!$E:$E,AS$1,'単価履歴'!$F:$F,$A24,'単価履歴'!$O:$O,
MAXIFS('単価履歴'!$O:$O,'単価履歴'!$E:$E,AS$1,'単価履歴'!$F:$F,$A24)))</f>
        <v/>
      </c>
      <c r="AT24" s="256" t="str">
        <f>IF(MAXIFS('単価履歴'!$H:$H,'単価履歴'!$E:$E,AT$1,'単価履歴'!$F:$F,$A24,'単価履歴'!$O:$O,
MAXIFS('単価履歴'!$O:$O,'単価履歴'!$E:$E,AT$1,'単価履歴'!$F:$F,$A24))=0,"",
MAXIFS('単価履歴'!$H:$H,'単価履歴'!$E:$E,AT$1,'単価履歴'!$F:$F,$A24,'単価履歴'!$O:$O,
MAXIFS('単価履歴'!$O:$O,'単価履歴'!$E:$E,AT$1,'単価履歴'!$F:$F,$A24)))</f>
        <v/>
      </c>
      <c r="AU24" s="256" t="str">
        <f>IF(MAXIFS('単価履歴'!$H:$H,'単価履歴'!$E:$E,AU$1,'単価履歴'!$F:$F,$A24,'単価履歴'!$O:$O,
MAXIFS('単価履歴'!$O:$O,'単価履歴'!$E:$E,AU$1,'単価履歴'!$F:$F,$A24))=0,"",
MAXIFS('単価履歴'!$H:$H,'単価履歴'!$E:$E,AU$1,'単価履歴'!$F:$F,$A24,'単価履歴'!$O:$O,
MAXIFS('単価履歴'!$O:$O,'単価履歴'!$E:$E,AU$1,'単価履歴'!$F:$F,$A24)))</f>
        <v/>
      </c>
      <c r="AV24" s="256" t="str">
        <f>IF(MAXIFS('単価履歴'!$H:$H,'単価履歴'!$E:$E,AV$1,'単価履歴'!$F:$F,$A24,'単価履歴'!$O:$O,
MAXIFS('単価履歴'!$O:$O,'単価履歴'!$E:$E,AV$1,'単価履歴'!$F:$F,$A24))=0,"",
MAXIFS('単価履歴'!$H:$H,'単価履歴'!$E:$E,AV$1,'単価履歴'!$F:$F,$A24,'単価履歴'!$O:$O,
MAXIFS('単価履歴'!$O:$O,'単価履歴'!$E:$E,AV$1,'単価履歴'!$F:$F,$A24)))</f>
        <v/>
      </c>
      <c r="AW24" s="263" t="str">
        <f>IF(MAXIFS('単価履歴'!$H:$H,'単価履歴'!$E:$E,AW$1,'単価履歴'!$F:$F,$A24,'単価履歴'!$O:$O,
MAXIFS('単価履歴'!$O:$O,'単価履歴'!$E:$E,AW$1,'単価履歴'!$F:$F,$A24))=0,"",
MAXIFS('単価履歴'!$H:$H,'単価履歴'!$E:$E,AW$1,'単価履歴'!$F:$F,$A24,'単価履歴'!$O:$O,
MAXIFS('単価履歴'!$O:$O,'単価履歴'!$E:$E,AW$1,'単価履歴'!$F:$F,$A24)))</f>
        <v/>
      </c>
      <c r="AX24" s="256" t="str">
        <f>IF(MAXIFS('単価履歴'!$H:$H,'単価履歴'!$E:$E,AX$1,'単価履歴'!$F:$F,$A24,'単価履歴'!$O:$O,
MAXIFS('単価履歴'!$O:$O,'単価履歴'!$E:$E,AX$1,'単価履歴'!$F:$F,$A24))=0,"",
MAXIFS('単価履歴'!$H:$H,'単価履歴'!$E:$E,AX$1,'単価履歴'!$F:$F,$A24,'単価履歴'!$O:$O,
MAXIFS('単価履歴'!$O:$O,'単価履歴'!$E:$E,AX$1,'単価履歴'!$F:$F,$A24)))</f>
        <v/>
      </c>
      <c r="AY24" s="254" t="str">
        <f>IF(MAXIFS('単価履歴'!$H:$H,'単価履歴'!$E:$E,AY$1,'単価履歴'!$F:$F,$A24,'単価履歴'!$O:$O,
MAXIFS('単価履歴'!$O:$O,'単価履歴'!$E:$E,AY$1,'単価履歴'!$F:$F,$A24))=0,"",
MAXIFS('単価履歴'!$H:$H,'単価履歴'!$E:$E,AY$1,'単価履歴'!$F:$F,$A24,'単価履歴'!$O:$O,
MAXIFS('単価履歴'!$O:$O,'単価履歴'!$E:$E,AY$1,'単価履歴'!$F:$F,$A24)))</f>
        <v/>
      </c>
      <c r="AZ24" s="256" t="str">
        <f>IF(MAXIFS('単価履歴'!$H:$H,'単価履歴'!$E:$E,AZ$1,'単価履歴'!$F:$F,$A24,'単価履歴'!$O:$O,
MAXIFS('単価履歴'!$O:$O,'単価履歴'!$E:$E,AZ$1,'単価履歴'!$F:$F,$A24))=0,"",
MAXIFS('単価履歴'!$H:$H,'単価履歴'!$E:$E,AZ$1,'単価履歴'!$F:$F,$A24,'単価履歴'!$O:$O,
MAXIFS('単価履歴'!$O:$O,'単価履歴'!$E:$E,AZ$1,'単価履歴'!$F:$F,$A24)))</f>
        <v/>
      </c>
      <c r="BA24" s="263" t="str">
        <f>IF(MAXIFS('単価履歴'!$H:$H,'単価履歴'!$E:$E,BA$1,'単価履歴'!$F:$F,$A24,'単価履歴'!$O:$O,
MAXIFS('単価履歴'!$O:$O,'単価履歴'!$E:$E,BA$1,'単価履歴'!$F:$F,$A24))=0,"",
MAXIFS('単価履歴'!$H:$H,'単価履歴'!$E:$E,BA$1,'単価履歴'!$F:$F,$A24,'単価履歴'!$O:$O,
MAXIFS('単価履歴'!$O:$O,'単価履歴'!$E:$E,BA$1,'単価履歴'!$F:$F,$A24)))</f>
        <v/>
      </c>
      <c r="BB24" s="256" t="str">
        <f>IF(MAXIFS('単価履歴'!$H:$H,'単価履歴'!$E:$E,BB$1,'単価履歴'!$F:$F,$A24,'単価履歴'!$O:$O,
MAXIFS('単価履歴'!$O:$O,'単価履歴'!$E:$E,BB$1,'単価履歴'!$F:$F,$A24))=0,"",
MAXIFS('単価履歴'!$H:$H,'単価履歴'!$E:$E,BB$1,'単価履歴'!$F:$F,$A24,'単価履歴'!$O:$O,
MAXIFS('単価履歴'!$O:$O,'単価履歴'!$E:$E,BB$1,'単価履歴'!$F:$F,$A24)))</f>
        <v/>
      </c>
      <c r="BC24" s="254" t="str">
        <f>IF(MAXIFS('単価履歴'!$H:$H,'単価履歴'!$E:$E,BC$1,'単価履歴'!$F:$F,$A24,'単価履歴'!$O:$O,
MAXIFS('単価履歴'!$O:$O,'単価履歴'!$E:$E,BC$1,'単価履歴'!$F:$F,$A24))=0,"",
MAXIFS('単価履歴'!$H:$H,'単価履歴'!$E:$E,BC$1,'単価履歴'!$F:$F,$A24,'単価履歴'!$O:$O,
MAXIFS('単価履歴'!$O:$O,'単価履歴'!$E:$E,BC$1,'単価履歴'!$F:$F,$A24)))</f>
        <v/>
      </c>
      <c r="BD24" s="263" t="str">
        <f>IF(MAXIFS('単価履歴'!$H:$H,'単価履歴'!$E:$E,BD$1,'単価履歴'!$F:$F,$A24,'単価履歴'!$O:$O,
MAXIFS('単価履歴'!$O:$O,'単価履歴'!$E:$E,BD$1,'単価履歴'!$F:$F,$A24))=0,"",
MAXIFS('単価履歴'!$H:$H,'単価履歴'!$E:$E,BD$1,'単価履歴'!$F:$F,$A24,'単価履歴'!$O:$O,
MAXIFS('単価履歴'!$O:$O,'単価履歴'!$E:$E,BD$1,'単価履歴'!$F:$F,$A24)))</f>
        <v/>
      </c>
      <c r="BE24" s="256" t="str">
        <f>IF(MAXIFS('単価履歴'!$H:$H,'単価履歴'!$E:$E,BE$1,'単価履歴'!$F:$F,$A24,'単価履歴'!$O:$O,
MAXIFS('単価履歴'!$O:$O,'単価履歴'!$E:$E,BE$1,'単価履歴'!$F:$F,$A24))=0,"",
MAXIFS('単価履歴'!$H:$H,'単価履歴'!$E:$E,BE$1,'単価履歴'!$F:$F,$A24,'単価履歴'!$O:$O,
MAXIFS('単価履歴'!$O:$O,'単価履歴'!$E:$E,BE$1,'単価履歴'!$F:$F,$A24)))</f>
        <v/>
      </c>
      <c r="BF24" s="263" t="str">
        <f>IF(MAXIFS('単価履歴'!$H:$H,'単価履歴'!$E:$E,BF$1,'単価履歴'!$F:$F,$A24,'単価履歴'!$O:$O,
MAXIFS('単価履歴'!$O:$O,'単価履歴'!$E:$E,BF$1,'単価履歴'!$F:$F,$A24))=0,"",
MAXIFS('単価履歴'!$H:$H,'単価履歴'!$E:$E,BF$1,'単価履歴'!$F:$F,$A24,'単価履歴'!$O:$O,
MAXIFS('単価履歴'!$O:$O,'単価履歴'!$E:$E,BF$1,'単価履歴'!$F:$F,$A24)))</f>
        <v/>
      </c>
      <c r="BG24" s="256" t="str">
        <f>IF(MAXIFS('単価履歴'!$H:$H,'単価履歴'!$E:$E,BG$1,'単価履歴'!$F:$F,$A24,'単価履歴'!$O:$O,
MAXIFS('単価履歴'!$O:$O,'単価履歴'!$E:$E,BG$1,'単価履歴'!$F:$F,$A24))=0,"",
MAXIFS('単価履歴'!$H:$H,'単価履歴'!$E:$E,BG$1,'単価履歴'!$F:$F,$A24,'単価履歴'!$O:$O,
MAXIFS('単価履歴'!$O:$O,'単価履歴'!$E:$E,BG$1,'単価履歴'!$F:$F,$A24)))</f>
        <v/>
      </c>
      <c r="BH24" s="256" t="str">
        <f>IF(MAXIFS('単価履歴'!$H:$H,'単価履歴'!$E:$E,BH$1,'単価履歴'!$F:$F,$A24,'単価履歴'!$O:$O,
MAXIFS('単価履歴'!$O:$O,'単価履歴'!$E:$E,BH$1,'単価履歴'!$F:$F,$A24))=0,"",
MAXIFS('単価履歴'!$H:$H,'単価履歴'!$E:$E,BH$1,'単価履歴'!$F:$F,$A24,'単価履歴'!$O:$O,
MAXIFS('単価履歴'!$O:$O,'単価履歴'!$E:$E,BH$1,'単価履歴'!$F:$F,$A24)))</f>
        <v/>
      </c>
      <c r="BI24" s="264" t="str">
        <f>IF(MAXIFS('単価履歴'!$H:$H,'単価履歴'!$E:$E,BI$1,'単価履歴'!$F:$F,$A24,'単価履歴'!$O:$O,
MAXIFS('単価履歴'!$O:$O,'単価履歴'!$E:$E,BI$1,'単価履歴'!$F:$F,$A24))=0,"",
MAXIFS('単価履歴'!$H:$H,'単価履歴'!$E:$E,BI$1,'単価履歴'!$F:$F,$A24,'単価履歴'!$O:$O,
MAXIFS('単価履歴'!$O:$O,'単価履歴'!$E:$E,BI$1,'単価履歴'!$F:$F,$A24)))</f>
        <v/>
      </c>
      <c r="BJ24" s="264" t="str">
        <f>IF(MAXIFS('単価履歴'!$H:$H,'単価履歴'!$E:$E,BJ$1,'単価履歴'!$F:$F,$A24,'単価履歴'!$O:$O,
MAXIFS('単価履歴'!$O:$O,'単価履歴'!$E:$E,BJ$1,'単価履歴'!$F:$F,$A24))=0,"",
MAXIFS('単価履歴'!$H:$H,'単価履歴'!$E:$E,BJ$1,'単価履歴'!$F:$F,$A24,'単価履歴'!$O:$O,
MAXIFS('単価履歴'!$O:$O,'単価履歴'!$E:$E,BJ$1,'単価履歴'!$F:$F,$A24)))</f>
        <v/>
      </c>
      <c r="BK24" s="264" t="str">
        <f>IF(MAXIFS('単価履歴'!$H:$H,'単価履歴'!$E:$E,BK$1,'単価履歴'!$F:$F,$A24,'単価履歴'!$O:$O,
MAXIFS('単価履歴'!$O:$O,'単価履歴'!$E:$E,BK$1,'単価履歴'!$F:$F,$A24))=0,"",
MAXIFS('単価履歴'!$H:$H,'単価履歴'!$E:$E,BK$1,'単価履歴'!$F:$F,$A24,'単価履歴'!$O:$O,
MAXIFS('単価履歴'!$O:$O,'単価履歴'!$E:$E,BK$1,'単価履歴'!$F:$F,$A24)))</f>
        <v/>
      </c>
      <c r="BL24" s="264" t="str">
        <f>IF(MAXIFS('単価履歴'!$H:$H,'単価履歴'!$E:$E,BL$1,'単価履歴'!$F:$F,$A24,'単価履歴'!$O:$O,
MAXIFS('単価履歴'!$O:$O,'単価履歴'!$E:$E,BL$1,'単価履歴'!$F:$F,$A24))=0,"",
MAXIFS('単価履歴'!$H:$H,'単価履歴'!$E:$E,BL$1,'単価履歴'!$F:$F,$A24,'単価履歴'!$O:$O,
MAXIFS('単価履歴'!$O:$O,'単価履歴'!$E:$E,BL$1,'単価履歴'!$F:$F,$A24)))</f>
        <v/>
      </c>
      <c r="BM24" s="264" t="str">
        <f>IF(MAXIFS('単価履歴'!$H:$H,'単価履歴'!$E:$E,BM$1,'単価履歴'!$F:$F,$A24,'単価履歴'!$O:$O,
MAXIFS('単価履歴'!$O:$O,'単価履歴'!$E:$E,BM$1,'単価履歴'!$F:$F,$A24))=0,"",
MAXIFS('単価履歴'!$H:$H,'単価履歴'!$E:$E,BM$1,'単価履歴'!$F:$F,$A24,'単価履歴'!$O:$O,
MAXIFS('単価履歴'!$O:$O,'単価履歴'!$E:$E,BM$1,'単価履歴'!$F:$F,$A24)))</f>
        <v/>
      </c>
      <c r="BN24" s="263" t="str">
        <f>IF(MAXIFS('単価履歴'!$H:$H,'単価履歴'!$E:$E,BN$1,'単価履歴'!$F:$F,$A24,'単価履歴'!$O:$O,
MAXIFS('単価履歴'!$O:$O,'単価履歴'!$E:$E,BN$1,'単価履歴'!$F:$F,$A24))=0,"",
MAXIFS('単価履歴'!$H:$H,'単価履歴'!$E:$E,BN$1,'単価履歴'!$F:$F,$A24,'単価履歴'!$O:$O,
MAXIFS('単価履歴'!$O:$O,'単価履歴'!$E:$E,BN$1,'単価履歴'!$F:$F,$A24)))</f>
        <v/>
      </c>
      <c r="BO24" s="256" t="str">
        <f>IF(MAXIFS('単価履歴'!$H:$H,'単価履歴'!$E:$E,BO$1,'単価履歴'!$F:$F,$A24,'単価履歴'!$O:$O,
MAXIFS('単価履歴'!$O:$O,'単価履歴'!$E:$E,BO$1,'単価履歴'!$F:$F,$A24))=0,"",
MAXIFS('単価履歴'!$H:$H,'単価履歴'!$E:$E,BO$1,'単価履歴'!$F:$F,$A24,'単価履歴'!$O:$O,
MAXIFS('単価履歴'!$O:$O,'単価履歴'!$E:$E,BO$1,'単価履歴'!$F:$F,$A24)))</f>
        <v/>
      </c>
      <c r="BP24" s="264" t="str">
        <f>IF(MAXIFS('単価履歴'!$H:$H,'単価履歴'!$E:$E,BP$1,'単価履歴'!$F:$F,$A24,'単価履歴'!$O:$O,
MAXIFS('単価履歴'!$O:$O,'単価履歴'!$E:$E,BP$1,'単価履歴'!$F:$F,$A24))=0,"",
MAXIFS('単価履歴'!$H:$H,'単価履歴'!$E:$E,BP$1,'単価履歴'!$F:$F,$A24,'単価履歴'!$O:$O,
MAXIFS('単価履歴'!$O:$O,'単価履歴'!$E:$E,BP$1,'単価履歴'!$F:$F,$A24)))</f>
        <v/>
      </c>
      <c r="BQ24" s="256"/>
      <c r="BR24" s="256"/>
      <c r="BS24" s="256"/>
      <c r="BT24" s="256"/>
      <c r="BU24" s="256"/>
      <c r="BV24" s="256"/>
      <c r="BW24" s="256"/>
      <c r="BX24" s="256"/>
    </row>
    <row r="25">
      <c r="A25" s="267" t="s">
        <v>25</v>
      </c>
      <c r="B25" s="246" t="str">
        <f>IF(MAXIFS('単価履歴'!$H:$H,'単価履歴'!$E:$E,B$1,'単価履歴'!$F:$F,$A25,'単価履歴'!$O:$O,
MAXIFS('単価履歴'!$O:$O,'単価履歴'!$E:$E,B$1,'単価履歴'!$F:$F,$A25))=0,"",
MAXIFS('単価履歴'!$H:$H,'単価履歴'!$E:$E,B$1,'単価履歴'!$F:$F,$A25,'単価履歴'!$O:$O,
MAXIFS('単価履歴'!$O:$O,'単価履歴'!$E:$E,B$1,'単価履歴'!$F:$F,$A25)))</f>
        <v/>
      </c>
      <c r="C25" s="251" t="str">
        <f>IF(MAXIFS('単価履歴'!$H:$H,'単価履歴'!$E:$E,C$1,'単価履歴'!$F:$F,$A25,'単価履歴'!$O:$O,
MAXIFS('単価履歴'!$O:$O,'単価履歴'!$E:$E,C$1,'単価履歴'!$F:$F,$A25))=0,"",
MAXIFS('単価履歴'!$H:$H,'単価履歴'!$E:$E,C$1,'単価履歴'!$F:$F,$A25,'単価履歴'!$O:$O,
MAXIFS('単価履歴'!$O:$O,'単価履歴'!$E:$E,C$1,'単価履歴'!$F:$F,$A25)))</f>
        <v/>
      </c>
      <c r="D25" s="249" t="str">
        <f>IF(MAXIFS('単価履歴'!$H:$H,'単価履歴'!$E:$E,D$1,'単価履歴'!$F:$F,$A25,'単価履歴'!$O:$O,
MAXIFS('単価履歴'!$O:$O,'単価履歴'!$E:$E,D$1,'単価履歴'!$F:$F,$A25))=0,"",
MAXIFS('単価履歴'!$H:$H,'単価履歴'!$E:$E,D$1,'単価履歴'!$F:$F,$A25,'単価履歴'!$O:$O,
MAXIFS('単価履歴'!$O:$O,'単価履歴'!$E:$E,D$1,'単価履歴'!$F:$F,$A25)))</f>
        <v/>
      </c>
      <c r="E25" s="249" t="str">
        <f>IF(MAXIFS('単価履歴'!$H:$H,'単価履歴'!$E:$E,E$1,'単価履歴'!$F:$F,$A25,'単価履歴'!$O:$O,
MAXIFS('単価履歴'!$O:$O,'単価履歴'!$E:$E,E$1,'単価履歴'!$F:$F,$A25))=0,"",
MAXIFS('単価履歴'!$H:$H,'単価履歴'!$E:$E,E$1,'単価履歴'!$F:$F,$A25,'単価履歴'!$O:$O,
MAXIFS('単価履歴'!$O:$O,'単価履歴'!$E:$E,E$1,'単価履歴'!$F:$F,$A25)))</f>
        <v/>
      </c>
      <c r="F25" s="249" t="str">
        <f>IF(MAXIFS('単価履歴'!$H:$H,'単価履歴'!$E:$E,F$1,'単価履歴'!$F:$F,$A25,'単価履歴'!$O:$O,
MAXIFS('単価履歴'!$O:$O,'単価履歴'!$E:$E,F$1,'単価履歴'!$F:$F,$A25))=0,"",
MAXIFS('単価履歴'!$H:$H,'単価履歴'!$E:$E,F$1,'単価履歴'!$F:$F,$A25,'単価履歴'!$O:$O,
MAXIFS('単価履歴'!$O:$O,'単価履歴'!$E:$E,F$1,'単価履歴'!$F:$F,$A25)))</f>
        <v/>
      </c>
      <c r="G25" s="248" t="str">
        <f>IF(MAXIFS('単価履歴'!$H:$H,'単価履歴'!$E:$E,G$1,'単価履歴'!$F:$F,$A25,'単価履歴'!$O:$O,
MAXIFS('単価履歴'!$O:$O,'単価履歴'!$E:$E,G$1,'単価履歴'!$F:$F,$A25))=0,"",
MAXIFS('単価履歴'!$H:$H,'単価履歴'!$E:$E,G$1,'単価履歴'!$F:$F,$A25,'単価履歴'!$O:$O,
MAXIFS('単価履歴'!$O:$O,'単価履歴'!$E:$E,G$1,'単価履歴'!$F:$F,$A25)))</f>
        <v/>
      </c>
      <c r="H25" s="249" t="str">
        <f>IF(MAXIFS('単価履歴'!$H:$H,'単価履歴'!$E:$E,H$1,'単価履歴'!$F:$F,$A25,'単価履歴'!$O:$O,
MAXIFS('単価履歴'!$O:$O,'単価履歴'!$E:$E,H$1,'単価履歴'!$F:$F,$A25))=0,"",
MAXIFS('単価履歴'!$H:$H,'単価履歴'!$E:$E,H$1,'単価履歴'!$F:$F,$A25,'単価履歴'!$O:$O,
MAXIFS('単価履歴'!$O:$O,'単価履歴'!$E:$E,H$1,'単価履歴'!$F:$F,$A25)))</f>
        <v/>
      </c>
      <c r="I25" s="249" t="str">
        <f>IF(MAXIFS('単価履歴'!$H:$H,'単価履歴'!$E:$E,I$1,'単価履歴'!$F:$F,$A25,'単価履歴'!$O:$O,
MAXIFS('単価履歴'!$O:$O,'単価履歴'!$E:$E,I$1,'単価履歴'!$F:$F,$A25))=0,"",
MAXIFS('単価履歴'!$H:$H,'単価履歴'!$E:$E,I$1,'単価履歴'!$F:$F,$A25,'単価履歴'!$O:$O,
MAXIFS('単価履歴'!$O:$O,'単価履歴'!$E:$E,I$1,'単価履歴'!$F:$F,$A25)))</f>
        <v/>
      </c>
      <c r="J25" s="248" t="str">
        <f>IF(MAXIFS('単価履歴'!$H:$H,'単価履歴'!$E:$E,J$1,'単価履歴'!$F:$F,$A25,'単価履歴'!$O:$O,
MAXIFS('単価履歴'!$O:$O,'単価履歴'!$E:$E,J$1,'単価履歴'!$F:$F,$A25))=0,"",
MAXIFS('単価履歴'!$H:$H,'単価履歴'!$E:$E,J$1,'単価履歴'!$F:$F,$A25,'単価履歴'!$O:$O,
MAXIFS('単価履歴'!$O:$O,'単価履歴'!$E:$E,J$1,'単価履歴'!$F:$F,$A25)))</f>
        <v/>
      </c>
      <c r="K25" s="249" t="str">
        <f>IF(MAXIFS('単価履歴'!$H:$H,'単価履歴'!$E:$E,K$1,'単価履歴'!$F:$F,$A25,'単価履歴'!$O:$O,
MAXIFS('単価履歴'!$O:$O,'単価履歴'!$E:$E,K$1,'単価履歴'!$F:$F,$A25))=0,"",
MAXIFS('単価履歴'!$H:$H,'単価履歴'!$E:$E,K$1,'単価履歴'!$F:$F,$A25,'単価履歴'!$O:$O,
MAXIFS('単価履歴'!$O:$O,'単価履歴'!$E:$E,K$1,'単価履歴'!$F:$F,$A25)))</f>
        <v/>
      </c>
      <c r="L25" s="249" t="str">
        <f>IF(MAXIFS('単価履歴'!$H:$H,'単価履歴'!$E:$E,L$1,'単価履歴'!$F:$F,$A25,'単価履歴'!$O:$O,
MAXIFS('単価履歴'!$O:$O,'単価履歴'!$E:$E,L$1,'単価履歴'!$F:$F,$A25))=0,"",
MAXIFS('単価履歴'!$H:$H,'単価履歴'!$E:$E,L$1,'単価履歴'!$F:$F,$A25,'単価履歴'!$O:$O,
MAXIFS('単価履歴'!$O:$O,'単価履歴'!$E:$E,L$1,'単価履歴'!$F:$F,$A25)))</f>
        <v/>
      </c>
      <c r="M25" s="249" t="str">
        <f>IF(MAXIFS('単価履歴'!$H:$H,'単価履歴'!$E:$E,M$1,'単価履歴'!$F:$F,$A25,'単価履歴'!$O:$O,
MAXIFS('単価履歴'!$O:$O,'単価履歴'!$E:$E,M$1,'単価履歴'!$F:$F,$A25))=0,"",
MAXIFS('単価履歴'!$H:$H,'単価履歴'!$E:$E,M$1,'単価履歴'!$F:$F,$A25,'単価履歴'!$O:$O,
MAXIFS('単価履歴'!$O:$O,'単価履歴'!$E:$E,M$1,'単価履歴'!$F:$F,$A25)))</f>
        <v/>
      </c>
      <c r="N25" s="249" t="str">
        <f>IF(MAXIFS('単価履歴'!$H:$H,'単価履歴'!$E:$E,N$1,'単価履歴'!$F:$F,$A25,'単価履歴'!$O:$O,
MAXIFS('単価履歴'!$O:$O,'単価履歴'!$E:$E,N$1,'単価履歴'!$F:$F,$A25))=0,"",
MAXIFS('単価履歴'!$H:$H,'単価履歴'!$E:$E,N$1,'単価履歴'!$F:$F,$A25,'単価履歴'!$O:$O,
MAXIFS('単価履歴'!$O:$O,'単価履歴'!$E:$E,N$1,'単価履歴'!$F:$F,$A25)))</f>
        <v/>
      </c>
      <c r="O25" s="251" t="str">
        <f>IF(MAXIFS('単価履歴'!$H:$H,'単価履歴'!$E:$E,O$1,'単価履歴'!$F:$F,$A25,'単価履歴'!$O:$O,
MAXIFS('単価履歴'!$O:$O,'単価履歴'!$E:$E,O$1,'単価履歴'!$F:$F,$A25))=0,"",
MAXIFS('単価履歴'!$H:$H,'単価履歴'!$E:$E,O$1,'単価履歴'!$F:$F,$A25,'単価履歴'!$O:$O,
MAXIFS('単価履歴'!$O:$O,'単価履歴'!$E:$E,O$1,'単価履歴'!$F:$F,$A25)))</f>
        <v/>
      </c>
      <c r="P25" s="252" t="str">
        <f>IF(MAXIFS('単価履歴'!$H:$H,'単価履歴'!$E:$E,P$1,'単価履歴'!$F:$F,$A25,'単価履歴'!$O:$O,
MAXIFS('単価履歴'!$O:$O,'単価履歴'!$E:$E,P$1,'単価履歴'!$F:$F,$A25))=0,"",
MAXIFS('単価履歴'!$H:$H,'単価履歴'!$E:$E,P$1,'単価履歴'!$F:$F,$A25,'単価履歴'!$O:$O,
MAXIFS('単価履歴'!$O:$O,'単価履歴'!$E:$E,P$1,'単価履歴'!$F:$F,$A25)))</f>
        <v/>
      </c>
      <c r="Q25" s="248" t="str">
        <f>IF(MAXIFS('単価履歴'!$H:$H,'単価履歴'!$E:$E,Q$1,'単価履歴'!$F:$F,$A25,'単価履歴'!$O:$O,
MAXIFS('単価履歴'!$O:$O,'単価履歴'!$E:$E,Q$1,'単価履歴'!$F:$F,$A25))=0,"",
MAXIFS('単価履歴'!$H:$H,'単価履歴'!$E:$E,Q$1,'単価履歴'!$F:$F,$A25,'単価履歴'!$O:$O,
MAXIFS('単価履歴'!$O:$O,'単価履歴'!$E:$E,Q$1,'単価履歴'!$F:$F,$A25)))</f>
        <v/>
      </c>
      <c r="R25" s="252" t="str">
        <f>IF(MAXIFS('単価履歴'!$H:$H,'単価履歴'!$E:$E,R$1,'単価履歴'!$F:$F,$A25,'単価履歴'!$O:$O,
MAXIFS('単価履歴'!$O:$O,'単価履歴'!$E:$E,R$1,'単価履歴'!$F:$F,$A25))=0,"",
MAXIFS('単価履歴'!$H:$H,'単価履歴'!$E:$E,R$1,'単価履歴'!$F:$F,$A25,'単価履歴'!$O:$O,
MAXIFS('単価履歴'!$O:$O,'単価履歴'!$E:$E,R$1,'単価履歴'!$F:$F,$A25)))</f>
        <v/>
      </c>
      <c r="S25" s="251" t="str">
        <f>IF(MAXIFS('単価履歴'!$H:$H,'単価履歴'!$E:$E,S$1,'単価履歴'!$F:$F,$A25,'単価履歴'!$O:$O,
MAXIFS('単価履歴'!$O:$O,'単価履歴'!$E:$E,S$1,'単価履歴'!$F:$F,$A25))=0,"",
MAXIFS('単価履歴'!$H:$H,'単価履歴'!$E:$E,S$1,'単価履歴'!$F:$F,$A25,'単価履歴'!$O:$O,
MAXIFS('単価履歴'!$O:$O,'単価履歴'!$E:$E,S$1,'単価履歴'!$F:$F,$A25)))</f>
        <v/>
      </c>
      <c r="T25" s="249" t="str">
        <f>IF(MAXIFS('単価履歴'!$H:$H,'単価履歴'!$E:$E,T$1,'単価履歴'!$F:$F,$A25,'単価履歴'!$O:$O,
MAXIFS('単価履歴'!$O:$O,'単価履歴'!$E:$E,T$1,'単価履歴'!$F:$F,$A25))=0,"",
MAXIFS('単価履歴'!$H:$H,'単価履歴'!$E:$E,T$1,'単価履歴'!$F:$F,$A25,'単価履歴'!$O:$O,
MAXIFS('単価履歴'!$O:$O,'単価履歴'!$E:$E,T$1,'単価履歴'!$F:$F,$A25)))</f>
        <v/>
      </c>
      <c r="U25" s="249" t="str">
        <f>IF(MAXIFS('単価履歴'!$H:$H,'単価履歴'!$E:$E,U$1,'単価履歴'!$F:$F,$A25,'単価履歴'!$O:$O,
MAXIFS('単価履歴'!$O:$O,'単価履歴'!$E:$E,U$1,'単価履歴'!$F:$F,$A25))=0,"",
MAXIFS('単価履歴'!$H:$H,'単価履歴'!$E:$E,U$1,'単価履歴'!$F:$F,$A25,'単価履歴'!$O:$O,
MAXIFS('単価履歴'!$O:$O,'単価履歴'!$E:$E,U$1,'単価履歴'!$F:$F,$A25)))</f>
        <v/>
      </c>
      <c r="V25" s="251" t="str">
        <f>IF(MAXIFS('単価履歴'!$H:$H,'単価履歴'!$E:$E,V$1,'単価履歴'!$F:$F,$A25,'単価履歴'!$O:$O,
MAXIFS('単価履歴'!$O:$O,'単価履歴'!$E:$E,V$1,'単価履歴'!$F:$F,$A25))=0,"",
MAXIFS('単価履歴'!$H:$H,'単価履歴'!$E:$E,V$1,'単価履歴'!$F:$F,$A25,'単価履歴'!$O:$O,
MAXIFS('単価履歴'!$O:$O,'単価履歴'!$E:$E,V$1,'単価履歴'!$F:$F,$A25)))</f>
        <v/>
      </c>
      <c r="W25" s="252" t="str">
        <f>IF(MAXIFS('単価履歴'!$H:$H,'単価履歴'!$E:$E,W$1,'単価履歴'!$F:$F,$A25,'単価履歴'!$O:$O,
MAXIFS('単価履歴'!$O:$O,'単価履歴'!$E:$E,W$1,'単価履歴'!$F:$F,$A25))=0,"",
MAXIFS('単価履歴'!$H:$H,'単価履歴'!$E:$E,W$1,'単価履歴'!$F:$F,$A25,'単価履歴'!$O:$O,
MAXIFS('単価履歴'!$O:$O,'単価履歴'!$E:$E,W$1,'単価履歴'!$F:$F,$A25)))</f>
        <v/>
      </c>
      <c r="X25" s="249" t="str">
        <f>IF(MAXIFS('単価履歴'!$H:$H,'単価履歴'!$E:$E,X$1,'単価履歴'!$F:$F,$A25,'単価履歴'!$O:$O,
MAXIFS('単価履歴'!$O:$O,'単価履歴'!$E:$E,X$1,'単価履歴'!$F:$F,$A25))=0,"",
MAXIFS('単価履歴'!$H:$H,'単価履歴'!$E:$E,X$1,'単価履歴'!$F:$F,$A25,'単価履歴'!$O:$O,
MAXIFS('単価履歴'!$O:$O,'単価履歴'!$E:$E,X$1,'単価履歴'!$F:$F,$A25)))</f>
        <v/>
      </c>
      <c r="Y25" s="251" t="str">
        <f>IF(MAXIFS('単価履歴'!$H:$H,'単価履歴'!$E:$E,Y$1,'単価履歴'!$F:$F,$A25,'単価履歴'!$O:$O,
MAXIFS('単価履歴'!$O:$O,'単価履歴'!$E:$E,Y$1,'単価履歴'!$F:$F,$A25))=0,"",
MAXIFS('単価履歴'!$H:$H,'単価履歴'!$E:$E,Y$1,'単価履歴'!$F:$F,$A25,'単価履歴'!$O:$O,
MAXIFS('単価履歴'!$O:$O,'単価履歴'!$E:$E,Y$1,'単価履歴'!$F:$F,$A25)))</f>
        <v/>
      </c>
      <c r="Z25" s="249" t="str">
        <f>IF(MAXIFS('単価履歴'!$H:$H,'単価履歴'!$E:$E,Z$1,'単価履歴'!$F:$F,$A25,'単価履歴'!$O:$O,
MAXIFS('単価履歴'!$O:$O,'単価履歴'!$E:$E,Z$1,'単価履歴'!$F:$F,$A25))=0,"",
MAXIFS('単価履歴'!$H:$H,'単価履歴'!$E:$E,Z$1,'単価履歴'!$F:$F,$A25,'単価履歴'!$O:$O,
MAXIFS('単価履歴'!$O:$O,'単価履歴'!$E:$E,Z$1,'単価履歴'!$F:$F,$A25)))</f>
        <v/>
      </c>
      <c r="AA25" s="251" t="str">
        <f>IF(MAXIFS('単価履歴'!$H:$H,'単価履歴'!$E:$E,AA$1,'単価履歴'!$F:$F,$A25,'単価履歴'!$O:$O,
MAXIFS('単価履歴'!$O:$O,'単価履歴'!$E:$E,AA$1,'単価履歴'!$F:$F,$A25))=0,"",
MAXIFS('単価履歴'!$H:$H,'単価履歴'!$E:$E,AA$1,'単価履歴'!$F:$F,$A25,'単価履歴'!$O:$O,
MAXIFS('単価履歴'!$O:$O,'単価履歴'!$E:$E,AA$1,'単価履歴'!$F:$F,$A25)))</f>
        <v/>
      </c>
      <c r="AB25" s="252" t="str">
        <f>IF(MAXIFS('単価履歴'!$H:$H,'単価履歴'!$E:$E,AB$1,'単価履歴'!$F:$F,$A25,'単価履歴'!$O:$O,
MAXIFS('単価履歴'!$O:$O,'単価履歴'!$E:$E,AB$1,'単価履歴'!$F:$F,$A25))=0,"",
MAXIFS('単価履歴'!$H:$H,'単価履歴'!$E:$E,AB$1,'単価履歴'!$F:$F,$A25,'単価履歴'!$O:$O,
MAXIFS('単価履歴'!$O:$O,'単価履歴'!$E:$E,AB$1,'単価履歴'!$F:$F,$A25)))</f>
        <v/>
      </c>
      <c r="AC25" s="249" t="str">
        <f>IF(MAXIFS('単価履歴'!$H:$H,'単価履歴'!$E:$E,AC$1,'単価履歴'!$F:$F,$A25,'単価履歴'!$O:$O,
MAXIFS('単価履歴'!$O:$O,'単価履歴'!$E:$E,AC$1,'単価履歴'!$F:$F,$A25))=0,"",
MAXIFS('単価履歴'!$H:$H,'単価履歴'!$E:$E,AC$1,'単価履歴'!$F:$F,$A25,'単価履歴'!$O:$O,
MAXIFS('単価履歴'!$O:$O,'単価履歴'!$E:$E,AC$1,'単価履歴'!$F:$F,$A25)))</f>
        <v/>
      </c>
      <c r="AD25" s="251" t="str">
        <f>IF(MAXIFS('単価履歴'!$H:$H,'単価履歴'!$E:$E,AD$1,'単価履歴'!$F:$F,$A25,'単価履歴'!$O:$O,
MAXIFS('単価履歴'!$O:$O,'単価履歴'!$E:$E,AD$1,'単価履歴'!$F:$F,$A25))=0,"",
MAXIFS('単価履歴'!$H:$H,'単価履歴'!$E:$E,AD$1,'単価履歴'!$F:$F,$A25,'単価履歴'!$O:$O,
MAXIFS('単価履歴'!$O:$O,'単価履歴'!$E:$E,AD$1,'単価履歴'!$F:$F,$A25)))</f>
        <v/>
      </c>
      <c r="AE25" s="252" t="str">
        <f>IF(MAXIFS('単価履歴'!$H:$H,'単価履歴'!$E:$E,AE$1,'単価履歴'!$F:$F,$A25,'単価履歴'!$O:$O,
MAXIFS('単価履歴'!$O:$O,'単価履歴'!$E:$E,AE$1,'単価履歴'!$F:$F,$A25))=0,"",
MAXIFS('単価履歴'!$H:$H,'単価履歴'!$E:$E,AE$1,'単価履歴'!$F:$F,$A25,'単価履歴'!$O:$O,
MAXIFS('単価履歴'!$O:$O,'単価履歴'!$E:$E,AE$1,'単価履歴'!$F:$F,$A25)))</f>
        <v/>
      </c>
      <c r="AF25" s="249" t="str">
        <f>IF(MAXIFS('単価履歴'!$H:$H,'単価履歴'!$E:$E,AF$1,'単価履歴'!$F:$F,$A25,'単価履歴'!$O:$O,
MAXIFS('単価履歴'!$O:$O,'単価履歴'!$E:$E,AF$1,'単価履歴'!$F:$F,$A25))=0,"",
MAXIFS('単価履歴'!$H:$H,'単価履歴'!$E:$E,AF$1,'単価履歴'!$F:$F,$A25,'単価履歴'!$O:$O,
MAXIFS('単価履歴'!$O:$O,'単価履歴'!$E:$E,AF$1,'単価履歴'!$F:$F,$A25)))</f>
        <v/>
      </c>
      <c r="AG25" s="280">
        <v>33.5</v>
      </c>
      <c r="AH25" s="249" t="str">
        <f>IF(MAXIFS('単価履歴'!$H:$H,'単価履歴'!$E:$E,AH$1,'単価履歴'!$F:$F,$A25,'単価履歴'!$O:$O,
MAXIFS('単価履歴'!$O:$O,'単価履歴'!$E:$E,AH$1,'単価履歴'!$F:$F,$A25))=0,"",
MAXIFS('単価履歴'!$H:$H,'単価履歴'!$E:$E,AH$1,'単価履歴'!$F:$F,$A25,'単価履歴'!$O:$O,
MAXIFS('単価履歴'!$O:$O,'単価履歴'!$E:$E,AH$1,'単価履歴'!$F:$F,$A25)))</f>
        <v/>
      </c>
      <c r="AI25" s="251" t="str">
        <f>IF(MAXIFS('単価履歴'!$H:$H,'単価履歴'!$E:$E,AI$1,'単価履歴'!$F:$F,$A25,'単価履歴'!$O:$O,
MAXIFS('単価履歴'!$O:$O,'単価履歴'!$E:$E,AI$1,'単価履歴'!$F:$F,$A25))=0,"",
MAXIFS('単価履歴'!$H:$H,'単価履歴'!$E:$E,AI$1,'単価履歴'!$F:$F,$A25,'単価履歴'!$O:$O,
MAXIFS('単価履歴'!$O:$O,'単価履歴'!$E:$E,AI$1,'単価履歴'!$F:$F,$A25)))</f>
        <v/>
      </c>
      <c r="AJ25" s="249" t="str">
        <f>IF(MAXIFS('単価履歴'!$H:$H,'単価履歴'!$E:$E,AJ$1,'単価履歴'!$F:$F,$A25,'単価履歴'!$O:$O,
MAXIFS('単価履歴'!$O:$O,'単価履歴'!$E:$E,AJ$1,'単価履歴'!$F:$F,$A25))=0,"",
MAXIFS('単価履歴'!$H:$H,'単価履歴'!$E:$E,AJ$1,'単価履歴'!$F:$F,$A25,'単価履歴'!$O:$O,
MAXIFS('単価履歴'!$O:$O,'単価履歴'!$E:$E,AJ$1,'単価履歴'!$F:$F,$A25)))</f>
        <v/>
      </c>
      <c r="AK25" s="251" t="str">
        <f>IF(MAXIFS('単価履歴'!$H:$H,'単価履歴'!$E:$E,AK$1,'単価履歴'!$F:$F,$A25,'単価履歴'!$O:$O,
MAXIFS('単価履歴'!$O:$O,'単価履歴'!$E:$E,AK$1,'単価履歴'!$F:$F,$A25))=0,"",
MAXIFS('単価履歴'!$H:$H,'単価履歴'!$E:$E,AK$1,'単価履歴'!$F:$F,$A25,'単価履歴'!$O:$O,
MAXIFS('単価履歴'!$O:$O,'単価履歴'!$E:$E,AK$1,'単価履歴'!$F:$F,$A25)))</f>
        <v/>
      </c>
      <c r="AL25" s="249" t="str">
        <f>IF(MAXIFS('単価履歴'!$H:$H,'単価履歴'!$E:$E,AL$1,'単価履歴'!$F:$F,$A25,'単価履歴'!$O:$O,
MAXIFS('単価履歴'!$O:$O,'単価履歴'!$E:$E,AL$1,'単価履歴'!$F:$F,$A25))=0,"",
MAXIFS('単価履歴'!$H:$H,'単価履歴'!$E:$E,AL$1,'単価履歴'!$F:$F,$A25,'単価履歴'!$O:$O,
MAXIFS('単価履歴'!$O:$O,'単価履歴'!$E:$E,AL$1,'単価履歴'!$F:$F,$A25)))</f>
        <v/>
      </c>
      <c r="AM25" s="251" t="str">
        <f>IF(MAXIFS('単価履歴'!$H:$H,'単価履歴'!$E:$E,AM$1,'単価履歴'!$F:$F,$A25,'単価履歴'!$O:$O,
MAXIFS('単価履歴'!$O:$O,'単価履歴'!$E:$E,AM$1,'単価履歴'!$F:$F,$A25))=0,"",
MAXIFS('単価履歴'!$H:$H,'単価履歴'!$E:$E,AM$1,'単価履歴'!$F:$F,$A25,'単価履歴'!$O:$O,
MAXIFS('単価履歴'!$O:$O,'単価履歴'!$E:$E,AM$1,'単価履歴'!$F:$F,$A25)))</f>
        <v/>
      </c>
      <c r="AN25" s="252" t="str">
        <f>IF(MAXIFS('単価履歴'!$H:$H,'単価履歴'!$E:$E,AN$1,'単価履歴'!$F:$F,$A25,'単価履歴'!$O:$O,
MAXIFS('単価履歴'!$O:$O,'単価履歴'!$E:$E,AN$1,'単価履歴'!$F:$F,$A25))=0,"",
MAXIFS('単価履歴'!$H:$H,'単価履歴'!$E:$E,AN$1,'単価履歴'!$F:$F,$A25,'単価履歴'!$O:$O,
MAXIFS('単価履歴'!$O:$O,'単価履歴'!$E:$E,AN$1,'単価履歴'!$F:$F,$A25)))</f>
        <v/>
      </c>
      <c r="AO25" s="251" t="str">
        <f>IF(MAXIFS('単価履歴'!$H:$H,'単価履歴'!$E:$E,AO$1,'単価履歴'!$F:$F,$A25,'単価履歴'!$O:$O,
MAXIFS('単価履歴'!$O:$O,'単価履歴'!$E:$E,AO$1,'単価履歴'!$F:$F,$A25))=0,"",
MAXIFS('単価履歴'!$H:$H,'単価履歴'!$E:$E,AO$1,'単価履歴'!$F:$F,$A25,'単価履歴'!$O:$O,
MAXIFS('単価履歴'!$O:$O,'単価履歴'!$E:$E,AO$1,'単価履歴'!$F:$F,$A25)))</f>
        <v/>
      </c>
      <c r="AP25" s="252" t="str">
        <f>IF(MAXIFS('単価履歴'!$H:$H,'単価履歴'!$E:$E,AP$1,'単価履歴'!$F:$F,$A25,'単価履歴'!$O:$O,
MAXIFS('単価履歴'!$O:$O,'単価履歴'!$E:$E,AP$1,'単価履歴'!$F:$F,$A25))=0,"",
MAXIFS('単価履歴'!$H:$H,'単価履歴'!$E:$E,AP$1,'単価履歴'!$F:$F,$A25,'単価履歴'!$O:$O,
MAXIFS('単価履歴'!$O:$O,'単価履歴'!$E:$E,AP$1,'単価履歴'!$F:$F,$A25)))</f>
        <v/>
      </c>
      <c r="AQ25" s="249" t="str">
        <f>IF(MAXIFS('単価履歴'!$H:$H,'単価履歴'!$E:$E,AQ$1,'単価履歴'!$F:$F,$A25,'単価履歴'!$O:$O,
MAXIFS('単価履歴'!$O:$O,'単価履歴'!$E:$E,AQ$1,'単価履歴'!$F:$F,$A25))=0,"",
MAXIFS('単価履歴'!$H:$H,'単価履歴'!$E:$E,AQ$1,'単価履歴'!$F:$F,$A25,'単価履歴'!$O:$O,
MAXIFS('単価履歴'!$O:$O,'単価履歴'!$E:$E,AQ$1,'単価履歴'!$F:$F,$A25)))</f>
        <v/>
      </c>
      <c r="AR25" s="252" t="str">
        <f>IF(MAXIFS('単価履歴'!$H:$H,'単価履歴'!$E:$E,AR$1,'単価履歴'!$F:$F,$A25,'単価履歴'!$O:$O,
MAXIFS('単価履歴'!$O:$O,'単価履歴'!$E:$E,AR$1,'単価履歴'!$F:$F,$A25))=0,"",
MAXIFS('単価履歴'!$H:$H,'単価履歴'!$E:$E,AR$1,'単価履歴'!$F:$F,$A25,'単価履歴'!$O:$O,
MAXIFS('単価履歴'!$O:$O,'単価履歴'!$E:$E,AR$1,'単価履歴'!$F:$F,$A25)))</f>
        <v/>
      </c>
      <c r="AS25" s="249" t="str">
        <f>IF(MAXIFS('単価履歴'!$H:$H,'単価履歴'!$E:$E,AS$1,'単価履歴'!$F:$F,$A25,'単価履歴'!$O:$O,
MAXIFS('単価履歴'!$O:$O,'単価履歴'!$E:$E,AS$1,'単価履歴'!$F:$F,$A25))=0,"",
MAXIFS('単価履歴'!$H:$H,'単価履歴'!$E:$E,AS$1,'単価履歴'!$F:$F,$A25,'単価履歴'!$O:$O,
MAXIFS('単価履歴'!$O:$O,'単価履歴'!$E:$E,AS$1,'単価履歴'!$F:$F,$A25)))</f>
        <v/>
      </c>
      <c r="AT25" s="249" t="str">
        <f>IF(MAXIFS('単価履歴'!$H:$H,'単価履歴'!$E:$E,AT$1,'単価履歴'!$F:$F,$A25,'単価履歴'!$O:$O,
MAXIFS('単価履歴'!$O:$O,'単価履歴'!$E:$E,AT$1,'単価履歴'!$F:$F,$A25))=0,"",
MAXIFS('単価履歴'!$H:$H,'単価履歴'!$E:$E,AT$1,'単価履歴'!$F:$F,$A25,'単価履歴'!$O:$O,
MAXIFS('単価履歴'!$O:$O,'単価履歴'!$E:$E,AT$1,'単価履歴'!$F:$F,$A25)))</f>
        <v/>
      </c>
      <c r="AU25" s="249" t="str">
        <f>IF(MAXIFS('単価履歴'!$H:$H,'単価履歴'!$E:$E,AU$1,'単価履歴'!$F:$F,$A25,'単価履歴'!$O:$O,
MAXIFS('単価履歴'!$O:$O,'単価履歴'!$E:$E,AU$1,'単価履歴'!$F:$F,$A25))=0,"",
MAXIFS('単価履歴'!$H:$H,'単価履歴'!$E:$E,AU$1,'単価履歴'!$F:$F,$A25,'単価履歴'!$O:$O,
MAXIFS('単価履歴'!$O:$O,'単価履歴'!$E:$E,AU$1,'単価履歴'!$F:$F,$A25)))</f>
        <v/>
      </c>
      <c r="AV25" s="249" t="str">
        <f>IF(MAXIFS('単価履歴'!$H:$H,'単価履歴'!$E:$E,AV$1,'単価履歴'!$F:$F,$A25,'単価履歴'!$O:$O,
MAXIFS('単価履歴'!$O:$O,'単価履歴'!$E:$E,AV$1,'単価履歴'!$F:$F,$A25))=0,"",
MAXIFS('単価履歴'!$H:$H,'単価履歴'!$E:$E,AV$1,'単価履歴'!$F:$F,$A25,'単価履歴'!$O:$O,
MAXIFS('単価履歴'!$O:$O,'単価履歴'!$E:$E,AV$1,'単価履歴'!$F:$F,$A25)))</f>
        <v/>
      </c>
      <c r="AW25" s="248" t="str">
        <f>IF(MAXIFS('単価履歴'!$H:$H,'単価履歴'!$E:$E,AW$1,'単価履歴'!$F:$F,$A25,'単価履歴'!$O:$O,
MAXIFS('単価履歴'!$O:$O,'単価履歴'!$E:$E,AW$1,'単価履歴'!$F:$F,$A25))=0,"",
MAXIFS('単価履歴'!$H:$H,'単価履歴'!$E:$E,AW$1,'単価履歴'!$F:$F,$A25,'単価履歴'!$O:$O,
MAXIFS('単価履歴'!$O:$O,'単価履歴'!$E:$E,AW$1,'単価履歴'!$F:$F,$A25)))</f>
        <v/>
      </c>
      <c r="AX25" s="249" t="str">
        <f>IF(MAXIFS('単価履歴'!$H:$H,'単価履歴'!$E:$E,AX$1,'単価履歴'!$F:$F,$A25,'単価履歴'!$O:$O,
MAXIFS('単価履歴'!$O:$O,'単価履歴'!$E:$E,AX$1,'単価履歴'!$F:$F,$A25))=0,"",
MAXIFS('単価履歴'!$H:$H,'単価履歴'!$E:$E,AX$1,'単価履歴'!$F:$F,$A25,'単価履歴'!$O:$O,
MAXIFS('単価履歴'!$O:$O,'単価履歴'!$E:$E,AX$1,'単価履歴'!$F:$F,$A25)))</f>
        <v/>
      </c>
      <c r="AY25" s="251" t="str">
        <f>IF(MAXIFS('単価履歴'!$H:$H,'単価履歴'!$E:$E,AY$1,'単価履歴'!$F:$F,$A25,'単価履歴'!$O:$O,
MAXIFS('単価履歴'!$O:$O,'単価履歴'!$E:$E,AY$1,'単価履歴'!$F:$F,$A25))=0,"",
MAXIFS('単価履歴'!$H:$H,'単価履歴'!$E:$E,AY$1,'単価履歴'!$F:$F,$A25,'単価履歴'!$O:$O,
MAXIFS('単価履歴'!$O:$O,'単価履歴'!$E:$E,AY$1,'単価履歴'!$F:$F,$A25)))</f>
        <v/>
      </c>
      <c r="AZ25" s="249" t="str">
        <f>IF(MAXIFS('単価履歴'!$H:$H,'単価履歴'!$E:$E,AZ$1,'単価履歴'!$F:$F,$A25,'単価履歴'!$O:$O,
MAXIFS('単価履歴'!$O:$O,'単価履歴'!$E:$E,AZ$1,'単価履歴'!$F:$F,$A25))=0,"",
MAXIFS('単価履歴'!$H:$H,'単価履歴'!$E:$E,AZ$1,'単価履歴'!$F:$F,$A25,'単価履歴'!$O:$O,
MAXIFS('単価履歴'!$O:$O,'単価履歴'!$E:$E,AZ$1,'単価履歴'!$F:$F,$A25)))</f>
        <v/>
      </c>
      <c r="BA25" s="248" t="str">
        <f>IF(MAXIFS('単価履歴'!$H:$H,'単価履歴'!$E:$E,BA$1,'単価履歴'!$F:$F,$A25,'単価履歴'!$O:$O,
MAXIFS('単価履歴'!$O:$O,'単価履歴'!$E:$E,BA$1,'単価履歴'!$F:$F,$A25))=0,"",
MAXIFS('単価履歴'!$H:$H,'単価履歴'!$E:$E,BA$1,'単価履歴'!$F:$F,$A25,'単価履歴'!$O:$O,
MAXIFS('単価履歴'!$O:$O,'単価履歴'!$E:$E,BA$1,'単価履歴'!$F:$F,$A25)))</f>
        <v/>
      </c>
      <c r="BB25" s="249" t="str">
        <f>IF(MAXIFS('単価履歴'!$H:$H,'単価履歴'!$E:$E,BB$1,'単価履歴'!$F:$F,$A25,'単価履歴'!$O:$O,
MAXIFS('単価履歴'!$O:$O,'単価履歴'!$E:$E,BB$1,'単価履歴'!$F:$F,$A25))=0,"",
MAXIFS('単価履歴'!$H:$H,'単価履歴'!$E:$E,BB$1,'単価履歴'!$F:$F,$A25,'単価履歴'!$O:$O,
MAXIFS('単価履歴'!$O:$O,'単価履歴'!$E:$E,BB$1,'単価履歴'!$F:$F,$A25)))</f>
        <v/>
      </c>
      <c r="BC25" s="251" t="str">
        <f>IF(MAXIFS('単価履歴'!$H:$H,'単価履歴'!$E:$E,BC$1,'単価履歴'!$F:$F,$A25,'単価履歴'!$O:$O,
MAXIFS('単価履歴'!$O:$O,'単価履歴'!$E:$E,BC$1,'単価履歴'!$F:$F,$A25))=0,"",
MAXIFS('単価履歴'!$H:$H,'単価履歴'!$E:$E,BC$1,'単価履歴'!$F:$F,$A25,'単価履歴'!$O:$O,
MAXIFS('単価履歴'!$O:$O,'単価履歴'!$E:$E,BC$1,'単価履歴'!$F:$F,$A25)))</f>
        <v/>
      </c>
      <c r="BD25" s="283">
        <f>IF(MAXIFS('単価履歴'!$H:$H,'単価履歴'!$E:$E,BD$1,'単価履歴'!$F:$F,$A25,'単価履歴'!$O:$O,
MAXIFS('単価履歴'!$O:$O,'単価履歴'!$E:$E,BD$1,'単価履歴'!$F:$F,$A25))=0,"",
MAXIFS('単価履歴'!$H:$H,'単価履歴'!$E:$E,BD$1,'単価履歴'!$F:$F,$A25,'単価履歴'!$O:$O,
MAXIFS('単価履歴'!$O:$O,'単価履歴'!$E:$E,BD$1,'単価履歴'!$F:$F,$A25)))</f>
        <v>36</v>
      </c>
      <c r="BE25" s="249" t="str">
        <f>IF(MAXIFS('単価履歴'!$H:$H,'単価履歴'!$E:$E,BE$1,'単価履歴'!$F:$F,$A25,'単価履歴'!$O:$O,
MAXIFS('単価履歴'!$O:$O,'単価履歴'!$E:$E,BE$1,'単価履歴'!$F:$F,$A25))=0,"",
MAXIFS('単価履歴'!$H:$H,'単価履歴'!$E:$E,BE$1,'単価履歴'!$F:$F,$A25,'単価履歴'!$O:$O,
MAXIFS('単価履歴'!$O:$O,'単価履歴'!$E:$E,BE$1,'単価履歴'!$F:$F,$A25)))</f>
        <v/>
      </c>
      <c r="BF25" s="248" t="str">
        <f>IF(MAXIFS('単価履歴'!$H:$H,'単価履歴'!$E:$E,BF$1,'単価履歴'!$F:$F,$A25,'単価履歴'!$O:$O,
MAXIFS('単価履歴'!$O:$O,'単価履歴'!$E:$E,BF$1,'単価履歴'!$F:$F,$A25))=0,"",
MAXIFS('単価履歴'!$H:$H,'単価履歴'!$E:$E,BF$1,'単価履歴'!$F:$F,$A25,'単価履歴'!$O:$O,
MAXIFS('単価履歴'!$O:$O,'単価履歴'!$E:$E,BF$1,'単価履歴'!$F:$F,$A25)))</f>
        <v/>
      </c>
      <c r="BG25" s="249" t="str">
        <f>IF(MAXIFS('単価履歴'!$H:$H,'単価履歴'!$E:$E,BG$1,'単価履歴'!$F:$F,$A25,'単価履歴'!$O:$O,
MAXIFS('単価履歴'!$O:$O,'単価履歴'!$E:$E,BG$1,'単価履歴'!$F:$F,$A25))=0,"",
MAXIFS('単価履歴'!$H:$H,'単価履歴'!$E:$E,BG$1,'単価履歴'!$F:$F,$A25,'単価履歴'!$O:$O,
MAXIFS('単価履歴'!$O:$O,'単価履歴'!$E:$E,BG$1,'単価履歴'!$F:$F,$A25)))</f>
        <v/>
      </c>
      <c r="BH25" s="249" t="str">
        <f>IF(MAXIFS('単価履歴'!$H:$H,'単価履歴'!$E:$E,BH$1,'単価履歴'!$F:$F,$A25,'単価履歴'!$O:$O,
MAXIFS('単価履歴'!$O:$O,'単価履歴'!$E:$E,BH$1,'単価履歴'!$F:$F,$A25))=0,"",
MAXIFS('単価履歴'!$H:$H,'単価履歴'!$E:$E,BH$1,'単価履歴'!$F:$F,$A25,'単価履歴'!$O:$O,
MAXIFS('単価履歴'!$O:$O,'単価履歴'!$E:$E,BH$1,'単価履歴'!$F:$F,$A25)))</f>
        <v/>
      </c>
      <c r="BI25" s="252" t="str">
        <f>IF(MAXIFS('単価履歴'!$H:$H,'単価履歴'!$E:$E,BI$1,'単価履歴'!$F:$F,$A25,'単価履歴'!$O:$O,
MAXIFS('単価履歴'!$O:$O,'単価履歴'!$E:$E,BI$1,'単価履歴'!$F:$F,$A25))=0,"",
MAXIFS('単価履歴'!$H:$H,'単価履歴'!$E:$E,BI$1,'単価履歴'!$F:$F,$A25,'単価履歴'!$O:$O,
MAXIFS('単価履歴'!$O:$O,'単価履歴'!$E:$E,BI$1,'単価履歴'!$F:$F,$A25)))</f>
        <v/>
      </c>
      <c r="BJ25" s="252" t="str">
        <f>IF(MAXIFS('単価履歴'!$H:$H,'単価履歴'!$E:$E,BJ$1,'単価履歴'!$F:$F,$A25,'単価履歴'!$O:$O,
MAXIFS('単価履歴'!$O:$O,'単価履歴'!$E:$E,BJ$1,'単価履歴'!$F:$F,$A25))=0,"",
MAXIFS('単価履歴'!$H:$H,'単価履歴'!$E:$E,BJ$1,'単価履歴'!$F:$F,$A25,'単価履歴'!$O:$O,
MAXIFS('単価履歴'!$O:$O,'単価履歴'!$E:$E,BJ$1,'単価履歴'!$F:$F,$A25)))</f>
        <v/>
      </c>
      <c r="BK25" s="252" t="str">
        <f>IF(MAXIFS('単価履歴'!$H:$H,'単価履歴'!$E:$E,BK$1,'単価履歴'!$F:$F,$A25,'単価履歴'!$O:$O,
MAXIFS('単価履歴'!$O:$O,'単価履歴'!$E:$E,BK$1,'単価履歴'!$F:$F,$A25))=0,"",
MAXIFS('単価履歴'!$H:$H,'単価履歴'!$E:$E,BK$1,'単価履歴'!$F:$F,$A25,'単価履歴'!$O:$O,
MAXIFS('単価履歴'!$O:$O,'単価履歴'!$E:$E,BK$1,'単価履歴'!$F:$F,$A25)))</f>
        <v/>
      </c>
      <c r="BL25" s="252" t="str">
        <f>IF(MAXIFS('単価履歴'!$H:$H,'単価履歴'!$E:$E,BL$1,'単価履歴'!$F:$F,$A25,'単価履歴'!$O:$O,
MAXIFS('単価履歴'!$O:$O,'単価履歴'!$E:$E,BL$1,'単価履歴'!$F:$F,$A25))=0,"",
MAXIFS('単価履歴'!$H:$H,'単価履歴'!$E:$E,BL$1,'単価履歴'!$F:$F,$A25,'単価履歴'!$O:$O,
MAXIFS('単価履歴'!$O:$O,'単価履歴'!$E:$E,BL$1,'単価履歴'!$F:$F,$A25)))</f>
        <v/>
      </c>
      <c r="BM25" s="252" t="str">
        <f>IF(MAXIFS('単価履歴'!$H:$H,'単価履歴'!$E:$E,BM$1,'単価履歴'!$F:$F,$A25,'単価履歴'!$O:$O,
MAXIFS('単価履歴'!$O:$O,'単価履歴'!$E:$E,BM$1,'単価履歴'!$F:$F,$A25))=0,"",
MAXIFS('単価履歴'!$H:$H,'単価履歴'!$E:$E,BM$1,'単価履歴'!$F:$F,$A25,'単価履歴'!$O:$O,
MAXIFS('単価履歴'!$O:$O,'単価履歴'!$E:$E,BM$1,'単価履歴'!$F:$F,$A25)))</f>
        <v/>
      </c>
      <c r="BN25" s="248" t="str">
        <f>IF(MAXIFS('単価履歴'!$H:$H,'単価履歴'!$E:$E,BN$1,'単価履歴'!$F:$F,$A25,'単価履歴'!$O:$O,
MAXIFS('単価履歴'!$O:$O,'単価履歴'!$E:$E,BN$1,'単価履歴'!$F:$F,$A25))=0,"",
MAXIFS('単価履歴'!$H:$H,'単価履歴'!$E:$E,BN$1,'単価履歴'!$F:$F,$A25,'単価履歴'!$O:$O,
MAXIFS('単価履歴'!$O:$O,'単価履歴'!$E:$E,BN$1,'単価履歴'!$F:$F,$A25)))</f>
        <v/>
      </c>
      <c r="BO25" s="249" t="str">
        <f>IF(MAXIFS('単価履歴'!$H:$H,'単価履歴'!$E:$E,BO$1,'単価履歴'!$F:$F,$A25,'単価履歴'!$O:$O,
MAXIFS('単価履歴'!$O:$O,'単価履歴'!$E:$E,BO$1,'単価履歴'!$F:$F,$A25))=0,"",
MAXIFS('単価履歴'!$H:$H,'単価履歴'!$E:$E,BO$1,'単価履歴'!$F:$F,$A25,'単価履歴'!$O:$O,
MAXIFS('単価履歴'!$O:$O,'単価履歴'!$E:$E,BO$1,'単価履歴'!$F:$F,$A25)))</f>
        <v/>
      </c>
      <c r="BP25" s="252" t="str">
        <f>IF(MAXIFS('単価履歴'!$H:$H,'単価履歴'!$E:$E,BP$1,'単価履歴'!$F:$F,$A25,'単価履歴'!$O:$O,
MAXIFS('単価履歴'!$O:$O,'単価履歴'!$E:$E,BP$1,'単価履歴'!$F:$F,$A25))=0,"",
MAXIFS('単価履歴'!$H:$H,'単価履歴'!$E:$E,BP$1,'単価履歴'!$F:$F,$A25,'単価履歴'!$O:$O,
MAXIFS('単価履歴'!$O:$O,'単価履歴'!$E:$E,BP$1,'単価履歴'!$F:$F,$A25)))</f>
        <v/>
      </c>
      <c r="BQ25" s="249"/>
      <c r="BR25" s="249"/>
      <c r="BS25" s="249"/>
      <c r="BT25" s="249"/>
      <c r="BU25" s="249"/>
      <c r="BV25" s="249"/>
      <c r="BW25" s="249"/>
      <c r="BX25" s="249"/>
    </row>
    <row r="26">
      <c r="A26" s="261" t="s">
        <v>145</v>
      </c>
      <c r="B26" s="246">
        <f>IF(MAXIFS('単価履歴'!$H:$H,'単価履歴'!$E:$E,B$1,'単価履歴'!$F:$F,$A26,'単価履歴'!$O:$O,
MAXIFS('単価履歴'!$O:$O,'単価履歴'!$E:$E,B$1,'単価履歴'!$F:$F,$A26))=0,"",
MAXIFS('単価履歴'!$H:$H,'単価履歴'!$E:$E,B$1,'単価履歴'!$F:$F,$A26,'単価履歴'!$O:$O,
MAXIFS('単価履歴'!$O:$O,'単価履歴'!$E:$E,B$1,'単価履歴'!$F:$F,$A26)))</f>
        <v>54.5</v>
      </c>
      <c r="C26" s="254" t="str">
        <f>IF(MAXIFS('単価履歴'!$H:$H,'単価履歴'!$E:$E,C$1,'単価履歴'!$F:$F,$A26,'単価履歴'!$O:$O,
MAXIFS('単価履歴'!$O:$O,'単価履歴'!$E:$E,C$1,'単価履歴'!$F:$F,$A26))=0,"",
MAXIFS('単価履歴'!$H:$H,'単価履歴'!$E:$E,C$1,'単価履歴'!$F:$F,$A26,'単価履歴'!$O:$O,
MAXIFS('単価履歴'!$O:$O,'単価履歴'!$E:$E,C$1,'単価履歴'!$F:$F,$A26)))</f>
        <v/>
      </c>
      <c r="D26" s="256" t="str">
        <f>IF(MAXIFS('単価履歴'!$H:$H,'単価履歴'!$E:$E,D$1,'単価履歴'!$F:$F,$A26,'単価履歴'!$O:$O,
MAXIFS('単価履歴'!$O:$O,'単価履歴'!$E:$E,D$1,'単価履歴'!$F:$F,$A26))=0,"",
MAXIFS('単価履歴'!$H:$H,'単価履歴'!$E:$E,D$1,'単価履歴'!$F:$F,$A26,'単価履歴'!$O:$O,
MAXIFS('単価履歴'!$O:$O,'単価履歴'!$E:$E,D$1,'単価履歴'!$F:$F,$A26)))</f>
        <v/>
      </c>
      <c r="E26" s="256" t="str">
        <f>IF(MAXIFS('単価履歴'!$H:$H,'単価履歴'!$E:$E,E$1,'単価履歴'!$F:$F,$A26,'単価履歴'!$O:$O,
MAXIFS('単価履歴'!$O:$O,'単価履歴'!$E:$E,E$1,'単価履歴'!$F:$F,$A26))=0,"",
MAXIFS('単価履歴'!$H:$H,'単価履歴'!$E:$E,E$1,'単価履歴'!$F:$F,$A26,'単価履歴'!$O:$O,
MAXIFS('単価履歴'!$O:$O,'単価履歴'!$E:$E,E$1,'単価履歴'!$F:$F,$A26)))</f>
        <v/>
      </c>
      <c r="F26" s="256" t="str">
        <f>IF(MAXIFS('単価履歴'!$H:$H,'単価履歴'!$E:$E,F$1,'単価履歴'!$F:$F,$A26,'単価履歴'!$O:$O,
MAXIFS('単価履歴'!$O:$O,'単価履歴'!$E:$E,F$1,'単価履歴'!$F:$F,$A26))=0,"",
MAXIFS('単価履歴'!$H:$H,'単価履歴'!$E:$E,F$1,'単価履歴'!$F:$F,$A26,'単価履歴'!$O:$O,
MAXIFS('単価履歴'!$O:$O,'単価履歴'!$E:$E,F$1,'単価履歴'!$F:$F,$A26)))</f>
        <v/>
      </c>
      <c r="G26" s="263" t="str">
        <f>IF(MAXIFS('単価履歴'!$H:$H,'単価履歴'!$E:$E,G$1,'単価履歴'!$F:$F,$A26,'単価履歴'!$O:$O,
MAXIFS('単価履歴'!$O:$O,'単価履歴'!$E:$E,G$1,'単価履歴'!$F:$F,$A26))=0,"",
MAXIFS('単価履歴'!$H:$H,'単価履歴'!$E:$E,G$1,'単価履歴'!$F:$F,$A26,'単価履歴'!$O:$O,
MAXIFS('単価履歴'!$O:$O,'単価履歴'!$E:$E,G$1,'単価履歴'!$F:$F,$A26)))</f>
        <v/>
      </c>
      <c r="H26" s="256" t="str">
        <f>IF(MAXIFS('単価履歴'!$H:$H,'単価履歴'!$E:$E,H$1,'単価履歴'!$F:$F,$A26,'単価履歴'!$O:$O,
MAXIFS('単価履歴'!$O:$O,'単価履歴'!$E:$E,H$1,'単価履歴'!$F:$F,$A26))=0,"",
MAXIFS('単価履歴'!$H:$H,'単価履歴'!$E:$E,H$1,'単価履歴'!$F:$F,$A26,'単価履歴'!$O:$O,
MAXIFS('単価履歴'!$O:$O,'単価履歴'!$E:$E,H$1,'単価履歴'!$F:$F,$A26)))</f>
        <v/>
      </c>
      <c r="I26" s="256" t="str">
        <f>IF(MAXIFS('単価履歴'!$H:$H,'単価履歴'!$E:$E,I$1,'単価履歴'!$F:$F,$A26,'単価履歴'!$O:$O,
MAXIFS('単価履歴'!$O:$O,'単価履歴'!$E:$E,I$1,'単価履歴'!$F:$F,$A26))=0,"",
MAXIFS('単価履歴'!$H:$H,'単価履歴'!$E:$E,I$1,'単価履歴'!$F:$F,$A26,'単価履歴'!$O:$O,
MAXIFS('単価履歴'!$O:$O,'単価履歴'!$E:$E,I$1,'単価履歴'!$F:$F,$A26)))</f>
        <v/>
      </c>
      <c r="J26" s="263" t="str">
        <f>IF(MAXIFS('単価履歴'!$H:$H,'単価履歴'!$E:$E,J$1,'単価履歴'!$F:$F,$A26,'単価履歴'!$O:$O,
MAXIFS('単価履歴'!$O:$O,'単価履歴'!$E:$E,J$1,'単価履歴'!$F:$F,$A26))=0,"",
MAXIFS('単価履歴'!$H:$H,'単価履歴'!$E:$E,J$1,'単価履歴'!$F:$F,$A26,'単価履歴'!$O:$O,
MAXIFS('単価履歴'!$O:$O,'単価履歴'!$E:$E,J$1,'単価履歴'!$F:$F,$A26)))</f>
        <v/>
      </c>
      <c r="K26" s="275">
        <v>30.0</v>
      </c>
      <c r="L26" s="275">
        <v>29.2</v>
      </c>
      <c r="M26" s="256"/>
      <c r="N26" s="256"/>
      <c r="O26" s="254" t="str">
        <f>IF(MAXIFS('単価履歴'!$H:$H,'単価履歴'!$E:$E,O$1,'単価履歴'!$F:$F,$A26,'単価履歴'!$O:$O,
MAXIFS('単価履歴'!$O:$O,'単価履歴'!$E:$E,O$1,'単価履歴'!$F:$F,$A26))=0,"",
MAXIFS('単価履歴'!$H:$H,'単価履歴'!$E:$E,O$1,'単価履歴'!$F:$F,$A26,'単価履歴'!$O:$O,
MAXIFS('単価履歴'!$O:$O,'単価履歴'!$E:$E,O$1,'単価履歴'!$F:$F,$A26)))</f>
        <v/>
      </c>
      <c r="P26" s="264" t="str">
        <f>IF(MAXIFS('単価履歴'!$H:$H,'単価履歴'!$E:$E,P$1,'単価履歴'!$F:$F,$A26,'単価履歴'!$O:$O,
MAXIFS('単価履歴'!$O:$O,'単価履歴'!$E:$E,P$1,'単価履歴'!$F:$F,$A26))=0,"",
MAXIFS('単価履歴'!$H:$H,'単価履歴'!$E:$E,P$1,'単価履歴'!$F:$F,$A26,'単価履歴'!$O:$O,
MAXIFS('単価履歴'!$O:$O,'単価履歴'!$E:$E,P$1,'単価履歴'!$F:$F,$A26)))</f>
        <v/>
      </c>
      <c r="Q26" s="263" t="str">
        <f>IF(MAXIFS('単価履歴'!$H:$H,'単価履歴'!$E:$E,Q$1,'単価履歴'!$F:$F,$A26,'単価履歴'!$O:$O,
MAXIFS('単価履歴'!$O:$O,'単価履歴'!$E:$E,Q$1,'単価履歴'!$F:$F,$A26))=0,"",
MAXIFS('単価履歴'!$H:$H,'単価履歴'!$E:$E,Q$1,'単価履歴'!$F:$F,$A26,'単価履歴'!$O:$O,
MAXIFS('単価履歴'!$O:$O,'単価履歴'!$E:$E,Q$1,'単価履歴'!$F:$F,$A26)))</f>
        <v/>
      </c>
      <c r="R26" s="264" t="str">
        <f>IF(MAXIFS('単価履歴'!$H:$H,'単価履歴'!$E:$E,R$1,'単価履歴'!$F:$F,$A26,'単価履歴'!$O:$O,
MAXIFS('単価履歴'!$O:$O,'単価履歴'!$E:$E,R$1,'単価履歴'!$F:$F,$A26))=0,"",
MAXIFS('単価履歴'!$H:$H,'単価履歴'!$E:$E,R$1,'単価履歴'!$F:$F,$A26,'単価履歴'!$O:$O,
MAXIFS('単価履歴'!$O:$O,'単価履歴'!$E:$E,R$1,'単価履歴'!$F:$F,$A26)))</f>
        <v/>
      </c>
      <c r="S26" s="254" t="str">
        <f>IF(MAXIFS('単価履歴'!$H:$H,'単価履歴'!$E:$E,S$1,'単価履歴'!$F:$F,$A26,'単価履歴'!$O:$O,
MAXIFS('単価履歴'!$O:$O,'単価履歴'!$E:$E,S$1,'単価履歴'!$F:$F,$A26))=0,"",
MAXIFS('単価履歴'!$H:$H,'単価履歴'!$E:$E,S$1,'単価履歴'!$F:$F,$A26,'単価履歴'!$O:$O,
MAXIFS('単価履歴'!$O:$O,'単価履歴'!$E:$E,S$1,'単価履歴'!$F:$F,$A26)))</f>
        <v/>
      </c>
      <c r="T26" s="256" t="str">
        <f>IF(MAXIFS('単価履歴'!$H:$H,'単価履歴'!$E:$E,T$1,'単価履歴'!$F:$F,$A26,'単価履歴'!$O:$O,
MAXIFS('単価履歴'!$O:$O,'単価履歴'!$E:$E,T$1,'単価履歴'!$F:$F,$A26))=0,"",
MAXIFS('単価履歴'!$H:$H,'単価履歴'!$E:$E,T$1,'単価履歴'!$F:$F,$A26,'単価履歴'!$O:$O,
MAXIFS('単価履歴'!$O:$O,'単価履歴'!$E:$E,T$1,'単価履歴'!$F:$F,$A26)))</f>
        <v/>
      </c>
      <c r="U26" s="256" t="str">
        <f>IF(MAXIFS('単価履歴'!$H:$H,'単価履歴'!$E:$E,U$1,'単価履歴'!$F:$F,$A26,'単価履歴'!$O:$O,
MAXIFS('単価履歴'!$O:$O,'単価履歴'!$E:$E,U$1,'単価履歴'!$F:$F,$A26))=0,"",
MAXIFS('単価履歴'!$H:$H,'単価履歴'!$E:$E,U$1,'単価履歴'!$F:$F,$A26,'単価履歴'!$O:$O,
MAXIFS('単価履歴'!$O:$O,'単価履歴'!$E:$E,U$1,'単価履歴'!$F:$F,$A26)))</f>
        <v/>
      </c>
      <c r="V26" s="254" t="str">
        <f>IF(MAXIFS('単価履歴'!$H:$H,'単価履歴'!$E:$E,V$1,'単価履歴'!$F:$F,$A26,'単価履歴'!$O:$O,
MAXIFS('単価履歴'!$O:$O,'単価履歴'!$E:$E,V$1,'単価履歴'!$F:$F,$A26))=0,"",
MAXIFS('単価履歴'!$H:$H,'単価履歴'!$E:$E,V$1,'単価履歴'!$F:$F,$A26,'単価履歴'!$O:$O,
MAXIFS('単価履歴'!$O:$O,'単価履歴'!$E:$E,V$1,'単価履歴'!$F:$F,$A26)))</f>
        <v/>
      </c>
      <c r="W26" s="252">
        <f>IF(MAXIFS('単価履歴'!$H:$H,'単価履歴'!$E:$E,W$1,'単価履歴'!$F:$F,$A26,'単価履歴'!$O:$O,
MAXIFS('単価履歴'!$O:$O,'単価履歴'!$E:$E,W$1,'単価履歴'!$F:$F,$A26))=0,"",
MAXIFS('単価履歴'!$H:$H,'単価履歴'!$E:$E,W$1,'単価履歴'!$F:$F,$A26,'単価履歴'!$O:$O,
MAXIFS('単価履歴'!$O:$O,'単価履歴'!$E:$E,W$1,'単価履歴'!$F:$F,$A26)))</f>
        <v>44</v>
      </c>
      <c r="X26" s="256" t="str">
        <f>IF(MAXIFS('単価履歴'!$H:$H,'単価履歴'!$E:$E,X$1,'単価履歴'!$F:$F,$A26,'単価履歴'!$O:$O,
MAXIFS('単価履歴'!$O:$O,'単価履歴'!$E:$E,X$1,'単価履歴'!$F:$F,$A26))=0,"",
MAXIFS('単価履歴'!$H:$H,'単価履歴'!$E:$E,X$1,'単価履歴'!$F:$F,$A26,'単価履歴'!$O:$O,
MAXIFS('単価履歴'!$O:$O,'単価履歴'!$E:$E,X$1,'単価履歴'!$F:$F,$A26)))</f>
        <v/>
      </c>
      <c r="Y26" s="328">
        <v>43.5</v>
      </c>
      <c r="Z26" s="256" t="str">
        <f>IF(MAXIFS('単価履歴'!$H:$H,'単価履歴'!$E:$E,Z$1,'単価履歴'!$F:$F,$A26,'単価履歴'!$O:$O,
MAXIFS('単価履歴'!$O:$O,'単価履歴'!$E:$E,Z$1,'単価履歴'!$F:$F,$A26))=0,"",
MAXIFS('単価履歴'!$H:$H,'単価履歴'!$E:$E,Z$1,'単価履歴'!$F:$F,$A26,'単価履歴'!$O:$O,
MAXIFS('単価履歴'!$O:$O,'単価履歴'!$E:$E,Z$1,'単価履歴'!$F:$F,$A26)))</f>
        <v/>
      </c>
      <c r="AA26" s="254" t="str">
        <f>IF(MAXIFS('単価履歴'!$H:$H,'単価履歴'!$E:$E,AA$1,'単価履歴'!$F:$F,$A26,'単価履歴'!$O:$O,
MAXIFS('単価履歴'!$O:$O,'単価履歴'!$E:$E,AA$1,'単価履歴'!$F:$F,$A26))=0,"",
MAXIFS('単価履歴'!$H:$H,'単価履歴'!$E:$E,AA$1,'単価履歴'!$F:$F,$A26,'単価履歴'!$O:$O,
MAXIFS('単価履歴'!$O:$O,'単価履歴'!$E:$E,AA$1,'単価履歴'!$F:$F,$A26)))</f>
        <v/>
      </c>
      <c r="AB26" s="264" t="str">
        <f>IF(MAXIFS('単価履歴'!$H:$H,'単価履歴'!$E:$E,AB$1,'単価履歴'!$F:$F,$A26,'単価履歴'!$O:$O,
MAXIFS('単価履歴'!$O:$O,'単価履歴'!$E:$E,AB$1,'単価履歴'!$F:$F,$A26))=0,"",
MAXIFS('単価履歴'!$H:$H,'単価履歴'!$E:$E,AB$1,'単価履歴'!$F:$F,$A26,'単価履歴'!$O:$O,
MAXIFS('単価履歴'!$O:$O,'単価履歴'!$E:$E,AB$1,'単価履歴'!$F:$F,$A26)))</f>
        <v/>
      </c>
      <c r="AC26" s="256" t="str">
        <f>IF(MAXIFS('単価履歴'!$H:$H,'単価履歴'!$E:$E,AC$1,'単価履歴'!$F:$F,$A26,'単価履歴'!$O:$O,
MAXIFS('単価履歴'!$O:$O,'単価履歴'!$E:$E,AC$1,'単価履歴'!$F:$F,$A26))=0,"",
MAXIFS('単価履歴'!$H:$H,'単価履歴'!$E:$E,AC$1,'単価履歴'!$F:$F,$A26,'単価履歴'!$O:$O,
MAXIFS('単価履歴'!$O:$O,'単価履歴'!$E:$E,AC$1,'単価履歴'!$F:$F,$A26)))</f>
        <v/>
      </c>
      <c r="AD26" s="254" t="str">
        <f>IF(MAXIFS('単価履歴'!$H:$H,'単価履歴'!$E:$E,AD$1,'単価履歴'!$F:$F,$A26,'単価履歴'!$O:$O,
MAXIFS('単価履歴'!$O:$O,'単価履歴'!$E:$E,AD$1,'単価履歴'!$F:$F,$A26))=0,"",
MAXIFS('単価履歴'!$H:$H,'単価履歴'!$E:$E,AD$1,'単価履歴'!$F:$F,$A26,'単価履歴'!$O:$O,
MAXIFS('単価履歴'!$O:$O,'単価履歴'!$E:$E,AD$1,'単価履歴'!$F:$F,$A26)))</f>
        <v/>
      </c>
      <c r="AE26" s="264" t="str">
        <f>IF(MAXIFS('単価履歴'!$H:$H,'単価履歴'!$E:$E,AE$1,'単価履歴'!$F:$F,$A26,'単価履歴'!$O:$O,
MAXIFS('単価履歴'!$O:$O,'単価履歴'!$E:$E,AE$1,'単価履歴'!$F:$F,$A26))=0,"",
MAXIFS('単価履歴'!$H:$H,'単価履歴'!$E:$E,AE$1,'単価履歴'!$F:$F,$A26,'単価履歴'!$O:$O,
MAXIFS('単価履歴'!$O:$O,'単価履歴'!$E:$E,AE$1,'単価履歴'!$F:$F,$A26)))</f>
        <v/>
      </c>
      <c r="AF26" s="256" t="str">
        <f>IF(MAXIFS('単価履歴'!$H:$H,'単価履歴'!$E:$E,AF$1,'単価履歴'!$F:$F,$A26,'単価履歴'!$O:$O,
MAXIFS('単価履歴'!$O:$O,'単価履歴'!$E:$E,AF$1,'単価履歴'!$F:$F,$A26))=0,"",
MAXIFS('単価履歴'!$H:$H,'単価履歴'!$E:$E,AF$1,'単価履歴'!$F:$F,$A26,'単価履歴'!$O:$O,
MAXIFS('単価履歴'!$O:$O,'単価履歴'!$E:$E,AF$1,'単価履歴'!$F:$F,$A26)))</f>
        <v/>
      </c>
      <c r="AG26" s="268">
        <f>IF(MAXIFS('単価履歴'!$H:$H,'単価履歴'!$E:$E,AG$1,'単価履歴'!$F:$F,$A26,'単価履歴'!$O:$O,
MAXIFS('単価履歴'!$O:$O,'単価履歴'!$E:$E,AG$1,'単価履歴'!$F:$F,$A26))=0,"",
MAXIFS('単価履歴'!$H:$H,'単価履歴'!$E:$E,AG$1,'単価履歴'!$F:$F,$A26,'単価履歴'!$O:$O,
MAXIFS('単価履歴'!$O:$O,'単価履歴'!$E:$E,AG$1,'単価履歴'!$F:$F,$A26)))</f>
        <v>53.5</v>
      </c>
      <c r="AH26" s="256" t="str">
        <f>IF(MAXIFS('単価履歴'!$H:$H,'単価履歴'!$E:$E,AH$1,'単価履歴'!$F:$F,$A26,'単価履歴'!$O:$O,
MAXIFS('単価履歴'!$O:$O,'単価履歴'!$E:$E,AH$1,'単価履歴'!$F:$F,$A26))=0,"",
MAXIFS('単価履歴'!$H:$H,'単価履歴'!$E:$E,AH$1,'単価履歴'!$F:$F,$A26,'単価履歴'!$O:$O,
MAXIFS('単価履歴'!$O:$O,'単価履歴'!$E:$E,AH$1,'単価履歴'!$F:$F,$A26)))</f>
        <v/>
      </c>
      <c r="AI26" s="254" t="str">
        <f>IF(MAXIFS('単価履歴'!$H:$H,'単価履歴'!$E:$E,AI$1,'単価履歴'!$F:$F,$A26,'単価履歴'!$O:$O,
MAXIFS('単価履歴'!$O:$O,'単価履歴'!$E:$E,AI$1,'単価履歴'!$F:$F,$A26))=0,"",
MAXIFS('単価履歴'!$H:$H,'単価履歴'!$E:$E,AI$1,'単価履歴'!$F:$F,$A26,'単価履歴'!$O:$O,
MAXIFS('単価履歴'!$O:$O,'単価履歴'!$E:$E,AI$1,'単価履歴'!$F:$F,$A26)))</f>
        <v/>
      </c>
      <c r="AJ26" s="256" t="str">
        <f>IF(MAXIFS('単価履歴'!$H:$H,'単価履歴'!$E:$E,AJ$1,'単価履歴'!$F:$F,$A26,'単価履歴'!$O:$O,
MAXIFS('単価履歴'!$O:$O,'単価履歴'!$E:$E,AJ$1,'単価履歴'!$F:$F,$A26))=0,"",
MAXIFS('単価履歴'!$H:$H,'単価履歴'!$E:$E,AJ$1,'単価履歴'!$F:$F,$A26,'単価履歴'!$O:$O,
MAXIFS('単価履歴'!$O:$O,'単価履歴'!$E:$E,AJ$1,'単価履歴'!$F:$F,$A26)))</f>
        <v/>
      </c>
      <c r="AK26" s="254" t="str">
        <f>IF(MAXIFS('単価履歴'!$H:$H,'単価履歴'!$E:$E,AK$1,'単価履歴'!$F:$F,$A26,'単価履歴'!$O:$O,
MAXIFS('単価履歴'!$O:$O,'単価履歴'!$E:$E,AK$1,'単価履歴'!$F:$F,$A26))=0,"",
MAXIFS('単価履歴'!$H:$H,'単価履歴'!$E:$E,AK$1,'単価履歴'!$F:$F,$A26,'単価履歴'!$O:$O,
MAXIFS('単価履歴'!$O:$O,'単価履歴'!$E:$E,AK$1,'単価履歴'!$F:$F,$A26)))</f>
        <v/>
      </c>
      <c r="AL26" s="256" t="str">
        <f>IF(MAXIFS('単価履歴'!$H:$H,'単価履歴'!$E:$E,AL$1,'単価履歴'!$F:$F,$A26,'単価履歴'!$O:$O,
MAXIFS('単価履歴'!$O:$O,'単価履歴'!$E:$E,AL$1,'単価履歴'!$F:$F,$A26))=0,"",
MAXIFS('単価履歴'!$H:$H,'単価履歴'!$E:$E,AL$1,'単価履歴'!$F:$F,$A26,'単価履歴'!$O:$O,
MAXIFS('単価履歴'!$O:$O,'単価履歴'!$E:$E,AL$1,'単価履歴'!$F:$F,$A26)))</f>
        <v/>
      </c>
      <c r="AM26" s="262">
        <f>IF(MAXIFS('単価履歴'!$H:$H,'単価履歴'!$E:$E,AM$1,'単価履歴'!$F:$F,$A26,'単価履歴'!$O:$O,
MAXIFS('単価履歴'!$O:$O,'単価履歴'!$E:$E,AM$1,'単価履歴'!$F:$F,$A26))=0,"",
MAXIFS('単価履歴'!$H:$H,'単価履歴'!$E:$E,AM$1,'単価履歴'!$F:$F,$A26,'単価履歴'!$O:$O,
MAXIFS('単価履歴'!$O:$O,'単価履歴'!$E:$E,AM$1,'単価履歴'!$F:$F,$A26)))</f>
        <v>54</v>
      </c>
      <c r="AN26" s="266">
        <f>IF(MAXIFS('単価履歴'!$H:$H,'単価履歴'!$E:$E,AN$1,'単価履歴'!$F:$F,$A26,'単価履歴'!$O:$O,
MAXIFS('単価履歴'!$O:$O,'単価履歴'!$E:$E,AN$1,'単価履歴'!$F:$F,$A26))=0,"",
MAXIFS('単価履歴'!$H:$H,'単価履歴'!$E:$E,AN$1,'単価履歴'!$F:$F,$A26,'単価履歴'!$O:$O,
MAXIFS('単価履歴'!$O:$O,'単価履歴'!$E:$E,AN$1,'単価履歴'!$F:$F,$A26)))</f>
        <v>54</v>
      </c>
      <c r="AO26" s="262">
        <f>IF(MAXIFS('単価履歴'!$H:$H,'単価履歴'!$E:$E,AO$1,'単価履歴'!$F:$F,$A26,'単価履歴'!$O:$O,
MAXIFS('単価履歴'!$O:$O,'単価履歴'!$E:$E,AO$1,'単価履歴'!$F:$F,$A26))=0,"",
MAXIFS('単価履歴'!$H:$H,'単価履歴'!$E:$E,AO$1,'単価履歴'!$F:$F,$A26,'単価履歴'!$O:$O,
MAXIFS('単価履歴'!$O:$O,'単価履歴'!$E:$E,AO$1,'単価履歴'!$F:$F,$A26)))</f>
        <v>56.5</v>
      </c>
      <c r="AP26" s="264" t="str">
        <f>IF(MAXIFS('単価履歴'!$H:$H,'単価履歴'!$E:$E,AP$1,'単価履歴'!$F:$F,$A26,'単価履歴'!$O:$O,
MAXIFS('単価履歴'!$O:$O,'単価履歴'!$E:$E,AP$1,'単価履歴'!$F:$F,$A26))=0,"",
MAXIFS('単価履歴'!$H:$H,'単価履歴'!$E:$E,AP$1,'単価履歴'!$F:$F,$A26,'単価履歴'!$O:$O,
MAXIFS('単価履歴'!$O:$O,'単価履歴'!$E:$E,AP$1,'単価履歴'!$F:$F,$A26)))</f>
        <v/>
      </c>
      <c r="AQ26" s="256" t="str">
        <f>IF(MAXIFS('単価履歴'!$H:$H,'単価履歴'!$E:$E,AQ$1,'単価履歴'!$F:$F,$A26,'単価履歴'!$O:$O,
MAXIFS('単価履歴'!$O:$O,'単価履歴'!$E:$E,AQ$1,'単価履歴'!$F:$F,$A26))=0,"",
MAXIFS('単価履歴'!$H:$H,'単価履歴'!$E:$E,AQ$1,'単価履歴'!$F:$F,$A26,'単価履歴'!$O:$O,
MAXIFS('単価履歴'!$O:$O,'単価履歴'!$E:$E,AQ$1,'単価履歴'!$F:$F,$A26)))</f>
        <v/>
      </c>
      <c r="AR26" s="264" t="str">
        <f>IF(MAXIFS('単価履歴'!$H:$H,'単価履歴'!$E:$E,AR$1,'単価履歴'!$F:$F,$A26,'単価履歴'!$O:$O,
MAXIFS('単価履歴'!$O:$O,'単価履歴'!$E:$E,AR$1,'単価履歴'!$F:$F,$A26))=0,"",
MAXIFS('単価履歴'!$H:$H,'単価履歴'!$E:$E,AR$1,'単価履歴'!$F:$F,$A26,'単価履歴'!$O:$O,
MAXIFS('単価履歴'!$O:$O,'単価履歴'!$E:$E,AR$1,'単価履歴'!$F:$F,$A26)))</f>
        <v/>
      </c>
      <c r="AS26" s="256" t="str">
        <f>IF(MAXIFS('単価履歴'!$H:$H,'単価履歴'!$E:$E,AS$1,'単価履歴'!$F:$F,$A26,'単価履歴'!$O:$O,
MAXIFS('単価履歴'!$O:$O,'単価履歴'!$E:$E,AS$1,'単価履歴'!$F:$F,$A26))=0,"",
MAXIFS('単価履歴'!$H:$H,'単価履歴'!$E:$E,AS$1,'単価履歴'!$F:$F,$A26,'単価履歴'!$O:$O,
MAXIFS('単価履歴'!$O:$O,'単価履歴'!$E:$E,AS$1,'単価履歴'!$F:$F,$A26)))</f>
        <v/>
      </c>
      <c r="AT26" s="256" t="str">
        <f>IF(MAXIFS('単価履歴'!$H:$H,'単価履歴'!$E:$E,AT$1,'単価履歴'!$F:$F,$A26,'単価履歴'!$O:$O,
MAXIFS('単価履歴'!$O:$O,'単価履歴'!$E:$E,AT$1,'単価履歴'!$F:$F,$A26))=0,"",
MAXIFS('単価履歴'!$H:$H,'単価履歴'!$E:$E,AT$1,'単価履歴'!$F:$F,$A26,'単価履歴'!$O:$O,
MAXIFS('単価履歴'!$O:$O,'単価履歴'!$E:$E,AT$1,'単価履歴'!$F:$F,$A26)))</f>
        <v/>
      </c>
      <c r="AU26" s="256" t="str">
        <f>IF(MAXIFS('単価履歴'!$H:$H,'単価履歴'!$E:$E,AU$1,'単価履歴'!$F:$F,$A26,'単価履歴'!$O:$O,
MAXIFS('単価履歴'!$O:$O,'単価履歴'!$E:$E,AU$1,'単価履歴'!$F:$F,$A26))=0,"",
MAXIFS('単価履歴'!$H:$H,'単価履歴'!$E:$E,AU$1,'単価履歴'!$F:$F,$A26,'単価履歴'!$O:$O,
MAXIFS('単価履歴'!$O:$O,'単価履歴'!$E:$E,AU$1,'単価履歴'!$F:$F,$A26)))</f>
        <v/>
      </c>
      <c r="AV26" s="256" t="str">
        <f>IF(MAXIFS('単価履歴'!$H:$H,'単価履歴'!$E:$E,AV$1,'単価履歴'!$F:$F,$A26,'単価履歴'!$O:$O,
MAXIFS('単価履歴'!$O:$O,'単価履歴'!$E:$E,AV$1,'単価履歴'!$F:$F,$A26))=0,"",
MAXIFS('単価履歴'!$H:$H,'単価履歴'!$E:$E,AV$1,'単価履歴'!$F:$F,$A26,'単価履歴'!$O:$O,
MAXIFS('単価履歴'!$O:$O,'単価履歴'!$E:$E,AV$1,'単価履歴'!$F:$F,$A26)))</f>
        <v/>
      </c>
      <c r="AW26" s="263" t="str">
        <f>IF(MAXIFS('単価履歴'!$H:$H,'単価履歴'!$E:$E,AW$1,'単価履歴'!$F:$F,$A26,'単価履歴'!$O:$O,
MAXIFS('単価履歴'!$O:$O,'単価履歴'!$E:$E,AW$1,'単価履歴'!$F:$F,$A26))=0,"",
MAXIFS('単価履歴'!$H:$H,'単価履歴'!$E:$E,AW$1,'単価履歴'!$F:$F,$A26,'単価履歴'!$O:$O,
MAXIFS('単価履歴'!$O:$O,'単価履歴'!$E:$E,AW$1,'単価履歴'!$F:$F,$A26)))</f>
        <v/>
      </c>
      <c r="AX26" s="256" t="str">
        <f>IF(MAXIFS('単価履歴'!$H:$H,'単価履歴'!$E:$E,AX$1,'単価履歴'!$F:$F,$A26,'単価履歴'!$O:$O,
MAXIFS('単価履歴'!$O:$O,'単価履歴'!$E:$E,AX$1,'単価履歴'!$F:$F,$A26))=0,"",
MAXIFS('単価履歴'!$H:$H,'単価履歴'!$E:$E,AX$1,'単価履歴'!$F:$F,$A26,'単価履歴'!$O:$O,
MAXIFS('単価履歴'!$O:$O,'単価履歴'!$E:$E,AX$1,'単価履歴'!$F:$F,$A26)))</f>
        <v/>
      </c>
      <c r="AY26" s="254" t="str">
        <f>IF(MAXIFS('単価履歴'!$H:$H,'単価履歴'!$E:$E,AY$1,'単価履歴'!$F:$F,$A26,'単価履歴'!$O:$O,
MAXIFS('単価履歴'!$O:$O,'単価履歴'!$E:$E,AY$1,'単価履歴'!$F:$F,$A26))=0,"",
MAXIFS('単価履歴'!$H:$H,'単価履歴'!$E:$E,AY$1,'単価履歴'!$F:$F,$A26,'単価履歴'!$O:$O,
MAXIFS('単価履歴'!$O:$O,'単価履歴'!$E:$E,AY$1,'単価履歴'!$F:$F,$A26)))</f>
        <v/>
      </c>
      <c r="AZ26" s="256" t="str">
        <f>IF(MAXIFS('単価履歴'!$H:$H,'単価履歴'!$E:$E,AZ$1,'単価履歴'!$F:$F,$A26,'単価履歴'!$O:$O,
MAXIFS('単価履歴'!$O:$O,'単価履歴'!$E:$E,AZ$1,'単価履歴'!$F:$F,$A26))=0,"",
MAXIFS('単価履歴'!$H:$H,'単価履歴'!$E:$E,AZ$1,'単価履歴'!$F:$F,$A26,'単価履歴'!$O:$O,
MAXIFS('単価履歴'!$O:$O,'単価履歴'!$E:$E,AZ$1,'単価履歴'!$F:$F,$A26)))</f>
        <v/>
      </c>
      <c r="BA26" s="263" t="str">
        <f>IF(MAXIFS('単価履歴'!$H:$H,'単価履歴'!$E:$E,BA$1,'単価履歴'!$F:$F,$A26,'単価履歴'!$O:$O,
MAXIFS('単価履歴'!$O:$O,'単価履歴'!$E:$E,BA$1,'単価履歴'!$F:$F,$A26))=0,"",
MAXIFS('単価履歴'!$H:$H,'単価履歴'!$E:$E,BA$1,'単価履歴'!$F:$F,$A26,'単価履歴'!$O:$O,
MAXIFS('単価履歴'!$O:$O,'単価履歴'!$E:$E,BA$1,'単価履歴'!$F:$F,$A26)))</f>
        <v/>
      </c>
      <c r="BB26" s="256" t="str">
        <f>IF(MAXIFS('単価履歴'!$H:$H,'単価履歴'!$E:$E,BB$1,'単価履歴'!$F:$F,$A26,'単価履歴'!$O:$O,
MAXIFS('単価履歴'!$O:$O,'単価履歴'!$E:$E,BB$1,'単価履歴'!$F:$F,$A26))=0,"",
MAXIFS('単価履歴'!$H:$H,'単価履歴'!$E:$E,BB$1,'単価履歴'!$F:$F,$A26,'単価履歴'!$O:$O,
MAXIFS('単価履歴'!$O:$O,'単価履歴'!$E:$E,BB$1,'単価履歴'!$F:$F,$A26)))</f>
        <v/>
      </c>
      <c r="BC26" s="254" t="str">
        <f>IF(MAXIFS('単価履歴'!$H:$H,'単価履歴'!$E:$E,BC$1,'単価履歴'!$F:$F,$A26,'単価履歴'!$O:$O,
MAXIFS('単価履歴'!$O:$O,'単価履歴'!$E:$E,BC$1,'単価履歴'!$F:$F,$A26))=0,"",
MAXIFS('単価履歴'!$H:$H,'単価履歴'!$E:$E,BC$1,'単価履歴'!$F:$F,$A26,'単価履歴'!$O:$O,
MAXIFS('単価履歴'!$O:$O,'単価履歴'!$E:$E,BC$1,'単価履歴'!$F:$F,$A26)))</f>
        <v/>
      </c>
      <c r="BD26" s="263" t="str">
        <f>IF(MAXIFS('単価履歴'!$H:$H,'単価履歴'!$E:$E,BD$1,'単価履歴'!$F:$F,$A26,'単価履歴'!$O:$O,
MAXIFS('単価履歴'!$O:$O,'単価履歴'!$E:$E,BD$1,'単価履歴'!$F:$F,$A26))=0,"",
MAXIFS('単価履歴'!$H:$H,'単価履歴'!$E:$E,BD$1,'単価履歴'!$F:$F,$A26,'単価履歴'!$O:$O,
MAXIFS('単価履歴'!$O:$O,'単価履歴'!$E:$E,BD$1,'単価履歴'!$F:$F,$A26)))</f>
        <v/>
      </c>
      <c r="BE26" s="256" t="str">
        <f>IF(MAXIFS('単価履歴'!$H:$H,'単価履歴'!$E:$E,BE$1,'単価履歴'!$F:$F,$A26,'単価履歴'!$O:$O,
MAXIFS('単価履歴'!$O:$O,'単価履歴'!$E:$E,BE$1,'単価履歴'!$F:$F,$A26))=0,"",
MAXIFS('単価履歴'!$H:$H,'単価履歴'!$E:$E,BE$1,'単価履歴'!$F:$F,$A26,'単価履歴'!$O:$O,
MAXIFS('単価履歴'!$O:$O,'単価履歴'!$E:$E,BE$1,'単価履歴'!$F:$F,$A26)))</f>
        <v/>
      </c>
      <c r="BF26" s="263" t="str">
        <f>IF(MAXIFS('単価履歴'!$H:$H,'単価履歴'!$E:$E,BF$1,'単価履歴'!$F:$F,$A26,'単価履歴'!$O:$O,
MAXIFS('単価履歴'!$O:$O,'単価履歴'!$E:$E,BF$1,'単価履歴'!$F:$F,$A26))=0,"",
MAXIFS('単価履歴'!$H:$H,'単価履歴'!$E:$E,BF$1,'単価履歴'!$F:$F,$A26,'単価履歴'!$O:$O,
MAXIFS('単価履歴'!$O:$O,'単価履歴'!$E:$E,BF$1,'単価履歴'!$F:$F,$A26)))</f>
        <v/>
      </c>
      <c r="BG26" s="256" t="str">
        <f>IF(MAXIFS('単価履歴'!$H:$H,'単価履歴'!$E:$E,BG$1,'単価履歴'!$F:$F,$A26,'単価履歴'!$O:$O,
MAXIFS('単価履歴'!$O:$O,'単価履歴'!$E:$E,BG$1,'単価履歴'!$F:$F,$A26))=0,"",
MAXIFS('単価履歴'!$H:$H,'単価履歴'!$E:$E,BG$1,'単価履歴'!$F:$F,$A26,'単価履歴'!$O:$O,
MAXIFS('単価履歴'!$O:$O,'単価履歴'!$E:$E,BG$1,'単価履歴'!$F:$F,$A26)))</f>
        <v/>
      </c>
      <c r="BH26" s="256" t="str">
        <f>IF(MAXIFS('単価履歴'!$H:$H,'単価履歴'!$E:$E,BH$1,'単価履歴'!$F:$F,$A26,'単価履歴'!$O:$O,
MAXIFS('単価履歴'!$O:$O,'単価履歴'!$E:$E,BH$1,'単価履歴'!$F:$F,$A26))=0,"",
MAXIFS('単価履歴'!$H:$H,'単価履歴'!$E:$E,BH$1,'単価履歴'!$F:$F,$A26,'単価履歴'!$O:$O,
MAXIFS('単価履歴'!$O:$O,'単価履歴'!$E:$E,BH$1,'単価履歴'!$F:$F,$A26)))</f>
        <v/>
      </c>
      <c r="BI26" s="264" t="str">
        <f>IF(MAXIFS('単価履歴'!$H:$H,'単価履歴'!$E:$E,BI$1,'単価履歴'!$F:$F,$A26,'単価履歴'!$O:$O,
MAXIFS('単価履歴'!$O:$O,'単価履歴'!$E:$E,BI$1,'単価履歴'!$F:$F,$A26))=0,"",
MAXIFS('単価履歴'!$H:$H,'単価履歴'!$E:$E,BI$1,'単価履歴'!$F:$F,$A26,'単価履歴'!$O:$O,
MAXIFS('単価履歴'!$O:$O,'単価履歴'!$E:$E,BI$1,'単価履歴'!$F:$F,$A26)))</f>
        <v/>
      </c>
      <c r="BJ26" s="264" t="str">
        <f>IF(MAXIFS('単価履歴'!$H:$H,'単価履歴'!$E:$E,BJ$1,'単価履歴'!$F:$F,$A26,'単価履歴'!$O:$O,
MAXIFS('単価履歴'!$O:$O,'単価履歴'!$E:$E,BJ$1,'単価履歴'!$F:$F,$A26))=0,"",
MAXIFS('単価履歴'!$H:$H,'単価履歴'!$E:$E,BJ$1,'単価履歴'!$F:$F,$A26,'単価履歴'!$O:$O,
MAXIFS('単価履歴'!$O:$O,'単価履歴'!$E:$E,BJ$1,'単価履歴'!$F:$F,$A26)))</f>
        <v/>
      </c>
      <c r="BK26" s="264" t="str">
        <f>IF(MAXIFS('単価履歴'!$H:$H,'単価履歴'!$E:$E,BK$1,'単価履歴'!$F:$F,$A26,'単価履歴'!$O:$O,
MAXIFS('単価履歴'!$O:$O,'単価履歴'!$E:$E,BK$1,'単価履歴'!$F:$F,$A26))=0,"",
MAXIFS('単価履歴'!$H:$H,'単価履歴'!$E:$E,BK$1,'単価履歴'!$F:$F,$A26,'単価履歴'!$O:$O,
MAXIFS('単価履歴'!$O:$O,'単価履歴'!$E:$E,BK$1,'単価履歴'!$F:$F,$A26)))</f>
        <v/>
      </c>
      <c r="BL26" s="264" t="str">
        <f>IF(MAXIFS('単価履歴'!$H:$H,'単価履歴'!$E:$E,BL$1,'単価履歴'!$F:$F,$A26,'単価履歴'!$O:$O,
MAXIFS('単価履歴'!$O:$O,'単価履歴'!$E:$E,BL$1,'単価履歴'!$F:$F,$A26))=0,"",
MAXIFS('単価履歴'!$H:$H,'単価履歴'!$E:$E,BL$1,'単価履歴'!$F:$F,$A26,'単価履歴'!$O:$O,
MAXIFS('単価履歴'!$O:$O,'単価履歴'!$E:$E,BL$1,'単価履歴'!$F:$F,$A26)))</f>
        <v/>
      </c>
      <c r="BM26" s="264" t="str">
        <f>IF(MAXIFS('単価履歴'!$H:$H,'単価履歴'!$E:$E,BM$1,'単価履歴'!$F:$F,$A26,'単価履歴'!$O:$O,
MAXIFS('単価履歴'!$O:$O,'単価履歴'!$E:$E,BM$1,'単価履歴'!$F:$F,$A26))=0,"",
MAXIFS('単価履歴'!$H:$H,'単価履歴'!$E:$E,BM$1,'単価履歴'!$F:$F,$A26,'単価履歴'!$O:$O,
MAXIFS('単価履歴'!$O:$O,'単価履歴'!$E:$E,BM$1,'単価履歴'!$F:$F,$A26)))</f>
        <v/>
      </c>
      <c r="BN26" s="263" t="str">
        <f>IF(MAXIFS('単価履歴'!$H:$H,'単価履歴'!$E:$E,BN$1,'単価履歴'!$F:$F,$A26,'単価履歴'!$O:$O,
MAXIFS('単価履歴'!$O:$O,'単価履歴'!$E:$E,BN$1,'単価履歴'!$F:$F,$A26))=0,"",
MAXIFS('単価履歴'!$H:$H,'単価履歴'!$E:$E,BN$1,'単価履歴'!$F:$F,$A26,'単価履歴'!$O:$O,
MAXIFS('単価履歴'!$O:$O,'単価履歴'!$E:$E,BN$1,'単価履歴'!$F:$F,$A26)))</f>
        <v/>
      </c>
      <c r="BO26" s="256" t="str">
        <f>IF(MAXIFS('単価履歴'!$H:$H,'単価履歴'!$E:$E,BO$1,'単価履歴'!$F:$F,$A26,'単価履歴'!$O:$O,
MAXIFS('単価履歴'!$O:$O,'単価履歴'!$E:$E,BO$1,'単価履歴'!$F:$F,$A26))=0,"",
MAXIFS('単価履歴'!$H:$H,'単価履歴'!$E:$E,BO$1,'単価履歴'!$F:$F,$A26,'単価履歴'!$O:$O,
MAXIFS('単価履歴'!$O:$O,'単価履歴'!$E:$E,BO$1,'単価履歴'!$F:$F,$A26)))</f>
        <v/>
      </c>
      <c r="BP26" s="264" t="str">
        <f>IF(MAXIFS('単価履歴'!$H:$H,'単価履歴'!$E:$E,BP$1,'単価履歴'!$F:$F,$A26,'単価履歴'!$O:$O,
MAXIFS('単価履歴'!$O:$O,'単価履歴'!$E:$E,BP$1,'単価履歴'!$F:$F,$A26))=0,"",
MAXIFS('単価履歴'!$H:$H,'単価履歴'!$E:$E,BP$1,'単価履歴'!$F:$F,$A26,'単価履歴'!$O:$O,
MAXIFS('単価履歴'!$O:$O,'単価履歴'!$E:$E,BP$1,'単価履歴'!$F:$F,$A26)))</f>
        <v/>
      </c>
      <c r="BQ26" s="256"/>
      <c r="BR26" s="256"/>
      <c r="BS26" s="256"/>
      <c r="BT26" s="256"/>
      <c r="BU26" s="256"/>
      <c r="BV26" s="256"/>
      <c r="BW26" s="256"/>
      <c r="BX26" s="256"/>
    </row>
    <row r="27">
      <c r="A27" s="267" t="s">
        <v>149</v>
      </c>
      <c r="B27" s="246" t="str">
        <f>IF(MAXIFS('単価履歴'!$H:$H,'単価履歴'!$E:$E,B$1,'単価履歴'!$F:$F,$A27,'単価履歴'!$O:$O,
MAXIFS('単価履歴'!$O:$O,'単価履歴'!$E:$E,B$1,'単価履歴'!$F:$F,$A27))=0,"",
MAXIFS('単価履歴'!$H:$H,'単価履歴'!$E:$E,B$1,'単価履歴'!$F:$F,$A27,'単価履歴'!$O:$O,
MAXIFS('単価履歴'!$O:$O,'単価履歴'!$E:$E,B$1,'単価履歴'!$F:$F,$A27)))</f>
        <v/>
      </c>
      <c r="C27" s="251" t="str">
        <f>IF(MAXIFS('単価履歴'!$H:$H,'単価履歴'!$E:$E,C$1,'単価履歴'!$F:$F,$A27,'単価履歴'!$O:$O,
MAXIFS('単価履歴'!$O:$O,'単価履歴'!$E:$E,C$1,'単価履歴'!$F:$F,$A27))=0,"",
MAXIFS('単価履歴'!$H:$H,'単価履歴'!$E:$E,C$1,'単価履歴'!$F:$F,$A27,'単価履歴'!$O:$O,
MAXIFS('単価履歴'!$O:$O,'単価履歴'!$E:$E,C$1,'単価履歴'!$F:$F,$A27)))</f>
        <v/>
      </c>
      <c r="D27" s="249" t="str">
        <f>IF(MAXIFS('単価履歴'!$H:$H,'単価履歴'!$E:$E,D$1,'単価履歴'!$F:$F,$A27,'単価履歴'!$O:$O,
MAXIFS('単価履歴'!$O:$O,'単価履歴'!$E:$E,D$1,'単価履歴'!$F:$F,$A27))=0,"",
MAXIFS('単価履歴'!$H:$H,'単価履歴'!$E:$E,D$1,'単価履歴'!$F:$F,$A27,'単価履歴'!$O:$O,
MAXIFS('単価履歴'!$O:$O,'単価履歴'!$E:$E,D$1,'単価履歴'!$F:$F,$A27)))</f>
        <v/>
      </c>
      <c r="E27" s="249" t="str">
        <f>IF(MAXIFS('単価履歴'!$H:$H,'単価履歴'!$E:$E,E$1,'単価履歴'!$F:$F,$A27,'単価履歴'!$O:$O,
MAXIFS('単価履歴'!$O:$O,'単価履歴'!$E:$E,E$1,'単価履歴'!$F:$F,$A27))=0,"",
MAXIFS('単価履歴'!$H:$H,'単価履歴'!$E:$E,E$1,'単価履歴'!$F:$F,$A27,'単価履歴'!$O:$O,
MAXIFS('単価履歴'!$O:$O,'単価履歴'!$E:$E,E$1,'単価履歴'!$F:$F,$A27)))</f>
        <v/>
      </c>
      <c r="F27" s="249" t="str">
        <f>IF(MAXIFS('単価履歴'!$H:$H,'単価履歴'!$E:$E,F$1,'単価履歴'!$F:$F,$A27,'単価履歴'!$O:$O,
MAXIFS('単価履歴'!$O:$O,'単価履歴'!$E:$E,F$1,'単価履歴'!$F:$F,$A27))=0,"",
MAXIFS('単価履歴'!$H:$H,'単価履歴'!$E:$E,F$1,'単価履歴'!$F:$F,$A27,'単価履歴'!$O:$O,
MAXIFS('単価履歴'!$O:$O,'単価履歴'!$E:$E,F$1,'単価履歴'!$F:$F,$A27)))</f>
        <v/>
      </c>
      <c r="G27" s="248" t="str">
        <f>IF(MAXIFS('単価履歴'!$H:$H,'単価履歴'!$E:$E,G$1,'単価履歴'!$F:$F,$A27,'単価履歴'!$O:$O,
MAXIFS('単価履歴'!$O:$O,'単価履歴'!$E:$E,G$1,'単価履歴'!$F:$F,$A27))=0,"",
MAXIFS('単価履歴'!$H:$H,'単価履歴'!$E:$E,G$1,'単価履歴'!$F:$F,$A27,'単価履歴'!$O:$O,
MAXIFS('単価履歴'!$O:$O,'単価履歴'!$E:$E,G$1,'単価履歴'!$F:$F,$A27)))</f>
        <v/>
      </c>
      <c r="H27" s="249" t="str">
        <f>IF(MAXIFS('単価履歴'!$H:$H,'単価履歴'!$E:$E,H$1,'単価履歴'!$F:$F,$A27,'単価履歴'!$O:$O,
MAXIFS('単価履歴'!$O:$O,'単価履歴'!$E:$E,H$1,'単価履歴'!$F:$F,$A27))=0,"",
MAXIFS('単価履歴'!$H:$H,'単価履歴'!$E:$E,H$1,'単価履歴'!$F:$F,$A27,'単価履歴'!$O:$O,
MAXIFS('単価履歴'!$O:$O,'単価履歴'!$E:$E,H$1,'単価履歴'!$F:$F,$A27)))</f>
        <v/>
      </c>
      <c r="I27" s="249" t="str">
        <f>IF(MAXIFS('単価履歴'!$H:$H,'単価履歴'!$E:$E,I$1,'単価履歴'!$F:$F,$A27,'単価履歴'!$O:$O,
MAXIFS('単価履歴'!$O:$O,'単価履歴'!$E:$E,I$1,'単価履歴'!$F:$F,$A27))=0,"",
MAXIFS('単価履歴'!$H:$H,'単価履歴'!$E:$E,I$1,'単価履歴'!$F:$F,$A27,'単価履歴'!$O:$O,
MAXIFS('単価履歴'!$O:$O,'単価履歴'!$E:$E,I$1,'単価履歴'!$F:$F,$A27)))</f>
        <v/>
      </c>
      <c r="J27" s="248" t="str">
        <f>IF(MAXIFS('単価履歴'!$H:$H,'単価履歴'!$E:$E,J$1,'単価履歴'!$F:$F,$A27,'単価履歴'!$O:$O,
MAXIFS('単価履歴'!$O:$O,'単価履歴'!$E:$E,J$1,'単価履歴'!$F:$F,$A27))=0,"",
MAXIFS('単価履歴'!$H:$H,'単価履歴'!$E:$E,J$1,'単価履歴'!$F:$F,$A27,'単価履歴'!$O:$O,
MAXIFS('単価履歴'!$O:$O,'単価履歴'!$E:$E,J$1,'単価履歴'!$F:$F,$A27)))</f>
        <v/>
      </c>
      <c r="K27" s="285">
        <v>29.3</v>
      </c>
      <c r="L27" s="285">
        <v>28.5</v>
      </c>
      <c r="M27" s="249"/>
      <c r="N27" s="249"/>
      <c r="O27" s="251" t="str">
        <f>IF(MAXIFS('単価履歴'!$H:$H,'単価履歴'!$E:$E,O$1,'単価履歴'!$F:$F,$A27,'単価履歴'!$O:$O,
MAXIFS('単価履歴'!$O:$O,'単価履歴'!$E:$E,O$1,'単価履歴'!$F:$F,$A27))=0,"",
MAXIFS('単価履歴'!$H:$H,'単価履歴'!$E:$E,O$1,'単価履歴'!$F:$F,$A27,'単価履歴'!$O:$O,
MAXIFS('単価履歴'!$O:$O,'単価履歴'!$E:$E,O$1,'単価履歴'!$F:$F,$A27)))</f>
        <v/>
      </c>
      <c r="P27" s="252" t="str">
        <f>IF(MAXIFS('単価履歴'!$H:$H,'単価履歴'!$E:$E,P$1,'単価履歴'!$F:$F,$A27,'単価履歴'!$O:$O,
MAXIFS('単価履歴'!$O:$O,'単価履歴'!$E:$E,P$1,'単価履歴'!$F:$F,$A27))=0,"",
MAXIFS('単価履歴'!$H:$H,'単価履歴'!$E:$E,P$1,'単価履歴'!$F:$F,$A27,'単価履歴'!$O:$O,
MAXIFS('単価履歴'!$O:$O,'単価履歴'!$E:$E,P$1,'単価履歴'!$F:$F,$A27)))</f>
        <v/>
      </c>
      <c r="Q27" s="248" t="str">
        <f>IF(MAXIFS('単価履歴'!$H:$H,'単価履歴'!$E:$E,Q$1,'単価履歴'!$F:$F,$A27,'単価履歴'!$O:$O,
MAXIFS('単価履歴'!$O:$O,'単価履歴'!$E:$E,Q$1,'単価履歴'!$F:$F,$A27))=0,"",
MAXIFS('単価履歴'!$H:$H,'単価履歴'!$E:$E,Q$1,'単価履歴'!$F:$F,$A27,'単価履歴'!$O:$O,
MAXIFS('単価履歴'!$O:$O,'単価履歴'!$E:$E,Q$1,'単価履歴'!$F:$F,$A27)))</f>
        <v/>
      </c>
      <c r="R27" s="252" t="str">
        <f>IF(MAXIFS('単価履歴'!$H:$H,'単価履歴'!$E:$E,R$1,'単価履歴'!$F:$F,$A27,'単価履歴'!$O:$O,
MAXIFS('単価履歴'!$O:$O,'単価履歴'!$E:$E,R$1,'単価履歴'!$F:$F,$A27))=0,"",
MAXIFS('単価履歴'!$H:$H,'単価履歴'!$E:$E,R$1,'単価履歴'!$F:$F,$A27,'単価履歴'!$O:$O,
MAXIFS('単価履歴'!$O:$O,'単価履歴'!$E:$E,R$1,'単価履歴'!$F:$F,$A27)))</f>
        <v/>
      </c>
      <c r="S27" s="251" t="str">
        <f>IF(MAXIFS('単価履歴'!$H:$H,'単価履歴'!$E:$E,S$1,'単価履歴'!$F:$F,$A27,'単価履歴'!$O:$O,
MAXIFS('単価履歴'!$O:$O,'単価履歴'!$E:$E,S$1,'単価履歴'!$F:$F,$A27))=0,"",
MAXIFS('単価履歴'!$H:$H,'単価履歴'!$E:$E,S$1,'単価履歴'!$F:$F,$A27,'単価履歴'!$O:$O,
MAXIFS('単価履歴'!$O:$O,'単価履歴'!$E:$E,S$1,'単価履歴'!$F:$F,$A27)))</f>
        <v/>
      </c>
      <c r="T27" s="249" t="str">
        <f>IF(MAXIFS('単価履歴'!$H:$H,'単価履歴'!$E:$E,T$1,'単価履歴'!$F:$F,$A27,'単価履歴'!$O:$O,
MAXIFS('単価履歴'!$O:$O,'単価履歴'!$E:$E,T$1,'単価履歴'!$F:$F,$A27))=0,"",
MAXIFS('単価履歴'!$H:$H,'単価履歴'!$E:$E,T$1,'単価履歴'!$F:$F,$A27,'単価履歴'!$O:$O,
MAXIFS('単価履歴'!$O:$O,'単価履歴'!$E:$E,T$1,'単価履歴'!$F:$F,$A27)))</f>
        <v/>
      </c>
      <c r="U27" s="249" t="str">
        <f>IF(MAXIFS('単価履歴'!$H:$H,'単価履歴'!$E:$E,U$1,'単価履歴'!$F:$F,$A27,'単価履歴'!$O:$O,
MAXIFS('単価履歴'!$O:$O,'単価履歴'!$E:$E,U$1,'単価履歴'!$F:$F,$A27))=0,"",
MAXIFS('単価履歴'!$H:$H,'単価履歴'!$E:$E,U$1,'単価履歴'!$F:$F,$A27,'単価履歴'!$O:$O,
MAXIFS('単価履歴'!$O:$O,'単価履歴'!$E:$E,U$1,'単価履歴'!$F:$F,$A27)))</f>
        <v/>
      </c>
      <c r="V27" s="251" t="str">
        <f>IF(MAXIFS('単価履歴'!$H:$H,'単価履歴'!$E:$E,V$1,'単価履歴'!$F:$F,$A27,'単価履歴'!$O:$O,
MAXIFS('単価履歴'!$O:$O,'単価履歴'!$E:$E,V$1,'単価履歴'!$F:$F,$A27))=0,"",
MAXIFS('単価履歴'!$H:$H,'単価履歴'!$E:$E,V$1,'単価履歴'!$F:$F,$A27,'単価履歴'!$O:$O,
MAXIFS('単価履歴'!$O:$O,'単価履歴'!$E:$E,V$1,'単価履歴'!$F:$F,$A27)))</f>
        <v/>
      </c>
      <c r="W27" s="252" t="str">
        <f>IF(MAXIFS('単価履歴'!$H:$H,'単価履歴'!$E:$E,W$1,'単価履歴'!$F:$F,$A27,'単価履歴'!$O:$O,
MAXIFS('単価履歴'!$O:$O,'単価履歴'!$E:$E,W$1,'単価履歴'!$F:$F,$A27))=0,"",
MAXIFS('単価履歴'!$H:$H,'単価履歴'!$E:$E,W$1,'単価履歴'!$F:$F,$A27,'単価履歴'!$O:$O,
MAXIFS('単価履歴'!$O:$O,'単価履歴'!$E:$E,W$1,'単価履歴'!$F:$F,$A27)))</f>
        <v/>
      </c>
      <c r="X27" s="249" t="str">
        <f>IF(MAXIFS('単価履歴'!$H:$H,'単価履歴'!$E:$E,X$1,'単価履歴'!$F:$F,$A27,'単価履歴'!$O:$O,
MAXIFS('単価履歴'!$O:$O,'単価履歴'!$E:$E,X$1,'単価履歴'!$F:$F,$A27))=0,"",
MAXIFS('単価履歴'!$H:$H,'単価履歴'!$E:$E,X$1,'単価履歴'!$F:$F,$A27,'単価履歴'!$O:$O,
MAXIFS('単価履歴'!$O:$O,'単価履歴'!$E:$E,X$1,'単価履歴'!$F:$F,$A27)))</f>
        <v/>
      </c>
      <c r="Y27" s="251" t="str">
        <f>IF(MAXIFS('単価履歴'!$H:$H,'単価履歴'!$E:$E,Y$1,'単価履歴'!$F:$F,$A27,'単価履歴'!$O:$O,
MAXIFS('単価履歴'!$O:$O,'単価履歴'!$E:$E,Y$1,'単価履歴'!$F:$F,$A27))=0,"",
MAXIFS('単価履歴'!$H:$H,'単価履歴'!$E:$E,Y$1,'単価履歴'!$F:$F,$A27,'単価履歴'!$O:$O,
MAXIFS('単価履歴'!$O:$O,'単価履歴'!$E:$E,Y$1,'単価履歴'!$F:$F,$A27)))</f>
        <v/>
      </c>
      <c r="Z27" s="249" t="str">
        <f>IF(MAXIFS('単価履歴'!$H:$H,'単価履歴'!$E:$E,Z$1,'単価履歴'!$F:$F,$A27,'単価履歴'!$O:$O,
MAXIFS('単価履歴'!$O:$O,'単価履歴'!$E:$E,Z$1,'単価履歴'!$F:$F,$A27))=0,"",
MAXIFS('単価履歴'!$H:$H,'単価履歴'!$E:$E,Z$1,'単価履歴'!$F:$F,$A27,'単価履歴'!$O:$O,
MAXIFS('単価履歴'!$O:$O,'単価履歴'!$E:$E,Z$1,'単価履歴'!$F:$F,$A27)))</f>
        <v/>
      </c>
      <c r="AA27" s="251" t="str">
        <f>IF(MAXIFS('単価履歴'!$H:$H,'単価履歴'!$E:$E,AA$1,'単価履歴'!$F:$F,$A27,'単価履歴'!$O:$O,
MAXIFS('単価履歴'!$O:$O,'単価履歴'!$E:$E,AA$1,'単価履歴'!$F:$F,$A27))=0,"",
MAXIFS('単価履歴'!$H:$H,'単価履歴'!$E:$E,AA$1,'単価履歴'!$F:$F,$A27,'単価履歴'!$O:$O,
MAXIFS('単価履歴'!$O:$O,'単価履歴'!$E:$E,AA$1,'単価履歴'!$F:$F,$A27)))</f>
        <v/>
      </c>
      <c r="AB27" s="252" t="str">
        <f>IF(MAXIFS('単価履歴'!$H:$H,'単価履歴'!$E:$E,AB$1,'単価履歴'!$F:$F,$A27,'単価履歴'!$O:$O,
MAXIFS('単価履歴'!$O:$O,'単価履歴'!$E:$E,AB$1,'単価履歴'!$F:$F,$A27))=0,"",
MAXIFS('単価履歴'!$H:$H,'単価履歴'!$E:$E,AB$1,'単価履歴'!$F:$F,$A27,'単価履歴'!$O:$O,
MAXIFS('単価履歴'!$O:$O,'単価履歴'!$E:$E,AB$1,'単価履歴'!$F:$F,$A27)))</f>
        <v/>
      </c>
      <c r="AC27" s="249" t="str">
        <f>IF(MAXIFS('単価履歴'!$H:$H,'単価履歴'!$E:$E,AC$1,'単価履歴'!$F:$F,$A27,'単価履歴'!$O:$O,
MAXIFS('単価履歴'!$O:$O,'単価履歴'!$E:$E,AC$1,'単価履歴'!$F:$F,$A27))=0,"",
MAXIFS('単価履歴'!$H:$H,'単価履歴'!$E:$E,AC$1,'単価履歴'!$F:$F,$A27,'単価履歴'!$O:$O,
MAXIFS('単価履歴'!$O:$O,'単価履歴'!$E:$E,AC$1,'単価履歴'!$F:$F,$A27)))</f>
        <v/>
      </c>
      <c r="AD27" s="251" t="str">
        <f>IF(MAXIFS('単価履歴'!$H:$H,'単価履歴'!$E:$E,AD$1,'単価履歴'!$F:$F,$A27,'単価履歴'!$O:$O,
MAXIFS('単価履歴'!$O:$O,'単価履歴'!$E:$E,AD$1,'単価履歴'!$F:$F,$A27))=0,"",
MAXIFS('単価履歴'!$H:$H,'単価履歴'!$E:$E,AD$1,'単価履歴'!$F:$F,$A27,'単価履歴'!$O:$O,
MAXIFS('単価履歴'!$O:$O,'単価履歴'!$E:$E,AD$1,'単価履歴'!$F:$F,$A27)))</f>
        <v/>
      </c>
      <c r="AE27" s="252" t="str">
        <f>IF(MAXIFS('単価履歴'!$H:$H,'単価履歴'!$E:$E,AE$1,'単価履歴'!$F:$F,$A27,'単価履歴'!$O:$O,
MAXIFS('単価履歴'!$O:$O,'単価履歴'!$E:$E,AE$1,'単価履歴'!$F:$F,$A27))=0,"",
MAXIFS('単価履歴'!$H:$H,'単価履歴'!$E:$E,AE$1,'単価履歴'!$F:$F,$A27,'単価履歴'!$O:$O,
MAXIFS('単価履歴'!$O:$O,'単価履歴'!$E:$E,AE$1,'単価履歴'!$F:$F,$A27)))</f>
        <v/>
      </c>
      <c r="AF27" s="249" t="str">
        <f>IF(MAXIFS('単価履歴'!$H:$H,'単価履歴'!$E:$E,AF$1,'単価履歴'!$F:$F,$A27,'単価履歴'!$O:$O,
MAXIFS('単価履歴'!$O:$O,'単価履歴'!$E:$E,AF$1,'単価履歴'!$F:$F,$A27))=0,"",
MAXIFS('単価履歴'!$H:$H,'単価履歴'!$E:$E,AF$1,'単価履歴'!$F:$F,$A27,'単価履歴'!$O:$O,
MAXIFS('単価履歴'!$O:$O,'単価履歴'!$E:$E,AF$1,'単価履歴'!$F:$F,$A27)))</f>
        <v/>
      </c>
      <c r="AG27" s="248" t="str">
        <f>IF(MAXIFS('単価履歴'!$H:$H,'単価履歴'!$E:$E,AG$1,'単価履歴'!$F:$F,$A27,'単価履歴'!$O:$O,
MAXIFS('単価履歴'!$O:$O,'単価履歴'!$E:$E,AG$1,'単価履歴'!$F:$F,$A27))=0,"",
MAXIFS('単価履歴'!$H:$H,'単価履歴'!$E:$E,AG$1,'単価履歴'!$F:$F,$A27,'単価履歴'!$O:$O,
MAXIFS('単価履歴'!$O:$O,'単価履歴'!$E:$E,AG$1,'単価履歴'!$F:$F,$A27)))</f>
        <v/>
      </c>
      <c r="AH27" s="249" t="str">
        <f>IF(MAXIFS('単価履歴'!$H:$H,'単価履歴'!$E:$E,AH$1,'単価履歴'!$F:$F,$A27,'単価履歴'!$O:$O,
MAXIFS('単価履歴'!$O:$O,'単価履歴'!$E:$E,AH$1,'単価履歴'!$F:$F,$A27))=0,"",
MAXIFS('単価履歴'!$H:$H,'単価履歴'!$E:$E,AH$1,'単価履歴'!$F:$F,$A27,'単価履歴'!$O:$O,
MAXIFS('単価履歴'!$O:$O,'単価履歴'!$E:$E,AH$1,'単価履歴'!$F:$F,$A27)))</f>
        <v/>
      </c>
      <c r="AI27" s="251" t="str">
        <f>IF(MAXIFS('単価履歴'!$H:$H,'単価履歴'!$E:$E,AI$1,'単価履歴'!$F:$F,$A27,'単価履歴'!$O:$O,
MAXIFS('単価履歴'!$O:$O,'単価履歴'!$E:$E,AI$1,'単価履歴'!$F:$F,$A27))=0,"",
MAXIFS('単価履歴'!$H:$H,'単価履歴'!$E:$E,AI$1,'単価履歴'!$F:$F,$A27,'単価履歴'!$O:$O,
MAXIFS('単価履歴'!$O:$O,'単価履歴'!$E:$E,AI$1,'単価履歴'!$F:$F,$A27)))</f>
        <v/>
      </c>
      <c r="AJ27" s="249" t="str">
        <f>IF(MAXIFS('単価履歴'!$H:$H,'単価履歴'!$E:$E,AJ$1,'単価履歴'!$F:$F,$A27,'単価履歴'!$O:$O,
MAXIFS('単価履歴'!$O:$O,'単価履歴'!$E:$E,AJ$1,'単価履歴'!$F:$F,$A27))=0,"",
MAXIFS('単価履歴'!$H:$H,'単価履歴'!$E:$E,AJ$1,'単価履歴'!$F:$F,$A27,'単価履歴'!$O:$O,
MAXIFS('単価履歴'!$O:$O,'単価履歴'!$E:$E,AJ$1,'単価履歴'!$F:$F,$A27)))</f>
        <v/>
      </c>
      <c r="AK27" s="251" t="str">
        <f>IF(MAXIFS('単価履歴'!$H:$H,'単価履歴'!$E:$E,AK$1,'単価履歴'!$F:$F,$A27,'単価履歴'!$O:$O,
MAXIFS('単価履歴'!$O:$O,'単価履歴'!$E:$E,AK$1,'単価履歴'!$F:$F,$A27))=0,"",
MAXIFS('単価履歴'!$H:$H,'単価履歴'!$E:$E,AK$1,'単価履歴'!$F:$F,$A27,'単価履歴'!$O:$O,
MAXIFS('単価履歴'!$O:$O,'単価履歴'!$E:$E,AK$1,'単価履歴'!$F:$F,$A27)))</f>
        <v/>
      </c>
      <c r="AL27" s="249" t="str">
        <f>IF(MAXIFS('単価履歴'!$H:$H,'単価履歴'!$E:$E,AL$1,'単価履歴'!$F:$F,$A27,'単価履歴'!$O:$O,
MAXIFS('単価履歴'!$O:$O,'単価履歴'!$E:$E,AL$1,'単価履歴'!$F:$F,$A27))=0,"",
MAXIFS('単価履歴'!$H:$H,'単価履歴'!$E:$E,AL$1,'単価履歴'!$F:$F,$A27,'単価履歴'!$O:$O,
MAXIFS('単価履歴'!$O:$O,'単価履歴'!$E:$E,AL$1,'単価履歴'!$F:$F,$A27)))</f>
        <v/>
      </c>
      <c r="AM27" s="251" t="str">
        <f>IF(MAXIFS('単価履歴'!$H:$H,'単価履歴'!$E:$E,AM$1,'単価履歴'!$F:$F,$A27,'単価履歴'!$O:$O,
MAXIFS('単価履歴'!$O:$O,'単価履歴'!$E:$E,AM$1,'単価履歴'!$F:$F,$A27))=0,"",
MAXIFS('単価履歴'!$H:$H,'単価履歴'!$E:$E,AM$1,'単価履歴'!$F:$F,$A27,'単価履歴'!$O:$O,
MAXIFS('単価履歴'!$O:$O,'単価履歴'!$E:$E,AM$1,'単価履歴'!$F:$F,$A27)))</f>
        <v/>
      </c>
      <c r="AN27" s="252" t="str">
        <f>IF(MAXIFS('単価履歴'!$H:$H,'単価履歴'!$E:$E,AN$1,'単価履歴'!$F:$F,$A27,'単価履歴'!$O:$O,
MAXIFS('単価履歴'!$O:$O,'単価履歴'!$E:$E,AN$1,'単価履歴'!$F:$F,$A27))=0,"",
MAXIFS('単価履歴'!$H:$H,'単価履歴'!$E:$E,AN$1,'単価履歴'!$F:$F,$A27,'単価履歴'!$O:$O,
MAXIFS('単価履歴'!$O:$O,'単価履歴'!$E:$E,AN$1,'単価履歴'!$F:$F,$A27)))</f>
        <v/>
      </c>
      <c r="AO27" s="251" t="str">
        <f>IF(MAXIFS('単価履歴'!$H:$H,'単価履歴'!$E:$E,AO$1,'単価履歴'!$F:$F,$A27,'単価履歴'!$O:$O,
MAXIFS('単価履歴'!$O:$O,'単価履歴'!$E:$E,AO$1,'単価履歴'!$F:$F,$A27))=0,"",
MAXIFS('単価履歴'!$H:$H,'単価履歴'!$E:$E,AO$1,'単価履歴'!$F:$F,$A27,'単価履歴'!$O:$O,
MAXIFS('単価履歴'!$O:$O,'単価履歴'!$E:$E,AO$1,'単価履歴'!$F:$F,$A27)))</f>
        <v/>
      </c>
      <c r="AP27" s="252" t="str">
        <f>IF(MAXIFS('単価履歴'!$H:$H,'単価履歴'!$E:$E,AP$1,'単価履歴'!$F:$F,$A27,'単価履歴'!$O:$O,
MAXIFS('単価履歴'!$O:$O,'単価履歴'!$E:$E,AP$1,'単価履歴'!$F:$F,$A27))=0,"",
MAXIFS('単価履歴'!$H:$H,'単価履歴'!$E:$E,AP$1,'単価履歴'!$F:$F,$A27,'単価履歴'!$O:$O,
MAXIFS('単価履歴'!$O:$O,'単価履歴'!$E:$E,AP$1,'単価履歴'!$F:$F,$A27)))</f>
        <v/>
      </c>
      <c r="AQ27" s="249" t="str">
        <f>IF(MAXIFS('単価履歴'!$H:$H,'単価履歴'!$E:$E,AQ$1,'単価履歴'!$F:$F,$A27,'単価履歴'!$O:$O,
MAXIFS('単価履歴'!$O:$O,'単価履歴'!$E:$E,AQ$1,'単価履歴'!$F:$F,$A27))=0,"",
MAXIFS('単価履歴'!$H:$H,'単価履歴'!$E:$E,AQ$1,'単価履歴'!$F:$F,$A27,'単価履歴'!$O:$O,
MAXIFS('単価履歴'!$O:$O,'単価履歴'!$E:$E,AQ$1,'単価履歴'!$F:$F,$A27)))</f>
        <v/>
      </c>
      <c r="AR27" s="252" t="str">
        <f>IF(MAXIFS('単価履歴'!$H:$H,'単価履歴'!$E:$E,AR$1,'単価履歴'!$F:$F,$A27,'単価履歴'!$O:$O,
MAXIFS('単価履歴'!$O:$O,'単価履歴'!$E:$E,AR$1,'単価履歴'!$F:$F,$A27))=0,"",
MAXIFS('単価履歴'!$H:$H,'単価履歴'!$E:$E,AR$1,'単価履歴'!$F:$F,$A27,'単価履歴'!$O:$O,
MAXIFS('単価履歴'!$O:$O,'単価履歴'!$E:$E,AR$1,'単価履歴'!$F:$F,$A27)))</f>
        <v/>
      </c>
      <c r="AS27" s="249" t="str">
        <f>IF(MAXIFS('単価履歴'!$H:$H,'単価履歴'!$E:$E,AS$1,'単価履歴'!$F:$F,$A27,'単価履歴'!$O:$O,
MAXIFS('単価履歴'!$O:$O,'単価履歴'!$E:$E,AS$1,'単価履歴'!$F:$F,$A27))=0,"",
MAXIFS('単価履歴'!$H:$H,'単価履歴'!$E:$E,AS$1,'単価履歴'!$F:$F,$A27,'単価履歴'!$O:$O,
MAXIFS('単価履歴'!$O:$O,'単価履歴'!$E:$E,AS$1,'単価履歴'!$F:$F,$A27)))</f>
        <v/>
      </c>
      <c r="AT27" s="249" t="str">
        <f>IF(MAXIFS('単価履歴'!$H:$H,'単価履歴'!$E:$E,AT$1,'単価履歴'!$F:$F,$A27,'単価履歴'!$O:$O,
MAXIFS('単価履歴'!$O:$O,'単価履歴'!$E:$E,AT$1,'単価履歴'!$F:$F,$A27))=0,"",
MAXIFS('単価履歴'!$H:$H,'単価履歴'!$E:$E,AT$1,'単価履歴'!$F:$F,$A27,'単価履歴'!$O:$O,
MAXIFS('単価履歴'!$O:$O,'単価履歴'!$E:$E,AT$1,'単価履歴'!$F:$F,$A27)))</f>
        <v/>
      </c>
      <c r="AU27" s="249" t="str">
        <f>IF(MAXIFS('単価履歴'!$H:$H,'単価履歴'!$E:$E,AU$1,'単価履歴'!$F:$F,$A27,'単価履歴'!$O:$O,
MAXIFS('単価履歴'!$O:$O,'単価履歴'!$E:$E,AU$1,'単価履歴'!$F:$F,$A27))=0,"",
MAXIFS('単価履歴'!$H:$H,'単価履歴'!$E:$E,AU$1,'単価履歴'!$F:$F,$A27,'単価履歴'!$O:$O,
MAXIFS('単価履歴'!$O:$O,'単価履歴'!$E:$E,AU$1,'単価履歴'!$F:$F,$A27)))</f>
        <v/>
      </c>
      <c r="AV27" s="249" t="str">
        <f>IF(MAXIFS('単価履歴'!$H:$H,'単価履歴'!$E:$E,AV$1,'単価履歴'!$F:$F,$A27,'単価履歴'!$O:$O,
MAXIFS('単価履歴'!$O:$O,'単価履歴'!$E:$E,AV$1,'単価履歴'!$F:$F,$A27))=0,"",
MAXIFS('単価履歴'!$H:$H,'単価履歴'!$E:$E,AV$1,'単価履歴'!$F:$F,$A27,'単価履歴'!$O:$O,
MAXIFS('単価履歴'!$O:$O,'単価履歴'!$E:$E,AV$1,'単価履歴'!$F:$F,$A27)))</f>
        <v/>
      </c>
      <c r="AW27" s="248" t="str">
        <f>IF(MAXIFS('単価履歴'!$H:$H,'単価履歴'!$E:$E,AW$1,'単価履歴'!$F:$F,$A27,'単価履歴'!$O:$O,
MAXIFS('単価履歴'!$O:$O,'単価履歴'!$E:$E,AW$1,'単価履歴'!$F:$F,$A27))=0,"",
MAXIFS('単価履歴'!$H:$H,'単価履歴'!$E:$E,AW$1,'単価履歴'!$F:$F,$A27,'単価履歴'!$O:$O,
MAXIFS('単価履歴'!$O:$O,'単価履歴'!$E:$E,AW$1,'単価履歴'!$F:$F,$A27)))</f>
        <v/>
      </c>
      <c r="AX27" s="249" t="str">
        <f>IF(MAXIFS('単価履歴'!$H:$H,'単価履歴'!$E:$E,AX$1,'単価履歴'!$F:$F,$A27,'単価履歴'!$O:$O,
MAXIFS('単価履歴'!$O:$O,'単価履歴'!$E:$E,AX$1,'単価履歴'!$F:$F,$A27))=0,"",
MAXIFS('単価履歴'!$H:$H,'単価履歴'!$E:$E,AX$1,'単価履歴'!$F:$F,$A27,'単価履歴'!$O:$O,
MAXIFS('単価履歴'!$O:$O,'単価履歴'!$E:$E,AX$1,'単価履歴'!$F:$F,$A27)))</f>
        <v/>
      </c>
      <c r="AY27" s="251" t="str">
        <f>IF(MAXIFS('単価履歴'!$H:$H,'単価履歴'!$E:$E,AY$1,'単価履歴'!$F:$F,$A27,'単価履歴'!$O:$O,
MAXIFS('単価履歴'!$O:$O,'単価履歴'!$E:$E,AY$1,'単価履歴'!$F:$F,$A27))=0,"",
MAXIFS('単価履歴'!$H:$H,'単価履歴'!$E:$E,AY$1,'単価履歴'!$F:$F,$A27,'単価履歴'!$O:$O,
MAXIFS('単価履歴'!$O:$O,'単価履歴'!$E:$E,AY$1,'単価履歴'!$F:$F,$A27)))</f>
        <v/>
      </c>
      <c r="AZ27" s="249" t="str">
        <f>IF(MAXIFS('単価履歴'!$H:$H,'単価履歴'!$E:$E,AZ$1,'単価履歴'!$F:$F,$A27,'単価履歴'!$O:$O,
MAXIFS('単価履歴'!$O:$O,'単価履歴'!$E:$E,AZ$1,'単価履歴'!$F:$F,$A27))=0,"",
MAXIFS('単価履歴'!$H:$H,'単価履歴'!$E:$E,AZ$1,'単価履歴'!$F:$F,$A27,'単価履歴'!$O:$O,
MAXIFS('単価履歴'!$O:$O,'単価履歴'!$E:$E,AZ$1,'単価履歴'!$F:$F,$A27)))</f>
        <v/>
      </c>
      <c r="BA27" s="248" t="str">
        <f>IF(MAXIFS('単価履歴'!$H:$H,'単価履歴'!$E:$E,BA$1,'単価履歴'!$F:$F,$A27,'単価履歴'!$O:$O,
MAXIFS('単価履歴'!$O:$O,'単価履歴'!$E:$E,BA$1,'単価履歴'!$F:$F,$A27))=0,"",
MAXIFS('単価履歴'!$H:$H,'単価履歴'!$E:$E,BA$1,'単価履歴'!$F:$F,$A27,'単価履歴'!$O:$O,
MAXIFS('単価履歴'!$O:$O,'単価履歴'!$E:$E,BA$1,'単価履歴'!$F:$F,$A27)))</f>
        <v/>
      </c>
      <c r="BB27" s="249" t="str">
        <f>IF(MAXIFS('単価履歴'!$H:$H,'単価履歴'!$E:$E,BB$1,'単価履歴'!$F:$F,$A27,'単価履歴'!$O:$O,
MAXIFS('単価履歴'!$O:$O,'単価履歴'!$E:$E,BB$1,'単価履歴'!$F:$F,$A27))=0,"",
MAXIFS('単価履歴'!$H:$H,'単価履歴'!$E:$E,BB$1,'単価履歴'!$F:$F,$A27,'単価履歴'!$O:$O,
MAXIFS('単価履歴'!$O:$O,'単価履歴'!$E:$E,BB$1,'単価履歴'!$F:$F,$A27)))</f>
        <v/>
      </c>
      <c r="BC27" s="251" t="str">
        <f>IF(MAXIFS('単価履歴'!$H:$H,'単価履歴'!$E:$E,BC$1,'単価履歴'!$F:$F,$A27,'単価履歴'!$O:$O,
MAXIFS('単価履歴'!$O:$O,'単価履歴'!$E:$E,BC$1,'単価履歴'!$F:$F,$A27))=0,"",
MAXIFS('単価履歴'!$H:$H,'単価履歴'!$E:$E,BC$1,'単価履歴'!$F:$F,$A27,'単価履歴'!$O:$O,
MAXIFS('単価履歴'!$O:$O,'単価履歴'!$E:$E,BC$1,'単価履歴'!$F:$F,$A27)))</f>
        <v/>
      </c>
      <c r="BD27" s="248" t="str">
        <f>IF(MAXIFS('単価履歴'!$H:$H,'単価履歴'!$E:$E,BD$1,'単価履歴'!$F:$F,$A27,'単価履歴'!$O:$O,
MAXIFS('単価履歴'!$O:$O,'単価履歴'!$E:$E,BD$1,'単価履歴'!$F:$F,$A27))=0,"",
MAXIFS('単価履歴'!$H:$H,'単価履歴'!$E:$E,BD$1,'単価履歴'!$F:$F,$A27,'単価履歴'!$O:$O,
MAXIFS('単価履歴'!$O:$O,'単価履歴'!$E:$E,BD$1,'単価履歴'!$F:$F,$A27)))</f>
        <v/>
      </c>
      <c r="BE27" s="249" t="str">
        <f>IF(MAXIFS('単価履歴'!$H:$H,'単価履歴'!$E:$E,BE$1,'単価履歴'!$F:$F,$A27,'単価履歴'!$O:$O,
MAXIFS('単価履歴'!$O:$O,'単価履歴'!$E:$E,BE$1,'単価履歴'!$F:$F,$A27))=0,"",
MAXIFS('単価履歴'!$H:$H,'単価履歴'!$E:$E,BE$1,'単価履歴'!$F:$F,$A27,'単価履歴'!$O:$O,
MAXIFS('単価履歴'!$O:$O,'単価履歴'!$E:$E,BE$1,'単価履歴'!$F:$F,$A27)))</f>
        <v/>
      </c>
      <c r="BF27" s="248" t="str">
        <f>IF(MAXIFS('単価履歴'!$H:$H,'単価履歴'!$E:$E,BF$1,'単価履歴'!$F:$F,$A27,'単価履歴'!$O:$O,
MAXIFS('単価履歴'!$O:$O,'単価履歴'!$E:$E,BF$1,'単価履歴'!$F:$F,$A27))=0,"",
MAXIFS('単価履歴'!$H:$H,'単価履歴'!$E:$E,BF$1,'単価履歴'!$F:$F,$A27,'単価履歴'!$O:$O,
MAXIFS('単価履歴'!$O:$O,'単価履歴'!$E:$E,BF$1,'単価履歴'!$F:$F,$A27)))</f>
        <v/>
      </c>
      <c r="BG27" s="249" t="str">
        <f>IF(MAXIFS('単価履歴'!$H:$H,'単価履歴'!$E:$E,BG$1,'単価履歴'!$F:$F,$A27,'単価履歴'!$O:$O,
MAXIFS('単価履歴'!$O:$O,'単価履歴'!$E:$E,BG$1,'単価履歴'!$F:$F,$A27))=0,"",
MAXIFS('単価履歴'!$H:$H,'単価履歴'!$E:$E,BG$1,'単価履歴'!$F:$F,$A27,'単価履歴'!$O:$O,
MAXIFS('単価履歴'!$O:$O,'単価履歴'!$E:$E,BG$1,'単価履歴'!$F:$F,$A27)))</f>
        <v/>
      </c>
      <c r="BH27" s="249" t="str">
        <f>IF(MAXIFS('単価履歴'!$H:$H,'単価履歴'!$E:$E,BH$1,'単価履歴'!$F:$F,$A27,'単価履歴'!$O:$O,
MAXIFS('単価履歴'!$O:$O,'単価履歴'!$E:$E,BH$1,'単価履歴'!$F:$F,$A27))=0,"",
MAXIFS('単価履歴'!$H:$H,'単価履歴'!$E:$E,BH$1,'単価履歴'!$F:$F,$A27,'単価履歴'!$O:$O,
MAXIFS('単価履歴'!$O:$O,'単価履歴'!$E:$E,BH$1,'単価履歴'!$F:$F,$A27)))</f>
        <v/>
      </c>
      <c r="BI27" s="252" t="str">
        <f>IF(MAXIFS('単価履歴'!$H:$H,'単価履歴'!$E:$E,BI$1,'単価履歴'!$F:$F,$A27,'単価履歴'!$O:$O,
MAXIFS('単価履歴'!$O:$O,'単価履歴'!$E:$E,BI$1,'単価履歴'!$F:$F,$A27))=0,"",
MAXIFS('単価履歴'!$H:$H,'単価履歴'!$E:$E,BI$1,'単価履歴'!$F:$F,$A27,'単価履歴'!$O:$O,
MAXIFS('単価履歴'!$O:$O,'単価履歴'!$E:$E,BI$1,'単価履歴'!$F:$F,$A27)))</f>
        <v/>
      </c>
      <c r="BJ27" s="252" t="str">
        <f>IF(MAXIFS('単価履歴'!$H:$H,'単価履歴'!$E:$E,BJ$1,'単価履歴'!$F:$F,$A27,'単価履歴'!$O:$O,
MAXIFS('単価履歴'!$O:$O,'単価履歴'!$E:$E,BJ$1,'単価履歴'!$F:$F,$A27))=0,"",
MAXIFS('単価履歴'!$H:$H,'単価履歴'!$E:$E,BJ$1,'単価履歴'!$F:$F,$A27,'単価履歴'!$O:$O,
MAXIFS('単価履歴'!$O:$O,'単価履歴'!$E:$E,BJ$1,'単価履歴'!$F:$F,$A27)))</f>
        <v/>
      </c>
      <c r="BK27" s="252" t="str">
        <f>IF(MAXIFS('単価履歴'!$H:$H,'単価履歴'!$E:$E,BK$1,'単価履歴'!$F:$F,$A27,'単価履歴'!$O:$O,
MAXIFS('単価履歴'!$O:$O,'単価履歴'!$E:$E,BK$1,'単価履歴'!$F:$F,$A27))=0,"",
MAXIFS('単価履歴'!$H:$H,'単価履歴'!$E:$E,BK$1,'単価履歴'!$F:$F,$A27,'単価履歴'!$O:$O,
MAXIFS('単価履歴'!$O:$O,'単価履歴'!$E:$E,BK$1,'単価履歴'!$F:$F,$A27)))</f>
        <v/>
      </c>
      <c r="BL27" s="252" t="str">
        <f>IF(MAXIFS('単価履歴'!$H:$H,'単価履歴'!$E:$E,BL$1,'単価履歴'!$F:$F,$A27,'単価履歴'!$O:$O,
MAXIFS('単価履歴'!$O:$O,'単価履歴'!$E:$E,BL$1,'単価履歴'!$F:$F,$A27))=0,"",
MAXIFS('単価履歴'!$H:$H,'単価履歴'!$E:$E,BL$1,'単価履歴'!$F:$F,$A27,'単価履歴'!$O:$O,
MAXIFS('単価履歴'!$O:$O,'単価履歴'!$E:$E,BL$1,'単価履歴'!$F:$F,$A27)))</f>
        <v/>
      </c>
      <c r="BM27" s="252" t="str">
        <f>IF(MAXIFS('単価履歴'!$H:$H,'単価履歴'!$E:$E,BM$1,'単価履歴'!$F:$F,$A27,'単価履歴'!$O:$O,
MAXIFS('単価履歴'!$O:$O,'単価履歴'!$E:$E,BM$1,'単価履歴'!$F:$F,$A27))=0,"",
MAXIFS('単価履歴'!$H:$H,'単価履歴'!$E:$E,BM$1,'単価履歴'!$F:$F,$A27,'単価履歴'!$O:$O,
MAXIFS('単価履歴'!$O:$O,'単価履歴'!$E:$E,BM$1,'単価履歴'!$F:$F,$A27)))</f>
        <v/>
      </c>
      <c r="BN27" s="248" t="str">
        <f>IF(MAXIFS('単価履歴'!$H:$H,'単価履歴'!$E:$E,BN$1,'単価履歴'!$F:$F,$A27,'単価履歴'!$O:$O,
MAXIFS('単価履歴'!$O:$O,'単価履歴'!$E:$E,BN$1,'単価履歴'!$F:$F,$A27))=0,"",
MAXIFS('単価履歴'!$H:$H,'単価履歴'!$E:$E,BN$1,'単価履歴'!$F:$F,$A27,'単価履歴'!$O:$O,
MAXIFS('単価履歴'!$O:$O,'単価履歴'!$E:$E,BN$1,'単価履歴'!$F:$F,$A27)))</f>
        <v/>
      </c>
      <c r="BO27" s="249" t="str">
        <f>IF(MAXIFS('単価履歴'!$H:$H,'単価履歴'!$E:$E,BO$1,'単価履歴'!$F:$F,$A27,'単価履歴'!$O:$O,
MAXIFS('単価履歴'!$O:$O,'単価履歴'!$E:$E,BO$1,'単価履歴'!$F:$F,$A27))=0,"",
MAXIFS('単価履歴'!$H:$H,'単価履歴'!$E:$E,BO$1,'単価履歴'!$F:$F,$A27,'単価履歴'!$O:$O,
MAXIFS('単価履歴'!$O:$O,'単価履歴'!$E:$E,BO$1,'単価履歴'!$F:$F,$A27)))</f>
        <v/>
      </c>
      <c r="BP27" s="252" t="str">
        <f>IF(MAXIFS('単価履歴'!$H:$H,'単価履歴'!$E:$E,BP$1,'単価履歴'!$F:$F,$A27,'単価履歴'!$O:$O,
MAXIFS('単価履歴'!$O:$O,'単価履歴'!$E:$E,BP$1,'単価履歴'!$F:$F,$A27))=0,"",
MAXIFS('単価履歴'!$H:$H,'単価履歴'!$E:$E,BP$1,'単価履歴'!$F:$F,$A27,'単価履歴'!$O:$O,
MAXIFS('単価履歴'!$O:$O,'単価履歴'!$E:$E,BP$1,'単価履歴'!$F:$F,$A27)))</f>
        <v/>
      </c>
      <c r="BQ27" s="249"/>
      <c r="BR27" s="249"/>
      <c r="BS27" s="249"/>
      <c r="BT27" s="249"/>
      <c r="BU27" s="249"/>
      <c r="BV27" s="249"/>
      <c r="BW27" s="249"/>
      <c r="BX27" s="249"/>
    </row>
    <row r="28">
      <c r="A28" s="261" t="s">
        <v>151</v>
      </c>
      <c r="B28" s="246">
        <f>IF(MAXIFS('単価履歴'!$H:$H,'単価履歴'!$E:$E,B$1,'単価履歴'!$F:$F,$A28,'単価履歴'!$O:$O,
MAXIFS('単価履歴'!$O:$O,'単価履歴'!$E:$E,B$1,'単価履歴'!$F:$F,$A28))=0,"",
MAXIFS('単価履歴'!$H:$H,'単価履歴'!$E:$E,B$1,'単価履歴'!$F:$F,$A28,'単価履歴'!$O:$O,
MAXIFS('単価履歴'!$O:$O,'単価履歴'!$E:$E,B$1,'単価履歴'!$F:$F,$A28)))</f>
        <v>53.5</v>
      </c>
      <c r="C28" s="254" t="str">
        <f>IF(MAXIFS('単価履歴'!$H:$H,'単価履歴'!$E:$E,C$1,'単価履歴'!$F:$F,$A28,'単価履歴'!$O:$O,
MAXIFS('単価履歴'!$O:$O,'単価履歴'!$E:$E,C$1,'単価履歴'!$F:$F,$A28))=0,"",
MAXIFS('単価履歴'!$H:$H,'単価履歴'!$E:$E,C$1,'単価履歴'!$F:$F,$A28,'単価履歴'!$O:$O,
MAXIFS('単価履歴'!$O:$O,'単価履歴'!$E:$E,C$1,'単価履歴'!$F:$F,$A28)))</f>
        <v/>
      </c>
      <c r="D28" s="256" t="str">
        <f>IF(MAXIFS('単価履歴'!$H:$H,'単価履歴'!$E:$E,D$1,'単価履歴'!$F:$F,$A28,'単価履歴'!$O:$O,
MAXIFS('単価履歴'!$O:$O,'単価履歴'!$E:$E,D$1,'単価履歴'!$F:$F,$A28))=0,"",
MAXIFS('単価履歴'!$H:$H,'単価履歴'!$E:$E,D$1,'単価履歴'!$F:$F,$A28,'単価履歴'!$O:$O,
MAXIFS('単価履歴'!$O:$O,'単価履歴'!$E:$E,D$1,'単価履歴'!$F:$F,$A28)))</f>
        <v/>
      </c>
      <c r="E28" s="256" t="str">
        <f>IF(MAXIFS('単価履歴'!$H:$H,'単価履歴'!$E:$E,E$1,'単価履歴'!$F:$F,$A28,'単価履歴'!$O:$O,
MAXIFS('単価履歴'!$O:$O,'単価履歴'!$E:$E,E$1,'単価履歴'!$F:$F,$A28))=0,"",
MAXIFS('単価履歴'!$H:$H,'単価履歴'!$E:$E,E$1,'単価履歴'!$F:$F,$A28,'単価履歴'!$O:$O,
MAXIFS('単価履歴'!$O:$O,'単価履歴'!$E:$E,E$1,'単価履歴'!$F:$F,$A28)))</f>
        <v/>
      </c>
      <c r="F28" s="256" t="str">
        <f>IF(MAXIFS('単価履歴'!$H:$H,'単価履歴'!$E:$E,F$1,'単価履歴'!$F:$F,$A28,'単価履歴'!$O:$O,
MAXIFS('単価履歴'!$O:$O,'単価履歴'!$E:$E,F$1,'単価履歴'!$F:$F,$A28))=0,"",
MAXIFS('単価履歴'!$H:$H,'単価履歴'!$E:$E,F$1,'単価履歴'!$F:$F,$A28,'単価履歴'!$O:$O,
MAXIFS('単価履歴'!$O:$O,'単価履歴'!$E:$E,F$1,'単価履歴'!$F:$F,$A28)))</f>
        <v/>
      </c>
      <c r="G28" s="263" t="str">
        <f>IF(MAXIFS('単価履歴'!$H:$H,'単価履歴'!$E:$E,G$1,'単価履歴'!$F:$F,$A28,'単価履歴'!$O:$O,
MAXIFS('単価履歴'!$O:$O,'単価履歴'!$E:$E,G$1,'単価履歴'!$F:$F,$A28))=0,"",
MAXIFS('単価履歴'!$H:$H,'単価履歴'!$E:$E,G$1,'単価履歴'!$F:$F,$A28,'単価履歴'!$O:$O,
MAXIFS('単価履歴'!$O:$O,'単価履歴'!$E:$E,G$1,'単価履歴'!$F:$F,$A28)))</f>
        <v/>
      </c>
      <c r="H28" s="256" t="str">
        <f>IF(MAXIFS('単価履歴'!$H:$H,'単価履歴'!$E:$E,H$1,'単価履歴'!$F:$F,$A28,'単価履歴'!$O:$O,
MAXIFS('単価履歴'!$O:$O,'単価履歴'!$E:$E,H$1,'単価履歴'!$F:$F,$A28))=0,"",
MAXIFS('単価履歴'!$H:$H,'単価履歴'!$E:$E,H$1,'単価履歴'!$F:$F,$A28,'単価履歴'!$O:$O,
MAXIFS('単価履歴'!$O:$O,'単価履歴'!$E:$E,H$1,'単価履歴'!$F:$F,$A28)))</f>
        <v/>
      </c>
      <c r="I28" s="256" t="str">
        <f>IF(MAXIFS('単価履歴'!$H:$H,'単価履歴'!$E:$E,I$1,'単価履歴'!$F:$F,$A28,'単価履歴'!$O:$O,
MAXIFS('単価履歴'!$O:$O,'単価履歴'!$E:$E,I$1,'単価履歴'!$F:$F,$A28))=0,"",
MAXIFS('単価履歴'!$H:$H,'単価履歴'!$E:$E,I$1,'単価履歴'!$F:$F,$A28,'単価履歴'!$O:$O,
MAXIFS('単価履歴'!$O:$O,'単価履歴'!$E:$E,I$1,'単価履歴'!$F:$F,$A28)))</f>
        <v/>
      </c>
      <c r="J28" s="263" t="str">
        <f>IF(MAXIFS('単価履歴'!$H:$H,'単価履歴'!$E:$E,J$1,'単価履歴'!$F:$F,$A28,'単価履歴'!$O:$O,
MAXIFS('単価履歴'!$O:$O,'単価履歴'!$E:$E,J$1,'単価履歴'!$F:$F,$A28))=0,"",
MAXIFS('単価履歴'!$H:$H,'単価履歴'!$E:$E,J$1,'単価履歴'!$F:$F,$A28,'単価履歴'!$O:$O,
MAXIFS('単価履歴'!$O:$O,'単価履歴'!$E:$E,J$1,'単価履歴'!$F:$F,$A28)))</f>
        <v/>
      </c>
      <c r="K28" s="275">
        <v>27.9</v>
      </c>
      <c r="L28" s="275">
        <v>27.1</v>
      </c>
      <c r="M28" s="256"/>
      <c r="N28" s="256"/>
      <c r="O28" s="254" t="str">
        <f>IF(MAXIFS('単価履歴'!$H:$H,'単価履歴'!$E:$E,O$1,'単価履歴'!$F:$F,$A28,'単価履歴'!$O:$O,
MAXIFS('単価履歴'!$O:$O,'単価履歴'!$E:$E,O$1,'単価履歴'!$F:$F,$A28))=0,"",
MAXIFS('単価履歴'!$H:$H,'単価履歴'!$E:$E,O$1,'単価履歴'!$F:$F,$A28,'単価履歴'!$O:$O,
MAXIFS('単価履歴'!$O:$O,'単価履歴'!$E:$E,O$1,'単価履歴'!$F:$F,$A28)))</f>
        <v/>
      </c>
      <c r="P28" s="264" t="str">
        <f>IF(MAXIFS('単価履歴'!$H:$H,'単価履歴'!$E:$E,P$1,'単価履歴'!$F:$F,$A28,'単価履歴'!$O:$O,
MAXIFS('単価履歴'!$O:$O,'単価履歴'!$E:$E,P$1,'単価履歴'!$F:$F,$A28))=0,"",
MAXIFS('単価履歴'!$H:$H,'単価履歴'!$E:$E,P$1,'単価履歴'!$F:$F,$A28,'単価履歴'!$O:$O,
MAXIFS('単価履歴'!$O:$O,'単価履歴'!$E:$E,P$1,'単価履歴'!$F:$F,$A28)))</f>
        <v/>
      </c>
      <c r="Q28" s="263" t="str">
        <f>IF(MAXIFS('単価履歴'!$H:$H,'単価履歴'!$E:$E,Q$1,'単価履歴'!$F:$F,$A28,'単価履歴'!$O:$O,
MAXIFS('単価履歴'!$O:$O,'単価履歴'!$E:$E,Q$1,'単価履歴'!$F:$F,$A28))=0,"",
MAXIFS('単価履歴'!$H:$H,'単価履歴'!$E:$E,Q$1,'単価履歴'!$F:$F,$A28,'単価履歴'!$O:$O,
MAXIFS('単価履歴'!$O:$O,'単価履歴'!$E:$E,Q$1,'単価履歴'!$F:$F,$A28)))</f>
        <v/>
      </c>
      <c r="R28" s="264" t="str">
        <f>IF(MAXIFS('単価履歴'!$H:$H,'単価履歴'!$E:$E,R$1,'単価履歴'!$F:$F,$A28,'単価履歴'!$O:$O,
MAXIFS('単価履歴'!$O:$O,'単価履歴'!$E:$E,R$1,'単価履歴'!$F:$F,$A28))=0,"",
MAXIFS('単価履歴'!$H:$H,'単価履歴'!$E:$E,R$1,'単価履歴'!$F:$F,$A28,'単価履歴'!$O:$O,
MAXIFS('単価履歴'!$O:$O,'単価履歴'!$E:$E,R$1,'単価履歴'!$F:$F,$A28)))</f>
        <v/>
      </c>
      <c r="S28" s="254" t="str">
        <f>IF(MAXIFS('単価履歴'!$H:$H,'単価履歴'!$E:$E,S$1,'単価履歴'!$F:$F,$A28,'単価履歴'!$O:$O,
MAXIFS('単価履歴'!$O:$O,'単価履歴'!$E:$E,S$1,'単価履歴'!$F:$F,$A28))=0,"",
MAXIFS('単価履歴'!$H:$H,'単価履歴'!$E:$E,S$1,'単価履歴'!$F:$F,$A28,'単価履歴'!$O:$O,
MAXIFS('単価履歴'!$O:$O,'単価履歴'!$E:$E,S$1,'単価履歴'!$F:$F,$A28)))</f>
        <v/>
      </c>
      <c r="T28" s="256" t="str">
        <f>IF(MAXIFS('単価履歴'!$H:$H,'単価履歴'!$E:$E,T$1,'単価履歴'!$F:$F,$A28,'単価履歴'!$O:$O,
MAXIFS('単価履歴'!$O:$O,'単価履歴'!$E:$E,T$1,'単価履歴'!$F:$F,$A28))=0,"",
MAXIFS('単価履歴'!$H:$H,'単価履歴'!$E:$E,T$1,'単価履歴'!$F:$F,$A28,'単価履歴'!$O:$O,
MAXIFS('単価履歴'!$O:$O,'単価履歴'!$E:$E,T$1,'単価履歴'!$F:$F,$A28)))</f>
        <v/>
      </c>
      <c r="U28" s="256" t="str">
        <f>IF(MAXIFS('単価履歴'!$H:$H,'単価履歴'!$E:$E,U$1,'単価履歴'!$F:$F,$A28,'単価履歴'!$O:$O,
MAXIFS('単価履歴'!$O:$O,'単価履歴'!$E:$E,U$1,'単価履歴'!$F:$F,$A28))=0,"",
MAXIFS('単価履歴'!$H:$H,'単価履歴'!$E:$E,U$1,'単価履歴'!$F:$F,$A28,'単価履歴'!$O:$O,
MAXIFS('単価履歴'!$O:$O,'単価履歴'!$E:$E,U$1,'単価履歴'!$F:$F,$A28)))</f>
        <v/>
      </c>
      <c r="V28" s="254" t="str">
        <f>IF(MAXIFS('単価履歴'!$H:$H,'単価履歴'!$E:$E,V$1,'単価履歴'!$F:$F,$A28,'単価履歴'!$O:$O,
MAXIFS('単価履歴'!$O:$O,'単価履歴'!$E:$E,V$1,'単価履歴'!$F:$F,$A28))=0,"",
MAXIFS('単価履歴'!$H:$H,'単価履歴'!$E:$E,V$1,'単価履歴'!$F:$F,$A28,'単価履歴'!$O:$O,
MAXIFS('単価履歴'!$O:$O,'単価履歴'!$E:$E,V$1,'単価履歴'!$F:$F,$A28)))</f>
        <v/>
      </c>
      <c r="W28" s="264" t="str">
        <f>IF(MAXIFS('単価履歴'!$H:$H,'単価履歴'!$E:$E,W$1,'単価履歴'!$F:$F,$A28,'単価履歴'!$O:$O,
MAXIFS('単価履歴'!$O:$O,'単価履歴'!$E:$E,W$1,'単価履歴'!$F:$F,$A28))=0,"",
MAXIFS('単価履歴'!$H:$H,'単価履歴'!$E:$E,W$1,'単価履歴'!$F:$F,$A28,'単価履歴'!$O:$O,
MAXIFS('単価履歴'!$O:$O,'単価履歴'!$E:$E,W$1,'単価履歴'!$F:$F,$A28)))</f>
        <v/>
      </c>
      <c r="X28" s="256" t="str">
        <f>IF(MAXIFS('単価履歴'!$H:$H,'単価履歴'!$E:$E,X$1,'単価履歴'!$F:$F,$A28,'単価履歴'!$O:$O,
MAXIFS('単価履歴'!$O:$O,'単価履歴'!$E:$E,X$1,'単価履歴'!$F:$F,$A28))=0,"",
MAXIFS('単価履歴'!$H:$H,'単価履歴'!$E:$E,X$1,'単価履歴'!$F:$F,$A28,'単価履歴'!$O:$O,
MAXIFS('単価履歴'!$O:$O,'単価履歴'!$E:$E,X$1,'単価履歴'!$F:$F,$A28)))</f>
        <v/>
      </c>
      <c r="Y28" s="254" t="str">
        <f>IF(MAXIFS('単価履歴'!$H:$H,'単価履歴'!$E:$E,Y$1,'単価履歴'!$F:$F,$A28,'単価履歴'!$O:$O,
MAXIFS('単価履歴'!$O:$O,'単価履歴'!$E:$E,Y$1,'単価履歴'!$F:$F,$A28))=0,"",
MAXIFS('単価履歴'!$H:$H,'単価履歴'!$E:$E,Y$1,'単価履歴'!$F:$F,$A28,'単価履歴'!$O:$O,
MAXIFS('単価履歴'!$O:$O,'単価履歴'!$E:$E,Y$1,'単価履歴'!$F:$F,$A28)))</f>
        <v/>
      </c>
      <c r="Z28" s="256" t="str">
        <f>IF(MAXIFS('単価履歴'!$H:$H,'単価履歴'!$E:$E,Z$1,'単価履歴'!$F:$F,$A28,'単価履歴'!$O:$O,
MAXIFS('単価履歴'!$O:$O,'単価履歴'!$E:$E,Z$1,'単価履歴'!$F:$F,$A28))=0,"",
MAXIFS('単価履歴'!$H:$H,'単価履歴'!$E:$E,Z$1,'単価履歴'!$F:$F,$A28,'単価履歴'!$O:$O,
MAXIFS('単価履歴'!$O:$O,'単価履歴'!$E:$E,Z$1,'単価履歴'!$F:$F,$A28)))</f>
        <v/>
      </c>
      <c r="AA28" s="254" t="str">
        <f>IF(MAXIFS('単価履歴'!$H:$H,'単価履歴'!$E:$E,AA$1,'単価履歴'!$F:$F,$A28,'単価履歴'!$O:$O,
MAXIFS('単価履歴'!$O:$O,'単価履歴'!$E:$E,AA$1,'単価履歴'!$F:$F,$A28))=0,"",
MAXIFS('単価履歴'!$H:$H,'単価履歴'!$E:$E,AA$1,'単価履歴'!$F:$F,$A28,'単価履歴'!$O:$O,
MAXIFS('単価履歴'!$O:$O,'単価履歴'!$E:$E,AA$1,'単価履歴'!$F:$F,$A28)))</f>
        <v/>
      </c>
      <c r="AB28" s="264" t="str">
        <f>IF(MAXIFS('単価履歴'!$H:$H,'単価履歴'!$E:$E,AB$1,'単価履歴'!$F:$F,$A28,'単価履歴'!$O:$O,
MAXIFS('単価履歴'!$O:$O,'単価履歴'!$E:$E,AB$1,'単価履歴'!$F:$F,$A28))=0,"",
MAXIFS('単価履歴'!$H:$H,'単価履歴'!$E:$E,AB$1,'単価履歴'!$F:$F,$A28,'単価履歴'!$O:$O,
MAXIFS('単価履歴'!$O:$O,'単価履歴'!$E:$E,AB$1,'単価履歴'!$F:$F,$A28)))</f>
        <v/>
      </c>
      <c r="AC28" s="256" t="str">
        <f>IF(MAXIFS('単価履歴'!$H:$H,'単価履歴'!$E:$E,AC$1,'単価履歴'!$F:$F,$A28,'単価履歴'!$O:$O,
MAXIFS('単価履歴'!$O:$O,'単価履歴'!$E:$E,AC$1,'単価履歴'!$F:$F,$A28))=0,"",
MAXIFS('単価履歴'!$H:$H,'単価履歴'!$E:$E,AC$1,'単価履歴'!$F:$F,$A28,'単価履歴'!$O:$O,
MAXIFS('単価履歴'!$O:$O,'単価履歴'!$E:$E,AC$1,'単価履歴'!$F:$F,$A28)))</f>
        <v/>
      </c>
      <c r="AD28" s="254" t="str">
        <f>IF(MAXIFS('単価履歴'!$H:$H,'単価履歴'!$E:$E,AD$1,'単価履歴'!$F:$F,$A28,'単価履歴'!$O:$O,
MAXIFS('単価履歴'!$O:$O,'単価履歴'!$E:$E,AD$1,'単価履歴'!$F:$F,$A28))=0,"",
MAXIFS('単価履歴'!$H:$H,'単価履歴'!$E:$E,AD$1,'単価履歴'!$F:$F,$A28,'単価履歴'!$O:$O,
MAXIFS('単価履歴'!$O:$O,'単価履歴'!$E:$E,AD$1,'単価履歴'!$F:$F,$A28)))</f>
        <v/>
      </c>
      <c r="AE28" s="264" t="str">
        <f>IF(MAXIFS('単価履歴'!$H:$H,'単価履歴'!$E:$E,AE$1,'単価履歴'!$F:$F,$A28,'単価履歴'!$O:$O,
MAXIFS('単価履歴'!$O:$O,'単価履歴'!$E:$E,AE$1,'単価履歴'!$F:$F,$A28))=0,"",
MAXIFS('単価履歴'!$H:$H,'単価履歴'!$E:$E,AE$1,'単価履歴'!$F:$F,$A28,'単価履歴'!$O:$O,
MAXIFS('単価履歴'!$O:$O,'単価履歴'!$E:$E,AE$1,'単価履歴'!$F:$F,$A28)))</f>
        <v/>
      </c>
      <c r="AF28" s="256" t="str">
        <f>IF(MAXIFS('単価履歴'!$H:$H,'単価履歴'!$E:$E,AF$1,'単価履歴'!$F:$F,$A28,'単価履歴'!$O:$O,
MAXIFS('単価履歴'!$O:$O,'単価履歴'!$E:$E,AF$1,'単価履歴'!$F:$F,$A28))=0,"",
MAXIFS('単価履歴'!$H:$H,'単価履歴'!$E:$E,AF$1,'単価履歴'!$F:$F,$A28,'単価履歴'!$O:$O,
MAXIFS('単価履歴'!$O:$O,'単価履歴'!$E:$E,AF$1,'単価履歴'!$F:$F,$A28)))</f>
        <v/>
      </c>
      <c r="AG28" s="268">
        <f>IF(MAXIFS('単価履歴'!$H:$H,'単価履歴'!$E:$E,AG$1,'単価履歴'!$F:$F,$A28,'単価履歴'!$O:$O,
MAXIFS('単価履歴'!$O:$O,'単価履歴'!$E:$E,AG$1,'単価履歴'!$F:$F,$A28))=0,"",
MAXIFS('単価履歴'!$H:$H,'単価履歴'!$E:$E,AG$1,'単価履歴'!$F:$F,$A28,'単価履歴'!$O:$O,
MAXIFS('単価履歴'!$O:$O,'単価履歴'!$E:$E,AG$1,'単価履歴'!$F:$F,$A28)))</f>
        <v>53</v>
      </c>
      <c r="AH28" s="256" t="str">
        <f>IF(MAXIFS('単価履歴'!$H:$H,'単価履歴'!$E:$E,AH$1,'単価履歴'!$F:$F,$A28,'単価履歴'!$O:$O,
MAXIFS('単価履歴'!$O:$O,'単価履歴'!$E:$E,AH$1,'単価履歴'!$F:$F,$A28))=0,"",
MAXIFS('単価履歴'!$H:$H,'単価履歴'!$E:$E,AH$1,'単価履歴'!$F:$F,$A28,'単価履歴'!$O:$O,
MAXIFS('単価履歴'!$O:$O,'単価履歴'!$E:$E,AH$1,'単価履歴'!$F:$F,$A28)))</f>
        <v/>
      </c>
      <c r="AI28" s="254" t="str">
        <f>IF(MAXIFS('単価履歴'!$H:$H,'単価履歴'!$E:$E,AI$1,'単価履歴'!$F:$F,$A28,'単価履歴'!$O:$O,
MAXIFS('単価履歴'!$O:$O,'単価履歴'!$E:$E,AI$1,'単価履歴'!$F:$F,$A28))=0,"",
MAXIFS('単価履歴'!$H:$H,'単価履歴'!$E:$E,AI$1,'単価履歴'!$F:$F,$A28,'単価履歴'!$O:$O,
MAXIFS('単価履歴'!$O:$O,'単価履歴'!$E:$E,AI$1,'単価履歴'!$F:$F,$A28)))</f>
        <v/>
      </c>
      <c r="AJ28" s="256" t="str">
        <f>IF(MAXIFS('単価履歴'!$H:$H,'単価履歴'!$E:$E,AJ$1,'単価履歴'!$F:$F,$A28,'単価履歴'!$O:$O,
MAXIFS('単価履歴'!$O:$O,'単価履歴'!$E:$E,AJ$1,'単価履歴'!$F:$F,$A28))=0,"",
MAXIFS('単価履歴'!$H:$H,'単価履歴'!$E:$E,AJ$1,'単価履歴'!$F:$F,$A28,'単価履歴'!$O:$O,
MAXIFS('単価履歴'!$O:$O,'単価履歴'!$E:$E,AJ$1,'単価履歴'!$F:$F,$A28)))</f>
        <v/>
      </c>
      <c r="AK28" s="254" t="str">
        <f>IF(MAXIFS('単価履歴'!$H:$H,'単価履歴'!$E:$E,AK$1,'単価履歴'!$F:$F,$A28,'単価履歴'!$O:$O,
MAXIFS('単価履歴'!$O:$O,'単価履歴'!$E:$E,AK$1,'単価履歴'!$F:$F,$A28))=0,"",
MAXIFS('単価履歴'!$H:$H,'単価履歴'!$E:$E,AK$1,'単価履歴'!$F:$F,$A28,'単価履歴'!$O:$O,
MAXIFS('単価履歴'!$O:$O,'単価履歴'!$E:$E,AK$1,'単価履歴'!$F:$F,$A28)))</f>
        <v/>
      </c>
      <c r="AL28" s="256" t="str">
        <f>IF(MAXIFS('単価履歴'!$H:$H,'単価履歴'!$E:$E,AL$1,'単価履歴'!$F:$F,$A28,'単価履歴'!$O:$O,
MAXIFS('単価履歴'!$O:$O,'単価履歴'!$E:$E,AL$1,'単価履歴'!$F:$F,$A28))=0,"",
MAXIFS('単価履歴'!$H:$H,'単価履歴'!$E:$E,AL$1,'単価履歴'!$F:$F,$A28,'単価履歴'!$O:$O,
MAXIFS('単価履歴'!$O:$O,'単価履歴'!$E:$E,AL$1,'単価履歴'!$F:$F,$A28)))</f>
        <v/>
      </c>
      <c r="AM28" s="262">
        <f>IF(MAXIFS('単価履歴'!$H:$H,'単価履歴'!$E:$E,AM$1,'単価履歴'!$F:$F,$A28,'単価履歴'!$O:$O,
MAXIFS('単価履歴'!$O:$O,'単価履歴'!$E:$E,AM$1,'単価履歴'!$F:$F,$A28))=0,"",
MAXIFS('単価履歴'!$H:$H,'単価履歴'!$E:$E,AM$1,'単価履歴'!$F:$F,$A28,'単価履歴'!$O:$O,
MAXIFS('単価履歴'!$O:$O,'単価履歴'!$E:$E,AM$1,'単価履歴'!$F:$F,$A28)))</f>
        <v>53.5</v>
      </c>
      <c r="AN28" s="266">
        <f>IF(MAXIFS('単価履歴'!$H:$H,'単価履歴'!$E:$E,AN$1,'単価履歴'!$F:$F,$A28,'単価履歴'!$O:$O,
MAXIFS('単価履歴'!$O:$O,'単価履歴'!$E:$E,AN$1,'単価履歴'!$F:$F,$A28))=0,"",
MAXIFS('単価履歴'!$H:$H,'単価履歴'!$E:$E,AN$1,'単価履歴'!$F:$F,$A28,'単価履歴'!$O:$O,
MAXIFS('単価履歴'!$O:$O,'単価履歴'!$E:$E,AN$1,'単価履歴'!$F:$F,$A28)))</f>
        <v>53.5</v>
      </c>
      <c r="AO28" s="254" t="str">
        <f>IF(MAXIFS('単価履歴'!$H:$H,'単価履歴'!$E:$E,AO$1,'単価履歴'!$F:$F,$A28,'単価履歴'!$O:$O,
MAXIFS('単価履歴'!$O:$O,'単価履歴'!$E:$E,AO$1,'単価履歴'!$F:$F,$A28))=0,"",
MAXIFS('単価履歴'!$H:$H,'単価履歴'!$E:$E,AO$1,'単価履歴'!$F:$F,$A28,'単価履歴'!$O:$O,
MAXIFS('単価履歴'!$O:$O,'単価履歴'!$E:$E,AO$1,'単価履歴'!$F:$F,$A28)))</f>
        <v/>
      </c>
      <c r="AP28" s="264" t="str">
        <f>IF(MAXIFS('単価履歴'!$H:$H,'単価履歴'!$E:$E,AP$1,'単価履歴'!$F:$F,$A28,'単価履歴'!$O:$O,
MAXIFS('単価履歴'!$O:$O,'単価履歴'!$E:$E,AP$1,'単価履歴'!$F:$F,$A28))=0,"",
MAXIFS('単価履歴'!$H:$H,'単価履歴'!$E:$E,AP$1,'単価履歴'!$F:$F,$A28,'単価履歴'!$O:$O,
MAXIFS('単価履歴'!$O:$O,'単価履歴'!$E:$E,AP$1,'単価履歴'!$F:$F,$A28)))</f>
        <v/>
      </c>
      <c r="AQ28" s="256" t="str">
        <f>IF(MAXIFS('単価履歴'!$H:$H,'単価履歴'!$E:$E,AQ$1,'単価履歴'!$F:$F,$A28,'単価履歴'!$O:$O,
MAXIFS('単価履歴'!$O:$O,'単価履歴'!$E:$E,AQ$1,'単価履歴'!$F:$F,$A28))=0,"",
MAXIFS('単価履歴'!$H:$H,'単価履歴'!$E:$E,AQ$1,'単価履歴'!$F:$F,$A28,'単価履歴'!$O:$O,
MAXIFS('単価履歴'!$O:$O,'単価履歴'!$E:$E,AQ$1,'単価履歴'!$F:$F,$A28)))</f>
        <v/>
      </c>
      <c r="AR28" s="264" t="str">
        <f>IF(MAXIFS('単価履歴'!$H:$H,'単価履歴'!$E:$E,AR$1,'単価履歴'!$F:$F,$A28,'単価履歴'!$O:$O,
MAXIFS('単価履歴'!$O:$O,'単価履歴'!$E:$E,AR$1,'単価履歴'!$F:$F,$A28))=0,"",
MAXIFS('単価履歴'!$H:$H,'単価履歴'!$E:$E,AR$1,'単価履歴'!$F:$F,$A28,'単価履歴'!$O:$O,
MAXIFS('単価履歴'!$O:$O,'単価履歴'!$E:$E,AR$1,'単価履歴'!$F:$F,$A28)))</f>
        <v/>
      </c>
      <c r="AS28" s="256" t="str">
        <f>IF(MAXIFS('単価履歴'!$H:$H,'単価履歴'!$E:$E,AS$1,'単価履歴'!$F:$F,$A28,'単価履歴'!$O:$O,
MAXIFS('単価履歴'!$O:$O,'単価履歴'!$E:$E,AS$1,'単価履歴'!$F:$F,$A28))=0,"",
MAXIFS('単価履歴'!$H:$H,'単価履歴'!$E:$E,AS$1,'単価履歴'!$F:$F,$A28,'単価履歴'!$O:$O,
MAXIFS('単価履歴'!$O:$O,'単価履歴'!$E:$E,AS$1,'単価履歴'!$F:$F,$A28)))</f>
        <v/>
      </c>
      <c r="AT28" s="256" t="str">
        <f>IF(MAXIFS('単価履歴'!$H:$H,'単価履歴'!$E:$E,AT$1,'単価履歴'!$F:$F,$A28,'単価履歴'!$O:$O,
MAXIFS('単価履歴'!$O:$O,'単価履歴'!$E:$E,AT$1,'単価履歴'!$F:$F,$A28))=0,"",
MAXIFS('単価履歴'!$H:$H,'単価履歴'!$E:$E,AT$1,'単価履歴'!$F:$F,$A28,'単価履歴'!$O:$O,
MAXIFS('単価履歴'!$O:$O,'単価履歴'!$E:$E,AT$1,'単価履歴'!$F:$F,$A28)))</f>
        <v/>
      </c>
      <c r="AU28" s="256" t="str">
        <f>IF(MAXIFS('単価履歴'!$H:$H,'単価履歴'!$E:$E,AU$1,'単価履歴'!$F:$F,$A28,'単価履歴'!$O:$O,
MAXIFS('単価履歴'!$O:$O,'単価履歴'!$E:$E,AU$1,'単価履歴'!$F:$F,$A28))=0,"",
MAXIFS('単価履歴'!$H:$H,'単価履歴'!$E:$E,AU$1,'単価履歴'!$F:$F,$A28,'単価履歴'!$O:$O,
MAXIFS('単価履歴'!$O:$O,'単価履歴'!$E:$E,AU$1,'単価履歴'!$F:$F,$A28)))</f>
        <v/>
      </c>
      <c r="AV28" s="256" t="str">
        <f>IF(MAXIFS('単価履歴'!$H:$H,'単価履歴'!$E:$E,AV$1,'単価履歴'!$F:$F,$A28,'単価履歴'!$O:$O,
MAXIFS('単価履歴'!$O:$O,'単価履歴'!$E:$E,AV$1,'単価履歴'!$F:$F,$A28))=0,"",
MAXIFS('単価履歴'!$H:$H,'単価履歴'!$E:$E,AV$1,'単価履歴'!$F:$F,$A28,'単価履歴'!$O:$O,
MAXIFS('単価履歴'!$O:$O,'単価履歴'!$E:$E,AV$1,'単価履歴'!$F:$F,$A28)))</f>
        <v/>
      </c>
      <c r="AW28" s="263" t="str">
        <f>IF(MAXIFS('単価履歴'!$H:$H,'単価履歴'!$E:$E,AW$1,'単価履歴'!$F:$F,$A28,'単価履歴'!$O:$O,
MAXIFS('単価履歴'!$O:$O,'単価履歴'!$E:$E,AW$1,'単価履歴'!$F:$F,$A28))=0,"",
MAXIFS('単価履歴'!$H:$H,'単価履歴'!$E:$E,AW$1,'単価履歴'!$F:$F,$A28,'単価履歴'!$O:$O,
MAXIFS('単価履歴'!$O:$O,'単価履歴'!$E:$E,AW$1,'単価履歴'!$F:$F,$A28)))</f>
        <v/>
      </c>
      <c r="AX28" s="256" t="str">
        <f>IF(MAXIFS('単価履歴'!$H:$H,'単価履歴'!$E:$E,AX$1,'単価履歴'!$F:$F,$A28,'単価履歴'!$O:$O,
MAXIFS('単価履歴'!$O:$O,'単価履歴'!$E:$E,AX$1,'単価履歴'!$F:$F,$A28))=0,"",
MAXIFS('単価履歴'!$H:$H,'単価履歴'!$E:$E,AX$1,'単価履歴'!$F:$F,$A28,'単価履歴'!$O:$O,
MAXIFS('単価履歴'!$O:$O,'単価履歴'!$E:$E,AX$1,'単価履歴'!$F:$F,$A28)))</f>
        <v/>
      </c>
      <c r="AY28" s="254" t="str">
        <f>IF(MAXIFS('単価履歴'!$H:$H,'単価履歴'!$E:$E,AY$1,'単価履歴'!$F:$F,$A28,'単価履歴'!$O:$O,
MAXIFS('単価履歴'!$O:$O,'単価履歴'!$E:$E,AY$1,'単価履歴'!$F:$F,$A28))=0,"",
MAXIFS('単価履歴'!$H:$H,'単価履歴'!$E:$E,AY$1,'単価履歴'!$F:$F,$A28,'単価履歴'!$O:$O,
MAXIFS('単価履歴'!$O:$O,'単価履歴'!$E:$E,AY$1,'単価履歴'!$F:$F,$A28)))</f>
        <v/>
      </c>
      <c r="AZ28" s="256" t="str">
        <f>IF(MAXIFS('単価履歴'!$H:$H,'単価履歴'!$E:$E,AZ$1,'単価履歴'!$F:$F,$A28,'単価履歴'!$O:$O,
MAXIFS('単価履歴'!$O:$O,'単価履歴'!$E:$E,AZ$1,'単価履歴'!$F:$F,$A28))=0,"",
MAXIFS('単価履歴'!$H:$H,'単価履歴'!$E:$E,AZ$1,'単価履歴'!$F:$F,$A28,'単価履歴'!$O:$O,
MAXIFS('単価履歴'!$O:$O,'単価履歴'!$E:$E,AZ$1,'単価履歴'!$F:$F,$A28)))</f>
        <v/>
      </c>
      <c r="BA28" s="263" t="str">
        <f>IF(MAXIFS('単価履歴'!$H:$H,'単価履歴'!$E:$E,BA$1,'単価履歴'!$F:$F,$A28,'単価履歴'!$O:$O,
MAXIFS('単価履歴'!$O:$O,'単価履歴'!$E:$E,BA$1,'単価履歴'!$F:$F,$A28))=0,"",
MAXIFS('単価履歴'!$H:$H,'単価履歴'!$E:$E,BA$1,'単価履歴'!$F:$F,$A28,'単価履歴'!$O:$O,
MAXIFS('単価履歴'!$O:$O,'単価履歴'!$E:$E,BA$1,'単価履歴'!$F:$F,$A28)))</f>
        <v/>
      </c>
      <c r="BB28" s="256" t="str">
        <f>IF(MAXIFS('単価履歴'!$H:$H,'単価履歴'!$E:$E,BB$1,'単価履歴'!$F:$F,$A28,'単価履歴'!$O:$O,
MAXIFS('単価履歴'!$O:$O,'単価履歴'!$E:$E,BB$1,'単価履歴'!$F:$F,$A28))=0,"",
MAXIFS('単価履歴'!$H:$H,'単価履歴'!$E:$E,BB$1,'単価履歴'!$F:$F,$A28,'単価履歴'!$O:$O,
MAXIFS('単価履歴'!$O:$O,'単価履歴'!$E:$E,BB$1,'単価履歴'!$F:$F,$A28)))</f>
        <v/>
      </c>
      <c r="BC28" s="254" t="str">
        <f>IF(MAXIFS('単価履歴'!$H:$H,'単価履歴'!$E:$E,BC$1,'単価履歴'!$F:$F,$A28,'単価履歴'!$O:$O,
MAXIFS('単価履歴'!$O:$O,'単価履歴'!$E:$E,BC$1,'単価履歴'!$F:$F,$A28))=0,"",
MAXIFS('単価履歴'!$H:$H,'単価履歴'!$E:$E,BC$1,'単価履歴'!$F:$F,$A28,'単価履歴'!$O:$O,
MAXIFS('単価履歴'!$O:$O,'単価履歴'!$E:$E,BC$1,'単価履歴'!$F:$F,$A28)))</f>
        <v/>
      </c>
      <c r="BD28" s="263" t="str">
        <f>IF(MAXIFS('単価履歴'!$H:$H,'単価履歴'!$E:$E,BD$1,'単価履歴'!$F:$F,$A28,'単価履歴'!$O:$O,
MAXIFS('単価履歴'!$O:$O,'単価履歴'!$E:$E,BD$1,'単価履歴'!$F:$F,$A28))=0,"",
MAXIFS('単価履歴'!$H:$H,'単価履歴'!$E:$E,BD$1,'単価履歴'!$F:$F,$A28,'単価履歴'!$O:$O,
MAXIFS('単価履歴'!$O:$O,'単価履歴'!$E:$E,BD$1,'単価履歴'!$F:$F,$A28)))</f>
        <v/>
      </c>
      <c r="BE28" s="256" t="str">
        <f>IF(MAXIFS('単価履歴'!$H:$H,'単価履歴'!$E:$E,BE$1,'単価履歴'!$F:$F,$A28,'単価履歴'!$O:$O,
MAXIFS('単価履歴'!$O:$O,'単価履歴'!$E:$E,BE$1,'単価履歴'!$F:$F,$A28))=0,"",
MAXIFS('単価履歴'!$H:$H,'単価履歴'!$E:$E,BE$1,'単価履歴'!$F:$F,$A28,'単価履歴'!$O:$O,
MAXIFS('単価履歴'!$O:$O,'単価履歴'!$E:$E,BE$1,'単価履歴'!$F:$F,$A28)))</f>
        <v/>
      </c>
      <c r="BF28" s="263" t="str">
        <f>IF(MAXIFS('単価履歴'!$H:$H,'単価履歴'!$E:$E,BF$1,'単価履歴'!$F:$F,$A28,'単価履歴'!$O:$O,
MAXIFS('単価履歴'!$O:$O,'単価履歴'!$E:$E,BF$1,'単価履歴'!$F:$F,$A28))=0,"",
MAXIFS('単価履歴'!$H:$H,'単価履歴'!$E:$E,BF$1,'単価履歴'!$F:$F,$A28,'単価履歴'!$O:$O,
MAXIFS('単価履歴'!$O:$O,'単価履歴'!$E:$E,BF$1,'単価履歴'!$F:$F,$A28)))</f>
        <v/>
      </c>
      <c r="BG28" s="256" t="str">
        <f>IF(MAXIFS('単価履歴'!$H:$H,'単価履歴'!$E:$E,BG$1,'単価履歴'!$F:$F,$A28,'単価履歴'!$O:$O,
MAXIFS('単価履歴'!$O:$O,'単価履歴'!$E:$E,BG$1,'単価履歴'!$F:$F,$A28))=0,"",
MAXIFS('単価履歴'!$H:$H,'単価履歴'!$E:$E,BG$1,'単価履歴'!$F:$F,$A28,'単価履歴'!$O:$O,
MAXIFS('単価履歴'!$O:$O,'単価履歴'!$E:$E,BG$1,'単価履歴'!$F:$F,$A28)))</f>
        <v/>
      </c>
      <c r="BH28" s="256" t="str">
        <f>IF(MAXIFS('単価履歴'!$H:$H,'単価履歴'!$E:$E,BH$1,'単価履歴'!$F:$F,$A28,'単価履歴'!$O:$O,
MAXIFS('単価履歴'!$O:$O,'単価履歴'!$E:$E,BH$1,'単価履歴'!$F:$F,$A28))=0,"",
MAXIFS('単価履歴'!$H:$H,'単価履歴'!$E:$E,BH$1,'単価履歴'!$F:$F,$A28,'単価履歴'!$O:$O,
MAXIFS('単価履歴'!$O:$O,'単価履歴'!$E:$E,BH$1,'単価履歴'!$F:$F,$A28)))</f>
        <v/>
      </c>
      <c r="BI28" s="264" t="str">
        <f>IF(MAXIFS('単価履歴'!$H:$H,'単価履歴'!$E:$E,BI$1,'単価履歴'!$F:$F,$A28,'単価履歴'!$O:$O,
MAXIFS('単価履歴'!$O:$O,'単価履歴'!$E:$E,BI$1,'単価履歴'!$F:$F,$A28))=0,"",
MAXIFS('単価履歴'!$H:$H,'単価履歴'!$E:$E,BI$1,'単価履歴'!$F:$F,$A28,'単価履歴'!$O:$O,
MAXIFS('単価履歴'!$O:$O,'単価履歴'!$E:$E,BI$1,'単価履歴'!$F:$F,$A28)))</f>
        <v/>
      </c>
      <c r="BJ28" s="264" t="str">
        <f>IF(MAXIFS('単価履歴'!$H:$H,'単価履歴'!$E:$E,BJ$1,'単価履歴'!$F:$F,$A28,'単価履歴'!$O:$O,
MAXIFS('単価履歴'!$O:$O,'単価履歴'!$E:$E,BJ$1,'単価履歴'!$F:$F,$A28))=0,"",
MAXIFS('単価履歴'!$H:$H,'単価履歴'!$E:$E,BJ$1,'単価履歴'!$F:$F,$A28,'単価履歴'!$O:$O,
MAXIFS('単価履歴'!$O:$O,'単価履歴'!$E:$E,BJ$1,'単価履歴'!$F:$F,$A28)))</f>
        <v/>
      </c>
      <c r="BK28" s="264" t="str">
        <f>IF(MAXIFS('単価履歴'!$H:$H,'単価履歴'!$E:$E,BK$1,'単価履歴'!$F:$F,$A28,'単価履歴'!$O:$O,
MAXIFS('単価履歴'!$O:$O,'単価履歴'!$E:$E,BK$1,'単価履歴'!$F:$F,$A28))=0,"",
MAXIFS('単価履歴'!$H:$H,'単価履歴'!$E:$E,BK$1,'単価履歴'!$F:$F,$A28,'単価履歴'!$O:$O,
MAXIFS('単価履歴'!$O:$O,'単価履歴'!$E:$E,BK$1,'単価履歴'!$F:$F,$A28)))</f>
        <v/>
      </c>
      <c r="BL28" s="264" t="str">
        <f>IF(MAXIFS('単価履歴'!$H:$H,'単価履歴'!$E:$E,BL$1,'単価履歴'!$F:$F,$A28,'単価履歴'!$O:$O,
MAXIFS('単価履歴'!$O:$O,'単価履歴'!$E:$E,BL$1,'単価履歴'!$F:$F,$A28))=0,"",
MAXIFS('単価履歴'!$H:$H,'単価履歴'!$E:$E,BL$1,'単価履歴'!$F:$F,$A28,'単価履歴'!$O:$O,
MAXIFS('単価履歴'!$O:$O,'単価履歴'!$E:$E,BL$1,'単価履歴'!$F:$F,$A28)))</f>
        <v/>
      </c>
      <c r="BM28" s="264" t="str">
        <f>IF(MAXIFS('単価履歴'!$H:$H,'単価履歴'!$E:$E,BM$1,'単価履歴'!$F:$F,$A28,'単価履歴'!$O:$O,
MAXIFS('単価履歴'!$O:$O,'単価履歴'!$E:$E,BM$1,'単価履歴'!$F:$F,$A28))=0,"",
MAXIFS('単価履歴'!$H:$H,'単価履歴'!$E:$E,BM$1,'単価履歴'!$F:$F,$A28,'単価履歴'!$O:$O,
MAXIFS('単価履歴'!$O:$O,'単価履歴'!$E:$E,BM$1,'単価履歴'!$F:$F,$A28)))</f>
        <v/>
      </c>
      <c r="BN28" s="263" t="str">
        <f>IF(MAXIFS('単価履歴'!$H:$H,'単価履歴'!$E:$E,BN$1,'単価履歴'!$F:$F,$A28,'単価履歴'!$O:$O,
MAXIFS('単価履歴'!$O:$O,'単価履歴'!$E:$E,BN$1,'単価履歴'!$F:$F,$A28))=0,"",
MAXIFS('単価履歴'!$H:$H,'単価履歴'!$E:$E,BN$1,'単価履歴'!$F:$F,$A28,'単価履歴'!$O:$O,
MAXIFS('単価履歴'!$O:$O,'単価履歴'!$E:$E,BN$1,'単価履歴'!$F:$F,$A28)))</f>
        <v/>
      </c>
      <c r="BO28" s="256" t="str">
        <f>IF(MAXIFS('単価履歴'!$H:$H,'単価履歴'!$E:$E,BO$1,'単価履歴'!$F:$F,$A28,'単価履歴'!$O:$O,
MAXIFS('単価履歴'!$O:$O,'単価履歴'!$E:$E,BO$1,'単価履歴'!$F:$F,$A28))=0,"",
MAXIFS('単価履歴'!$H:$H,'単価履歴'!$E:$E,BO$1,'単価履歴'!$F:$F,$A28,'単価履歴'!$O:$O,
MAXIFS('単価履歴'!$O:$O,'単価履歴'!$E:$E,BO$1,'単価履歴'!$F:$F,$A28)))</f>
        <v/>
      </c>
      <c r="BP28" s="264" t="str">
        <f>IF(MAXIFS('単価履歴'!$H:$H,'単価履歴'!$E:$E,BP$1,'単価履歴'!$F:$F,$A28,'単価履歴'!$O:$O,
MAXIFS('単価履歴'!$O:$O,'単価履歴'!$E:$E,BP$1,'単価履歴'!$F:$F,$A28))=0,"",
MAXIFS('単価履歴'!$H:$H,'単価履歴'!$E:$E,BP$1,'単価履歴'!$F:$F,$A28,'単価履歴'!$O:$O,
MAXIFS('単価履歴'!$O:$O,'単価履歴'!$E:$E,BP$1,'単価履歴'!$F:$F,$A28)))</f>
        <v/>
      </c>
      <c r="BQ28" s="256"/>
      <c r="BR28" s="256"/>
      <c r="BS28" s="256"/>
      <c r="BT28" s="256"/>
      <c r="BU28" s="256"/>
      <c r="BV28" s="256"/>
      <c r="BW28" s="256"/>
      <c r="BX28" s="256"/>
    </row>
    <row r="29">
      <c r="A29" s="267" t="s">
        <v>154</v>
      </c>
      <c r="B29" s="246" t="str">
        <f>IF(MAXIFS('単価履歴'!$H:$H,'単価履歴'!$E:$E,B$1,'単価履歴'!$F:$F,$A29,'単価履歴'!$O:$O,
MAXIFS('単価履歴'!$O:$O,'単価履歴'!$E:$E,B$1,'単価履歴'!$F:$F,$A29))=0,"",
MAXIFS('単価履歴'!$H:$H,'単価履歴'!$E:$E,B$1,'単価履歴'!$F:$F,$A29,'単価履歴'!$O:$O,
MAXIFS('単価履歴'!$O:$O,'単価履歴'!$E:$E,B$1,'単価履歴'!$F:$F,$A29)))</f>
        <v/>
      </c>
      <c r="C29" s="251" t="str">
        <f>IF(MAXIFS('単価履歴'!$H:$H,'単価履歴'!$E:$E,C$1,'単価履歴'!$F:$F,$A29,'単価履歴'!$O:$O,
MAXIFS('単価履歴'!$O:$O,'単価履歴'!$E:$E,C$1,'単価履歴'!$F:$F,$A29))=0,"",
MAXIFS('単価履歴'!$H:$H,'単価履歴'!$E:$E,C$1,'単価履歴'!$F:$F,$A29,'単価履歴'!$O:$O,
MAXIFS('単価履歴'!$O:$O,'単価履歴'!$E:$E,C$1,'単価履歴'!$F:$F,$A29)))</f>
        <v/>
      </c>
      <c r="D29" s="249" t="str">
        <f>IF(MAXIFS('単価履歴'!$H:$H,'単価履歴'!$E:$E,D$1,'単価履歴'!$F:$F,$A29,'単価履歴'!$O:$O,
MAXIFS('単価履歴'!$O:$O,'単価履歴'!$E:$E,D$1,'単価履歴'!$F:$F,$A29))=0,"",
MAXIFS('単価履歴'!$H:$H,'単価履歴'!$E:$E,D$1,'単価履歴'!$F:$F,$A29,'単価履歴'!$O:$O,
MAXIFS('単価履歴'!$O:$O,'単価履歴'!$E:$E,D$1,'単価履歴'!$F:$F,$A29)))</f>
        <v/>
      </c>
      <c r="E29" s="249" t="str">
        <f>IF(MAXIFS('単価履歴'!$H:$H,'単価履歴'!$E:$E,E$1,'単価履歴'!$F:$F,$A29,'単価履歴'!$O:$O,
MAXIFS('単価履歴'!$O:$O,'単価履歴'!$E:$E,E$1,'単価履歴'!$F:$F,$A29))=0,"",
MAXIFS('単価履歴'!$H:$H,'単価履歴'!$E:$E,E$1,'単価履歴'!$F:$F,$A29,'単価履歴'!$O:$O,
MAXIFS('単価履歴'!$O:$O,'単価履歴'!$E:$E,E$1,'単価履歴'!$F:$F,$A29)))</f>
        <v/>
      </c>
      <c r="F29" s="249" t="str">
        <f>IF(MAXIFS('単価履歴'!$H:$H,'単価履歴'!$E:$E,F$1,'単価履歴'!$F:$F,$A29,'単価履歴'!$O:$O,
MAXIFS('単価履歴'!$O:$O,'単価履歴'!$E:$E,F$1,'単価履歴'!$F:$F,$A29))=0,"",
MAXIFS('単価履歴'!$H:$H,'単価履歴'!$E:$E,F$1,'単価履歴'!$F:$F,$A29,'単価履歴'!$O:$O,
MAXIFS('単価履歴'!$O:$O,'単価履歴'!$E:$E,F$1,'単価履歴'!$F:$F,$A29)))</f>
        <v/>
      </c>
      <c r="G29" s="248" t="str">
        <f>IF(MAXIFS('単価履歴'!$H:$H,'単価履歴'!$E:$E,G$1,'単価履歴'!$F:$F,$A29,'単価履歴'!$O:$O,
MAXIFS('単価履歴'!$O:$O,'単価履歴'!$E:$E,G$1,'単価履歴'!$F:$F,$A29))=0,"",
MAXIFS('単価履歴'!$H:$H,'単価履歴'!$E:$E,G$1,'単価履歴'!$F:$F,$A29,'単価履歴'!$O:$O,
MAXIFS('単価履歴'!$O:$O,'単価履歴'!$E:$E,G$1,'単価履歴'!$F:$F,$A29)))</f>
        <v/>
      </c>
      <c r="H29" s="249" t="str">
        <f>IF(MAXIFS('単価履歴'!$H:$H,'単価履歴'!$E:$E,H$1,'単価履歴'!$F:$F,$A29,'単価履歴'!$O:$O,
MAXIFS('単価履歴'!$O:$O,'単価履歴'!$E:$E,H$1,'単価履歴'!$F:$F,$A29))=0,"",
MAXIFS('単価履歴'!$H:$H,'単価履歴'!$E:$E,H$1,'単価履歴'!$F:$F,$A29,'単価履歴'!$O:$O,
MAXIFS('単価履歴'!$O:$O,'単価履歴'!$E:$E,H$1,'単価履歴'!$F:$F,$A29)))</f>
        <v/>
      </c>
      <c r="I29" s="249" t="str">
        <f>IF(MAXIFS('単価履歴'!$H:$H,'単価履歴'!$E:$E,I$1,'単価履歴'!$F:$F,$A29,'単価履歴'!$O:$O,
MAXIFS('単価履歴'!$O:$O,'単価履歴'!$E:$E,I$1,'単価履歴'!$F:$F,$A29))=0,"",
MAXIFS('単価履歴'!$H:$H,'単価履歴'!$E:$E,I$1,'単価履歴'!$F:$F,$A29,'単価履歴'!$O:$O,
MAXIFS('単価履歴'!$O:$O,'単価履歴'!$E:$E,I$1,'単価履歴'!$F:$F,$A29)))</f>
        <v/>
      </c>
      <c r="J29" s="248" t="str">
        <f>IF(MAXIFS('単価履歴'!$H:$H,'単価履歴'!$E:$E,J$1,'単価履歴'!$F:$F,$A29,'単価履歴'!$O:$O,
MAXIFS('単価履歴'!$O:$O,'単価履歴'!$E:$E,J$1,'単価履歴'!$F:$F,$A29))=0,"",
MAXIFS('単価履歴'!$H:$H,'単価履歴'!$E:$E,J$1,'単価履歴'!$F:$F,$A29,'単価履歴'!$O:$O,
MAXIFS('単価履歴'!$O:$O,'単価履歴'!$E:$E,J$1,'単価履歴'!$F:$F,$A29)))</f>
        <v/>
      </c>
      <c r="K29" s="285">
        <v>32.0</v>
      </c>
      <c r="L29" s="285">
        <v>36.2</v>
      </c>
      <c r="M29" s="285">
        <v>42.7</v>
      </c>
      <c r="N29" s="249"/>
      <c r="O29" s="247">
        <f>IF(MAXIFS('単価履歴'!$H:$H,'単価履歴'!$E:$E,O$1,'単価履歴'!$F:$F,$A29,'単価履歴'!$O:$O,
MAXIFS('単価履歴'!$O:$O,'単価履歴'!$E:$E,O$1,'単価履歴'!$F:$F,$A29))=0,"",
MAXIFS('単価履歴'!$H:$H,'単価履歴'!$E:$E,O$1,'単価履歴'!$F:$F,$A29,'単価履歴'!$O:$O,
MAXIFS('単価履歴'!$O:$O,'単価履歴'!$E:$E,O$1,'単価履歴'!$F:$F,$A29)))</f>
        <v>53.2</v>
      </c>
      <c r="P29" s="252" t="str">
        <f>IF(MAXIFS('単価履歴'!$H:$H,'単価履歴'!$E:$E,P$1,'単価履歴'!$F:$F,$A29,'単価履歴'!$O:$O,
MAXIFS('単価履歴'!$O:$O,'単価履歴'!$E:$E,P$1,'単価履歴'!$F:$F,$A29))=0,"",
MAXIFS('単価履歴'!$H:$H,'単価履歴'!$E:$E,P$1,'単価履歴'!$F:$F,$A29,'単価履歴'!$O:$O,
MAXIFS('単価履歴'!$O:$O,'単価履歴'!$E:$E,P$1,'単価履歴'!$F:$F,$A29)))</f>
        <v/>
      </c>
      <c r="Q29" s="248" t="str">
        <f>IF(MAXIFS('単価履歴'!$H:$H,'単価履歴'!$E:$E,Q$1,'単価履歴'!$F:$F,$A29,'単価履歴'!$O:$O,
MAXIFS('単価履歴'!$O:$O,'単価履歴'!$E:$E,Q$1,'単価履歴'!$F:$F,$A29))=0,"",
MAXIFS('単価履歴'!$H:$H,'単価履歴'!$E:$E,Q$1,'単価履歴'!$F:$F,$A29,'単価履歴'!$O:$O,
MAXIFS('単価履歴'!$O:$O,'単価履歴'!$E:$E,Q$1,'単価履歴'!$F:$F,$A29)))</f>
        <v/>
      </c>
      <c r="R29" s="252" t="str">
        <f>IF(MAXIFS('単価履歴'!$H:$H,'単価履歴'!$E:$E,R$1,'単価履歴'!$F:$F,$A29,'単価履歴'!$O:$O,
MAXIFS('単価履歴'!$O:$O,'単価履歴'!$E:$E,R$1,'単価履歴'!$F:$F,$A29))=0,"",
MAXIFS('単価履歴'!$H:$H,'単価履歴'!$E:$E,R$1,'単価履歴'!$F:$F,$A29,'単価履歴'!$O:$O,
MAXIFS('単価履歴'!$O:$O,'単価履歴'!$E:$E,R$1,'単価履歴'!$F:$F,$A29)))</f>
        <v/>
      </c>
      <c r="S29" s="247">
        <f>IF(MAXIFS('単価履歴'!$H:$H,'単価履歴'!$E:$E,S$1,'単価履歴'!$F:$F,$A29,'単価履歴'!$O:$O,
MAXIFS('単価履歴'!$O:$O,'単価履歴'!$E:$E,S$1,'単価履歴'!$F:$F,$A29))=0,"",
MAXIFS('単価履歴'!$H:$H,'単価履歴'!$E:$E,S$1,'単価履歴'!$F:$F,$A29,'単価履歴'!$O:$O,
MAXIFS('単価履歴'!$O:$O,'単価履歴'!$E:$E,S$1,'単価履歴'!$F:$F,$A29)))</f>
        <v>54.5</v>
      </c>
      <c r="T29" s="249" t="str">
        <f>IF(MAXIFS('単価履歴'!$H:$H,'単価履歴'!$E:$E,T$1,'単価履歴'!$F:$F,$A29,'単価履歴'!$O:$O,
MAXIFS('単価履歴'!$O:$O,'単価履歴'!$E:$E,T$1,'単価履歴'!$F:$F,$A29))=0,"",
MAXIFS('単価履歴'!$H:$H,'単価履歴'!$E:$E,T$1,'単価履歴'!$F:$F,$A29,'単価履歴'!$O:$O,
MAXIFS('単価履歴'!$O:$O,'単価履歴'!$E:$E,T$1,'単価履歴'!$F:$F,$A29)))</f>
        <v/>
      </c>
      <c r="U29" s="249" t="str">
        <f>IF(MAXIFS('単価履歴'!$H:$H,'単価履歴'!$E:$E,U$1,'単価履歴'!$F:$F,$A29,'単価履歴'!$O:$O,
MAXIFS('単価履歴'!$O:$O,'単価履歴'!$E:$E,U$1,'単価履歴'!$F:$F,$A29))=0,"",
MAXIFS('単価履歴'!$H:$H,'単価履歴'!$E:$E,U$1,'単価履歴'!$F:$F,$A29,'単価履歴'!$O:$O,
MAXIFS('単価履歴'!$O:$O,'単価履歴'!$E:$E,U$1,'単価履歴'!$F:$F,$A29)))</f>
        <v/>
      </c>
      <c r="V29" s="251" t="str">
        <f>IF(MAXIFS('単価履歴'!$H:$H,'単価履歴'!$E:$E,V$1,'単価履歴'!$F:$F,$A29,'単価履歴'!$O:$O,
MAXIFS('単価履歴'!$O:$O,'単価履歴'!$E:$E,V$1,'単価履歴'!$F:$F,$A29))=0,"",
MAXIFS('単価履歴'!$H:$H,'単価履歴'!$E:$E,V$1,'単価履歴'!$F:$F,$A29,'単価履歴'!$O:$O,
MAXIFS('単価履歴'!$O:$O,'単価履歴'!$E:$E,V$1,'単価履歴'!$F:$F,$A29)))</f>
        <v/>
      </c>
      <c r="W29" s="252" t="str">
        <f>IF(MAXIFS('単価履歴'!$H:$H,'単価履歴'!$E:$E,W$1,'単価履歴'!$F:$F,$A29,'単価履歴'!$O:$O,
MAXIFS('単価履歴'!$O:$O,'単価履歴'!$E:$E,W$1,'単価履歴'!$F:$F,$A29))=0,"",
MAXIFS('単価履歴'!$H:$H,'単価履歴'!$E:$E,W$1,'単価履歴'!$F:$F,$A29,'単価履歴'!$O:$O,
MAXIFS('単価履歴'!$O:$O,'単価履歴'!$E:$E,W$1,'単価履歴'!$F:$F,$A29)))</f>
        <v/>
      </c>
      <c r="X29" s="249" t="str">
        <f>IF(MAXIFS('単価履歴'!$H:$H,'単価履歴'!$E:$E,X$1,'単価履歴'!$F:$F,$A29,'単価履歴'!$O:$O,
MAXIFS('単価履歴'!$O:$O,'単価履歴'!$E:$E,X$1,'単価履歴'!$F:$F,$A29))=0,"",
MAXIFS('単価履歴'!$H:$H,'単価履歴'!$E:$E,X$1,'単価履歴'!$F:$F,$A29,'単価履歴'!$O:$O,
MAXIFS('単価履歴'!$O:$O,'単価履歴'!$E:$E,X$1,'単価履歴'!$F:$F,$A29)))</f>
        <v/>
      </c>
      <c r="Y29" s="251" t="str">
        <f>IF(MAXIFS('単価履歴'!$H:$H,'単価履歴'!$E:$E,Y$1,'単価履歴'!$F:$F,$A29,'単価履歴'!$O:$O,
MAXIFS('単価履歴'!$O:$O,'単価履歴'!$E:$E,Y$1,'単価履歴'!$F:$F,$A29))=0,"",
MAXIFS('単価履歴'!$H:$H,'単価履歴'!$E:$E,Y$1,'単価履歴'!$F:$F,$A29,'単価履歴'!$O:$O,
MAXIFS('単価履歴'!$O:$O,'単価履歴'!$E:$E,Y$1,'単価履歴'!$F:$F,$A29)))</f>
        <v/>
      </c>
      <c r="Z29" s="249" t="str">
        <f>IF(MAXIFS('単価履歴'!$H:$H,'単価履歴'!$E:$E,Z$1,'単価履歴'!$F:$F,$A29,'単価履歴'!$O:$O,
MAXIFS('単価履歴'!$O:$O,'単価履歴'!$E:$E,Z$1,'単価履歴'!$F:$F,$A29))=0,"",
MAXIFS('単価履歴'!$H:$H,'単価履歴'!$E:$E,Z$1,'単価履歴'!$F:$F,$A29,'単価履歴'!$O:$O,
MAXIFS('単価履歴'!$O:$O,'単価履歴'!$E:$E,Z$1,'単価履歴'!$F:$F,$A29)))</f>
        <v/>
      </c>
      <c r="AA29" s="251" t="str">
        <f>IF(MAXIFS('単価履歴'!$H:$H,'単価履歴'!$E:$E,AA$1,'単価履歴'!$F:$F,$A29,'単価履歴'!$O:$O,
MAXIFS('単価履歴'!$O:$O,'単価履歴'!$E:$E,AA$1,'単価履歴'!$F:$F,$A29))=0,"",
MAXIFS('単価履歴'!$H:$H,'単価履歴'!$E:$E,AA$1,'単価履歴'!$F:$F,$A29,'単価履歴'!$O:$O,
MAXIFS('単価履歴'!$O:$O,'単価履歴'!$E:$E,AA$1,'単価履歴'!$F:$F,$A29)))</f>
        <v/>
      </c>
      <c r="AB29" s="252" t="str">
        <f>IF(MAXIFS('単価履歴'!$H:$H,'単価履歴'!$E:$E,AB$1,'単価履歴'!$F:$F,$A29,'単価履歴'!$O:$O,
MAXIFS('単価履歴'!$O:$O,'単価履歴'!$E:$E,AB$1,'単価履歴'!$F:$F,$A29))=0,"",
MAXIFS('単価履歴'!$H:$H,'単価履歴'!$E:$E,AB$1,'単価履歴'!$F:$F,$A29,'単価履歴'!$O:$O,
MAXIFS('単価履歴'!$O:$O,'単価履歴'!$E:$E,AB$1,'単価履歴'!$F:$F,$A29)))</f>
        <v/>
      </c>
      <c r="AC29" s="249" t="str">
        <f>IF(MAXIFS('単価履歴'!$H:$H,'単価履歴'!$E:$E,AC$1,'単価履歴'!$F:$F,$A29,'単価履歴'!$O:$O,
MAXIFS('単価履歴'!$O:$O,'単価履歴'!$E:$E,AC$1,'単価履歴'!$F:$F,$A29))=0,"",
MAXIFS('単価履歴'!$H:$H,'単価履歴'!$E:$E,AC$1,'単価履歴'!$F:$F,$A29,'単価履歴'!$O:$O,
MAXIFS('単価履歴'!$O:$O,'単価履歴'!$E:$E,AC$1,'単価履歴'!$F:$F,$A29)))</f>
        <v/>
      </c>
      <c r="AD29" s="251" t="str">
        <f>IF(MAXIFS('単価履歴'!$H:$H,'単価履歴'!$E:$E,AD$1,'単価履歴'!$F:$F,$A29,'単価履歴'!$O:$O,
MAXIFS('単価履歴'!$O:$O,'単価履歴'!$E:$E,AD$1,'単価履歴'!$F:$F,$A29))=0,"",
MAXIFS('単価履歴'!$H:$H,'単価履歴'!$E:$E,AD$1,'単価履歴'!$F:$F,$A29,'単価履歴'!$O:$O,
MAXIFS('単価履歴'!$O:$O,'単価履歴'!$E:$E,AD$1,'単価履歴'!$F:$F,$A29)))</f>
        <v/>
      </c>
      <c r="AE29" s="252" t="str">
        <f>IF(MAXIFS('単価履歴'!$H:$H,'単価履歴'!$E:$E,AE$1,'単価履歴'!$F:$F,$A29,'単価履歴'!$O:$O,
MAXIFS('単価履歴'!$O:$O,'単価履歴'!$E:$E,AE$1,'単価履歴'!$F:$F,$A29))=0,"",
MAXIFS('単価履歴'!$H:$H,'単価履歴'!$E:$E,AE$1,'単価履歴'!$F:$F,$A29,'単価履歴'!$O:$O,
MAXIFS('単価履歴'!$O:$O,'単価履歴'!$E:$E,AE$1,'単価履歴'!$F:$F,$A29)))</f>
        <v/>
      </c>
      <c r="AF29" s="249" t="str">
        <f>IF(MAXIFS('単価履歴'!$H:$H,'単価履歴'!$E:$E,AF$1,'単価履歴'!$F:$F,$A29,'単価履歴'!$O:$O,
MAXIFS('単価履歴'!$O:$O,'単価履歴'!$E:$E,AF$1,'単価履歴'!$F:$F,$A29))=0,"",
MAXIFS('単価履歴'!$H:$H,'単価履歴'!$E:$E,AF$1,'単価履歴'!$F:$F,$A29,'単価履歴'!$O:$O,
MAXIFS('単価履歴'!$O:$O,'単価履歴'!$E:$E,AF$1,'単価履歴'!$F:$F,$A29)))</f>
        <v/>
      </c>
      <c r="AG29" s="280">
        <v>39.5</v>
      </c>
      <c r="AH29" s="249"/>
      <c r="AI29" s="251" t="str">
        <f>IF(MAXIFS('単価履歴'!$H:$H,'単価履歴'!$E:$E,AI$1,'単価履歴'!$F:$F,$A29,'単価履歴'!$O:$O,
MAXIFS('単価履歴'!$O:$O,'単価履歴'!$E:$E,AI$1,'単価履歴'!$F:$F,$A29))=0,"",
MAXIFS('単価履歴'!$H:$H,'単価履歴'!$E:$E,AI$1,'単価履歴'!$F:$F,$A29,'単価履歴'!$O:$O,
MAXIFS('単価履歴'!$O:$O,'単価履歴'!$E:$E,AI$1,'単価履歴'!$F:$F,$A29)))</f>
        <v/>
      </c>
      <c r="AJ29" s="249" t="str">
        <f>IF(MAXIFS('単価履歴'!$H:$H,'単価履歴'!$E:$E,AJ$1,'単価履歴'!$F:$F,$A29,'単価履歴'!$O:$O,
MAXIFS('単価履歴'!$O:$O,'単価履歴'!$E:$E,AJ$1,'単価履歴'!$F:$F,$A29))=0,"",
MAXIFS('単価履歴'!$H:$H,'単価履歴'!$E:$E,AJ$1,'単価履歴'!$F:$F,$A29,'単価履歴'!$O:$O,
MAXIFS('単価履歴'!$O:$O,'単価履歴'!$E:$E,AJ$1,'単価履歴'!$F:$F,$A29)))</f>
        <v/>
      </c>
      <c r="AK29" s="330">
        <v>44.5</v>
      </c>
      <c r="AL29" s="249" t="str">
        <f>IF(MAXIFS('単価履歴'!$H:$H,'単価履歴'!$E:$E,AL$1,'単価履歴'!$F:$F,$A29,'単価履歴'!$O:$O,
MAXIFS('単価履歴'!$O:$O,'単価履歴'!$E:$E,AL$1,'単価履歴'!$F:$F,$A29))=0,"",
MAXIFS('単価履歴'!$H:$H,'単価履歴'!$E:$E,AL$1,'単価履歴'!$F:$F,$A29,'単価履歴'!$O:$O,
MAXIFS('単価履歴'!$O:$O,'単価履歴'!$E:$E,AL$1,'単価履歴'!$F:$F,$A29)))</f>
        <v/>
      </c>
      <c r="AM29" s="251" t="str">
        <f>IF(MAXIFS('単価履歴'!$H:$H,'単価履歴'!$E:$E,AM$1,'単価履歴'!$F:$F,$A29,'単価履歴'!$O:$O,
MAXIFS('単価履歴'!$O:$O,'単価履歴'!$E:$E,AM$1,'単価履歴'!$F:$F,$A29))=0,"",
MAXIFS('単価履歴'!$H:$H,'単価履歴'!$E:$E,AM$1,'単価履歴'!$F:$F,$A29,'単価履歴'!$O:$O,
MAXIFS('単価履歴'!$O:$O,'単価履歴'!$E:$E,AM$1,'単価履歴'!$F:$F,$A29)))</f>
        <v/>
      </c>
      <c r="AN29" s="258">
        <f>IF(MAXIFS('単価履歴'!$H:$H,'単価履歴'!$E:$E,AN$1,'単価履歴'!$F:$F,$A29,'単価履歴'!$O:$O,
MAXIFS('単価履歴'!$O:$O,'単価履歴'!$E:$E,AN$1,'単価履歴'!$F:$F,$A29))=0,"",
MAXIFS('単価履歴'!$H:$H,'単価履歴'!$E:$E,AN$1,'単価履歴'!$F:$F,$A29,'単価履歴'!$O:$O,
MAXIFS('単価履歴'!$O:$O,'単価履歴'!$E:$E,AN$1,'単価履歴'!$F:$F,$A29)))</f>
        <v>51.5</v>
      </c>
      <c r="AO29" s="251" t="str">
        <f>IF(MAXIFS('単価履歴'!$H:$H,'単価履歴'!$E:$E,AO$1,'単価履歴'!$F:$F,$A29,'単価履歴'!$O:$O,
MAXIFS('単価履歴'!$O:$O,'単価履歴'!$E:$E,AO$1,'単価履歴'!$F:$F,$A29))=0,"",
MAXIFS('単価履歴'!$H:$H,'単価履歴'!$E:$E,AO$1,'単価履歴'!$F:$F,$A29,'単価履歴'!$O:$O,
MAXIFS('単価履歴'!$O:$O,'単価履歴'!$E:$E,AO$1,'単価履歴'!$F:$F,$A29)))</f>
        <v/>
      </c>
      <c r="AP29" s="252" t="str">
        <f>IF(MAXIFS('単価履歴'!$H:$H,'単価履歴'!$E:$E,AP$1,'単価履歴'!$F:$F,$A29,'単価履歴'!$O:$O,
MAXIFS('単価履歴'!$O:$O,'単価履歴'!$E:$E,AP$1,'単価履歴'!$F:$F,$A29))=0,"",
MAXIFS('単価履歴'!$H:$H,'単価履歴'!$E:$E,AP$1,'単価履歴'!$F:$F,$A29,'単価履歴'!$O:$O,
MAXIFS('単価履歴'!$O:$O,'単価履歴'!$E:$E,AP$1,'単価履歴'!$F:$F,$A29)))</f>
        <v/>
      </c>
      <c r="AQ29" s="249" t="str">
        <f>IF(MAXIFS('単価履歴'!$H:$H,'単価履歴'!$E:$E,AQ$1,'単価履歴'!$F:$F,$A29,'単価履歴'!$O:$O,
MAXIFS('単価履歴'!$O:$O,'単価履歴'!$E:$E,AQ$1,'単価履歴'!$F:$F,$A29))=0,"",
MAXIFS('単価履歴'!$H:$H,'単価履歴'!$E:$E,AQ$1,'単価履歴'!$F:$F,$A29,'単価履歴'!$O:$O,
MAXIFS('単価履歴'!$O:$O,'単価履歴'!$E:$E,AQ$1,'単価履歴'!$F:$F,$A29)))</f>
        <v/>
      </c>
      <c r="AR29" s="252" t="str">
        <f>IF(MAXIFS('単価履歴'!$H:$H,'単価履歴'!$E:$E,AR$1,'単価履歴'!$F:$F,$A29,'単価履歴'!$O:$O,
MAXIFS('単価履歴'!$O:$O,'単価履歴'!$E:$E,AR$1,'単価履歴'!$F:$F,$A29))=0,"",
MAXIFS('単価履歴'!$H:$H,'単価履歴'!$E:$E,AR$1,'単価履歴'!$F:$F,$A29,'単価履歴'!$O:$O,
MAXIFS('単価履歴'!$O:$O,'単価履歴'!$E:$E,AR$1,'単価履歴'!$F:$F,$A29)))</f>
        <v/>
      </c>
      <c r="AS29" s="249" t="str">
        <f>IF(MAXIFS('単価履歴'!$H:$H,'単価履歴'!$E:$E,AS$1,'単価履歴'!$F:$F,$A29,'単価履歴'!$O:$O,
MAXIFS('単価履歴'!$O:$O,'単価履歴'!$E:$E,AS$1,'単価履歴'!$F:$F,$A29))=0,"",
MAXIFS('単価履歴'!$H:$H,'単価履歴'!$E:$E,AS$1,'単価履歴'!$F:$F,$A29,'単価履歴'!$O:$O,
MAXIFS('単価履歴'!$O:$O,'単価履歴'!$E:$E,AS$1,'単価履歴'!$F:$F,$A29)))</f>
        <v/>
      </c>
      <c r="AT29" s="249" t="str">
        <f>IF(MAXIFS('単価履歴'!$H:$H,'単価履歴'!$E:$E,AT$1,'単価履歴'!$F:$F,$A29,'単価履歴'!$O:$O,
MAXIFS('単価履歴'!$O:$O,'単価履歴'!$E:$E,AT$1,'単価履歴'!$F:$F,$A29))=0,"",
MAXIFS('単価履歴'!$H:$H,'単価履歴'!$E:$E,AT$1,'単価履歴'!$F:$F,$A29,'単価履歴'!$O:$O,
MAXIFS('単価履歴'!$O:$O,'単価履歴'!$E:$E,AT$1,'単価履歴'!$F:$F,$A29)))</f>
        <v/>
      </c>
      <c r="AU29" s="249" t="str">
        <f>IF(MAXIFS('単価履歴'!$H:$H,'単価履歴'!$E:$E,AU$1,'単価履歴'!$F:$F,$A29,'単価履歴'!$O:$O,
MAXIFS('単価履歴'!$O:$O,'単価履歴'!$E:$E,AU$1,'単価履歴'!$F:$F,$A29))=0,"",
MAXIFS('単価履歴'!$H:$H,'単価履歴'!$E:$E,AU$1,'単価履歴'!$F:$F,$A29,'単価履歴'!$O:$O,
MAXIFS('単価履歴'!$O:$O,'単価履歴'!$E:$E,AU$1,'単価履歴'!$F:$F,$A29)))</f>
        <v/>
      </c>
      <c r="AV29" s="249" t="str">
        <f>IF(MAXIFS('単価履歴'!$H:$H,'単価履歴'!$E:$E,AV$1,'単価履歴'!$F:$F,$A29,'単価履歴'!$O:$O,
MAXIFS('単価履歴'!$O:$O,'単価履歴'!$E:$E,AV$1,'単価履歴'!$F:$F,$A29))=0,"",
MAXIFS('単価履歴'!$H:$H,'単価履歴'!$E:$E,AV$1,'単価履歴'!$F:$F,$A29,'単価履歴'!$O:$O,
MAXIFS('単価履歴'!$O:$O,'単価履歴'!$E:$E,AV$1,'単価履歴'!$F:$F,$A29)))</f>
        <v/>
      </c>
      <c r="AW29" s="248" t="str">
        <f>IF(MAXIFS('単価履歴'!$H:$H,'単価履歴'!$E:$E,AW$1,'単価履歴'!$F:$F,$A29,'単価履歴'!$O:$O,
MAXIFS('単価履歴'!$O:$O,'単価履歴'!$E:$E,AW$1,'単価履歴'!$F:$F,$A29))=0,"",
MAXIFS('単価履歴'!$H:$H,'単価履歴'!$E:$E,AW$1,'単価履歴'!$F:$F,$A29,'単価履歴'!$O:$O,
MAXIFS('単価履歴'!$O:$O,'単価履歴'!$E:$E,AW$1,'単価履歴'!$F:$F,$A29)))</f>
        <v/>
      </c>
      <c r="AX29" s="249" t="str">
        <f>IF(MAXIFS('単価履歴'!$H:$H,'単価履歴'!$E:$E,AX$1,'単価履歴'!$F:$F,$A29,'単価履歴'!$O:$O,
MAXIFS('単価履歴'!$O:$O,'単価履歴'!$E:$E,AX$1,'単価履歴'!$F:$F,$A29))=0,"",
MAXIFS('単価履歴'!$H:$H,'単価履歴'!$E:$E,AX$1,'単価履歴'!$F:$F,$A29,'単価履歴'!$O:$O,
MAXIFS('単価履歴'!$O:$O,'単価履歴'!$E:$E,AX$1,'単価履歴'!$F:$F,$A29)))</f>
        <v/>
      </c>
      <c r="AY29" s="251" t="str">
        <f>IF(MAXIFS('単価履歴'!$H:$H,'単価履歴'!$E:$E,AY$1,'単価履歴'!$F:$F,$A29,'単価履歴'!$O:$O,
MAXIFS('単価履歴'!$O:$O,'単価履歴'!$E:$E,AY$1,'単価履歴'!$F:$F,$A29))=0,"",
MAXIFS('単価履歴'!$H:$H,'単価履歴'!$E:$E,AY$1,'単価履歴'!$F:$F,$A29,'単価履歴'!$O:$O,
MAXIFS('単価履歴'!$O:$O,'単価履歴'!$E:$E,AY$1,'単価履歴'!$F:$F,$A29)))</f>
        <v/>
      </c>
      <c r="AZ29" s="249" t="str">
        <f>IF(MAXIFS('単価履歴'!$H:$H,'単価履歴'!$E:$E,AZ$1,'単価履歴'!$F:$F,$A29,'単価履歴'!$O:$O,
MAXIFS('単価履歴'!$O:$O,'単価履歴'!$E:$E,AZ$1,'単価履歴'!$F:$F,$A29))=0,"",
MAXIFS('単価履歴'!$H:$H,'単価履歴'!$E:$E,AZ$1,'単価履歴'!$F:$F,$A29,'単価履歴'!$O:$O,
MAXIFS('単価履歴'!$O:$O,'単価履歴'!$E:$E,AZ$1,'単価履歴'!$F:$F,$A29)))</f>
        <v/>
      </c>
      <c r="BA29" s="248" t="str">
        <f>IF(MAXIFS('単価履歴'!$H:$H,'単価履歴'!$E:$E,BA$1,'単価履歴'!$F:$F,$A29,'単価履歴'!$O:$O,
MAXIFS('単価履歴'!$O:$O,'単価履歴'!$E:$E,BA$1,'単価履歴'!$F:$F,$A29))=0,"",
MAXIFS('単価履歴'!$H:$H,'単価履歴'!$E:$E,BA$1,'単価履歴'!$F:$F,$A29,'単価履歴'!$O:$O,
MAXIFS('単価履歴'!$O:$O,'単価履歴'!$E:$E,BA$1,'単価履歴'!$F:$F,$A29)))</f>
        <v/>
      </c>
      <c r="BB29" s="249" t="str">
        <f>IF(MAXIFS('単価履歴'!$H:$H,'単価履歴'!$E:$E,BB$1,'単価履歴'!$F:$F,$A29,'単価履歴'!$O:$O,
MAXIFS('単価履歴'!$O:$O,'単価履歴'!$E:$E,BB$1,'単価履歴'!$F:$F,$A29))=0,"",
MAXIFS('単価履歴'!$H:$H,'単価履歴'!$E:$E,BB$1,'単価履歴'!$F:$F,$A29,'単価履歴'!$O:$O,
MAXIFS('単価履歴'!$O:$O,'単価履歴'!$E:$E,BB$1,'単価履歴'!$F:$F,$A29)))</f>
        <v/>
      </c>
      <c r="BC29" s="251" t="str">
        <f>IF(MAXIFS('単価履歴'!$H:$H,'単価履歴'!$E:$E,BC$1,'単価履歴'!$F:$F,$A29,'単価履歴'!$O:$O,
MAXIFS('単価履歴'!$O:$O,'単価履歴'!$E:$E,BC$1,'単価履歴'!$F:$F,$A29))=0,"",
MAXIFS('単価履歴'!$H:$H,'単価履歴'!$E:$E,BC$1,'単価履歴'!$F:$F,$A29,'単価履歴'!$O:$O,
MAXIFS('単価履歴'!$O:$O,'単価履歴'!$E:$E,BC$1,'単価履歴'!$F:$F,$A29)))</f>
        <v/>
      </c>
      <c r="BD29" s="248" t="str">
        <f>IF(MAXIFS('単価履歴'!$H:$H,'単価履歴'!$E:$E,BD$1,'単価履歴'!$F:$F,$A29,'単価履歴'!$O:$O,
MAXIFS('単価履歴'!$O:$O,'単価履歴'!$E:$E,BD$1,'単価履歴'!$F:$F,$A29))=0,"",
MAXIFS('単価履歴'!$H:$H,'単価履歴'!$E:$E,BD$1,'単価履歴'!$F:$F,$A29,'単価履歴'!$O:$O,
MAXIFS('単価履歴'!$O:$O,'単価履歴'!$E:$E,BD$1,'単価履歴'!$F:$F,$A29)))</f>
        <v/>
      </c>
      <c r="BE29" s="249" t="str">
        <f>IF(MAXIFS('単価履歴'!$H:$H,'単価履歴'!$E:$E,BE$1,'単価履歴'!$F:$F,$A29,'単価履歴'!$O:$O,
MAXIFS('単価履歴'!$O:$O,'単価履歴'!$E:$E,BE$1,'単価履歴'!$F:$F,$A29))=0,"",
MAXIFS('単価履歴'!$H:$H,'単価履歴'!$E:$E,BE$1,'単価履歴'!$F:$F,$A29,'単価履歴'!$O:$O,
MAXIFS('単価履歴'!$O:$O,'単価履歴'!$E:$E,BE$1,'単価履歴'!$F:$F,$A29)))</f>
        <v/>
      </c>
      <c r="BF29" s="248" t="str">
        <f>IF(MAXIFS('単価履歴'!$H:$H,'単価履歴'!$E:$E,BF$1,'単価履歴'!$F:$F,$A29,'単価履歴'!$O:$O,
MAXIFS('単価履歴'!$O:$O,'単価履歴'!$E:$E,BF$1,'単価履歴'!$F:$F,$A29))=0,"",
MAXIFS('単価履歴'!$H:$H,'単価履歴'!$E:$E,BF$1,'単価履歴'!$F:$F,$A29,'単価履歴'!$O:$O,
MAXIFS('単価履歴'!$O:$O,'単価履歴'!$E:$E,BF$1,'単価履歴'!$F:$F,$A29)))</f>
        <v/>
      </c>
      <c r="BG29" s="249" t="str">
        <f>IF(MAXIFS('単価履歴'!$H:$H,'単価履歴'!$E:$E,BG$1,'単価履歴'!$F:$F,$A29,'単価履歴'!$O:$O,
MAXIFS('単価履歴'!$O:$O,'単価履歴'!$E:$E,BG$1,'単価履歴'!$F:$F,$A29))=0,"",
MAXIFS('単価履歴'!$H:$H,'単価履歴'!$E:$E,BG$1,'単価履歴'!$F:$F,$A29,'単価履歴'!$O:$O,
MAXIFS('単価履歴'!$O:$O,'単価履歴'!$E:$E,BG$1,'単価履歴'!$F:$F,$A29)))</f>
        <v/>
      </c>
      <c r="BH29" s="249" t="str">
        <f>IF(MAXIFS('単価履歴'!$H:$H,'単価履歴'!$E:$E,BH$1,'単価履歴'!$F:$F,$A29,'単価履歴'!$O:$O,
MAXIFS('単価履歴'!$O:$O,'単価履歴'!$E:$E,BH$1,'単価履歴'!$F:$F,$A29))=0,"",
MAXIFS('単価履歴'!$H:$H,'単価履歴'!$E:$E,BH$1,'単価履歴'!$F:$F,$A29,'単価履歴'!$O:$O,
MAXIFS('単価履歴'!$O:$O,'単価履歴'!$E:$E,BH$1,'単価履歴'!$F:$F,$A29)))</f>
        <v/>
      </c>
      <c r="BI29" s="252" t="str">
        <f>IF(MAXIFS('単価履歴'!$H:$H,'単価履歴'!$E:$E,BI$1,'単価履歴'!$F:$F,$A29,'単価履歴'!$O:$O,
MAXIFS('単価履歴'!$O:$O,'単価履歴'!$E:$E,BI$1,'単価履歴'!$F:$F,$A29))=0,"",
MAXIFS('単価履歴'!$H:$H,'単価履歴'!$E:$E,BI$1,'単価履歴'!$F:$F,$A29,'単価履歴'!$O:$O,
MAXIFS('単価履歴'!$O:$O,'単価履歴'!$E:$E,BI$1,'単価履歴'!$F:$F,$A29)))</f>
        <v/>
      </c>
      <c r="BJ29" s="252" t="str">
        <f>IF(MAXIFS('単価履歴'!$H:$H,'単価履歴'!$E:$E,BJ$1,'単価履歴'!$F:$F,$A29,'単価履歴'!$O:$O,
MAXIFS('単価履歴'!$O:$O,'単価履歴'!$E:$E,BJ$1,'単価履歴'!$F:$F,$A29))=0,"",
MAXIFS('単価履歴'!$H:$H,'単価履歴'!$E:$E,BJ$1,'単価履歴'!$F:$F,$A29,'単価履歴'!$O:$O,
MAXIFS('単価履歴'!$O:$O,'単価履歴'!$E:$E,BJ$1,'単価履歴'!$F:$F,$A29)))</f>
        <v/>
      </c>
      <c r="BK29" s="252" t="str">
        <f>IF(MAXIFS('単価履歴'!$H:$H,'単価履歴'!$E:$E,BK$1,'単価履歴'!$F:$F,$A29,'単価履歴'!$O:$O,
MAXIFS('単価履歴'!$O:$O,'単価履歴'!$E:$E,BK$1,'単価履歴'!$F:$F,$A29))=0,"",
MAXIFS('単価履歴'!$H:$H,'単価履歴'!$E:$E,BK$1,'単価履歴'!$F:$F,$A29,'単価履歴'!$O:$O,
MAXIFS('単価履歴'!$O:$O,'単価履歴'!$E:$E,BK$1,'単価履歴'!$F:$F,$A29)))</f>
        <v/>
      </c>
      <c r="BL29" s="252" t="str">
        <f>IF(MAXIFS('単価履歴'!$H:$H,'単価履歴'!$E:$E,BL$1,'単価履歴'!$F:$F,$A29,'単価履歴'!$O:$O,
MAXIFS('単価履歴'!$O:$O,'単価履歴'!$E:$E,BL$1,'単価履歴'!$F:$F,$A29))=0,"",
MAXIFS('単価履歴'!$H:$H,'単価履歴'!$E:$E,BL$1,'単価履歴'!$F:$F,$A29,'単価履歴'!$O:$O,
MAXIFS('単価履歴'!$O:$O,'単価履歴'!$E:$E,BL$1,'単価履歴'!$F:$F,$A29)))</f>
        <v/>
      </c>
      <c r="BM29" s="252" t="str">
        <f>IF(MAXIFS('単価履歴'!$H:$H,'単価履歴'!$E:$E,BM$1,'単価履歴'!$F:$F,$A29,'単価履歴'!$O:$O,
MAXIFS('単価履歴'!$O:$O,'単価履歴'!$E:$E,BM$1,'単価履歴'!$F:$F,$A29))=0,"",
MAXIFS('単価履歴'!$H:$H,'単価履歴'!$E:$E,BM$1,'単価履歴'!$F:$F,$A29,'単価履歴'!$O:$O,
MAXIFS('単価履歴'!$O:$O,'単価履歴'!$E:$E,BM$1,'単価履歴'!$F:$F,$A29)))</f>
        <v/>
      </c>
      <c r="BN29" s="248" t="str">
        <f>IF(MAXIFS('単価履歴'!$H:$H,'単価履歴'!$E:$E,BN$1,'単価履歴'!$F:$F,$A29,'単価履歴'!$O:$O,
MAXIFS('単価履歴'!$O:$O,'単価履歴'!$E:$E,BN$1,'単価履歴'!$F:$F,$A29))=0,"",
MAXIFS('単価履歴'!$H:$H,'単価履歴'!$E:$E,BN$1,'単価履歴'!$F:$F,$A29,'単価履歴'!$O:$O,
MAXIFS('単価履歴'!$O:$O,'単価履歴'!$E:$E,BN$1,'単価履歴'!$F:$F,$A29)))</f>
        <v/>
      </c>
      <c r="BO29" s="249" t="str">
        <f>IF(MAXIFS('単価履歴'!$H:$H,'単価履歴'!$E:$E,BO$1,'単価履歴'!$F:$F,$A29,'単価履歴'!$O:$O,
MAXIFS('単価履歴'!$O:$O,'単価履歴'!$E:$E,BO$1,'単価履歴'!$F:$F,$A29))=0,"",
MAXIFS('単価履歴'!$H:$H,'単価履歴'!$E:$E,BO$1,'単価履歴'!$F:$F,$A29,'単価履歴'!$O:$O,
MAXIFS('単価履歴'!$O:$O,'単価履歴'!$E:$E,BO$1,'単価履歴'!$F:$F,$A29)))</f>
        <v/>
      </c>
      <c r="BP29" s="252" t="str">
        <f>IF(MAXIFS('単価履歴'!$H:$H,'単価履歴'!$E:$E,BP$1,'単価履歴'!$F:$F,$A29,'単価履歴'!$O:$O,
MAXIFS('単価履歴'!$O:$O,'単価履歴'!$E:$E,BP$1,'単価履歴'!$F:$F,$A29))=0,"",
MAXIFS('単価履歴'!$H:$H,'単価履歴'!$E:$E,BP$1,'単価履歴'!$F:$F,$A29,'単価履歴'!$O:$O,
MAXIFS('単価履歴'!$O:$O,'単価履歴'!$E:$E,BP$1,'単価履歴'!$F:$F,$A29)))</f>
        <v/>
      </c>
      <c r="BQ29" s="249"/>
      <c r="BR29" s="249"/>
      <c r="BS29" s="249"/>
      <c r="BT29" s="249"/>
      <c r="BU29" s="249"/>
      <c r="BV29" s="249"/>
      <c r="BW29" s="249"/>
      <c r="BX29" s="249"/>
    </row>
    <row r="30">
      <c r="A30" s="261" t="s">
        <v>156</v>
      </c>
      <c r="B30" s="246" t="str">
        <f>IF(MAXIFS('単価履歴'!$H:$H,'単価履歴'!$E:$E,B$1,'単価履歴'!$F:$F,$A30,'単価履歴'!$O:$O,
MAXIFS('単価履歴'!$O:$O,'単価履歴'!$E:$E,B$1,'単価履歴'!$F:$F,$A30))=0,"",
MAXIFS('単価履歴'!$H:$H,'単価履歴'!$E:$E,B$1,'単価履歴'!$F:$F,$A30,'単価履歴'!$O:$O,
MAXIFS('単価履歴'!$O:$O,'単価履歴'!$E:$E,B$1,'単価履歴'!$F:$F,$A30)))</f>
        <v/>
      </c>
      <c r="C30" s="254" t="str">
        <f>IF(MAXIFS('単価履歴'!$H:$H,'単価履歴'!$E:$E,C$1,'単価履歴'!$F:$F,$A30,'単価履歴'!$O:$O,
MAXIFS('単価履歴'!$O:$O,'単価履歴'!$E:$E,C$1,'単価履歴'!$F:$F,$A30))=0,"",
MAXIFS('単価履歴'!$H:$H,'単価履歴'!$E:$E,C$1,'単価履歴'!$F:$F,$A30,'単価履歴'!$O:$O,
MAXIFS('単価履歴'!$O:$O,'単価履歴'!$E:$E,C$1,'単価履歴'!$F:$F,$A30)))</f>
        <v/>
      </c>
      <c r="D30" s="256" t="str">
        <f>IF(MAXIFS('単価履歴'!$H:$H,'単価履歴'!$E:$E,D$1,'単価履歴'!$F:$F,$A30,'単価履歴'!$O:$O,
MAXIFS('単価履歴'!$O:$O,'単価履歴'!$E:$E,D$1,'単価履歴'!$F:$F,$A30))=0,"",
MAXIFS('単価履歴'!$H:$H,'単価履歴'!$E:$E,D$1,'単価履歴'!$F:$F,$A30,'単価履歴'!$O:$O,
MAXIFS('単価履歴'!$O:$O,'単価履歴'!$E:$E,D$1,'単価履歴'!$F:$F,$A30)))</f>
        <v/>
      </c>
      <c r="E30" s="256" t="str">
        <f>IF(MAXIFS('単価履歴'!$H:$H,'単価履歴'!$E:$E,E$1,'単価履歴'!$F:$F,$A30,'単価履歴'!$O:$O,
MAXIFS('単価履歴'!$O:$O,'単価履歴'!$E:$E,E$1,'単価履歴'!$F:$F,$A30))=0,"",
MAXIFS('単価履歴'!$H:$H,'単価履歴'!$E:$E,E$1,'単価履歴'!$F:$F,$A30,'単価履歴'!$O:$O,
MAXIFS('単価履歴'!$O:$O,'単価履歴'!$E:$E,E$1,'単価履歴'!$F:$F,$A30)))</f>
        <v/>
      </c>
      <c r="F30" s="256" t="str">
        <f>IF(MAXIFS('単価履歴'!$H:$H,'単価履歴'!$E:$E,F$1,'単価履歴'!$F:$F,$A30,'単価履歴'!$O:$O,
MAXIFS('単価履歴'!$O:$O,'単価履歴'!$E:$E,F$1,'単価履歴'!$F:$F,$A30))=0,"",
MAXIFS('単価履歴'!$H:$H,'単価履歴'!$E:$E,F$1,'単価履歴'!$F:$F,$A30,'単価履歴'!$O:$O,
MAXIFS('単価履歴'!$O:$O,'単価履歴'!$E:$E,F$1,'単価履歴'!$F:$F,$A30)))</f>
        <v/>
      </c>
      <c r="G30" s="263" t="str">
        <f>IF(MAXIFS('単価履歴'!$H:$H,'単価履歴'!$E:$E,G$1,'単価履歴'!$F:$F,$A30,'単価履歴'!$O:$O,
MAXIFS('単価履歴'!$O:$O,'単価履歴'!$E:$E,G$1,'単価履歴'!$F:$F,$A30))=0,"",
MAXIFS('単価履歴'!$H:$H,'単価履歴'!$E:$E,G$1,'単価履歴'!$F:$F,$A30,'単価履歴'!$O:$O,
MAXIFS('単価履歴'!$O:$O,'単価履歴'!$E:$E,G$1,'単価履歴'!$F:$F,$A30)))</f>
        <v/>
      </c>
      <c r="H30" s="256" t="str">
        <f>IF(MAXIFS('単価履歴'!$H:$H,'単価履歴'!$E:$E,H$1,'単価履歴'!$F:$F,$A30,'単価履歴'!$O:$O,
MAXIFS('単価履歴'!$O:$O,'単価履歴'!$E:$E,H$1,'単価履歴'!$F:$F,$A30))=0,"",
MAXIFS('単価履歴'!$H:$H,'単価履歴'!$E:$E,H$1,'単価履歴'!$F:$F,$A30,'単価履歴'!$O:$O,
MAXIFS('単価履歴'!$O:$O,'単価履歴'!$E:$E,H$1,'単価履歴'!$F:$F,$A30)))</f>
        <v/>
      </c>
      <c r="I30" s="256" t="str">
        <f>IF(MAXIFS('単価履歴'!$H:$H,'単価履歴'!$E:$E,I$1,'単価履歴'!$F:$F,$A30,'単価履歴'!$O:$O,
MAXIFS('単価履歴'!$O:$O,'単価履歴'!$E:$E,I$1,'単価履歴'!$F:$F,$A30))=0,"",
MAXIFS('単価履歴'!$H:$H,'単価履歴'!$E:$E,I$1,'単価履歴'!$F:$F,$A30,'単価履歴'!$O:$O,
MAXIFS('単価履歴'!$O:$O,'単価履歴'!$E:$E,I$1,'単価履歴'!$F:$F,$A30)))</f>
        <v/>
      </c>
      <c r="J30" s="263" t="str">
        <f>IF(MAXIFS('単価履歴'!$H:$H,'単価履歴'!$E:$E,J$1,'単価履歴'!$F:$F,$A30,'単価履歴'!$O:$O,
MAXIFS('単価履歴'!$O:$O,'単価履歴'!$E:$E,J$1,'単価履歴'!$F:$F,$A30))=0,"",
MAXIFS('単価履歴'!$H:$H,'単価履歴'!$E:$E,J$1,'単価履歴'!$F:$F,$A30,'単価履歴'!$O:$O,
MAXIFS('単価履歴'!$O:$O,'単価履歴'!$E:$E,J$1,'単価履歴'!$F:$F,$A30)))</f>
        <v/>
      </c>
      <c r="K30" s="275">
        <v>29.5</v>
      </c>
      <c r="L30" s="275">
        <v>33.7</v>
      </c>
      <c r="M30" s="275">
        <v>36.5</v>
      </c>
      <c r="N30" s="256"/>
      <c r="O30" s="254" t="str">
        <f>IF(MAXIFS('単価履歴'!$H:$H,'単価履歴'!$E:$E,O$1,'単価履歴'!$F:$F,$A30,'単価履歴'!$O:$O,
MAXIFS('単価履歴'!$O:$O,'単価履歴'!$E:$E,O$1,'単価履歴'!$F:$F,$A30))=0,"",
MAXIFS('単価履歴'!$H:$H,'単価履歴'!$E:$E,O$1,'単価履歴'!$F:$F,$A30,'単価履歴'!$O:$O,
MAXIFS('単価履歴'!$O:$O,'単価履歴'!$E:$E,O$1,'単価履歴'!$F:$F,$A30)))</f>
        <v/>
      </c>
      <c r="P30" s="264" t="str">
        <f>IF(MAXIFS('単価履歴'!$H:$H,'単価履歴'!$E:$E,P$1,'単価履歴'!$F:$F,$A30,'単価履歴'!$O:$O,
MAXIFS('単価履歴'!$O:$O,'単価履歴'!$E:$E,P$1,'単価履歴'!$F:$F,$A30))=0,"",
MAXIFS('単価履歴'!$H:$H,'単価履歴'!$E:$E,P$1,'単価履歴'!$F:$F,$A30,'単価履歴'!$O:$O,
MAXIFS('単価履歴'!$O:$O,'単価履歴'!$E:$E,P$1,'単価履歴'!$F:$F,$A30)))</f>
        <v/>
      </c>
      <c r="Q30" s="263" t="str">
        <f>IF(MAXIFS('単価履歴'!$H:$H,'単価履歴'!$E:$E,Q$1,'単価履歴'!$F:$F,$A30,'単価履歴'!$O:$O,
MAXIFS('単価履歴'!$O:$O,'単価履歴'!$E:$E,Q$1,'単価履歴'!$F:$F,$A30))=0,"",
MAXIFS('単価履歴'!$H:$H,'単価履歴'!$E:$E,Q$1,'単価履歴'!$F:$F,$A30,'単価履歴'!$O:$O,
MAXIFS('単価履歴'!$O:$O,'単価履歴'!$E:$E,Q$1,'単価履歴'!$F:$F,$A30)))</f>
        <v/>
      </c>
      <c r="R30" s="264" t="str">
        <f>IF(MAXIFS('単価履歴'!$H:$H,'単価履歴'!$E:$E,R$1,'単価履歴'!$F:$F,$A30,'単価履歴'!$O:$O,
MAXIFS('単価履歴'!$O:$O,'単価履歴'!$E:$E,R$1,'単価履歴'!$F:$F,$A30))=0,"",
MAXIFS('単価履歴'!$H:$H,'単価履歴'!$E:$E,R$1,'単価履歴'!$F:$F,$A30,'単価履歴'!$O:$O,
MAXIFS('単価履歴'!$O:$O,'単価履歴'!$E:$E,R$1,'単価履歴'!$F:$F,$A30)))</f>
        <v/>
      </c>
      <c r="S30" s="256" t="str">
        <f>IF(MAXIFS('単価履歴'!$H:$H,'単価履歴'!$E:$E,S$1,'単価履歴'!$F:$F,$A30,'単価履歴'!$O:$O,
MAXIFS('単価履歴'!$O:$O,'単価履歴'!$E:$E,S$1,'単価履歴'!$F:$F,$A30))=0,"",
MAXIFS('単価履歴'!$H:$H,'単価履歴'!$E:$E,S$1,'単価履歴'!$F:$F,$A30,'単価履歴'!$O:$O,
MAXIFS('単価履歴'!$O:$O,'単価履歴'!$E:$E,S$1,'単価履歴'!$F:$F,$A30)))</f>
        <v/>
      </c>
      <c r="T30" s="256" t="str">
        <f>IF(MAXIFS('単価履歴'!$H:$H,'単価履歴'!$E:$E,T$1,'単価履歴'!$F:$F,$A30,'単価履歴'!$O:$O,
MAXIFS('単価履歴'!$O:$O,'単価履歴'!$E:$E,T$1,'単価履歴'!$F:$F,$A30))=0,"",
MAXIFS('単価履歴'!$H:$H,'単価履歴'!$E:$E,T$1,'単価履歴'!$F:$F,$A30,'単価履歴'!$O:$O,
MAXIFS('単価履歴'!$O:$O,'単価履歴'!$E:$E,T$1,'単価履歴'!$F:$F,$A30)))</f>
        <v/>
      </c>
      <c r="U30" s="256" t="str">
        <f>IF(MAXIFS('単価履歴'!$H:$H,'単価履歴'!$E:$E,U$1,'単価履歴'!$F:$F,$A30,'単価履歴'!$O:$O,
MAXIFS('単価履歴'!$O:$O,'単価履歴'!$E:$E,U$1,'単価履歴'!$F:$F,$A30))=0,"",
MAXIFS('単価履歴'!$H:$H,'単価履歴'!$E:$E,U$1,'単価履歴'!$F:$F,$A30,'単価履歴'!$O:$O,
MAXIFS('単価履歴'!$O:$O,'単価履歴'!$E:$E,U$1,'単価履歴'!$F:$F,$A30)))</f>
        <v/>
      </c>
      <c r="V30" s="254" t="str">
        <f>IF(MAXIFS('単価履歴'!$H:$H,'単価履歴'!$E:$E,V$1,'単価履歴'!$F:$F,$A30,'単価履歴'!$O:$O,
MAXIFS('単価履歴'!$O:$O,'単価履歴'!$E:$E,V$1,'単価履歴'!$F:$F,$A30))=0,"",
MAXIFS('単価履歴'!$H:$H,'単価履歴'!$E:$E,V$1,'単価履歴'!$F:$F,$A30,'単価履歴'!$O:$O,
MAXIFS('単価履歴'!$O:$O,'単価履歴'!$E:$E,V$1,'単価履歴'!$F:$F,$A30)))</f>
        <v/>
      </c>
      <c r="W30" s="264" t="str">
        <f>IF(MAXIFS('単価履歴'!$H:$H,'単価履歴'!$E:$E,W$1,'単価履歴'!$F:$F,$A30,'単価履歴'!$O:$O,
MAXIFS('単価履歴'!$O:$O,'単価履歴'!$E:$E,W$1,'単価履歴'!$F:$F,$A30))=0,"",
MAXIFS('単価履歴'!$H:$H,'単価履歴'!$E:$E,W$1,'単価履歴'!$F:$F,$A30,'単価履歴'!$O:$O,
MAXIFS('単価履歴'!$O:$O,'単価履歴'!$E:$E,W$1,'単価履歴'!$F:$F,$A30)))</f>
        <v/>
      </c>
      <c r="X30" s="256" t="str">
        <f>IF(MAXIFS('単価履歴'!$H:$H,'単価履歴'!$E:$E,X$1,'単価履歴'!$F:$F,$A30,'単価履歴'!$O:$O,
MAXIFS('単価履歴'!$O:$O,'単価履歴'!$E:$E,X$1,'単価履歴'!$F:$F,$A30))=0,"",
MAXIFS('単価履歴'!$H:$H,'単価履歴'!$E:$E,X$1,'単価履歴'!$F:$F,$A30,'単価履歴'!$O:$O,
MAXIFS('単価履歴'!$O:$O,'単価履歴'!$E:$E,X$1,'単価履歴'!$F:$F,$A30)))</f>
        <v/>
      </c>
      <c r="Y30" s="254" t="str">
        <f>IF(MAXIFS('単価履歴'!$H:$H,'単価履歴'!$E:$E,Y$1,'単価履歴'!$F:$F,$A30,'単価履歴'!$O:$O,
MAXIFS('単価履歴'!$O:$O,'単価履歴'!$E:$E,Y$1,'単価履歴'!$F:$F,$A30))=0,"",
MAXIFS('単価履歴'!$H:$H,'単価履歴'!$E:$E,Y$1,'単価履歴'!$F:$F,$A30,'単価履歴'!$O:$O,
MAXIFS('単価履歴'!$O:$O,'単価履歴'!$E:$E,Y$1,'単価履歴'!$F:$F,$A30)))</f>
        <v/>
      </c>
      <c r="Z30" s="256" t="str">
        <f>IF(MAXIFS('単価履歴'!$H:$H,'単価履歴'!$E:$E,Z$1,'単価履歴'!$F:$F,$A30,'単価履歴'!$O:$O,
MAXIFS('単価履歴'!$O:$O,'単価履歴'!$E:$E,Z$1,'単価履歴'!$F:$F,$A30))=0,"",
MAXIFS('単価履歴'!$H:$H,'単価履歴'!$E:$E,Z$1,'単価履歴'!$F:$F,$A30,'単価履歴'!$O:$O,
MAXIFS('単価履歴'!$O:$O,'単価履歴'!$E:$E,Z$1,'単価履歴'!$F:$F,$A30)))</f>
        <v/>
      </c>
      <c r="AA30" s="254" t="str">
        <f>IF(MAXIFS('単価履歴'!$H:$H,'単価履歴'!$E:$E,AA$1,'単価履歴'!$F:$F,$A30,'単価履歴'!$O:$O,
MAXIFS('単価履歴'!$O:$O,'単価履歴'!$E:$E,AA$1,'単価履歴'!$F:$F,$A30))=0,"",
MAXIFS('単価履歴'!$H:$H,'単価履歴'!$E:$E,AA$1,'単価履歴'!$F:$F,$A30,'単価履歴'!$O:$O,
MAXIFS('単価履歴'!$O:$O,'単価履歴'!$E:$E,AA$1,'単価履歴'!$F:$F,$A30)))</f>
        <v/>
      </c>
      <c r="AB30" s="264" t="str">
        <f>IF(MAXIFS('単価履歴'!$H:$H,'単価履歴'!$E:$E,AB$1,'単価履歴'!$F:$F,$A30,'単価履歴'!$O:$O,
MAXIFS('単価履歴'!$O:$O,'単価履歴'!$E:$E,AB$1,'単価履歴'!$F:$F,$A30))=0,"",
MAXIFS('単価履歴'!$H:$H,'単価履歴'!$E:$E,AB$1,'単価履歴'!$F:$F,$A30,'単価履歴'!$O:$O,
MAXIFS('単価履歴'!$O:$O,'単価履歴'!$E:$E,AB$1,'単価履歴'!$F:$F,$A30)))</f>
        <v/>
      </c>
      <c r="AC30" s="256" t="str">
        <f>IF(MAXIFS('単価履歴'!$H:$H,'単価履歴'!$E:$E,AC$1,'単価履歴'!$F:$F,$A30,'単価履歴'!$O:$O,
MAXIFS('単価履歴'!$O:$O,'単価履歴'!$E:$E,AC$1,'単価履歴'!$F:$F,$A30))=0,"",
MAXIFS('単価履歴'!$H:$H,'単価履歴'!$E:$E,AC$1,'単価履歴'!$F:$F,$A30,'単価履歴'!$O:$O,
MAXIFS('単価履歴'!$O:$O,'単価履歴'!$E:$E,AC$1,'単価履歴'!$F:$F,$A30)))</f>
        <v/>
      </c>
      <c r="AD30" s="254" t="str">
        <f>IF(MAXIFS('単価履歴'!$H:$H,'単価履歴'!$E:$E,AD$1,'単価履歴'!$F:$F,$A30,'単価履歴'!$O:$O,
MAXIFS('単価履歴'!$O:$O,'単価履歴'!$E:$E,AD$1,'単価履歴'!$F:$F,$A30))=0,"",
MAXIFS('単価履歴'!$H:$H,'単価履歴'!$E:$E,AD$1,'単価履歴'!$F:$F,$A30,'単価履歴'!$O:$O,
MAXIFS('単価履歴'!$O:$O,'単価履歴'!$E:$E,AD$1,'単価履歴'!$F:$F,$A30)))</f>
        <v/>
      </c>
      <c r="AE30" s="264" t="str">
        <f>IF(MAXIFS('単価履歴'!$H:$H,'単価履歴'!$E:$E,AE$1,'単価履歴'!$F:$F,$A30,'単価履歴'!$O:$O,
MAXIFS('単価履歴'!$O:$O,'単価履歴'!$E:$E,AE$1,'単価履歴'!$F:$F,$A30))=0,"",
MAXIFS('単価履歴'!$H:$H,'単価履歴'!$E:$E,AE$1,'単価履歴'!$F:$F,$A30,'単価履歴'!$O:$O,
MAXIFS('単価履歴'!$O:$O,'単価履歴'!$E:$E,AE$1,'単価履歴'!$F:$F,$A30)))</f>
        <v/>
      </c>
      <c r="AF30" s="264" t="str">
        <f>IF(MAXIFS('単価履歴'!$H:$H,'単価履歴'!$E:$E,AF$1,'単価履歴'!$F:$F,$A30,'単価履歴'!$O:$O,
MAXIFS('単価履歴'!$O:$O,'単価履歴'!$E:$E,AF$1,'単価履歴'!$F:$F,$A30))=0,"",
MAXIFS('単価履歴'!$H:$H,'単価履歴'!$E:$E,AF$1,'単価履歴'!$F:$F,$A30,'単価履歴'!$O:$O,
MAXIFS('単価履歴'!$O:$O,'単価履歴'!$E:$E,AF$1,'単価履歴'!$F:$F,$A30)))</f>
        <v/>
      </c>
      <c r="AG30" s="263" t="str">
        <f>IF(MAXIFS('単価履歴'!$H:$H,'単価履歴'!$E:$E,AG$1,'単価履歴'!$F:$F,$A30,'単価履歴'!$O:$O,
MAXIFS('単価履歴'!$O:$O,'単価履歴'!$E:$E,AG$1,'単価履歴'!$F:$F,$A30))=0,"",
MAXIFS('単価履歴'!$H:$H,'単価履歴'!$E:$E,AG$1,'単価履歴'!$F:$F,$A30,'単価履歴'!$O:$O,
MAXIFS('単価履歴'!$O:$O,'単価履歴'!$E:$E,AG$1,'単価履歴'!$F:$F,$A30)))</f>
        <v/>
      </c>
      <c r="AH30" s="264" t="str">
        <f>IF(MAXIFS('単価履歴'!$H:$H,'単価履歴'!$E:$E,AH$1,'単価履歴'!$F:$F,$A30,'単価履歴'!$O:$O,
MAXIFS('単価履歴'!$O:$O,'単価履歴'!$E:$E,AH$1,'単価履歴'!$F:$F,$A30))=0,"",
MAXIFS('単価履歴'!$H:$H,'単価履歴'!$E:$E,AH$1,'単価履歴'!$F:$F,$A30,'単価履歴'!$O:$O,
MAXIFS('単価履歴'!$O:$O,'単価履歴'!$E:$E,AH$1,'単価履歴'!$F:$F,$A30)))</f>
        <v/>
      </c>
      <c r="AI30" s="254" t="str">
        <f>IF(MAXIFS('単価履歴'!$H:$H,'単価履歴'!$E:$E,AI$1,'単価履歴'!$F:$F,$A30,'単価履歴'!$O:$O,
MAXIFS('単価履歴'!$O:$O,'単価履歴'!$E:$E,AI$1,'単価履歴'!$F:$F,$A30))=0,"",
MAXIFS('単価履歴'!$H:$H,'単価履歴'!$E:$E,AI$1,'単価履歴'!$F:$F,$A30,'単価履歴'!$O:$O,
MAXIFS('単価履歴'!$O:$O,'単価履歴'!$E:$E,AI$1,'単価履歴'!$F:$F,$A30)))</f>
        <v/>
      </c>
      <c r="AJ30" s="256" t="str">
        <f>IF(MAXIFS('単価履歴'!$H:$H,'単価履歴'!$E:$E,AJ$1,'単価履歴'!$F:$F,$A30,'単価履歴'!$O:$O,
MAXIFS('単価履歴'!$O:$O,'単価履歴'!$E:$E,AJ$1,'単価履歴'!$F:$F,$A30))=0,"",
MAXIFS('単価履歴'!$H:$H,'単価履歴'!$E:$E,AJ$1,'単価履歴'!$F:$F,$A30,'単価履歴'!$O:$O,
MAXIFS('単価履歴'!$O:$O,'単価履歴'!$E:$E,AJ$1,'単価履歴'!$F:$F,$A30)))</f>
        <v/>
      </c>
      <c r="AK30" s="254" t="str">
        <f>IF(MAXIFS('単価履歴'!$H:$H,'単価履歴'!$E:$E,AK$1,'単価履歴'!$F:$F,$A30,'単価履歴'!$O:$O,
MAXIFS('単価履歴'!$O:$O,'単価履歴'!$E:$E,AK$1,'単価履歴'!$F:$F,$A30))=0,"",
MAXIFS('単価履歴'!$H:$H,'単価履歴'!$E:$E,AK$1,'単価履歴'!$F:$F,$A30,'単価履歴'!$O:$O,
MAXIFS('単価履歴'!$O:$O,'単価履歴'!$E:$E,AK$1,'単価履歴'!$F:$F,$A30)))</f>
        <v/>
      </c>
      <c r="AL30" s="256" t="str">
        <f>IF(MAXIFS('単価履歴'!$H:$H,'単価履歴'!$E:$E,AL$1,'単価履歴'!$F:$F,$A30,'単価履歴'!$O:$O,
MAXIFS('単価履歴'!$O:$O,'単価履歴'!$E:$E,AL$1,'単価履歴'!$F:$F,$A30))=0,"",
MAXIFS('単価履歴'!$H:$H,'単価履歴'!$E:$E,AL$1,'単価履歴'!$F:$F,$A30,'単価履歴'!$O:$O,
MAXIFS('単価履歴'!$O:$O,'単価履歴'!$E:$E,AL$1,'単価履歴'!$F:$F,$A30)))</f>
        <v/>
      </c>
      <c r="AM30" s="254" t="str">
        <f>IF(MAXIFS('単価履歴'!$H:$H,'単価履歴'!$E:$E,AM$1,'単価履歴'!$F:$F,$A30,'単価履歴'!$O:$O,
MAXIFS('単価履歴'!$O:$O,'単価履歴'!$E:$E,AM$1,'単価履歴'!$F:$F,$A30))=0,"",
MAXIFS('単価履歴'!$H:$H,'単価履歴'!$E:$E,AM$1,'単価履歴'!$F:$F,$A30,'単価履歴'!$O:$O,
MAXIFS('単価履歴'!$O:$O,'単価履歴'!$E:$E,AM$1,'単価履歴'!$F:$F,$A30)))</f>
        <v/>
      </c>
      <c r="AN30" s="264" t="str">
        <f>IF(MAXIFS('単価履歴'!$H:$H,'単価履歴'!$E:$E,AN$1,'単価履歴'!$F:$F,$A30,'単価履歴'!$O:$O,
MAXIFS('単価履歴'!$O:$O,'単価履歴'!$E:$E,AN$1,'単価履歴'!$F:$F,$A30))=0,"",
MAXIFS('単価履歴'!$H:$H,'単価履歴'!$E:$E,AN$1,'単価履歴'!$F:$F,$A30,'単価履歴'!$O:$O,
MAXIFS('単価履歴'!$O:$O,'単価履歴'!$E:$E,AN$1,'単価履歴'!$F:$F,$A30)))</f>
        <v/>
      </c>
      <c r="AO30" s="254" t="str">
        <f>IF(MAXIFS('単価履歴'!$H:$H,'単価履歴'!$E:$E,AO$1,'単価履歴'!$F:$F,$A30,'単価履歴'!$O:$O,
MAXIFS('単価履歴'!$O:$O,'単価履歴'!$E:$E,AO$1,'単価履歴'!$F:$F,$A30))=0,"",
MAXIFS('単価履歴'!$H:$H,'単価履歴'!$E:$E,AO$1,'単価履歴'!$F:$F,$A30,'単価履歴'!$O:$O,
MAXIFS('単価履歴'!$O:$O,'単価履歴'!$E:$E,AO$1,'単価履歴'!$F:$F,$A30)))</f>
        <v/>
      </c>
      <c r="AP30" s="264" t="str">
        <f>IF(MAXIFS('単価履歴'!$H:$H,'単価履歴'!$E:$E,AP$1,'単価履歴'!$F:$F,$A30,'単価履歴'!$O:$O,
MAXIFS('単価履歴'!$O:$O,'単価履歴'!$E:$E,AP$1,'単価履歴'!$F:$F,$A30))=0,"",
MAXIFS('単価履歴'!$H:$H,'単価履歴'!$E:$E,AP$1,'単価履歴'!$F:$F,$A30,'単価履歴'!$O:$O,
MAXIFS('単価履歴'!$O:$O,'単価履歴'!$E:$E,AP$1,'単価履歴'!$F:$F,$A30)))</f>
        <v/>
      </c>
      <c r="AQ30" s="256" t="str">
        <f>IF(MAXIFS('単価履歴'!$H:$H,'単価履歴'!$E:$E,AQ$1,'単価履歴'!$F:$F,$A30,'単価履歴'!$O:$O,
MAXIFS('単価履歴'!$O:$O,'単価履歴'!$E:$E,AQ$1,'単価履歴'!$F:$F,$A30))=0,"",
MAXIFS('単価履歴'!$H:$H,'単価履歴'!$E:$E,AQ$1,'単価履歴'!$F:$F,$A30,'単価履歴'!$O:$O,
MAXIFS('単価履歴'!$O:$O,'単価履歴'!$E:$E,AQ$1,'単価履歴'!$F:$F,$A30)))</f>
        <v/>
      </c>
      <c r="AR30" s="264" t="str">
        <f>IF(MAXIFS('単価履歴'!$H:$H,'単価履歴'!$E:$E,AR$1,'単価履歴'!$F:$F,$A30,'単価履歴'!$O:$O,
MAXIFS('単価履歴'!$O:$O,'単価履歴'!$E:$E,AR$1,'単価履歴'!$F:$F,$A30))=0,"",
MAXIFS('単価履歴'!$H:$H,'単価履歴'!$E:$E,AR$1,'単価履歴'!$F:$F,$A30,'単価履歴'!$O:$O,
MAXIFS('単価履歴'!$O:$O,'単価履歴'!$E:$E,AR$1,'単価履歴'!$F:$F,$A30)))</f>
        <v/>
      </c>
      <c r="AS30" s="256" t="str">
        <f>IF(MAXIFS('単価履歴'!$H:$H,'単価履歴'!$E:$E,AS$1,'単価履歴'!$F:$F,$A30,'単価履歴'!$O:$O,
MAXIFS('単価履歴'!$O:$O,'単価履歴'!$E:$E,AS$1,'単価履歴'!$F:$F,$A30))=0,"",
MAXIFS('単価履歴'!$H:$H,'単価履歴'!$E:$E,AS$1,'単価履歴'!$F:$F,$A30,'単価履歴'!$O:$O,
MAXIFS('単価履歴'!$O:$O,'単価履歴'!$E:$E,AS$1,'単価履歴'!$F:$F,$A30)))</f>
        <v/>
      </c>
      <c r="AT30" s="256" t="str">
        <f>IF(MAXIFS('単価履歴'!$H:$H,'単価履歴'!$E:$E,AT$1,'単価履歴'!$F:$F,$A30,'単価履歴'!$O:$O,
MAXIFS('単価履歴'!$O:$O,'単価履歴'!$E:$E,AT$1,'単価履歴'!$F:$F,$A30))=0,"",
MAXIFS('単価履歴'!$H:$H,'単価履歴'!$E:$E,AT$1,'単価履歴'!$F:$F,$A30,'単価履歴'!$O:$O,
MAXIFS('単価履歴'!$O:$O,'単価履歴'!$E:$E,AT$1,'単価履歴'!$F:$F,$A30)))</f>
        <v/>
      </c>
      <c r="AU30" s="256" t="str">
        <f>IF(MAXIFS('単価履歴'!$H:$H,'単価履歴'!$E:$E,AU$1,'単価履歴'!$F:$F,$A30,'単価履歴'!$O:$O,
MAXIFS('単価履歴'!$O:$O,'単価履歴'!$E:$E,AU$1,'単価履歴'!$F:$F,$A30))=0,"",
MAXIFS('単価履歴'!$H:$H,'単価履歴'!$E:$E,AU$1,'単価履歴'!$F:$F,$A30,'単価履歴'!$O:$O,
MAXIFS('単価履歴'!$O:$O,'単価履歴'!$E:$E,AU$1,'単価履歴'!$F:$F,$A30)))</f>
        <v/>
      </c>
      <c r="AV30" s="256" t="str">
        <f>IF(MAXIFS('単価履歴'!$H:$H,'単価履歴'!$E:$E,AV$1,'単価履歴'!$F:$F,$A30,'単価履歴'!$O:$O,
MAXIFS('単価履歴'!$O:$O,'単価履歴'!$E:$E,AV$1,'単価履歴'!$F:$F,$A30))=0,"",
MAXIFS('単価履歴'!$H:$H,'単価履歴'!$E:$E,AV$1,'単価履歴'!$F:$F,$A30,'単価履歴'!$O:$O,
MAXIFS('単価履歴'!$O:$O,'単価履歴'!$E:$E,AV$1,'単価履歴'!$F:$F,$A30)))</f>
        <v/>
      </c>
      <c r="AW30" s="263" t="str">
        <f>IF(MAXIFS('単価履歴'!$H:$H,'単価履歴'!$E:$E,AW$1,'単価履歴'!$F:$F,$A30,'単価履歴'!$O:$O,
MAXIFS('単価履歴'!$O:$O,'単価履歴'!$E:$E,AW$1,'単価履歴'!$F:$F,$A30))=0,"",
MAXIFS('単価履歴'!$H:$H,'単価履歴'!$E:$E,AW$1,'単価履歴'!$F:$F,$A30,'単価履歴'!$O:$O,
MAXIFS('単価履歴'!$O:$O,'単価履歴'!$E:$E,AW$1,'単価履歴'!$F:$F,$A30)))</f>
        <v/>
      </c>
      <c r="AX30" s="256" t="str">
        <f>IF(MAXIFS('単価履歴'!$H:$H,'単価履歴'!$E:$E,AX$1,'単価履歴'!$F:$F,$A30,'単価履歴'!$O:$O,
MAXIFS('単価履歴'!$O:$O,'単価履歴'!$E:$E,AX$1,'単価履歴'!$F:$F,$A30))=0,"",
MAXIFS('単価履歴'!$H:$H,'単価履歴'!$E:$E,AX$1,'単価履歴'!$F:$F,$A30,'単価履歴'!$O:$O,
MAXIFS('単価履歴'!$O:$O,'単価履歴'!$E:$E,AX$1,'単価履歴'!$F:$F,$A30)))</f>
        <v/>
      </c>
      <c r="AY30" s="254" t="str">
        <f>IF(MAXIFS('単価履歴'!$H:$H,'単価履歴'!$E:$E,AY$1,'単価履歴'!$F:$F,$A30,'単価履歴'!$O:$O,
MAXIFS('単価履歴'!$O:$O,'単価履歴'!$E:$E,AY$1,'単価履歴'!$F:$F,$A30))=0,"",
MAXIFS('単価履歴'!$H:$H,'単価履歴'!$E:$E,AY$1,'単価履歴'!$F:$F,$A30,'単価履歴'!$O:$O,
MAXIFS('単価履歴'!$O:$O,'単価履歴'!$E:$E,AY$1,'単価履歴'!$F:$F,$A30)))</f>
        <v/>
      </c>
      <c r="AZ30" s="256" t="str">
        <f>IF(MAXIFS('単価履歴'!$H:$H,'単価履歴'!$E:$E,AZ$1,'単価履歴'!$F:$F,$A30,'単価履歴'!$O:$O,
MAXIFS('単価履歴'!$O:$O,'単価履歴'!$E:$E,AZ$1,'単価履歴'!$F:$F,$A30))=0,"",
MAXIFS('単価履歴'!$H:$H,'単価履歴'!$E:$E,AZ$1,'単価履歴'!$F:$F,$A30,'単価履歴'!$O:$O,
MAXIFS('単価履歴'!$O:$O,'単価履歴'!$E:$E,AZ$1,'単価履歴'!$F:$F,$A30)))</f>
        <v/>
      </c>
      <c r="BA30" s="263" t="str">
        <f>IF(MAXIFS('単価履歴'!$H:$H,'単価履歴'!$E:$E,BA$1,'単価履歴'!$F:$F,$A30,'単価履歴'!$O:$O,
MAXIFS('単価履歴'!$O:$O,'単価履歴'!$E:$E,BA$1,'単価履歴'!$F:$F,$A30))=0,"",
MAXIFS('単価履歴'!$H:$H,'単価履歴'!$E:$E,BA$1,'単価履歴'!$F:$F,$A30,'単価履歴'!$O:$O,
MAXIFS('単価履歴'!$O:$O,'単価履歴'!$E:$E,BA$1,'単価履歴'!$F:$F,$A30)))</f>
        <v/>
      </c>
      <c r="BB30" s="256" t="str">
        <f>IF(MAXIFS('単価履歴'!$H:$H,'単価履歴'!$E:$E,BB$1,'単価履歴'!$F:$F,$A30,'単価履歴'!$O:$O,
MAXIFS('単価履歴'!$O:$O,'単価履歴'!$E:$E,BB$1,'単価履歴'!$F:$F,$A30))=0,"",
MAXIFS('単価履歴'!$H:$H,'単価履歴'!$E:$E,BB$1,'単価履歴'!$F:$F,$A30,'単価履歴'!$O:$O,
MAXIFS('単価履歴'!$O:$O,'単価履歴'!$E:$E,BB$1,'単価履歴'!$F:$F,$A30)))</f>
        <v/>
      </c>
      <c r="BC30" s="254" t="str">
        <f>IF(MAXIFS('単価履歴'!$H:$H,'単価履歴'!$E:$E,BC$1,'単価履歴'!$F:$F,$A30,'単価履歴'!$O:$O,
MAXIFS('単価履歴'!$O:$O,'単価履歴'!$E:$E,BC$1,'単価履歴'!$F:$F,$A30))=0,"",
MAXIFS('単価履歴'!$H:$H,'単価履歴'!$E:$E,BC$1,'単価履歴'!$F:$F,$A30,'単価履歴'!$O:$O,
MAXIFS('単価履歴'!$O:$O,'単価履歴'!$E:$E,BC$1,'単価履歴'!$F:$F,$A30)))</f>
        <v/>
      </c>
      <c r="BD30" s="263" t="str">
        <f>IF(MAXIFS('単価履歴'!$H:$H,'単価履歴'!$E:$E,BD$1,'単価履歴'!$F:$F,$A30,'単価履歴'!$O:$O,
MAXIFS('単価履歴'!$O:$O,'単価履歴'!$E:$E,BD$1,'単価履歴'!$F:$F,$A30))=0,"",
MAXIFS('単価履歴'!$H:$H,'単価履歴'!$E:$E,BD$1,'単価履歴'!$F:$F,$A30,'単価履歴'!$O:$O,
MAXIFS('単価履歴'!$O:$O,'単価履歴'!$E:$E,BD$1,'単価履歴'!$F:$F,$A30)))</f>
        <v/>
      </c>
      <c r="BE30" s="256" t="str">
        <f>IF(MAXIFS('単価履歴'!$H:$H,'単価履歴'!$E:$E,BE$1,'単価履歴'!$F:$F,$A30,'単価履歴'!$O:$O,
MAXIFS('単価履歴'!$O:$O,'単価履歴'!$E:$E,BE$1,'単価履歴'!$F:$F,$A30))=0,"",
MAXIFS('単価履歴'!$H:$H,'単価履歴'!$E:$E,BE$1,'単価履歴'!$F:$F,$A30,'単価履歴'!$O:$O,
MAXIFS('単価履歴'!$O:$O,'単価履歴'!$E:$E,BE$1,'単価履歴'!$F:$F,$A30)))</f>
        <v/>
      </c>
      <c r="BF30" s="263" t="str">
        <f>IF(MAXIFS('単価履歴'!$H:$H,'単価履歴'!$E:$E,BF$1,'単価履歴'!$F:$F,$A30,'単価履歴'!$O:$O,
MAXIFS('単価履歴'!$O:$O,'単価履歴'!$E:$E,BF$1,'単価履歴'!$F:$F,$A30))=0,"",
MAXIFS('単価履歴'!$H:$H,'単価履歴'!$E:$E,BF$1,'単価履歴'!$F:$F,$A30,'単価履歴'!$O:$O,
MAXIFS('単価履歴'!$O:$O,'単価履歴'!$E:$E,BF$1,'単価履歴'!$F:$F,$A30)))</f>
        <v/>
      </c>
      <c r="BG30" s="256" t="str">
        <f>IF(MAXIFS('単価履歴'!$H:$H,'単価履歴'!$E:$E,BG$1,'単価履歴'!$F:$F,$A30,'単価履歴'!$O:$O,
MAXIFS('単価履歴'!$O:$O,'単価履歴'!$E:$E,BG$1,'単価履歴'!$F:$F,$A30))=0,"",
MAXIFS('単価履歴'!$H:$H,'単価履歴'!$E:$E,BG$1,'単価履歴'!$F:$F,$A30,'単価履歴'!$O:$O,
MAXIFS('単価履歴'!$O:$O,'単価履歴'!$E:$E,BG$1,'単価履歴'!$F:$F,$A30)))</f>
        <v/>
      </c>
      <c r="BH30" s="256" t="str">
        <f>IF(MAXIFS('単価履歴'!$H:$H,'単価履歴'!$E:$E,BH$1,'単価履歴'!$F:$F,$A30,'単価履歴'!$O:$O,
MAXIFS('単価履歴'!$O:$O,'単価履歴'!$E:$E,BH$1,'単価履歴'!$F:$F,$A30))=0,"",
MAXIFS('単価履歴'!$H:$H,'単価履歴'!$E:$E,BH$1,'単価履歴'!$F:$F,$A30,'単価履歴'!$O:$O,
MAXIFS('単価履歴'!$O:$O,'単価履歴'!$E:$E,BH$1,'単価履歴'!$F:$F,$A30)))</f>
        <v/>
      </c>
      <c r="BI30" s="264" t="str">
        <f>IF(MAXIFS('単価履歴'!$H:$H,'単価履歴'!$E:$E,BI$1,'単価履歴'!$F:$F,$A30,'単価履歴'!$O:$O,
MAXIFS('単価履歴'!$O:$O,'単価履歴'!$E:$E,BI$1,'単価履歴'!$F:$F,$A30))=0,"",
MAXIFS('単価履歴'!$H:$H,'単価履歴'!$E:$E,BI$1,'単価履歴'!$F:$F,$A30,'単価履歴'!$O:$O,
MAXIFS('単価履歴'!$O:$O,'単価履歴'!$E:$E,BI$1,'単価履歴'!$F:$F,$A30)))</f>
        <v/>
      </c>
      <c r="BJ30" s="264" t="str">
        <f>IF(MAXIFS('単価履歴'!$H:$H,'単価履歴'!$E:$E,BJ$1,'単価履歴'!$F:$F,$A30,'単価履歴'!$O:$O,
MAXIFS('単価履歴'!$O:$O,'単価履歴'!$E:$E,BJ$1,'単価履歴'!$F:$F,$A30))=0,"",
MAXIFS('単価履歴'!$H:$H,'単価履歴'!$E:$E,BJ$1,'単価履歴'!$F:$F,$A30,'単価履歴'!$O:$O,
MAXIFS('単価履歴'!$O:$O,'単価履歴'!$E:$E,BJ$1,'単価履歴'!$F:$F,$A30)))</f>
        <v/>
      </c>
      <c r="BK30" s="264" t="str">
        <f>IF(MAXIFS('単価履歴'!$H:$H,'単価履歴'!$E:$E,BK$1,'単価履歴'!$F:$F,$A30,'単価履歴'!$O:$O,
MAXIFS('単価履歴'!$O:$O,'単価履歴'!$E:$E,BK$1,'単価履歴'!$F:$F,$A30))=0,"",
MAXIFS('単価履歴'!$H:$H,'単価履歴'!$E:$E,BK$1,'単価履歴'!$F:$F,$A30,'単価履歴'!$O:$O,
MAXIFS('単価履歴'!$O:$O,'単価履歴'!$E:$E,BK$1,'単価履歴'!$F:$F,$A30)))</f>
        <v/>
      </c>
      <c r="BL30" s="264" t="str">
        <f>IF(MAXIFS('単価履歴'!$H:$H,'単価履歴'!$E:$E,BL$1,'単価履歴'!$F:$F,$A30,'単価履歴'!$O:$O,
MAXIFS('単価履歴'!$O:$O,'単価履歴'!$E:$E,BL$1,'単価履歴'!$F:$F,$A30))=0,"",
MAXIFS('単価履歴'!$H:$H,'単価履歴'!$E:$E,BL$1,'単価履歴'!$F:$F,$A30,'単価履歴'!$O:$O,
MAXIFS('単価履歴'!$O:$O,'単価履歴'!$E:$E,BL$1,'単価履歴'!$F:$F,$A30)))</f>
        <v/>
      </c>
      <c r="BM30" s="264" t="str">
        <f>IF(MAXIFS('単価履歴'!$H:$H,'単価履歴'!$E:$E,BM$1,'単価履歴'!$F:$F,$A30,'単価履歴'!$O:$O,
MAXIFS('単価履歴'!$O:$O,'単価履歴'!$E:$E,BM$1,'単価履歴'!$F:$F,$A30))=0,"",
MAXIFS('単価履歴'!$H:$H,'単価履歴'!$E:$E,BM$1,'単価履歴'!$F:$F,$A30,'単価履歴'!$O:$O,
MAXIFS('単価履歴'!$O:$O,'単価履歴'!$E:$E,BM$1,'単価履歴'!$F:$F,$A30)))</f>
        <v/>
      </c>
      <c r="BN30" s="254" t="str">
        <f>IF(MAXIFS('単価履歴'!$H:$H,'単価履歴'!$E:$E,BN$1,'単価履歴'!$F:$F,$A30,'単価履歴'!$O:$O,
MAXIFS('単価履歴'!$O:$O,'単価履歴'!$E:$E,BN$1,'単価履歴'!$F:$F,$A30))=0,"",
MAXIFS('単価履歴'!$H:$H,'単価履歴'!$E:$E,BN$1,'単価履歴'!$F:$F,$A30,'単価履歴'!$O:$O,
MAXIFS('単価履歴'!$O:$O,'単価履歴'!$E:$E,BN$1,'単価履歴'!$F:$F,$A30)))</f>
        <v/>
      </c>
      <c r="BO30" s="256" t="str">
        <f>IF(MAXIFS('単価履歴'!$H:$H,'単価履歴'!$E:$E,BO$1,'単価履歴'!$F:$F,$A30,'単価履歴'!$O:$O,
MAXIFS('単価履歴'!$O:$O,'単価履歴'!$E:$E,BO$1,'単価履歴'!$F:$F,$A30))=0,"",
MAXIFS('単価履歴'!$H:$H,'単価履歴'!$E:$E,BO$1,'単価履歴'!$F:$F,$A30,'単価履歴'!$O:$O,
MAXIFS('単価履歴'!$O:$O,'単価履歴'!$E:$E,BO$1,'単価履歴'!$F:$F,$A30)))</f>
        <v/>
      </c>
      <c r="BP30" s="264" t="str">
        <f>IF(MAXIFS('単価履歴'!$H:$H,'単価履歴'!$E:$E,BP$1,'単価履歴'!$F:$F,$A30,'単価履歴'!$O:$O,
MAXIFS('単価履歴'!$O:$O,'単価履歴'!$E:$E,BP$1,'単価履歴'!$F:$F,$A30))=0,"",
MAXIFS('単価履歴'!$H:$H,'単価履歴'!$E:$E,BP$1,'単価履歴'!$F:$F,$A30,'単価履歴'!$O:$O,
MAXIFS('単価履歴'!$O:$O,'単価履歴'!$E:$E,BP$1,'単価履歴'!$F:$F,$A30)))</f>
        <v/>
      </c>
      <c r="BQ30" s="256"/>
      <c r="BR30" s="256"/>
      <c r="BS30" s="256"/>
      <c r="BT30" s="256"/>
      <c r="BU30" s="256"/>
      <c r="BV30" s="256"/>
      <c r="BW30" s="256"/>
      <c r="BX30" s="256"/>
    </row>
    <row r="31">
      <c r="A31" s="267" t="s">
        <v>577</v>
      </c>
      <c r="B31" s="258" t="str">
        <f>IF(MAXIFS('単価履歴'!$H:$H,'単価履歴'!$E:$E,B$1,'単価履歴'!$F:$F,$A31,'単価履歴'!$O:$O,
MAXIFS('単価履歴'!$O:$O,'単価履歴'!$E:$E,B$1,'単価履歴'!$F:$F,$A31))=0,"",
MAXIFS('単価履歴'!$H:$H,'単価履歴'!$E:$E,B$1,'単価履歴'!$F:$F,$A31,'単価履歴'!$O:$O,
MAXIFS('単価履歴'!$O:$O,'単価履歴'!$E:$E,B$1,'単価履歴'!$F:$F,$A31)))</f>
        <v/>
      </c>
      <c r="C31" s="249" t="str">
        <f>IF(MAXIFS('単価履歴'!$H:$H,'単価履歴'!$E:$E,C$1,'単価履歴'!$F:$F,$A31,'単価履歴'!$O:$O,
MAXIFS('単価履歴'!$O:$O,'単価履歴'!$E:$E,C$1,'単価履歴'!$F:$F,$A31))=0,"",
MAXIFS('単価履歴'!$H:$H,'単価履歴'!$E:$E,C$1,'単価履歴'!$F:$F,$A31,'単価履歴'!$O:$O,
MAXIFS('単価履歴'!$O:$O,'単価履歴'!$E:$E,C$1,'単価履歴'!$F:$F,$A31)))</f>
        <v/>
      </c>
      <c r="D31" s="249" t="str">
        <f>IF(MAXIFS('単価履歴'!$H:$H,'単価履歴'!$E:$E,D$1,'単価履歴'!$F:$F,$A31,'単価履歴'!$O:$O,
MAXIFS('単価履歴'!$O:$O,'単価履歴'!$E:$E,D$1,'単価履歴'!$F:$F,$A31))=0,"",
MAXIFS('単価履歴'!$H:$H,'単価履歴'!$E:$E,D$1,'単価履歴'!$F:$F,$A31,'単価履歴'!$O:$O,
MAXIFS('単価履歴'!$O:$O,'単価履歴'!$E:$E,D$1,'単価履歴'!$F:$F,$A31)))</f>
        <v/>
      </c>
      <c r="E31" s="249" t="str">
        <f>IF(MAXIFS('単価履歴'!$H:$H,'単価履歴'!$E:$E,E$1,'単価履歴'!$F:$F,$A31,'単価履歴'!$O:$O,
MAXIFS('単価履歴'!$O:$O,'単価履歴'!$E:$E,E$1,'単価履歴'!$F:$F,$A31))=0,"",
MAXIFS('単価履歴'!$H:$H,'単価履歴'!$E:$E,E$1,'単価履歴'!$F:$F,$A31,'単価履歴'!$O:$O,
MAXIFS('単価履歴'!$O:$O,'単価履歴'!$E:$E,E$1,'単価履歴'!$F:$F,$A31)))</f>
        <v/>
      </c>
      <c r="F31" s="249" t="str">
        <f>IF(MAXIFS('単価履歴'!$H:$H,'単価履歴'!$E:$E,F$1,'単価履歴'!$F:$F,$A31,'単価履歴'!$O:$O,
MAXIFS('単価履歴'!$O:$O,'単価履歴'!$E:$E,F$1,'単価履歴'!$F:$F,$A31))=0,"",
MAXIFS('単価履歴'!$H:$H,'単価履歴'!$E:$E,F$1,'単価履歴'!$F:$F,$A31,'単価履歴'!$O:$O,
MAXIFS('単価履歴'!$O:$O,'単価履歴'!$E:$E,F$1,'単価履歴'!$F:$F,$A31)))</f>
        <v/>
      </c>
      <c r="G31" s="248" t="str">
        <f>IF(MAXIFS('単価履歴'!$H:$H,'単価履歴'!$E:$E,G$1,'単価履歴'!$F:$F,$A31,'単価履歴'!$O:$O,
MAXIFS('単価履歴'!$O:$O,'単価履歴'!$E:$E,G$1,'単価履歴'!$F:$F,$A31))=0,"",
MAXIFS('単価履歴'!$H:$H,'単価履歴'!$E:$E,G$1,'単価履歴'!$F:$F,$A31,'単価履歴'!$O:$O,
MAXIFS('単価履歴'!$O:$O,'単価履歴'!$E:$E,G$1,'単価履歴'!$F:$F,$A31)))</f>
        <v/>
      </c>
      <c r="H31" s="249" t="str">
        <f>IF(MAXIFS('単価履歴'!$H:$H,'単価履歴'!$E:$E,H$1,'単価履歴'!$F:$F,$A31,'単価履歴'!$O:$O,
MAXIFS('単価履歴'!$O:$O,'単価履歴'!$E:$E,H$1,'単価履歴'!$F:$F,$A31))=0,"",
MAXIFS('単価履歴'!$H:$H,'単価履歴'!$E:$E,H$1,'単価履歴'!$F:$F,$A31,'単価履歴'!$O:$O,
MAXIFS('単価履歴'!$O:$O,'単価履歴'!$E:$E,H$1,'単価履歴'!$F:$F,$A31)))</f>
        <v/>
      </c>
      <c r="I31" s="249" t="str">
        <f>IF(MAXIFS('単価履歴'!$H:$H,'単価履歴'!$E:$E,I$1,'単価履歴'!$F:$F,$A31,'単価履歴'!$O:$O,
MAXIFS('単価履歴'!$O:$O,'単価履歴'!$E:$E,I$1,'単価履歴'!$F:$F,$A31))=0,"",
MAXIFS('単価履歴'!$H:$H,'単価履歴'!$E:$E,I$1,'単価履歴'!$F:$F,$A31,'単価履歴'!$O:$O,
MAXIFS('単価履歴'!$O:$O,'単価履歴'!$E:$E,I$1,'単価履歴'!$F:$F,$A31)))</f>
        <v/>
      </c>
      <c r="J31" s="251" t="str">
        <f>IF(MAXIFS('単価履歴'!$H:$H,'単価履歴'!$E:$E,J$1,'単価履歴'!$F:$F,$A31,'単価履歴'!$O:$O,
MAXIFS('単価履歴'!$O:$O,'単価履歴'!$E:$E,J$1,'単価履歴'!$F:$F,$A31))=0,"",
MAXIFS('単価履歴'!$H:$H,'単価履歴'!$E:$E,J$1,'単価履歴'!$F:$F,$A31,'単価履歴'!$O:$O,
MAXIFS('単価履歴'!$O:$O,'単価履歴'!$E:$E,J$1,'単価履歴'!$F:$F,$A31)))</f>
        <v/>
      </c>
      <c r="K31" s="251" t="str">
        <f>IF(MAXIFS('単価履歴'!$H:$H,'単価履歴'!$E:$E,K$1,'単価履歴'!$F:$F,$A31,'単価履歴'!$O:$O,
MAXIFS('単価履歴'!$O:$O,'単価履歴'!$E:$E,K$1,'単価履歴'!$F:$F,$A31))=0,"",
MAXIFS('単価履歴'!$H:$H,'単価履歴'!$E:$E,K$1,'単価履歴'!$F:$F,$A31,'単価履歴'!$O:$O,
MAXIFS('単価履歴'!$O:$O,'単価履歴'!$E:$E,K$1,'単価履歴'!$F:$F,$A31)))</f>
        <v/>
      </c>
      <c r="L31" s="249" t="str">
        <f>IF(MAXIFS('単価履歴'!$H:$H,'単価履歴'!$E:$E,L$1,'単価履歴'!$F:$F,$A31,'単価履歴'!$O:$O,
MAXIFS('単価履歴'!$O:$O,'単価履歴'!$E:$E,L$1,'単価履歴'!$F:$F,$A31))=0,"",
MAXIFS('単価履歴'!$H:$H,'単価履歴'!$E:$E,L$1,'単価履歴'!$F:$F,$A31,'単価履歴'!$O:$O,
MAXIFS('単価履歴'!$O:$O,'単価履歴'!$E:$E,L$1,'単価履歴'!$F:$F,$A31)))</f>
        <v/>
      </c>
      <c r="M31" s="249" t="str">
        <f>IF(MAXIFS('単価履歴'!$H:$H,'単価履歴'!$E:$E,M$1,'単価履歴'!$F:$F,$A31,'単価履歴'!$O:$O,
MAXIFS('単価履歴'!$O:$O,'単価履歴'!$E:$E,M$1,'単価履歴'!$F:$F,$A31))=0,"",
MAXIFS('単価履歴'!$H:$H,'単価履歴'!$E:$E,M$1,'単価履歴'!$F:$F,$A31,'単価履歴'!$O:$O,
MAXIFS('単価履歴'!$O:$O,'単価履歴'!$E:$E,M$1,'単価履歴'!$F:$F,$A31)))</f>
        <v/>
      </c>
      <c r="N31" s="249" t="str">
        <f>IF(MAXIFS('単価履歴'!$H:$H,'単価履歴'!$E:$E,N$1,'単価履歴'!$F:$F,$A31,'単価履歴'!$O:$O,
MAXIFS('単価履歴'!$O:$O,'単価履歴'!$E:$E,N$1,'単価履歴'!$F:$F,$A31))=0,"",
MAXIFS('単価履歴'!$H:$H,'単価履歴'!$E:$E,N$1,'単価履歴'!$F:$F,$A31,'単価履歴'!$O:$O,
MAXIFS('単価履歴'!$O:$O,'単価履歴'!$E:$E,N$1,'単価履歴'!$F:$F,$A31)))</f>
        <v/>
      </c>
      <c r="O31" s="251" t="str">
        <f>IF(MAXIFS('単価履歴'!$H:$H,'単価履歴'!$E:$E,O$1,'単価履歴'!$F:$F,$A31,'単価履歴'!$O:$O,
MAXIFS('単価履歴'!$O:$O,'単価履歴'!$E:$E,O$1,'単価履歴'!$F:$F,$A31))=0,"",
MAXIFS('単価履歴'!$H:$H,'単価履歴'!$E:$E,O$1,'単価履歴'!$F:$F,$A31,'単価履歴'!$O:$O,
MAXIFS('単価履歴'!$O:$O,'単価履歴'!$E:$E,O$1,'単価履歴'!$F:$F,$A31)))</f>
        <v/>
      </c>
      <c r="P31" s="252" t="str">
        <f>IF(MAXIFS('単価履歴'!$H:$H,'単価履歴'!$E:$E,P$1,'単価履歴'!$F:$F,$A31,'単価履歴'!$O:$O,
MAXIFS('単価履歴'!$O:$O,'単価履歴'!$E:$E,P$1,'単価履歴'!$F:$F,$A31))=0,"",
MAXIFS('単価履歴'!$H:$H,'単価履歴'!$E:$E,P$1,'単価履歴'!$F:$F,$A31,'単価履歴'!$O:$O,
MAXIFS('単価履歴'!$O:$O,'単価履歴'!$E:$E,P$1,'単価履歴'!$F:$F,$A31)))</f>
        <v/>
      </c>
      <c r="Q31" s="248" t="str">
        <f>IF(MAXIFS('単価履歴'!$H:$H,'単価履歴'!$E:$E,Q$1,'単価履歴'!$F:$F,$A31,'単価履歴'!$O:$O,
MAXIFS('単価履歴'!$O:$O,'単価履歴'!$E:$E,Q$1,'単価履歴'!$F:$F,$A31))=0,"",
MAXIFS('単価履歴'!$H:$H,'単価履歴'!$E:$E,Q$1,'単価履歴'!$F:$F,$A31,'単価履歴'!$O:$O,
MAXIFS('単価履歴'!$O:$O,'単価履歴'!$E:$E,Q$1,'単価履歴'!$F:$F,$A31)))</f>
        <v/>
      </c>
      <c r="R31" s="252"/>
      <c r="S31" s="249" t="str">
        <f>IF(MAXIFS('単価履歴'!$H:$H,'単価履歴'!$E:$E,S$1,'単価履歴'!$F:$F,$A31,'単価履歴'!$O:$O,
MAXIFS('単価履歴'!$O:$O,'単価履歴'!$E:$E,S$1,'単価履歴'!$F:$F,$A31))=0,"",
MAXIFS('単価履歴'!$H:$H,'単価履歴'!$E:$E,S$1,'単価履歴'!$F:$F,$A31,'単価履歴'!$O:$O,
MAXIFS('単価履歴'!$O:$O,'単価履歴'!$E:$E,S$1,'単価履歴'!$F:$F,$A31)))</f>
        <v/>
      </c>
      <c r="T31" s="249" t="str">
        <f>IF(MAXIFS('単価履歴'!$H:$H,'単価履歴'!$E:$E,T$1,'単価履歴'!$F:$F,$A31,'単価履歴'!$O:$O,
MAXIFS('単価履歴'!$O:$O,'単価履歴'!$E:$E,T$1,'単価履歴'!$F:$F,$A31))=0,"",
MAXIFS('単価履歴'!$H:$H,'単価履歴'!$E:$E,T$1,'単価履歴'!$F:$F,$A31,'単価履歴'!$O:$O,
MAXIFS('単価履歴'!$O:$O,'単価履歴'!$E:$E,T$1,'単価履歴'!$F:$F,$A31)))</f>
        <v/>
      </c>
      <c r="U31" s="249" t="str">
        <f>IF(MAXIFS('単価履歴'!$H:$H,'単価履歴'!$E:$E,U$1,'単価履歴'!$F:$F,$A31,'単価履歴'!$O:$O,
MAXIFS('単価履歴'!$O:$O,'単価履歴'!$E:$E,U$1,'単価履歴'!$F:$F,$A31))=0,"",
MAXIFS('単価履歴'!$H:$H,'単価履歴'!$E:$E,U$1,'単価履歴'!$F:$F,$A31,'単価履歴'!$O:$O,
MAXIFS('単価履歴'!$O:$O,'単価履歴'!$E:$E,U$1,'単価履歴'!$F:$F,$A31)))</f>
        <v/>
      </c>
      <c r="V31" s="251" t="str">
        <f>IF(MAXIFS('単価履歴'!$H:$H,'単価履歴'!$E:$E,V$1,'単価履歴'!$F:$F,$A31,'単価履歴'!$O:$O,
MAXIFS('単価履歴'!$O:$O,'単価履歴'!$E:$E,V$1,'単価履歴'!$F:$F,$A31))=0,"",
MAXIFS('単価履歴'!$H:$H,'単価履歴'!$E:$E,V$1,'単価履歴'!$F:$F,$A31,'単価履歴'!$O:$O,
MAXIFS('単価履歴'!$O:$O,'単価履歴'!$E:$E,V$1,'単価履歴'!$F:$F,$A31)))</f>
        <v/>
      </c>
      <c r="W31" s="252" t="str">
        <f>IF(MAXIFS('単価履歴'!$H:$H,'単価履歴'!$E:$E,W$1,'単価履歴'!$F:$F,$A31,'単価履歴'!$O:$O,
MAXIFS('単価履歴'!$O:$O,'単価履歴'!$E:$E,W$1,'単価履歴'!$F:$F,$A31))=0,"",
MAXIFS('単価履歴'!$H:$H,'単価履歴'!$E:$E,W$1,'単価履歴'!$F:$F,$A31,'単価履歴'!$O:$O,
MAXIFS('単価履歴'!$O:$O,'単価履歴'!$E:$E,W$1,'単価履歴'!$F:$F,$A31)))</f>
        <v/>
      </c>
      <c r="X31" s="249" t="str">
        <f>IF(MAXIFS('単価履歴'!$H:$H,'単価履歴'!$E:$E,X$1,'単価履歴'!$F:$F,$A31,'単価履歴'!$O:$O,
MAXIFS('単価履歴'!$O:$O,'単価履歴'!$E:$E,X$1,'単価履歴'!$F:$F,$A31))=0,"",
MAXIFS('単価履歴'!$H:$H,'単価履歴'!$E:$E,X$1,'単価履歴'!$F:$F,$A31,'単価履歴'!$O:$O,
MAXIFS('単価履歴'!$O:$O,'単価履歴'!$E:$E,X$1,'単価履歴'!$F:$F,$A31)))</f>
        <v/>
      </c>
      <c r="Y31" s="251" t="str">
        <f>IF(MAXIFS('単価履歴'!$H:$H,'単価履歴'!$E:$E,Y$1,'単価履歴'!$F:$F,$A31,'単価履歴'!$O:$O,
MAXIFS('単価履歴'!$O:$O,'単価履歴'!$E:$E,Y$1,'単価履歴'!$F:$F,$A31))=0,"",
MAXIFS('単価履歴'!$H:$H,'単価履歴'!$E:$E,Y$1,'単価履歴'!$F:$F,$A31,'単価履歴'!$O:$O,
MAXIFS('単価履歴'!$O:$O,'単価履歴'!$E:$E,Y$1,'単価履歴'!$F:$F,$A31)))</f>
        <v/>
      </c>
      <c r="Z31" s="249" t="str">
        <f>IF(MAXIFS('単価履歴'!$H:$H,'単価履歴'!$E:$E,Z$1,'単価履歴'!$F:$F,$A31,'単価履歴'!$O:$O,
MAXIFS('単価履歴'!$O:$O,'単価履歴'!$E:$E,Z$1,'単価履歴'!$F:$F,$A31))=0,"",
MAXIFS('単価履歴'!$H:$H,'単価履歴'!$E:$E,Z$1,'単価履歴'!$F:$F,$A31,'単価履歴'!$O:$O,
MAXIFS('単価履歴'!$O:$O,'単価履歴'!$E:$E,Z$1,'単価履歴'!$F:$F,$A31)))</f>
        <v/>
      </c>
      <c r="AA31" s="251" t="str">
        <f>IF(MAXIFS('単価履歴'!$H:$H,'単価履歴'!$E:$E,AA$1,'単価履歴'!$F:$F,$A31,'単価履歴'!$O:$O,
MAXIFS('単価履歴'!$O:$O,'単価履歴'!$E:$E,AA$1,'単価履歴'!$F:$F,$A31))=0,"",
MAXIFS('単価履歴'!$H:$H,'単価履歴'!$E:$E,AA$1,'単価履歴'!$F:$F,$A31,'単価履歴'!$O:$O,
MAXIFS('単価履歴'!$O:$O,'単価履歴'!$E:$E,AA$1,'単価履歴'!$F:$F,$A31)))</f>
        <v/>
      </c>
      <c r="AB31" s="252" t="str">
        <f>IF(MAXIFS('単価履歴'!$H:$H,'単価履歴'!$E:$E,AB$1,'単価履歴'!$F:$F,$A31,'単価履歴'!$O:$O,
MAXIFS('単価履歴'!$O:$O,'単価履歴'!$E:$E,AB$1,'単価履歴'!$F:$F,$A31))=0,"",
MAXIFS('単価履歴'!$H:$H,'単価履歴'!$E:$E,AB$1,'単価履歴'!$F:$F,$A31,'単価履歴'!$O:$O,
MAXIFS('単価履歴'!$O:$O,'単価履歴'!$E:$E,AB$1,'単価履歴'!$F:$F,$A31)))</f>
        <v/>
      </c>
      <c r="AC31" s="249" t="str">
        <f>IF(MAXIFS('単価履歴'!$H:$H,'単価履歴'!$E:$E,AC$1,'単価履歴'!$F:$F,$A31,'単価履歴'!$O:$O,
MAXIFS('単価履歴'!$O:$O,'単価履歴'!$E:$E,AC$1,'単価履歴'!$F:$F,$A31))=0,"",
MAXIFS('単価履歴'!$H:$H,'単価履歴'!$E:$E,AC$1,'単価履歴'!$F:$F,$A31,'単価履歴'!$O:$O,
MAXIFS('単価履歴'!$O:$O,'単価履歴'!$E:$E,AC$1,'単価履歴'!$F:$F,$A31)))</f>
        <v/>
      </c>
      <c r="AD31" s="251" t="str">
        <f>IF(MAXIFS('単価履歴'!$H:$H,'単価履歴'!$E:$E,AD$1,'単価履歴'!$F:$F,$A31,'単価履歴'!$O:$O,
MAXIFS('単価履歴'!$O:$O,'単価履歴'!$E:$E,AD$1,'単価履歴'!$F:$F,$A31))=0,"",
MAXIFS('単価履歴'!$H:$H,'単価履歴'!$E:$E,AD$1,'単価履歴'!$F:$F,$A31,'単価履歴'!$O:$O,
MAXIFS('単価履歴'!$O:$O,'単価履歴'!$E:$E,AD$1,'単価履歴'!$F:$F,$A31)))</f>
        <v/>
      </c>
      <c r="AE31" s="252" t="str">
        <f>IF(MAXIFS('単価履歴'!$H:$H,'単価履歴'!$E:$E,AE$1,'単価履歴'!$F:$F,$A31,'単価履歴'!$O:$O,
MAXIFS('単価履歴'!$O:$O,'単価履歴'!$E:$E,AE$1,'単価履歴'!$F:$F,$A31))=0,"",
MAXIFS('単価履歴'!$H:$H,'単価履歴'!$E:$E,AE$1,'単価履歴'!$F:$F,$A31,'単価履歴'!$O:$O,
MAXIFS('単価履歴'!$O:$O,'単価履歴'!$E:$E,AE$1,'単価履歴'!$F:$F,$A31)))</f>
        <v/>
      </c>
      <c r="AF31" s="252" t="str">
        <f>IF(MAXIFS('単価履歴'!$H:$H,'単価履歴'!$E:$E,AF$1,'単価履歴'!$F:$F,$A31,'単価履歴'!$O:$O,
MAXIFS('単価履歴'!$O:$O,'単価履歴'!$E:$E,AF$1,'単価履歴'!$F:$F,$A31))=0,"",
MAXIFS('単価履歴'!$H:$H,'単価履歴'!$E:$E,AF$1,'単価履歴'!$F:$F,$A31,'単価履歴'!$O:$O,
MAXIFS('単価履歴'!$O:$O,'単価履歴'!$E:$E,AF$1,'単価履歴'!$F:$F,$A31)))</f>
        <v/>
      </c>
      <c r="AG31" s="248" t="str">
        <f>IF(MAXIFS('単価履歴'!$H:$H,'単価履歴'!$E:$E,AG$1,'単価履歴'!$F:$F,$A31,'単価履歴'!$O:$O,
MAXIFS('単価履歴'!$O:$O,'単価履歴'!$E:$E,AG$1,'単価履歴'!$F:$F,$A31))=0,"",
MAXIFS('単価履歴'!$H:$H,'単価履歴'!$E:$E,AG$1,'単価履歴'!$F:$F,$A31,'単価履歴'!$O:$O,
MAXIFS('単価履歴'!$O:$O,'単価履歴'!$E:$E,AG$1,'単価履歴'!$F:$F,$A31)))</f>
        <v/>
      </c>
      <c r="AH31" s="252" t="str">
        <f>IF(MAXIFS('単価履歴'!$H:$H,'単価履歴'!$E:$E,AH$1,'単価履歴'!$F:$F,$A31,'単価履歴'!$O:$O,
MAXIFS('単価履歴'!$O:$O,'単価履歴'!$E:$E,AH$1,'単価履歴'!$F:$F,$A31))=0,"",
MAXIFS('単価履歴'!$H:$H,'単価履歴'!$E:$E,AH$1,'単価履歴'!$F:$F,$A31,'単価履歴'!$O:$O,
MAXIFS('単価履歴'!$O:$O,'単価履歴'!$E:$E,AH$1,'単価履歴'!$F:$F,$A31)))</f>
        <v/>
      </c>
      <c r="AI31" s="251" t="str">
        <f>IF(MAXIFS('単価履歴'!$H:$H,'単価履歴'!$E:$E,AI$1,'単価履歴'!$F:$F,$A31,'単価履歴'!$O:$O,
MAXIFS('単価履歴'!$O:$O,'単価履歴'!$E:$E,AI$1,'単価履歴'!$F:$F,$A31))=0,"",
MAXIFS('単価履歴'!$H:$H,'単価履歴'!$E:$E,AI$1,'単価履歴'!$F:$F,$A31,'単価履歴'!$O:$O,
MAXIFS('単価履歴'!$O:$O,'単価履歴'!$E:$E,AI$1,'単価履歴'!$F:$F,$A31)))</f>
        <v/>
      </c>
      <c r="AJ31" s="249" t="str">
        <f>IF(MAXIFS('単価履歴'!$H:$H,'単価履歴'!$E:$E,AJ$1,'単価履歴'!$F:$F,$A31,'単価履歴'!$O:$O,
MAXIFS('単価履歴'!$O:$O,'単価履歴'!$E:$E,AJ$1,'単価履歴'!$F:$F,$A31))=0,"",
MAXIFS('単価履歴'!$H:$H,'単価履歴'!$E:$E,AJ$1,'単価履歴'!$F:$F,$A31,'単価履歴'!$O:$O,
MAXIFS('単価履歴'!$O:$O,'単価履歴'!$E:$E,AJ$1,'単価履歴'!$F:$F,$A31)))</f>
        <v/>
      </c>
      <c r="AK31" s="251" t="str">
        <f>IF(MAXIFS('単価履歴'!$H:$H,'単価履歴'!$E:$E,AK$1,'単価履歴'!$F:$F,$A31,'単価履歴'!$O:$O,
MAXIFS('単価履歴'!$O:$O,'単価履歴'!$E:$E,AK$1,'単価履歴'!$F:$F,$A31))=0,"",
MAXIFS('単価履歴'!$H:$H,'単価履歴'!$E:$E,AK$1,'単価履歴'!$F:$F,$A31,'単価履歴'!$O:$O,
MAXIFS('単価履歴'!$O:$O,'単価履歴'!$E:$E,AK$1,'単価履歴'!$F:$F,$A31)))</f>
        <v/>
      </c>
      <c r="AL31" s="249" t="str">
        <f>IF(MAXIFS('単価履歴'!$H:$H,'単価履歴'!$E:$E,AL$1,'単価履歴'!$F:$F,$A31,'単価履歴'!$O:$O,
MAXIFS('単価履歴'!$O:$O,'単価履歴'!$E:$E,AL$1,'単価履歴'!$F:$F,$A31))=0,"",
MAXIFS('単価履歴'!$H:$H,'単価履歴'!$E:$E,AL$1,'単価履歴'!$F:$F,$A31,'単価履歴'!$O:$O,
MAXIFS('単価履歴'!$O:$O,'単価履歴'!$E:$E,AL$1,'単価履歴'!$F:$F,$A31)))</f>
        <v/>
      </c>
      <c r="AM31" s="251" t="str">
        <f>IF(MAXIFS('単価履歴'!$H:$H,'単価履歴'!$E:$E,AM$1,'単価履歴'!$F:$F,$A31,'単価履歴'!$O:$O,
MAXIFS('単価履歴'!$O:$O,'単価履歴'!$E:$E,AM$1,'単価履歴'!$F:$F,$A31))=0,"",
MAXIFS('単価履歴'!$H:$H,'単価履歴'!$E:$E,AM$1,'単価履歴'!$F:$F,$A31,'単価履歴'!$O:$O,
MAXIFS('単価履歴'!$O:$O,'単価履歴'!$E:$E,AM$1,'単価履歴'!$F:$F,$A31)))</f>
        <v/>
      </c>
      <c r="AN31" s="252" t="str">
        <f>IF(MAXIFS('単価履歴'!$H:$H,'単価履歴'!$E:$E,AN$1,'単価履歴'!$F:$F,$A31,'単価履歴'!$O:$O,
MAXIFS('単価履歴'!$O:$O,'単価履歴'!$E:$E,AN$1,'単価履歴'!$F:$F,$A31))=0,"",
MAXIFS('単価履歴'!$H:$H,'単価履歴'!$E:$E,AN$1,'単価履歴'!$F:$F,$A31,'単価履歴'!$O:$O,
MAXIFS('単価履歴'!$O:$O,'単価履歴'!$E:$E,AN$1,'単価履歴'!$F:$F,$A31)))</f>
        <v/>
      </c>
      <c r="AO31" s="251" t="str">
        <f>IF(MAXIFS('単価履歴'!$H:$H,'単価履歴'!$E:$E,AO$1,'単価履歴'!$F:$F,$A31,'単価履歴'!$O:$O,
MAXIFS('単価履歴'!$O:$O,'単価履歴'!$E:$E,AO$1,'単価履歴'!$F:$F,$A31))=0,"",
MAXIFS('単価履歴'!$H:$H,'単価履歴'!$E:$E,AO$1,'単価履歴'!$F:$F,$A31,'単価履歴'!$O:$O,
MAXIFS('単価履歴'!$O:$O,'単価履歴'!$E:$E,AO$1,'単価履歴'!$F:$F,$A31)))</f>
        <v/>
      </c>
      <c r="AP31" s="252" t="str">
        <f>IF(MAXIFS('単価履歴'!$H:$H,'単価履歴'!$E:$E,AP$1,'単価履歴'!$F:$F,$A31,'単価履歴'!$O:$O,
MAXIFS('単価履歴'!$O:$O,'単価履歴'!$E:$E,AP$1,'単価履歴'!$F:$F,$A31))=0,"",
MAXIFS('単価履歴'!$H:$H,'単価履歴'!$E:$E,AP$1,'単価履歴'!$F:$F,$A31,'単価履歴'!$O:$O,
MAXIFS('単価履歴'!$O:$O,'単価履歴'!$E:$E,AP$1,'単価履歴'!$F:$F,$A31)))</f>
        <v/>
      </c>
      <c r="AQ31" s="285">
        <f>IF(MAXIFS('単価履歴'!$H:$H,'単価履歴'!$E:$E,AQ$1,'単価履歴'!$F:$F,$A31,'単価履歴'!$O:$O,
MAXIFS('単価履歴'!$O:$O,'単価履歴'!$E:$E,AQ$1,'単価履歴'!$F:$F,$A31))=0,"",
MAXIFS('単価履歴'!$H:$H,'単価履歴'!$E:$E,AQ$1,'単価履歴'!$F:$F,$A31,'単価履歴'!$O:$O,
MAXIFS('単価履歴'!$O:$O,'単価履歴'!$E:$E,AQ$1,'単価履歴'!$F:$F,$A31)))</f>
        <v>51.5</v>
      </c>
      <c r="AR31" s="252" t="str">
        <f>IF(MAXIFS('単価履歴'!$H:$H,'単価履歴'!$E:$E,AR$1,'単価履歴'!$F:$F,$A31,'単価履歴'!$O:$O,
MAXIFS('単価履歴'!$O:$O,'単価履歴'!$E:$E,AR$1,'単価履歴'!$F:$F,$A31))=0,"",
MAXIFS('単価履歴'!$H:$H,'単価履歴'!$E:$E,AR$1,'単価履歴'!$F:$F,$A31,'単価履歴'!$O:$O,
MAXIFS('単価履歴'!$O:$O,'単価履歴'!$E:$E,AR$1,'単価履歴'!$F:$F,$A31)))</f>
        <v/>
      </c>
      <c r="AS31" s="249" t="str">
        <f>IF(MAXIFS('単価履歴'!$H:$H,'単価履歴'!$E:$E,AS$1,'単価履歴'!$F:$F,$A31,'単価履歴'!$O:$O,
MAXIFS('単価履歴'!$O:$O,'単価履歴'!$E:$E,AS$1,'単価履歴'!$F:$F,$A31))=0,"",
MAXIFS('単価履歴'!$H:$H,'単価履歴'!$E:$E,AS$1,'単価履歴'!$F:$F,$A31,'単価履歴'!$O:$O,
MAXIFS('単価履歴'!$O:$O,'単価履歴'!$E:$E,AS$1,'単価履歴'!$F:$F,$A31)))</f>
        <v/>
      </c>
      <c r="AT31" s="249" t="str">
        <f>IF(MAXIFS('単価履歴'!$H:$H,'単価履歴'!$E:$E,AT$1,'単価履歴'!$F:$F,$A31,'単価履歴'!$O:$O,
MAXIFS('単価履歴'!$O:$O,'単価履歴'!$E:$E,AT$1,'単価履歴'!$F:$F,$A31))=0,"",
MAXIFS('単価履歴'!$H:$H,'単価履歴'!$E:$E,AT$1,'単価履歴'!$F:$F,$A31,'単価履歴'!$O:$O,
MAXIFS('単価履歴'!$O:$O,'単価履歴'!$E:$E,AT$1,'単価履歴'!$F:$F,$A31)))</f>
        <v/>
      </c>
      <c r="AU31" s="249" t="str">
        <f>IF(MAXIFS('単価履歴'!$H:$H,'単価履歴'!$E:$E,AU$1,'単価履歴'!$F:$F,$A31,'単価履歴'!$O:$O,
MAXIFS('単価履歴'!$O:$O,'単価履歴'!$E:$E,AU$1,'単価履歴'!$F:$F,$A31))=0,"",
MAXIFS('単価履歴'!$H:$H,'単価履歴'!$E:$E,AU$1,'単価履歴'!$F:$F,$A31,'単価履歴'!$O:$O,
MAXIFS('単価履歴'!$O:$O,'単価履歴'!$E:$E,AU$1,'単価履歴'!$F:$F,$A31)))</f>
        <v/>
      </c>
      <c r="AV31" s="249" t="str">
        <f>IF(MAXIFS('単価履歴'!$H:$H,'単価履歴'!$E:$E,AV$1,'単価履歴'!$F:$F,$A31,'単価履歴'!$O:$O,
MAXIFS('単価履歴'!$O:$O,'単価履歴'!$E:$E,AV$1,'単価履歴'!$F:$F,$A31))=0,"",
MAXIFS('単価履歴'!$H:$H,'単価履歴'!$E:$E,AV$1,'単価履歴'!$F:$F,$A31,'単価履歴'!$O:$O,
MAXIFS('単価履歴'!$O:$O,'単価履歴'!$E:$E,AV$1,'単価履歴'!$F:$F,$A31)))</f>
        <v/>
      </c>
      <c r="AW31" s="248" t="str">
        <f>IF(MAXIFS('単価履歴'!$H:$H,'単価履歴'!$E:$E,AW$1,'単価履歴'!$F:$F,$A31,'単価履歴'!$O:$O,
MAXIFS('単価履歴'!$O:$O,'単価履歴'!$E:$E,AW$1,'単価履歴'!$F:$F,$A31))=0,"",
MAXIFS('単価履歴'!$H:$H,'単価履歴'!$E:$E,AW$1,'単価履歴'!$F:$F,$A31,'単価履歴'!$O:$O,
MAXIFS('単価履歴'!$O:$O,'単価履歴'!$E:$E,AW$1,'単価履歴'!$F:$F,$A31)))</f>
        <v/>
      </c>
      <c r="AX31" s="249" t="str">
        <f>IF(MAXIFS('単価履歴'!$H:$H,'単価履歴'!$E:$E,AX$1,'単価履歴'!$F:$F,$A31,'単価履歴'!$O:$O,
MAXIFS('単価履歴'!$O:$O,'単価履歴'!$E:$E,AX$1,'単価履歴'!$F:$F,$A31))=0,"",
MAXIFS('単価履歴'!$H:$H,'単価履歴'!$E:$E,AX$1,'単価履歴'!$F:$F,$A31,'単価履歴'!$O:$O,
MAXIFS('単価履歴'!$O:$O,'単価履歴'!$E:$E,AX$1,'単価履歴'!$F:$F,$A31)))</f>
        <v/>
      </c>
      <c r="AY31" s="251" t="str">
        <f>IF(MAXIFS('単価履歴'!$H:$H,'単価履歴'!$E:$E,AY$1,'単価履歴'!$F:$F,$A31,'単価履歴'!$O:$O,
MAXIFS('単価履歴'!$O:$O,'単価履歴'!$E:$E,AY$1,'単価履歴'!$F:$F,$A31))=0,"",
MAXIFS('単価履歴'!$H:$H,'単価履歴'!$E:$E,AY$1,'単価履歴'!$F:$F,$A31,'単価履歴'!$O:$O,
MAXIFS('単価履歴'!$O:$O,'単価履歴'!$E:$E,AY$1,'単価履歴'!$F:$F,$A31)))</f>
        <v/>
      </c>
      <c r="AZ31" s="249" t="str">
        <f>IF(MAXIFS('単価履歴'!$H:$H,'単価履歴'!$E:$E,AZ$1,'単価履歴'!$F:$F,$A31,'単価履歴'!$O:$O,
MAXIFS('単価履歴'!$O:$O,'単価履歴'!$E:$E,AZ$1,'単価履歴'!$F:$F,$A31))=0,"",
MAXIFS('単価履歴'!$H:$H,'単価履歴'!$E:$E,AZ$1,'単価履歴'!$F:$F,$A31,'単価履歴'!$O:$O,
MAXIFS('単価履歴'!$O:$O,'単価履歴'!$E:$E,AZ$1,'単価履歴'!$F:$F,$A31)))</f>
        <v/>
      </c>
      <c r="BA31" s="248" t="str">
        <f>IF(MAXIFS('単価履歴'!$H:$H,'単価履歴'!$E:$E,BA$1,'単価履歴'!$F:$F,$A31,'単価履歴'!$O:$O,
MAXIFS('単価履歴'!$O:$O,'単価履歴'!$E:$E,BA$1,'単価履歴'!$F:$F,$A31))=0,"",
MAXIFS('単価履歴'!$H:$H,'単価履歴'!$E:$E,BA$1,'単価履歴'!$F:$F,$A31,'単価履歴'!$O:$O,
MAXIFS('単価履歴'!$O:$O,'単価履歴'!$E:$E,BA$1,'単価履歴'!$F:$F,$A31)))</f>
        <v/>
      </c>
      <c r="BB31" s="249" t="str">
        <f>IF(MAXIFS('単価履歴'!$H:$H,'単価履歴'!$E:$E,BB$1,'単価履歴'!$F:$F,$A31,'単価履歴'!$O:$O,
MAXIFS('単価履歴'!$O:$O,'単価履歴'!$E:$E,BB$1,'単価履歴'!$F:$F,$A31))=0,"",
MAXIFS('単価履歴'!$H:$H,'単価履歴'!$E:$E,BB$1,'単価履歴'!$F:$F,$A31,'単価履歴'!$O:$O,
MAXIFS('単価履歴'!$O:$O,'単価履歴'!$E:$E,BB$1,'単価履歴'!$F:$F,$A31)))</f>
        <v/>
      </c>
      <c r="BC31" s="251" t="str">
        <f>IF(MAXIFS('単価履歴'!$H:$H,'単価履歴'!$E:$E,BC$1,'単価履歴'!$F:$F,$A31,'単価履歴'!$O:$O,
MAXIFS('単価履歴'!$O:$O,'単価履歴'!$E:$E,BC$1,'単価履歴'!$F:$F,$A31))=0,"",
MAXIFS('単価履歴'!$H:$H,'単価履歴'!$E:$E,BC$1,'単価履歴'!$F:$F,$A31,'単価履歴'!$O:$O,
MAXIFS('単価履歴'!$O:$O,'単価履歴'!$E:$E,BC$1,'単価履歴'!$F:$F,$A31)))</f>
        <v/>
      </c>
      <c r="BD31" s="248" t="str">
        <f>IF(MAXIFS('単価履歴'!$H:$H,'単価履歴'!$E:$E,BD$1,'単価履歴'!$F:$F,$A31,'単価履歴'!$O:$O,
MAXIFS('単価履歴'!$O:$O,'単価履歴'!$E:$E,BD$1,'単価履歴'!$F:$F,$A31))=0,"",
MAXIFS('単価履歴'!$H:$H,'単価履歴'!$E:$E,BD$1,'単価履歴'!$F:$F,$A31,'単価履歴'!$O:$O,
MAXIFS('単価履歴'!$O:$O,'単価履歴'!$E:$E,BD$1,'単価履歴'!$F:$F,$A31)))</f>
        <v/>
      </c>
      <c r="BE31" s="249" t="str">
        <f>IF(MAXIFS('単価履歴'!$H:$H,'単価履歴'!$E:$E,BE$1,'単価履歴'!$F:$F,$A31,'単価履歴'!$O:$O,
MAXIFS('単価履歴'!$O:$O,'単価履歴'!$E:$E,BE$1,'単価履歴'!$F:$F,$A31))=0,"",
MAXIFS('単価履歴'!$H:$H,'単価履歴'!$E:$E,BE$1,'単価履歴'!$F:$F,$A31,'単価履歴'!$O:$O,
MAXIFS('単価履歴'!$O:$O,'単価履歴'!$E:$E,BE$1,'単価履歴'!$F:$F,$A31)))</f>
        <v/>
      </c>
      <c r="BF31" s="248" t="str">
        <f>IF(MAXIFS('単価履歴'!$H:$H,'単価履歴'!$E:$E,BF$1,'単価履歴'!$F:$F,$A31,'単価履歴'!$O:$O,
MAXIFS('単価履歴'!$O:$O,'単価履歴'!$E:$E,BF$1,'単価履歴'!$F:$F,$A31))=0,"",
MAXIFS('単価履歴'!$H:$H,'単価履歴'!$E:$E,BF$1,'単価履歴'!$F:$F,$A31,'単価履歴'!$O:$O,
MAXIFS('単価履歴'!$O:$O,'単価履歴'!$E:$E,BF$1,'単価履歴'!$F:$F,$A31)))</f>
        <v/>
      </c>
      <c r="BG31" s="249" t="str">
        <f>IF(MAXIFS('単価履歴'!$H:$H,'単価履歴'!$E:$E,BG$1,'単価履歴'!$F:$F,$A31,'単価履歴'!$O:$O,
MAXIFS('単価履歴'!$O:$O,'単価履歴'!$E:$E,BG$1,'単価履歴'!$F:$F,$A31))=0,"",
MAXIFS('単価履歴'!$H:$H,'単価履歴'!$E:$E,BG$1,'単価履歴'!$F:$F,$A31,'単価履歴'!$O:$O,
MAXIFS('単価履歴'!$O:$O,'単価履歴'!$E:$E,BG$1,'単価履歴'!$F:$F,$A31)))</f>
        <v/>
      </c>
      <c r="BH31" s="249" t="str">
        <f>IF(MAXIFS('単価履歴'!$H:$H,'単価履歴'!$E:$E,BH$1,'単価履歴'!$F:$F,$A31,'単価履歴'!$O:$O,
MAXIFS('単価履歴'!$O:$O,'単価履歴'!$E:$E,BH$1,'単価履歴'!$F:$F,$A31))=0,"",
MAXIFS('単価履歴'!$H:$H,'単価履歴'!$E:$E,BH$1,'単価履歴'!$F:$F,$A31,'単価履歴'!$O:$O,
MAXIFS('単価履歴'!$O:$O,'単価履歴'!$E:$E,BH$1,'単価履歴'!$F:$F,$A31)))</f>
        <v/>
      </c>
      <c r="BI31" s="252" t="str">
        <f>IF(MAXIFS('単価履歴'!$H:$H,'単価履歴'!$E:$E,BI$1,'単価履歴'!$F:$F,$A31,'単価履歴'!$O:$O,
MAXIFS('単価履歴'!$O:$O,'単価履歴'!$E:$E,BI$1,'単価履歴'!$F:$F,$A31))=0,"",
MAXIFS('単価履歴'!$H:$H,'単価履歴'!$E:$E,BI$1,'単価履歴'!$F:$F,$A31,'単価履歴'!$O:$O,
MAXIFS('単価履歴'!$O:$O,'単価履歴'!$E:$E,BI$1,'単価履歴'!$F:$F,$A31)))</f>
        <v/>
      </c>
      <c r="BJ31" s="252" t="str">
        <f>IF(MAXIFS('単価履歴'!$H:$H,'単価履歴'!$E:$E,BJ$1,'単価履歴'!$F:$F,$A31,'単価履歴'!$O:$O,
MAXIFS('単価履歴'!$O:$O,'単価履歴'!$E:$E,BJ$1,'単価履歴'!$F:$F,$A31))=0,"",
MAXIFS('単価履歴'!$H:$H,'単価履歴'!$E:$E,BJ$1,'単価履歴'!$F:$F,$A31,'単価履歴'!$O:$O,
MAXIFS('単価履歴'!$O:$O,'単価履歴'!$E:$E,BJ$1,'単価履歴'!$F:$F,$A31)))</f>
        <v/>
      </c>
      <c r="BK31" s="252" t="str">
        <f>IF(MAXIFS('単価履歴'!$H:$H,'単価履歴'!$E:$E,BK$1,'単価履歴'!$F:$F,$A31,'単価履歴'!$O:$O,
MAXIFS('単価履歴'!$O:$O,'単価履歴'!$E:$E,BK$1,'単価履歴'!$F:$F,$A31))=0,"",
MAXIFS('単価履歴'!$H:$H,'単価履歴'!$E:$E,BK$1,'単価履歴'!$F:$F,$A31,'単価履歴'!$O:$O,
MAXIFS('単価履歴'!$O:$O,'単価履歴'!$E:$E,BK$1,'単価履歴'!$F:$F,$A31)))</f>
        <v/>
      </c>
      <c r="BL31" s="252" t="str">
        <f>IF(MAXIFS('単価履歴'!$H:$H,'単価履歴'!$E:$E,BL$1,'単価履歴'!$F:$F,$A31,'単価履歴'!$O:$O,
MAXIFS('単価履歴'!$O:$O,'単価履歴'!$E:$E,BL$1,'単価履歴'!$F:$F,$A31))=0,"",
MAXIFS('単価履歴'!$H:$H,'単価履歴'!$E:$E,BL$1,'単価履歴'!$F:$F,$A31,'単価履歴'!$O:$O,
MAXIFS('単価履歴'!$O:$O,'単価履歴'!$E:$E,BL$1,'単価履歴'!$F:$F,$A31)))</f>
        <v/>
      </c>
      <c r="BM31" s="252" t="str">
        <f>IF(MAXIFS('単価履歴'!$H:$H,'単価履歴'!$E:$E,BM$1,'単価履歴'!$F:$F,$A31,'単価履歴'!$O:$O,
MAXIFS('単価履歴'!$O:$O,'単価履歴'!$E:$E,BM$1,'単価履歴'!$F:$F,$A31))=0,"",
MAXIFS('単価履歴'!$H:$H,'単価履歴'!$E:$E,BM$1,'単価履歴'!$F:$F,$A31,'単価履歴'!$O:$O,
MAXIFS('単価履歴'!$O:$O,'単価履歴'!$E:$E,BM$1,'単価履歴'!$F:$F,$A31)))</f>
        <v/>
      </c>
      <c r="BN31" s="251" t="str">
        <f>IF(MAXIFS('単価履歴'!$H:$H,'単価履歴'!$E:$E,BN$1,'単価履歴'!$F:$F,$A31,'単価履歴'!$O:$O,
MAXIFS('単価履歴'!$O:$O,'単価履歴'!$E:$E,BN$1,'単価履歴'!$F:$F,$A31))=0,"",
MAXIFS('単価履歴'!$H:$H,'単価履歴'!$E:$E,BN$1,'単価履歴'!$F:$F,$A31,'単価履歴'!$O:$O,
MAXIFS('単価履歴'!$O:$O,'単価履歴'!$E:$E,BN$1,'単価履歴'!$F:$F,$A31)))</f>
        <v/>
      </c>
      <c r="BO31" s="251" t="str">
        <f>IF(MAXIFS('単価履歴'!$H:$H,'単価履歴'!$E:$E,BO$1,'単価履歴'!$F:$F,$A31,'単価履歴'!$O:$O,
MAXIFS('単価履歴'!$O:$O,'単価履歴'!$E:$E,BO$1,'単価履歴'!$F:$F,$A31))=0,"",
MAXIFS('単価履歴'!$H:$H,'単価履歴'!$E:$E,BO$1,'単価履歴'!$F:$F,$A31,'単価履歴'!$O:$O,
MAXIFS('単価履歴'!$O:$O,'単価履歴'!$E:$E,BO$1,'単価履歴'!$F:$F,$A31)))</f>
        <v/>
      </c>
      <c r="BP31" s="252" t="str">
        <f>IF(MAXIFS('単価履歴'!$H:$H,'単価履歴'!$E:$E,BP$1,'単価履歴'!$F:$F,$A31,'単価履歴'!$O:$O,
MAXIFS('単価履歴'!$O:$O,'単価履歴'!$E:$E,BP$1,'単価履歴'!$F:$F,$A31))=0,"",
MAXIFS('単価履歴'!$H:$H,'単価履歴'!$E:$E,BP$1,'単価履歴'!$F:$F,$A31,'単価履歴'!$O:$O,
MAXIFS('単価履歴'!$O:$O,'単価履歴'!$E:$E,BP$1,'単価履歴'!$F:$F,$A31)))</f>
        <v/>
      </c>
      <c r="BQ31" s="249"/>
      <c r="BR31" s="249"/>
      <c r="BS31" s="249"/>
      <c r="BT31" s="249"/>
      <c r="BU31" s="249"/>
      <c r="BV31" s="249"/>
      <c r="BW31" s="249"/>
      <c r="BX31" s="249"/>
    </row>
    <row r="32">
      <c r="A32" s="286" t="s">
        <v>159</v>
      </c>
      <c r="B32" s="158" t="s">
        <v>1147</v>
      </c>
      <c r="BQ32" s="161"/>
      <c r="BR32" s="161"/>
      <c r="BS32" s="161"/>
      <c r="BT32" s="161"/>
      <c r="BU32" s="161"/>
      <c r="BV32" s="161"/>
      <c r="BW32" s="161"/>
      <c r="BX32" s="161"/>
    </row>
    <row r="33">
      <c r="B33" s="158" t="s">
        <v>161</v>
      </c>
      <c r="BQ33" s="161"/>
      <c r="BR33" s="161"/>
      <c r="BS33" s="161"/>
      <c r="BT33" s="161"/>
      <c r="BU33" s="161"/>
      <c r="BV33" s="161"/>
      <c r="BW33" s="161"/>
      <c r="BX33" s="161"/>
    </row>
    <row r="34">
      <c r="A34" s="288" t="s">
        <v>162</v>
      </c>
      <c r="B34" s="288" t="s">
        <v>1148</v>
      </c>
      <c r="BQ34" s="232"/>
      <c r="BR34" s="232"/>
      <c r="BS34" s="232"/>
      <c r="BT34" s="232"/>
      <c r="BU34" s="232"/>
      <c r="BV34" s="232"/>
      <c r="BW34" s="232"/>
      <c r="BX34" s="232"/>
    </row>
    <row r="35">
      <c r="A35" s="286" t="s">
        <v>164</v>
      </c>
      <c r="B35" s="286" t="s">
        <v>1149</v>
      </c>
      <c r="BQ35" s="291"/>
      <c r="BR35" s="291"/>
      <c r="BS35" s="291"/>
      <c r="BT35" s="291"/>
      <c r="BU35" s="291"/>
      <c r="BV35" s="291"/>
      <c r="BW35" s="291"/>
      <c r="BX35" s="291"/>
    </row>
    <row r="36">
      <c r="B36" s="286" t="s">
        <v>166</v>
      </c>
      <c r="BQ36" s="291"/>
      <c r="BR36" s="291"/>
      <c r="BS36" s="291"/>
      <c r="BT36" s="291"/>
      <c r="BU36" s="291"/>
      <c r="BV36" s="291"/>
      <c r="BW36" s="291"/>
      <c r="BX36" s="291"/>
    </row>
    <row r="37">
      <c r="A37" s="288" t="s">
        <v>167</v>
      </c>
      <c r="B37" s="288" t="s">
        <v>168</v>
      </c>
      <c r="BQ37" s="232"/>
      <c r="BR37" s="232"/>
      <c r="BS37" s="232"/>
      <c r="BT37" s="232"/>
      <c r="BU37" s="232"/>
      <c r="BV37" s="232"/>
      <c r="BW37" s="232"/>
      <c r="BX37" s="232"/>
    </row>
    <row r="38">
      <c r="B38" s="288" t="s">
        <v>169</v>
      </c>
      <c r="BQ38" s="232"/>
      <c r="BR38" s="232"/>
      <c r="BS38" s="232"/>
      <c r="BT38" s="232"/>
      <c r="BU38" s="232"/>
      <c r="BV38" s="232"/>
      <c r="BW38" s="232"/>
      <c r="BX38" s="232"/>
    </row>
    <row r="39">
      <c r="B39" s="288" t="s">
        <v>170</v>
      </c>
      <c r="BQ39" s="232"/>
      <c r="BR39" s="232"/>
      <c r="BS39" s="232"/>
      <c r="BT39" s="232"/>
      <c r="BU39" s="232"/>
      <c r="BV39" s="232"/>
      <c r="BW39" s="232"/>
      <c r="BX39" s="232"/>
    </row>
    <row r="40">
      <c r="A40" s="286" t="s">
        <v>171</v>
      </c>
      <c r="B40" s="158" t="s">
        <v>581</v>
      </c>
      <c r="BQ40" s="161"/>
      <c r="BR40" s="161"/>
      <c r="BS40" s="161"/>
      <c r="BT40" s="161"/>
      <c r="BU40" s="161"/>
      <c r="BV40" s="161"/>
      <c r="BW40" s="161"/>
      <c r="BX40" s="161"/>
    </row>
    <row r="41">
      <c r="B41" s="158" t="s">
        <v>173</v>
      </c>
      <c r="BQ41" s="161"/>
      <c r="BR41" s="161"/>
      <c r="BS41" s="161"/>
      <c r="BT41" s="161"/>
      <c r="BU41" s="161"/>
      <c r="BV41" s="161"/>
      <c r="BW41" s="161"/>
      <c r="BX41" s="161"/>
    </row>
    <row r="42">
      <c r="B42" s="158" t="s">
        <v>174</v>
      </c>
      <c r="BQ42" s="161"/>
      <c r="BR42" s="161"/>
      <c r="BS42" s="161"/>
      <c r="BT42" s="161"/>
      <c r="BU42" s="161"/>
      <c r="BV42" s="161"/>
      <c r="BW42" s="161"/>
      <c r="BX42" s="161"/>
    </row>
    <row r="43">
      <c r="B43" s="158" t="s">
        <v>1150</v>
      </c>
      <c r="BQ43" s="161"/>
      <c r="BR43" s="161"/>
      <c r="BS43" s="161"/>
      <c r="BT43" s="161"/>
      <c r="BU43" s="161"/>
      <c r="BV43" s="161"/>
      <c r="BW43" s="161"/>
      <c r="BX43" s="161"/>
    </row>
    <row r="44">
      <c r="B44" s="158" t="s">
        <v>1151</v>
      </c>
      <c r="BQ44" s="161"/>
      <c r="BR44" s="161"/>
      <c r="BS44" s="161"/>
      <c r="BT44" s="161"/>
      <c r="BU44" s="161"/>
      <c r="BV44" s="161"/>
      <c r="BW44" s="161"/>
      <c r="BX44" s="161"/>
    </row>
    <row r="45">
      <c r="B45" s="287" t="s">
        <v>1152</v>
      </c>
      <c r="BQ45" s="161"/>
      <c r="BR45" s="161"/>
      <c r="BS45" s="161"/>
      <c r="BT45" s="161"/>
      <c r="BU45" s="161"/>
      <c r="BV45" s="161"/>
      <c r="BW45" s="161"/>
      <c r="BX45" s="161"/>
    </row>
    <row r="46">
      <c r="B46" s="158" t="s">
        <v>178</v>
      </c>
      <c r="BQ46" s="161"/>
      <c r="BR46" s="161"/>
      <c r="BS46" s="161"/>
      <c r="BT46" s="161"/>
      <c r="BU46" s="161"/>
      <c r="BV46" s="161"/>
      <c r="BW46" s="161"/>
      <c r="BX46" s="161"/>
    </row>
    <row r="47">
      <c r="B47" s="158" t="s">
        <v>179</v>
      </c>
      <c r="BQ47" s="161"/>
      <c r="BR47" s="161"/>
      <c r="BS47" s="161"/>
      <c r="BT47" s="161"/>
      <c r="BU47" s="161"/>
      <c r="BV47" s="161"/>
      <c r="BW47" s="161"/>
      <c r="BX47" s="161"/>
    </row>
    <row r="48">
      <c r="A48" s="288" t="s">
        <v>180</v>
      </c>
      <c r="B48" s="288" t="s">
        <v>181</v>
      </c>
      <c r="BQ48" s="232"/>
      <c r="BR48" s="232"/>
      <c r="BS48" s="232"/>
      <c r="BT48" s="232"/>
      <c r="BU48" s="232"/>
      <c r="BV48" s="232"/>
      <c r="BW48" s="232"/>
      <c r="BX48" s="232"/>
    </row>
    <row r="49">
      <c r="A49" s="286" t="s">
        <v>182</v>
      </c>
      <c r="B49" s="286" t="s">
        <v>1153</v>
      </c>
      <c r="BQ49" s="291"/>
      <c r="BR49" s="291"/>
      <c r="BS49" s="291"/>
      <c r="BT49" s="291"/>
      <c r="BU49" s="291"/>
      <c r="BV49" s="291"/>
      <c r="BW49" s="291"/>
      <c r="BX49" s="291"/>
    </row>
    <row r="50">
      <c r="A50" s="288" t="s">
        <v>184</v>
      </c>
      <c r="B50" s="288" t="s">
        <v>185</v>
      </c>
      <c r="BQ50" s="232"/>
      <c r="BR50" s="232"/>
      <c r="BS50" s="232"/>
      <c r="BT50" s="232"/>
      <c r="BU50" s="232"/>
      <c r="BV50" s="232"/>
      <c r="BW50" s="232"/>
      <c r="BX50" s="232"/>
    </row>
    <row r="51">
      <c r="A51" s="286" t="s">
        <v>186</v>
      </c>
      <c r="B51" s="286" t="s">
        <v>1154</v>
      </c>
      <c r="BQ51" s="291"/>
      <c r="BR51" s="291"/>
      <c r="BS51" s="291"/>
      <c r="BT51" s="291"/>
      <c r="BU51" s="291"/>
      <c r="BV51" s="291"/>
      <c r="BW51" s="291"/>
      <c r="BX51" s="291"/>
    </row>
    <row r="52">
      <c r="A52" s="288" t="s">
        <v>188</v>
      </c>
      <c r="B52" s="288" t="s">
        <v>1155</v>
      </c>
      <c r="BQ52" s="232"/>
      <c r="BR52" s="232"/>
      <c r="BS52" s="232"/>
      <c r="BT52" s="232"/>
      <c r="BU52" s="232"/>
      <c r="BV52" s="232"/>
      <c r="BW52" s="232"/>
      <c r="BX52" s="232"/>
    </row>
    <row r="53">
      <c r="B53" s="288" t="s">
        <v>190</v>
      </c>
      <c r="BQ53" s="232"/>
      <c r="BR53" s="232"/>
      <c r="BS53" s="232"/>
      <c r="BT53" s="232"/>
      <c r="BU53" s="232"/>
      <c r="BV53" s="232"/>
      <c r="BW53" s="232"/>
      <c r="BX53" s="232"/>
    </row>
    <row r="54">
      <c r="A54" s="286" t="s">
        <v>191</v>
      </c>
      <c r="B54" s="286" t="s">
        <v>1156</v>
      </c>
      <c r="BQ54" s="291"/>
      <c r="BR54" s="291"/>
      <c r="BS54" s="291"/>
      <c r="BT54" s="291"/>
      <c r="BU54" s="291"/>
      <c r="BV54" s="291"/>
      <c r="BW54" s="291"/>
      <c r="BX54" s="291"/>
    </row>
    <row r="55">
      <c r="A55" s="288" t="s">
        <v>193</v>
      </c>
      <c r="B55" s="288" t="s">
        <v>589</v>
      </c>
      <c r="BQ55" s="232"/>
      <c r="BR55" s="232"/>
      <c r="BS55" s="232"/>
      <c r="BT55" s="232"/>
      <c r="BU55" s="232"/>
      <c r="BV55" s="232"/>
      <c r="BW55" s="232"/>
      <c r="BX55" s="232"/>
    </row>
    <row r="56">
      <c r="A56" s="286" t="s">
        <v>195</v>
      </c>
      <c r="B56" s="286" t="s">
        <v>1157</v>
      </c>
      <c r="BQ56" s="291"/>
      <c r="BR56" s="291"/>
      <c r="BS56" s="291"/>
      <c r="BT56" s="291"/>
      <c r="BU56" s="291"/>
      <c r="BV56" s="291"/>
      <c r="BW56" s="291"/>
      <c r="BX56" s="291"/>
    </row>
    <row r="57">
      <c r="B57" s="286" t="s">
        <v>591</v>
      </c>
      <c r="BQ57" s="291"/>
      <c r="BR57" s="291"/>
      <c r="BS57" s="291"/>
      <c r="BT57" s="291"/>
      <c r="BU57" s="291"/>
      <c r="BV57" s="291"/>
      <c r="BW57" s="291"/>
      <c r="BX57" s="291"/>
    </row>
    <row r="58">
      <c r="A58" s="288" t="s">
        <v>198</v>
      </c>
      <c r="B58" s="288" t="s">
        <v>199</v>
      </c>
      <c r="BQ58" s="232"/>
      <c r="BR58" s="232"/>
      <c r="BS58" s="232"/>
      <c r="BT58" s="232"/>
      <c r="BU58" s="232"/>
      <c r="BV58" s="232"/>
      <c r="BW58" s="232"/>
      <c r="BX58" s="232"/>
    </row>
    <row r="59">
      <c r="B59" s="288" t="s">
        <v>200</v>
      </c>
      <c r="BQ59" s="232"/>
      <c r="BR59" s="232"/>
      <c r="BS59" s="232"/>
      <c r="BT59" s="232"/>
      <c r="BU59" s="232"/>
      <c r="BV59" s="232"/>
      <c r="BW59" s="232"/>
      <c r="BX59" s="232"/>
    </row>
    <row r="60">
      <c r="A60" s="286" t="s">
        <v>201</v>
      </c>
      <c r="B60" s="286" t="s">
        <v>202</v>
      </c>
      <c r="BQ60" s="291"/>
      <c r="BR60" s="291"/>
      <c r="BS60" s="291"/>
      <c r="BT60" s="291"/>
      <c r="BU60" s="291"/>
      <c r="BV60" s="291"/>
      <c r="BW60" s="291"/>
      <c r="BX60" s="291"/>
    </row>
    <row r="61">
      <c r="A61" s="288" t="s">
        <v>203</v>
      </c>
      <c r="B61" s="288" t="s">
        <v>204</v>
      </c>
      <c r="BQ61" s="232"/>
      <c r="BR61" s="232"/>
      <c r="BS61" s="232"/>
      <c r="BT61" s="232"/>
      <c r="BU61" s="232"/>
      <c r="BV61" s="232"/>
      <c r="BW61" s="232"/>
      <c r="BX61" s="232"/>
    </row>
    <row r="62">
      <c r="A62" s="292" t="s">
        <v>1158</v>
      </c>
      <c r="B62" s="293" t="s">
        <v>1159</v>
      </c>
      <c r="BH62" s="291"/>
      <c r="BI62" s="291"/>
      <c r="BJ62" s="291"/>
      <c r="BK62" s="291"/>
      <c r="BL62" s="291"/>
      <c r="BM62" s="291"/>
      <c r="BN62" s="291"/>
      <c r="BO62" s="291"/>
      <c r="BP62" s="291"/>
      <c r="BQ62" s="291"/>
      <c r="BR62" s="291"/>
      <c r="BS62" s="291"/>
      <c r="BT62" s="291"/>
      <c r="BU62" s="291"/>
      <c r="BV62" s="291"/>
      <c r="BW62" s="291"/>
      <c r="BX62" s="291"/>
    </row>
    <row r="63">
      <c r="A63" s="292" t="s">
        <v>978</v>
      </c>
      <c r="B63" s="293" t="s">
        <v>979</v>
      </c>
      <c r="BH63" s="232"/>
      <c r="BI63" s="232"/>
      <c r="BJ63" s="232"/>
      <c r="BK63" s="232"/>
      <c r="BL63" s="232"/>
      <c r="BM63" s="232"/>
      <c r="BN63" s="232"/>
      <c r="BO63" s="232"/>
      <c r="BP63" s="232"/>
      <c r="BQ63" s="232"/>
      <c r="BR63" s="232"/>
      <c r="BS63" s="232"/>
      <c r="BT63" s="232"/>
      <c r="BU63" s="232"/>
      <c r="BV63" s="232"/>
      <c r="BW63" s="232"/>
      <c r="BX63" s="232"/>
    </row>
    <row r="64">
      <c r="B64" s="293" t="s">
        <v>1160</v>
      </c>
      <c r="BH64" s="291"/>
      <c r="BI64" s="291"/>
      <c r="BJ64" s="291"/>
      <c r="BK64" s="291"/>
      <c r="BL64" s="291"/>
      <c r="BM64" s="291"/>
      <c r="BN64" s="291"/>
      <c r="BO64" s="291"/>
      <c r="BP64" s="291"/>
      <c r="BQ64" s="291"/>
      <c r="BR64" s="291"/>
      <c r="BS64" s="291"/>
      <c r="BT64" s="291"/>
      <c r="BU64" s="291"/>
      <c r="BV64" s="291"/>
      <c r="BW64" s="291"/>
      <c r="BX64" s="291"/>
    </row>
    <row r="65">
      <c r="A65" s="292" t="s">
        <v>983</v>
      </c>
      <c r="B65" s="293" t="s">
        <v>984</v>
      </c>
      <c r="BH65" s="232"/>
      <c r="BI65" s="232"/>
      <c r="BJ65" s="232"/>
      <c r="BK65" s="232"/>
      <c r="BL65" s="232"/>
      <c r="BM65" s="232"/>
      <c r="BN65" s="232"/>
      <c r="BO65" s="232"/>
      <c r="BP65" s="232"/>
      <c r="BQ65" s="232"/>
      <c r="BR65" s="232"/>
      <c r="BS65" s="232"/>
      <c r="BT65" s="232"/>
      <c r="BU65" s="232"/>
      <c r="BV65" s="232"/>
      <c r="BW65" s="232"/>
      <c r="BX65" s="232"/>
    </row>
    <row r="66">
      <c r="A66" s="292" t="s">
        <v>985</v>
      </c>
      <c r="B66" s="293" t="s">
        <v>986</v>
      </c>
      <c r="BH66" s="291"/>
      <c r="BI66" s="291"/>
      <c r="BJ66" s="291"/>
      <c r="BK66" s="291"/>
      <c r="BL66" s="291"/>
      <c r="BM66" s="291"/>
      <c r="BN66" s="291"/>
      <c r="BO66" s="291"/>
      <c r="BP66" s="291"/>
      <c r="BQ66" s="291"/>
      <c r="BR66" s="291"/>
      <c r="BS66" s="291"/>
      <c r="BT66" s="291"/>
      <c r="BU66" s="291"/>
      <c r="BV66" s="291"/>
      <c r="BW66" s="291"/>
      <c r="BX66" s="291"/>
    </row>
    <row r="67">
      <c r="A67" s="294" t="s">
        <v>987</v>
      </c>
      <c r="B67" s="297" t="s">
        <v>1161</v>
      </c>
      <c r="BQ67" s="232"/>
      <c r="BR67" s="232"/>
      <c r="BS67" s="232"/>
      <c r="BT67" s="232"/>
      <c r="BU67" s="232"/>
      <c r="BV67" s="232"/>
      <c r="BW67" s="232"/>
      <c r="BX67" s="232"/>
    </row>
    <row r="68">
      <c r="A68" s="292" t="s">
        <v>989</v>
      </c>
      <c r="B68" s="293" t="s">
        <v>963</v>
      </c>
      <c r="BH68" s="291"/>
      <c r="BI68" s="291"/>
      <c r="BJ68" s="291"/>
      <c r="BK68" s="291"/>
      <c r="BL68" s="291"/>
      <c r="BM68" s="291"/>
      <c r="BN68" s="291"/>
      <c r="BO68" s="291"/>
      <c r="BP68" s="291"/>
      <c r="BQ68" s="291"/>
      <c r="BR68" s="291"/>
      <c r="BS68" s="291"/>
      <c r="BT68" s="291"/>
      <c r="BU68" s="291"/>
      <c r="BV68" s="291"/>
      <c r="BW68" s="291"/>
      <c r="BX68" s="291"/>
    </row>
    <row r="69">
      <c r="A69" s="292" t="s">
        <v>299</v>
      </c>
      <c r="B69" s="293" t="s">
        <v>990</v>
      </c>
      <c r="BH69" s="232"/>
      <c r="BI69" s="232"/>
      <c r="BJ69" s="232"/>
      <c r="BK69" s="232"/>
      <c r="BL69" s="232"/>
      <c r="BM69" s="232"/>
      <c r="BN69" s="232"/>
      <c r="BO69" s="232"/>
      <c r="BP69" s="232"/>
      <c r="BQ69" s="232"/>
      <c r="BR69" s="232"/>
      <c r="BS69" s="232"/>
      <c r="BT69" s="232"/>
      <c r="BU69" s="232"/>
      <c r="BV69" s="232"/>
      <c r="BW69" s="232"/>
      <c r="BX69" s="232"/>
    </row>
    <row r="70">
      <c r="A70" s="294" t="s">
        <v>991</v>
      </c>
      <c r="B70" s="297" t="s">
        <v>1162</v>
      </c>
      <c r="BQ70" s="291"/>
      <c r="BR70" s="291"/>
      <c r="BS70" s="291"/>
      <c r="BT70" s="291"/>
      <c r="BU70" s="291"/>
      <c r="BV70" s="291"/>
      <c r="BW70" s="291"/>
      <c r="BX70" s="291"/>
    </row>
    <row r="71">
      <c r="A71" s="308">
        <v>45685.0</v>
      </c>
      <c r="B71" s="301" t="s">
        <v>993</v>
      </c>
      <c r="BP71" s="232"/>
      <c r="BQ71" s="232"/>
      <c r="BR71" s="232"/>
      <c r="BS71" s="232"/>
      <c r="BT71" s="232"/>
      <c r="BU71" s="232"/>
      <c r="BV71" s="232"/>
      <c r="BW71" s="232"/>
      <c r="BX71" s="232"/>
    </row>
    <row r="72">
      <c r="B72" s="301" t="s">
        <v>994</v>
      </c>
      <c r="BP72" s="291"/>
      <c r="BQ72" s="291"/>
      <c r="BR72" s="291"/>
      <c r="BS72" s="291"/>
      <c r="BT72" s="291"/>
      <c r="BU72" s="291"/>
      <c r="BV72" s="291"/>
      <c r="BW72" s="291"/>
      <c r="BX72" s="291"/>
    </row>
    <row r="73">
      <c r="B73" s="301" t="s">
        <v>1163</v>
      </c>
      <c r="BP73" s="232"/>
      <c r="BQ73" s="232"/>
      <c r="BR73" s="232"/>
      <c r="BS73" s="232"/>
      <c r="BT73" s="232"/>
      <c r="BU73" s="232"/>
      <c r="BV73" s="232"/>
      <c r="BW73" s="232"/>
      <c r="BX73" s="232"/>
    </row>
    <row r="74">
      <c r="A74" s="292" t="s">
        <v>996</v>
      </c>
      <c r="B74" s="306" t="s">
        <v>997</v>
      </c>
      <c r="BH74" s="291"/>
      <c r="BI74" s="291"/>
      <c r="BJ74" s="291"/>
      <c r="BK74" s="291"/>
      <c r="BL74" s="291"/>
      <c r="BM74" s="291"/>
      <c r="BN74" s="291"/>
      <c r="BO74" s="291"/>
      <c r="BP74" s="291"/>
      <c r="BQ74" s="291"/>
      <c r="BR74" s="291"/>
      <c r="BS74" s="291"/>
      <c r="BT74" s="291"/>
      <c r="BU74" s="291"/>
      <c r="BV74" s="291"/>
      <c r="BW74" s="291"/>
      <c r="BX74" s="291"/>
    </row>
    <row r="75">
      <c r="A75" s="294" t="s">
        <v>998</v>
      </c>
      <c r="B75" s="297" t="s">
        <v>1164</v>
      </c>
      <c r="BQ75" s="232"/>
      <c r="BR75" s="232"/>
      <c r="BS75" s="232"/>
      <c r="BT75" s="232"/>
      <c r="BU75" s="232"/>
      <c r="BV75" s="232"/>
      <c r="BW75" s="232"/>
      <c r="BX75" s="232"/>
    </row>
    <row r="76">
      <c r="A76" s="300" t="s">
        <v>305</v>
      </c>
      <c r="B76" s="301" t="s">
        <v>1165</v>
      </c>
      <c r="BP76" s="291"/>
      <c r="BQ76" s="291"/>
      <c r="BR76" s="291"/>
      <c r="BS76" s="291"/>
      <c r="BT76" s="291"/>
      <c r="BU76" s="291"/>
      <c r="BV76" s="291"/>
      <c r="BW76" s="291"/>
      <c r="BX76" s="291"/>
    </row>
    <row r="77">
      <c r="A77" s="294" t="s">
        <v>1001</v>
      </c>
      <c r="B77" s="297" t="s">
        <v>1002</v>
      </c>
      <c r="BQ77" s="232"/>
      <c r="BR77" s="232"/>
      <c r="BS77" s="232"/>
      <c r="BT77" s="232"/>
      <c r="BU77" s="232"/>
      <c r="BV77" s="232"/>
      <c r="BW77" s="232"/>
      <c r="BX77" s="232"/>
    </row>
    <row r="78">
      <c r="A78" s="292" t="s">
        <v>1003</v>
      </c>
      <c r="B78" s="293" t="s">
        <v>208</v>
      </c>
      <c r="BL78" s="291"/>
      <c r="BM78" s="291"/>
      <c r="BN78" s="291"/>
      <c r="BO78" s="291"/>
      <c r="BP78" s="291"/>
      <c r="BQ78" s="291"/>
      <c r="BR78" s="291"/>
      <c r="BS78" s="291"/>
      <c r="BT78" s="291"/>
      <c r="BU78" s="291"/>
      <c r="BV78" s="291"/>
      <c r="BW78" s="291"/>
      <c r="BX78" s="291"/>
    </row>
    <row r="79">
      <c r="A79" s="292" t="s">
        <v>1004</v>
      </c>
      <c r="B79" s="293" t="s">
        <v>244</v>
      </c>
      <c r="BM79" s="232"/>
      <c r="BN79" s="232"/>
      <c r="BO79" s="232"/>
      <c r="BP79" s="232"/>
      <c r="BQ79" s="232"/>
      <c r="BR79" s="232"/>
      <c r="BS79" s="232"/>
      <c r="BT79" s="232"/>
      <c r="BU79" s="232"/>
      <c r="BV79" s="232"/>
      <c r="BW79" s="232"/>
      <c r="BX79" s="232"/>
    </row>
    <row r="80">
      <c r="A80" s="294" t="s">
        <v>1005</v>
      </c>
      <c r="B80" s="304" t="s">
        <v>1022</v>
      </c>
      <c r="BQ80" s="291"/>
      <c r="BR80" s="291"/>
      <c r="BS80" s="291"/>
      <c r="BT80" s="291"/>
      <c r="BU80" s="291"/>
      <c r="BV80" s="291"/>
      <c r="BW80" s="291"/>
      <c r="BX80" s="291"/>
    </row>
    <row r="81">
      <c r="A81" s="294" t="s">
        <v>1007</v>
      </c>
      <c r="B81" s="304" t="s">
        <v>1022</v>
      </c>
      <c r="BQ81" s="232"/>
      <c r="BR81" s="232"/>
      <c r="BS81" s="232"/>
      <c r="BT81" s="232"/>
      <c r="BU81" s="232"/>
      <c r="BV81" s="232"/>
      <c r="BW81" s="232"/>
      <c r="BX81" s="232"/>
    </row>
    <row r="82">
      <c r="A82" s="308">
        <v>45666.0</v>
      </c>
      <c r="B82" s="301" t="s">
        <v>1008</v>
      </c>
      <c r="BP82" s="309"/>
      <c r="BQ82" s="291"/>
      <c r="BR82" s="291"/>
      <c r="BS82" s="291"/>
      <c r="BT82" s="291"/>
      <c r="BU82" s="291"/>
      <c r="BV82" s="291"/>
      <c r="BW82" s="291"/>
      <c r="BX82" s="291"/>
    </row>
    <row r="83">
      <c r="A83" s="294" t="s">
        <v>1009</v>
      </c>
      <c r="B83" s="304" t="s">
        <v>1022</v>
      </c>
      <c r="BQ83" s="232"/>
      <c r="BR83" s="232"/>
      <c r="BS83" s="232"/>
      <c r="BT83" s="232"/>
      <c r="BU83" s="232"/>
      <c r="BV83" s="232"/>
      <c r="BW83" s="232"/>
      <c r="BX83" s="232"/>
    </row>
    <row r="84">
      <c r="A84" s="310" t="s">
        <v>321</v>
      </c>
      <c r="B84" s="304" t="s">
        <v>941</v>
      </c>
      <c r="BQ84" s="291"/>
      <c r="BR84" s="291"/>
      <c r="BS84" s="291"/>
      <c r="BT84" s="291"/>
      <c r="BU84" s="291"/>
      <c r="BV84" s="291"/>
      <c r="BW84" s="291"/>
      <c r="BX84" s="291"/>
    </row>
    <row r="85">
      <c r="A85" s="311" t="s">
        <v>1010</v>
      </c>
      <c r="B85" s="312" t="s">
        <v>1011</v>
      </c>
      <c r="BP85" s="232"/>
      <c r="BQ85" s="232"/>
      <c r="BR85" s="232"/>
      <c r="BS85" s="232"/>
      <c r="BT85" s="232"/>
      <c r="BU85" s="232"/>
      <c r="BV85" s="232"/>
      <c r="BW85" s="232"/>
      <c r="BX85" s="232"/>
    </row>
    <row r="86">
      <c r="A86" s="313" t="s">
        <v>1012</v>
      </c>
      <c r="B86" s="312" t="s">
        <v>1166</v>
      </c>
      <c r="BP86" s="291"/>
      <c r="BQ86" s="291"/>
      <c r="BR86" s="291"/>
      <c r="BS86" s="291"/>
      <c r="BT86" s="291"/>
      <c r="BU86" s="291"/>
      <c r="BV86" s="291"/>
      <c r="BW86" s="291"/>
      <c r="BX86" s="291"/>
    </row>
    <row r="87">
      <c r="A87" s="313" t="s">
        <v>333</v>
      </c>
      <c r="B87" s="312" t="s">
        <v>1014</v>
      </c>
      <c r="BP87" s="232"/>
      <c r="BQ87" s="232"/>
      <c r="BR87" s="232"/>
      <c r="BS87" s="232"/>
      <c r="BT87" s="232"/>
      <c r="BU87" s="232"/>
      <c r="BV87" s="232"/>
      <c r="BW87" s="232"/>
      <c r="BX87" s="232"/>
    </row>
    <row r="88">
      <c r="A88" s="314" t="s">
        <v>1015</v>
      </c>
      <c r="B88" s="315" t="s">
        <v>1016</v>
      </c>
      <c r="BQ88" s="291"/>
      <c r="BR88" s="291"/>
      <c r="BS88" s="291"/>
      <c r="BT88" s="291"/>
      <c r="BU88" s="291"/>
      <c r="BV88" s="291"/>
      <c r="BW88" s="291"/>
      <c r="BX88" s="291"/>
    </row>
    <row r="89">
      <c r="A89" s="316" t="s">
        <v>721</v>
      </c>
      <c r="B89" s="306" t="s">
        <v>997</v>
      </c>
      <c r="BH89" s="232"/>
      <c r="BI89" s="232"/>
      <c r="BJ89" s="232"/>
      <c r="BK89" s="232"/>
      <c r="BL89" s="232"/>
      <c r="BM89" s="232"/>
      <c r="BN89" s="232"/>
      <c r="BO89" s="232"/>
      <c r="BP89" s="232"/>
      <c r="BQ89" s="232"/>
      <c r="BR89" s="232"/>
      <c r="BS89" s="232"/>
      <c r="BT89" s="232"/>
      <c r="BU89" s="232"/>
      <c r="BV89" s="232"/>
      <c r="BW89" s="232"/>
      <c r="BX89" s="232"/>
    </row>
    <row r="90">
      <c r="A90" s="310" t="s">
        <v>1017</v>
      </c>
      <c r="B90" s="304" t="s">
        <v>1022</v>
      </c>
      <c r="BQ90" s="291"/>
      <c r="BR90" s="291"/>
      <c r="BS90" s="291"/>
      <c r="BT90" s="291"/>
      <c r="BU90" s="291"/>
      <c r="BV90" s="291"/>
      <c r="BW90" s="291"/>
      <c r="BX90" s="291"/>
    </row>
    <row r="91">
      <c r="A91" s="313" t="s">
        <v>339</v>
      </c>
      <c r="B91" s="312" t="s">
        <v>1018</v>
      </c>
      <c r="BP91" s="232"/>
      <c r="BQ91" s="232"/>
      <c r="BR91" s="232"/>
      <c r="BS91" s="232"/>
      <c r="BT91" s="232"/>
      <c r="BU91" s="232"/>
      <c r="BV91" s="232"/>
      <c r="BW91" s="232"/>
      <c r="BX91" s="232"/>
    </row>
    <row r="92">
      <c r="A92" s="313" t="s">
        <v>341</v>
      </c>
      <c r="B92" s="312" t="s">
        <v>1014</v>
      </c>
      <c r="BP92" s="291"/>
      <c r="BQ92" s="291"/>
      <c r="BR92" s="291"/>
      <c r="BS92" s="291"/>
      <c r="BT92" s="291"/>
      <c r="BU92" s="291"/>
      <c r="BV92" s="291"/>
      <c r="BW92" s="291"/>
      <c r="BX92" s="291"/>
    </row>
    <row r="93">
      <c r="A93" s="314" t="s">
        <v>1019</v>
      </c>
      <c r="B93" s="315" t="s">
        <v>1020</v>
      </c>
      <c r="BQ93" s="232"/>
      <c r="BR93" s="232"/>
      <c r="BS93" s="232"/>
      <c r="BT93" s="232"/>
      <c r="BU93" s="232"/>
      <c r="BV93" s="232"/>
      <c r="BW93" s="232"/>
      <c r="BX93" s="232"/>
    </row>
    <row r="94">
      <c r="A94" s="310" t="s">
        <v>1021</v>
      </c>
      <c r="B94" s="304" t="s">
        <v>1022</v>
      </c>
      <c r="BQ94" s="291"/>
      <c r="BR94" s="291"/>
      <c r="BS94" s="291"/>
      <c r="BT94" s="291"/>
      <c r="BU94" s="291"/>
      <c r="BV94" s="291"/>
      <c r="BW94" s="291"/>
      <c r="BX94" s="291"/>
    </row>
    <row r="95">
      <c r="A95" s="316" t="s">
        <v>1023</v>
      </c>
      <c r="B95" s="306" t="s">
        <v>1024</v>
      </c>
      <c r="BP95" s="232"/>
      <c r="BQ95" s="232"/>
      <c r="BR95" s="232"/>
      <c r="BS95" s="232"/>
      <c r="BT95" s="232"/>
      <c r="BU95" s="232"/>
      <c r="BV95" s="232"/>
      <c r="BW95" s="232"/>
      <c r="BX95" s="232"/>
    </row>
    <row r="96">
      <c r="A96" s="313" t="s">
        <v>347</v>
      </c>
      <c r="B96" s="312" t="s">
        <v>208</v>
      </c>
      <c r="BP96" s="291"/>
      <c r="BQ96" s="291"/>
      <c r="BR96" s="291"/>
      <c r="BS96" s="291"/>
      <c r="BT96" s="291"/>
      <c r="BU96" s="291"/>
      <c r="BV96" s="291"/>
      <c r="BW96" s="291"/>
      <c r="BX96" s="291"/>
    </row>
    <row r="97">
      <c r="A97" s="310" t="s">
        <v>1025</v>
      </c>
      <c r="B97" s="304" t="s">
        <v>1022</v>
      </c>
      <c r="BQ97" s="232"/>
      <c r="BR97" s="232"/>
      <c r="BS97" s="232"/>
      <c r="BT97" s="232"/>
      <c r="BU97" s="232"/>
      <c r="BV97" s="232"/>
      <c r="BW97" s="232"/>
      <c r="BX97" s="232"/>
    </row>
    <row r="98">
      <c r="A98" s="310" t="s">
        <v>1026</v>
      </c>
      <c r="B98" s="304" t="s">
        <v>1027</v>
      </c>
      <c r="BQ98" s="291"/>
      <c r="BR98" s="291"/>
      <c r="BS98" s="291"/>
      <c r="BT98" s="291"/>
      <c r="BU98" s="291"/>
      <c r="BV98" s="291"/>
      <c r="BW98" s="291"/>
      <c r="BX98" s="291"/>
    </row>
    <row r="99">
      <c r="A99" s="310" t="s">
        <v>1028</v>
      </c>
      <c r="B99" s="304" t="s">
        <v>1022</v>
      </c>
      <c r="BQ99" s="232"/>
      <c r="BR99" s="232"/>
      <c r="BS99" s="232"/>
      <c r="BT99" s="232"/>
      <c r="BU99" s="232"/>
      <c r="BV99" s="232"/>
      <c r="BW99" s="232"/>
      <c r="BX99" s="232"/>
    </row>
    <row r="100">
      <c r="A100" s="316" t="s">
        <v>357</v>
      </c>
      <c r="B100" s="306" t="s">
        <v>1029</v>
      </c>
    </row>
    <row r="101">
      <c r="A101" s="313" t="s">
        <v>738</v>
      </c>
      <c r="B101" s="312" t="s">
        <v>1024</v>
      </c>
      <c r="BP101" s="232"/>
      <c r="BQ101" s="232"/>
      <c r="BR101" s="232"/>
      <c r="BS101" s="232"/>
      <c r="BT101" s="232"/>
      <c r="BU101" s="232"/>
      <c r="BV101" s="232"/>
      <c r="BW101" s="232"/>
      <c r="BX101" s="232"/>
    </row>
    <row r="102">
      <c r="A102" s="316" t="s">
        <v>740</v>
      </c>
      <c r="B102" s="306" t="s">
        <v>287</v>
      </c>
      <c r="BL102" s="291"/>
      <c r="BM102" s="291"/>
      <c r="BN102" s="291"/>
      <c r="BO102" s="291"/>
      <c r="BP102" s="291"/>
      <c r="BQ102" s="291"/>
      <c r="BR102" s="291"/>
      <c r="BS102" s="291"/>
      <c r="BT102" s="291"/>
      <c r="BU102" s="291"/>
      <c r="BV102" s="291"/>
      <c r="BW102" s="291"/>
      <c r="BX102" s="291"/>
    </row>
    <row r="103">
      <c r="A103" s="310" t="s">
        <v>1030</v>
      </c>
      <c r="B103" s="304" t="s">
        <v>1022</v>
      </c>
      <c r="BQ103" s="232"/>
      <c r="BR103" s="232"/>
      <c r="BS103" s="232"/>
      <c r="BT103" s="232"/>
      <c r="BU103" s="232"/>
      <c r="BV103" s="232"/>
      <c r="BW103" s="232"/>
      <c r="BX103" s="232"/>
    </row>
    <row r="104">
      <c r="A104" s="313" t="s">
        <v>745</v>
      </c>
      <c r="B104" s="312" t="s">
        <v>1024</v>
      </c>
      <c r="BP104" s="291"/>
      <c r="BQ104" s="291"/>
      <c r="BR104" s="291"/>
      <c r="BS104" s="291"/>
      <c r="BT104" s="291"/>
      <c r="BU104" s="291"/>
      <c r="BV104" s="291"/>
      <c r="BW104" s="291"/>
      <c r="BX104" s="291"/>
    </row>
    <row r="105">
      <c r="A105" s="310" t="s">
        <v>1031</v>
      </c>
      <c r="B105" s="304" t="s">
        <v>1032</v>
      </c>
      <c r="BQ105" s="232"/>
      <c r="BR105" s="232"/>
      <c r="BS105" s="232"/>
      <c r="BT105" s="232"/>
      <c r="BU105" s="232"/>
      <c r="BV105" s="232"/>
      <c r="BW105" s="232"/>
      <c r="BX105" s="232"/>
    </row>
    <row r="106">
      <c r="A106" s="316" t="s">
        <v>754</v>
      </c>
      <c r="B106" s="306" t="s">
        <v>1033</v>
      </c>
    </row>
    <row r="107">
      <c r="A107" s="316" t="s">
        <v>374</v>
      </c>
      <c r="B107" s="306" t="s">
        <v>1034</v>
      </c>
      <c r="BH107" s="305"/>
      <c r="BI107" s="305"/>
      <c r="BJ107" s="305"/>
      <c r="BK107" s="305"/>
      <c r="BL107" s="305"/>
      <c r="BM107" s="305"/>
      <c r="BN107" s="305"/>
      <c r="BO107" s="305"/>
      <c r="BP107" s="305"/>
      <c r="BQ107" s="305"/>
      <c r="BR107" s="305"/>
      <c r="BS107" s="305"/>
      <c r="BT107" s="305"/>
      <c r="BU107" s="305"/>
      <c r="BV107" s="305"/>
      <c r="BW107" s="305"/>
      <c r="BX107" s="305"/>
    </row>
    <row r="108">
      <c r="A108" s="314" t="s">
        <v>376</v>
      </c>
      <c r="B108" s="315" t="s">
        <v>1035</v>
      </c>
      <c r="BQ108" s="291"/>
      <c r="BR108" s="291"/>
      <c r="BS108" s="291"/>
      <c r="BT108" s="291"/>
      <c r="BU108" s="291"/>
      <c r="BV108" s="291"/>
      <c r="BW108" s="291"/>
      <c r="BX108" s="291"/>
    </row>
    <row r="109">
      <c r="A109" s="316" t="s">
        <v>764</v>
      </c>
      <c r="B109" s="306" t="s">
        <v>1036</v>
      </c>
      <c r="BH109" s="232"/>
      <c r="BI109" s="232"/>
      <c r="BJ109" s="232"/>
      <c r="BK109" s="232"/>
      <c r="BL109" s="232"/>
      <c r="BM109" s="232"/>
      <c r="BN109" s="232"/>
      <c r="BO109" s="232"/>
      <c r="BP109" s="232"/>
      <c r="BQ109" s="232"/>
      <c r="BR109" s="232"/>
      <c r="BS109" s="232"/>
      <c r="BT109" s="232"/>
      <c r="BU109" s="232"/>
      <c r="BV109" s="232"/>
      <c r="BW109" s="232"/>
      <c r="BX109" s="232"/>
    </row>
    <row r="110">
      <c r="A110" s="316" t="s">
        <v>769</v>
      </c>
      <c r="B110" s="306" t="s">
        <v>1037</v>
      </c>
      <c r="BH110" s="291"/>
      <c r="BI110" s="291"/>
      <c r="BJ110" s="291"/>
      <c r="BK110" s="291"/>
      <c r="BL110" s="291"/>
      <c r="BM110" s="291"/>
      <c r="BN110" s="291"/>
      <c r="BO110" s="291"/>
      <c r="BP110" s="291"/>
      <c r="BQ110" s="291"/>
      <c r="BR110" s="291"/>
      <c r="BS110" s="291"/>
      <c r="BT110" s="291"/>
      <c r="BU110" s="291"/>
      <c r="BV110" s="291"/>
      <c r="BW110" s="291"/>
      <c r="BX110" s="291"/>
    </row>
    <row r="111">
      <c r="A111" s="313" t="s">
        <v>386</v>
      </c>
      <c r="B111" s="312" t="s">
        <v>1024</v>
      </c>
      <c r="BP111" s="232"/>
      <c r="BQ111" s="232"/>
      <c r="BR111" s="232"/>
      <c r="BS111" s="232"/>
      <c r="BT111" s="232"/>
      <c r="BU111" s="232"/>
      <c r="BV111" s="232"/>
      <c r="BW111" s="232"/>
      <c r="BX111" s="232"/>
    </row>
    <row r="112">
      <c r="A112" s="316" t="s">
        <v>773</v>
      </c>
      <c r="B112" s="306" t="s">
        <v>1167</v>
      </c>
      <c r="BM112" s="291"/>
      <c r="BN112" s="291"/>
      <c r="BO112" s="291"/>
      <c r="BP112" s="291"/>
      <c r="BQ112" s="291"/>
      <c r="BR112" s="291"/>
      <c r="BS112" s="291"/>
      <c r="BT112" s="291"/>
      <c r="BU112" s="291"/>
      <c r="BV112" s="291"/>
      <c r="BW112" s="291"/>
      <c r="BX112" s="291"/>
    </row>
    <row r="113">
      <c r="A113" s="316" t="s">
        <v>780</v>
      </c>
      <c r="B113" s="306" t="s">
        <v>1039</v>
      </c>
      <c r="BM113" s="232"/>
      <c r="BN113" s="232"/>
      <c r="BO113" s="232"/>
      <c r="BP113" s="232"/>
      <c r="BQ113" s="232"/>
      <c r="BR113" s="232"/>
      <c r="BS113" s="232"/>
      <c r="BT113" s="232"/>
      <c r="BU113" s="232"/>
      <c r="BV113" s="232"/>
      <c r="BW113" s="232"/>
      <c r="BX113" s="232"/>
    </row>
    <row r="114">
      <c r="A114" s="316" t="s">
        <v>1040</v>
      </c>
      <c r="B114" s="306" t="s">
        <v>1041</v>
      </c>
      <c r="BH114" s="305"/>
      <c r="BI114" s="305"/>
      <c r="BJ114" s="305"/>
      <c r="BK114" s="305"/>
      <c r="BL114" s="305"/>
      <c r="BM114" s="291"/>
      <c r="BN114" s="291"/>
      <c r="BO114" s="291"/>
      <c r="BP114" s="291"/>
      <c r="BQ114" s="291"/>
      <c r="BR114" s="291"/>
      <c r="BS114" s="291"/>
      <c r="BT114" s="291"/>
      <c r="BU114" s="291"/>
      <c r="BV114" s="291"/>
      <c r="BW114" s="291"/>
      <c r="BX114" s="291"/>
    </row>
    <row r="115">
      <c r="A115" s="316" t="s">
        <v>1042</v>
      </c>
      <c r="B115" s="306" t="s">
        <v>1043</v>
      </c>
      <c r="BH115" s="305"/>
      <c r="BI115" s="305"/>
      <c r="BJ115" s="305"/>
      <c r="BK115" s="305"/>
      <c r="BL115" s="305"/>
      <c r="BM115" s="232"/>
      <c r="BN115" s="232"/>
      <c r="BO115" s="232"/>
      <c r="BP115" s="232"/>
      <c r="BQ115" s="232"/>
      <c r="BR115" s="232"/>
      <c r="BS115" s="232"/>
      <c r="BT115" s="232"/>
      <c r="BU115" s="232"/>
      <c r="BV115" s="232"/>
      <c r="BW115" s="232"/>
      <c r="BX115" s="232"/>
    </row>
    <row r="116">
      <c r="A116" s="317" t="s">
        <v>395</v>
      </c>
      <c r="B116" s="318" t="s">
        <v>1044</v>
      </c>
    </row>
    <row r="117">
      <c r="A117" s="317" t="s">
        <v>789</v>
      </c>
      <c r="B117" s="318" t="s">
        <v>1045</v>
      </c>
      <c r="BM117" s="319"/>
      <c r="BN117" s="319"/>
      <c r="BO117" s="249"/>
      <c r="BP117" s="249"/>
      <c r="BQ117" s="249"/>
      <c r="BR117" s="249"/>
      <c r="BS117" s="249"/>
      <c r="BT117" s="249"/>
      <c r="BU117" s="249"/>
      <c r="BV117" s="249"/>
      <c r="BW117" s="249"/>
      <c r="BX117" s="249"/>
    </row>
    <row r="118">
      <c r="B118" s="318" t="s">
        <v>1046</v>
      </c>
      <c r="BH118" s="320"/>
      <c r="BI118" s="320"/>
      <c r="BJ118" s="320"/>
      <c r="BK118" s="320"/>
      <c r="BL118" s="320"/>
      <c r="BM118" s="319"/>
      <c r="BN118" s="319"/>
      <c r="BO118" s="256"/>
      <c r="BP118" s="256"/>
      <c r="BQ118" s="256"/>
      <c r="BR118" s="256"/>
      <c r="BS118" s="256"/>
      <c r="BT118" s="256"/>
      <c r="BU118" s="256"/>
      <c r="BV118" s="256"/>
      <c r="BW118" s="256"/>
      <c r="BX118" s="256"/>
    </row>
    <row r="119">
      <c r="B119" s="318" t="s">
        <v>1168</v>
      </c>
      <c r="BH119" s="320"/>
      <c r="BI119" s="320"/>
      <c r="BJ119" s="320"/>
      <c r="BK119" s="320"/>
      <c r="BL119" s="320"/>
      <c r="BM119" s="319"/>
      <c r="BN119" s="319"/>
      <c r="BO119" s="249"/>
      <c r="BP119" s="249"/>
      <c r="BQ119" s="249"/>
      <c r="BR119" s="249"/>
      <c r="BS119" s="249"/>
      <c r="BT119" s="249"/>
      <c r="BU119" s="249"/>
      <c r="BV119" s="249"/>
      <c r="BW119" s="249"/>
      <c r="BX119" s="249"/>
    </row>
    <row r="120">
      <c r="A120" s="317" t="s">
        <v>1048</v>
      </c>
      <c r="B120" s="318" t="s">
        <v>1049</v>
      </c>
      <c r="BM120" s="319"/>
      <c r="BN120" s="319"/>
      <c r="BO120" s="256"/>
      <c r="BP120" s="256"/>
      <c r="BQ120" s="256"/>
      <c r="BR120" s="256"/>
      <c r="BS120" s="256"/>
      <c r="BT120" s="256"/>
      <c r="BU120" s="256"/>
      <c r="BV120" s="256"/>
      <c r="BW120" s="256"/>
      <c r="BX120" s="256"/>
    </row>
    <row r="121">
      <c r="A121" s="317" t="s">
        <v>1050</v>
      </c>
      <c r="B121" s="318" t="s">
        <v>208</v>
      </c>
      <c r="BL121" s="320"/>
      <c r="BM121" s="321"/>
      <c r="BN121" s="321"/>
      <c r="BO121" s="249"/>
      <c r="BP121" s="249"/>
      <c r="BQ121" s="249"/>
      <c r="BR121" s="249"/>
      <c r="BS121" s="249"/>
      <c r="BT121" s="249"/>
      <c r="BU121" s="249"/>
      <c r="BV121" s="249"/>
      <c r="BW121" s="249"/>
      <c r="BX121" s="249"/>
    </row>
    <row r="122">
      <c r="A122" s="317" t="s">
        <v>802</v>
      </c>
      <c r="B122" s="318" t="s">
        <v>1051</v>
      </c>
      <c r="BH122" s="320"/>
      <c r="BI122" s="320"/>
      <c r="BJ122" s="256"/>
      <c r="BK122" s="256"/>
      <c r="BL122" s="256"/>
      <c r="BM122" s="256"/>
      <c r="BN122" s="256"/>
      <c r="BO122" s="256"/>
      <c r="BP122" s="256"/>
      <c r="BQ122" s="256"/>
      <c r="BR122" s="256"/>
      <c r="BS122" s="256"/>
      <c r="BT122" s="256"/>
      <c r="BU122" s="256"/>
      <c r="BV122" s="256"/>
      <c r="BW122" s="256"/>
      <c r="BX122" s="256"/>
    </row>
    <row r="123">
      <c r="A123" s="322" t="s">
        <v>1052</v>
      </c>
      <c r="B123" s="323" t="s">
        <v>1053</v>
      </c>
      <c r="BP123" s="249"/>
      <c r="BQ123" s="249"/>
      <c r="BR123" s="249"/>
      <c r="BS123" s="249"/>
      <c r="BT123" s="249"/>
      <c r="BU123" s="249"/>
      <c r="BV123" s="249"/>
      <c r="BW123" s="249"/>
      <c r="BX123" s="249"/>
    </row>
    <row r="124">
      <c r="A124" s="324" t="s">
        <v>1054</v>
      </c>
      <c r="B124" s="325" t="s">
        <v>1055</v>
      </c>
      <c r="BQ124" s="256"/>
      <c r="BR124" s="256"/>
      <c r="BS124" s="256"/>
      <c r="BT124" s="256"/>
      <c r="BU124" s="256"/>
      <c r="BV124" s="256"/>
      <c r="BW124" s="256"/>
      <c r="BX124" s="256"/>
    </row>
    <row r="125">
      <c r="A125" s="322" t="s">
        <v>1056</v>
      </c>
      <c r="B125" s="323" t="s">
        <v>1057</v>
      </c>
      <c r="BP125" s="249"/>
      <c r="BQ125" s="249"/>
      <c r="BR125" s="249"/>
      <c r="BS125" s="249"/>
      <c r="BT125" s="249"/>
      <c r="BU125" s="249"/>
      <c r="BV125" s="249"/>
      <c r="BW125" s="249"/>
      <c r="BX125" s="249"/>
    </row>
    <row r="126">
      <c r="A126" s="322" t="s">
        <v>806</v>
      </c>
      <c r="B126" s="323" t="s">
        <v>1058</v>
      </c>
      <c r="BP126" s="256"/>
      <c r="BQ126" s="256"/>
      <c r="BR126" s="256"/>
      <c r="BS126" s="256"/>
      <c r="BT126" s="256"/>
      <c r="BU126" s="256"/>
      <c r="BV126" s="256"/>
      <c r="BW126" s="256"/>
      <c r="BX126" s="256"/>
    </row>
    <row r="127">
      <c r="B127" s="323" t="s">
        <v>1059</v>
      </c>
      <c r="BP127" s="249"/>
      <c r="BQ127" s="249"/>
      <c r="BR127" s="249"/>
      <c r="BS127" s="249"/>
      <c r="BT127" s="249"/>
      <c r="BU127" s="249"/>
      <c r="BV127" s="249"/>
      <c r="BW127" s="249"/>
      <c r="BX127" s="249"/>
    </row>
    <row r="128">
      <c r="B128" s="323" t="s">
        <v>1169</v>
      </c>
      <c r="BP128" s="256"/>
      <c r="BQ128" s="256"/>
      <c r="BR128" s="256"/>
      <c r="BS128" s="256"/>
      <c r="BT128" s="256"/>
      <c r="BU128" s="256"/>
      <c r="BV128" s="256"/>
      <c r="BW128" s="256"/>
      <c r="BX128" s="256"/>
    </row>
    <row r="129">
      <c r="A129" s="322" t="s">
        <v>1061</v>
      </c>
      <c r="B129" s="323" t="s">
        <v>828</v>
      </c>
      <c r="BP129" s="249"/>
      <c r="BQ129" s="249"/>
      <c r="BR129" s="249"/>
      <c r="BS129" s="249"/>
      <c r="BT129" s="249"/>
      <c r="BU129" s="249"/>
      <c r="BV129" s="249"/>
      <c r="BW129" s="249"/>
      <c r="BX129" s="249"/>
    </row>
    <row r="130">
      <c r="A130" s="322" t="s">
        <v>1062</v>
      </c>
      <c r="B130" s="323" t="s">
        <v>1063</v>
      </c>
      <c r="BP130" s="256"/>
      <c r="BQ130" s="256"/>
      <c r="BR130" s="256"/>
      <c r="BS130" s="256"/>
      <c r="BT130" s="256"/>
      <c r="BU130" s="256"/>
      <c r="BV130" s="256"/>
      <c r="BW130" s="256"/>
      <c r="BX130" s="256"/>
    </row>
    <row r="131">
      <c r="A131" s="322" t="s">
        <v>1064</v>
      </c>
      <c r="B131" s="323" t="s">
        <v>1058</v>
      </c>
      <c r="BP131" s="321"/>
      <c r="BQ131" s="249"/>
      <c r="BR131" s="249"/>
      <c r="BS131" s="249"/>
      <c r="BT131" s="249"/>
      <c r="BU131" s="249"/>
      <c r="BV131" s="249"/>
      <c r="BW131" s="249"/>
      <c r="BX131" s="249"/>
    </row>
    <row r="132">
      <c r="B132" s="323" t="s">
        <v>1065</v>
      </c>
      <c r="BP132" s="321"/>
      <c r="BQ132" s="256"/>
      <c r="BR132" s="256"/>
      <c r="BS132" s="256"/>
      <c r="BT132" s="256"/>
      <c r="BU132" s="256"/>
      <c r="BV132" s="256"/>
      <c r="BW132" s="256"/>
      <c r="BX132" s="256"/>
    </row>
    <row r="133">
      <c r="B133" s="323" t="s">
        <v>1170</v>
      </c>
      <c r="BP133" s="321"/>
      <c r="BQ133" s="249"/>
      <c r="BR133" s="249"/>
      <c r="BS133" s="249"/>
      <c r="BT133" s="249"/>
      <c r="BU133" s="249"/>
      <c r="BV133" s="249"/>
      <c r="BW133" s="249"/>
      <c r="BX133" s="249"/>
    </row>
    <row r="134">
      <c r="A134" s="322" t="s">
        <v>814</v>
      </c>
      <c r="B134" s="323" t="s">
        <v>1067</v>
      </c>
      <c r="BP134" s="321"/>
      <c r="BQ134" s="256"/>
      <c r="BR134" s="256"/>
      <c r="BS134" s="256"/>
      <c r="BT134" s="256"/>
      <c r="BU134" s="256"/>
      <c r="BV134" s="256"/>
      <c r="BW134" s="256"/>
      <c r="BX134" s="256"/>
    </row>
    <row r="135">
      <c r="A135" s="322" t="s">
        <v>1068</v>
      </c>
      <c r="B135" s="323" t="s">
        <v>1069</v>
      </c>
      <c r="BP135" s="319"/>
      <c r="BQ135" s="249"/>
      <c r="BR135" s="249"/>
      <c r="BS135" s="249"/>
      <c r="BT135" s="249"/>
      <c r="BU135" s="249"/>
      <c r="BV135" s="249"/>
      <c r="BW135" s="249"/>
      <c r="BX135" s="249"/>
    </row>
    <row r="136">
      <c r="A136" s="322" t="s">
        <v>1070</v>
      </c>
      <c r="B136" s="323" t="s">
        <v>1071</v>
      </c>
      <c r="BP136" s="319"/>
      <c r="BQ136" s="256"/>
      <c r="BR136" s="256"/>
      <c r="BS136" s="256"/>
      <c r="BT136" s="256"/>
      <c r="BU136" s="256"/>
      <c r="BV136" s="256"/>
      <c r="BW136" s="256"/>
      <c r="BX136" s="256"/>
    </row>
    <row r="137">
      <c r="A137" s="322" t="s">
        <v>407</v>
      </c>
      <c r="B137" s="323" t="s">
        <v>1072</v>
      </c>
      <c r="BP137" s="249"/>
      <c r="BQ137" s="249"/>
      <c r="BR137" s="249"/>
      <c r="BS137" s="249"/>
      <c r="BT137" s="249"/>
      <c r="BU137" s="249"/>
      <c r="BV137" s="249"/>
      <c r="BW137" s="249"/>
      <c r="BX137" s="249"/>
    </row>
    <row r="138">
      <c r="A138" s="322" t="s">
        <v>411</v>
      </c>
      <c r="B138" s="323" t="s">
        <v>1073</v>
      </c>
      <c r="BP138" s="256"/>
      <c r="BQ138" s="256"/>
      <c r="BR138" s="256"/>
      <c r="BS138" s="256"/>
      <c r="BT138" s="256"/>
      <c r="BU138" s="256"/>
      <c r="BV138" s="256"/>
      <c r="BW138" s="256"/>
      <c r="BX138" s="256"/>
    </row>
    <row r="139">
      <c r="B139" s="323" t="s">
        <v>1074</v>
      </c>
      <c r="BP139" s="249"/>
      <c r="BQ139" s="249"/>
      <c r="BR139" s="249"/>
      <c r="BS139" s="249"/>
      <c r="BT139" s="249"/>
      <c r="BU139" s="249"/>
      <c r="BV139" s="249"/>
      <c r="BW139" s="249"/>
      <c r="BX139" s="249"/>
    </row>
    <row r="140">
      <c r="B140" s="323" t="s">
        <v>1171</v>
      </c>
      <c r="BP140" s="256"/>
      <c r="BQ140" s="256"/>
      <c r="BR140" s="256"/>
      <c r="BS140" s="256"/>
      <c r="BT140" s="256"/>
      <c r="BU140" s="256"/>
      <c r="BV140" s="256"/>
      <c r="BW140" s="256"/>
      <c r="BX140" s="256"/>
    </row>
    <row r="141">
      <c r="A141" s="322" t="s">
        <v>413</v>
      </c>
      <c r="B141" s="323" t="s">
        <v>1076</v>
      </c>
      <c r="BP141" s="249"/>
      <c r="BQ141" s="249"/>
      <c r="BR141" s="249"/>
      <c r="BS141" s="249"/>
      <c r="BT141" s="249"/>
      <c r="BU141" s="249"/>
      <c r="BV141" s="249"/>
      <c r="BW141" s="249"/>
      <c r="BX141" s="249"/>
    </row>
    <row r="142">
      <c r="A142" s="317" t="s">
        <v>413</v>
      </c>
      <c r="B142" s="318" t="s">
        <v>1077</v>
      </c>
      <c r="BH142" s="320"/>
      <c r="BI142" s="320"/>
      <c r="BJ142" s="256"/>
      <c r="BK142" s="256"/>
      <c r="BL142" s="256"/>
      <c r="BM142" s="256"/>
      <c r="BN142" s="256"/>
      <c r="BO142" s="256"/>
      <c r="BP142" s="256"/>
      <c r="BQ142" s="256"/>
      <c r="BR142" s="256"/>
      <c r="BS142" s="256"/>
      <c r="BT142" s="256"/>
      <c r="BU142" s="256"/>
      <c r="BV142" s="256"/>
      <c r="BW142" s="256"/>
      <c r="BX142" s="256"/>
    </row>
    <row r="143">
      <c r="A143" s="322" t="s">
        <v>1078</v>
      </c>
      <c r="B143" s="323" t="s">
        <v>1079</v>
      </c>
      <c r="BP143" s="249"/>
      <c r="BQ143" s="249"/>
      <c r="BR143" s="249"/>
      <c r="BS143" s="249"/>
      <c r="BT143" s="249"/>
      <c r="BU143" s="249"/>
      <c r="BV143" s="249"/>
      <c r="BW143" s="249"/>
      <c r="BX143" s="249"/>
    </row>
    <row r="144">
      <c r="B144" s="323" t="s">
        <v>1080</v>
      </c>
      <c r="BP144" s="256"/>
      <c r="BQ144" s="256"/>
      <c r="BR144" s="256"/>
      <c r="BS144" s="256"/>
      <c r="BT144" s="256"/>
      <c r="BU144" s="256"/>
      <c r="BV144" s="256"/>
      <c r="BW144" s="256"/>
      <c r="BX144" s="256"/>
    </row>
    <row r="145">
      <c r="B145" s="323" t="s">
        <v>1172</v>
      </c>
      <c r="BP145" s="249"/>
      <c r="BQ145" s="249"/>
      <c r="BR145" s="249"/>
      <c r="BS145" s="249"/>
      <c r="BT145" s="249"/>
      <c r="BU145" s="249"/>
      <c r="BV145" s="249"/>
      <c r="BW145" s="249"/>
      <c r="BX145" s="249"/>
    </row>
    <row r="146">
      <c r="A146" s="322" t="s">
        <v>1078</v>
      </c>
      <c r="B146" s="323" t="s">
        <v>1082</v>
      </c>
      <c r="BP146" s="256"/>
      <c r="BQ146" s="256"/>
      <c r="BR146" s="256"/>
      <c r="BS146" s="256"/>
      <c r="BT146" s="256"/>
      <c r="BU146" s="256"/>
      <c r="BV146" s="256"/>
      <c r="BW146" s="256"/>
      <c r="BX146" s="256"/>
    </row>
    <row r="147">
      <c r="A147" s="313" t="s">
        <v>1083</v>
      </c>
      <c r="B147" s="312" t="s">
        <v>1084</v>
      </c>
      <c r="BP147" s="309"/>
      <c r="BQ147" s="161"/>
      <c r="BR147" s="161"/>
      <c r="BS147" s="161"/>
      <c r="BT147" s="161"/>
      <c r="BU147" s="161"/>
      <c r="BV147" s="161"/>
      <c r="BW147" s="161"/>
      <c r="BX147" s="161"/>
    </row>
    <row r="148">
      <c r="A148" s="314" t="s">
        <v>820</v>
      </c>
      <c r="B148" s="315" t="s">
        <v>1085</v>
      </c>
      <c r="BQ148" s="161"/>
      <c r="BR148" s="161"/>
      <c r="BS148" s="161"/>
      <c r="BT148" s="161"/>
      <c r="BU148" s="161"/>
      <c r="BV148" s="161"/>
      <c r="BW148" s="161"/>
      <c r="BX148" s="161"/>
    </row>
    <row r="149">
      <c r="A149" s="313" t="s">
        <v>820</v>
      </c>
      <c r="B149" s="312" t="s">
        <v>1086</v>
      </c>
      <c r="BP149" s="309"/>
      <c r="BQ149" s="161"/>
      <c r="BR149" s="161"/>
      <c r="BS149" s="161"/>
      <c r="BT149" s="161"/>
      <c r="BU149" s="161"/>
      <c r="BV149" s="161"/>
      <c r="BW149" s="161"/>
      <c r="BX149" s="161"/>
    </row>
    <row r="150">
      <c r="B150" s="312" t="s">
        <v>1087</v>
      </c>
      <c r="BP150" s="309"/>
      <c r="BQ150" s="161"/>
      <c r="BR150" s="161"/>
      <c r="BS150" s="161"/>
      <c r="BT150" s="161"/>
      <c r="BU150" s="161"/>
      <c r="BV150" s="161"/>
      <c r="BW150" s="161"/>
      <c r="BX150" s="161"/>
    </row>
    <row r="151">
      <c r="B151" s="312" t="s">
        <v>1173</v>
      </c>
      <c r="BP151" s="309"/>
      <c r="BQ151" s="161"/>
      <c r="BR151" s="161"/>
      <c r="BS151" s="161"/>
      <c r="BT151" s="161"/>
      <c r="BU151" s="161"/>
      <c r="BV151" s="161"/>
      <c r="BW151" s="161"/>
      <c r="BX151" s="161"/>
    </row>
    <row r="152">
      <c r="A152" s="313" t="s">
        <v>1089</v>
      </c>
      <c r="B152" s="312" t="s">
        <v>1090</v>
      </c>
      <c r="BP152" s="309"/>
      <c r="BQ152" s="161"/>
      <c r="BR152" s="161"/>
      <c r="BS152" s="161"/>
      <c r="BT152" s="161"/>
      <c r="BU152" s="161"/>
      <c r="BV152" s="161"/>
      <c r="BW152" s="161"/>
      <c r="BX152" s="161"/>
    </row>
    <row r="153">
      <c r="A153" s="313" t="s">
        <v>1091</v>
      </c>
      <c r="B153" s="312" t="s">
        <v>1092</v>
      </c>
      <c r="BP153" s="309"/>
      <c r="BQ153" s="161"/>
      <c r="BR153" s="161"/>
      <c r="BS153" s="161"/>
      <c r="BT153" s="161"/>
      <c r="BU153" s="161"/>
      <c r="BV153" s="161"/>
      <c r="BW153" s="161"/>
      <c r="BX153" s="161"/>
    </row>
    <row r="154">
      <c r="B154" s="312" t="s">
        <v>1093</v>
      </c>
      <c r="BP154" s="309"/>
      <c r="BQ154" s="161"/>
      <c r="BR154" s="161"/>
      <c r="BS154" s="161"/>
      <c r="BT154" s="161"/>
      <c r="BU154" s="161"/>
      <c r="BV154" s="161"/>
      <c r="BW154" s="161"/>
      <c r="BX154" s="161"/>
    </row>
    <row r="155">
      <c r="B155" s="312" t="s">
        <v>1174</v>
      </c>
      <c r="BP155" s="309"/>
      <c r="BQ155" s="161"/>
      <c r="BR155" s="161"/>
      <c r="BS155" s="161"/>
      <c r="BT155" s="161"/>
      <c r="BU155" s="161"/>
      <c r="BV155" s="161"/>
      <c r="BW155" s="161"/>
      <c r="BX155" s="161"/>
    </row>
    <row r="156">
      <c r="A156" s="313" t="s">
        <v>418</v>
      </c>
      <c r="B156" s="312" t="s">
        <v>1095</v>
      </c>
      <c r="BP156" s="309"/>
      <c r="BQ156" s="161"/>
      <c r="BR156" s="161"/>
      <c r="BS156" s="161"/>
      <c r="BT156" s="161"/>
      <c r="BU156" s="161"/>
      <c r="BV156" s="161"/>
      <c r="BW156" s="161"/>
      <c r="BX156" s="161"/>
    </row>
    <row r="157">
      <c r="B157" s="312" t="s">
        <v>1175</v>
      </c>
      <c r="BP157" s="309"/>
      <c r="BQ157" s="161"/>
      <c r="BR157" s="161"/>
      <c r="BS157" s="161"/>
      <c r="BT157" s="161"/>
      <c r="BU157" s="161"/>
      <c r="BV157" s="161"/>
      <c r="BW157" s="161"/>
      <c r="BX157" s="161"/>
    </row>
    <row r="158">
      <c r="A158" s="313" t="s">
        <v>1097</v>
      </c>
      <c r="B158" s="312" t="s">
        <v>1098</v>
      </c>
      <c r="BP158" s="309"/>
      <c r="BQ158" s="161"/>
      <c r="BR158" s="161"/>
      <c r="BS158" s="161"/>
      <c r="BT158" s="161"/>
      <c r="BU158" s="161"/>
      <c r="BV158" s="161"/>
      <c r="BW158" s="161"/>
      <c r="BX158" s="161"/>
    </row>
    <row r="159">
      <c r="A159" s="313" t="s">
        <v>1099</v>
      </c>
      <c r="B159" s="312" t="s">
        <v>1100</v>
      </c>
      <c r="BP159" s="309"/>
      <c r="BQ159" s="161"/>
      <c r="BR159" s="161"/>
      <c r="BS159" s="161"/>
      <c r="BT159" s="161"/>
      <c r="BU159" s="161"/>
      <c r="BV159" s="161"/>
      <c r="BW159" s="161"/>
      <c r="BX159" s="161"/>
    </row>
    <row r="160">
      <c r="B160" s="312" t="s">
        <v>1176</v>
      </c>
      <c r="BP160" s="309"/>
      <c r="BQ160" s="161"/>
      <c r="BR160" s="161"/>
      <c r="BS160" s="161"/>
      <c r="BT160" s="161"/>
      <c r="BU160" s="161"/>
      <c r="BV160" s="161"/>
      <c r="BW160" s="161"/>
      <c r="BX160" s="161"/>
    </row>
    <row r="161">
      <c r="A161" s="313" t="s">
        <v>827</v>
      </c>
      <c r="B161" s="312" t="s">
        <v>1102</v>
      </c>
      <c r="BP161" s="309"/>
      <c r="BQ161" s="161"/>
      <c r="BR161" s="161"/>
      <c r="BS161" s="161"/>
      <c r="BT161" s="161"/>
      <c r="BU161" s="161"/>
      <c r="BV161" s="161"/>
      <c r="BW161" s="161"/>
      <c r="BX161" s="161"/>
    </row>
    <row r="162">
      <c r="B162" s="312" t="s">
        <v>1177</v>
      </c>
      <c r="BP162" s="309"/>
      <c r="BQ162" s="161"/>
      <c r="BR162" s="161"/>
      <c r="BS162" s="161"/>
      <c r="BT162" s="161"/>
      <c r="BU162" s="161"/>
      <c r="BV162" s="161"/>
      <c r="BW162" s="161"/>
      <c r="BX162" s="161"/>
    </row>
    <row r="163">
      <c r="A163" s="314" t="s">
        <v>1104</v>
      </c>
      <c r="B163" s="315" t="s">
        <v>1105</v>
      </c>
      <c r="BQ163" s="161"/>
      <c r="BR163" s="161"/>
      <c r="BS163" s="161"/>
      <c r="BT163" s="161"/>
      <c r="BU163" s="161"/>
      <c r="BV163" s="161"/>
      <c r="BW163" s="161"/>
      <c r="BX163" s="161"/>
    </row>
    <row r="164">
      <c r="A164" s="313" t="s">
        <v>423</v>
      </c>
      <c r="B164" s="312" t="s">
        <v>650</v>
      </c>
      <c r="BP164" s="309"/>
      <c r="BQ164" s="161"/>
      <c r="BR164" s="161"/>
      <c r="BS164" s="161"/>
      <c r="BT164" s="161"/>
      <c r="BU164" s="161"/>
      <c r="BV164" s="161"/>
      <c r="BW164" s="161"/>
      <c r="BX164" s="161"/>
    </row>
    <row r="165">
      <c r="A165" s="313" t="s">
        <v>829</v>
      </c>
      <c r="B165" s="312" t="s">
        <v>1106</v>
      </c>
      <c r="BP165" s="326"/>
      <c r="BQ165" s="161"/>
      <c r="BR165" s="161"/>
      <c r="BS165" s="161"/>
      <c r="BT165" s="161"/>
      <c r="BU165" s="161"/>
      <c r="BV165" s="161"/>
      <c r="BW165" s="161"/>
      <c r="BX165" s="161"/>
    </row>
    <row r="166">
      <c r="A166" s="313" t="s">
        <v>1107</v>
      </c>
      <c r="B166" s="312" t="s">
        <v>1108</v>
      </c>
      <c r="BP166" s="326"/>
      <c r="BQ166" s="161"/>
      <c r="BR166" s="161"/>
      <c r="BS166" s="161"/>
      <c r="BT166" s="161"/>
      <c r="BU166" s="161"/>
      <c r="BV166" s="161"/>
      <c r="BW166" s="161"/>
      <c r="BX166" s="161"/>
    </row>
    <row r="167">
      <c r="A167" s="313" t="s">
        <v>1109</v>
      </c>
      <c r="B167" s="312" t="s">
        <v>1110</v>
      </c>
      <c r="BP167" s="326"/>
      <c r="BQ167" s="161"/>
      <c r="BR167" s="161"/>
      <c r="BS167" s="161"/>
      <c r="BT167" s="161"/>
      <c r="BU167" s="161"/>
      <c r="BV167" s="161"/>
      <c r="BW167" s="161"/>
      <c r="BX167" s="161"/>
    </row>
    <row r="168">
      <c r="A168" s="313" t="s">
        <v>832</v>
      </c>
      <c r="B168" s="312" t="s">
        <v>1111</v>
      </c>
      <c r="BP168" s="326"/>
      <c r="BQ168" s="161"/>
      <c r="BR168" s="161"/>
      <c r="BS168" s="161"/>
      <c r="BT168" s="161"/>
      <c r="BU168" s="161"/>
      <c r="BV168" s="161"/>
      <c r="BW168" s="161"/>
      <c r="BX168" s="161"/>
    </row>
    <row r="169">
      <c r="B169" s="312" t="s">
        <v>1112</v>
      </c>
      <c r="BP169" s="326"/>
      <c r="BQ169" s="161"/>
      <c r="BR169" s="161"/>
      <c r="BS169" s="161"/>
      <c r="BT169" s="161"/>
      <c r="BU169" s="161"/>
      <c r="BV169" s="161"/>
      <c r="BW169" s="161"/>
      <c r="BX169" s="161"/>
    </row>
    <row r="170">
      <c r="B170" s="312" t="s">
        <v>1178</v>
      </c>
      <c r="BP170" s="326"/>
      <c r="BQ170" s="161"/>
      <c r="BR170" s="161"/>
      <c r="BS170" s="161"/>
      <c r="BT170" s="161"/>
      <c r="BU170" s="161"/>
      <c r="BV170" s="161"/>
      <c r="BW170" s="161"/>
      <c r="BX170" s="161"/>
    </row>
    <row r="171">
      <c r="A171" s="310" t="s">
        <v>1114</v>
      </c>
      <c r="B171" s="304" t="s">
        <v>1115</v>
      </c>
      <c r="BQ171" s="161"/>
      <c r="BR171" s="161"/>
      <c r="BS171" s="161"/>
      <c r="BT171" s="161"/>
      <c r="BU171" s="161"/>
      <c r="BV171" s="161"/>
      <c r="BW171" s="161"/>
      <c r="BX171" s="161"/>
    </row>
    <row r="172">
      <c r="A172" s="313" t="s">
        <v>429</v>
      </c>
      <c r="B172" s="312" t="s">
        <v>1116</v>
      </c>
      <c r="BP172" s="309"/>
      <c r="BQ172" s="161"/>
      <c r="BR172" s="161"/>
      <c r="BS172" s="161"/>
      <c r="BT172" s="161"/>
      <c r="BU172" s="161"/>
      <c r="BV172" s="161"/>
      <c r="BW172" s="161"/>
      <c r="BX172" s="161"/>
    </row>
    <row r="173">
      <c r="A173" s="313" t="s">
        <v>431</v>
      </c>
      <c r="B173" s="312" t="s">
        <v>1117</v>
      </c>
      <c r="BP173" s="309"/>
      <c r="BQ173" s="161"/>
      <c r="BR173" s="161"/>
      <c r="BS173" s="161"/>
      <c r="BT173" s="161"/>
      <c r="BU173" s="161"/>
      <c r="BV173" s="161"/>
      <c r="BW173" s="161"/>
      <c r="BX173" s="161"/>
    </row>
    <row r="174">
      <c r="B174" s="312" t="s">
        <v>1118</v>
      </c>
      <c r="BP174" s="309"/>
      <c r="BQ174" s="161"/>
      <c r="BR174" s="161"/>
      <c r="BS174" s="161"/>
      <c r="BT174" s="161"/>
      <c r="BU174" s="161"/>
      <c r="BV174" s="161"/>
      <c r="BW174" s="161"/>
      <c r="BX174" s="161"/>
    </row>
    <row r="175">
      <c r="A175" s="313" t="s">
        <v>835</v>
      </c>
      <c r="B175" s="312" t="s">
        <v>1119</v>
      </c>
      <c r="BP175" s="309"/>
      <c r="BQ175" s="161"/>
      <c r="BR175" s="161"/>
      <c r="BS175" s="161"/>
      <c r="BT175" s="161"/>
      <c r="BU175" s="161"/>
      <c r="BV175" s="161"/>
      <c r="BW175" s="161"/>
      <c r="BX175" s="161"/>
    </row>
    <row r="176">
      <c r="B176" s="312" t="s">
        <v>1120</v>
      </c>
      <c r="BP176" s="309"/>
      <c r="BQ176" s="161"/>
      <c r="BR176" s="161"/>
      <c r="BS176" s="161"/>
      <c r="BT176" s="161"/>
      <c r="BU176" s="161"/>
      <c r="BV176" s="161"/>
      <c r="BW176" s="161"/>
      <c r="BX176" s="161"/>
    </row>
    <row r="177">
      <c r="B177" s="312" t="s">
        <v>1179</v>
      </c>
      <c r="BP177" s="309"/>
      <c r="BQ177" s="161"/>
      <c r="BR177" s="161"/>
      <c r="BS177" s="161"/>
      <c r="BT177" s="161"/>
      <c r="BU177" s="161"/>
      <c r="BV177" s="161"/>
      <c r="BW177" s="161"/>
      <c r="BX177" s="161"/>
    </row>
    <row r="178">
      <c r="A178" s="313" t="s">
        <v>837</v>
      </c>
      <c r="B178" s="312" t="s">
        <v>1122</v>
      </c>
      <c r="BP178" s="309"/>
      <c r="BQ178" s="161"/>
      <c r="BR178" s="161"/>
      <c r="BS178" s="161"/>
      <c r="BT178" s="161"/>
      <c r="BU178" s="161"/>
      <c r="BV178" s="161"/>
      <c r="BW178" s="161"/>
      <c r="BX178" s="161"/>
    </row>
    <row r="179">
      <c r="A179" s="313" t="s">
        <v>1123</v>
      </c>
      <c r="B179" s="312" t="s">
        <v>1124</v>
      </c>
      <c r="BP179" s="309"/>
      <c r="BQ179" s="161"/>
      <c r="BR179" s="161"/>
      <c r="BS179" s="161"/>
      <c r="BT179" s="161"/>
      <c r="BU179" s="161"/>
      <c r="BV179" s="161"/>
      <c r="BW179" s="161"/>
      <c r="BX179" s="161"/>
    </row>
    <row r="180">
      <c r="A180" s="310" t="s">
        <v>1125</v>
      </c>
      <c r="B180" s="304" t="s">
        <v>1126</v>
      </c>
      <c r="BQ180" s="161"/>
      <c r="BR180" s="161"/>
      <c r="BS180" s="161"/>
      <c r="BT180" s="161"/>
      <c r="BU180" s="161"/>
      <c r="BV180" s="161"/>
      <c r="BW180" s="161"/>
      <c r="BX180" s="161"/>
    </row>
    <row r="181">
      <c r="A181" s="313" t="s">
        <v>1127</v>
      </c>
      <c r="B181" s="312" t="s">
        <v>1128</v>
      </c>
      <c r="BP181" s="309"/>
      <c r="BQ181" s="161"/>
      <c r="BR181" s="161"/>
      <c r="BS181" s="161"/>
      <c r="BT181" s="161"/>
      <c r="BU181" s="161"/>
      <c r="BV181" s="161"/>
      <c r="BW181" s="161"/>
      <c r="BX181" s="161"/>
    </row>
    <row r="182">
      <c r="A182" s="310" t="s">
        <v>1129</v>
      </c>
      <c r="B182" s="304" t="s">
        <v>1130</v>
      </c>
      <c r="BQ182" s="161"/>
      <c r="BR182" s="161"/>
      <c r="BS182" s="161"/>
      <c r="BT182" s="161"/>
      <c r="BU182" s="161"/>
      <c r="BV182" s="161"/>
      <c r="BW182" s="161"/>
      <c r="BX182" s="161"/>
    </row>
    <row r="183">
      <c r="A183" s="313" t="s">
        <v>1131</v>
      </c>
      <c r="B183" s="312" t="s">
        <v>1132</v>
      </c>
      <c r="BP183" s="309"/>
      <c r="BQ183" s="161"/>
      <c r="BR183" s="161"/>
      <c r="BS183" s="161"/>
      <c r="BT183" s="161"/>
      <c r="BU183" s="161"/>
      <c r="BV183" s="161"/>
      <c r="BW183" s="161"/>
      <c r="BX183" s="161"/>
    </row>
    <row r="184">
      <c r="A184" s="313" t="s">
        <v>1133</v>
      </c>
      <c r="B184" s="312" t="s">
        <v>1134</v>
      </c>
      <c r="BP184" s="309"/>
      <c r="BQ184" s="161"/>
      <c r="BR184" s="161"/>
      <c r="BS184" s="161"/>
      <c r="BT184" s="161"/>
      <c r="BU184" s="161"/>
      <c r="BV184" s="161"/>
      <c r="BW184" s="161"/>
      <c r="BX184" s="161"/>
    </row>
    <row r="185">
      <c r="B185" s="312" t="s">
        <v>1135</v>
      </c>
      <c r="BP185" s="309"/>
      <c r="BQ185" s="161"/>
      <c r="BR185" s="161"/>
      <c r="BS185" s="161"/>
      <c r="BT185" s="161"/>
      <c r="BU185" s="161"/>
      <c r="BV185" s="161"/>
      <c r="BW185" s="161"/>
      <c r="BX185" s="161"/>
    </row>
    <row r="186">
      <c r="B186" s="312" t="s">
        <v>1180</v>
      </c>
      <c r="BP186" s="309"/>
      <c r="BQ186" s="161"/>
      <c r="BR186" s="161"/>
      <c r="BS186" s="161"/>
      <c r="BT186" s="161"/>
      <c r="BU186" s="161"/>
      <c r="BV186" s="161"/>
      <c r="BW186" s="161"/>
      <c r="BX186" s="161"/>
    </row>
    <row r="187">
      <c r="A187" s="313" t="s">
        <v>444</v>
      </c>
      <c r="B187" s="312" t="s">
        <v>1137</v>
      </c>
      <c r="BP187" s="309"/>
      <c r="BQ187" s="161"/>
      <c r="BR187" s="161"/>
      <c r="BS187" s="161"/>
      <c r="BT187" s="161"/>
      <c r="BU187" s="161"/>
      <c r="BV187" s="161"/>
      <c r="BW187" s="161"/>
      <c r="BX187" s="161"/>
    </row>
    <row r="188">
      <c r="A188" s="313" t="s">
        <v>446</v>
      </c>
      <c r="B188" s="312" t="s">
        <v>1138</v>
      </c>
      <c r="BP188" s="309"/>
      <c r="BQ188" s="161"/>
      <c r="BR188" s="161"/>
      <c r="BS188" s="161"/>
      <c r="BT188" s="161"/>
      <c r="BU188" s="161"/>
      <c r="BV188" s="161"/>
      <c r="BW188" s="161"/>
      <c r="BX188" s="161"/>
    </row>
    <row r="189">
      <c r="B189" s="312" t="s">
        <v>1181</v>
      </c>
      <c r="BP189" s="309"/>
      <c r="BQ189" s="161"/>
      <c r="BR189" s="161"/>
      <c r="BS189" s="161"/>
      <c r="BT189" s="161"/>
      <c r="BU189" s="161"/>
      <c r="BV189" s="161"/>
      <c r="BW189" s="161"/>
      <c r="BX189" s="161"/>
    </row>
    <row r="190">
      <c r="A190" s="310" t="s">
        <v>1140</v>
      </c>
      <c r="B190" s="304" t="s">
        <v>1055</v>
      </c>
      <c r="BQ190" s="161"/>
      <c r="BR190" s="161"/>
      <c r="BS190" s="161"/>
      <c r="BT190" s="161"/>
      <c r="BU190" s="161"/>
      <c r="BV190" s="161"/>
      <c r="BW190" s="161"/>
      <c r="BX190" s="161"/>
    </row>
    <row r="191">
      <c r="A191" s="161"/>
      <c r="B191" s="161"/>
      <c r="C191" s="161"/>
      <c r="D191" s="161"/>
      <c r="E191" s="161"/>
      <c r="F191" s="161"/>
      <c r="G191" s="161"/>
      <c r="H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A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</row>
    <row r="192">
      <c r="A192" s="161"/>
      <c r="B192" s="161"/>
      <c r="C192" s="161"/>
      <c r="D192" s="161"/>
      <c r="E192" s="161"/>
      <c r="F192" s="161"/>
      <c r="G192" s="161"/>
      <c r="H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</row>
    <row r="193">
      <c r="A193" s="161"/>
      <c r="B193" s="161"/>
      <c r="C193" s="161"/>
      <c r="D193" s="161"/>
      <c r="E193" s="161"/>
      <c r="F193" s="161"/>
      <c r="G193" s="161"/>
      <c r="H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</row>
    <row r="194">
      <c r="A194" s="161"/>
      <c r="B194" s="161"/>
      <c r="C194" s="161"/>
      <c r="D194" s="161"/>
      <c r="E194" s="161"/>
      <c r="F194" s="161"/>
      <c r="G194" s="161"/>
      <c r="H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</row>
    <row r="195">
      <c r="A195" s="161"/>
      <c r="B195" s="161"/>
      <c r="C195" s="161"/>
      <c r="D195" s="161"/>
      <c r="E195" s="161"/>
      <c r="F195" s="161"/>
      <c r="G195" s="161"/>
      <c r="H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A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</row>
    <row r="196">
      <c r="A196" s="161"/>
      <c r="B196" s="161"/>
      <c r="C196" s="161"/>
      <c r="D196" s="161"/>
      <c r="E196" s="161"/>
      <c r="F196" s="161"/>
      <c r="G196" s="161"/>
      <c r="H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</row>
    <row r="197">
      <c r="A197" s="161"/>
      <c r="B197" s="161"/>
      <c r="C197" s="161"/>
      <c r="D197" s="161"/>
      <c r="E197" s="161"/>
      <c r="F197" s="161"/>
      <c r="G197" s="161"/>
      <c r="H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</row>
    <row r="198">
      <c r="A198" s="161"/>
      <c r="B198" s="161"/>
      <c r="C198" s="161"/>
      <c r="D198" s="161"/>
      <c r="E198" s="161"/>
      <c r="F198" s="161"/>
      <c r="G198" s="161"/>
      <c r="H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A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</row>
    <row r="199">
      <c r="A199" s="161"/>
      <c r="B199" s="161"/>
      <c r="C199" s="161"/>
      <c r="D199" s="161"/>
      <c r="E199" s="161"/>
      <c r="F199" s="161"/>
      <c r="G199" s="161"/>
      <c r="H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A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</row>
    <row r="200">
      <c r="A200" s="161"/>
      <c r="B200" s="161"/>
      <c r="C200" s="161"/>
      <c r="D200" s="161"/>
      <c r="E200" s="161"/>
      <c r="F200" s="161"/>
      <c r="G200" s="161"/>
      <c r="H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A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</row>
    <row r="201">
      <c r="A201" s="161"/>
      <c r="B201" s="161"/>
      <c r="C201" s="161"/>
      <c r="D201" s="161"/>
      <c r="E201" s="161"/>
      <c r="F201" s="161"/>
      <c r="G201" s="161"/>
      <c r="H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</row>
    <row r="202">
      <c r="A202" s="161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A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</row>
    <row r="203">
      <c r="A203" s="161"/>
      <c r="B203" s="161"/>
      <c r="C203" s="161"/>
      <c r="D203" s="161"/>
      <c r="E203" s="161"/>
      <c r="F203" s="161"/>
      <c r="G203" s="161"/>
      <c r="H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A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</row>
    <row r="204">
      <c r="A204" s="161"/>
      <c r="B204" s="161"/>
      <c r="C204" s="161"/>
      <c r="D204" s="161"/>
      <c r="E204" s="161"/>
      <c r="F204" s="161"/>
      <c r="G204" s="161"/>
      <c r="H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A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</row>
    <row r="205">
      <c r="A205" s="161"/>
      <c r="B205" s="161"/>
      <c r="C205" s="161"/>
      <c r="D205" s="161"/>
      <c r="E205" s="161"/>
      <c r="F205" s="161"/>
      <c r="G205" s="161"/>
      <c r="H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A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</row>
    <row r="206">
      <c r="A206" s="161"/>
      <c r="B206" s="161"/>
      <c r="C206" s="161"/>
      <c r="D206" s="161"/>
      <c r="E206" s="161"/>
      <c r="F206" s="161"/>
      <c r="G206" s="161"/>
      <c r="H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</row>
    <row r="207">
      <c r="A207" s="161"/>
      <c r="B207" s="161"/>
      <c r="C207" s="161"/>
      <c r="D207" s="161"/>
      <c r="E207" s="161"/>
      <c r="F207" s="161"/>
      <c r="G207" s="161"/>
      <c r="H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</row>
    <row r="208">
      <c r="A208" s="161"/>
      <c r="B208" s="161"/>
      <c r="C208" s="161"/>
      <c r="D208" s="161"/>
      <c r="E208" s="161"/>
      <c r="F208" s="161"/>
      <c r="G208" s="161"/>
      <c r="H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A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</row>
    <row r="209">
      <c r="A209" s="161"/>
      <c r="B209" s="161"/>
      <c r="C209" s="161"/>
      <c r="D209" s="161"/>
      <c r="E209" s="161"/>
      <c r="F209" s="161"/>
      <c r="G209" s="161"/>
      <c r="H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</row>
    <row r="210">
      <c r="A210" s="161"/>
      <c r="B210" s="161"/>
      <c r="C210" s="161"/>
      <c r="D210" s="161"/>
      <c r="E210" s="161"/>
      <c r="F210" s="161"/>
      <c r="G210" s="161"/>
      <c r="H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</row>
    <row r="211">
      <c r="A211" s="161"/>
      <c r="B211" s="161"/>
      <c r="C211" s="161"/>
      <c r="D211" s="161"/>
      <c r="E211" s="161"/>
      <c r="F211" s="161"/>
      <c r="G211" s="161"/>
      <c r="H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</row>
    <row r="212">
      <c r="A212" s="161"/>
      <c r="B212" s="161"/>
      <c r="C212" s="161"/>
      <c r="D212" s="161"/>
      <c r="E212" s="161"/>
      <c r="F212" s="161"/>
      <c r="G212" s="161"/>
      <c r="H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</row>
    <row r="213">
      <c r="A213" s="161"/>
      <c r="B213" s="161"/>
      <c r="C213" s="161"/>
      <c r="D213" s="161"/>
      <c r="E213" s="161"/>
      <c r="F213" s="161"/>
      <c r="G213" s="161"/>
      <c r="H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</row>
    <row r="214">
      <c r="A214" s="161"/>
      <c r="B214" s="161"/>
      <c r="C214" s="161"/>
      <c r="D214" s="161"/>
      <c r="E214" s="161"/>
      <c r="F214" s="161"/>
      <c r="G214" s="161"/>
      <c r="H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</row>
    <row r="215">
      <c r="A215" s="161"/>
      <c r="B215" s="161"/>
      <c r="C215" s="161"/>
      <c r="D215" s="161"/>
      <c r="E215" s="161"/>
      <c r="F215" s="161"/>
      <c r="G215" s="161"/>
      <c r="H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</row>
    <row r="216">
      <c r="A216" s="161"/>
      <c r="B216" s="161"/>
      <c r="C216" s="161"/>
      <c r="D216" s="161"/>
      <c r="E216" s="161"/>
      <c r="F216" s="161"/>
      <c r="G216" s="161"/>
      <c r="H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</row>
    <row r="217">
      <c r="A217" s="161"/>
      <c r="B217" s="161"/>
      <c r="C217" s="161"/>
      <c r="D217" s="161"/>
      <c r="E217" s="161"/>
      <c r="F217" s="161"/>
      <c r="G217" s="161"/>
      <c r="H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</row>
    <row r="218">
      <c r="A218" s="161"/>
      <c r="B218" s="161"/>
      <c r="C218" s="161"/>
      <c r="D218" s="161"/>
      <c r="E218" s="161"/>
      <c r="F218" s="161"/>
      <c r="G218" s="161"/>
      <c r="H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</row>
    <row r="219">
      <c r="A219" s="161"/>
      <c r="B219" s="161"/>
      <c r="C219" s="161"/>
      <c r="D219" s="161"/>
      <c r="E219" s="161"/>
      <c r="F219" s="161"/>
      <c r="G219" s="161"/>
      <c r="H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</row>
    <row r="220">
      <c r="A220" s="161"/>
      <c r="B220" s="161"/>
      <c r="C220" s="161"/>
      <c r="D220" s="161"/>
      <c r="E220" s="161"/>
      <c r="F220" s="161"/>
      <c r="G220" s="161"/>
      <c r="H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</row>
    <row r="221">
      <c r="A221" s="161"/>
      <c r="B221" s="161"/>
      <c r="C221" s="161"/>
      <c r="D221" s="161"/>
      <c r="E221" s="161"/>
      <c r="F221" s="161"/>
      <c r="G221" s="161"/>
      <c r="H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</row>
    <row r="222">
      <c r="A222" s="161"/>
      <c r="B222" s="161"/>
      <c r="C222" s="161"/>
      <c r="D222" s="161"/>
      <c r="E222" s="161"/>
      <c r="F222" s="161"/>
      <c r="G222" s="161"/>
      <c r="H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</row>
    <row r="223">
      <c r="A223" s="161"/>
      <c r="B223" s="161"/>
      <c r="C223" s="161"/>
      <c r="D223" s="161"/>
      <c r="E223" s="161"/>
      <c r="F223" s="161"/>
      <c r="G223" s="161"/>
      <c r="H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</row>
    <row r="224">
      <c r="A224" s="161"/>
      <c r="B224" s="161"/>
      <c r="C224" s="161"/>
      <c r="D224" s="161"/>
      <c r="E224" s="161"/>
      <c r="F224" s="161"/>
      <c r="G224" s="161"/>
      <c r="H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</row>
    <row r="225">
      <c r="A225" s="161"/>
      <c r="B225" s="161"/>
      <c r="C225" s="161"/>
      <c r="D225" s="161"/>
      <c r="E225" s="161"/>
      <c r="F225" s="161"/>
      <c r="G225" s="161"/>
      <c r="H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</row>
    <row r="226">
      <c r="A226" s="161"/>
      <c r="B226" s="161"/>
      <c r="C226" s="161"/>
      <c r="D226" s="161"/>
      <c r="E226" s="161"/>
      <c r="F226" s="161"/>
      <c r="G226" s="161"/>
      <c r="H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</row>
    <row r="227">
      <c r="A227" s="161"/>
      <c r="B227" s="161"/>
      <c r="C227" s="161"/>
      <c r="D227" s="161"/>
      <c r="E227" s="161"/>
      <c r="F227" s="161"/>
      <c r="G227" s="161"/>
      <c r="H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</row>
    <row r="228">
      <c r="A228" s="161"/>
      <c r="B228" s="161"/>
      <c r="C228" s="161"/>
      <c r="D228" s="161"/>
      <c r="E228" s="161"/>
      <c r="F228" s="161"/>
      <c r="G228" s="161"/>
      <c r="H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</row>
    <row r="229">
      <c r="A229" s="161"/>
      <c r="B229" s="161"/>
      <c r="C229" s="161"/>
      <c r="D229" s="161"/>
      <c r="E229" s="161"/>
      <c r="F229" s="161"/>
      <c r="G229" s="161"/>
      <c r="H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</row>
    <row r="230">
      <c r="A230" s="161"/>
      <c r="B230" s="161"/>
      <c r="C230" s="161"/>
      <c r="D230" s="161"/>
      <c r="E230" s="161"/>
      <c r="F230" s="161"/>
      <c r="G230" s="161"/>
      <c r="H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</row>
    <row r="231">
      <c r="A231" s="161"/>
      <c r="B231" s="161"/>
      <c r="C231" s="161"/>
      <c r="D231" s="161"/>
      <c r="E231" s="161"/>
      <c r="F231" s="161"/>
      <c r="G231" s="161"/>
      <c r="H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</row>
    <row r="232">
      <c r="A232" s="161"/>
      <c r="B232" s="161"/>
      <c r="C232" s="161"/>
      <c r="D232" s="161"/>
      <c r="E232" s="161"/>
      <c r="F232" s="161"/>
      <c r="G232" s="161"/>
      <c r="H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</row>
    <row r="233">
      <c r="A233" s="161"/>
      <c r="B233" s="161"/>
      <c r="C233" s="161"/>
      <c r="D233" s="161"/>
      <c r="E233" s="161"/>
      <c r="F233" s="161"/>
      <c r="G233" s="161"/>
      <c r="H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</row>
    <row r="234">
      <c r="A234" s="161"/>
      <c r="B234" s="161"/>
      <c r="C234" s="161"/>
      <c r="D234" s="161"/>
      <c r="E234" s="161"/>
      <c r="F234" s="161"/>
      <c r="G234" s="161"/>
      <c r="H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</row>
    <row r="235">
      <c r="A235" s="161"/>
      <c r="B235" s="161"/>
      <c r="C235" s="161"/>
      <c r="D235" s="161"/>
      <c r="E235" s="161"/>
      <c r="F235" s="161"/>
      <c r="G235" s="161"/>
      <c r="H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</row>
    <row r="236">
      <c r="A236" s="161"/>
      <c r="B236" s="161"/>
      <c r="C236" s="161"/>
      <c r="D236" s="161"/>
      <c r="E236" s="161"/>
      <c r="F236" s="161"/>
      <c r="G236" s="161"/>
      <c r="H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</row>
    <row r="237">
      <c r="A237" s="161"/>
      <c r="B237" s="161"/>
      <c r="C237" s="161"/>
      <c r="D237" s="161"/>
      <c r="E237" s="161"/>
      <c r="F237" s="161"/>
      <c r="G237" s="161"/>
      <c r="H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</row>
    <row r="238">
      <c r="A238" s="161"/>
      <c r="B238" s="161"/>
      <c r="C238" s="161"/>
      <c r="D238" s="161"/>
      <c r="E238" s="161"/>
      <c r="F238" s="161"/>
      <c r="G238" s="161"/>
      <c r="H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</row>
    <row r="239">
      <c r="A239" s="161"/>
      <c r="B239" s="161"/>
      <c r="C239" s="161"/>
      <c r="D239" s="161"/>
      <c r="E239" s="161"/>
      <c r="F239" s="161"/>
      <c r="G239" s="161"/>
      <c r="H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</row>
    <row r="240">
      <c r="A240" s="161"/>
      <c r="B240" s="161"/>
      <c r="C240" s="161"/>
      <c r="D240" s="161"/>
      <c r="E240" s="161"/>
      <c r="F240" s="161"/>
      <c r="G240" s="161"/>
      <c r="H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</row>
    <row r="241">
      <c r="A241" s="161"/>
      <c r="B241" s="161"/>
      <c r="C241" s="161"/>
      <c r="D241" s="161"/>
      <c r="E241" s="161"/>
      <c r="F241" s="161"/>
      <c r="G241" s="161"/>
      <c r="H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</row>
    <row r="242">
      <c r="A242" s="161"/>
      <c r="B242" s="161"/>
      <c r="C242" s="161"/>
      <c r="D242" s="161"/>
      <c r="E242" s="161"/>
      <c r="F242" s="161"/>
      <c r="G242" s="161"/>
      <c r="H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</row>
    <row r="243">
      <c r="A243" s="161"/>
      <c r="B243" s="161"/>
      <c r="C243" s="161"/>
      <c r="D243" s="161"/>
      <c r="E243" s="161"/>
      <c r="F243" s="161"/>
      <c r="G243" s="161"/>
      <c r="H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</row>
    <row r="244">
      <c r="A244" s="161"/>
      <c r="B244" s="161"/>
      <c r="C244" s="161"/>
      <c r="D244" s="161"/>
      <c r="E244" s="161"/>
      <c r="F244" s="161"/>
      <c r="G244" s="161"/>
      <c r="H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</row>
    <row r="245">
      <c r="A245" s="161"/>
      <c r="B245" s="161"/>
      <c r="C245" s="161"/>
      <c r="D245" s="161"/>
      <c r="E245" s="161"/>
      <c r="F245" s="161"/>
      <c r="G245" s="161"/>
      <c r="H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A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</row>
    <row r="246">
      <c r="A246" s="161"/>
      <c r="B246" s="161"/>
      <c r="C246" s="161"/>
      <c r="D246" s="161"/>
      <c r="E246" s="161"/>
      <c r="F246" s="161"/>
      <c r="G246" s="161"/>
      <c r="H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</row>
    <row r="247">
      <c r="A247" s="161"/>
      <c r="B247" s="161"/>
      <c r="C247" s="161"/>
      <c r="D247" s="161"/>
      <c r="E247" s="161"/>
      <c r="F247" s="161"/>
      <c r="G247" s="161"/>
      <c r="H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</row>
    <row r="248">
      <c r="A248" s="161"/>
      <c r="B248" s="161"/>
      <c r="C248" s="161"/>
      <c r="D248" s="161"/>
      <c r="E248" s="161"/>
      <c r="F248" s="161"/>
      <c r="G248" s="161"/>
      <c r="H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</row>
    <row r="249">
      <c r="A249" s="161"/>
      <c r="B249" s="161"/>
      <c r="C249" s="161"/>
      <c r="D249" s="161"/>
      <c r="E249" s="161"/>
      <c r="F249" s="161"/>
      <c r="G249" s="161"/>
      <c r="H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</row>
    <row r="250">
      <c r="A250" s="161"/>
      <c r="B250" s="161"/>
      <c r="C250" s="161"/>
      <c r="D250" s="161"/>
      <c r="E250" s="161"/>
      <c r="F250" s="161"/>
      <c r="G250" s="161"/>
      <c r="H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</row>
    <row r="251">
      <c r="A251" s="161"/>
      <c r="B251" s="161"/>
      <c r="C251" s="161"/>
      <c r="D251" s="161"/>
      <c r="E251" s="161"/>
      <c r="F251" s="161"/>
      <c r="G251" s="161"/>
      <c r="H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</row>
    <row r="252">
      <c r="A252" s="161"/>
      <c r="B252" s="161"/>
      <c r="C252" s="161"/>
      <c r="D252" s="161"/>
      <c r="E252" s="161"/>
      <c r="F252" s="161"/>
      <c r="G252" s="161"/>
      <c r="H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</row>
    <row r="253">
      <c r="A253" s="161"/>
      <c r="B253" s="161"/>
      <c r="C253" s="161"/>
      <c r="D253" s="161"/>
      <c r="E253" s="161"/>
      <c r="F253" s="161"/>
      <c r="G253" s="161"/>
      <c r="H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</row>
    <row r="254">
      <c r="A254" s="161"/>
      <c r="B254" s="161"/>
      <c r="C254" s="161"/>
      <c r="D254" s="161"/>
      <c r="E254" s="161"/>
      <c r="F254" s="161"/>
      <c r="G254" s="161"/>
      <c r="H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</row>
    <row r="255">
      <c r="A255" s="161"/>
      <c r="B255" s="161"/>
      <c r="C255" s="161"/>
      <c r="D255" s="161"/>
      <c r="E255" s="161"/>
      <c r="F255" s="161"/>
      <c r="G255" s="161"/>
      <c r="H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</row>
    <row r="256">
      <c r="A256" s="161"/>
      <c r="B256" s="161"/>
      <c r="C256" s="161"/>
      <c r="D256" s="161"/>
      <c r="E256" s="161"/>
      <c r="F256" s="161"/>
      <c r="G256" s="161"/>
      <c r="H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</row>
    <row r="257">
      <c r="A257" s="161"/>
      <c r="B257" s="161"/>
      <c r="C257" s="161"/>
      <c r="D257" s="161"/>
      <c r="E257" s="161"/>
      <c r="F257" s="161"/>
      <c r="G257" s="161"/>
      <c r="H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</row>
    <row r="258">
      <c r="A258" s="161"/>
      <c r="B258" s="161"/>
      <c r="C258" s="161"/>
      <c r="D258" s="161"/>
      <c r="E258" s="161"/>
      <c r="F258" s="161"/>
      <c r="G258" s="161"/>
      <c r="H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</row>
    <row r="259">
      <c r="A259" s="161"/>
      <c r="B259" s="161"/>
      <c r="C259" s="161"/>
      <c r="D259" s="161"/>
      <c r="E259" s="161"/>
      <c r="F259" s="161"/>
      <c r="G259" s="161"/>
      <c r="H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</row>
    <row r="260">
      <c r="A260" s="161"/>
      <c r="B260" s="161"/>
      <c r="C260" s="161"/>
      <c r="D260" s="161"/>
      <c r="E260" s="161"/>
      <c r="F260" s="161"/>
      <c r="G260" s="161"/>
      <c r="H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</row>
    <row r="261">
      <c r="A261" s="161"/>
      <c r="B261" s="161"/>
      <c r="C261" s="161"/>
      <c r="D261" s="161"/>
      <c r="E261" s="161"/>
      <c r="F261" s="161"/>
      <c r="G261" s="161"/>
      <c r="H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</row>
    <row r="262">
      <c r="A262" s="161"/>
      <c r="B262" s="161"/>
      <c r="C262" s="161"/>
      <c r="D262" s="161"/>
      <c r="E262" s="161"/>
      <c r="F262" s="161"/>
      <c r="G262" s="161"/>
      <c r="H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</row>
    <row r="263">
      <c r="A263" s="161"/>
      <c r="B263" s="161"/>
      <c r="C263" s="161"/>
      <c r="D263" s="161"/>
      <c r="E263" s="161"/>
      <c r="F263" s="161"/>
      <c r="G263" s="161"/>
      <c r="H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</row>
    <row r="264">
      <c r="A264" s="161"/>
      <c r="B264" s="161"/>
      <c r="C264" s="161"/>
      <c r="D264" s="161"/>
      <c r="E264" s="161"/>
      <c r="F264" s="161"/>
      <c r="G264" s="161"/>
      <c r="H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</row>
    <row r="265">
      <c r="A265" s="161"/>
      <c r="B265" s="161"/>
      <c r="C265" s="161"/>
      <c r="D265" s="161"/>
      <c r="E265" s="161"/>
      <c r="F265" s="161"/>
      <c r="G265" s="161"/>
      <c r="H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</row>
    <row r="266">
      <c r="A266" s="161"/>
      <c r="B266" s="161"/>
      <c r="C266" s="161"/>
      <c r="D266" s="161"/>
      <c r="E266" s="161"/>
      <c r="F266" s="161"/>
      <c r="G266" s="161"/>
      <c r="H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</row>
    <row r="267">
      <c r="A267" s="161"/>
      <c r="B267" s="161"/>
      <c r="C267" s="161"/>
      <c r="D267" s="161"/>
      <c r="E267" s="161"/>
      <c r="F267" s="161"/>
      <c r="G267" s="161"/>
      <c r="H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</row>
    <row r="268">
      <c r="A268" s="161"/>
      <c r="B268" s="161"/>
      <c r="C268" s="161"/>
      <c r="D268" s="161"/>
      <c r="E268" s="161"/>
      <c r="F268" s="161"/>
      <c r="G268" s="161"/>
      <c r="H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</row>
    <row r="269">
      <c r="A269" s="161"/>
      <c r="B269" s="161"/>
      <c r="C269" s="161"/>
      <c r="D269" s="161"/>
      <c r="E269" s="161"/>
      <c r="F269" s="161"/>
      <c r="G269" s="161"/>
      <c r="H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</row>
    <row r="270">
      <c r="A270" s="161"/>
      <c r="B270" s="161"/>
      <c r="C270" s="161"/>
      <c r="D270" s="161"/>
      <c r="E270" s="161"/>
      <c r="F270" s="161"/>
      <c r="G270" s="161"/>
      <c r="H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A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</row>
    <row r="271">
      <c r="A271" s="161"/>
      <c r="B271" s="161"/>
      <c r="C271" s="161"/>
      <c r="D271" s="161"/>
      <c r="E271" s="161"/>
      <c r="F271" s="161"/>
      <c r="G271" s="161"/>
      <c r="H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</row>
    <row r="272">
      <c r="A272" s="161"/>
      <c r="B272" s="161"/>
      <c r="C272" s="161"/>
      <c r="D272" s="161"/>
      <c r="E272" s="161"/>
      <c r="F272" s="161"/>
      <c r="G272" s="161"/>
      <c r="H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</row>
    <row r="273">
      <c r="A273" s="161"/>
      <c r="B273" s="161"/>
      <c r="C273" s="161"/>
      <c r="D273" s="161"/>
      <c r="E273" s="161"/>
      <c r="F273" s="161"/>
      <c r="G273" s="161"/>
      <c r="H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</row>
    <row r="274">
      <c r="A274" s="161"/>
      <c r="B274" s="161"/>
      <c r="C274" s="161"/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</row>
    <row r="275">
      <c r="A275" s="161"/>
      <c r="B275" s="161"/>
      <c r="C275" s="161"/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</row>
    <row r="276">
      <c r="A276" s="161"/>
      <c r="B276" s="161"/>
      <c r="C276" s="161"/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</row>
    <row r="277">
      <c r="A277" s="161"/>
      <c r="B277" s="161"/>
      <c r="C277" s="161"/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</row>
    <row r="278">
      <c r="A278" s="161"/>
      <c r="B278" s="161"/>
      <c r="C278" s="161"/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A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</row>
    <row r="279">
      <c r="A279" s="161"/>
      <c r="B279" s="161"/>
      <c r="C279" s="161"/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</row>
    <row r="280">
      <c r="A280" s="161"/>
      <c r="B280" s="161"/>
      <c r="C280" s="161"/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</row>
    <row r="281">
      <c r="A281" s="161"/>
      <c r="B281" s="161"/>
      <c r="C281" s="161"/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</row>
    <row r="282">
      <c r="A282" s="161"/>
      <c r="B282" s="161"/>
      <c r="C282" s="161"/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</row>
    <row r="283">
      <c r="A283" s="161"/>
      <c r="B283" s="161"/>
      <c r="C283" s="161"/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</row>
    <row r="284">
      <c r="A284" s="161"/>
      <c r="B284" s="161"/>
      <c r="C284" s="161"/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</row>
    <row r="285">
      <c r="A285" s="161"/>
      <c r="B285" s="161"/>
      <c r="C285" s="161"/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</row>
    <row r="286">
      <c r="A286" s="161"/>
      <c r="B286" s="161"/>
      <c r="C286" s="161"/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</row>
    <row r="287">
      <c r="A287" s="161"/>
      <c r="B287" s="161"/>
      <c r="C287" s="161"/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</row>
    <row r="288">
      <c r="A288" s="161"/>
      <c r="B288" s="161"/>
      <c r="C288" s="161"/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</row>
    <row r="289">
      <c r="A289" s="161"/>
      <c r="B289" s="161"/>
      <c r="C289" s="161"/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</row>
    <row r="290">
      <c r="A290" s="161"/>
      <c r="B290" s="161"/>
      <c r="C290" s="161"/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</row>
    <row r="291">
      <c r="A291" s="161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</row>
    <row r="292">
      <c r="A292" s="161"/>
      <c r="B292" s="161"/>
      <c r="C292" s="161"/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</row>
    <row r="293">
      <c r="A293" s="161"/>
      <c r="B293" s="161"/>
      <c r="C293" s="161"/>
      <c r="D293" s="161"/>
      <c r="E293" s="161"/>
      <c r="F293" s="161"/>
      <c r="G293" s="161"/>
      <c r="H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A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</row>
    <row r="294">
      <c r="A294" s="161"/>
      <c r="B294" s="161"/>
      <c r="C294" s="161"/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</row>
    <row r="295">
      <c r="A295" s="161"/>
      <c r="B295" s="161"/>
      <c r="C295" s="161"/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</row>
    <row r="296">
      <c r="A296" s="161"/>
      <c r="B296" s="161"/>
      <c r="C296" s="161"/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</row>
    <row r="297">
      <c r="A297" s="161"/>
      <c r="B297" s="161"/>
      <c r="C297" s="161"/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</row>
    <row r="298">
      <c r="A298" s="161"/>
      <c r="B298" s="161"/>
      <c r="C298" s="161"/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</row>
    <row r="299">
      <c r="A299" s="161"/>
      <c r="B299" s="161"/>
      <c r="C299" s="161"/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</row>
    <row r="300">
      <c r="A300" s="161"/>
      <c r="B300" s="161"/>
      <c r="C300" s="161"/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</row>
    <row r="301">
      <c r="A301" s="161"/>
      <c r="B301" s="161"/>
      <c r="C301" s="161"/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</row>
    <row r="302">
      <c r="A302" s="161"/>
      <c r="B302" s="161"/>
      <c r="C302" s="161"/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</row>
    <row r="303">
      <c r="A303" s="161"/>
      <c r="B303" s="161"/>
      <c r="C303" s="161"/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</row>
    <row r="304">
      <c r="A304" s="161"/>
      <c r="B304" s="161"/>
      <c r="C304" s="161"/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</row>
    <row r="305">
      <c r="A305" s="161"/>
      <c r="B305" s="161"/>
      <c r="C305" s="161"/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</row>
    <row r="306">
      <c r="A306" s="161"/>
      <c r="B306" s="161"/>
      <c r="C306" s="161"/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</row>
    <row r="307">
      <c r="A307" s="161"/>
      <c r="B307" s="161"/>
      <c r="C307" s="161"/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</row>
    <row r="308">
      <c r="A308" s="161"/>
      <c r="B308" s="161"/>
      <c r="C308" s="161"/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</row>
    <row r="309">
      <c r="A309" s="161"/>
      <c r="B309" s="161"/>
      <c r="C309" s="161"/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</row>
    <row r="310">
      <c r="A310" s="161"/>
      <c r="B310" s="161"/>
      <c r="C310" s="161"/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</row>
    <row r="311">
      <c r="A311" s="161"/>
      <c r="B311" s="161"/>
      <c r="C311" s="161"/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</row>
    <row r="312">
      <c r="A312" s="161"/>
      <c r="B312" s="161"/>
      <c r="C312" s="161"/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</row>
    <row r="313">
      <c r="A313" s="161"/>
      <c r="B313" s="161"/>
      <c r="C313" s="161"/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</row>
    <row r="314">
      <c r="A314" s="161"/>
      <c r="B314" s="161"/>
      <c r="C314" s="161"/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</row>
    <row r="315">
      <c r="A315" s="161"/>
      <c r="B315" s="161"/>
      <c r="C315" s="161"/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A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</row>
    <row r="316">
      <c r="A316" s="161"/>
      <c r="B316" s="161"/>
      <c r="C316" s="161"/>
      <c r="D316" s="161"/>
      <c r="E316" s="161"/>
      <c r="F316" s="161"/>
      <c r="G316" s="161"/>
      <c r="H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A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</row>
    <row r="317">
      <c r="A317" s="161"/>
      <c r="B317" s="161"/>
      <c r="C317" s="161"/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</row>
    <row r="318">
      <c r="A318" s="161"/>
      <c r="B318" s="161"/>
      <c r="C318" s="161"/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</row>
    <row r="319">
      <c r="A319" s="161"/>
      <c r="B319" s="161"/>
      <c r="C319" s="161"/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</row>
    <row r="320">
      <c r="A320" s="161"/>
      <c r="B320" s="161"/>
      <c r="C320" s="161"/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</row>
    <row r="321">
      <c r="A321" s="161"/>
      <c r="B321" s="161"/>
      <c r="C321" s="161"/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</row>
    <row r="322">
      <c r="A322" s="161"/>
      <c r="B322" s="161"/>
      <c r="C322" s="161"/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</row>
    <row r="323">
      <c r="A323" s="161"/>
      <c r="B323" s="161"/>
      <c r="C323" s="161"/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</row>
    <row r="324">
      <c r="A324" s="161"/>
      <c r="B324" s="161"/>
      <c r="C324" s="161"/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</row>
    <row r="325">
      <c r="A325" s="161"/>
      <c r="B325" s="161"/>
      <c r="C325" s="161"/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</row>
    <row r="326">
      <c r="A326" s="161"/>
      <c r="B326" s="161"/>
      <c r="C326" s="161"/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</row>
    <row r="327">
      <c r="A327" s="161"/>
      <c r="B327" s="161"/>
      <c r="C327" s="161"/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</row>
    <row r="328">
      <c r="A328" s="161"/>
      <c r="B328" s="161"/>
      <c r="C328" s="161"/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</row>
    <row r="329">
      <c r="A329" s="161"/>
      <c r="B329" s="161"/>
      <c r="C329" s="161"/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</row>
    <row r="330">
      <c r="A330" s="161"/>
      <c r="B330" s="161"/>
      <c r="C330" s="161"/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</row>
    <row r="331">
      <c r="A331" s="161"/>
      <c r="B331" s="161"/>
      <c r="C331" s="161"/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</row>
    <row r="332">
      <c r="A332" s="161"/>
      <c r="B332" s="161"/>
      <c r="C332" s="161"/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</row>
    <row r="333">
      <c r="A333" s="161"/>
      <c r="B333" s="161"/>
      <c r="C333" s="161"/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</row>
    <row r="334">
      <c r="A334" s="161"/>
      <c r="B334" s="161"/>
      <c r="C334" s="161"/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</row>
    <row r="335">
      <c r="A335" s="161"/>
      <c r="B335" s="161"/>
      <c r="C335" s="161"/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</row>
    <row r="336">
      <c r="A336" s="161"/>
      <c r="B336" s="161"/>
      <c r="C336" s="161"/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</row>
    <row r="337">
      <c r="A337" s="161"/>
      <c r="B337" s="161"/>
      <c r="C337" s="161"/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</row>
    <row r="338">
      <c r="A338" s="161"/>
      <c r="B338" s="161"/>
      <c r="C338" s="161"/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</row>
    <row r="339">
      <c r="A339" s="161"/>
      <c r="B339" s="161"/>
      <c r="C339" s="161"/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</row>
    <row r="340">
      <c r="A340" s="161"/>
      <c r="B340" s="161"/>
      <c r="C340" s="161"/>
      <c r="D340" s="161"/>
      <c r="E340" s="161"/>
      <c r="F340" s="161"/>
      <c r="G340" s="161"/>
      <c r="H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</row>
    <row r="341">
      <c r="A341" s="161"/>
      <c r="B341" s="161"/>
      <c r="C341" s="161"/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</row>
    <row r="342">
      <c r="A342" s="161"/>
      <c r="B342" s="161"/>
      <c r="C342" s="161"/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</row>
    <row r="343">
      <c r="A343" s="161"/>
      <c r="B343" s="161"/>
      <c r="C343" s="161"/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</row>
    <row r="344">
      <c r="A344" s="161"/>
      <c r="B344" s="161"/>
      <c r="C344" s="161"/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</row>
    <row r="345">
      <c r="A345" s="161"/>
      <c r="B345" s="161"/>
      <c r="C345" s="161"/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</row>
    <row r="346">
      <c r="A346" s="161"/>
      <c r="B346" s="161"/>
      <c r="C346" s="161"/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</row>
    <row r="347">
      <c r="A347" s="161"/>
      <c r="B347" s="161"/>
      <c r="C347" s="161"/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</row>
    <row r="348">
      <c r="A348" s="161"/>
      <c r="B348" s="161"/>
      <c r="C348" s="161"/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</row>
    <row r="349">
      <c r="A349" s="161"/>
      <c r="B349" s="161"/>
      <c r="C349" s="161"/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</row>
    <row r="350">
      <c r="A350" s="161"/>
      <c r="B350" s="161"/>
      <c r="C350" s="161"/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</row>
    <row r="351">
      <c r="A351" s="161"/>
      <c r="B351" s="161"/>
      <c r="C351" s="161"/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</row>
    <row r="352">
      <c r="A352" s="161"/>
      <c r="B352" s="161"/>
      <c r="C352" s="161"/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</row>
    <row r="353">
      <c r="A353" s="161"/>
      <c r="B353" s="161"/>
      <c r="C353" s="161"/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A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</row>
    <row r="354">
      <c r="A354" s="161"/>
      <c r="B354" s="161"/>
      <c r="C354" s="161"/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</row>
    <row r="355">
      <c r="A355" s="161"/>
      <c r="B355" s="161"/>
      <c r="C355" s="161"/>
      <c r="D355" s="161"/>
      <c r="E355" s="161"/>
      <c r="F355" s="161"/>
      <c r="G355" s="161"/>
      <c r="H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</row>
    <row r="356">
      <c r="A356" s="161"/>
      <c r="B356" s="161"/>
      <c r="C356" s="161"/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</row>
    <row r="357">
      <c r="A357" s="161"/>
      <c r="B357" s="161"/>
      <c r="C357" s="161"/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</row>
    <row r="358">
      <c r="A358" s="161"/>
      <c r="B358" s="161"/>
      <c r="C358" s="161"/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</row>
    <row r="359">
      <c r="A359" s="161"/>
      <c r="B359" s="161"/>
      <c r="C359" s="161"/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</row>
    <row r="360">
      <c r="A360" s="161"/>
      <c r="B360" s="161"/>
      <c r="C360" s="161"/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</row>
    <row r="361">
      <c r="A361" s="161"/>
      <c r="B361" s="161"/>
      <c r="C361" s="161"/>
      <c r="D361" s="161"/>
      <c r="E361" s="161"/>
      <c r="F361" s="161"/>
      <c r="G361" s="161"/>
      <c r="H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</row>
    <row r="362">
      <c r="A362" s="161"/>
      <c r="B362" s="161"/>
      <c r="C362" s="161"/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</row>
    <row r="363">
      <c r="A363" s="161"/>
      <c r="B363" s="161"/>
      <c r="C363" s="161"/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</row>
    <row r="364">
      <c r="A364" s="161"/>
      <c r="B364" s="161"/>
      <c r="C364" s="161"/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</row>
    <row r="365">
      <c r="A365" s="161"/>
      <c r="B365" s="161"/>
      <c r="C365" s="161"/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</row>
    <row r="366">
      <c r="A366" s="161"/>
      <c r="B366" s="161"/>
      <c r="C366" s="161"/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</row>
    <row r="367">
      <c r="A367" s="161"/>
      <c r="B367" s="161"/>
      <c r="C367" s="161"/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</row>
    <row r="368">
      <c r="A368" s="161"/>
      <c r="B368" s="161"/>
      <c r="C368" s="161"/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</row>
    <row r="369">
      <c r="A369" s="161"/>
      <c r="B369" s="161"/>
      <c r="C369" s="161"/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</row>
    <row r="370">
      <c r="A370" s="161"/>
      <c r="B370" s="161"/>
      <c r="C370" s="161"/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</row>
    <row r="371">
      <c r="A371" s="161"/>
      <c r="B371" s="161"/>
      <c r="C371" s="161"/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</row>
    <row r="372">
      <c r="A372" s="161"/>
      <c r="B372" s="161"/>
      <c r="C372" s="161"/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</row>
    <row r="373">
      <c r="A373" s="161"/>
      <c r="B373" s="161"/>
      <c r="C373" s="161"/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</row>
    <row r="374">
      <c r="A374" s="161"/>
      <c r="B374" s="161"/>
      <c r="C374" s="161"/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</row>
    <row r="375">
      <c r="A375" s="161"/>
      <c r="B375" s="161"/>
      <c r="C375" s="161"/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</row>
    <row r="376">
      <c r="A376" s="161"/>
      <c r="B376" s="161"/>
      <c r="C376" s="161"/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A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</row>
    <row r="377">
      <c r="A377" s="161"/>
      <c r="B377" s="161"/>
      <c r="C377" s="161"/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</row>
    <row r="378">
      <c r="A378" s="161"/>
      <c r="B378" s="161"/>
      <c r="C378" s="161"/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</row>
    <row r="379">
      <c r="A379" s="161"/>
      <c r="B379" s="161"/>
      <c r="C379" s="161"/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</row>
    <row r="380">
      <c r="A380" s="161"/>
      <c r="B380" s="161"/>
      <c r="C380" s="161"/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</row>
    <row r="381">
      <c r="A381" s="161"/>
      <c r="B381" s="161"/>
      <c r="C381" s="161"/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A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</row>
    <row r="382">
      <c r="A382" s="161"/>
      <c r="B382" s="161"/>
      <c r="C382" s="161"/>
      <c r="D382" s="161"/>
      <c r="E382" s="161"/>
      <c r="F382" s="161"/>
      <c r="G382" s="161"/>
      <c r="H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A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</row>
    <row r="383">
      <c r="A383" s="161"/>
      <c r="B383" s="161"/>
      <c r="C383" s="161"/>
      <c r="D383" s="161"/>
      <c r="E383" s="161"/>
      <c r="F383" s="161"/>
      <c r="G383" s="161"/>
      <c r="H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A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</row>
    <row r="384">
      <c r="A384" s="161"/>
      <c r="B384" s="161"/>
      <c r="C384" s="161"/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A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</row>
    <row r="385">
      <c r="A385" s="161"/>
      <c r="B385" s="161"/>
      <c r="C385" s="161"/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</row>
    <row r="386">
      <c r="A386" s="161"/>
      <c r="B386" s="161"/>
      <c r="C386" s="161"/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</row>
    <row r="387">
      <c r="A387" s="161"/>
      <c r="B387" s="161"/>
      <c r="C387" s="161"/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</row>
    <row r="388">
      <c r="A388" s="161"/>
      <c r="B388" s="161"/>
      <c r="C388" s="161"/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</row>
    <row r="389">
      <c r="A389" s="161"/>
      <c r="B389" s="161"/>
      <c r="C389" s="161"/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</row>
    <row r="390">
      <c r="A390" s="161"/>
      <c r="B390" s="161"/>
      <c r="C390" s="161"/>
      <c r="D390" s="161"/>
      <c r="E390" s="161"/>
      <c r="F390" s="161"/>
      <c r="G390" s="161"/>
      <c r="H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</row>
    <row r="391">
      <c r="A391" s="161"/>
      <c r="B391" s="161"/>
      <c r="C391" s="161"/>
      <c r="D391" s="161"/>
      <c r="E391" s="161"/>
      <c r="F391" s="161"/>
      <c r="G391" s="161"/>
      <c r="H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</row>
    <row r="392">
      <c r="A392" s="161"/>
      <c r="B392" s="161"/>
      <c r="C392" s="161"/>
      <c r="D392" s="161"/>
      <c r="E392" s="161"/>
      <c r="F392" s="161"/>
      <c r="G392" s="161"/>
      <c r="H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</row>
    <row r="393">
      <c r="A393" s="161"/>
      <c r="B393" s="161"/>
      <c r="C393" s="161"/>
      <c r="D393" s="161"/>
      <c r="E393" s="161"/>
      <c r="F393" s="161"/>
      <c r="G393" s="161"/>
      <c r="H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</row>
    <row r="394">
      <c r="A394" s="161"/>
      <c r="B394" s="161"/>
      <c r="C394" s="161"/>
      <c r="D394" s="161"/>
      <c r="E394" s="161"/>
      <c r="F394" s="161"/>
      <c r="G394" s="161"/>
      <c r="H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</row>
    <row r="395">
      <c r="A395" s="161"/>
      <c r="B395" s="161"/>
      <c r="C395" s="161"/>
      <c r="D395" s="161"/>
      <c r="E395" s="161"/>
      <c r="F395" s="161"/>
      <c r="G395" s="161"/>
      <c r="H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</row>
    <row r="396">
      <c r="A396" s="161"/>
      <c r="B396" s="161"/>
      <c r="C396" s="161"/>
      <c r="D396" s="161"/>
      <c r="E396" s="161"/>
      <c r="F396" s="161"/>
      <c r="G396" s="161"/>
      <c r="H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</row>
    <row r="397">
      <c r="A397" s="161"/>
      <c r="B397" s="161"/>
      <c r="C397" s="161"/>
      <c r="D397" s="161"/>
      <c r="E397" s="161"/>
      <c r="F397" s="161"/>
      <c r="G397" s="161"/>
      <c r="H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</row>
    <row r="398">
      <c r="A398" s="161"/>
      <c r="B398" s="161"/>
      <c r="C398" s="161"/>
      <c r="D398" s="161"/>
      <c r="E398" s="161"/>
      <c r="F398" s="161"/>
      <c r="G398" s="161"/>
      <c r="H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</row>
    <row r="399">
      <c r="A399" s="161"/>
      <c r="B399" s="161"/>
      <c r="C399" s="161"/>
      <c r="D399" s="161"/>
      <c r="E399" s="161"/>
      <c r="F399" s="161"/>
      <c r="G399" s="161"/>
      <c r="H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</row>
    <row r="400">
      <c r="A400" s="161"/>
      <c r="B400" s="161"/>
      <c r="C400" s="161"/>
      <c r="D400" s="161"/>
      <c r="E400" s="161"/>
      <c r="F400" s="161"/>
      <c r="G400" s="161"/>
      <c r="H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</row>
    <row r="401">
      <c r="A401" s="161"/>
      <c r="B401" s="161"/>
      <c r="C401" s="161"/>
      <c r="D401" s="161"/>
      <c r="E401" s="161"/>
      <c r="F401" s="161"/>
      <c r="G401" s="161"/>
      <c r="H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</row>
    <row r="402">
      <c r="A402" s="161"/>
      <c r="B402" s="161"/>
      <c r="C402" s="161"/>
      <c r="D402" s="161"/>
      <c r="E402" s="161"/>
      <c r="F402" s="161"/>
      <c r="G402" s="161"/>
      <c r="H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</row>
    <row r="403">
      <c r="A403" s="161"/>
      <c r="B403" s="161"/>
      <c r="C403" s="161"/>
      <c r="D403" s="161"/>
      <c r="E403" s="161"/>
      <c r="F403" s="161"/>
      <c r="G403" s="161"/>
      <c r="H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</row>
    <row r="404">
      <c r="A404" s="161"/>
      <c r="B404" s="161"/>
      <c r="C404" s="161"/>
      <c r="D404" s="161"/>
      <c r="E404" s="161"/>
      <c r="F404" s="161"/>
      <c r="G404" s="161"/>
      <c r="H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</row>
    <row r="405">
      <c r="A405" s="161"/>
      <c r="B405" s="161"/>
      <c r="C405" s="161"/>
      <c r="D405" s="161"/>
      <c r="E405" s="161"/>
      <c r="F405" s="161"/>
      <c r="G405" s="161"/>
      <c r="H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</row>
    <row r="406">
      <c r="A406" s="161"/>
      <c r="B406" s="161"/>
      <c r="C406" s="161"/>
      <c r="D406" s="161"/>
      <c r="E406" s="161"/>
      <c r="F406" s="161"/>
      <c r="G406" s="161"/>
      <c r="H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</row>
    <row r="407">
      <c r="A407" s="161"/>
      <c r="B407" s="161"/>
      <c r="C407" s="161"/>
      <c r="D407" s="161"/>
      <c r="E407" s="161"/>
      <c r="F407" s="161"/>
      <c r="G407" s="161"/>
      <c r="H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</row>
    <row r="408">
      <c r="A408" s="161"/>
      <c r="B408" s="161"/>
      <c r="C408" s="161"/>
      <c r="D408" s="161"/>
      <c r="E408" s="161"/>
      <c r="F408" s="161"/>
      <c r="G408" s="161"/>
      <c r="H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</row>
    <row r="409">
      <c r="A409" s="161"/>
      <c r="B409" s="161"/>
      <c r="C409" s="161"/>
      <c r="D409" s="161"/>
      <c r="E409" s="161"/>
      <c r="F409" s="161"/>
      <c r="G409" s="161"/>
      <c r="H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</row>
    <row r="410">
      <c r="A410" s="161"/>
      <c r="B410" s="161"/>
      <c r="C410" s="161"/>
      <c r="D410" s="161"/>
      <c r="E410" s="161"/>
      <c r="F410" s="161"/>
      <c r="G410" s="161"/>
      <c r="H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</row>
    <row r="411">
      <c r="A411" s="161"/>
      <c r="B411" s="161"/>
      <c r="C411" s="161"/>
      <c r="D411" s="161"/>
      <c r="E411" s="161"/>
      <c r="F411" s="161"/>
      <c r="G411" s="161"/>
      <c r="H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</row>
    <row r="412">
      <c r="A412" s="161"/>
      <c r="B412" s="161"/>
      <c r="C412" s="161"/>
      <c r="D412" s="161"/>
      <c r="E412" s="161"/>
      <c r="F412" s="161"/>
      <c r="G412" s="161"/>
      <c r="H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</row>
    <row r="413">
      <c r="A413" s="161"/>
      <c r="B413" s="161"/>
      <c r="C413" s="161"/>
      <c r="D413" s="161"/>
      <c r="E413" s="161"/>
      <c r="F413" s="161"/>
      <c r="G413" s="161"/>
      <c r="H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</row>
    <row r="414">
      <c r="A414" s="161"/>
      <c r="B414" s="161"/>
      <c r="C414" s="161"/>
      <c r="D414" s="161"/>
      <c r="E414" s="161"/>
      <c r="F414" s="161"/>
      <c r="G414" s="161"/>
      <c r="H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</row>
    <row r="415">
      <c r="A415" s="161"/>
      <c r="B415" s="161"/>
      <c r="C415" s="161"/>
      <c r="D415" s="161"/>
      <c r="E415" s="161"/>
      <c r="F415" s="161"/>
      <c r="G415" s="161"/>
      <c r="H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</row>
    <row r="416">
      <c r="A416" s="161"/>
      <c r="B416" s="161"/>
      <c r="C416" s="161"/>
      <c r="D416" s="161"/>
      <c r="E416" s="161"/>
      <c r="F416" s="161"/>
      <c r="G416" s="161"/>
      <c r="H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</row>
    <row r="417">
      <c r="A417" s="161"/>
      <c r="B417" s="161"/>
      <c r="C417" s="161"/>
      <c r="D417" s="161"/>
      <c r="E417" s="161"/>
      <c r="F417" s="161"/>
      <c r="G417" s="161"/>
      <c r="H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</row>
    <row r="418">
      <c r="A418" s="161"/>
      <c r="B418" s="161"/>
      <c r="C418" s="161"/>
      <c r="D418" s="161"/>
      <c r="E418" s="161"/>
      <c r="F418" s="161"/>
      <c r="G418" s="161"/>
      <c r="H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</row>
    <row r="419">
      <c r="A419" s="161"/>
      <c r="B419" s="161"/>
      <c r="C419" s="161"/>
      <c r="D419" s="161"/>
      <c r="E419" s="161"/>
      <c r="F419" s="161"/>
      <c r="G419" s="161"/>
      <c r="H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</row>
    <row r="420">
      <c r="A420" s="161"/>
      <c r="B420" s="161"/>
      <c r="C420" s="161"/>
      <c r="D420" s="161"/>
      <c r="E420" s="161"/>
      <c r="F420" s="161"/>
      <c r="G420" s="161"/>
      <c r="H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</row>
    <row r="421">
      <c r="A421" s="161"/>
      <c r="B421" s="161"/>
      <c r="C421" s="161"/>
      <c r="D421" s="161"/>
      <c r="E421" s="161"/>
      <c r="F421" s="161"/>
      <c r="G421" s="161"/>
      <c r="H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</row>
    <row r="422">
      <c r="A422" s="161"/>
      <c r="B422" s="161"/>
      <c r="C422" s="161"/>
      <c r="D422" s="161"/>
      <c r="E422" s="161"/>
      <c r="F422" s="161"/>
      <c r="G422" s="161"/>
      <c r="H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</row>
    <row r="423">
      <c r="A423" s="161"/>
      <c r="B423" s="161"/>
      <c r="C423" s="161"/>
      <c r="D423" s="161"/>
      <c r="E423" s="161"/>
      <c r="F423" s="161"/>
      <c r="G423" s="161"/>
      <c r="H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</row>
    <row r="424">
      <c r="A424" s="161"/>
      <c r="B424" s="161"/>
      <c r="C424" s="161"/>
      <c r="D424" s="161"/>
      <c r="E424" s="161"/>
      <c r="F424" s="161"/>
      <c r="G424" s="161"/>
      <c r="H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</row>
    <row r="425">
      <c r="A425" s="161"/>
      <c r="B425" s="161"/>
      <c r="C425" s="161"/>
      <c r="D425" s="161"/>
      <c r="E425" s="161"/>
      <c r="F425" s="161"/>
      <c r="G425" s="161"/>
      <c r="H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</row>
    <row r="426">
      <c r="A426" s="161"/>
      <c r="B426" s="161"/>
      <c r="C426" s="161"/>
      <c r="D426" s="161"/>
      <c r="E426" s="161"/>
      <c r="F426" s="161"/>
      <c r="G426" s="161"/>
      <c r="H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</row>
    <row r="427">
      <c r="A427" s="161"/>
      <c r="B427" s="161"/>
      <c r="C427" s="161"/>
      <c r="D427" s="161"/>
      <c r="E427" s="161"/>
      <c r="F427" s="161"/>
      <c r="G427" s="161"/>
      <c r="H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</row>
    <row r="428">
      <c r="A428" s="161"/>
      <c r="B428" s="161"/>
      <c r="C428" s="161"/>
      <c r="D428" s="161"/>
      <c r="E428" s="161"/>
      <c r="F428" s="161"/>
      <c r="G428" s="161"/>
      <c r="H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</row>
    <row r="429">
      <c r="A429" s="161"/>
      <c r="B429" s="161"/>
      <c r="C429" s="161"/>
      <c r="D429" s="161"/>
      <c r="E429" s="161"/>
      <c r="F429" s="161"/>
      <c r="G429" s="161"/>
      <c r="H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</row>
    <row r="430">
      <c r="A430" s="161"/>
      <c r="B430" s="161"/>
      <c r="C430" s="161"/>
      <c r="D430" s="161"/>
      <c r="E430" s="161"/>
      <c r="F430" s="161"/>
      <c r="G430" s="161"/>
      <c r="H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</row>
    <row r="431">
      <c r="A431" s="161"/>
      <c r="B431" s="161"/>
      <c r="C431" s="161"/>
      <c r="D431" s="161"/>
      <c r="E431" s="161"/>
      <c r="F431" s="161"/>
      <c r="G431" s="161"/>
      <c r="H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</row>
    <row r="432">
      <c r="A432" s="161"/>
      <c r="B432" s="161"/>
      <c r="C432" s="161"/>
      <c r="D432" s="161"/>
      <c r="E432" s="161"/>
      <c r="F432" s="161"/>
      <c r="G432" s="161"/>
      <c r="H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</row>
    <row r="433">
      <c r="A433" s="161"/>
      <c r="B433" s="161"/>
      <c r="C433" s="161"/>
      <c r="D433" s="161"/>
      <c r="E433" s="161"/>
      <c r="F433" s="161"/>
      <c r="G433" s="161"/>
      <c r="H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</row>
    <row r="434">
      <c r="A434" s="161"/>
      <c r="B434" s="161"/>
      <c r="C434" s="161"/>
      <c r="D434" s="161"/>
      <c r="E434" s="161"/>
      <c r="F434" s="161"/>
      <c r="G434" s="161"/>
      <c r="H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</row>
    <row r="435">
      <c r="A435" s="161"/>
      <c r="B435" s="161"/>
      <c r="C435" s="161"/>
      <c r="D435" s="161"/>
      <c r="E435" s="161"/>
      <c r="F435" s="161"/>
      <c r="G435" s="161"/>
      <c r="H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</row>
    <row r="436">
      <c r="A436" s="161"/>
      <c r="B436" s="161"/>
      <c r="C436" s="161"/>
      <c r="D436" s="161"/>
      <c r="E436" s="161"/>
      <c r="F436" s="161"/>
      <c r="G436" s="161"/>
      <c r="H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</row>
    <row r="437">
      <c r="A437" s="161"/>
      <c r="B437" s="161"/>
      <c r="C437" s="161"/>
      <c r="D437" s="161"/>
      <c r="E437" s="161"/>
      <c r="F437" s="161"/>
      <c r="G437" s="161"/>
      <c r="H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</row>
    <row r="438">
      <c r="A438" s="161"/>
      <c r="B438" s="161"/>
      <c r="C438" s="161"/>
      <c r="D438" s="161"/>
      <c r="E438" s="161"/>
      <c r="F438" s="161"/>
      <c r="G438" s="161"/>
      <c r="H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</row>
    <row r="439">
      <c r="A439" s="161"/>
      <c r="B439" s="161"/>
      <c r="C439" s="161"/>
      <c r="D439" s="161"/>
      <c r="E439" s="161"/>
      <c r="F439" s="161"/>
      <c r="G439" s="161"/>
      <c r="H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</row>
    <row r="440">
      <c r="A440" s="161"/>
      <c r="B440" s="161"/>
      <c r="C440" s="161"/>
      <c r="D440" s="161"/>
      <c r="E440" s="161"/>
      <c r="F440" s="161"/>
      <c r="G440" s="161"/>
      <c r="H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</row>
    <row r="441">
      <c r="A441" s="161"/>
      <c r="B441" s="161"/>
      <c r="C441" s="161"/>
      <c r="D441" s="161"/>
      <c r="E441" s="161"/>
      <c r="F441" s="161"/>
      <c r="G441" s="161"/>
      <c r="H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</row>
    <row r="442">
      <c r="A442" s="161"/>
      <c r="B442" s="161"/>
      <c r="C442" s="161"/>
      <c r="D442" s="161"/>
      <c r="E442" s="161"/>
      <c r="F442" s="161"/>
      <c r="G442" s="161"/>
      <c r="H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</row>
    <row r="443">
      <c r="A443" s="161"/>
      <c r="B443" s="161"/>
      <c r="C443" s="161"/>
      <c r="D443" s="161"/>
      <c r="E443" s="161"/>
      <c r="F443" s="161"/>
      <c r="G443" s="161"/>
      <c r="H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</row>
    <row r="444">
      <c r="A444" s="161"/>
      <c r="B444" s="161"/>
      <c r="C444" s="161"/>
      <c r="D444" s="161"/>
      <c r="E444" s="161"/>
      <c r="F444" s="161"/>
      <c r="G444" s="161"/>
      <c r="H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</row>
    <row r="445">
      <c r="A445" s="161"/>
      <c r="B445" s="161"/>
      <c r="C445" s="161"/>
      <c r="D445" s="161"/>
      <c r="E445" s="161"/>
      <c r="F445" s="161"/>
      <c r="G445" s="161"/>
      <c r="H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</row>
    <row r="446">
      <c r="A446" s="161"/>
      <c r="B446" s="161"/>
      <c r="C446" s="161"/>
      <c r="D446" s="161"/>
      <c r="E446" s="161"/>
      <c r="F446" s="161"/>
      <c r="G446" s="161"/>
      <c r="H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</row>
    <row r="447">
      <c r="A447" s="161"/>
      <c r="B447" s="161"/>
      <c r="C447" s="161"/>
      <c r="D447" s="161"/>
      <c r="E447" s="161"/>
      <c r="F447" s="161"/>
      <c r="G447" s="161"/>
      <c r="H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</row>
    <row r="448">
      <c r="A448" s="161"/>
      <c r="B448" s="161"/>
      <c r="C448" s="161"/>
      <c r="D448" s="161"/>
      <c r="E448" s="161"/>
      <c r="F448" s="161"/>
      <c r="G448" s="161"/>
      <c r="H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</row>
    <row r="449">
      <c r="A449" s="161"/>
      <c r="B449" s="161"/>
      <c r="C449" s="161"/>
      <c r="D449" s="161"/>
      <c r="E449" s="161"/>
      <c r="F449" s="161"/>
      <c r="G449" s="161"/>
      <c r="H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</row>
    <row r="450">
      <c r="A450" s="161"/>
      <c r="B450" s="161"/>
      <c r="C450" s="161"/>
      <c r="D450" s="161"/>
      <c r="E450" s="161"/>
      <c r="F450" s="161"/>
      <c r="G450" s="161"/>
      <c r="H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</row>
    <row r="451">
      <c r="A451" s="161"/>
      <c r="B451" s="161"/>
      <c r="C451" s="161"/>
      <c r="D451" s="161"/>
      <c r="E451" s="161"/>
      <c r="F451" s="161"/>
      <c r="G451" s="161"/>
      <c r="H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</row>
    <row r="452">
      <c r="A452" s="161"/>
      <c r="B452" s="161"/>
      <c r="C452" s="161"/>
      <c r="D452" s="161"/>
      <c r="E452" s="161"/>
      <c r="F452" s="161"/>
      <c r="G452" s="161"/>
      <c r="H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</row>
    <row r="453">
      <c r="A453" s="161"/>
      <c r="B453" s="161"/>
      <c r="C453" s="161"/>
      <c r="D453" s="161"/>
      <c r="E453" s="161"/>
      <c r="F453" s="161"/>
      <c r="G453" s="161"/>
      <c r="H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</row>
    <row r="454">
      <c r="A454" s="161"/>
      <c r="B454" s="161"/>
      <c r="C454" s="161"/>
      <c r="D454" s="161"/>
      <c r="E454" s="161"/>
      <c r="F454" s="161"/>
      <c r="G454" s="161"/>
      <c r="H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</row>
    <row r="455">
      <c r="A455" s="161"/>
      <c r="B455" s="161"/>
      <c r="C455" s="161"/>
      <c r="D455" s="161"/>
      <c r="E455" s="161"/>
      <c r="F455" s="161"/>
      <c r="G455" s="161"/>
      <c r="H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</row>
    <row r="456">
      <c r="A456" s="161"/>
      <c r="B456" s="161"/>
      <c r="C456" s="161"/>
      <c r="D456" s="161"/>
      <c r="E456" s="161"/>
      <c r="F456" s="161"/>
      <c r="G456" s="161"/>
      <c r="H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</row>
    <row r="457">
      <c r="A457" s="161"/>
      <c r="B457" s="161"/>
      <c r="C457" s="161"/>
      <c r="D457" s="161"/>
      <c r="E457" s="161"/>
      <c r="F457" s="161"/>
      <c r="G457" s="161"/>
      <c r="H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</row>
    <row r="458">
      <c r="A458" s="161"/>
      <c r="B458" s="161"/>
      <c r="C458" s="161"/>
      <c r="D458" s="161"/>
      <c r="E458" s="161"/>
      <c r="F458" s="161"/>
      <c r="G458" s="161"/>
      <c r="H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</row>
    <row r="459">
      <c r="A459" s="161"/>
      <c r="B459" s="161"/>
      <c r="C459" s="161"/>
      <c r="D459" s="161"/>
      <c r="E459" s="161"/>
      <c r="F459" s="161"/>
      <c r="G459" s="161"/>
      <c r="H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</row>
    <row r="460">
      <c r="A460" s="161"/>
      <c r="B460" s="161"/>
      <c r="C460" s="161"/>
      <c r="D460" s="161"/>
      <c r="E460" s="161"/>
      <c r="F460" s="161"/>
      <c r="G460" s="161"/>
      <c r="H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</row>
    <row r="461">
      <c r="A461" s="161"/>
      <c r="B461" s="161"/>
      <c r="C461" s="161"/>
      <c r="D461" s="161"/>
      <c r="E461" s="161"/>
      <c r="F461" s="161"/>
      <c r="G461" s="161"/>
      <c r="H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</row>
    <row r="462">
      <c r="A462" s="161"/>
      <c r="B462" s="161"/>
      <c r="C462" s="161"/>
      <c r="D462" s="161"/>
      <c r="E462" s="161"/>
      <c r="F462" s="161"/>
      <c r="G462" s="161"/>
      <c r="H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</row>
    <row r="463">
      <c r="A463" s="161"/>
      <c r="B463" s="161"/>
      <c r="C463" s="161"/>
      <c r="D463" s="161"/>
      <c r="E463" s="161"/>
      <c r="F463" s="161"/>
      <c r="G463" s="161"/>
      <c r="H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</row>
    <row r="464">
      <c r="A464" s="161"/>
      <c r="B464" s="161"/>
      <c r="C464" s="161"/>
      <c r="D464" s="161"/>
      <c r="E464" s="161"/>
      <c r="F464" s="161"/>
      <c r="G464" s="161"/>
      <c r="H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</row>
    <row r="465">
      <c r="A465" s="161"/>
      <c r="B465" s="161"/>
      <c r="C465" s="161"/>
      <c r="D465" s="161"/>
      <c r="E465" s="161"/>
      <c r="F465" s="161"/>
      <c r="G465" s="161"/>
      <c r="H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</row>
    <row r="466">
      <c r="A466" s="161"/>
      <c r="B466" s="161"/>
      <c r="C466" s="161"/>
      <c r="D466" s="161"/>
      <c r="E466" s="161"/>
      <c r="F466" s="161"/>
      <c r="G466" s="161"/>
      <c r="H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</row>
    <row r="467">
      <c r="A467" s="161"/>
      <c r="B467" s="161"/>
      <c r="C467" s="161"/>
      <c r="D467" s="161"/>
      <c r="E467" s="161"/>
      <c r="F467" s="161"/>
      <c r="G467" s="161"/>
      <c r="H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</row>
    <row r="468">
      <c r="A468" s="161"/>
      <c r="B468" s="161"/>
      <c r="C468" s="161"/>
      <c r="D468" s="161"/>
      <c r="E468" s="161"/>
      <c r="F468" s="161"/>
      <c r="G468" s="161"/>
      <c r="H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</row>
    <row r="469">
      <c r="A469" s="161"/>
      <c r="B469" s="161"/>
      <c r="C469" s="161"/>
      <c r="D469" s="161"/>
      <c r="E469" s="161"/>
      <c r="F469" s="161"/>
      <c r="G469" s="161"/>
      <c r="H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</row>
    <row r="470">
      <c r="A470" s="161"/>
      <c r="B470" s="161"/>
      <c r="C470" s="161"/>
      <c r="D470" s="161"/>
      <c r="E470" s="161"/>
      <c r="F470" s="161"/>
      <c r="G470" s="161"/>
      <c r="H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</row>
    <row r="471">
      <c r="A471" s="161"/>
      <c r="B471" s="161"/>
      <c r="C471" s="161"/>
      <c r="D471" s="161"/>
      <c r="E471" s="161"/>
      <c r="F471" s="161"/>
      <c r="G471" s="161"/>
      <c r="H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</row>
    <row r="472">
      <c r="A472" s="161"/>
      <c r="B472" s="161"/>
      <c r="C472" s="161"/>
      <c r="D472" s="161"/>
      <c r="E472" s="161"/>
      <c r="F472" s="161"/>
      <c r="G472" s="161"/>
      <c r="H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</row>
    <row r="473">
      <c r="A473" s="161"/>
      <c r="B473" s="161"/>
      <c r="C473" s="161"/>
      <c r="D473" s="161"/>
      <c r="E473" s="161"/>
      <c r="F473" s="161"/>
      <c r="G473" s="161"/>
      <c r="H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</row>
    <row r="474">
      <c r="A474" s="161"/>
      <c r="B474" s="161"/>
      <c r="C474" s="161"/>
      <c r="D474" s="161"/>
      <c r="E474" s="161"/>
      <c r="F474" s="161"/>
      <c r="G474" s="161"/>
      <c r="H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</row>
    <row r="475">
      <c r="A475" s="161"/>
      <c r="B475" s="161"/>
      <c r="C475" s="161"/>
      <c r="D475" s="161"/>
      <c r="E475" s="161"/>
      <c r="F475" s="161"/>
      <c r="G475" s="161"/>
      <c r="H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</row>
    <row r="476">
      <c r="A476" s="161"/>
      <c r="B476" s="161"/>
      <c r="C476" s="161"/>
      <c r="D476" s="161"/>
      <c r="E476" s="161"/>
      <c r="F476" s="161"/>
      <c r="G476" s="161"/>
      <c r="H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</row>
    <row r="477">
      <c r="A477" s="161"/>
      <c r="B477" s="161"/>
      <c r="C477" s="161"/>
      <c r="D477" s="161"/>
      <c r="E477" s="161"/>
      <c r="F477" s="161"/>
      <c r="G477" s="161"/>
      <c r="H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</row>
    <row r="478">
      <c r="A478" s="161"/>
      <c r="B478" s="161"/>
      <c r="C478" s="161"/>
      <c r="D478" s="161"/>
      <c r="E478" s="161"/>
      <c r="F478" s="161"/>
      <c r="G478" s="161"/>
      <c r="H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</row>
    <row r="479">
      <c r="A479" s="161"/>
      <c r="B479" s="161"/>
      <c r="C479" s="161"/>
      <c r="D479" s="161"/>
      <c r="E479" s="161"/>
      <c r="F479" s="161"/>
      <c r="G479" s="161"/>
      <c r="H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</row>
    <row r="480">
      <c r="A480" s="161"/>
      <c r="B480" s="161"/>
      <c r="C480" s="161"/>
      <c r="D480" s="161"/>
      <c r="E480" s="161"/>
      <c r="F480" s="161"/>
      <c r="G480" s="161"/>
      <c r="H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</row>
    <row r="481">
      <c r="A481" s="161"/>
      <c r="B481" s="161"/>
      <c r="C481" s="161"/>
      <c r="D481" s="161"/>
      <c r="E481" s="161"/>
      <c r="F481" s="161"/>
      <c r="G481" s="161"/>
      <c r="H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</row>
    <row r="482">
      <c r="A482" s="161"/>
      <c r="B482" s="161"/>
      <c r="C482" s="161"/>
      <c r="D482" s="161"/>
      <c r="E482" s="161"/>
      <c r="F482" s="161"/>
      <c r="G482" s="161"/>
      <c r="H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</row>
    <row r="483">
      <c r="A483" s="161"/>
      <c r="B483" s="161"/>
      <c r="C483" s="161"/>
      <c r="D483" s="161"/>
      <c r="E483" s="161"/>
      <c r="F483" s="161"/>
      <c r="G483" s="161"/>
      <c r="H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</row>
    <row r="484">
      <c r="A484" s="161"/>
      <c r="B484" s="161"/>
      <c r="C484" s="161"/>
      <c r="D484" s="161"/>
      <c r="E484" s="161"/>
      <c r="F484" s="161"/>
      <c r="G484" s="161"/>
      <c r="H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</row>
    <row r="485">
      <c r="A485" s="161"/>
      <c r="B485" s="161"/>
      <c r="C485" s="161"/>
      <c r="D485" s="161"/>
      <c r="E485" s="161"/>
      <c r="F485" s="161"/>
      <c r="G485" s="161"/>
      <c r="H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</row>
    <row r="486">
      <c r="A486" s="161"/>
      <c r="B486" s="161"/>
      <c r="C486" s="161"/>
      <c r="D486" s="161"/>
      <c r="E486" s="161"/>
      <c r="F486" s="161"/>
      <c r="G486" s="161"/>
      <c r="H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</row>
    <row r="487">
      <c r="A487" s="161"/>
      <c r="B487" s="161"/>
      <c r="C487" s="161"/>
      <c r="D487" s="161"/>
      <c r="E487" s="161"/>
      <c r="F487" s="161"/>
      <c r="G487" s="161"/>
      <c r="H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</row>
    <row r="488">
      <c r="A488" s="161"/>
      <c r="B488" s="161"/>
      <c r="C488" s="161"/>
      <c r="D488" s="161"/>
      <c r="E488" s="161"/>
      <c r="F488" s="161"/>
      <c r="G488" s="161"/>
      <c r="H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</row>
    <row r="489">
      <c r="A489" s="161"/>
      <c r="B489" s="161"/>
      <c r="C489" s="161"/>
      <c r="D489" s="161"/>
      <c r="E489" s="161"/>
      <c r="F489" s="161"/>
      <c r="G489" s="161"/>
      <c r="H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</row>
    <row r="490">
      <c r="A490" s="161"/>
      <c r="B490" s="161"/>
      <c r="C490" s="161"/>
      <c r="D490" s="161"/>
      <c r="E490" s="161"/>
      <c r="F490" s="161"/>
      <c r="G490" s="161"/>
      <c r="H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</row>
    <row r="491">
      <c r="A491" s="161"/>
      <c r="B491" s="161"/>
      <c r="C491" s="161"/>
      <c r="D491" s="161"/>
      <c r="E491" s="161"/>
      <c r="F491" s="161"/>
      <c r="G491" s="161"/>
      <c r="H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</row>
    <row r="492">
      <c r="A492" s="161"/>
      <c r="B492" s="161"/>
      <c r="C492" s="161"/>
      <c r="D492" s="161"/>
      <c r="E492" s="161"/>
      <c r="F492" s="161"/>
      <c r="G492" s="161"/>
      <c r="H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</row>
    <row r="493">
      <c r="A493" s="161"/>
      <c r="B493" s="161"/>
      <c r="C493" s="161"/>
      <c r="D493" s="161"/>
      <c r="E493" s="161"/>
      <c r="F493" s="161"/>
      <c r="G493" s="161"/>
      <c r="H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</row>
    <row r="494">
      <c r="A494" s="161"/>
      <c r="B494" s="161"/>
      <c r="C494" s="161"/>
      <c r="D494" s="161"/>
      <c r="E494" s="161"/>
      <c r="F494" s="161"/>
      <c r="G494" s="161"/>
      <c r="H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</row>
    <row r="495">
      <c r="A495" s="161"/>
      <c r="B495" s="161"/>
      <c r="C495" s="161"/>
      <c r="D495" s="161"/>
      <c r="E495" s="161"/>
      <c r="F495" s="161"/>
      <c r="G495" s="161"/>
      <c r="H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</row>
    <row r="496">
      <c r="A496" s="161"/>
      <c r="B496" s="161"/>
      <c r="C496" s="161"/>
      <c r="D496" s="161"/>
      <c r="E496" s="161"/>
      <c r="F496" s="161"/>
      <c r="G496" s="161"/>
      <c r="H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</row>
    <row r="497">
      <c r="A497" s="161"/>
      <c r="B497" s="161"/>
      <c r="C497" s="161"/>
      <c r="D497" s="161"/>
      <c r="E497" s="161"/>
      <c r="F497" s="161"/>
      <c r="G497" s="161"/>
      <c r="H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</row>
    <row r="498">
      <c r="A498" s="161"/>
      <c r="B498" s="161"/>
      <c r="C498" s="161"/>
      <c r="D498" s="161"/>
      <c r="E498" s="161"/>
      <c r="F498" s="161"/>
      <c r="G498" s="161"/>
      <c r="H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</row>
    <row r="499">
      <c r="A499" s="161"/>
      <c r="B499" s="161"/>
      <c r="C499" s="161"/>
      <c r="D499" s="161"/>
      <c r="E499" s="161"/>
      <c r="F499" s="161"/>
      <c r="G499" s="161"/>
      <c r="H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</row>
    <row r="500">
      <c r="A500" s="161"/>
      <c r="B500" s="161"/>
      <c r="C500" s="161"/>
      <c r="D500" s="161"/>
      <c r="E500" s="161"/>
      <c r="F500" s="161"/>
      <c r="G500" s="161"/>
      <c r="H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</row>
    <row r="501">
      <c r="A501" s="161"/>
      <c r="B501" s="161"/>
      <c r="C501" s="161"/>
      <c r="D501" s="161"/>
      <c r="E501" s="161"/>
      <c r="F501" s="161"/>
      <c r="G501" s="161"/>
      <c r="H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</row>
    <row r="502">
      <c r="A502" s="161"/>
      <c r="B502" s="161"/>
      <c r="C502" s="161"/>
      <c r="D502" s="161"/>
      <c r="E502" s="161"/>
      <c r="F502" s="161"/>
      <c r="G502" s="161"/>
      <c r="H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</row>
    <row r="503">
      <c r="A503" s="161"/>
      <c r="B503" s="161"/>
      <c r="C503" s="161"/>
      <c r="D503" s="161"/>
      <c r="E503" s="161"/>
      <c r="F503" s="161"/>
      <c r="G503" s="161"/>
      <c r="H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</row>
    <row r="504">
      <c r="A504" s="161"/>
      <c r="B504" s="161"/>
      <c r="C504" s="161"/>
      <c r="D504" s="161"/>
      <c r="E504" s="161"/>
      <c r="F504" s="161"/>
      <c r="G504" s="161"/>
      <c r="H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</row>
    <row r="505">
      <c r="A505" s="161"/>
      <c r="B505" s="161"/>
      <c r="C505" s="161"/>
      <c r="D505" s="161"/>
      <c r="E505" s="161"/>
      <c r="F505" s="161"/>
      <c r="G505" s="161"/>
      <c r="H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</row>
    <row r="506">
      <c r="A506" s="161"/>
      <c r="B506" s="161"/>
      <c r="C506" s="161"/>
      <c r="D506" s="161"/>
      <c r="E506" s="161"/>
      <c r="F506" s="161"/>
      <c r="G506" s="161"/>
      <c r="H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</row>
    <row r="507">
      <c r="A507" s="161"/>
      <c r="B507" s="161"/>
      <c r="C507" s="161"/>
      <c r="D507" s="161"/>
      <c r="E507" s="161"/>
      <c r="F507" s="161"/>
      <c r="G507" s="161"/>
      <c r="H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</row>
    <row r="508">
      <c r="A508" s="161"/>
      <c r="B508" s="161"/>
      <c r="C508" s="161"/>
      <c r="D508" s="161"/>
      <c r="E508" s="161"/>
      <c r="F508" s="161"/>
      <c r="G508" s="161"/>
      <c r="H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</row>
    <row r="509">
      <c r="A509" s="161"/>
      <c r="B509" s="161"/>
      <c r="C509" s="161"/>
      <c r="D509" s="161"/>
      <c r="E509" s="161"/>
      <c r="F509" s="161"/>
      <c r="G509" s="161"/>
      <c r="H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</row>
    <row r="510">
      <c r="A510" s="161"/>
      <c r="B510" s="161"/>
      <c r="C510" s="161"/>
      <c r="D510" s="161"/>
      <c r="E510" s="161"/>
      <c r="F510" s="161"/>
      <c r="G510" s="161"/>
      <c r="H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</row>
    <row r="511">
      <c r="A511" s="161"/>
      <c r="B511" s="161"/>
      <c r="C511" s="161"/>
      <c r="D511" s="161"/>
      <c r="E511" s="161"/>
      <c r="F511" s="161"/>
      <c r="G511" s="161"/>
      <c r="H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</row>
    <row r="512">
      <c r="A512" s="161"/>
      <c r="B512" s="161"/>
      <c r="C512" s="161"/>
      <c r="D512" s="161"/>
      <c r="E512" s="161"/>
      <c r="F512" s="161"/>
      <c r="G512" s="161"/>
      <c r="H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</row>
    <row r="513">
      <c r="A513" s="161"/>
      <c r="B513" s="161"/>
      <c r="C513" s="161"/>
      <c r="D513" s="161"/>
      <c r="E513" s="161"/>
      <c r="F513" s="161"/>
      <c r="G513" s="161"/>
      <c r="H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</row>
    <row r="514">
      <c r="A514" s="161"/>
      <c r="B514" s="161"/>
      <c r="C514" s="161"/>
      <c r="D514" s="161"/>
      <c r="E514" s="161"/>
      <c r="F514" s="161"/>
      <c r="G514" s="161"/>
      <c r="H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</row>
    <row r="515">
      <c r="A515" s="161"/>
      <c r="B515" s="161"/>
      <c r="C515" s="161"/>
      <c r="D515" s="161"/>
      <c r="E515" s="161"/>
      <c r="F515" s="161"/>
      <c r="G515" s="161"/>
      <c r="H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</row>
    <row r="516">
      <c r="A516" s="161"/>
      <c r="B516" s="161"/>
      <c r="C516" s="161"/>
      <c r="D516" s="161"/>
      <c r="E516" s="161"/>
      <c r="F516" s="161"/>
      <c r="G516" s="161"/>
      <c r="H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</row>
    <row r="517">
      <c r="A517" s="161"/>
      <c r="B517" s="161"/>
      <c r="C517" s="161"/>
      <c r="D517" s="161"/>
      <c r="E517" s="161"/>
      <c r="F517" s="161"/>
      <c r="G517" s="161"/>
      <c r="H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</row>
    <row r="518">
      <c r="A518" s="161"/>
      <c r="B518" s="161"/>
      <c r="C518" s="161"/>
      <c r="D518" s="161"/>
      <c r="E518" s="161"/>
      <c r="F518" s="161"/>
      <c r="G518" s="161"/>
      <c r="H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</row>
    <row r="519">
      <c r="A519" s="161"/>
      <c r="B519" s="161"/>
      <c r="C519" s="161"/>
      <c r="D519" s="161"/>
      <c r="E519" s="161"/>
      <c r="F519" s="161"/>
      <c r="G519" s="161"/>
      <c r="H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</row>
    <row r="520">
      <c r="A520" s="161"/>
      <c r="B520" s="161"/>
      <c r="C520" s="161"/>
      <c r="D520" s="161"/>
      <c r="E520" s="161"/>
      <c r="F520" s="161"/>
      <c r="G520" s="161"/>
      <c r="H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</row>
    <row r="521">
      <c r="A521" s="161"/>
      <c r="B521" s="161"/>
      <c r="C521" s="161"/>
      <c r="D521" s="161"/>
      <c r="E521" s="161"/>
      <c r="F521" s="161"/>
      <c r="G521" s="161"/>
      <c r="H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</row>
    <row r="522">
      <c r="A522" s="161"/>
      <c r="B522" s="161"/>
      <c r="C522" s="161"/>
      <c r="D522" s="161"/>
      <c r="E522" s="161"/>
      <c r="F522" s="161"/>
      <c r="G522" s="161"/>
      <c r="H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</row>
    <row r="523">
      <c r="A523" s="161"/>
      <c r="B523" s="161"/>
      <c r="C523" s="161"/>
      <c r="D523" s="161"/>
      <c r="E523" s="161"/>
      <c r="F523" s="161"/>
      <c r="G523" s="161"/>
      <c r="H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</row>
    <row r="524">
      <c r="A524" s="161"/>
      <c r="B524" s="161"/>
      <c r="C524" s="161"/>
      <c r="D524" s="161"/>
      <c r="E524" s="161"/>
      <c r="F524" s="161"/>
      <c r="G524" s="161"/>
      <c r="H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</row>
    <row r="525">
      <c r="A525" s="161"/>
      <c r="B525" s="161"/>
      <c r="C525" s="161"/>
      <c r="D525" s="161"/>
      <c r="E525" s="161"/>
      <c r="F525" s="161"/>
      <c r="G525" s="161"/>
      <c r="H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</row>
    <row r="526">
      <c r="A526" s="161"/>
      <c r="B526" s="161"/>
      <c r="C526" s="161"/>
      <c r="D526" s="161"/>
      <c r="E526" s="161"/>
      <c r="F526" s="161"/>
      <c r="G526" s="161"/>
      <c r="H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</row>
    <row r="527">
      <c r="A527" s="161"/>
      <c r="B527" s="161"/>
      <c r="C527" s="161"/>
      <c r="D527" s="161"/>
      <c r="E527" s="161"/>
      <c r="F527" s="161"/>
      <c r="G527" s="161"/>
      <c r="H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</row>
    <row r="528">
      <c r="A528" s="161"/>
      <c r="B528" s="161"/>
      <c r="C528" s="161"/>
      <c r="D528" s="161"/>
      <c r="E528" s="161"/>
      <c r="F528" s="161"/>
      <c r="G528" s="161"/>
      <c r="H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</row>
    <row r="529">
      <c r="A529" s="161"/>
      <c r="B529" s="161"/>
      <c r="C529" s="161"/>
      <c r="D529" s="161"/>
      <c r="E529" s="161"/>
      <c r="F529" s="161"/>
      <c r="G529" s="161"/>
      <c r="H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</row>
    <row r="530">
      <c r="A530" s="161"/>
      <c r="B530" s="161"/>
      <c r="C530" s="161"/>
      <c r="D530" s="161"/>
      <c r="E530" s="161"/>
      <c r="F530" s="161"/>
      <c r="G530" s="161"/>
      <c r="H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</row>
    <row r="531">
      <c r="A531" s="161"/>
      <c r="B531" s="161"/>
      <c r="C531" s="161"/>
      <c r="D531" s="161"/>
      <c r="E531" s="161"/>
      <c r="F531" s="161"/>
      <c r="G531" s="161"/>
      <c r="H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</row>
    <row r="532">
      <c r="A532" s="161"/>
      <c r="B532" s="161"/>
      <c r="C532" s="161"/>
      <c r="D532" s="161"/>
      <c r="E532" s="161"/>
      <c r="F532" s="161"/>
      <c r="G532" s="161"/>
      <c r="H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</row>
    <row r="533">
      <c r="A533" s="161"/>
      <c r="B533" s="161"/>
      <c r="C533" s="161"/>
      <c r="D533" s="161"/>
      <c r="E533" s="161"/>
      <c r="F533" s="161"/>
      <c r="G533" s="161"/>
      <c r="H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</row>
    <row r="534">
      <c r="A534" s="161"/>
      <c r="B534" s="161"/>
      <c r="C534" s="161"/>
      <c r="D534" s="161"/>
      <c r="E534" s="161"/>
      <c r="F534" s="161"/>
      <c r="G534" s="161"/>
      <c r="H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</row>
    <row r="535">
      <c r="A535" s="161"/>
      <c r="B535" s="161"/>
      <c r="C535" s="161"/>
      <c r="D535" s="161"/>
      <c r="E535" s="161"/>
      <c r="F535" s="161"/>
      <c r="G535" s="161"/>
      <c r="H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</row>
    <row r="536">
      <c r="A536" s="161"/>
      <c r="B536" s="161"/>
      <c r="C536" s="161"/>
      <c r="D536" s="161"/>
      <c r="E536" s="161"/>
      <c r="F536" s="161"/>
      <c r="G536" s="161"/>
      <c r="H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</row>
    <row r="537">
      <c r="A537" s="161"/>
      <c r="B537" s="161"/>
      <c r="C537" s="161"/>
      <c r="D537" s="161"/>
      <c r="E537" s="161"/>
      <c r="F537" s="161"/>
      <c r="G537" s="161"/>
      <c r="H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</row>
    <row r="538">
      <c r="A538" s="161"/>
      <c r="B538" s="161"/>
      <c r="C538" s="161"/>
      <c r="D538" s="161"/>
      <c r="E538" s="161"/>
      <c r="F538" s="161"/>
      <c r="G538" s="161"/>
      <c r="H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</row>
    <row r="539">
      <c r="A539" s="161"/>
      <c r="B539" s="161"/>
      <c r="C539" s="161"/>
      <c r="D539" s="161"/>
      <c r="E539" s="161"/>
      <c r="F539" s="161"/>
      <c r="G539" s="161"/>
      <c r="H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</row>
    <row r="540">
      <c r="A540" s="161"/>
      <c r="B540" s="161"/>
      <c r="C540" s="161"/>
      <c r="D540" s="161"/>
      <c r="E540" s="161"/>
      <c r="F540" s="161"/>
      <c r="G540" s="161"/>
      <c r="H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</row>
    <row r="541">
      <c r="A541" s="161"/>
      <c r="B541" s="161"/>
      <c r="C541" s="161"/>
      <c r="D541" s="161"/>
      <c r="E541" s="161"/>
      <c r="F541" s="161"/>
      <c r="G541" s="161"/>
      <c r="H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</row>
    <row r="542">
      <c r="A542" s="161"/>
      <c r="B542" s="161"/>
      <c r="C542" s="161"/>
      <c r="D542" s="161"/>
      <c r="E542" s="161"/>
      <c r="F542" s="161"/>
      <c r="G542" s="161"/>
      <c r="H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</row>
    <row r="543">
      <c r="A543" s="161"/>
      <c r="B543" s="161"/>
      <c r="C543" s="161"/>
      <c r="D543" s="161"/>
      <c r="E543" s="161"/>
      <c r="F543" s="161"/>
      <c r="G543" s="161"/>
      <c r="H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</row>
    <row r="544">
      <c r="A544" s="161"/>
      <c r="B544" s="161"/>
      <c r="C544" s="161"/>
      <c r="D544" s="161"/>
      <c r="E544" s="161"/>
      <c r="F544" s="161"/>
      <c r="G544" s="161"/>
      <c r="H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</row>
    <row r="545">
      <c r="A545" s="161"/>
      <c r="B545" s="161"/>
      <c r="C545" s="161"/>
      <c r="D545" s="161"/>
      <c r="E545" s="161"/>
      <c r="F545" s="161"/>
      <c r="G545" s="161"/>
      <c r="H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</row>
    <row r="546">
      <c r="A546" s="161"/>
      <c r="B546" s="161"/>
      <c r="C546" s="161"/>
      <c r="D546" s="161"/>
      <c r="E546" s="161"/>
      <c r="F546" s="161"/>
      <c r="G546" s="161"/>
      <c r="H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</row>
    <row r="547">
      <c r="A547" s="161"/>
      <c r="B547" s="161"/>
      <c r="C547" s="161"/>
      <c r="D547" s="161"/>
      <c r="E547" s="161"/>
      <c r="F547" s="161"/>
      <c r="G547" s="161"/>
      <c r="H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</row>
    <row r="548">
      <c r="A548" s="161"/>
      <c r="B548" s="161"/>
      <c r="C548" s="161"/>
      <c r="D548" s="161"/>
      <c r="E548" s="161"/>
      <c r="F548" s="161"/>
      <c r="G548" s="161"/>
      <c r="H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</row>
    <row r="549">
      <c r="A549" s="161"/>
      <c r="B549" s="161"/>
      <c r="C549" s="161"/>
      <c r="D549" s="161"/>
      <c r="E549" s="161"/>
      <c r="F549" s="161"/>
      <c r="G549" s="161"/>
      <c r="H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</row>
    <row r="550">
      <c r="A550" s="161"/>
      <c r="B550" s="161"/>
      <c r="C550" s="161"/>
      <c r="D550" s="161"/>
      <c r="E550" s="161"/>
      <c r="F550" s="161"/>
      <c r="G550" s="161"/>
      <c r="H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</row>
    <row r="551">
      <c r="A551" s="161"/>
      <c r="B551" s="161"/>
      <c r="C551" s="161"/>
      <c r="D551" s="161"/>
      <c r="E551" s="161"/>
      <c r="F551" s="161"/>
      <c r="G551" s="161"/>
      <c r="H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</row>
    <row r="552">
      <c r="A552" s="161"/>
      <c r="B552" s="161"/>
      <c r="C552" s="161"/>
      <c r="D552" s="161"/>
      <c r="E552" s="161"/>
      <c r="F552" s="161"/>
      <c r="G552" s="161"/>
      <c r="H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</row>
    <row r="553">
      <c r="A553" s="161"/>
      <c r="B553" s="161"/>
      <c r="C553" s="161"/>
      <c r="D553" s="161"/>
      <c r="E553" s="161"/>
      <c r="F553" s="161"/>
      <c r="G553" s="161"/>
      <c r="H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</row>
    <row r="554">
      <c r="A554" s="161"/>
      <c r="B554" s="161"/>
      <c r="C554" s="161"/>
      <c r="D554" s="161"/>
      <c r="E554" s="161"/>
      <c r="F554" s="161"/>
      <c r="G554" s="161"/>
      <c r="H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</row>
    <row r="555">
      <c r="A555" s="161"/>
      <c r="B555" s="161"/>
      <c r="C555" s="161"/>
      <c r="D555" s="161"/>
      <c r="E555" s="161"/>
      <c r="F555" s="161"/>
      <c r="G555" s="161"/>
      <c r="H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</row>
    <row r="556">
      <c r="A556" s="161"/>
      <c r="B556" s="161"/>
      <c r="C556" s="161"/>
      <c r="D556" s="161"/>
      <c r="E556" s="161"/>
      <c r="F556" s="161"/>
      <c r="G556" s="161"/>
      <c r="H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</row>
    <row r="557">
      <c r="A557" s="161"/>
      <c r="B557" s="161"/>
      <c r="C557" s="161"/>
      <c r="D557" s="161"/>
      <c r="E557" s="161"/>
      <c r="F557" s="161"/>
      <c r="G557" s="161"/>
      <c r="H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</row>
    <row r="558">
      <c r="A558" s="161"/>
      <c r="B558" s="161"/>
      <c r="C558" s="161"/>
      <c r="D558" s="161"/>
      <c r="E558" s="161"/>
      <c r="F558" s="161"/>
      <c r="G558" s="161"/>
      <c r="H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</row>
    <row r="559">
      <c r="A559" s="161"/>
      <c r="B559" s="161"/>
      <c r="C559" s="161"/>
      <c r="D559" s="161"/>
      <c r="E559" s="161"/>
      <c r="F559" s="161"/>
      <c r="G559" s="161"/>
      <c r="H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</row>
    <row r="560">
      <c r="A560" s="161"/>
      <c r="B560" s="161"/>
      <c r="C560" s="161"/>
      <c r="D560" s="161"/>
      <c r="E560" s="161"/>
      <c r="F560" s="161"/>
      <c r="G560" s="161"/>
      <c r="H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</row>
    <row r="561">
      <c r="A561" s="161"/>
      <c r="B561" s="161"/>
      <c r="C561" s="161"/>
      <c r="D561" s="161"/>
      <c r="E561" s="161"/>
      <c r="F561" s="161"/>
      <c r="G561" s="161"/>
      <c r="H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</row>
    <row r="562">
      <c r="A562" s="161"/>
      <c r="B562" s="161"/>
      <c r="C562" s="161"/>
      <c r="D562" s="161"/>
      <c r="E562" s="161"/>
      <c r="F562" s="161"/>
      <c r="G562" s="161"/>
      <c r="H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</row>
    <row r="563">
      <c r="A563" s="161"/>
      <c r="B563" s="161"/>
      <c r="C563" s="161"/>
      <c r="D563" s="161"/>
      <c r="E563" s="161"/>
      <c r="F563" s="161"/>
      <c r="G563" s="161"/>
      <c r="H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</row>
    <row r="564">
      <c r="A564" s="161"/>
      <c r="B564" s="161"/>
      <c r="C564" s="161"/>
      <c r="D564" s="161"/>
      <c r="E564" s="161"/>
      <c r="F564" s="161"/>
      <c r="G564" s="161"/>
      <c r="H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</row>
    <row r="565">
      <c r="A565" s="161"/>
      <c r="B565" s="161"/>
      <c r="C565" s="161"/>
      <c r="D565" s="161"/>
      <c r="E565" s="161"/>
      <c r="F565" s="161"/>
      <c r="G565" s="161"/>
      <c r="H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</row>
    <row r="566">
      <c r="A566" s="161"/>
      <c r="B566" s="161"/>
      <c r="C566" s="161"/>
      <c r="D566" s="161"/>
      <c r="E566" s="161"/>
      <c r="F566" s="161"/>
      <c r="G566" s="161"/>
      <c r="H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</row>
    <row r="567">
      <c r="A567" s="161"/>
      <c r="B567" s="161"/>
      <c r="C567" s="161"/>
      <c r="D567" s="161"/>
      <c r="E567" s="161"/>
      <c r="F567" s="161"/>
      <c r="G567" s="161"/>
      <c r="H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</row>
    <row r="568">
      <c r="A568" s="161"/>
      <c r="B568" s="161"/>
      <c r="C568" s="161"/>
      <c r="D568" s="161"/>
      <c r="E568" s="161"/>
      <c r="F568" s="161"/>
      <c r="G568" s="161"/>
      <c r="H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</row>
    <row r="569">
      <c r="A569" s="161"/>
      <c r="B569" s="161"/>
      <c r="C569" s="161"/>
      <c r="D569" s="161"/>
      <c r="E569" s="161"/>
      <c r="F569" s="161"/>
      <c r="G569" s="161"/>
      <c r="H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</row>
    <row r="570">
      <c r="A570" s="161"/>
      <c r="B570" s="161"/>
      <c r="C570" s="161"/>
      <c r="D570" s="161"/>
      <c r="E570" s="161"/>
      <c r="F570" s="161"/>
      <c r="G570" s="161"/>
      <c r="H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</row>
    <row r="571">
      <c r="A571" s="161"/>
      <c r="B571" s="161"/>
      <c r="C571" s="161"/>
      <c r="D571" s="161"/>
      <c r="E571" s="161"/>
      <c r="F571" s="161"/>
      <c r="G571" s="161"/>
      <c r="H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</row>
    <row r="572">
      <c r="A572" s="161"/>
      <c r="B572" s="161"/>
      <c r="C572" s="161"/>
      <c r="D572" s="161"/>
      <c r="E572" s="161"/>
      <c r="F572" s="161"/>
      <c r="G572" s="161"/>
      <c r="H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</row>
    <row r="573">
      <c r="A573" s="161"/>
      <c r="B573" s="161"/>
      <c r="C573" s="161"/>
      <c r="D573" s="161"/>
      <c r="E573" s="161"/>
      <c r="F573" s="161"/>
      <c r="G573" s="161"/>
      <c r="H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</row>
    <row r="574">
      <c r="A574" s="161"/>
      <c r="B574" s="161"/>
      <c r="C574" s="161"/>
      <c r="D574" s="161"/>
      <c r="E574" s="161"/>
      <c r="F574" s="161"/>
      <c r="G574" s="161"/>
      <c r="H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</row>
    <row r="575">
      <c r="A575" s="161"/>
      <c r="B575" s="161"/>
      <c r="C575" s="161"/>
      <c r="D575" s="161"/>
      <c r="E575" s="161"/>
      <c r="F575" s="161"/>
      <c r="G575" s="161"/>
      <c r="H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</row>
    <row r="576">
      <c r="A576" s="161"/>
      <c r="B576" s="161"/>
      <c r="C576" s="161"/>
      <c r="D576" s="161"/>
      <c r="E576" s="161"/>
      <c r="F576" s="161"/>
      <c r="G576" s="161"/>
      <c r="H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</row>
    <row r="577">
      <c r="A577" s="161"/>
      <c r="B577" s="161"/>
      <c r="C577" s="161"/>
      <c r="D577" s="161"/>
      <c r="E577" s="161"/>
      <c r="F577" s="161"/>
      <c r="G577" s="161"/>
      <c r="H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</row>
    <row r="578">
      <c r="A578" s="161"/>
      <c r="B578" s="161"/>
      <c r="C578" s="161"/>
      <c r="D578" s="161"/>
      <c r="E578" s="161"/>
      <c r="F578" s="161"/>
      <c r="G578" s="161"/>
      <c r="H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</row>
    <row r="579">
      <c r="A579" s="161"/>
      <c r="B579" s="161"/>
      <c r="C579" s="161"/>
      <c r="D579" s="161"/>
      <c r="E579" s="161"/>
      <c r="F579" s="161"/>
      <c r="G579" s="161"/>
      <c r="H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</row>
    <row r="580">
      <c r="A580" s="161"/>
      <c r="B580" s="161"/>
      <c r="C580" s="161"/>
      <c r="D580" s="161"/>
      <c r="E580" s="161"/>
      <c r="F580" s="161"/>
      <c r="G580" s="161"/>
      <c r="H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</row>
    <row r="581">
      <c r="A581" s="161"/>
      <c r="B581" s="161"/>
      <c r="C581" s="161"/>
      <c r="D581" s="161"/>
      <c r="E581" s="161"/>
      <c r="F581" s="161"/>
      <c r="G581" s="161"/>
      <c r="H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</row>
    <row r="582">
      <c r="A582" s="161"/>
      <c r="B582" s="161"/>
      <c r="C582" s="161"/>
      <c r="D582" s="161"/>
      <c r="E582" s="161"/>
      <c r="F582" s="161"/>
      <c r="G582" s="161"/>
      <c r="H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</row>
    <row r="583">
      <c r="A583" s="161"/>
      <c r="B583" s="161"/>
      <c r="C583" s="161"/>
      <c r="D583" s="161"/>
      <c r="E583" s="161"/>
      <c r="F583" s="161"/>
      <c r="G583" s="161"/>
      <c r="H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</row>
    <row r="584">
      <c r="A584" s="161"/>
      <c r="B584" s="161"/>
      <c r="C584" s="161"/>
      <c r="D584" s="161"/>
      <c r="E584" s="161"/>
      <c r="F584" s="161"/>
      <c r="G584" s="161"/>
      <c r="H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</row>
    <row r="585">
      <c r="A585" s="161"/>
      <c r="B585" s="161"/>
      <c r="C585" s="161"/>
      <c r="D585" s="161"/>
      <c r="E585" s="161"/>
      <c r="F585" s="161"/>
      <c r="G585" s="161"/>
      <c r="H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</row>
    <row r="586">
      <c r="A586" s="161"/>
      <c r="B586" s="161"/>
      <c r="C586" s="161"/>
      <c r="D586" s="161"/>
      <c r="E586" s="161"/>
      <c r="F586" s="161"/>
      <c r="G586" s="161"/>
      <c r="H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</row>
    <row r="587">
      <c r="A587" s="161"/>
      <c r="B587" s="161"/>
      <c r="C587" s="161"/>
      <c r="D587" s="161"/>
      <c r="E587" s="161"/>
      <c r="F587" s="161"/>
      <c r="G587" s="161"/>
      <c r="H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</row>
    <row r="588">
      <c r="A588" s="161"/>
      <c r="B588" s="161"/>
      <c r="C588" s="161"/>
      <c r="D588" s="161"/>
      <c r="E588" s="161"/>
      <c r="F588" s="161"/>
      <c r="G588" s="161"/>
      <c r="H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</row>
    <row r="589">
      <c r="A589" s="161"/>
      <c r="B589" s="161"/>
      <c r="C589" s="161"/>
      <c r="D589" s="161"/>
      <c r="E589" s="161"/>
      <c r="F589" s="161"/>
      <c r="G589" s="161"/>
      <c r="H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</row>
    <row r="590">
      <c r="A590" s="161"/>
      <c r="B590" s="161"/>
      <c r="C590" s="161"/>
      <c r="D590" s="161"/>
      <c r="E590" s="161"/>
      <c r="F590" s="161"/>
      <c r="G590" s="161"/>
      <c r="H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</row>
    <row r="591">
      <c r="A591" s="161"/>
      <c r="B591" s="161"/>
      <c r="C591" s="161"/>
      <c r="D591" s="161"/>
      <c r="E591" s="161"/>
      <c r="F591" s="161"/>
      <c r="G591" s="161"/>
      <c r="H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</row>
    <row r="592">
      <c r="A592" s="161"/>
      <c r="B592" s="161"/>
      <c r="C592" s="161"/>
      <c r="D592" s="161"/>
      <c r="E592" s="161"/>
      <c r="F592" s="161"/>
      <c r="G592" s="161"/>
      <c r="H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</row>
    <row r="593">
      <c r="A593" s="161"/>
      <c r="B593" s="161"/>
      <c r="C593" s="161"/>
      <c r="D593" s="161"/>
      <c r="E593" s="161"/>
      <c r="F593" s="161"/>
      <c r="G593" s="161"/>
      <c r="H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</row>
    <row r="594">
      <c r="A594" s="161"/>
      <c r="B594" s="161"/>
      <c r="C594" s="161"/>
      <c r="D594" s="161"/>
      <c r="E594" s="161"/>
      <c r="F594" s="161"/>
      <c r="G594" s="161"/>
      <c r="H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</row>
    <row r="595">
      <c r="A595" s="161"/>
      <c r="B595" s="161"/>
      <c r="C595" s="161"/>
      <c r="D595" s="161"/>
      <c r="E595" s="161"/>
      <c r="F595" s="161"/>
      <c r="G595" s="161"/>
      <c r="H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</row>
    <row r="596">
      <c r="A596" s="161"/>
      <c r="B596" s="161"/>
      <c r="C596" s="161"/>
      <c r="D596" s="161"/>
      <c r="E596" s="161"/>
      <c r="F596" s="161"/>
      <c r="G596" s="161"/>
      <c r="H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</row>
    <row r="597">
      <c r="A597" s="161"/>
      <c r="B597" s="161"/>
      <c r="C597" s="161"/>
      <c r="D597" s="161"/>
      <c r="E597" s="161"/>
      <c r="F597" s="161"/>
      <c r="G597" s="161"/>
      <c r="H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</row>
    <row r="598">
      <c r="A598" s="161"/>
      <c r="B598" s="161"/>
      <c r="C598" s="161"/>
      <c r="D598" s="161"/>
      <c r="E598" s="161"/>
      <c r="F598" s="161"/>
      <c r="G598" s="161"/>
      <c r="H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</row>
    <row r="599">
      <c r="A599" s="161"/>
      <c r="B599" s="161"/>
      <c r="C599" s="161"/>
      <c r="D599" s="161"/>
      <c r="E599" s="161"/>
      <c r="F599" s="161"/>
      <c r="G599" s="161"/>
      <c r="H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</row>
    <row r="600">
      <c r="A600" s="161"/>
      <c r="B600" s="161"/>
      <c r="C600" s="161"/>
      <c r="D600" s="161"/>
      <c r="E600" s="161"/>
      <c r="F600" s="161"/>
      <c r="G600" s="161"/>
      <c r="H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</row>
    <row r="601">
      <c r="A601" s="161"/>
      <c r="B601" s="161"/>
      <c r="C601" s="161"/>
      <c r="D601" s="161"/>
      <c r="E601" s="161"/>
      <c r="F601" s="161"/>
      <c r="G601" s="161"/>
      <c r="H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</row>
    <row r="602">
      <c r="A602" s="161"/>
      <c r="B602" s="161"/>
      <c r="C602" s="161"/>
      <c r="D602" s="161"/>
      <c r="E602" s="161"/>
      <c r="F602" s="161"/>
      <c r="G602" s="161"/>
      <c r="H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</row>
    <row r="603">
      <c r="A603" s="161"/>
      <c r="B603" s="161"/>
      <c r="C603" s="161"/>
      <c r="D603" s="161"/>
      <c r="E603" s="161"/>
      <c r="F603" s="161"/>
      <c r="G603" s="161"/>
      <c r="H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</row>
    <row r="604">
      <c r="A604" s="161"/>
      <c r="B604" s="161"/>
      <c r="C604" s="161"/>
      <c r="D604" s="161"/>
      <c r="E604" s="161"/>
      <c r="F604" s="161"/>
      <c r="G604" s="161"/>
      <c r="H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</row>
    <row r="605">
      <c r="A605" s="161"/>
      <c r="B605" s="161"/>
      <c r="C605" s="161"/>
      <c r="D605" s="161"/>
      <c r="E605" s="161"/>
      <c r="F605" s="161"/>
      <c r="G605" s="161"/>
      <c r="H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</row>
    <row r="606">
      <c r="A606" s="161"/>
      <c r="B606" s="161"/>
      <c r="C606" s="161"/>
      <c r="D606" s="161"/>
      <c r="E606" s="161"/>
      <c r="F606" s="161"/>
      <c r="G606" s="161"/>
      <c r="H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</row>
    <row r="607">
      <c r="A607" s="161"/>
      <c r="B607" s="161"/>
      <c r="C607" s="161"/>
      <c r="D607" s="161"/>
      <c r="E607" s="161"/>
      <c r="F607" s="161"/>
      <c r="G607" s="161"/>
      <c r="H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</row>
    <row r="608">
      <c r="A608" s="161"/>
      <c r="B608" s="161"/>
      <c r="C608" s="161"/>
      <c r="D608" s="161"/>
      <c r="E608" s="161"/>
      <c r="F608" s="161"/>
      <c r="G608" s="161"/>
      <c r="H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</row>
    <row r="609">
      <c r="A609" s="161"/>
      <c r="B609" s="161"/>
      <c r="C609" s="161"/>
      <c r="D609" s="161"/>
      <c r="E609" s="161"/>
      <c r="F609" s="161"/>
      <c r="G609" s="161"/>
      <c r="H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</row>
    <row r="610">
      <c r="A610" s="161"/>
      <c r="B610" s="161"/>
      <c r="C610" s="161"/>
      <c r="D610" s="161"/>
      <c r="E610" s="161"/>
      <c r="F610" s="161"/>
      <c r="G610" s="161"/>
      <c r="H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</row>
    <row r="611">
      <c r="A611" s="161"/>
      <c r="B611" s="161"/>
      <c r="C611" s="161"/>
      <c r="D611" s="161"/>
      <c r="E611" s="161"/>
      <c r="F611" s="161"/>
      <c r="G611" s="161"/>
      <c r="H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</row>
    <row r="612">
      <c r="A612" s="161"/>
      <c r="B612" s="161"/>
      <c r="C612" s="161"/>
      <c r="D612" s="161"/>
      <c r="E612" s="161"/>
      <c r="F612" s="161"/>
      <c r="G612" s="161"/>
      <c r="H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</row>
    <row r="613">
      <c r="A613" s="161"/>
      <c r="B613" s="161"/>
      <c r="C613" s="161"/>
      <c r="D613" s="161"/>
      <c r="E613" s="161"/>
      <c r="F613" s="161"/>
      <c r="G613" s="161"/>
      <c r="H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</row>
    <row r="614">
      <c r="A614" s="161"/>
      <c r="B614" s="161"/>
      <c r="C614" s="161"/>
      <c r="D614" s="161"/>
      <c r="E614" s="161"/>
      <c r="F614" s="161"/>
      <c r="G614" s="161"/>
      <c r="H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</row>
    <row r="615">
      <c r="A615" s="161"/>
      <c r="B615" s="161"/>
      <c r="C615" s="161"/>
      <c r="D615" s="161"/>
      <c r="E615" s="161"/>
      <c r="F615" s="161"/>
      <c r="G615" s="161"/>
      <c r="H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</row>
    <row r="616">
      <c r="A616" s="161"/>
      <c r="B616" s="161"/>
      <c r="C616" s="161"/>
      <c r="D616" s="161"/>
      <c r="E616" s="161"/>
      <c r="F616" s="161"/>
      <c r="G616" s="161"/>
      <c r="H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</row>
    <row r="617">
      <c r="A617" s="161"/>
      <c r="B617" s="161"/>
      <c r="C617" s="161"/>
      <c r="D617" s="161"/>
      <c r="E617" s="161"/>
      <c r="F617" s="161"/>
      <c r="G617" s="161"/>
      <c r="H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</row>
    <row r="618">
      <c r="A618" s="161"/>
      <c r="B618" s="161"/>
      <c r="C618" s="161"/>
      <c r="D618" s="161"/>
      <c r="E618" s="161"/>
      <c r="F618" s="161"/>
      <c r="G618" s="161"/>
      <c r="H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</row>
    <row r="619">
      <c r="A619" s="161"/>
      <c r="B619" s="161"/>
      <c r="C619" s="161"/>
      <c r="D619" s="161"/>
      <c r="E619" s="161"/>
      <c r="F619" s="161"/>
      <c r="G619" s="161"/>
      <c r="H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</row>
    <row r="620">
      <c r="A620" s="161"/>
      <c r="B620" s="161"/>
      <c r="C620" s="161"/>
      <c r="D620" s="161"/>
      <c r="E620" s="161"/>
      <c r="F620" s="161"/>
      <c r="G620" s="161"/>
      <c r="H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</row>
    <row r="621">
      <c r="A621" s="161"/>
      <c r="B621" s="161"/>
      <c r="C621" s="161"/>
      <c r="D621" s="161"/>
      <c r="E621" s="161"/>
      <c r="F621" s="161"/>
      <c r="G621" s="161"/>
      <c r="H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</row>
    <row r="622">
      <c r="A622" s="161"/>
      <c r="B622" s="161"/>
      <c r="C622" s="161"/>
      <c r="D622" s="161"/>
      <c r="E622" s="161"/>
      <c r="F622" s="161"/>
      <c r="G622" s="161"/>
      <c r="H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</row>
    <row r="623">
      <c r="A623" s="161"/>
      <c r="B623" s="161"/>
      <c r="C623" s="161"/>
      <c r="D623" s="161"/>
      <c r="E623" s="161"/>
      <c r="F623" s="161"/>
      <c r="G623" s="161"/>
      <c r="H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</row>
    <row r="624">
      <c r="A624" s="161"/>
      <c r="B624" s="161"/>
      <c r="C624" s="161"/>
      <c r="D624" s="161"/>
      <c r="E624" s="161"/>
      <c r="F624" s="161"/>
      <c r="G624" s="161"/>
      <c r="H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</row>
    <row r="625">
      <c r="A625" s="161"/>
      <c r="B625" s="161"/>
      <c r="C625" s="161"/>
      <c r="D625" s="161"/>
      <c r="E625" s="161"/>
      <c r="F625" s="161"/>
      <c r="G625" s="161"/>
      <c r="H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</row>
    <row r="626">
      <c r="A626" s="161"/>
      <c r="B626" s="161"/>
      <c r="C626" s="161"/>
      <c r="D626" s="161"/>
      <c r="E626" s="161"/>
      <c r="F626" s="161"/>
      <c r="G626" s="161"/>
      <c r="H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</row>
    <row r="627">
      <c r="A627" s="161"/>
      <c r="B627" s="161"/>
      <c r="C627" s="161"/>
      <c r="D627" s="161"/>
      <c r="E627" s="161"/>
      <c r="F627" s="161"/>
      <c r="G627" s="161"/>
      <c r="H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</row>
    <row r="628">
      <c r="A628" s="161"/>
      <c r="B628" s="161"/>
      <c r="C628" s="161"/>
      <c r="D628" s="161"/>
      <c r="E628" s="161"/>
      <c r="F628" s="161"/>
      <c r="G628" s="161"/>
      <c r="H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</row>
    <row r="629">
      <c r="A629" s="161"/>
      <c r="B629" s="161"/>
      <c r="C629" s="161"/>
      <c r="D629" s="161"/>
      <c r="E629" s="161"/>
      <c r="F629" s="161"/>
      <c r="G629" s="161"/>
      <c r="H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</row>
    <row r="630">
      <c r="A630" s="161"/>
      <c r="B630" s="161"/>
      <c r="C630" s="161"/>
      <c r="D630" s="161"/>
      <c r="E630" s="161"/>
      <c r="F630" s="161"/>
      <c r="G630" s="161"/>
      <c r="H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</row>
    <row r="631">
      <c r="A631" s="161"/>
      <c r="B631" s="161"/>
      <c r="C631" s="161"/>
      <c r="D631" s="161"/>
      <c r="E631" s="161"/>
      <c r="F631" s="161"/>
      <c r="G631" s="161"/>
      <c r="H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</row>
    <row r="632">
      <c r="A632" s="161"/>
      <c r="B632" s="161"/>
      <c r="C632" s="161"/>
      <c r="D632" s="161"/>
      <c r="E632" s="161"/>
      <c r="F632" s="161"/>
      <c r="G632" s="161"/>
      <c r="H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</row>
    <row r="633">
      <c r="A633" s="161"/>
      <c r="B633" s="161"/>
      <c r="C633" s="161"/>
      <c r="D633" s="161"/>
      <c r="E633" s="161"/>
      <c r="F633" s="161"/>
      <c r="G633" s="161"/>
      <c r="H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</row>
    <row r="634">
      <c r="A634" s="161"/>
      <c r="B634" s="161"/>
      <c r="C634" s="161"/>
      <c r="D634" s="161"/>
      <c r="E634" s="161"/>
      <c r="F634" s="161"/>
      <c r="G634" s="161"/>
      <c r="H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</row>
    <row r="635">
      <c r="A635" s="161"/>
      <c r="B635" s="161"/>
      <c r="C635" s="161"/>
      <c r="D635" s="161"/>
      <c r="E635" s="161"/>
      <c r="F635" s="161"/>
      <c r="G635" s="161"/>
      <c r="H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</row>
    <row r="636">
      <c r="A636" s="161"/>
      <c r="B636" s="161"/>
      <c r="C636" s="161"/>
      <c r="D636" s="161"/>
      <c r="E636" s="161"/>
      <c r="F636" s="161"/>
      <c r="G636" s="161"/>
      <c r="H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</row>
    <row r="637">
      <c r="A637" s="161"/>
      <c r="B637" s="161"/>
      <c r="C637" s="161"/>
      <c r="D637" s="161"/>
      <c r="E637" s="161"/>
      <c r="F637" s="161"/>
      <c r="G637" s="161"/>
      <c r="H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</row>
    <row r="638">
      <c r="A638" s="161"/>
      <c r="B638" s="161"/>
      <c r="C638" s="161"/>
      <c r="D638" s="161"/>
      <c r="E638" s="161"/>
      <c r="F638" s="161"/>
      <c r="G638" s="161"/>
      <c r="H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</row>
    <row r="639">
      <c r="A639" s="161"/>
      <c r="B639" s="161"/>
      <c r="C639" s="161"/>
      <c r="D639" s="161"/>
      <c r="E639" s="161"/>
      <c r="F639" s="161"/>
      <c r="G639" s="161"/>
      <c r="H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</row>
    <row r="640">
      <c r="A640" s="161"/>
      <c r="B640" s="161"/>
      <c r="C640" s="161"/>
      <c r="D640" s="161"/>
      <c r="E640" s="161"/>
      <c r="F640" s="161"/>
      <c r="G640" s="161"/>
      <c r="H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</row>
    <row r="641">
      <c r="A641" s="161"/>
      <c r="B641" s="161"/>
      <c r="C641" s="161"/>
      <c r="D641" s="161"/>
      <c r="E641" s="161"/>
      <c r="F641" s="161"/>
      <c r="G641" s="161"/>
      <c r="H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</row>
    <row r="642">
      <c r="A642" s="161"/>
      <c r="B642" s="161"/>
      <c r="C642" s="161"/>
      <c r="D642" s="161"/>
      <c r="E642" s="161"/>
      <c r="F642" s="161"/>
      <c r="G642" s="161"/>
      <c r="H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</row>
    <row r="643">
      <c r="A643" s="161"/>
      <c r="B643" s="161"/>
      <c r="C643" s="161"/>
      <c r="D643" s="161"/>
      <c r="E643" s="161"/>
      <c r="F643" s="161"/>
      <c r="G643" s="161"/>
      <c r="H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</row>
    <row r="644">
      <c r="A644" s="161"/>
      <c r="B644" s="161"/>
      <c r="C644" s="161"/>
      <c r="D644" s="161"/>
      <c r="E644" s="161"/>
      <c r="F644" s="161"/>
      <c r="G644" s="161"/>
      <c r="H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</row>
    <row r="645">
      <c r="A645" s="161"/>
      <c r="B645" s="161"/>
      <c r="C645" s="161"/>
      <c r="D645" s="161"/>
      <c r="E645" s="161"/>
      <c r="F645" s="161"/>
      <c r="G645" s="161"/>
      <c r="H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</row>
    <row r="646">
      <c r="A646" s="161"/>
      <c r="B646" s="161"/>
      <c r="C646" s="161"/>
      <c r="D646" s="161"/>
      <c r="E646" s="161"/>
      <c r="F646" s="161"/>
      <c r="G646" s="161"/>
      <c r="H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</row>
    <row r="647">
      <c r="A647" s="161"/>
      <c r="B647" s="161"/>
      <c r="C647" s="161"/>
      <c r="D647" s="161"/>
      <c r="E647" s="161"/>
      <c r="F647" s="161"/>
      <c r="G647" s="161"/>
      <c r="H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1"/>
      <c r="BI647" s="161"/>
      <c r="BJ647" s="161"/>
      <c r="BK647" s="161"/>
      <c r="BL647" s="161"/>
      <c r="BM647" s="161"/>
      <c r="BN647" s="161"/>
      <c r="BO647" s="161"/>
      <c r="BP647" s="161"/>
      <c r="BQ647" s="161"/>
      <c r="BR647" s="161"/>
      <c r="BS647" s="161"/>
      <c r="BT647" s="161"/>
      <c r="BU647" s="161"/>
      <c r="BV647" s="161"/>
      <c r="BW647" s="161"/>
      <c r="BX647" s="161"/>
    </row>
    <row r="648">
      <c r="A648" s="161"/>
      <c r="B648" s="161"/>
      <c r="C648" s="161"/>
      <c r="D648" s="161"/>
      <c r="E648" s="161"/>
      <c r="F648" s="161"/>
      <c r="G648" s="161"/>
      <c r="H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F648" s="161"/>
      <c r="BG648" s="161"/>
      <c r="BH648" s="161"/>
      <c r="BI648" s="161"/>
      <c r="BJ648" s="161"/>
      <c r="BK648" s="161"/>
      <c r="BL648" s="161"/>
      <c r="BM648" s="161"/>
      <c r="BN648" s="161"/>
      <c r="BO648" s="161"/>
      <c r="BP648" s="161"/>
      <c r="BQ648" s="161"/>
      <c r="BR648" s="161"/>
      <c r="BS648" s="161"/>
      <c r="BT648" s="161"/>
      <c r="BU648" s="161"/>
      <c r="BV648" s="161"/>
      <c r="BW648" s="161"/>
      <c r="BX648" s="161"/>
    </row>
    <row r="649">
      <c r="A649" s="161"/>
      <c r="B649" s="161"/>
      <c r="C649" s="161"/>
      <c r="D649" s="161"/>
      <c r="E649" s="161"/>
      <c r="F649" s="161"/>
      <c r="G649" s="161"/>
      <c r="H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161"/>
      <c r="BH649" s="161"/>
      <c r="BI649" s="161"/>
      <c r="BJ649" s="161"/>
      <c r="BK649" s="161"/>
      <c r="BL649" s="161"/>
      <c r="BM649" s="161"/>
      <c r="BN649" s="161"/>
      <c r="BO649" s="161"/>
      <c r="BP649" s="161"/>
      <c r="BQ649" s="161"/>
      <c r="BR649" s="161"/>
      <c r="BS649" s="161"/>
      <c r="BT649" s="161"/>
      <c r="BU649" s="161"/>
      <c r="BV649" s="161"/>
      <c r="BW649" s="161"/>
      <c r="BX649" s="161"/>
    </row>
    <row r="650">
      <c r="A650" s="161"/>
      <c r="B650" s="161"/>
      <c r="C650" s="161"/>
      <c r="D650" s="161"/>
      <c r="E650" s="161"/>
      <c r="F650" s="161"/>
      <c r="G650" s="161"/>
      <c r="H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F650" s="161"/>
      <c r="BG650" s="161"/>
      <c r="BH650" s="161"/>
      <c r="BI650" s="161"/>
      <c r="BJ650" s="161"/>
      <c r="BK650" s="161"/>
      <c r="BL650" s="161"/>
      <c r="BM650" s="161"/>
      <c r="BN650" s="161"/>
      <c r="BO650" s="161"/>
      <c r="BP650" s="161"/>
      <c r="BQ650" s="161"/>
      <c r="BR650" s="161"/>
      <c r="BS650" s="161"/>
      <c r="BT650" s="161"/>
      <c r="BU650" s="161"/>
      <c r="BV650" s="161"/>
      <c r="BW650" s="161"/>
      <c r="BX650" s="161"/>
    </row>
    <row r="651">
      <c r="A651" s="161"/>
      <c r="B651" s="161"/>
      <c r="C651" s="161"/>
      <c r="D651" s="161"/>
      <c r="E651" s="161"/>
      <c r="F651" s="161"/>
      <c r="G651" s="161"/>
      <c r="H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/>
      <c r="BG651" s="161"/>
      <c r="BH651" s="161"/>
      <c r="BI651" s="161"/>
      <c r="BJ651" s="161"/>
      <c r="BK651" s="161"/>
      <c r="BL651" s="161"/>
      <c r="BM651" s="161"/>
      <c r="BN651" s="161"/>
      <c r="BO651" s="161"/>
      <c r="BP651" s="161"/>
      <c r="BQ651" s="161"/>
      <c r="BR651" s="161"/>
      <c r="BS651" s="161"/>
      <c r="BT651" s="161"/>
      <c r="BU651" s="161"/>
      <c r="BV651" s="161"/>
      <c r="BW651" s="161"/>
      <c r="BX651" s="161"/>
    </row>
    <row r="652">
      <c r="A652" s="161"/>
      <c r="B652" s="161"/>
      <c r="C652" s="161"/>
      <c r="D652" s="161"/>
      <c r="E652" s="161"/>
      <c r="F652" s="161"/>
      <c r="G652" s="161"/>
      <c r="H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161"/>
      <c r="BH652" s="161"/>
      <c r="BI652" s="161"/>
      <c r="BJ652" s="161"/>
      <c r="BK652" s="161"/>
      <c r="BL652" s="161"/>
      <c r="BM652" s="161"/>
      <c r="BN652" s="161"/>
      <c r="BO652" s="161"/>
      <c r="BP652" s="161"/>
      <c r="BQ652" s="161"/>
      <c r="BR652" s="161"/>
      <c r="BS652" s="161"/>
      <c r="BT652" s="161"/>
      <c r="BU652" s="161"/>
      <c r="BV652" s="161"/>
      <c r="BW652" s="161"/>
      <c r="BX652" s="161"/>
    </row>
    <row r="653">
      <c r="A653" s="161"/>
      <c r="B653" s="161"/>
      <c r="C653" s="161"/>
      <c r="D653" s="161"/>
      <c r="E653" s="161"/>
      <c r="F653" s="161"/>
      <c r="G653" s="161"/>
      <c r="H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/>
      <c r="BG653" s="161"/>
      <c r="BH653" s="161"/>
      <c r="BI653" s="161"/>
      <c r="BJ653" s="161"/>
      <c r="BK653" s="161"/>
      <c r="BL653" s="161"/>
      <c r="BM653" s="161"/>
      <c r="BN653" s="161"/>
      <c r="BO653" s="161"/>
      <c r="BP653" s="161"/>
      <c r="BQ653" s="161"/>
      <c r="BR653" s="161"/>
      <c r="BS653" s="161"/>
      <c r="BT653" s="161"/>
      <c r="BU653" s="161"/>
      <c r="BV653" s="161"/>
      <c r="BW653" s="161"/>
      <c r="BX653" s="161"/>
    </row>
    <row r="654">
      <c r="A654" s="161"/>
      <c r="B654" s="161"/>
      <c r="C654" s="161"/>
      <c r="D654" s="161"/>
      <c r="E654" s="161"/>
      <c r="F654" s="161"/>
      <c r="G654" s="161"/>
      <c r="H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161"/>
      <c r="BH654" s="161"/>
      <c r="BI654" s="161"/>
      <c r="BJ654" s="161"/>
      <c r="BK654" s="161"/>
      <c r="BL654" s="161"/>
      <c r="BM654" s="161"/>
      <c r="BN654" s="161"/>
      <c r="BO654" s="161"/>
      <c r="BP654" s="161"/>
      <c r="BQ654" s="161"/>
      <c r="BR654" s="161"/>
      <c r="BS654" s="161"/>
      <c r="BT654" s="161"/>
      <c r="BU654" s="161"/>
      <c r="BV654" s="161"/>
      <c r="BW654" s="161"/>
      <c r="BX654" s="161"/>
    </row>
    <row r="655">
      <c r="A655" s="161"/>
      <c r="B655" s="161"/>
      <c r="C655" s="161"/>
      <c r="D655" s="161"/>
      <c r="E655" s="161"/>
      <c r="F655" s="161"/>
      <c r="G655" s="161"/>
      <c r="H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161"/>
      <c r="BH655" s="161"/>
      <c r="BI655" s="161"/>
      <c r="BJ655" s="161"/>
      <c r="BK655" s="161"/>
      <c r="BL655" s="161"/>
      <c r="BM655" s="161"/>
      <c r="BN655" s="161"/>
      <c r="BO655" s="161"/>
      <c r="BP655" s="161"/>
      <c r="BQ655" s="161"/>
      <c r="BR655" s="161"/>
      <c r="BS655" s="161"/>
      <c r="BT655" s="161"/>
      <c r="BU655" s="161"/>
      <c r="BV655" s="161"/>
      <c r="BW655" s="161"/>
      <c r="BX655" s="161"/>
    </row>
    <row r="656">
      <c r="A656" s="161"/>
      <c r="B656" s="161"/>
      <c r="C656" s="161"/>
      <c r="D656" s="161"/>
      <c r="E656" s="161"/>
      <c r="F656" s="161"/>
      <c r="G656" s="161"/>
      <c r="H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161"/>
      <c r="BH656" s="161"/>
      <c r="BI656" s="161"/>
      <c r="BJ656" s="161"/>
      <c r="BK656" s="161"/>
      <c r="BL656" s="161"/>
      <c r="BM656" s="161"/>
      <c r="BN656" s="161"/>
      <c r="BO656" s="161"/>
      <c r="BP656" s="161"/>
      <c r="BQ656" s="161"/>
      <c r="BR656" s="161"/>
      <c r="BS656" s="161"/>
      <c r="BT656" s="161"/>
      <c r="BU656" s="161"/>
      <c r="BV656" s="161"/>
      <c r="BW656" s="161"/>
      <c r="BX656" s="161"/>
    </row>
    <row r="657">
      <c r="A657" s="161"/>
      <c r="B657" s="161"/>
      <c r="C657" s="161"/>
      <c r="D657" s="161"/>
      <c r="E657" s="161"/>
      <c r="F657" s="161"/>
      <c r="G657" s="161"/>
      <c r="H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161"/>
      <c r="BH657" s="161"/>
      <c r="BI657" s="161"/>
      <c r="BJ657" s="161"/>
      <c r="BK657" s="161"/>
      <c r="BL657" s="161"/>
      <c r="BM657" s="161"/>
      <c r="BN657" s="161"/>
      <c r="BO657" s="161"/>
      <c r="BP657" s="161"/>
      <c r="BQ657" s="161"/>
      <c r="BR657" s="161"/>
      <c r="BS657" s="161"/>
      <c r="BT657" s="161"/>
      <c r="BU657" s="161"/>
      <c r="BV657" s="161"/>
      <c r="BW657" s="161"/>
      <c r="BX657" s="161"/>
    </row>
    <row r="658">
      <c r="A658" s="161"/>
      <c r="B658" s="161"/>
      <c r="C658" s="161"/>
      <c r="D658" s="161"/>
      <c r="E658" s="161"/>
      <c r="F658" s="161"/>
      <c r="G658" s="161"/>
      <c r="H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161"/>
      <c r="BH658" s="161"/>
      <c r="BI658" s="161"/>
      <c r="BJ658" s="161"/>
      <c r="BK658" s="161"/>
      <c r="BL658" s="161"/>
      <c r="BM658" s="161"/>
      <c r="BN658" s="161"/>
      <c r="BO658" s="161"/>
      <c r="BP658" s="161"/>
      <c r="BQ658" s="161"/>
      <c r="BR658" s="161"/>
      <c r="BS658" s="161"/>
      <c r="BT658" s="161"/>
      <c r="BU658" s="161"/>
      <c r="BV658" s="161"/>
      <c r="BW658" s="161"/>
      <c r="BX658" s="161"/>
    </row>
    <row r="659">
      <c r="A659" s="161"/>
      <c r="B659" s="161"/>
      <c r="C659" s="161"/>
      <c r="D659" s="161"/>
      <c r="E659" s="161"/>
      <c r="F659" s="161"/>
      <c r="G659" s="161"/>
      <c r="H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F659" s="161"/>
      <c r="BG659" s="161"/>
      <c r="BH659" s="161"/>
      <c r="BI659" s="161"/>
      <c r="BJ659" s="161"/>
      <c r="BK659" s="161"/>
      <c r="BL659" s="161"/>
      <c r="BM659" s="161"/>
      <c r="BN659" s="161"/>
      <c r="BO659" s="161"/>
      <c r="BP659" s="161"/>
      <c r="BQ659" s="161"/>
      <c r="BR659" s="161"/>
      <c r="BS659" s="161"/>
      <c r="BT659" s="161"/>
      <c r="BU659" s="161"/>
      <c r="BV659" s="161"/>
      <c r="BW659" s="161"/>
      <c r="BX659" s="161"/>
    </row>
    <row r="660">
      <c r="A660" s="161"/>
      <c r="B660" s="161"/>
      <c r="C660" s="161"/>
      <c r="D660" s="161"/>
      <c r="E660" s="161"/>
      <c r="F660" s="161"/>
      <c r="G660" s="161"/>
      <c r="H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161"/>
      <c r="BH660" s="161"/>
      <c r="BI660" s="161"/>
      <c r="BJ660" s="161"/>
      <c r="BK660" s="161"/>
      <c r="BL660" s="161"/>
      <c r="BM660" s="161"/>
      <c r="BN660" s="161"/>
      <c r="BO660" s="161"/>
      <c r="BP660" s="161"/>
      <c r="BQ660" s="161"/>
      <c r="BR660" s="161"/>
      <c r="BS660" s="161"/>
      <c r="BT660" s="161"/>
      <c r="BU660" s="161"/>
      <c r="BV660" s="161"/>
      <c r="BW660" s="161"/>
      <c r="BX660" s="161"/>
    </row>
    <row r="661">
      <c r="A661" s="161"/>
      <c r="B661" s="161"/>
      <c r="C661" s="161"/>
      <c r="D661" s="161"/>
      <c r="E661" s="161"/>
      <c r="F661" s="161"/>
      <c r="G661" s="161"/>
      <c r="H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F661" s="161"/>
      <c r="BG661" s="161"/>
      <c r="BH661" s="161"/>
      <c r="BI661" s="161"/>
      <c r="BJ661" s="161"/>
      <c r="BK661" s="161"/>
      <c r="BL661" s="161"/>
      <c r="BM661" s="161"/>
      <c r="BN661" s="161"/>
      <c r="BO661" s="161"/>
      <c r="BP661" s="161"/>
      <c r="BQ661" s="161"/>
      <c r="BR661" s="161"/>
      <c r="BS661" s="161"/>
      <c r="BT661" s="161"/>
      <c r="BU661" s="161"/>
      <c r="BV661" s="161"/>
      <c r="BW661" s="161"/>
      <c r="BX661" s="161"/>
    </row>
    <row r="662">
      <c r="A662" s="161"/>
      <c r="B662" s="161"/>
      <c r="C662" s="161"/>
      <c r="D662" s="161"/>
      <c r="E662" s="161"/>
      <c r="F662" s="161"/>
      <c r="G662" s="161"/>
      <c r="H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F662" s="161"/>
      <c r="BG662" s="161"/>
      <c r="BH662" s="161"/>
      <c r="BI662" s="161"/>
      <c r="BJ662" s="161"/>
      <c r="BK662" s="161"/>
      <c r="BL662" s="161"/>
      <c r="BM662" s="161"/>
      <c r="BN662" s="161"/>
      <c r="BO662" s="161"/>
      <c r="BP662" s="161"/>
      <c r="BQ662" s="161"/>
      <c r="BR662" s="161"/>
      <c r="BS662" s="161"/>
      <c r="BT662" s="161"/>
      <c r="BU662" s="161"/>
      <c r="BV662" s="161"/>
      <c r="BW662" s="161"/>
      <c r="BX662" s="161"/>
    </row>
    <row r="663">
      <c r="A663" s="161"/>
      <c r="B663" s="161"/>
      <c r="C663" s="161"/>
      <c r="D663" s="161"/>
      <c r="E663" s="161"/>
      <c r="F663" s="161"/>
      <c r="G663" s="161"/>
      <c r="H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161"/>
      <c r="BH663" s="161"/>
      <c r="BI663" s="161"/>
      <c r="BJ663" s="161"/>
      <c r="BK663" s="161"/>
      <c r="BL663" s="161"/>
      <c r="BM663" s="161"/>
      <c r="BN663" s="161"/>
      <c r="BO663" s="161"/>
      <c r="BP663" s="161"/>
      <c r="BQ663" s="161"/>
      <c r="BR663" s="161"/>
      <c r="BS663" s="161"/>
      <c r="BT663" s="161"/>
      <c r="BU663" s="161"/>
      <c r="BV663" s="161"/>
      <c r="BW663" s="161"/>
      <c r="BX663" s="161"/>
    </row>
    <row r="664">
      <c r="A664" s="161"/>
      <c r="B664" s="161"/>
      <c r="C664" s="161"/>
      <c r="D664" s="161"/>
      <c r="E664" s="161"/>
      <c r="F664" s="161"/>
      <c r="G664" s="161"/>
      <c r="H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161"/>
      <c r="BH664" s="161"/>
      <c r="BI664" s="161"/>
      <c r="BJ664" s="161"/>
      <c r="BK664" s="161"/>
      <c r="BL664" s="161"/>
      <c r="BM664" s="161"/>
      <c r="BN664" s="161"/>
      <c r="BO664" s="161"/>
      <c r="BP664" s="161"/>
      <c r="BQ664" s="161"/>
      <c r="BR664" s="161"/>
      <c r="BS664" s="161"/>
      <c r="BT664" s="161"/>
      <c r="BU664" s="161"/>
      <c r="BV664" s="161"/>
      <c r="BW664" s="161"/>
      <c r="BX664" s="161"/>
    </row>
    <row r="665">
      <c r="A665" s="161"/>
      <c r="B665" s="161"/>
      <c r="C665" s="161"/>
      <c r="D665" s="161"/>
      <c r="E665" s="161"/>
      <c r="F665" s="161"/>
      <c r="G665" s="161"/>
      <c r="H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/>
      <c r="BG665" s="161"/>
      <c r="BH665" s="161"/>
      <c r="BI665" s="161"/>
      <c r="BJ665" s="161"/>
      <c r="BK665" s="161"/>
      <c r="BL665" s="161"/>
      <c r="BM665" s="161"/>
      <c r="BN665" s="161"/>
      <c r="BO665" s="161"/>
      <c r="BP665" s="161"/>
      <c r="BQ665" s="161"/>
      <c r="BR665" s="161"/>
      <c r="BS665" s="161"/>
      <c r="BT665" s="161"/>
      <c r="BU665" s="161"/>
      <c r="BV665" s="161"/>
      <c r="BW665" s="161"/>
      <c r="BX665" s="161"/>
    </row>
    <row r="666">
      <c r="A666" s="161"/>
      <c r="B666" s="161"/>
      <c r="C666" s="161"/>
      <c r="D666" s="161"/>
      <c r="E666" s="161"/>
      <c r="F666" s="161"/>
      <c r="G666" s="161"/>
      <c r="H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/>
      <c r="BG666" s="161"/>
      <c r="BH666" s="161"/>
      <c r="BI666" s="161"/>
      <c r="BJ666" s="161"/>
      <c r="BK666" s="161"/>
      <c r="BL666" s="161"/>
      <c r="BM666" s="161"/>
      <c r="BN666" s="161"/>
      <c r="BO666" s="161"/>
      <c r="BP666" s="161"/>
      <c r="BQ666" s="161"/>
      <c r="BR666" s="161"/>
      <c r="BS666" s="161"/>
      <c r="BT666" s="161"/>
      <c r="BU666" s="161"/>
      <c r="BV666" s="161"/>
      <c r="BW666" s="161"/>
      <c r="BX666" s="161"/>
    </row>
    <row r="667">
      <c r="A667" s="161"/>
      <c r="B667" s="161"/>
      <c r="C667" s="161"/>
      <c r="D667" s="161"/>
      <c r="E667" s="161"/>
      <c r="F667" s="161"/>
      <c r="G667" s="161"/>
      <c r="H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F667" s="161"/>
      <c r="BG667" s="161"/>
      <c r="BH667" s="161"/>
      <c r="BI667" s="161"/>
      <c r="BJ667" s="161"/>
      <c r="BK667" s="161"/>
      <c r="BL667" s="161"/>
      <c r="BM667" s="161"/>
      <c r="BN667" s="161"/>
      <c r="BO667" s="161"/>
      <c r="BP667" s="161"/>
      <c r="BQ667" s="161"/>
      <c r="BR667" s="161"/>
      <c r="BS667" s="161"/>
      <c r="BT667" s="161"/>
      <c r="BU667" s="161"/>
      <c r="BV667" s="161"/>
      <c r="BW667" s="161"/>
      <c r="BX667" s="161"/>
    </row>
    <row r="668">
      <c r="A668" s="161"/>
      <c r="B668" s="161"/>
      <c r="C668" s="161"/>
      <c r="D668" s="161"/>
      <c r="E668" s="161"/>
      <c r="F668" s="161"/>
      <c r="G668" s="161"/>
      <c r="H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161"/>
      <c r="BH668" s="161"/>
      <c r="BI668" s="161"/>
      <c r="BJ668" s="161"/>
      <c r="BK668" s="161"/>
      <c r="BL668" s="161"/>
      <c r="BM668" s="161"/>
      <c r="BN668" s="161"/>
      <c r="BO668" s="161"/>
      <c r="BP668" s="161"/>
      <c r="BQ668" s="161"/>
      <c r="BR668" s="161"/>
      <c r="BS668" s="161"/>
      <c r="BT668" s="161"/>
      <c r="BU668" s="161"/>
      <c r="BV668" s="161"/>
      <c r="BW668" s="161"/>
      <c r="BX668" s="161"/>
    </row>
    <row r="669">
      <c r="A669" s="161"/>
      <c r="B669" s="161"/>
      <c r="C669" s="161"/>
      <c r="D669" s="161"/>
      <c r="E669" s="161"/>
      <c r="F669" s="161"/>
      <c r="G669" s="161"/>
      <c r="H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F669" s="161"/>
      <c r="BG669" s="161"/>
      <c r="BH669" s="161"/>
      <c r="BI669" s="161"/>
      <c r="BJ669" s="161"/>
      <c r="BK669" s="161"/>
      <c r="BL669" s="161"/>
      <c r="BM669" s="161"/>
      <c r="BN669" s="161"/>
      <c r="BO669" s="161"/>
      <c r="BP669" s="161"/>
      <c r="BQ669" s="161"/>
      <c r="BR669" s="161"/>
      <c r="BS669" s="161"/>
      <c r="BT669" s="161"/>
      <c r="BU669" s="161"/>
      <c r="BV669" s="161"/>
      <c r="BW669" s="161"/>
      <c r="BX669" s="161"/>
    </row>
    <row r="670">
      <c r="A670" s="161"/>
      <c r="B670" s="161"/>
      <c r="C670" s="161"/>
      <c r="D670" s="161"/>
      <c r="E670" s="161"/>
      <c r="F670" s="161"/>
      <c r="G670" s="161"/>
      <c r="H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161"/>
      <c r="BH670" s="161"/>
      <c r="BI670" s="161"/>
      <c r="BJ670" s="161"/>
      <c r="BK670" s="161"/>
      <c r="BL670" s="161"/>
      <c r="BM670" s="161"/>
      <c r="BN670" s="161"/>
      <c r="BO670" s="161"/>
      <c r="BP670" s="161"/>
      <c r="BQ670" s="161"/>
      <c r="BR670" s="161"/>
      <c r="BS670" s="161"/>
      <c r="BT670" s="161"/>
      <c r="BU670" s="161"/>
      <c r="BV670" s="161"/>
      <c r="BW670" s="161"/>
      <c r="BX670" s="161"/>
    </row>
    <row r="671">
      <c r="A671" s="161"/>
      <c r="B671" s="161"/>
      <c r="C671" s="161"/>
      <c r="D671" s="161"/>
      <c r="E671" s="161"/>
      <c r="F671" s="161"/>
      <c r="G671" s="161"/>
      <c r="H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161"/>
      <c r="BH671" s="161"/>
      <c r="BI671" s="161"/>
      <c r="BJ671" s="161"/>
      <c r="BK671" s="161"/>
      <c r="BL671" s="161"/>
      <c r="BM671" s="161"/>
      <c r="BN671" s="161"/>
      <c r="BO671" s="161"/>
      <c r="BP671" s="161"/>
      <c r="BQ671" s="161"/>
      <c r="BR671" s="161"/>
      <c r="BS671" s="161"/>
      <c r="BT671" s="161"/>
      <c r="BU671" s="161"/>
      <c r="BV671" s="161"/>
      <c r="BW671" s="161"/>
      <c r="BX671" s="161"/>
    </row>
    <row r="672">
      <c r="A672" s="161"/>
      <c r="B672" s="161"/>
      <c r="C672" s="161"/>
      <c r="D672" s="161"/>
      <c r="E672" s="161"/>
      <c r="F672" s="161"/>
      <c r="G672" s="161"/>
      <c r="H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161"/>
      <c r="BH672" s="161"/>
      <c r="BI672" s="161"/>
      <c r="BJ672" s="161"/>
      <c r="BK672" s="161"/>
      <c r="BL672" s="161"/>
      <c r="BM672" s="161"/>
      <c r="BN672" s="161"/>
      <c r="BO672" s="161"/>
      <c r="BP672" s="161"/>
      <c r="BQ672" s="161"/>
      <c r="BR672" s="161"/>
      <c r="BS672" s="161"/>
      <c r="BT672" s="161"/>
      <c r="BU672" s="161"/>
      <c r="BV672" s="161"/>
      <c r="BW672" s="161"/>
      <c r="BX672" s="161"/>
    </row>
    <row r="673">
      <c r="A673" s="161"/>
      <c r="B673" s="161"/>
      <c r="C673" s="161"/>
      <c r="D673" s="161"/>
      <c r="E673" s="161"/>
      <c r="F673" s="161"/>
      <c r="G673" s="161"/>
      <c r="H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161"/>
      <c r="BH673" s="161"/>
      <c r="BI673" s="161"/>
      <c r="BJ673" s="161"/>
      <c r="BK673" s="161"/>
      <c r="BL673" s="161"/>
      <c r="BM673" s="161"/>
      <c r="BN673" s="161"/>
      <c r="BO673" s="161"/>
      <c r="BP673" s="161"/>
      <c r="BQ673" s="161"/>
      <c r="BR673" s="161"/>
      <c r="BS673" s="161"/>
      <c r="BT673" s="161"/>
      <c r="BU673" s="161"/>
      <c r="BV673" s="161"/>
      <c r="BW673" s="161"/>
      <c r="BX673" s="161"/>
    </row>
    <row r="674">
      <c r="A674" s="161"/>
      <c r="B674" s="161"/>
      <c r="C674" s="161"/>
      <c r="D674" s="161"/>
      <c r="E674" s="161"/>
      <c r="F674" s="161"/>
      <c r="G674" s="161"/>
      <c r="H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161"/>
      <c r="BH674" s="161"/>
      <c r="BI674" s="161"/>
      <c r="BJ674" s="161"/>
      <c r="BK674" s="161"/>
      <c r="BL674" s="161"/>
      <c r="BM674" s="161"/>
      <c r="BN674" s="161"/>
      <c r="BO674" s="161"/>
      <c r="BP674" s="161"/>
      <c r="BQ674" s="161"/>
      <c r="BR674" s="161"/>
      <c r="BS674" s="161"/>
      <c r="BT674" s="161"/>
      <c r="BU674" s="161"/>
      <c r="BV674" s="161"/>
      <c r="BW674" s="161"/>
      <c r="BX674" s="161"/>
    </row>
    <row r="675">
      <c r="A675" s="161"/>
      <c r="B675" s="161"/>
      <c r="C675" s="161"/>
      <c r="D675" s="161"/>
      <c r="E675" s="161"/>
      <c r="F675" s="161"/>
      <c r="G675" s="161"/>
      <c r="H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161"/>
      <c r="BH675" s="161"/>
      <c r="BI675" s="161"/>
      <c r="BJ675" s="161"/>
      <c r="BK675" s="161"/>
      <c r="BL675" s="161"/>
      <c r="BM675" s="161"/>
      <c r="BN675" s="161"/>
      <c r="BO675" s="161"/>
      <c r="BP675" s="161"/>
      <c r="BQ675" s="161"/>
      <c r="BR675" s="161"/>
      <c r="BS675" s="161"/>
      <c r="BT675" s="161"/>
      <c r="BU675" s="161"/>
      <c r="BV675" s="161"/>
      <c r="BW675" s="161"/>
      <c r="BX675" s="161"/>
    </row>
    <row r="676">
      <c r="A676" s="161"/>
      <c r="B676" s="161"/>
      <c r="C676" s="161"/>
      <c r="D676" s="161"/>
      <c r="E676" s="161"/>
      <c r="F676" s="161"/>
      <c r="G676" s="161"/>
      <c r="H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161"/>
      <c r="BH676" s="161"/>
      <c r="BI676" s="161"/>
      <c r="BJ676" s="161"/>
      <c r="BK676" s="161"/>
      <c r="BL676" s="161"/>
      <c r="BM676" s="161"/>
      <c r="BN676" s="161"/>
      <c r="BO676" s="161"/>
      <c r="BP676" s="161"/>
      <c r="BQ676" s="161"/>
      <c r="BR676" s="161"/>
      <c r="BS676" s="161"/>
      <c r="BT676" s="161"/>
      <c r="BU676" s="161"/>
      <c r="BV676" s="161"/>
      <c r="BW676" s="161"/>
      <c r="BX676" s="161"/>
    </row>
    <row r="677">
      <c r="A677" s="161"/>
      <c r="B677" s="161"/>
      <c r="C677" s="161"/>
      <c r="D677" s="161"/>
      <c r="E677" s="161"/>
      <c r="F677" s="161"/>
      <c r="G677" s="161"/>
      <c r="H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161"/>
      <c r="BH677" s="161"/>
      <c r="BI677" s="161"/>
      <c r="BJ677" s="161"/>
      <c r="BK677" s="161"/>
      <c r="BL677" s="161"/>
      <c r="BM677" s="161"/>
      <c r="BN677" s="161"/>
      <c r="BO677" s="161"/>
      <c r="BP677" s="161"/>
      <c r="BQ677" s="161"/>
      <c r="BR677" s="161"/>
      <c r="BS677" s="161"/>
      <c r="BT677" s="161"/>
      <c r="BU677" s="161"/>
      <c r="BV677" s="161"/>
      <c r="BW677" s="161"/>
      <c r="BX677" s="161"/>
    </row>
    <row r="678">
      <c r="A678" s="161"/>
      <c r="B678" s="161"/>
      <c r="C678" s="161"/>
      <c r="D678" s="161"/>
      <c r="E678" s="161"/>
      <c r="F678" s="161"/>
      <c r="G678" s="161"/>
      <c r="H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161"/>
      <c r="BH678" s="161"/>
      <c r="BI678" s="161"/>
      <c r="BJ678" s="161"/>
      <c r="BK678" s="161"/>
      <c r="BL678" s="161"/>
      <c r="BM678" s="161"/>
      <c r="BN678" s="161"/>
      <c r="BO678" s="161"/>
      <c r="BP678" s="161"/>
      <c r="BQ678" s="161"/>
      <c r="BR678" s="161"/>
      <c r="BS678" s="161"/>
      <c r="BT678" s="161"/>
      <c r="BU678" s="161"/>
      <c r="BV678" s="161"/>
      <c r="BW678" s="161"/>
      <c r="BX678" s="161"/>
    </row>
    <row r="679">
      <c r="A679" s="161"/>
      <c r="B679" s="161"/>
      <c r="C679" s="161"/>
      <c r="D679" s="161"/>
      <c r="E679" s="161"/>
      <c r="F679" s="161"/>
      <c r="G679" s="161"/>
      <c r="H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161"/>
      <c r="BH679" s="161"/>
      <c r="BI679" s="161"/>
      <c r="BJ679" s="161"/>
      <c r="BK679" s="161"/>
      <c r="BL679" s="161"/>
      <c r="BM679" s="161"/>
      <c r="BN679" s="161"/>
      <c r="BO679" s="161"/>
      <c r="BP679" s="161"/>
      <c r="BQ679" s="161"/>
      <c r="BR679" s="161"/>
      <c r="BS679" s="161"/>
      <c r="BT679" s="161"/>
      <c r="BU679" s="161"/>
      <c r="BV679" s="161"/>
      <c r="BW679" s="161"/>
      <c r="BX679" s="161"/>
    </row>
    <row r="680">
      <c r="A680" s="161"/>
      <c r="B680" s="161"/>
      <c r="C680" s="161"/>
      <c r="D680" s="161"/>
      <c r="E680" s="161"/>
      <c r="F680" s="161"/>
      <c r="G680" s="161"/>
      <c r="H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/>
      <c r="BG680" s="161"/>
      <c r="BH680" s="161"/>
      <c r="BI680" s="161"/>
      <c r="BJ680" s="161"/>
      <c r="BK680" s="161"/>
      <c r="BL680" s="161"/>
      <c r="BM680" s="161"/>
      <c r="BN680" s="161"/>
      <c r="BO680" s="161"/>
      <c r="BP680" s="161"/>
      <c r="BQ680" s="161"/>
      <c r="BR680" s="161"/>
      <c r="BS680" s="161"/>
      <c r="BT680" s="161"/>
      <c r="BU680" s="161"/>
      <c r="BV680" s="161"/>
      <c r="BW680" s="161"/>
      <c r="BX680" s="161"/>
    </row>
    <row r="681">
      <c r="A681" s="161"/>
      <c r="B681" s="161"/>
      <c r="C681" s="161"/>
      <c r="D681" s="161"/>
      <c r="E681" s="161"/>
      <c r="F681" s="161"/>
      <c r="G681" s="161"/>
      <c r="H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/>
      <c r="BG681" s="161"/>
      <c r="BH681" s="161"/>
      <c r="BI681" s="161"/>
      <c r="BJ681" s="161"/>
      <c r="BK681" s="161"/>
      <c r="BL681" s="161"/>
      <c r="BM681" s="161"/>
      <c r="BN681" s="161"/>
      <c r="BO681" s="161"/>
      <c r="BP681" s="161"/>
      <c r="BQ681" s="161"/>
      <c r="BR681" s="161"/>
      <c r="BS681" s="161"/>
      <c r="BT681" s="161"/>
      <c r="BU681" s="161"/>
      <c r="BV681" s="161"/>
      <c r="BW681" s="161"/>
      <c r="BX681" s="161"/>
    </row>
    <row r="682">
      <c r="A682" s="161"/>
      <c r="B682" s="161"/>
      <c r="C682" s="161"/>
      <c r="D682" s="161"/>
      <c r="E682" s="161"/>
      <c r="F682" s="161"/>
      <c r="G682" s="161"/>
      <c r="H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161"/>
      <c r="BH682" s="161"/>
      <c r="BI682" s="161"/>
      <c r="BJ682" s="161"/>
      <c r="BK682" s="161"/>
      <c r="BL682" s="161"/>
      <c r="BM682" s="161"/>
      <c r="BN682" s="161"/>
      <c r="BO682" s="161"/>
      <c r="BP682" s="161"/>
      <c r="BQ682" s="161"/>
      <c r="BR682" s="161"/>
      <c r="BS682" s="161"/>
      <c r="BT682" s="161"/>
      <c r="BU682" s="161"/>
      <c r="BV682" s="161"/>
      <c r="BW682" s="161"/>
      <c r="BX682" s="161"/>
    </row>
    <row r="683">
      <c r="A683" s="161"/>
      <c r="B683" s="161"/>
      <c r="C683" s="161"/>
      <c r="D683" s="161"/>
      <c r="E683" s="161"/>
      <c r="F683" s="161"/>
      <c r="G683" s="161"/>
      <c r="H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161"/>
      <c r="BH683" s="161"/>
      <c r="BI683" s="161"/>
      <c r="BJ683" s="161"/>
      <c r="BK683" s="161"/>
      <c r="BL683" s="161"/>
      <c r="BM683" s="161"/>
      <c r="BN683" s="161"/>
      <c r="BO683" s="161"/>
      <c r="BP683" s="161"/>
      <c r="BQ683" s="161"/>
      <c r="BR683" s="161"/>
      <c r="BS683" s="161"/>
      <c r="BT683" s="161"/>
      <c r="BU683" s="161"/>
      <c r="BV683" s="161"/>
      <c r="BW683" s="161"/>
      <c r="BX683" s="161"/>
    </row>
    <row r="684">
      <c r="A684" s="161"/>
      <c r="B684" s="161"/>
      <c r="C684" s="161"/>
      <c r="D684" s="161"/>
      <c r="E684" s="161"/>
      <c r="F684" s="161"/>
      <c r="G684" s="161"/>
      <c r="H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161"/>
      <c r="BH684" s="161"/>
      <c r="BI684" s="161"/>
      <c r="BJ684" s="161"/>
      <c r="BK684" s="161"/>
      <c r="BL684" s="161"/>
      <c r="BM684" s="161"/>
      <c r="BN684" s="161"/>
      <c r="BO684" s="161"/>
      <c r="BP684" s="161"/>
      <c r="BQ684" s="161"/>
      <c r="BR684" s="161"/>
      <c r="BS684" s="161"/>
      <c r="BT684" s="161"/>
      <c r="BU684" s="161"/>
      <c r="BV684" s="161"/>
      <c r="BW684" s="161"/>
      <c r="BX684" s="161"/>
    </row>
    <row r="685">
      <c r="A685" s="161"/>
      <c r="B685" s="161"/>
      <c r="C685" s="161"/>
      <c r="D685" s="161"/>
      <c r="E685" s="161"/>
      <c r="F685" s="161"/>
      <c r="G685" s="161"/>
      <c r="H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161"/>
      <c r="BH685" s="161"/>
      <c r="BI685" s="161"/>
      <c r="BJ685" s="161"/>
      <c r="BK685" s="161"/>
      <c r="BL685" s="161"/>
      <c r="BM685" s="161"/>
      <c r="BN685" s="161"/>
      <c r="BO685" s="161"/>
      <c r="BP685" s="161"/>
      <c r="BQ685" s="161"/>
      <c r="BR685" s="161"/>
      <c r="BS685" s="161"/>
      <c r="BT685" s="161"/>
      <c r="BU685" s="161"/>
      <c r="BV685" s="161"/>
      <c r="BW685" s="161"/>
      <c r="BX685" s="161"/>
    </row>
    <row r="686">
      <c r="A686" s="161"/>
      <c r="B686" s="161"/>
      <c r="C686" s="161"/>
      <c r="D686" s="161"/>
      <c r="E686" s="161"/>
      <c r="F686" s="161"/>
      <c r="G686" s="161"/>
      <c r="H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161"/>
      <c r="BH686" s="161"/>
      <c r="BI686" s="161"/>
      <c r="BJ686" s="161"/>
      <c r="BK686" s="161"/>
      <c r="BL686" s="161"/>
      <c r="BM686" s="161"/>
      <c r="BN686" s="161"/>
      <c r="BO686" s="161"/>
      <c r="BP686" s="161"/>
      <c r="BQ686" s="161"/>
      <c r="BR686" s="161"/>
      <c r="BS686" s="161"/>
      <c r="BT686" s="161"/>
      <c r="BU686" s="161"/>
      <c r="BV686" s="161"/>
      <c r="BW686" s="161"/>
      <c r="BX686" s="161"/>
    </row>
    <row r="687">
      <c r="A687" s="161"/>
      <c r="B687" s="161"/>
      <c r="C687" s="161"/>
      <c r="D687" s="161"/>
      <c r="E687" s="161"/>
      <c r="F687" s="161"/>
      <c r="G687" s="161"/>
      <c r="H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161"/>
      <c r="BH687" s="161"/>
      <c r="BI687" s="161"/>
      <c r="BJ687" s="161"/>
      <c r="BK687" s="161"/>
      <c r="BL687" s="161"/>
      <c r="BM687" s="161"/>
      <c r="BN687" s="161"/>
      <c r="BO687" s="161"/>
      <c r="BP687" s="161"/>
      <c r="BQ687" s="161"/>
      <c r="BR687" s="161"/>
      <c r="BS687" s="161"/>
      <c r="BT687" s="161"/>
      <c r="BU687" s="161"/>
      <c r="BV687" s="161"/>
      <c r="BW687" s="161"/>
      <c r="BX687" s="161"/>
    </row>
    <row r="688">
      <c r="A688" s="161"/>
      <c r="B688" s="161"/>
      <c r="C688" s="161"/>
      <c r="D688" s="161"/>
      <c r="E688" s="161"/>
      <c r="F688" s="161"/>
      <c r="G688" s="161"/>
      <c r="H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161"/>
      <c r="BH688" s="161"/>
      <c r="BI688" s="161"/>
      <c r="BJ688" s="161"/>
      <c r="BK688" s="161"/>
      <c r="BL688" s="161"/>
      <c r="BM688" s="161"/>
      <c r="BN688" s="161"/>
      <c r="BO688" s="161"/>
      <c r="BP688" s="161"/>
      <c r="BQ688" s="161"/>
      <c r="BR688" s="161"/>
      <c r="BS688" s="161"/>
      <c r="BT688" s="161"/>
      <c r="BU688" s="161"/>
      <c r="BV688" s="161"/>
      <c r="BW688" s="161"/>
      <c r="BX688" s="161"/>
    </row>
    <row r="689">
      <c r="A689" s="161"/>
      <c r="B689" s="161"/>
      <c r="C689" s="161"/>
      <c r="D689" s="161"/>
      <c r="E689" s="161"/>
      <c r="F689" s="161"/>
      <c r="G689" s="161"/>
      <c r="H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161"/>
      <c r="BH689" s="161"/>
      <c r="BI689" s="161"/>
      <c r="BJ689" s="161"/>
      <c r="BK689" s="161"/>
      <c r="BL689" s="161"/>
      <c r="BM689" s="161"/>
      <c r="BN689" s="161"/>
      <c r="BO689" s="161"/>
      <c r="BP689" s="161"/>
      <c r="BQ689" s="161"/>
      <c r="BR689" s="161"/>
      <c r="BS689" s="161"/>
      <c r="BT689" s="161"/>
      <c r="BU689" s="161"/>
      <c r="BV689" s="161"/>
      <c r="BW689" s="161"/>
      <c r="BX689" s="161"/>
    </row>
    <row r="690">
      <c r="A690" s="161"/>
      <c r="B690" s="161"/>
      <c r="C690" s="161"/>
      <c r="D690" s="161"/>
      <c r="E690" s="161"/>
      <c r="F690" s="161"/>
      <c r="G690" s="161"/>
      <c r="H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161"/>
      <c r="BH690" s="161"/>
      <c r="BI690" s="161"/>
      <c r="BJ690" s="161"/>
      <c r="BK690" s="161"/>
      <c r="BL690" s="161"/>
      <c r="BM690" s="161"/>
      <c r="BN690" s="161"/>
      <c r="BO690" s="161"/>
      <c r="BP690" s="161"/>
      <c r="BQ690" s="161"/>
      <c r="BR690" s="161"/>
      <c r="BS690" s="161"/>
      <c r="BT690" s="161"/>
      <c r="BU690" s="161"/>
      <c r="BV690" s="161"/>
      <c r="BW690" s="161"/>
      <c r="BX690" s="161"/>
    </row>
    <row r="691">
      <c r="A691" s="161"/>
      <c r="B691" s="161"/>
      <c r="C691" s="161"/>
      <c r="D691" s="161"/>
      <c r="E691" s="161"/>
      <c r="F691" s="161"/>
      <c r="G691" s="161"/>
      <c r="H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161"/>
      <c r="BH691" s="161"/>
      <c r="BI691" s="161"/>
      <c r="BJ691" s="161"/>
      <c r="BK691" s="161"/>
      <c r="BL691" s="161"/>
      <c r="BM691" s="161"/>
      <c r="BN691" s="161"/>
      <c r="BO691" s="161"/>
      <c r="BP691" s="161"/>
      <c r="BQ691" s="161"/>
      <c r="BR691" s="161"/>
      <c r="BS691" s="161"/>
      <c r="BT691" s="161"/>
      <c r="BU691" s="161"/>
      <c r="BV691" s="161"/>
      <c r="BW691" s="161"/>
      <c r="BX691" s="161"/>
    </row>
    <row r="692">
      <c r="A692" s="161"/>
      <c r="B692" s="161"/>
      <c r="C692" s="161"/>
      <c r="D692" s="161"/>
      <c r="E692" s="161"/>
      <c r="F692" s="161"/>
      <c r="G692" s="161"/>
      <c r="H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/>
      <c r="BG692" s="161"/>
      <c r="BH692" s="161"/>
      <c r="BI692" s="161"/>
      <c r="BJ692" s="161"/>
      <c r="BK692" s="161"/>
      <c r="BL692" s="161"/>
      <c r="BM692" s="161"/>
      <c r="BN692" s="161"/>
      <c r="BO692" s="161"/>
      <c r="BP692" s="161"/>
      <c r="BQ692" s="161"/>
      <c r="BR692" s="161"/>
      <c r="BS692" s="161"/>
      <c r="BT692" s="161"/>
      <c r="BU692" s="161"/>
      <c r="BV692" s="161"/>
      <c r="BW692" s="161"/>
      <c r="BX692" s="161"/>
    </row>
    <row r="693">
      <c r="A693" s="161"/>
      <c r="B693" s="161"/>
      <c r="C693" s="161"/>
      <c r="D693" s="161"/>
      <c r="E693" s="161"/>
      <c r="F693" s="161"/>
      <c r="G693" s="161"/>
      <c r="H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1"/>
      <c r="BI693" s="161"/>
      <c r="BJ693" s="161"/>
      <c r="BK693" s="161"/>
      <c r="BL693" s="161"/>
      <c r="BM693" s="161"/>
      <c r="BN693" s="161"/>
      <c r="BO693" s="161"/>
      <c r="BP693" s="161"/>
      <c r="BQ693" s="161"/>
      <c r="BR693" s="161"/>
      <c r="BS693" s="161"/>
      <c r="BT693" s="161"/>
      <c r="BU693" s="161"/>
      <c r="BV693" s="161"/>
      <c r="BW693" s="161"/>
      <c r="BX693" s="161"/>
    </row>
    <row r="694">
      <c r="A694" s="161"/>
      <c r="B694" s="161"/>
      <c r="C694" s="161"/>
      <c r="D694" s="161"/>
      <c r="E694" s="161"/>
      <c r="F694" s="161"/>
      <c r="G694" s="161"/>
      <c r="H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F694" s="161"/>
      <c r="BG694" s="161"/>
      <c r="BH694" s="161"/>
      <c r="BI694" s="161"/>
      <c r="BJ694" s="161"/>
      <c r="BK694" s="161"/>
      <c r="BL694" s="161"/>
      <c r="BM694" s="161"/>
      <c r="BN694" s="161"/>
      <c r="BO694" s="161"/>
      <c r="BP694" s="161"/>
      <c r="BQ694" s="161"/>
      <c r="BR694" s="161"/>
      <c r="BS694" s="161"/>
      <c r="BT694" s="161"/>
      <c r="BU694" s="161"/>
      <c r="BV694" s="161"/>
      <c r="BW694" s="161"/>
      <c r="BX694" s="161"/>
    </row>
    <row r="695">
      <c r="A695" s="161"/>
      <c r="B695" s="161"/>
      <c r="C695" s="161"/>
      <c r="D695" s="161"/>
      <c r="E695" s="161"/>
      <c r="F695" s="161"/>
      <c r="G695" s="161"/>
      <c r="H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161"/>
      <c r="BH695" s="161"/>
      <c r="BI695" s="161"/>
      <c r="BJ695" s="161"/>
      <c r="BK695" s="161"/>
      <c r="BL695" s="161"/>
      <c r="BM695" s="161"/>
      <c r="BN695" s="161"/>
      <c r="BO695" s="161"/>
      <c r="BP695" s="161"/>
      <c r="BQ695" s="161"/>
      <c r="BR695" s="161"/>
      <c r="BS695" s="161"/>
      <c r="BT695" s="161"/>
      <c r="BU695" s="161"/>
      <c r="BV695" s="161"/>
      <c r="BW695" s="161"/>
      <c r="BX695" s="161"/>
    </row>
    <row r="696">
      <c r="A696" s="161"/>
      <c r="B696" s="161"/>
      <c r="C696" s="161"/>
      <c r="D696" s="161"/>
      <c r="E696" s="161"/>
      <c r="F696" s="161"/>
      <c r="G696" s="161"/>
      <c r="H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161"/>
      <c r="BH696" s="161"/>
      <c r="BI696" s="161"/>
      <c r="BJ696" s="161"/>
      <c r="BK696" s="161"/>
      <c r="BL696" s="161"/>
      <c r="BM696" s="161"/>
      <c r="BN696" s="161"/>
      <c r="BO696" s="161"/>
      <c r="BP696" s="161"/>
      <c r="BQ696" s="161"/>
      <c r="BR696" s="161"/>
      <c r="BS696" s="161"/>
      <c r="BT696" s="161"/>
      <c r="BU696" s="161"/>
      <c r="BV696" s="161"/>
      <c r="BW696" s="161"/>
      <c r="BX696" s="161"/>
    </row>
    <row r="697">
      <c r="A697" s="161"/>
      <c r="B697" s="161"/>
      <c r="C697" s="161"/>
      <c r="D697" s="161"/>
      <c r="E697" s="161"/>
      <c r="F697" s="161"/>
      <c r="G697" s="161"/>
      <c r="H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161"/>
      <c r="BH697" s="161"/>
      <c r="BI697" s="161"/>
      <c r="BJ697" s="161"/>
      <c r="BK697" s="161"/>
      <c r="BL697" s="161"/>
      <c r="BM697" s="161"/>
      <c r="BN697" s="161"/>
      <c r="BO697" s="161"/>
      <c r="BP697" s="161"/>
      <c r="BQ697" s="161"/>
      <c r="BR697" s="161"/>
      <c r="BS697" s="161"/>
      <c r="BT697" s="161"/>
      <c r="BU697" s="161"/>
      <c r="BV697" s="161"/>
      <c r="BW697" s="161"/>
      <c r="BX697" s="161"/>
    </row>
    <row r="698">
      <c r="A698" s="161"/>
      <c r="B698" s="161"/>
      <c r="C698" s="161"/>
      <c r="D698" s="161"/>
      <c r="E698" s="161"/>
      <c r="F698" s="161"/>
      <c r="G698" s="161"/>
      <c r="H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161"/>
      <c r="BH698" s="161"/>
      <c r="BI698" s="161"/>
      <c r="BJ698" s="161"/>
      <c r="BK698" s="161"/>
      <c r="BL698" s="161"/>
      <c r="BM698" s="161"/>
      <c r="BN698" s="161"/>
      <c r="BO698" s="161"/>
      <c r="BP698" s="161"/>
      <c r="BQ698" s="161"/>
      <c r="BR698" s="161"/>
      <c r="BS698" s="161"/>
      <c r="BT698" s="161"/>
      <c r="BU698" s="161"/>
      <c r="BV698" s="161"/>
      <c r="BW698" s="161"/>
      <c r="BX698" s="161"/>
    </row>
    <row r="699">
      <c r="A699" s="161"/>
      <c r="B699" s="161"/>
      <c r="C699" s="161"/>
      <c r="D699" s="161"/>
      <c r="E699" s="161"/>
      <c r="F699" s="161"/>
      <c r="G699" s="161"/>
      <c r="H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161"/>
      <c r="BH699" s="161"/>
      <c r="BI699" s="161"/>
      <c r="BJ699" s="161"/>
      <c r="BK699" s="161"/>
      <c r="BL699" s="161"/>
      <c r="BM699" s="161"/>
      <c r="BN699" s="161"/>
      <c r="BO699" s="161"/>
      <c r="BP699" s="161"/>
      <c r="BQ699" s="161"/>
      <c r="BR699" s="161"/>
      <c r="BS699" s="161"/>
      <c r="BT699" s="161"/>
      <c r="BU699" s="161"/>
      <c r="BV699" s="161"/>
      <c r="BW699" s="161"/>
      <c r="BX699" s="161"/>
    </row>
    <row r="700">
      <c r="A700" s="161"/>
      <c r="B700" s="161"/>
      <c r="C700" s="161"/>
      <c r="D700" s="161"/>
      <c r="E700" s="161"/>
      <c r="F700" s="161"/>
      <c r="G700" s="161"/>
      <c r="H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161"/>
      <c r="BH700" s="161"/>
      <c r="BI700" s="161"/>
      <c r="BJ700" s="161"/>
      <c r="BK700" s="161"/>
      <c r="BL700" s="161"/>
      <c r="BM700" s="161"/>
      <c r="BN700" s="161"/>
      <c r="BO700" s="161"/>
      <c r="BP700" s="161"/>
      <c r="BQ700" s="161"/>
      <c r="BR700" s="161"/>
      <c r="BS700" s="161"/>
      <c r="BT700" s="161"/>
      <c r="BU700" s="161"/>
      <c r="BV700" s="161"/>
      <c r="BW700" s="161"/>
      <c r="BX700" s="161"/>
    </row>
    <row r="701">
      <c r="A701" s="161"/>
      <c r="B701" s="161"/>
      <c r="C701" s="161"/>
      <c r="D701" s="161"/>
      <c r="E701" s="161"/>
      <c r="F701" s="161"/>
      <c r="G701" s="161"/>
      <c r="H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/>
      <c r="BG701" s="161"/>
      <c r="BH701" s="161"/>
      <c r="BI701" s="161"/>
      <c r="BJ701" s="161"/>
      <c r="BK701" s="161"/>
      <c r="BL701" s="161"/>
      <c r="BM701" s="161"/>
      <c r="BN701" s="161"/>
      <c r="BO701" s="161"/>
      <c r="BP701" s="161"/>
      <c r="BQ701" s="161"/>
      <c r="BR701" s="161"/>
      <c r="BS701" s="161"/>
      <c r="BT701" s="161"/>
      <c r="BU701" s="161"/>
      <c r="BV701" s="161"/>
      <c r="BW701" s="161"/>
      <c r="BX701" s="161"/>
    </row>
    <row r="702">
      <c r="A702" s="161"/>
      <c r="B702" s="161"/>
      <c r="C702" s="161"/>
      <c r="D702" s="161"/>
      <c r="E702" s="161"/>
      <c r="F702" s="161"/>
      <c r="G702" s="161"/>
      <c r="H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F702" s="161"/>
      <c r="BG702" s="161"/>
      <c r="BH702" s="161"/>
      <c r="BI702" s="161"/>
      <c r="BJ702" s="161"/>
      <c r="BK702" s="161"/>
      <c r="BL702" s="161"/>
      <c r="BM702" s="161"/>
      <c r="BN702" s="161"/>
      <c r="BO702" s="161"/>
      <c r="BP702" s="161"/>
      <c r="BQ702" s="161"/>
      <c r="BR702" s="161"/>
      <c r="BS702" s="161"/>
      <c r="BT702" s="161"/>
      <c r="BU702" s="161"/>
      <c r="BV702" s="161"/>
      <c r="BW702" s="161"/>
      <c r="BX702" s="161"/>
    </row>
    <row r="703">
      <c r="A703" s="161"/>
      <c r="B703" s="161"/>
      <c r="C703" s="161"/>
      <c r="D703" s="161"/>
      <c r="E703" s="161"/>
      <c r="F703" s="161"/>
      <c r="G703" s="161"/>
      <c r="H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161"/>
      <c r="BH703" s="161"/>
      <c r="BI703" s="161"/>
      <c r="BJ703" s="161"/>
      <c r="BK703" s="161"/>
      <c r="BL703" s="161"/>
      <c r="BM703" s="161"/>
      <c r="BN703" s="161"/>
      <c r="BO703" s="161"/>
      <c r="BP703" s="161"/>
      <c r="BQ703" s="161"/>
      <c r="BR703" s="161"/>
      <c r="BS703" s="161"/>
      <c r="BT703" s="161"/>
      <c r="BU703" s="161"/>
      <c r="BV703" s="161"/>
      <c r="BW703" s="161"/>
      <c r="BX703" s="161"/>
    </row>
    <row r="704">
      <c r="A704" s="161"/>
      <c r="B704" s="161"/>
      <c r="C704" s="161"/>
      <c r="D704" s="161"/>
      <c r="E704" s="161"/>
      <c r="F704" s="161"/>
      <c r="G704" s="161"/>
      <c r="H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F704" s="161"/>
      <c r="BG704" s="161"/>
      <c r="BH704" s="161"/>
      <c r="BI704" s="161"/>
      <c r="BJ704" s="161"/>
      <c r="BK704" s="161"/>
      <c r="BL704" s="161"/>
      <c r="BM704" s="161"/>
      <c r="BN704" s="161"/>
      <c r="BO704" s="161"/>
      <c r="BP704" s="161"/>
      <c r="BQ704" s="161"/>
      <c r="BR704" s="161"/>
      <c r="BS704" s="161"/>
      <c r="BT704" s="161"/>
      <c r="BU704" s="161"/>
      <c r="BV704" s="161"/>
      <c r="BW704" s="161"/>
      <c r="BX704" s="161"/>
    </row>
    <row r="705">
      <c r="A705" s="161"/>
      <c r="B705" s="161"/>
      <c r="C705" s="161"/>
      <c r="D705" s="161"/>
      <c r="E705" s="161"/>
      <c r="F705" s="161"/>
      <c r="G705" s="161"/>
      <c r="H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161"/>
      <c r="BH705" s="161"/>
      <c r="BI705" s="161"/>
      <c r="BJ705" s="161"/>
      <c r="BK705" s="161"/>
      <c r="BL705" s="161"/>
      <c r="BM705" s="161"/>
      <c r="BN705" s="161"/>
      <c r="BO705" s="161"/>
      <c r="BP705" s="161"/>
      <c r="BQ705" s="161"/>
      <c r="BR705" s="161"/>
      <c r="BS705" s="161"/>
      <c r="BT705" s="161"/>
      <c r="BU705" s="161"/>
      <c r="BV705" s="161"/>
      <c r="BW705" s="161"/>
      <c r="BX705" s="161"/>
    </row>
    <row r="706">
      <c r="A706" s="161"/>
      <c r="B706" s="161"/>
      <c r="C706" s="161"/>
      <c r="D706" s="161"/>
      <c r="E706" s="161"/>
      <c r="F706" s="161"/>
      <c r="G706" s="161"/>
      <c r="H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F706" s="161"/>
      <c r="BG706" s="161"/>
      <c r="BH706" s="161"/>
      <c r="BI706" s="161"/>
      <c r="BJ706" s="161"/>
      <c r="BK706" s="161"/>
      <c r="BL706" s="161"/>
      <c r="BM706" s="161"/>
      <c r="BN706" s="161"/>
      <c r="BO706" s="161"/>
      <c r="BP706" s="161"/>
      <c r="BQ706" s="161"/>
      <c r="BR706" s="161"/>
      <c r="BS706" s="161"/>
      <c r="BT706" s="161"/>
      <c r="BU706" s="161"/>
      <c r="BV706" s="161"/>
      <c r="BW706" s="161"/>
      <c r="BX706" s="161"/>
    </row>
    <row r="707">
      <c r="A707" s="161"/>
      <c r="B707" s="161"/>
      <c r="C707" s="161"/>
      <c r="D707" s="161"/>
      <c r="E707" s="161"/>
      <c r="F707" s="161"/>
      <c r="G707" s="161"/>
      <c r="H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F707" s="161"/>
      <c r="BG707" s="161"/>
      <c r="BH707" s="161"/>
      <c r="BI707" s="161"/>
      <c r="BJ707" s="161"/>
      <c r="BK707" s="161"/>
      <c r="BL707" s="161"/>
      <c r="BM707" s="161"/>
      <c r="BN707" s="161"/>
      <c r="BO707" s="161"/>
      <c r="BP707" s="161"/>
      <c r="BQ707" s="161"/>
      <c r="BR707" s="161"/>
      <c r="BS707" s="161"/>
      <c r="BT707" s="161"/>
      <c r="BU707" s="161"/>
      <c r="BV707" s="161"/>
      <c r="BW707" s="161"/>
      <c r="BX707" s="161"/>
    </row>
    <row r="708">
      <c r="A708" s="161"/>
      <c r="B708" s="161"/>
      <c r="C708" s="161"/>
      <c r="D708" s="161"/>
      <c r="E708" s="161"/>
      <c r="F708" s="161"/>
      <c r="G708" s="161"/>
      <c r="H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F708" s="161"/>
      <c r="BG708" s="161"/>
      <c r="BH708" s="161"/>
      <c r="BI708" s="161"/>
      <c r="BJ708" s="161"/>
      <c r="BK708" s="161"/>
      <c r="BL708" s="161"/>
      <c r="BM708" s="161"/>
      <c r="BN708" s="161"/>
      <c r="BO708" s="161"/>
      <c r="BP708" s="161"/>
      <c r="BQ708" s="161"/>
      <c r="BR708" s="161"/>
      <c r="BS708" s="161"/>
      <c r="BT708" s="161"/>
      <c r="BU708" s="161"/>
      <c r="BV708" s="161"/>
      <c r="BW708" s="161"/>
      <c r="BX708" s="161"/>
    </row>
    <row r="709">
      <c r="A709" s="161"/>
      <c r="B709" s="161"/>
      <c r="C709" s="161"/>
      <c r="D709" s="161"/>
      <c r="E709" s="161"/>
      <c r="F709" s="161"/>
      <c r="G709" s="161"/>
      <c r="H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</row>
    <row r="710">
      <c r="A710" s="161"/>
      <c r="B710" s="161"/>
      <c r="C710" s="161"/>
      <c r="D710" s="161"/>
      <c r="E710" s="161"/>
      <c r="F710" s="161"/>
      <c r="G710" s="161"/>
      <c r="H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</row>
    <row r="711">
      <c r="A711" s="161"/>
      <c r="B711" s="161"/>
      <c r="C711" s="161"/>
      <c r="D711" s="161"/>
      <c r="E711" s="161"/>
      <c r="F711" s="161"/>
      <c r="G711" s="161"/>
      <c r="H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</row>
    <row r="712">
      <c r="A712" s="161"/>
      <c r="B712" s="161"/>
      <c r="C712" s="161"/>
      <c r="D712" s="161"/>
      <c r="E712" s="161"/>
      <c r="F712" s="161"/>
      <c r="G712" s="161"/>
      <c r="H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</row>
    <row r="713">
      <c r="A713" s="161"/>
      <c r="B713" s="161"/>
      <c r="C713" s="161"/>
      <c r="D713" s="161"/>
      <c r="E713" s="161"/>
      <c r="F713" s="161"/>
      <c r="G713" s="161"/>
      <c r="H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</row>
    <row r="714">
      <c r="A714" s="161"/>
      <c r="B714" s="161"/>
      <c r="C714" s="161"/>
      <c r="D714" s="161"/>
      <c r="E714" s="161"/>
      <c r="F714" s="161"/>
      <c r="G714" s="161"/>
      <c r="H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F714" s="161"/>
      <c r="BG714" s="161"/>
      <c r="BH714" s="161"/>
      <c r="BI714" s="161"/>
      <c r="BJ714" s="161"/>
      <c r="BK714" s="161"/>
      <c r="BL714" s="161"/>
      <c r="BM714" s="161"/>
      <c r="BN714" s="161"/>
      <c r="BO714" s="161"/>
      <c r="BP714" s="161"/>
      <c r="BQ714" s="161"/>
      <c r="BR714" s="161"/>
      <c r="BS714" s="161"/>
      <c r="BT714" s="161"/>
      <c r="BU714" s="161"/>
      <c r="BV714" s="161"/>
      <c r="BW714" s="161"/>
      <c r="BX714" s="161"/>
    </row>
    <row r="715">
      <c r="A715" s="161"/>
      <c r="B715" s="161"/>
      <c r="C715" s="161"/>
      <c r="D715" s="161"/>
      <c r="E715" s="161"/>
      <c r="F715" s="161"/>
      <c r="G715" s="161"/>
      <c r="H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</row>
    <row r="716">
      <c r="A716" s="161"/>
      <c r="B716" s="161"/>
      <c r="C716" s="161"/>
      <c r="D716" s="161"/>
      <c r="E716" s="161"/>
      <c r="F716" s="161"/>
      <c r="G716" s="161"/>
      <c r="H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F716" s="161"/>
      <c r="BG716" s="161"/>
      <c r="BH716" s="161"/>
      <c r="BI716" s="161"/>
      <c r="BJ716" s="161"/>
      <c r="BK716" s="161"/>
      <c r="BL716" s="161"/>
      <c r="BM716" s="161"/>
      <c r="BN716" s="161"/>
      <c r="BO716" s="161"/>
      <c r="BP716" s="161"/>
      <c r="BQ716" s="161"/>
      <c r="BR716" s="161"/>
      <c r="BS716" s="161"/>
      <c r="BT716" s="161"/>
      <c r="BU716" s="161"/>
      <c r="BV716" s="161"/>
      <c r="BW716" s="161"/>
      <c r="BX716" s="161"/>
    </row>
    <row r="717">
      <c r="A717" s="161"/>
      <c r="B717" s="161"/>
      <c r="C717" s="161"/>
      <c r="D717" s="161"/>
      <c r="E717" s="161"/>
      <c r="F717" s="161"/>
      <c r="G717" s="161"/>
      <c r="H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</row>
    <row r="718">
      <c r="A718" s="161"/>
      <c r="B718" s="161"/>
      <c r="C718" s="161"/>
      <c r="D718" s="161"/>
      <c r="E718" s="161"/>
      <c r="F718" s="161"/>
      <c r="G718" s="161"/>
      <c r="H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</row>
    <row r="719">
      <c r="A719" s="161"/>
      <c r="B719" s="161"/>
      <c r="C719" s="161"/>
      <c r="D719" s="161"/>
      <c r="E719" s="161"/>
      <c r="F719" s="161"/>
      <c r="G719" s="161"/>
      <c r="H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161"/>
      <c r="BH719" s="161"/>
      <c r="BI719" s="161"/>
      <c r="BJ719" s="161"/>
      <c r="BK719" s="161"/>
      <c r="BL719" s="161"/>
      <c r="BM719" s="161"/>
      <c r="BN719" s="161"/>
      <c r="BO719" s="161"/>
      <c r="BP719" s="161"/>
      <c r="BQ719" s="161"/>
      <c r="BR719" s="161"/>
      <c r="BS719" s="161"/>
      <c r="BT719" s="161"/>
      <c r="BU719" s="161"/>
      <c r="BV719" s="161"/>
      <c r="BW719" s="161"/>
      <c r="BX719" s="161"/>
    </row>
    <row r="720">
      <c r="A720" s="161"/>
      <c r="B720" s="161"/>
      <c r="C720" s="161"/>
      <c r="D720" s="161"/>
      <c r="E720" s="161"/>
      <c r="F720" s="161"/>
      <c r="G720" s="161"/>
      <c r="H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</row>
    <row r="721">
      <c r="A721" s="161"/>
      <c r="B721" s="161"/>
      <c r="C721" s="161"/>
      <c r="D721" s="161"/>
      <c r="E721" s="161"/>
      <c r="F721" s="161"/>
      <c r="G721" s="161"/>
      <c r="H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161"/>
      <c r="BH721" s="161"/>
      <c r="BI721" s="161"/>
      <c r="BJ721" s="161"/>
      <c r="BK721" s="161"/>
      <c r="BL721" s="161"/>
      <c r="BM721" s="161"/>
      <c r="BN721" s="161"/>
      <c r="BO721" s="161"/>
      <c r="BP721" s="161"/>
      <c r="BQ721" s="161"/>
      <c r="BR721" s="161"/>
      <c r="BS721" s="161"/>
      <c r="BT721" s="161"/>
      <c r="BU721" s="161"/>
      <c r="BV721" s="161"/>
      <c r="BW721" s="161"/>
      <c r="BX721" s="161"/>
    </row>
    <row r="722">
      <c r="A722" s="161"/>
      <c r="B722" s="161"/>
      <c r="C722" s="161"/>
      <c r="D722" s="161"/>
      <c r="E722" s="161"/>
      <c r="F722" s="161"/>
      <c r="G722" s="161"/>
      <c r="H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</row>
    <row r="723">
      <c r="A723" s="161"/>
      <c r="B723" s="161"/>
      <c r="C723" s="161"/>
      <c r="D723" s="161"/>
      <c r="E723" s="161"/>
      <c r="F723" s="161"/>
      <c r="G723" s="161"/>
      <c r="H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</row>
    <row r="724">
      <c r="A724" s="161"/>
      <c r="B724" s="161"/>
      <c r="C724" s="161"/>
      <c r="D724" s="161"/>
      <c r="E724" s="161"/>
      <c r="F724" s="161"/>
      <c r="G724" s="161"/>
      <c r="H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F724" s="161"/>
      <c r="BG724" s="161"/>
      <c r="BH724" s="161"/>
      <c r="BI724" s="161"/>
      <c r="BJ724" s="161"/>
      <c r="BK724" s="161"/>
      <c r="BL724" s="161"/>
      <c r="BM724" s="161"/>
      <c r="BN724" s="161"/>
      <c r="BO724" s="161"/>
      <c r="BP724" s="161"/>
      <c r="BQ724" s="161"/>
      <c r="BR724" s="161"/>
      <c r="BS724" s="161"/>
      <c r="BT724" s="161"/>
      <c r="BU724" s="161"/>
      <c r="BV724" s="161"/>
      <c r="BW724" s="161"/>
      <c r="BX724" s="161"/>
    </row>
    <row r="725">
      <c r="A725" s="161"/>
      <c r="B725" s="161"/>
      <c r="C725" s="161"/>
      <c r="D725" s="161"/>
      <c r="E725" s="161"/>
      <c r="F725" s="161"/>
      <c r="G725" s="161"/>
      <c r="H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</row>
    <row r="726">
      <c r="A726" s="161"/>
      <c r="B726" s="161"/>
      <c r="C726" s="161"/>
      <c r="D726" s="161"/>
      <c r="E726" s="161"/>
      <c r="F726" s="161"/>
      <c r="G726" s="161"/>
      <c r="H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161"/>
      <c r="BH726" s="161"/>
      <c r="BI726" s="161"/>
      <c r="BJ726" s="161"/>
      <c r="BK726" s="161"/>
      <c r="BL726" s="161"/>
      <c r="BM726" s="161"/>
      <c r="BN726" s="161"/>
      <c r="BO726" s="161"/>
      <c r="BP726" s="161"/>
      <c r="BQ726" s="161"/>
      <c r="BR726" s="161"/>
      <c r="BS726" s="161"/>
      <c r="BT726" s="161"/>
      <c r="BU726" s="161"/>
      <c r="BV726" s="161"/>
      <c r="BW726" s="161"/>
      <c r="BX726" s="161"/>
    </row>
    <row r="727">
      <c r="A727" s="161"/>
      <c r="B727" s="161"/>
      <c r="C727" s="161"/>
      <c r="D727" s="161"/>
      <c r="E727" s="161"/>
      <c r="F727" s="161"/>
      <c r="G727" s="161"/>
      <c r="H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161"/>
      <c r="BH727" s="161"/>
      <c r="BI727" s="161"/>
      <c r="BJ727" s="161"/>
      <c r="BK727" s="161"/>
      <c r="BL727" s="161"/>
      <c r="BM727" s="161"/>
      <c r="BN727" s="161"/>
      <c r="BO727" s="161"/>
      <c r="BP727" s="161"/>
      <c r="BQ727" s="161"/>
      <c r="BR727" s="161"/>
      <c r="BS727" s="161"/>
      <c r="BT727" s="161"/>
      <c r="BU727" s="161"/>
      <c r="BV727" s="161"/>
      <c r="BW727" s="161"/>
      <c r="BX727" s="161"/>
    </row>
    <row r="728">
      <c r="A728" s="161"/>
      <c r="B728" s="161"/>
      <c r="C728" s="161"/>
      <c r="D728" s="161"/>
      <c r="E728" s="161"/>
      <c r="F728" s="161"/>
      <c r="G728" s="161"/>
      <c r="H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161"/>
      <c r="BH728" s="161"/>
      <c r="BI728" s="161"/>
      <c r="BJ728" s="161"/>
      <c r="BK728" s="161"/>
      <c r="BL728" s="161"/>
      <c r="BM728" s="161"/>
      <c r="BN728" s="161"/>
      <c r="BO728" s="161"/>
      <c r="BP728" s="161"/>
      <c r="BQ728" s="161"/>
      <c r="BR728" s="161"/>
      <c r="BS728" s="161"/>
      <c r="BT728" s="161"/>
      <c r="BU728" s="161"/>
      <c r="BV728" s="161"/>
      <c r="BW728" s="161"/>
      <c r="BX728" s="161"/>
    </row>
    <row r="729">
      <c r="A729" s="161"/>
      <c r="B729" s="161"/>
      <c r="C729" s="161"/>
      <c r="D729" s="161"/>
      <c r="E729" s="161"/>
      <c r="F729" s="161"/>
      <c r="G729" s="161"/>
      <c r="H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/>
      <c r="BG729" s="161"/>
      <c r="BH729" s="161"/>
      <c r="BI729" s="161"/>
      <c r="BJ729" s="161"/>
      <c r="BK729" s="161"/>
      <c r="BL729" s="161"/>
      <c r="BM729" s="161"/>
      <c r="BN729" s="161"/>
      <c r="BO729" s="161"/>
      <c r="BP729" s="161"/>
      <c r="BQ729" s="161"/>
      <c r="BR729" s="161"/>
      <c r="BS729" s="161"/>
      <c r="BT729" s="161"/>
      <c r="BU729" s="161"/>
      <c r="BV729" s="161"/>
      <c r="BW729" s="161"/>
      <c r="BX729" s="161"/>
    </row>
    <row r="730">
      <c r="A730" s="161"/>
      <c r="B730" s="161"/>
      <c r="C730" s="161"/>
      <c r="D730" s="161"/>
      <c r="E730" s="161"/>
      <c r="F730" s="161"/>
      <c r="G730" s="161"/>
      <c r="H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161"/>
      <c r="BH730" s="161"/>
      <c r="BI730" s="161"/>
      <c r="BJ730" s="161"/>
      <c r="BK730" s="161"/>
      <c r="BL730" s="161"/>
      <c r="BM730" s="161"/>
      <c r="BN730" s="161"/>
      <c r="BO730" s="161"/>
      <c r="BP730" s="161"/>
      <c r="BQ730" s="161"/>
      <c r="BR730" s="161"/>
      <c r="BS730" s="161"/>
      <c r="BT730" s="161"/>
      <c r="BU730" s="161"/>
      <c r="BV730" s="161"/>
      <c r="BW730" s="161"/>
      <c r="BX730" s="161"/>
    </row>
    <row r="731">
      <c r="A731" s="161"/>
      <c r="B731" s="161"/>
      <c r="C731" s="161"/>
      <c r="D731" s="161"/>
      <c r="E731" s="161"/>
      <c r="F731" s="161"/>
      <c r="G731" s="161"/>
      <c r="H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</row>
    <row r="732">
      <c r="A732" s="161"/>
      <c r="B732" s="161"/>
      <c r="C732" s="161"/>
      <c r="D732" s="161"/>
      <c r="E732" s="161"/>
      <c r="F732" s="161"/>
      <c r="G732" s="161"/>
      <c r="H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</row>
    <row r="733">
      <c r="A733" s="161"/>
      <c r="B733" s="161"/>
      <c r="C733" s="161"/>
      <c r="D733" s="161"/>
      <c r="E733" s="161"/>
      <c r="F733" s="161"/>
      <c r="G733" s="161"/>
      <c r="H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161"/>
      <c r="BH733" s="161"/>
      <c r="BI733" s="161"/>
      <c r="BJ733" s="161"/>
      <c r="BK733" s="161"/>
      <c r="BL733" s="161"/>
      <c r="BM733" s="161"/>
      <c r="BN733" s="161"/>
      <c r="BO733" s="161"/>
      <c r="BP733" s="161"/>
      <c r="BQ733" s="161"/>
      <c r="BR733" s="161"/>
      <c r="BS733" s="161"/>
      <c r="BT733" s="161"/>
      <c r="BU733" s="161"/>
      <c r="BV733" s="161"/>
      <c r="BW733" s="161"/>
      <c r="BX733" s="161"/>
    </row>
    <row r="734">
      <c r="A734" s="161"/>
      <c r="B734" s="161"/>
      <c r="C734" s="161"/>
      <c r="D734" s="161"/>
      <c r="E734" s="161"/>
      <c r="F734" s="161"/>
      <c r="G734" s="161"/>
      <c r="H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161"/>
      <c r="BH734" s="161"/>
      <c r="BI734" s="161"/>
      <c r="BJ734" s="161"/>
      <c r="BK734" s="161"/>
      <c r="BL734" s="161"/>
      <c r="BM734" s="161"/>
      <c r="BN734" s="161"/>
      <c r="BO734" s="161"/>
      <c r="BP734" s="161"/>
      <c r="BQ734" s="161"/>
      <c r="BR734" s="161"/>
      <c r="BS734" s="161"/>
      <c r="BT734" s="161"/>
      <c r="BU734" s="161"/>
      <c r="BV734" s="161"/>
      <c r="BW734" s="161"/>
      <c r="BX734" s="161"/>
    </row>
    <row r="735">
      <c r="A735" s="161"/>
      <c r="B735" s="161"/>
      <c r="C735" s="161"/>
      <c r="D735" s="161"/>
      <c r="E735" s="161"/>
      <c r="F735" s="161"/>
      <c r="G735" s="161"/>
      <c r="H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161"/>
      <c r="BH735" s="161"/>
      <c r="BI735" s="161"/>
      <c r="BJ735" s="161"/>
      <c r="BK735" s="161"/>
      <c r="BL735" s="161"/>
      <c r="BM735" s="161"/>
      <c r="BN735" s="161"/>
      <c r="BO735" s="161"/>
      <c r="BP735" s="161"/>
      <c r="BQ735" s="161"/>
      <c r="BR735" s="161"/>
      <c r="BS735" s="161"/>
      <c r="BT735" s="161"/>
      <c r="BU735" s="161"/>
      <c r="BV735" s="161"/>
      <c r="BW735" s="161"/>
      <c r="BX735" s="161"/>
    </row>
    <row r="736">
      <c r="A736" s="161"/>
      <c r="B736" s="161"/>
      <c r="C736" s="161"/>
      <c r="D736" s="161"/>
      <c r="E736" s="161"/>
      <c r="F736" s="161"/>
      <c r="G736" s="161"/>
      <c r="H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/>
      <c r="BG736" s="161"/>
      <c r="BH736" s="161"/>
      <c r="BI736" s="161"/>
      <c r="BJ736" s="161"/>
      <c r="BK736" s="161"/>
      <c r="BL736" s="161"/>
      <c r="BM736" s="161"/>
      <c r="BN736" s="161"/>
      <c r="BO736" s="161"/>
      <c r="BP736" s="161"/>
      <c r="BQ736" s="161"/>
      <c r="BR736" s="161"/>
      <c r="BS736" s="161"/>
      <c r="BT736" s="161"/>
      <c r="BU736" s="161"/>
      <c r="BV736" s="161"/>
      <c r="BW736" s="161"/>
      <c r="BX736" s="161"/>
    </row>
    <row r="737">
      <c r="A737" s="161"/>
      <c r="B737" s="161"/>
      <c r="C737" s="161"/>
      <c r="D737" s="161"/>
      <c r="E737" s="161"/>
      <c r="F737" s="161"/>
      <c r="G737" s="161"/>
      <c r="H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/>
      <c r="BG737" s="161"/>
      <c r="BH737" s="161"/>
      <c r="BI737" s="161"/>
      <c r="BJ737" s="161"/>
      <c r="BK737" s="161"/>
      <c r="BL737" s="161"/>
      <c r="BM737" s="161"/>
      <c r="BN737" s="161"/>
      <c r="BO737" s="161"/>
      <c r="BP737" s="161"/>
      <c r="BQ737" s="161"/>
      <c r="BR737" s="161"/>
      <c r="BS737" s="161"/>
      <c r="BT737" s="161"/>
      <c r="BU737" s="161"/>
      <c r="BV737" s="161"/>
      <c r="BW737" s="161"/>
      <c r="BX737" s="161"/>
    </row>
    <row r="738">
      <c r="A738" s="161"/>
      <c r="B738" s="161"/>
      <c r="C738" s="161"/>
      <c r="D738" s="161"/>
      <c r="E738" s="161"/>
      <c r="F738" s="161"/>
      <c r="G738" s="161"/>
      <c r="H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/>
      <c r="BG738" s="161"/>
      <c r="BH738" s="161"/>
      <c r="BI738" s="161"/>
      <c r="BJ738" s="161"/>
      <c r="BK738" s="161"/>
      <c r="BL738" s="161"/>
      <c r="BM738" s="161"/>
      <c r="BN738" s="161"/>
      <c r="BO738" s="161"/>
      <c r="BP738" s="161"/>
      <c r="BQ738" s="161"/>
      <c r="BR738" s="161"/>
      <c r="BS738" s="161"/>
      <c r="BT738" s="161"/>
      <c r="BU738" s="161"/>
      <c r="BV738" s="161"/>
      <c r="BW738" s="161"/>
      <c r="BX738" s="161"/>
    </row>
    <row r="739">
      <c r="A739" s="161"/>
      <c r="B739" s="161"/>
      <c r="C739" s="161"/>
      <c r="D739" s="161"/>
      <c r="E739" s="161"/>
      <c r="F739" s="161"/>
      <c r="G739" s="161"/>
      <c r="H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1"/>
      <c r="BI739" s="161"/>
      <c r="BJ739" s="161"/>
      <c r="BK739" s="161"/>
      <c r="BL739" s="161"/>
      <c r="BM739" s="161"/>
      <c r="BN739" s="161"/>
      <c r="BO739" s="161"/>
      <c r="BP739" s="161"/>
      <c r="BQ739" s="161"/>
      <c r="BR739" s="161"/>
      <c r="BS739" s="161"/>
      <c r="BT739" s="161"/>
      <c r="BU739" s="161"/>
      <c r="BV739" s="161"/>
      <c r="BW739" s="161"/>
      <c r="BX739" s="161"/>
    </row>
    <row r="740">
      <c r="A740" s="161"/>
      <c r="B740" s="161"/>
      <c r="C740" s="161"/>
      <c r="D740" s="161"/>
      <c r="E740" s="161"/>
      <c r="F740" s="161"/>
      <c r="G740" s="161"/>
      <c r="H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161"/>
      <c r="BH740" s="161"/>
      <c r="BI740" s="161"/>
      <c r="BJ740" s="161"/>
      <c r="BK740" s="161"/>
      <c r="BL740" s="161"/>
      <c r="BM740" s="161"/>
      <c r="BN740" s="161"/>
      <c r="BO740" s="161"/>
      <c r="BP740" s="161"/>
      <c r="BQ740" s="161"/>
      <c r="BR740" s="161"/>
      <c r="BS740" s="161"/>
      <c r="BT740" s="161"/>
      <c r="BU740" s="161"/>
      <c r="BV740" s="161"/>
      <c r="BW740" s="161"/>
      <c r="BX740" s="161"/>
    </row>
    <row r="741">
      <c r="A741" s="161"/>
      <c r="B741" s="161"/>
      <c r="C741" s="161"/>
      <c r="D741" s="161"/>
      <c r="E741" s="161"/>
      <c r="F741" s="161"/>
      <c r="G741" s="161"/>
      <c r="H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161"/>
      <c r="BH741" s="161"/>
      <c r="BI741" s="161"/>
      <c r="BJ741" s="161"/>
      <c r="BK741" s="161"/>
      <c r="BL741" s="161"/>
      <c r="BM741" s="161"/>
      <c r="BN741" s="161"/>
      <c r="BO741" s="161"/>
      <c r="BP741" s="161"/>
      <c r="BQ741" s="161"/>
      <c r="BR741" s="161"/>
      <c r="BS741" s="161"/>
      <c r="BT741" s="161"/>
      <c r="BU741" s="161"/>
      <c r="BV741" s="161"/>
      <c r="BW741" s="161"/>
      <c r="BX741" s="161"/>
    </row>
    <row r="742">
      <c r="A742" s="161"/>
      <c r="B742" s="161"/>
      <c r="C742" s="161"/>
      <c r="D742" s="161"/>
      <c r="E742" s="161"/>
      <c r="F742" s="161"/>
      <c r="G742" s="161"/>
      <c r="H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161"/>
      <c r="BH742" s="161"/>
      <c r="BI742" s="161"/>
      <c r="BJ742" s="161"/>
      <c r="BK742" s="161"/>
      <c r="BL742" s="161"/>
      <c r="BM742" s="161"/>
      <c r="BN742" s="161"/>
      <c r="BO742" s="161"/>
      <c r="BP742" s="161"/>
      <c r="BQ742" s="161"/>
      <c r="BR742" s="161"/>
      <c r="BS742" s="161"/>
      <c r="BT742" s="161"/>
      <c r="BU742" s="161"/>
      <c r="BV742" s="161"/>
      <c r="BW742" s="161"/>
      <c r="BX742" s="161"/>
    </row>
    <row r="743">
      <c r="A743" s="161"/>
      <c r="B743" s="161"/>
      <c r="C743" s="161"/>
      <c r="D743" s="161"/>
      <c r="E743" s="161"/>
      <c r="F743" s="161"/>
      <c r="G743" s="161"/>
      <c r="H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F743" s="161"/>
      <c r="BG743" s="161"/>
      <c r="BH743" s="161"/>
      <c r="BI743" s="161"/>
      <c r="BJ743" s="161"/>
      <c r="BK743" s="161"/>
      <c r="BL743" s="161"/>
      <c r="BM743" s="161"/>
      <c r="BN743" s="161"/>
      <c r="BO743" s="161"/>
      <c r="BP743" s="161"/>
      <c r="BQ743" s="161"/>
      <c r="BR743" s="161"/>
      <c r="BS743" s="161"/>
      <c r="BT743" s="161"/>
      <c r="BU743" s="161"/>
      <c r="BV743" s="161"/>
      <c r="BW743" s="161"/>
      <c r="BX743" s="161"/>
    </row>
    <row r="744">
      <c r="A744" s="161"/>
      <c r="B744" s="161"/>
      <c r="C744" s="161"/>
      <c r="D744" s="161"/>
      <c r="E744" s="161"/>
      <c r="F744" s="161"/>
      <c r="G744" s="161"/>
      <c r="H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F744" s="161"/>
      <c r="BG744" s="161"/>
      <c r="BH744" s="161"/>
      <c r="BI744" s="161"/>
      <c r="BJ744" s="161"/>
      <c r="BK744" s="161"/>
      <c r="BL744" s="161"/>
      <c r="BM744" s="161"/>
      <c r="BN744" s="161"/>
      <c r="BO744" s="161"/>
      <c r="BP744" s="161"/>
      <c r="BQ744" s="161"/>
      <c r="BR744" s="161"/>
      <c r="BS744" s="161"/>
      <c r="BT744" s="161"/>
      <c r="BU744" s="161"/>
      <c r="BV744" s="161"/>
      <c r="BW744" s="161"/>
      <c r="BX744" s="161"/>
    </row>
    <row r="745">
      <c r="A745" s="161"/>
      <c r="B745" s="161"/>
      <c r="C745" s="161"/>
      <c r="D745" s="161"/>
      <c r="E745" s="161"/>
      <c r="F745" s="161"/>
      <c r="G745" s="161"/>
      <c r="H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F745" s="161"/>
      <c r="BG745" s="161"/>
      <c r="BH745" s="161"/>
      <c r="BI745" s="161"/>
      <c r="BJ745" s="161"/>
      <c r="BK745" s="161"/>
      <c r="BL745" s="161"/>
      <c r="BM745" s="161"/>
      <c r="BN745" s="161"/>
      <c r="BO745" s="161"/>
      <c r="BP745" s="161"/>
      <c r="BQ745" s="161"/>
      <c r="BR745" s="161"/>
      <c r="BS745" s="161"/>
      <c r="BT745" s="161"/>
      <c r="BU745" s="161"/>
      <c r="BV745" s="161"/>
      <c r="BW745" s="161"/>
      <c r="BX745" s="161"/>
    </row>
    <row r="746">
      <c r="A746" s="161"/>
      <c r="B746" s="161"/>
      <c r="C746" s="161"/>
      <c r="D746" s="161"/>
      <c r="E746" s="161"/>
      <c r="F746" s="161"/>
      <c r="G746" s="161"/>
      <c r="H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161"/>
      <c r="BH746" s="161"/>
      <c r="BI746" s="161"/>
      <c r="BJ746" s="161"/>
      <c r="BK746" s="161"/>
      <c r="BL746" s="161"/>
      <c r="BM746" s="161"/>
      <c r="BN746" s="161"/>
      <c r="BO746" s="161"/>
      <c r="BP746" s="161"/>
      <c r="BQ746" s="161"/>
      <c r="BR746" s="161"/>
      <c r="BS746" s="161"/>
      <c r="BT746" s="161"/>
      <c r="BU746" s="161"/>
      <c r="BV746" s="161"/>
      <c r="BW746" s="161"/>
      <c r="BX746" s="161"/>
    </row>
    <row r="747">
      <c r="A747" s="161"/>
      <c r="B747" s="161"/>
      <c r="C747" s="161"/>
      <c r="D747" s="161"/>
      <c r="E747" s="161"/>
      <c r="F747" s="161"/>
      <c r="G747" s="161"/>
      <c r="H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161"/>
      <c r="BH747" s="161"/>
      <c r="BI747" s="161"/>
      <c r="BJ747" s="161"/>
      <c r="BK747" s="161"/>
      <c r="BL747" s="161"/>
      <c r="BM747" s="161"/>
      <c r="BN747" s="161"/>
      <c r="BO747" s="161"/>
      <c r="BP747" s="161"/>
      <c r="BQ747" s="161"/>
      <c r="BR747" s="161"/>
      <c r="BS747" s="161"/>
      <c r="BT747" s="161"/>
      <c r="BU747" s="161"/>
      <c r="BV747" s="161"/>
      <c r="BW747" s="161"/>
      <c r="BX747" s="161"/>
    </row>
    <row r="748">
      <c r="A748" s="161"/>
      <c r="B748" s="161"/>
      <c r="C748" s="161"/>
      <c r="D748" s="161"/>
      <c r="E748" s="161"/>
      <c r="F748" s="161"/>
      <c r="G748" s="161"/>
      <c r="H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161"/>
      <c r="BH748" s="161"/>
      <c r="BI748" s="161"/>
      <c r="BJ748" s="161"/>
      <c r="BK748" s="161"/>
      <c r="BL748" s="161"/>
      <c r="BM748" s="161"/>
      <c r="BN748" s="161"/>
      <c r="BO748" s="161"/>
      <c r="BP748" s="161"/>
      <c r="BQ748" s="161"/>
      <c r="BR748" s="161"/>
      <c r="BS748" s="161"/>
      <c r="BT748" s="161"/>
      <c r="BU748" s="161"/>
      <c r="BV748" s="161"/>
      <c r="BW748" s="161"/>
      <c r="BX748" s="161"/>
    </row>
    <row r="749">
      <c r="A749" s="161"/>
      <c r="B749" s="161"/>
      <c r="C749" s="161"/>
      <c r="D749" s="161"/>
      <c r="E749" s="161"/>
      <c r="F749" s="161"/>
      <c r="G749" s="161"/>
      <c r="H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161"/>
      <c r="BH749" s="161"/>
      <c r="BI749" s="161"/>
      <c r="BJ749" s="161"/>
      <c r="BK749" s="161"/>
      <c r="BL749" s="161"/>
      <c r="BM749" s="161"/>
      <c r="BN749" s="161"/>
      <c r="BO749" s="161"/>
      <c r="BP749" s="161"/>
      <c r="BQ749" s="161"/>
      <c r="BR749" s="161"/>
      <c r="BS749" s="161"/>
      <c r="BT749" s="161"/>
      <c r="BU749" s="161"/>
      <c r="BV749" s="161"/>
      <c r="BW749" s="161"/>
      <c r="BX749" s="161"/>
    </row>
    <row r="750">
      <c r="A750" s="161"/>
      <c r="B750" s="161"/>
      <c r="C750" s="161"/>
      <c r="D750" s="161"/>
      <c r="E750" s="161"/>
      <c r="F750" s="161"/>
      <c r="G750" s="161"/>
      <c r="H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161"/>
      <c r="BH750" s="161"/>
      <c r="BI750" s="161"/>
      <c r="BJ750" s="161"/>
      <c r="BK750" s="161"/>
      <c r="BL750" s="161"/>
      <c r="BM750" s="161"/>
      <c r="BN750" s="161"/>
      <c r="BO750" s="161"/>
      <c r="BP750" s="161"/>
      <c r="BQ750" s="161"/>
      <c r="BR750" s="161"/>
      <c r="BS750" s="161"/>
      <c r="BT750" s="161"/>
      <c r="BU750" s="161"/>
      <c r="BV750" s="161"/>
      <c r="BW750" s="161"/>
      <c r="BX750" s="161"/>
    </row>
    <row r="751">
      <c r="A751" s="161"/>
      <c r="B751" s="161"/>
      <c r="C751" s="161"/>
      <c r="D751" s="161"/>
      <c r="E751" s="161"/>
      <c r="F751" s="161"/>
      <c r="G751" s="161"/>
      <c r="H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161"/>
      <c r="BH751" s="161"/>
      <c r="BI751" s="161"/>
      <c r="BJ751" s="161"/>
      <c r="BK751" s="161"/>
      <c r="BL751" s="161"/>
      <c r="BM751" s="161"/>
      <c r="BN751" s="161"/>
      <c r="BO751" s="161"/>
      <c r="BP751" s="161"/>
      <c r="BQ751" s="161"/>
      <c r="BR751" s="161"/>
      <c r="BS751" s="161"/>
      <c r="BT751" s="161"/>
      <c r="BU751" s="161"/>
      <c r="BV751" s="161"/>
      <c r="BW751" s="161"/>
      <c r="BX751" s="161"/>
    </row>
    <row r="752">
      <c r="A752" s="161"/>
      <c r="B752" s="161"/>
      <c r="C752" s="161"/>
      <c r="D752" s="161"/>
      <c r="E752" s="161"/>
      <c r="F752" s="161"/>
      <c r="G752" s="161"/>
      <c r="H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/>
      <c r="BG752" s="161"/>
      <c r="BH752" s="161"/>
      <c r="BI752" s="161"/>
      <c r="BJ752" s="161"/>
      <c r="BK752" s="161"/>
      <c r="BL752" s="161"/>
      <c r="BM752" s="161"/>
      <c r="BN752" s="161"/>
      <c r="BO752" s="161"/>
      <c r="BP752" s="161"/>
      <c r="BQ752" s="161"/>
      <c r="BR752" s="161"/>
      <c r="BS752" s="161"/>
      <c r="BT752" s="161"/>
      <c r="BU752" s="161"/>
      <c r="BV752" s="161"/>
      <c r="BW752" s="161"/>
      <c r="BX752" s="161"/>
    </row>
    <row r="753">
      <c r="A753" s="161"/>
      <c r="B753" s="161"/>
      <c r="C753" s="161"/>
      <c r="D753" s="161"/>
      <c r="E753" s="161"/>
      <c r="F753" s="161"/>
      <c r="G753" s="161"/>
      <c r="H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/>
      <c r="BG753" s="161"/>
      <c r="BH753" s="161"/>
      <c r="BI753" s="161"/>
      <c r="BJ753" s="161"/>
      <c r="BK753" s="161"/>
      <c r="BL753" s="161"/>
      <c r="BM753" s="161"/>
      <c r="BN753" s="161"/>
      <c r="BO753" s="161"/>
      <c r="BP753" s="161"/>
      <c r="BQ753" s="161"/>
      <c r="BR753" s="161"/>
      <c r="BS753" s="161"/>
      <c r="BT753" s="161"/>
      <c r="BU753" s="161"/>
      <c r="BV753" s="161"/>
      <c r="BW753" s="161"/>
      <c r="BX753" s="161"/>
    </row>
    <row r="754">
      <c r="A754" s="161"/>
      <c r="B754" s="161"/>
      <c r="C754" s="161"/>
      <c r="D754" s="161"/>
      <c r="E754" s="161"/>
      <c r="F754" s="161"/>
      <c r="G754" s="161"/>
      <c r="H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161"/>
      <c r="BH754" s="161"/>
      <c r="BI754" s="161"/>
      <c r="BJ754" s="161"/>
      <c r="BK754" s="161"/>
      <c r="BL754" s="161"/>
      <c r="BM754" s="161"/>
      <c r="BN754" s="161"/>
      <c r="BO754" s="161"/>
      <c r="BP754" s="161"/>
      <c r="BQ754" s="161"/>
      <c r="BR754" s="161"/>
      <c r="BS754" s="161"/>
      <c r="BT754" s="161"/>
      <c r="BU754" s="161"/>
      <c r="BV754" s="161"/>
      <c r="BW754" s="161"/>
      <c r="BX754" s="161"/>
    </row>
    <row r="755">
      <c r="A755" s="161"/>
      <c r="B755" s="161"/>
      <c r="C755" s="161"/>
      <c r="D755" s="161"/>
      <c r="E755" s="161"/>
      <c r="F755" s="161"/>
      <c r="G755" s="161"/>
      <c r="H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161"/>
      <c r="BH755" s="161"/>
      <c r="BI755" s="161"/>
      <c r="BJ755" s="161"/>
      <c r="BK755" s="161"/>
      <c r="BL755" s="161"/>
      <c r="BM755" s="161"/>
      <c r="BN755" s="161"/>
      <c r="BO755" s="161"/>
      <c r="BP755" s="161"/>
      <c r="BQ755" s="161"/>
      <c r="BR755" s="161"/>
      <c r="BS755" s="161"/>
      <c r="BT755" s="161"/>
      <c r="BU755" s="161"/>
      <c r="BV755" s="161"/>
      <c r="BW755" s="161"/>
      <c r="BX755" s="161"/>
    </row>
    <row r="756">
      <c r="A756" s="161"/>
      <c r="B756" s="161"/>
      <c r="C756" s="161"/>
      <c r="D756" s="161"/>
      <c r="E756" s="161"/>
      <c r="F756" s="161"/>
      <c r="G756" s="161"/>
      <c r="H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161"/>
      <c r="BH756" s="161"/>
      <c r="BI756" s="161"/>
      <c r="BJ756" s="161"/>
      <c r="BK756" s="161"/>
      <c r="BL756" s="161"/>
      <c r="BM756" s="161"/>
      <c r="BN756" s="161"/>
      <c r="BO756" s="161"/>
      <c r="BP756" s="161"/>
      <c r="BQ756" s="161"/>
      <c r="BR756" s="161"/>
      <c r="BS756" s="161"/>
      <c r="BT756" s="161"/>
      <c r="BU756" s="161"/>
      <c r="BV756" s="161"/>
      <c r="BW756" s="161"/>
      <c r="BX756" s="161"/>
    </row>
    <row r="757">
      <c r="A757" s="161"/>
      <c r="B757" s="161"/>
      <c r="C757" s="161"/>
      <c r="D757" s="161"/>
      <c r="E757" s="161"/>
      <c r="F757" s="161"/>
      <c r="G757" s="161"/>
      <c r="H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161"/>
      <c r="BH757" s="161"/>
      <c r="BI757" s="161"/>
      <c r="BJ757" s="161"/>
      <c r="BK757" s="161"/>
      <c r="BL757" s="161"/>
      <c r="BM757" s="161"/>
      <c r="BN757" s="161"/>
      <c r="BO757" s="161"/>
      <c r="BP757" s="161"/>
      <c r="BQ757" s="161"/>
      <c r="BR757" s="161"/>
      <c r="BS757" s="161"/>
      <c r="BT757" s="161"/>
      <c r="BU757" s="161"/>
      <c r="BV757" s="161"/>
      <c r="BW757" s="161"/>
      <c r="BX757" s="161"/>
    </row>
    <row r="758">
      <c r="A758" s="161"/>
      <c r="B758" s="161"/>
      <c r="C758" s="161"/>
      <c r="D758" s="161"/>
      <c r="E758" s="161"/>
      <c r="F758" s="161"/>
      <c r="G758" s="161"/>
      <c r="H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161"/>
      <c r="BH758" s="161"/>
      <c r="BI758" s="161"/>
      <c r="BJ758" s="161"/>
      <c r="BK758" s="161"/>
      <c r="BL758" s="161"/>
      <c r="BM758" s="161"/>
      <c r="BN758" s="161"/>
      <c r="BO758" s="161"/>
      <c r="BP758" s="161"/>
      <c r="BQ758" s="161"/>
      <c r="BR758" s="161"/>
      <c r="BS758" s="161"/>
      <c r="BT758" s="161"/>
      <c r="BU758" s="161"/>
      <c r="BV758" s="161"/>
      <c r="BW758" s="161"/>
      <c r="BX758" s="161"/>
    </row>
    <row r="759">
      <c r="A759" s="161"/>
      <c r="B759" s="161"/>
      <c r="C759" s="161"/>
      <c r="D759" s="161"/>
      <c r="E759" s="161"/>
      <c r="F759" s="161"/>
      <c r="G759" s="161"/>
      <c r="H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F759" s="161"/>
      <c r="BG759" s="161"/>
      <c r="BH759" s="161"/>
      <c r="BI759" s="161"/>
      <c r="BJ759" s="161"/>
      <c r="BK759" s="161"/>
      <c r="BL759" s="161"/>
      <c r="BM759" s="161"/>
      <c r="BN759" s="161"/>
      <c r="BO759" s="161"/>
      <c r="BP759" s="161"/>
      <c r="BQ759" s="161"/>
      <c r="BR759" s="161"/>
      <c r="BS759" s="161"/>
      <c r="BT759" s="161"/>
      <c r="BU759" s="161"/>
      <c r="BV759" s="161"/>
      <c r="BW759" s="161"/>
      <c r="BX759" s="161"/>
    </row>
    <row r="760">
      <c r="A760" s="161"/>
      <c r="B760" s="161"/>
      <c r="C760" s="161"/>
      <c r="D760" s="161"/>
      <c r="E760" s="161"/>
      <c r="F760" s="161"/>
      <c r="G760" s="161"/>
      <c r="H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161"/>
      <c r="BH760" s="161"/>
      <c r="BI760" s="161"/>
      <c r="BJ760" s="161"/>
      <c r="BK760" s="161"/>
      <c r="BL760" s="161"/>
      <c r="BM760" s="161"/>
      <c r="BN760" s="161"/>
      <c r="BO760" s="161"/>
      <c r="BP760" s="161"/>
      <c r="BQ760" s="161"/>
      <c r="BR760" s="161"/>
      <c r="BS760" s="161"/>
      <c r="BT760" s="161"/>
      <c r="BU760" s="161"/>
      <c r="BV760" s="161"/>
      <c r="BW760" s="161"/>
      <c r="BX760" s="161"/>
    </row>
    <row r="761">
      <c r="A761" s="161"/>
      <c r="B761" s="161"/>
      <c r="C761" s="161"/>
      <c r="D761" s="161"/>
      <c r="E761" s="161"/>
      <c r="F761" s="161"/>
      <c r="G761" s="161"/>
      <c r="H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161"/>
      <c r="BH761" s="161"/>
      <c r="BI761" s="161"/>
      <c r="BJ761" s="161"/>
      <c r="BK761" s="161"/>
      <c r="BL761" s="161"/>
      <c r="BM761" s="161"/>
      <c r="BN761" s="161"/>
      <c r="BO761" s="161"/>
      <c r="BP761" s="161"/>
      <c r="BQ761" s="161"/>
      <c r="BR761" s="161"/>
      <c r="BS761" s="161"/>
      <c r="BT761" s="161"/>
      <c r="BU761" s="161"/>
      <c r="BV761" s="161"/>
      <c r="BW761" s="161"/>
      <c r="BX761" s="161"/>
    </row>
    <row r="762">
      <c r="A762" s="161"/>
      <c r="B762" s="161"/>
      <c r="C762" s="161"/>
      <c r="D762" s="161"/>
      <c r="E762" s="161"/>
      <c r="F762" s="161"/>
      <c r="G762" s="161"/>
      <c r="H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161"/>
      <c r="BH762" s="161"/>
      <c r="BI762" s="161"/>
      <c r="BJ762" s="161"/>
      <c r="BK762" s="161"/>
      <c r="BL762" s="161"/>
      <c r="BM762" s="161"/>
      <c r="BN762" s="161"/>
      <c r="BO762" s="161"/>
      <c r="BP762" s="161"/>
      <c r="BQ762" s="161"/>
      <c r="BR762" s="161"/>
      <c r="BS762" s="161"/>
      <c r="BT762" s="161"/>
      <c r="BU762" s="161"/>
      <c r="BV762" s="161"/>
      <c r="BW762" s="161"/>
      <c r="BX762" s="161"/>
    </row>
    <row r="763">
      <c r="A763" s="161"/>
      <c r="B763" s="161"/>
      <c r="C763" s="161"/>
      <c r="D763" s="161"/>
      <c r="E763" s="161"/>
      <c r="F763" s="161"/>
      <c r="G763" s="161"/>
      <c r="H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161"/>
      <c r="BH763" s="161"/>
      <c r="BI763" s="161"/>
      <c r="BJ763" s="161"/>
      <c r="BK763" s="161"/>
      <c r="BL763" s="161"/>
      <c r="BM763" s="161"/>
      <c r="BN763" s="161"/>
      <c r="BO763" s="161"/>
      <c r="BP763" s="161"/>
      <c r="BQ763" s="161"/>
      <c r="BR763" s="161"/>
      <c r="BS763" s="161"/>
      <c r="BT763" s="161"/>
      <c r="BU763" s="161"/>
      <c r="BV763" s="161"/>
      <c r="BW763" s="161"/>
      <c r="BX763" s="161"/>
    </row>
    <row r="764">
      <c r="A764" s="161"/>
      <c r="B764" s="161"/>
      <c r="C764" s="161"/>
      <c r="D764" s="161"/>
      <c r="E764" s="161"/>
      <c r="F764" s="161"/>
      <c r="G764" s="161"/>
      <c r="H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F764" s="161"/>
      <c r="BG764" s="161"/>
      <c r="BH764" s="161"/>
      <c r="BI764" s="161"/>
      <c r="BJ764" s="161"/>
      <c r="BK764" s="161"/>
      <c r="BL764" s="161"/>
      <c r="BM764" s="161"/>
      <c r="BN764" s="161"/>
      <c r="BO764" s="161"/>
      <c r="BP764" s="161"/>
      <c r="BQ764" s="161"/>
      <c r="BR764" s="161"/>
      <c r="BS764" s="161"/>
      <c r="BT764" s="161"/>
      <c r="BU764" s="161"/>
      <c r="BV764" s="161"/>
      <c r="BW764" s="161"/>
      <c r="BX764" s="161"/>
    </row>
    <row r="765">
      <c r="A765" s="161"/>
      <c r="B765" s="161"/>
      <c r="C765" s="161"/>
      <c r="D765" s="161"/>
      <c r="E765" s="161"/>
      <c r="F765" s="161"/>
      <c r="G765" s="161"/>
      <c r="H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161"/>
      <c r="BH765" s="161"/>
      <c r="BI765" s="161"/>
      <c r="BJ765" s="161"/>
      <c r="BK765" s="161"/>
      <c r="BL765" s="161"/>
      <c r="BM765" s="161"/>
      <c r="BN765" s="161"/>
      <c r="BO765" s="161"/>
      <c r="BP765" s="161"/>
      <c r="BQ765" s="161"/>
      <c r="BR765" s="161"/>
      <c r="BS765" s="161"/>
      <c r="BT765" s="161"/>
      <c r="BU765" s="161"/>
      <c r="BV765" s="161"/>
      <c r="BW765" s="161"/>
      <c r="BX765" s="161"/>
    </row>
    <row r="766">
      <c r="A766" s="161"/>
      <c r="B766" s="161"/>
      <c r="C766" s="161"/>
      <c r="D766" s="161"/>
      <c r="E766" s="161"/>
      <c r="F766" s="161"/>
      <c r="G766" s="161"/>
      <c r="H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F766" s="161"/>
      <c r="BG766" s="161"/>
      <c r="BH766" s="161"/>
      <c r="BI766" s="161"/>
      <c r="BJ766" s="161"/>
      <c r="BK766" s="161"/>
      <c r="BL766" s="161"/>
      <c r="BM766" s="161"/>
      <c r="BN766" s="161"/>
      <c r="BO766" s="161"/>
      <c r="BP766" s="161"/>
      <c r="BQ766" s="161"/>
      <c r="BR766" s="161"/>
      <c r="BS766" s="161"/>
      <c r="BT766" s="161"/>
      <c r="BU766" s="161"/>
      <c r="BV766" s="161"/>
      <c r="BW766" s="161"/>
      <c r="BX766" s="161"/>
    </row>
    <row r="767">
      <c r="A767" s="161"/>
      <c r="B767" s="161"/>
      <c r="C767" s="161"/>
      <c r="D767" s="161"/>
      <c r="E767" s="161"/>
      <c r="F767" s="161"/>
      <c r="G767" s="161"/>
      <c r="H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161"/>
      <c r="BH767" s="161"/>
      <c r="BI767" s="161"/>
      <c r="BJ767" s="161"/>
      <c r="BK767" s="161"/>
      <c r="BL767" s="161"/>
      <c r="BM767" s="161"/>
      <c r="BN767" s="161"/>
      <c r="BO767" s="161"/>
      <c r="BP767" s="161"/>
      <c r="BQ767" s="161"/>
      <c r="BR767" s="161"/>
      <c r="BS767" s="161"/>
      <c r="BT767" s="161"/>
      <c r="BU767" s="161"/>
      <c r="BV767" s="161"/>
      <c r="BW767" s="161"/>
      <c r="BX767" s="161"/>
    </row>
    <row r="768">
      <c r="A768" s="161"/>
      <c r="B768" s="161"/>
      <c r="C768" s="161"/>
      <c r="D768" s="161"/>
      <c r="E768" s="161"/>
      <c r="F768" s="161"/>
      <c r="G768" s="161"/>
      <c r="H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161"/>
      <c r="BH768" s="161"/>
      <c r="BI768" s="161"/>
      <c r="BJ768" s="161"/>
      <c r="BK768" s="161"/>
      <c r="BL768" s="161"/>
      <c r="BM768" s="161"/>
      <c r="BN768" s="161"/>
      <c r="BO768" s="161"/>
      <c r="BP768" s="161"/>
      <c r="BQ768" s="161"/>
      <c r="BR768" s="161"/>
      <c r="BS768" s="161"/>
      <c r="BT768" s="161"/>
      <c r="BU768" s="161"/>
      <c r="BV768" s="161"/>
      <c r="BW768" s="161"/>
      <c r="BX768" s="161"/>
    </row>
    <row r="769">
      <c r="A769" s="161"/>
      <c r="B769" s="161"/>
      <c r="C769" s="161"/>
      <c r="D769" s="161"/>
      <c r="E769" s="161"/>
      <c r="F769" s="161"/>
      <c r="G769" s="161"/>
      <c r="H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F769" s="161"/>
      <c r="BG769" s="161"/>
      <c r="BH769" s="161"/>
      <c r="BI769" s="161"/>
      <c r="BJ769" s="161"/>
      <c r="BK769" s="161"/>
      <c r="BL769" s="161"/>
      <c r="BM769" s="161"/>
      <c r="BN769" s="161"/>
      <c r="BO769" s="161"/>
      <c r="BP769" s="161"/>
      <c r="BQ769" s="161"/>
      <c r="BR769" s="161"/>
      <c r="BS769" s="161"/>
      <c r="BT769" s="161"/>
      <c r="BU769" s="161"/>
      <c r="BV769" s="161"/>
      <c r="BW769" s="161"/>
      <c r="BX769" s="161"/>
    </row>
    <row r="770">
      <c r="A770" s="161"/>
      <c r="B770" s="161"/>
      <c r="C770" s="161"/>
      <c r="D770" s="161"/>
      <c r="E770" s="161"/>
      <c r="F770" s="161"/>
      <c r="G770" s="161"/>
      <c r="H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161"/>
      <c r="BH770" s="161"/>
      <c r="BI770" s="161"/>
      <c r="BJ770" s="161"/>
      <c r="BK770" s="161"/>
      <c r="BL770" s="161"/>
      <c r="BM770" s="161"/>
      <c r="BN770" s="161"/>
      <c r="BO770" s="161"/>
      <c r="BP770" s="161"/>
      <c r="BQ770" s="161"/>
      <c r="BR770" s="161"/>
      <c r="BS770" s="161"/>
      <c r="BT770" s="161"/>
      <c r="BU770" s="161"/>
      <c r="BV770" s="161"/>
      <c r="BW770" s="161"/>
      <c r="BX770" s="161"/>
    </row>
    <row r="771">
      <c r="A771" s="161"/>
      <c r="B771" s="161"/>
      <c r="C771" s="161"/>
      <c r="D771" s="161"/>
      <c r="E771" s="161"/>
      <c r="F771" s="161"/>
      <c r="G771" s="161"/>
      <c r="H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161"/>
      <c r="BH771" s="161"/>
      <c r="BI771" s="161"/>
      <c r="BJ771" s="161"/>
      <c r="BK771" s="161"/>
      <c r="BL771" s="161"/>
      <c r="BM771" s="161"/>
      <c r="BN771" s="161"/>
      <c r="BO771" s="161"/>
      <c r="BP771" s="161"/>
      <c r="BQ771" s="161"/>
      <c r="BR771" s="161"/>
      <c r="BS771" s="161"/>
      <c r="BT771" s="161"/>
      <c r="BU771" s="161"/>
      <c r="BV771" s="161"/>
      <c r="BW771" s="161"/>
      <c r="BX771" s="161"/>
    </row>
    <row r="772">
      <c r="A772" s="161"/>
      <c r="B772" s="161"/>
      <c r="C772" s="161"/>
      <c r="D772" s="161"/>
      <c r="E772" s="161"/>
      <c r="F772" s="161"/>
      <c r="G772" s="161"/>
      <c r="H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161"/>
      <c r="BH772" s="161"/>
      <c r="BI772" s="161"/>
      <c r="BJ772" s="161"/>
      <c r="BK772" s="161"/>
      <c r="BL772" s="161"/>
      <c r="BM772" s="161"/>
      <c r="BN772" s="161"/>
      <c r="BO772" s="161"/>
      <c r="BP772" s="161"/>
      <c r="BQ772" s="161"/>
      <c r="BR772" s="161"/>
      <c r="BS772" s="161"/>
      <c r="BT772" s="161"/>
      <c r="BU772" s="161"/>
      <c r="BV772" s="161"/>
      <c r="BW772" s="161"/>
      <c r="BX772" s="161"/>
    </row>
    <row r="773">
      <c r="A773" s="161"/>
      <c r="B773" s="161"/>
      <c r="C773" s="161"/>
      <c r="D773" s="161"/>
      <c r="E773" s="161"/>
      <c r="F773" s="161"/>
      <c r="G773" s="161"/>
      <c r="H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161"/>
      <c r="BH773" s="161"/>
      <c r="BI773" s="161"/>
      <c r="BJ773" s="161"/>
      <c r="BK773" s="161"/>
      <c r="BL773" s="161"/>
      <c r="BM773" s="161"/>
      <c r="BN773" s="161"/>
      <c r="BO773" s="161"/>
      <c r="BP773" s="161"/>
      <c r="BQ773" s="161"/>
      <c r="BR773" s="161"/>
      <c r="BS773" s="161"/>
      <c r="BT773" s="161"/>
      <c r="BU773" s="161"/>
      <c r="BV773" s="161"/>
      <c r="BW773" s="161"/>
      <c r="BX773" s="161"/>
    </row>
    <row r="774">
      <c r="A774" s="161"/>
      <c r="B774" s="161"/>
      <c r="C774" s="161"/>
      <c r="D774" s="161"/>
      <c r="E774" s="161"/>
      <c r="F774" s="161"/>
      <c r="G774" s="161"/>
      <c r="H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161"/>
      <c r="BH774" s="161"/>
      <c r="BI774" s="161"/>
      <c r="BJ774" s="161"/>
      <c r="BK774" s="161"/>
      <c r="BL774" s="161"/>
      <c r="BM774" s="161"/>
      <c r="BN774" s="161"/>
      <c r="BO774" s="161"/>
      <c r="BP774" s="161"/>
      <c r="BQ774" s="161"/>
      <c r="BR774" s="161"/>
      <c r="BS774" s="161"/>
      <c r="BT774" s="161"/>
      <c r="BU774" s="161"/>
      <c r="BV774" s="161"/>
      <c r="BW774" s="161"/>
      <c r="BX774" s="161"/>
    </row>
    <row r="775">
      <c r="A775" s="161"/>
      <c r="B775" s="161"/>
      <c r="C775" s="161"/>
      <c r="D775" s="161"/>
      <c r="E775" s="161"/>
      <c r="F775" s="161"/>
      <c r="G775" s="161"/>
      <c r="H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161"/>
      <c r="BH775" s="161"/>
      <c r="BI775" s="161"/>
      <c r="BJ775" s="161"/>
      <c r="BK775" s="161"/>
      <c r="BL775" s="161"/>
      <c r="BM775" s="161"/>
      <c r="BN775" s="161"/>
      <c r="BO775" s="161"/>
      <c r="BP775" s="161"/>
      <c r="BQ775" s="161"/>
      <c r="BR775" s="161"/>
      <c r="BS775" s="161"/>
      <c r="BT775" s="161"/>
      <c r="BU775" s="161"/>
      <c r="BV775" s="161"/>
      <c r="BW775" s="161"/>
      <c r="BX775" s="161"/>
    </row>
    <row r="776">
      <c r="A776" s="161"/>
      <c r="B776" s="161"/>
      <c r="C776" s="161"/>
      <c r="D776" s="161"/>
      <c r="E776" s="161"/>
      <c r="F776" s="161"/>
      <c r="G776" s="161"/>
      <c r="H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F776" s="161"/>
      <c r="BG776" s="161"/>
      <c r="BH776" s="161"/>
      <c r="BI776" s="161"/>
      <c r="BJ776" s="161"/>
      <c r="BK776" s="161"/>
      <c r="BL776" s="161"/>
      <c r="BM776" s="161"/>
      <c r="BN776" s="161"/>
      <c r="BO776" s="161"/>
      <c r="BP776" s="161"/>
      <c r="BQ776" s="161"/>
      <c r="BR776" s="161"/>
      <c r="BS776" s="161"/>
      <c r="BT776" s="161"/>
      <c r="BU776" s="161"/>
      <c r="BV776" s="161"/>
      <c r="BW776" s="161"/>
      <c r="BX776" s="161"/>
    </row>
    <row r="777">
      <c r="A777" s="161"/>
      <c r="B777" s="161"/>
      <c r="C777" s="161"/>
      <c r="D777" s="161"/>
      <c r="E777" s="161"/>
      <c r="F777" s="161"/>
      <c r="G777" s="161"/>
      <c r="H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161"/>
      <c r="BH777" s="161"/>
      <c r="BI777" s="161"/>
      <c r="BJ777" s="161"/>
      <c r="BK777" s="161"/>
      <c r="BL777" s="161"/>
      <c r="BM777" s="161"/>
      <c r="BN777" s="161"/>
      <c r="BO777" s="161"/>
      <c r="BP777" s="161"/>
      <c r="BQ777" s="161"/>
      <c r="BR777" s="161"/>
      <c r="BS777" s="161"/>
      <c r="BT777" s="161"/>
      <c r="BU777" s="161"/>
      <c r="BV777" s="161"/>
      <c r="BW777" s="161"/>
      <c r="BX777" s="161"/>
    </row>
    <row r="778">
      <c r="A778" s="161"/>
      <c r="B778" s="161"/>
      <c r="C778" s="161"/>
      <c r="D778" s="161"/>
      <c r="E778" s="161"/>
      <c r="F778" s="161"/>
      <c r="G778" s="161"/>
      <c r="H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F778" s="161"/>
      <c r="BG778" s="161"/>
      <c r="BH778" s="161"/>
      <c r="BI778" s="161"/>
      <c r="BJ778" s="161"/>
      <c r="BK778" s="161"/>
      <c r="BL778" s="161"/>
      <c r="BM778" s="161"/>
      <c r="BN778" s="161"/>
      <c r="BO778" s="161"/>
      <c r="BP778" s="161"/>
      <c r="BQ778" s="161"/>
      <c r="BR778" s="161"/>
      <c r="BS778" s="161"/>
      <c r="BT778" s="161"/>
      <c r="BU778" s="161"/>
      <c r="BV778" s="161"/>
      <c r="BW778" s="161"/>
      <c r="BX778" s="161"/>
    </row>
    <row r="779">
      <c r="A779" s="161"/>
      <c r="B779" s="161"/>
      <c r="C779" s="161"/>
      <c r="D779" s="161"/>
      <c r="E779" s="161"/>
      <c r="F779" s="161"/>
      <c r="G779" s="161"/>
      <c r="H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161"/>
      <c r="BH779" s="161"/>
      <c r="BI779" s="161"/>
      <c r="BJ779" s="161"/>
      <c r="BK779" s="161"/>
      <c r="BL779" s="161"/>
      <c r="BM779" s="161"/>
      <c r="BN779" s="161"/>
      <c r="BO779" s="161"/>
      <c r="BP779" s="161"/>
      <c r="BQ779" s="161"/>
      <c r="BR779" s="161"/>
      <c r="BS779" s="161"/>
      <c r="BT779" s="161"/>
      <c r="BU779" s="161"/>
      <c r="BV779" s="161"/>
      <c r="BW779" s="161"/>
      <c r="BX779" s="161"/>
    </row>
    <row r="780">
      <c r="A780" s="161"/>
      <c r="B780" s="161"/>
      <c r="C780" s="161"/>
      <c r="D780" s="161"/>
      <c r="E780" s="161"/>
      <c r="F780" s="161"/>
      <c r="G780" s="161"/>
      <c r="H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161"/>
      <c r="BH780" s="161"/>
      <c r="BI780" s="161"/>
      <c r="BJ780" s="161"/>
      <c r="BK780" s="161"/>
      <c r="BL780" s="161"/>
      <c r="BM780" s="161"/>
      <c r="BN780" s="161"/>
      <c r="BO780" s="161"/>
      <c r="BP780" s="161"/>
      <c r="BQ780" s="161"/>
      <c r="BR780" s="161"/>
      <c r="BS780" s="161"/>
      <c r="BT780" s="161"/>
      <c r="BU780" s="161"/>
      <c r="BV780" s="161"/>
      <c r="BW780" s="161"/>
      <c r="BX780" s="161"/>
    </row>
    <row r="781">
      <c r="A781" s="161"/>
      <c r="B781" s="161"/>
      <c r="C781" s="161"/>
      <c r="D781" s="161"/>
      <c r="E781" s="161"/>
      <c r="F781" s="161"/>
      <c r="G781" s="161"/>
      <c r="H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/>
      <c r="BG781" s="161"/>
      <c r="BH781" s="161"/>
      <c r="BI781" s="161"/>
      <c r="BJ781" s="161"/>
      <c r="BK781" s="161"/>
      <c r="BL781" s="161"/>
      <c r="BM781" s="161"/>
      <c r="BN781" s="161"/>
      <c r="BO781" s="161"/>
      <c r="BP781" s="161"/>
      <c r="BQ781" s="161"/>
      <c r="BR781" s="161"/>
      <c r="BS781" s="161"/>
      <c r="BT781" s="161"/>
      <c r="BU781" s="161"/>
      <c r="BV781" s="161"/>
      <c r="BW781" s="161"/>
      <c r="BX781" s="161"/>
    </row>
    <row r="782">
      <c r="A782" s="161"/>
      <c r="B782" s="161"/>
      <c r="C782" s="161"/>
      <c r="D782" s="161"/>
      <c r="E782" s="161"/>
      <c r="F782" s="161"/>
      <c r="G782" s="161"/>
      <c r="H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F782" s="161"/>
      <c r="BG782" s="161"/>
      <c r="BH782" s="161"/>
      <c r="BI782" s="161"/>
      <c r="BJ782" s="161"/>
      <c r="BK782" s="161"/>
      <c r="BL782" s="161"/>
      <c r="BM782" s="161"/>
      <c r="BN782" s="161"/>
      <c r="BO782" s="161"/>
      <c r="BP782" s="161"/>
      <c r="BQ782" s="161"/>
      <c r="BR782" s="161"/>
      <c r="BS782" s="161"/>
      <c r="BT782" s="161"/>
      <c r="BU782" s="161"/>
      <c r="BV782" s="161"/>
      <c r="BW782" s="161"/>
      <c r="BX782" s="161"/>
    </row>
    <row r="783">
      <c r="A783" s="161"/>
      <c r="B783" s="161"/>
      <c r="C783" s="161"/>
      <c r="D783" s="161"/>
      <c r="E783" s="161"/>
      <c r="F783" s="161"/>
      <c r="G783" s="161"/>
      <c r="H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161"/>
      <c r="BH783" s="161"/>
      <c r="BI783" s="161"/>
      <c r="BJ783" s="161"/>
      <c r="BK783" s="161"/>
      <c r="BL783" s="161"/>
      <c r="BM783" s="161"/>
      <c r="BN783" s="161"/>
      <c r="BO783" s="161"/>
      <c r="BP783" s="161"/>
      <c r="BQ783" s="161"/>
      <c r="BR783" s="161"/>
      <c r="BS783" s="161"/>
      <c r="BT783" s="161"/>
      <c r="BU783" s="161"/>
      <c r="BV783" s="161"/>
      <c r="BW783" s="161"/>
      <c r="BX783" s="161"/>
    </row>
    <row r="784">
      <c r="A784" s="161"/>
      <c r="B784" s="161"/>
      <c r="C784" s="161"/>
      <c r="D784" s="161"/>
      <c r="E784" s="161"/>
      <c r="F784" s="161"/>
      <c r="G784" s="161"/>
      <c r="H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161"/>
      <c r="BH784" s="161"/>
      <c r="BI784" s="161"/>
      <c r="BJ784" s="161"/>
      <c r="BK784" s="161"/>
      <c r="BL784" s="161"/>
      <c r="BM784" s="161"/>
      <c r="BN784" s="161"/>
      <c r="BO784" s="161"/>
      <c r="BP784" s="161"/>
      <c r="BQ784" s="161"/>
      <c r="BR784" s="161"/>
      <c r="BS784" s="161"/>
      <c r="BT784" s="161"/>
      <c r="BU784" s="161"/>
      <c r="BV784" s="161"/>
      <c r="BW784" s="161"/>
      <c r="BX784" s="161"/>
    </row>
    <row r="785">
      <c r="A785" s="161"/>
      <c r="B785" s="161"/>
      <c r="C785" s="161"/>
      <c r="D785" s="161"/>
      <c r="E785" s="161"/>
      <c r="F785" s="161"/>
      <c r="G785" s="161"/>
      <c r="H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1"/>
      <c r="BI785" s="161"/>
      <c r="BJ785" s="161"/>
      <c r="BK785" s="161"/>
      <c r="BL785" s="161"/>
      <c r="BM785" s="161"/>
      <c r="BN785" s="161"/>
      <c r="BO785" s="161"/>
      <c r="BP785" s="161"/>
      <c r="BQ785" s="161"/>
      <c r="BR785" s="161"/>
      <c r="BS785" s="161"/>
      <c r="BT785" s="161"/>
      <c r="BU785" s="161"/>
      <c r="BV785" s="161"/>
      <c r="BW785" s="161"/>
      <c r="BX785" s="161"/>
    </row>
    <row r="786">
      <c r="A786" s="161"/>
      <c r="B786" s="161"/>
      <c r="C786" s="161"/>
      <c r="D786" s="161"/>
      <c r="E786" s="161"/>
      <c r="F786" s="161"/>
      <c r="G786" s="161"/>
      <c r="H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F786" s="161"/>
      <c r="BG786" s="161"/>
      <c r="BH786" s="161"/>
      <c r="BI786" s="161"/>
      <c r="BJ786" s="161"/>
      <c r="BK786" s="161"/>
      <c r="BL786" s="161"/>
      <c r="BM786" s="161"/>
      <c r="BN786" s="161"/>
      <c r="BO786" s="161"/>
      <c r="BP786" s="161"/>
      <c r="BQ786" s="161"/>
      <c r="BR786" s="161"/>
      <c r="BS786" s="161"/>
      <c r="BT786" s="161"/>
      <c r="BU786" s="161"/>
      <c r="BV786" s="161"/>
      <c r="BW786" s="161"/>
      <c r="BX786" s="161"/>
    </row>
    <row r="787">
      <c r="A787" s="161"/>
      <c r="B787" s="161"/>
      <c r="C787" s="161"/>
      <c r="D787" s="161"/>
      <c r="E787" s="161"/>
      <c r="F787" s="161"/>
      <c r="G787" s="161"/>
      <c r="H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161"/>
      <c r="BH787" s="161"/>
      <c r="BI787" s="161"/>
      <c r="BJ787" s="161"/>
      <c r="BK787" s="161"/>
      <c r="BL787" s="161"/>
      <c r="BM787" s="161"/>
      <c r="BN787" s="161"/>
      <c r="BO787" s="161"/>
      <c r="BP787" s="161"/>
      <c r="BQ787" s="161"/>
      <c r="BR787" s="161"/>
      <c r="BS787" s="161"/>
      <c r="BT787" s="161"/>
      <c r="BU787" s="161"/>
      <c r="BV787" s="161"/>
      <c r="BW787" s="161"/>
      <c r="BX787" s="161"/>
    </row>
    <row r="788">
      <c r="A788" s="161"/>
      <c r="B788" s="161"/>
      <c r="C788" s="161"/>
      <c r="D788" s="161"/>
      <c r="E788" s="161"/>
      <c r="F788" s="161"/>
      <c r="G788" s="161"/>
      <c r="H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161"/>
      <c r="BH788" s="161"/>
      <c r="BI788" s="161"/>
      <c r="BJ788" s="161"/>
      <c r="BK788" s="161"/>
      <c r="BL788" s="161"/>
      <c r="BM788" s="161"/>
      <c r="BN788" s="161"/>
      <c r="BO788" s="161"/>
      <c r="BP788" s="161"/>
      <c r="BQ788" s="161"/>
      <c r="BR788" s="161"/>
      <c r="BS788" s="161"/>
      <c r="BT788" s="161"/>
      <c r="BU788" s="161"/>
      <c r="BV788" s="161"/>
      <c r="BW788" s="161"/>
      <c r="BX788" s="161"/>
    </row>
    <row r="789">
      <c r="A789" s="161"/>
      <c r="B789" s="161"/>
      <c r="C789" s="161"/>
      <c r="D789" s="161"/>
      <c r="E789" s="161"/>
      <c r="F789" s="161"/>
      <c r="G789" s="161"/>
      <c r="H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F789" s="161"/>
      <c r="BG789" s="161"/>
      <c r="BH789" s="161"/>
      <c r="BI789" s="161"/>
      <c r="BJ789" s="161"/>
      <c r="BK789" s="161"/>
      <c r="BL789" s="161"/>
      <c r="BM789" s="161"/>
      <c r="BN789" s="161"/>
      <c r="BO789" s="161"/>
      <c r="BP789" s="161"/>
      <c r="BQ789" s="161"/>
      <c r="BR789" s="161"/>
      <c r="BS789" s="161"/>
      <c r="BT789" s="161"/>
      <c r="BU789" s="161"/>
      <c r="BV789" s="161"/>
      <c r="BW789" s="161"/>
      <c r="BX789" s="161"/>
    </row>
    <row r="790">
      <c r="A790" s="161"/>
      <c r="B790" s="161"/>
      <c r="C790" s="161"/>
      <c r="D790" s="161"/>
      <c r="E790" s="161"/>
      <c r="F790" s="161"/>
      <c r="G790" s="161"/>
      <c r="H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F790" s="161"/>
      <c r="BG790" s="161"/>
      <c r="BH790" s="161"/>
      <c r="BI790" s="161"/>
      <c r="BJ790" s="161"/>
      <c r="BK790" s="161"/>
      <c r="BL790" s="161"/>
      <c r="BM790" s="161"/>
      <c r="BN790" s="161"/>
      <c r="BO790" s="161"/>
      <c r="BP790" s="161"/>
      <c r="BQ790" s="161"/>
      <c r="BR790" s="161"/>
      <c r="BS790" s="161"/>
      <c r="BT790" s="161"/>
      <c r="BU790" s="161"/>
      <c r="BV790" s="161"/>
      <c r="BW790" s="161"/>
      <c r="BX790" s="161"/>
    </row>
    <row r="791">
      <c r="A791" s="161"/>
      <c r="B791" s="161"/>
      <c r="C791" s="161"/>
      <c r="D791" s="161"/>
      <c r="E791" s="161"/>
      <c r="F791" s="161"/>
      <c r="G791" s="161"/>
      <c r="H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161"/>
      <c r="BH791" s="161"/>
      <c r="BI791" s="161"/>
      <c r="BJ791" s="161"/>
      <c r="BK791" s="161"/>
      <c r="BL791" s="161"/>
      <c r="BM791" s="161"/>
      <c r="BN791" s="161"/>
      <c r="BO791" s="161"/>
      <c r="BP791" s="161"/>
      <c r="BQ791" s="161"/>
      <c r="BR791" s="161"/>
      <c r="BS791" s="161"/>
      <c r="BT791" s="161"/>
      <c r="BU791" s="161"/>
      <c r="BV791" s="161"/>
      <c r="BW791" s="161"/>
      <c r="BX791" s="161"/>
    </row>
    <row r="792">
      <c r="A792" s="161"/>
      <c r="B792" s="161"/>
      <c r="C792" s="161"/>
      <c r="D792" s="161"/>
      <c r="E792" s="161"/>
      <c r="F792" s="161"/>
      <c r="G792" s="161"/>
      <c r="H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F792" s="161"/>
      <c r="BG792" s="161"/>
      <c r="BH792" s="161"/>
      <c r="BI792" s="161"/>
      <c r="BJ792" s="161"/>
      <c r="BK792" s="161"/>
      <c r="BL792" s="161"/>
      <c r="BM792" s="161"/>
      <c r="BN792" s="161"/>
      <c r="BO792" s="161"/>
      <c r="BP792" s="161"/>
      <c r="BQ792" s="161"/>
      <c r="BR792" s="161"/>
      <c r="BS792" s="161"/>
      <c r="BT792" s="161"/>
      <c r="BU792" s="161"/>
      <c r="BV792" s="161"/>
      <c r="BW792" s="161"/>
      <c r="BX792" s="161"/>
    </row>
    <row r="793">
      <c r="A793" s="161"/>
      <c r="B793" s="161"/>
      <c r="C793" s="161"/>
      <c r="D793" s="161"/>
      <c r="E793" s="161"/>
      <c r="F793" s="161"/>
      <c r="G793" s="161"/>
      <c r="H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161"/>
      <c r="BH793" s="161"/>
      <c r="BI793" s="161"/>
      <c r="BJ793" s="161"/>
      <c r="BK793" s="161"/>
      <c r="BL793" s="161"/>
      <c r="BM793" s="161"/>
      <c r="BN793" s="161"/>
      <c r="BO793" s="161"/>
      <c r="BP793" s="161"/>
      <c r="BQ793" s="161"/>
      <c r="BR793" s="161"/>
      <c r="BS793" s="161"/>
      <c r="BT793" s="161"/>
      <c r="BU793" s="161"/>
      <c r="BV793" s="161"/>
      <c r="BW793" s="161"/>
      <c r="BX793" s="161"/>
    </row>
    <row r="794">
      <c r="A794" s="161"/>
      <c r="B794" s="161"/>
      <c r="C794" s="161"/>
      <c r="D794" s="161"/>
      <c r="E794" s="161"/>
      <c r="F794" s="161"/>
      <c r="G794" s="161"/>
      <c r="H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F794" s="161"/>
      <c r="BG794" s="161"/>
      <c r="BH794" s="161"/>
      <c r="BI794" s="161"/>
      <c r="BJ794" s="161"/>
      <c r="BK794" s="161"/>
      <c r="BL794" s="161"/>
      <c r="BM794" s="161"/>
      <c r="BN794" s="161"/>
      <c r="BO794" s="161"/>
      <c r="BP794" s="161"/>
      <c r="BQ794" s="161"/>
      <c r="BR794" s="161"/>
      <c r="BS794" s="161"/>
      <c r="BT794" s="161"/>
      <c r="BU794" s="161"/>
      <c r="BV794" s="161"/>
      <c r="BW794" s="161"/>
      <c r="BX794" s="161"/>
    </row>
    <row r="795">
      <c r="A795" s="161"/>
      <c r="B795" s="161"/>
      <c r="C795" s="161"/>
      <c r="D795" s="161"/>
      <c r="E795" s="161"/>
      <c r="F795" s="161"/>
      <c r="G795" s="161"/>
      <c r="H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161"/>
      <c r="BH795" s="161"/>
      <c r="BI795" s="161"/>
      <c r="BJ795" s="161"/>
      <c r="BK795" s="161"/>
      <c r="BL795" s="161"/>
      <c r="BM795" s="161"/>
      <c r="BN795" s="161"/>
      <c r="BO795" s="161"/>
      <c r="BP795" s="161"/>
      <c r="BQ795" s="161"/>
      <c r="BR795" s="161"/>
      <c r="BS795" s="161"/>
      <c r="BT795" s="161"/>
      <c r="BU795" s="161"/>
      <c r="BV795" s="161"/>
      <c r="BW795" s="161"/>
      <c r="BX795" s="161"/>
    </row>
    <row r="796">
      <c r="A796" s="161"/>
      <c r="B796" s="161"/>
      <c r="C796" s="161"/>
      <c r="D796" s="161"/>
      <c r="E796" s="161"/>
      <c r="F796" s="161"/>
      <c r="G796" s="161"/>
      <c r="H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F796" s="161"/>
      <c r="BG796" s="161"/>
      <c r="BH796" s="161"/>
      <c r="BI796" s="161"/>
      <c r="BJ796" s="161"/>
      <c r="BK796" s="161"/>
      <c r="BL796" s="161"/>
      <c r="BM796" s="161"/>
      <c r="BN796" s="161"/>
      <c r="BO796" s="161"/>
      <c r="BP796" s="161"/>
      <c r="BQ796" s="161"/>
      <c r="BR796" s="161"/>
      <c r="BS796" s="161"/>
      <c r="BT796" s="161"/>
      <c r="BU796" s="161"/>
      <c r="BV796" s="161"/>
      <c r="BW796" s="161"/>
      <c r="BX796" s="161"/>
    </row>
    <row r="797">
      <c r="A797" s="161"/>
      <c r="B797" s="161"/>
      <c r="C797" s="161"/>
      <c r="D797" s="161"/>
      <c r="E797" s="161"/>
      <c r="F797" s="161"/>
      <c r="G797" s="161"/>
      <c r="H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161"/>
      <c r="BH797" s="161"/>
      <c r="BI797" s="161"/>
      <c r="BJ797" s="161"/>
      <c r="BK797" s="161"/>
      <c r="BL797" s="161"/>
      <c r="BM797" s="161"/>
      <c r="BN797" s="161"/>
      <c r="BO797" s="161"/>
      <c r="BP797" s="161"/>
      <c r="BQ797" s="161"/>
      <c r="BR797" s="161"/>
      <c r="BS797" s="161"/>
      <c r="BT797" s="161"/>
      <c r="BU797" s="161"/>
      <c r="BV797" s="161"/>
      <c r="BW797" s="161"/>
      <c r="BX797" s="161"/>
    </row>
    <row r="798">
      <c r="A798" s="161"/>
      <c r="B798" s="161"/>
      <c r="C798" s="161"/>
      <c r="D798" s="161"/>
      <c r="E798" s="161"/>
      <c r="F798" s="161"/>
      <c r="G798" s="161"/>
      <c r="H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F798" s="161"/>
      <c r="BG798" s="161"/>
      <c r="BH798" s="161"/>
      <c r="BI798" s="161"/>
      <c r="BJ798" s="161"/>
      <c r="BK798" s="161"/>
      <c r="BL798" s="161"/>
      <c r="BM798" s="161"/>
      <c r="BN798" s="161"/>
      <c r="BO798" s="161"/>
      <c r="BP798" s="161"/>
      <c r="BQ798" s="161"/>
      <c r="BR798" s="161"/>
      <c r="BS798" s="161"/>
      <c r="BT798" s="161"/>
      <c r="BU798" s="161"/>
      <c r="BV798" s="161"/>
      <c r="BW798" s="161"/>
      <c r="BX798" s="161"/>
    </row>
    <row r="799">
      <c r="A799" s="161"/>
      <c r="B799" s="161"/>
      <c r="C799" s="161"/>
      <c r="D799" s="161"/>
      <c r="E799" s="161"/>
      <c r="F799" s="161"/>
      <c r="G799" s="161"/>
      <c r="H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/>
      <c r="BG799" s="161"/>
      <c r="BH799" s="161"/>
      <c r="BI799" s="161"/>
      <c r="BJ799" s="161"/>
      <c r="BK799" s="161"/>
      <c r="BL799" s="161"/>
      <c r="BM799" s="161"/>
      <c r="BN799" s="161"/>
      <c r="BO799" s="161"/>
      <c r="BP799" s="161"/>
      <c r="BQ799" s="161"/>
      <c r="BR799" s="161"/>
      <c r="BS799" s="161"/>
      <c r="BT799" s="161"/>
      <c r="BU799" s="161"/>
      <c r="BV799" s="161"/>
      <c r="BW799" s="161"/>
      <c r="BX799" s="161"/>
    </row>
    <row r="800">
      <c r="A800" s="161"/>
      <c r="B800" s="161"/>
      <c r="C800" s="161"/>
      <c r="D800" s="161"/>
      <c r="E800" s="161"/>
      <c r="F800" s="161"/>
      <c r="G800" s="161"/>
      <c r="H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F800" s="161"/>
      <c r="BG800" s="161"/>
      <c r="BH800" s="161"/>
      <c r="BI800" s="161"/>
      <c r="BJ800" s="161"/>
      <c r="BK800" s="161"/>
      <c r="BL800" s="161"/>
      <c r="BM800" s="161"/>
      <c r="BN800" s="161"/>
      <c r="BO800" s="161"/>
      <c r="BP800" s="161"/>
      <c r="BQ800" s="161"/>
      <c r="BR800" s="161"/>
      <c r="BS800" s="161"/>
      <c r="BT800" s="161"/>
      <c r="BU800" s="161"/>
      <c r="BV800" s="161"/>
      <c r="BW800" s="161"/>
      <c r="BX800" s="161"/>
    </row>
    <row r="801">
      <c r="A801" s="161"/>
      <c r="B801" s="161"/>
      <c r="C801" s="161"/>
      <c r="D801" s="161"/>
      <c r="E801" s="161"/>
      <c r="F801" s="161"/>
      <c r="G801" s="161"/>
      <c r="H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/>
      <c r="BG801" s="161"/>
      <c r="BH801" s="161"/>
      <c r="BI801" s="161"/>
      <c r="BJ801" s="161"/>
      <c r="BK801" s="161"/>
      <c r="BL801" s="161"/>
      <c r="BM801" s="161"/>
      <c r="BN801" s="161"/>
      <c r="BO801" s="161"/>
      <c r="BP801" s="161"/>
      <c r="BQ801" s="161"/>
      <c r="BR801" s="161"/>
      <c r="BS801" s="161"/>
      <c r="BT801" s="161"/>
      <c r="BU801" s="161"/>
      <c r="BV801" s="161"/>
      <c r="BW801" s="161"/>
      <c r="BX801" s="161"/>
    </row>
    <row r="802">
      <c r="A802" s="161"/>
      <c r="B802" s="161"/>
      <c r="C802" s="161"/>
      <c r="D802" s="161"/>
      <c r="E802" s="161"/>
      <c r="F802" s="161"/>
      <c r="G802" s="161"/>
      <c r="H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161"/>
      <c r="BH802" s="161"/>
      <c r="BI802" s="161"/>
      <c r="BJ802" s="161"/>
      <c r="BK802" s="161"/>
      <c r="BL802" s="161"/>
      <c r="BM802" s="161"/>
      <c r="BN802" s="161"/>
      <c r="BO802" s="161"/>
      <c r="BP802" s="161"/>
      <c r="BQ802" s="161"/>
      <c r="BR802" s="161"/>
      <c r="BS802" s="161"/>
      <c r="BT802" s="161"/>
      <c r="BU802" s="161"/>
      <c r="BV802" s="161"/>
      <c r="BW802" s="161"/>
      <c r="BX802" s="161"/>
    </row>
    <row r="803">
      <c r="A803" s="161"/>
      <c r="B803" s="161"/>
      <c r="C803" s="161"/>
      <c r="D803" s="161"/>
      <c r="E803" s="161"/>
      <c r="F803" s="161"/>
      <c r="G803" s="161"/>
      <c r="H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/>
      <c r="BG803" s="161"/>
      <c r="BH803" s="161"/>
      <c r="BI803" s="161"/>
      <c r="BJ803" s="161"/>
      <c r="BK803" s="161"/>
      <c r="BL803" s="161"/>
      <c r="BM803" s="161"/>
      <c r="BN803" s="161"/>
      <c r="BO803" s="161"/>
      <c r="BP803" s="161"/>
      <c r="BQ803" s="161"/>
      <c r="BR803" s="161"/>
      <c r="BS803" s="161"/>
      <c r="BT803" s="161"/>
      <c r="BU803" s="161"/>
      <c r="BV803" s="161"/>
      <c r="BW803" s="161"/>
      <c r="BX803" s="161"/>
    </row>
    <row r="804">
      <c r="A804" s="161"/>
      <c r="B804" s="161"/>
      <c r="C804" s="161"/>
      <c r="D804" s="161"/>
      <c r="E804" s="161"/>
      <c r="F804" s="161"/>
      <c r="G804" s="161"/>
      <c r="H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F804" s="161"/>
      <c r="BG804" s="161"/>
      <c r="BH804" s="161"/>
      <c r="BI804" s="161"/>
      <c r="BJ804" s="161"/>
      <c r="BK804" s="161"/>
      <c r="BL804" s="161"/>
      <c r="BM804" s="161"/>
      <c r="BN804" s="161"/>
      <c r="BO804" s="161"/>
      <c r="BP804" s="161"/>
      <c r="BQ804" s="161"/>
      <c r="BR804" s="161"/>
      <c r="BS804" s="161"/>
      <c r="BT804" s="161"/>
      <c r="BU804" s="161"/>
      <c r="BV804" s="161"/>
      <c r="BW804" s="161"/>
      <c r="BX804" s="161"/>
    </row>
    <row r="805">
      <c r="A805" s="161"/>
      <c r="B805" s="161"/>
      <c r="C805" s="161"/>
      <c r="D805" s="161"/>
      <c r="E805" s="161"/>
      <c r="F805" s="161"/>
      <c r="G805" s="161"/>
      <c r="H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F805" s="161"/>
      <c r="BG805" s="161"/>
      <c r="BH805" s="161"/>
      <c r="BI805" s="161"/>
      <c r="BJ805" s="161"/>
      <c r="BK805" s="161"/>
      <c r="BL805" s="161"/>
      <c r="BM805" s="161"/>
      <c r="BN805" s="161"/>
      <c r="BO805" s="161"/>
      <c r="BP805" s="161"/>
      <c r="BQ805" s="161"/>
      <c r="BR805" s="161"/>
      <c r="BS805" s="161"/>
      <c r="BT805" s="161"/>
      <c r="BU805" s="161"/>
      <c r="BV805" s="161"/>
      <c r="BW805" s="161"/>
      <c r="BX805" s="161"/>
    </row>
    <row r="806">
      <c r="A806" s="161"/>
      <c r="B806" s="161"/>
      <c r="C806" s="161"/>
      <c r="D806" s="161"/>
      <c r="E806" s="161"/>
      <c r="F806" s="161"/>
      <c r="G806" s="161"/>
      <c r="H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F806" s="161"/>
      <c r="BG806" s="161"/>
      <c r="BH806" s="161"/>
      <c r="BI806" s="161"/>
      <c r="BJ806" s="161"/>
      <c r="BK806" s="161"/>
      <c r="BL806" s="161"/>
      <c r="BM806" s="161"/>
      <c r="BN806" s="161"/>
      <c r="BO806" s="161"/>
      <c r="BP806" s="161"/>
      <c r="BQ806" s="161"/>
      <c r="BR806" s="161"/>
      <c r="BS806" s="161"/>
      <c r="BT806" s="161"/>
      <c r="BU806" s="161"/>
      <c r="BV806" s="161"/>
      <c r="BW806" s="161"/>
      <c r="BX806" s="161"/>
    </row>
    <row r="807">
      <c r="A807" s="161"/>
      <c r="B807" s="161"/>
      <c r="C807" s="161"/>
      <c r="D807" s="161"/>
      <c r="E807" s="161"/>
      <c r="F807" s="161"/>
      <c r="G807" s="161"/>
      <c r="H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161"/>
      <c r="BH807" s="161"/>
      <c r="BI807" s="161"/>
      <c r="BJ807" s="161"/>
      <c r="BK807" s="161"/>
      <c r="BL807" s="161"/>
      <c r="BM807" s="161"/>
      <c r="BN807" s="161"/>
      <c r="BO807" s="161"/>
      <c r="BP807" s="161"/>
      <c r="BQ807" s="161"/>
      <c r="BR807" s="161"/>
      <c r="BS807" s="161"/>
      <c r="BT807" s="161"/>
      <c r="BU807" s="161"/>
      <c r="BV807" s="161"/>
      <c r="BW807" s="161"/>
      <c r="BX807" s="161"/>
    </row>
    <row r="808">
      <c r="A808" s="161"/>
      <c r="B808" s="161"/>
      <c r="C808" s="161"/>
      <c r="D808" s="161"/>
      <c r="E808" s="161"/>
      <c r="F808" s="161"/>
      <c r="G808" s="161"/>
      <c r="H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161"/>
      <c r="BH808" s="161"/>
      <c r="BI808" s="161"/>
      <c r="BJ808" s="161"/>
      <c r="BK808" s="161"/>
      <c r="BL808" s="161"/>
      <c r="BM808" s="161"/>
      <c r="BN808" s="161"/>
      <c r="BO808" s="161"/>
      <c r="BP808" s="161"/>
      <c r="BQ808" s="161"/>
      <c r="BR808" s="161"/>
      <c r="BS808" s="161"/>
      <c r="BT808" s="161"/>
      <c r="BU808" s="161"/>
      <c r="BV808" s="161"/>
      <c r="BW808" s="161"/>
      <c r="BX808" s="161"/>
    </row>
    <row r="809">
      <c r="A809" s="161"/>
      <c r="B809" s="161"/>
      <c r="C809" s="161"/>
      <c r="D809" s="161"/>
      <c r="E809" s="161"/>
      <c r="F809" s="161"/>
      <c r="G809" s="161"/>
      <c r="H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161"/>
      <c r="BH809" s="161"/>
      <c r="BI809" s="161"/>
      <c r="BJ809" s="161"/>
      <c r="BK809" s="161"/>
      <c r="BL809" s="161"/>
      <c r="BM809" s="161"/>
      <c r="BN809" s="161"/>
      <c r="BO809" s="161"/>
      <c r="BP809" s="161"/>
      <c r="BQ809" s="161"/>
      <c r="BR809" s="161"/>
      <c r="BS809" s="161"/>
      <c r="BT809" s="161"/>
      <c r="BU809" s="161"/>
      <c r="BV809" s="161"/>
      <c r="BW809" s="161"/>
      <c r="BX809" s="161"/>
    </row>
    <row r="810">
      <c r="A810" s="161"/>
      <c r="B810" s="161"/>
      <c r="C810" s="161"/>
      <c r="D810" s="161"/>
      <c r="E810" s="161"/>
      <c r="F810" s="161"/>
      <c r="G810" s="161"/>
      <c r="H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/>
      <c r="BG810" s="161"/>
      <c r="BH810" s="161"/>
      <c r="BI810" s="161"/>
      <c r="BJ810" s="161"/>
      <c r="BK810" s="161"/>
      <c r="BL810" s="161"/>
      <c r="BM810" s="161"/>
      <c r="BN810" s="161"/>
      <c r="BO810" s="161"/>
      <c r="BP810" s="161"/>
      <c r="BQ810" s="161"/>
      <c r="BR810" s="161"/>
      <c r="BS810" s="161"/>
      <c r="BT810" s="161"/>
      <c r="BU810" s="161"/>
      <c r="BV810" s="161"/>
      <c r="BW810" s="161"/>
      <c r="BX810" s="161"/>
    </row>
    <row r="811">
      <c r="A811" s="161"/>
      <c r="B811" s="161"/>
      <c r="C811" s="161"/>
      <c r="D811" s="161"/>
      <c r="E811" s="161"/>
      <c r="F811" s="161"/>
      <c r="G811" s="161"/>
      <c r="H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/>
      <c r="BG811" s="161"/>
      <c r="BH811" s="161"/>
      <c r="BI811" s="161"/>
      <c r="BJ811" s="161"/>
      <c r="BK811" s="161"/>
      <c r="BL811" s="161"/>
      <c r="BM811" s="161"/>
      <c r="BN811" s="161"/>
      <c r="BO811" s="161"/>
      <c r="BP811" s="161"/>
      <c r="BQ811" s="161"/>
      <c r="BR811" s="161"/>
      <c r="BS811" s="161"/>
      <c r="BT811" s="161"/>
      <c r="BU811" s="161"/>
      <c r="BV811" s="161"/>
      <c r="BW811" s="161"/>
      <c r="BX811" s="161"/>
    </row>
    <row r="812">
      <c r="A812" s="161"/>
      <c r="B812" s="161"/>
      <c r="C812" s="161"/>
      <c r="D812" s="161"/>
      <c r="E812" s="161"/>
      <c r="F812" s="161"/>
      <c r="G812" s="161"/>
      <c r="H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F812" s="161"/>
      <c r="BG812" s="161"/>
      <c r="BH812" s="161"/>
      <c r="BI812" s="161"/>
      <c r="BJ812" s="161"/>
      <c r="BK812" s="161"/>
      <c r="BL812" s="161"/>
      <c r="BM812" s="161"/>
      <c r="BN812" s="161"/>
      <c r="BO812" s="161"/>
      <c r="BP812" s="161"/>
      <c r="BQ812" s="161"/>
      <c r="BR812" s="161"/>
      <c r="BS812" s="161"/>
      <c r="BT812" s="161"/>
      <c r="BU812" s="161"/>
      <c r="BV812" s="161"/>
      <c r="BW812" s="161"/>
      <c r="BX812" s="161"/>
    </row>
    <row r="813">
      <c r="A813" s="161"/>
      <c r="B813" s="161"/>
      <c r="C813" s="161"/>
      <c r="D813" s="161"/>
      <c r="E813" s="161"/>
      <c r="F813" s="161"/>
      <c r="G813" s="161"/>
      <c r="H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161"/>
      <c r="BH813" s="161"/>
      <c r="BI813" s="161"/>
      <c r="BJ813" s="161"/>
      <c r="BK813" s="161"/>
      <c r="BL813" s="161"/>
      <c r="BM813" s="161"/>
      <c r="BN813" s="161"/>
      <c r="BO813" s="161"/>
      <c r="BP813" s="161"/>
      <c r="BQ813" s="161"/>
      <c r="BR813" s="161"/>
      <c r="BS813" s="161"/>
      <c r="BT813" s="161"/>
      <c r="BU813" s="161"/>
      <c r="BV813" s="161"/>
      <c r="BW813" s="161"/>
      <c r="BX813" s="161"/>
    </row>
    <row r="814">
      <c r="A814" s="161"/>
      <c r="B814" s="161"/>
      <c r="C814" s="161"/>
      <c r="D814" s="161"/>
      <c r="E814" s="161"/>
      <c r="F814" s="161"/>
      <c r="G814" s="161"/>
      <c r="H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161"/>
      <c r="BH814" s="161"/>
      <c r="BI814" s="161"/>
      <c r="BJ814" s="161"/>
      <c r="BK814" s="161"/>
      <c r="BL814" s="161"/>
      <c r="BM814" s="161"/>
      <c r="BN814" s="161"/>
      <c r="BO814" s="161"/>
      <c r="BP814" s="161"/>
      <c r="BQ814" s="161"/>
      <c r="BR814" s="161"/>
      <c r="BS814" s="161"/>
      <c r="BT814" s="161"/>
      <c r="BU814" s="161"/>
      <c r="BV814" s="161"/>
      <c r="BW814" s="161"/>
      <c r="BX814" s="161"/>
    </row>
    <row r="815">
      <c r="A815" s="161"/>
      <c r="B815" s="161"/>
      <c r="C815" s="161"/>
      <c r="D815" s="161"/>
      <c r="E815" s="161"/>
      <c r="F815" s="161"/>
      <c r="G815" s="161"/>
      <c r="H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F815" s="161"/>
      <c r="BG815" s="161"/>
      <c r="BH815" s="161"/>
      <c r="BI815" s="161"/>
      <c r="BJ815" s="161"/>
      <c r="BK815" s="161"/>
      <c r="BL815" s="161"/>
      <c r="BM815" s="161"/>
      <c r="BN815" s="161"/>
      <c r="BO815" s="161"/>
      <c r="BP815" s="161"/>
      <c r="BQ815" s="161"/>
      <c r="BR815" s="161"/>
      <c r="BS815" s="161"/>
      <c r="BT815" s="161"/>
      <c r="BU815" s="161"/>
      <c r="BV815" s="161"/>
      <c r="BW815" s="161"/>
      <c r="BX815" s="161"/>
    </row>
    <row r="816">
      <c r="A816" s="161"/>
      <c r="B816" s="161"/>
      <c r="C816" s="161"/>
      <c r="D816" s="161"/>
      <c r="E816" s="161"/>
      <c r="F816" s="161"/>
      <c r="G816" s="161"/>
      <c r="H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161"/>
      <c r="BH816" s="161"/>
      <c r="BI816" s="161"/>
      <c r="BJ816" s="161"/>
      <c r="BK816" s="161"/>
      <c r="BL816" s="161"/>
      <c r="BM816" s="161"/>
      <c r="BN816" s="161"/>
      <c r="BO816" s="161"/>
      <c r="BP816" s="161"/>
      <c r="BQ816" s="161"/>
      <c r="BR816" s="161"/>
      <c r="BS816" s="161"/>
      <c r="BT816" s="161"/>
      <c r="BU816" s="161"/>
      <c r="BV816" s="161"/>
      <c r="BW816" s="161"/>
      <c r="BX816" s="161"/>
    </row>
    <row r="817">
      <c r="A817" s="161"/>
      <c r="B817" s="161"/>
      <c r="C817" s="161"/>
      <c r="D817" s="161"/>
      <c r="E817" s="161"/>
      <c r="F817" s="161"/>
      <c r="G817" s="161"/>
      <c r="H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F817" s="161"/>
      <c r="BG817" s="161"/>
      <c r="BH817" s="161"/>
      <c r="BI817" s="161"/>
      <c r="BJ817" s="161"/>
      <c r="BK817" s="161"/>
      <c r="BL817" s="161"/>
      <c r="BM817" s="161"/>
      <c r="BN817" s="161"/>
      <c r="BO817" s="161"/>
      <c r="BP817" s="161"/>
      <c r="BQ817" s="161"/>
      <c r="BR817" s="161"/>
      <c r="BS817" s="161"/>
      <c r="BT817" s="161"/>
      <c r="BU817" s="161"/>
      <c r="BV817" s="161"/>
      <c r="BW817" s="161"/>
      <c r="BX817" s="161"/>
    </row>
    <row r="818">
      <c r="A818" s="161"/>
      <c r="B818" s="161"/>
      <c r="C818" s="161"/>
      <c r="D818" s="161"/>
      <c r="E818" s="161"/>
      <c r="F818" s="161"/>
      <c r="G818" s="161"/>
      <c r="H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161"/>
      <c r="BH818" s="161"/>
      <c r="BI818" s="161"/>
      <c r="BJ818" s="161"/>
      <c r="BK818" s="161"/>
      <c r="BL818" s="161"/>
      <c r="BM818" s="161"/>
      <c r="BN818" s="161"/>
      <c r="BO818" s="161"/>
      <c r="BP818" s="161"/>
      <c r="BQ818" s="161"/>
      <c r="BR818" s="161"/>
      <c r="BS818" s="161"/>
      <c r="BT818" s="161"/>
      <c r="BU818" s="161"/>
      <c r="BV818" s="161"/>
      <c r="BW818" s="161"/>
      <c r="BX818" s="161"/>
    </row>
    <row r="819">
      <c r="A819" s="161"/>
      <c r="B819" s="161"/>
      <c r="C819" s="161"/>
      <c r="D819" s="161"/>
      <c r="E819" s="161"/>
      <c r="F819" s="161"/>
      <c r="G819" s="161"/>
      <c r="H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161"/>
      <c r="BH819" s="161"/>
      <c r="BI819" s="161"/>
      <c r="BJ819" s="161"/>
      <c r="BK819" s="161"/>
      <c r="BL819" s="161"/>
      <c r="BM819" s="161"/>
      <c r="BN819" s="161"/>
      <c r="BO819" s="161"/>
      <c r="BP819" s="161"/>
      <c r="BQ819" s="161"/>
      <c r="BR819" s="161"/>
      <c r="BS819" s="161"/>
      <c r="BT819" s="161"/>
      <c r="BU819" s="161"/>
      <c r="BV819" s="161"/>
      <c r="BW819" s="161"/>
      <c r="BX819" s="161"/>
    </row>
    <row r="820">
      <c r="A820" s="161"/>
      <c r="B820" s="161"/>
      <c r="C820" s="161"/>
      <c r="D820" s="161"/>
      <c r="E820" s="161"/>
      <c r="F820" s="161"/>
      <c r="G820" s="161"/>
      <c r="H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161"/>
      <c r="BH820" s="161"/>
      <c r="BI820" s="161"/>
      <c r="BJ820" s="161"/>
      <c r="BK820" s="161"/>
      <c r="BL820" s="161"/>
      <c r="BM820" s="161"/>
      <c r="BN820" s="161"/>
      <c r="BO820" s="161"/>
      <c r="BP820" s="161"/>
      <c r="BQ820" s="161"/>
      <c r="BR820" s="161"/>
      <c r="BS820" s="161"/>
      <c r="BT820" s="161"/>
      <c r="BU820" s="161"/>
      <c r="BV820" s="161"/>
      <c r="BW820" s="161"/>
      <c r="BX820" s="161"/>
    </row>
    <row r="821">
      <c r="A821" s="161"/>
      <c r="B821" s="161"/>
      <c r="C821" s="161"/>
      <c r="D821" s="161"/>
      <c r="E821" s="161"/>
      <c r="F821" s="161"/>
      <c r="G821" s="161"/>
      <c r="H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161"/>
      <c r="BH821" s="161"/>
      <c r="BI821" s="161"/>
      <c r="BJ821" s="161"/>
      <c r="BK821" s="161"/>
      <c r="BL821" s="161"/>
      <c r="BM821" s="161"/>
      <c r="BN821" s="161"/>
      <c r="BO821" s="161"/>
      <c r="BP821" s="161"/>
      <c r="BQ821" s="161"/>
      <c r="BR821" s="161"/>
      <c r="BS821" s="161"/>
      <c r="BT821" s="161"/>
      <c r="BU821" s="161"/>
      <c r="BV821" s="161"/>
      <c r="BW821" s="161"/>
      <c r="BX821" s="161"/>
    </row>
    <row r="822">
      <c r="A822" s="161"/>
      <c r="B822" s="161"/>
      <c r="C822" s="161"/>
      <c r="D822" s="161"/>
      <c r="E822" s="161"/>
      <c r="F822" s="161"/>
      <c r="G822" s="161"/>
      <c r="H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161"/>
      <c r="BH822" s="161"/>
      <c r="BI822" s="161"/>
      <c r="BJ822" s="161"/>
      <c r="BK822" s="161"/>
      <c r="BL822" s="161"/>
      <c r="BM822" s="161"/>
      <c r="BN822" s="161"/>
      <c r="BO822" s="161"/>
      <c r="BP822" s="161"/>
      <c r="BQ822" s="161"/>
      <c r="BR822" s="161"/>
      <c r="BS822" s="161"/>
      <c r="BT822" s="161"/>
      <c r="BU822" s="161"/>
      <c r="BV822" s="161"/>
      <c r="BW822" s="161"/>
      <c r="BX822" s="161"/>
    </row>
    <row r="823">
      <c r="A823" s="161"/>
      <c r="B823" s="161"/>
      <c r="C823" s="161"/>
      <c r="D823" s="161"/>
      <c r="E823" s="161"/>
      <c r="F823" s="161"/>
      <c r="G823" s="161"/>
      <c r="H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161"/>
      <c r="BH823" s="161"/>
      <c r="BI823" s="161"/>
      <c r="BJ823" s="161"/>
      <c r="BK823" s="161"/>
      <c r="BL823" s="161"/>
      <c r="BM823" s="161"/>
      <c r="BN823" s="161"/>
      <c r="BO823" s="161"/>
      <c r="BP823" s="161"/>
      <c r="BQ823" s="161"/>
      <c r="BR823" s="161"/>
      <c r="BS823" s="161"/>
      <c r="BT823" s="161"/>
      <c r="BU823" s="161"/>
      <c r="BV823" s="161"/>
      <c r="BW823" s="161"/>
      <c r="BX823" s="161"/>
    </row>
    <row r="824">
      <c r="A824" s="161"/>
      <c r="B824" s="161"/>
      <c r="C824" s="161"/>
      <c r="D824" s="161"/>
      <c r="E824" s="161"/>
      <c r="F824" s="161"/>
      <c r="G824" s="161"/>
      <c r="H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161"/>
      <c r="BH824" s="161"/>
      <c r="BI824" s="161"/>
      <c r="BJ824" s="161"/>
      <c r="BK824" s="161"/>
      <c r="BL824" s="161"/>
      <c r="BM824" s="161"/>
      <c r="BN824" s="161"/>
      <c r="BO824" s="161"/>
      <c r="BP824" s="161"/>
      <c r="BQ824" s="161"/>
      <c r="BR824" s="161"/>
      <c r="BS824" s="161"/>
      <c r="BT824" s="161"/>
      <c r="BU824" s="161"/>
      <c r="BV824" s="161"/>
      <c r="BW824" s="161"/>
      <c r="BX824" s="161"/>
    </row>
    <row r="825">
      <c r="A825" s="161"/>
      <c r="B825" s="161"/>
      <c r="C825" s="161"/>
      <c r="D825" s="161"/>
      <c r="E825" s="161"/>
      <c r="F825" s="161"/>
      <c r="G825" s="161"/>
      <c r="H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161"/>
      <c r="BH825" s="161"/>
      <c r="BI825" s="161"/>
      <c r="BJ825" s="161"/>
      <c r="BK825" s="161"/>
      <c r="BL825" s="161"/>
      <c r="BM825" s="161"/>
      <c r="BN825" s="161"/>
      <c r="BO825" s="161"/>
      <c r="BP825" s="161"/>
      <c r="BQ825" s="161"/>
      <c r="BR825" s="161"/>
      <c r="BS825" s="161"/>
      <c r="BT825" s="161"/>
      <c r="BU825" s="161"/>
      <c r="BV825" s="161"/>
      <c r="BW825" s="161"/>
      <c r="BX825" s="161"/>
    </row>
    <row r="826">
      <c r="A826" s="161"/>
      <c r="B826" s="161"/>
      <c r="C826" s="161"/>
      <c r="D826" s="161"/>
      <c r="E826" s="161"/>
      <c r="F826" s="161"/>
      <c r="G826" s="161"/>
      <c r="H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161"/>
      <c r="BH826" s="161"/>
      <c r="BI826" s="161"/>
      <c r="BJ826" s="161"/>
      <c r="BK826" s="161"/>
      <c r="BL826" s="161"/>
      <c r="BM826" s="161"/>
      <c r="BN826" s="161"/>
      <c r="BO826" s="161"/>
      <c r="BP826" s="161"/>
      <c r="BQ826" s="161"/>
      <c r="BR826" s="161"/>
      <c r="BS826" s="161"/>
      <c r="BT826" s="161"/>
      <c r="BU826" s="161"/>
      <c r="BV826" s="161"/>
      <c r="BW826" s="161"/>
      <c r="BX826" s="161"/>
    </row>
    <row r="827">
      <c r="A827" s="161"/>
      <c r="B827" s="161"/>
      <c r="C827" s="161"/>
      <c r="D827" s="161"/>
      <c r="E827" s="161"/>
      <c r="F827" s="161"/>
      <c r="G827" s="161"/>
      <c r="H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/>
      <c r="BG827" s="161"/>
      <c r="BH827" s="161"/>
      <c r="BI827" s="161"/>
      <c r="BJ827" s="161"/>
      <c r="BK827" s="161"/>
      <c r="BL827" s="161"/>
      <c r="BM827" s="161"/>
      <c r="BN827" s="161"/>
      <c r="BO827" s="161"/>
      <c r="BP827" s="161"/>
      <c r="BQ827" s="161"/>
      <c r="BR827" s="161"/>
      <c r="BS827" s="161"/>
      <c r="BT827" s="161"/>
      <c r="BU827" s="161"/>
      <c r="BV827" s="161"/>
      <c r="BW827" s="161"/>
      <c r="BX827" s="161"/>
    </row>
    <row r="828">
      <c r="A828" s="161"/>
      <c r="B828" s="161"/>
      <c r="C828" s="161"/>
      <c r="D828" s="161"/>
      <c r="E828" s="161"/>
      <c r="F828" s="161"/>
      <c r="G828" s="161"/>
      <c r="H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/>
      <c r="BG828" s="161"/>
      <c r="BH828" s="161"/>
      <c r="BI828" s="161"/>
      <c r="BJ828" s="161"/>
      <c r="BK828" s="161"/>
      <c r="BL828" s="161"/>
      <c r="BM828" s="161"/>
      <c r="BN828" s="161"/>
      <c r="BO828" s="161"/>
      <c r="BP828" s="161"/>
      <c r="BQ828" s="161"/>
      <c r="BR828" s="161"/>
      <c r="BS828" s="161"/>
      <c r="BT828" s="161"/>
      <c r="BU828" s="161"/>
      <c r="BV828" s="161"/>
      <c r="BW828" s="161"/>
      <c r="BX828" s="161"/>
    </row>
    <row r="829">
      <c r="A829" s="161"/>
      <c r="B829" s="161"/>
      <c r="C829" s="161"/>
      <c r="D829" s="161"/>
      <c r="E829" s="161"/>
      <c r="F829" s="161"/>
      <c r="G829" s="161"/>
      <c r="H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F829" s="161"/>
      <c r="BG829" s="161"/>
      <c r="BH829" s="161"/>
      <c r="BI829" s="161"/>
      <c r="BJ829" s="161"/>
      <c r="BK829" s="161"/>
      <c r="BL829" s="161"/>
      <c r="BM829" s="161"/>
      <c r="BN829" s="161"/>
      <c r="BO829" s="161"/>
      <c r="BP829" s="161"/>
      <c r="BQ829" s="161"/>
      <c r="BR829" s="161"/>
      <c r="BS829" s="161"/>
      <c r="BT829" s="161"/>
      <c r="BU829" s="161"/>
      <c r="BV829" s="161"/>
      <c r="BW829" s="161"/>
      <c r="BX829" s="161"/>
    </row>
    <row r="830">
      <c r="A830" s="161"/>
      <c r="B830" s="161"/>
      <c r="C830" s="161"/>
      <c r="D830" s="161"/>
      <c r="E830" s="161"/>
      <c r="F830" s="161"/>
      <c r="G830" s="161"/>
      <c r="H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161"/>
      <c r="BH830" s="161"/>
      <c r="BI830" s="161"/>
      <c r="BJ830" s="161"/>
      <c r="BK830" s="161"/>
      <c r="BL830" s="161"/>
      <c r="BM830" s="161"/>
      <c r="BN830" s="161"/>
      <c r="BO830" s="161"/>
      <c r="BP830" s="161"/>
      <c r="BQ830" s="161"/>
      <c r="BR830" s="161"/>
      <c r="BS830" s="161"/>
      <c r="BT830" s="161"/>
      <c r="BU830" s="161"/>
      <c r="BV830" s="161"/>
      <c r="BW830" s="161"/>
      <c r="BX830" s="161"/>
    </row>
    <row r="831">
      <c r="A831" s="161"/>
      <c r="B831" s="161"/>
      <c r="C831" s="161"/>
      <c r="D831" s="161"/>
      <c r="E831" s="161"/>
      <c r="F831" s="161"/>
      <c r="G831" s="161"/>
      <c r="H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1"/>
      <c r="BI831" s="161"/>
      <c r="BJ831" s="161"/>
      <c r="BK831" s="161"/>
      <c r="BL831" s="161"/>
      <c r="BM831" s="161"/>
      <c r="BN831" s="161"/>
      <c r="BO831" s="161"/>
      <c r="BP831" s="161"/>
      <c r="BQ831" s="161"/>
      <c r="BR831" s="161"/>
      <c r="BS831" s="161"/>
      <c r="BT831" s="161"/>
      <c r="BU831" s="161"/>
      <c r="BV831" s="161"/>
      <c r="BW831" s="161"/>
      <c r="BX831" s="161"/>
    </row>
    <row r="832">
      <c r="A832" s="161"/>
      <c r="B832" s="161"/>
      <c r="C832" s="161"/>
      <c r="D832" s="161"/>
      <c r="E832" s="161"/>
      <c r="F832" s="161"/>
      <c r="G832" s="161"/>
      <c r="H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161"/>
      <c r="BH832" s="161"/>
      <c r="BI832" s="161"/>
      <c r="BJ832" s="161"/>
      <c r="BK832" s="161"/>
      <c r="BL832" s="161"/>
      <c r="BM832" s="161"/>
      <c r="BN832" s="161"/>
      <c r="BO832" s="161"/>
      <c r="BP832" s="161"/>
      <c r="BQ832" s="161"/>
      <c r="BR832" s="161"/>
      <c r="BS832" s="161"/>
      <c r="BT832" s="161"/>
      <c r="BU832" s="161"/>
      <c r="BV832" s="161"/>
      <c r="BW832" s="161"/>
      <c r="BX832" s="161"/>
    </row>
    <row r="833">
      <c r="A833" s="161"/>
      <c r="B833" s="161"/>
      <c r="C833" s="161"/>
      <c r="D833" s="161"/>
      <c r="E833" s="161"/>
      <c r="F833" s="161"/>
      <c r="G833" s="161"/>
      <c r="H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161"/>
      <c r="BH833" s="161"/>
      <c r="BI833" s="161"/>
      <c r="BJ833" s="161"/>
      <c r="BK833" s="161"/>
      <c r="BL833" s="161"/>
      <c r="BM833" s="161"/>
      <c r="BN833" s="161"/>
      <c r="BO833" s="161"/>
      <c r="BP833" s="161"/>
      <c r="BQ833" s="161"/>
      <c r="BR833" s="161"/>
      <c r="BS833" s="161"/>
      <c r="BT833" s="161"/>
      <c r="BU833" s="161"/>
      <c r="BV833" s="161"/>
      <c r="BW833" s="161"/>
      <c r="BX833" s="161"/>
    </row>
    <row r="834">
      <c r="A834" s="161"/>
      <c r="B834" s="161"/>
      <c r="C834" s="161"/>
      <c r="D834" s="161"/>
      <c r="E834" s="161"/>
      <c r="F834" s="161"/>
      <c r="G834" s="161"/>
      <c r="H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F834" s="161"/>
      <c r="BG834" s="161"/>
      <c r="BH834" s="161"/>
      <c r="BI834" s="161"/>
      <c r="BJ834" s="161"/>
      <c r="BK834" s="161"/>
      <c r="BL834" s="161"/>
      <c r="BM834" s="161"/>
      <c r="BN834" s="161"/>
      <c r="BO834" s="161"/>
      <c r="BP834" s="161"/>
      <c r="BQ834" s="161"/>
      <c r="BR834" s="161"/>
      <c r="BS834" s="161"/>
      <c r="BT834" s="161"/>
      <c r="BU834" s="161"/>
      <c r="BV834" s="161"/>
      <c r="BW834" s="161"/>
      <c r="BX834" s="161"/>
    </row>
    <row r="835">
      <c r="A835" s="161"/>
      <c r="B835" s="161"/>
      <c r="C835" s="161"/>
      <c r="D835" s="161"/>
      <c r="E835" s="161"/>
      <c r="F835" s="161"/>
      <c r="G835" s="161"/>
      <c r="H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161"/>
      <c r="BH835" s="161"/>
      <c r="BI835" s="161"/>
      <c r="BJ835" s="161"/>
      <c r="BK835" s="161"/>
      <c r="BL835" s="161"/>
      <c r="BM835" s="161"/>
      <c r="BN835" s="161"/>
      <c r="BO835" s="161"/>
      <c r="BP835" s="161"/>
      <c r="BQ835" s="161"/>
      <c r="BR835" s="161"/>
      <c r="BS835" s="161"/>
      <c r="BT835" s="161"/>
      <c r="BU835" s="161"/>
      <c r="BV835" s="161"/>
      <c r="BW835" s="161"/>
      <c r="BX835" s="161"/>
    </row>
    <row r="836">
      <c r="A836" s="161"/>
      <c r="B836" s="161"/>
      <c r="C836" s="161"/>
      <c r="D836" s="161"/>
      <c r="E836" s="161"/>
      <c r="F836" s="161"/>
      <c r="G836" s="161"/>
      <c r="H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161"/>
      <c r="BH836" s="161"/>
      <c r="BI836" s="161"/>
      <c r="BJ836" s="161"/>
      <c r="BK836" s="161"/>
      <c r="BL836" s="161"/>
      <c r="BM836" s="161"/>
      <c r="BN836" s="161"/>
      <c r="BO836" s="161"/>
      <c r="BP836" s="161"/>
      <c r="BQ836" s="161"/>
      <c r="BR836" s="161"/>
      <c r="BS836" s="161"/>
      <c r="BT836" s="161"/>
      <c r="BU836" s="161"/>
      <c r="BV836" s="161"/>
      <c r="BW836" s="161"/>
      <c r="BX836" s="161"/>
    </row>
    <row r="837">
      <c r="A837" s="161"/>
      <c r="B837" s="161"/>
      <c r="C837" s="161"/>
      <c r="D837" s="161"/>
      <c r="E837" s="161"/>
      <c r="F837" s="161"/>
      <c r="G837" s="161"/>
      <c r="H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161"/>
      <c r="BH837" s="161"/>
      <c r="BI837" s="161"/>
      <c r="BJ837" s="161"/>
      <c r="BK837" s="161"/>
      <c r="BL837" s="161"/>
      <c r="BM837" s="161"/>
      <c r="BN837" s="161"/>
      <c r="BO837" s="161"/>
      <c r="BP837" s="161"/>
      <c r="BQ837" s="161"/>
      <c r="BR837" s="161"/>
      <c r="BS837" s="161"/>
      <c r="BT837" s="161"/>
      <c r="BU837" s="161"/>
      <c r="BV837" s="161"/>
      <c r="BW837" s="161"/>
      <c r="BX837" s="161"/>
    </row>
    <row r="838">
      <c r="A838" s="161"/>
      <c r="B838" s="161"/>
      <c r="C838" s="161"/>
      <c r="D838" s="161"/>
      <c r="E838" s="161"/>
      <c r="F838" s="161"/>
      <c r="G838" s="161"/>
      <c r="H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161"/>
      <c r="BH838" s="161"/>
      <c r="BI838" s="161"/>
      <c r="BJ838" s="161"/>
      <c r="BK838" s="161"/>
      <c r="BL838" s="161"/>
      <c r="BM838" s="161"/>
      <c r="BN838" s="161"/>
      <c r="BO838" s="161"/>
      <c r="BP838" s="161"/>
      <c r="BQ838" s="161"/>
      <c r="BR838" s="161"/>
      <c r="BS838" s="161"/>
      <c r="BT838" s="161"/>
      <c r="BU838" s="161"/>
      <c r="BV838" s="161"/>
      <c r="BW838" s="161"/>
      <c r="BX838" s="161"/>
    </row>
    <row r="839">
      <c r="A839" s="161"/>
      <c r="B839" s="161"/>
      <c r="C839" s="161"/>
      <c r="D839" s="161"/>
      <c r="E839" s="161"/>
      <c r="F839" s="161"/>
      <c r="G839" s="161"/>
      <c r="H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F839" s="161"/>
      <c r="BG839" s="161"/>
      <c r="BH839" s="161"/>
      <c r="BI839" s="161"/>
      <c r="BJ839" s="161"/>
      <c r="BK839" s="161"/>
      <c r="BL839" s="161"/>
      <c r="BM839" s="161"/>
      <c r="BN839" s="161"/>
      <c r="BO839" s="161"/>
      <c r="BP839" s="161"/>
      <c r="BQ839" s="161"/>
      <c r="BR839" s="161"/>
      <c r="BS839" s="161"/>
      <c r="BT839" s="161"/>
      <c r="BU839" s="161"/>
      <c r="BV839" s="161"/>
      <c r="BW839" s="161"/>
      <c r="BX839" s="161"/>
    </row>
    <row r="840">
      <c r="A840" s="161"/>
      <c r="B840" s="161"/>
      <c r="C840" s="161"/>
      <c r="D840" s="161"/>
      <c r="E840" s="161"/>
      <c r="F840" s="161"/>
      <c r="G840" s="161"/>
      <c r="H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161"/>
      <c r="BH840" s="161"/>
      <c r="BI840" s="161"/>
      <c r="BJ840" s="161"/>
      <c r="BK840" s="161"/>
      <c r="BL840" s="161"/>
      <c r="BM840" s="161"/>
      <c r="BN840" s="161"/>
      <c r="BO840" s="161"/>
      <c r="BP840" s="161"/>
      <c r="BQ840" s="161"/>
      <c r="BR840" s="161"/>
      <c r="BS840" s="161"/>
      <c r="BT840" s="161"/>
      <c r="BU840" s="161"/>
      <c r="BV840" s="161"/>
      <c r="BW840" s="161"/>
      <c r="BX840" s="161"/>
    </row>
    <row r="841">
      <c r="A841" s="161"/>
      <c r="B841" s="161"/>
      <c r="C841" s="161"/>
      <c r="D841" s="161"/>
      <c r="E841" s="161"/>
      <c r="F841" s="161"/>
      <c r="G841" s="161"/>
      <c r="H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161"/>
      <c r="BH841" s="161"/>
      <c r="BI841" s="161"/>
      <c r="BJ841" s="161"/>
      <c r="BK841" s="161"/>
      <c r="BL841" s="161"/>
      <c r="BM841" s="161"/>
      <c r="BN841" s="161"/>
      <c r="BO841" s="161"/>
      <c r="BP841" s="161"/>
      <c r="BQ841" s="161"/>
      <c r="BR841" s="161"/>
      <c r="BS841" s="161"/>
      <c r="BT841" s="161"/>
      <c r="BU841" s="161"/>
      <c r="BV841" s="161"/>
      <c r="BW841" s="161"/>
      <c r="BX841" s="161"/>
    </row>
    <row r="842">
      <c r="A842" s="161"/>
      <c r="B842" s="161"/>
      <c r="C842" s="161"/>
      <c r="D842" s="161"/>
      <c r="E842" s="161"/>
      <c r="F842" s="161"/>
      <c r="G842" s="161"/>
      <c r="H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/>
      <c r="BG842" s="161"/>
      <c r="BH842" s="161"/>
      <c r="BI842" s="161"/>
      <c r="BJ842" s="161"/>
      <c r="BK842" s="161"/>
      <c r="BL842" s="161"/>
      <c r="BM842" s="161"/>
      <c r="BN842" s="161"/>
      <c r="BO842" s="161"/>
      <c r="BP842" s="161"/>
      <c r="BQ842" s="161"/>
      <c r="BR842" s="161"/>
      <c r="BS842" s="161"/>
      <c r="BT842" s="161"/>
      <c r="BU842" s="161"/>
      <c r="BV842" s="161"/>
      <c r="BW842" s="161"/>
      <c r="BX842" s="161"/>
    </row>
    <row r="843">
      <c r="A843" s="161"/>
      <c r="B843" s="161"/>
      <c r="C843" s="161"/>
      <c r="D843" s="161"/>
      <c r="E843" s="161"/>
      <c r="F843" s="161"/>
      <c r="G843" s="161"/>
      <c r="H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161"/>
      <c r="BH843" s="161"/>
      <c r="BI843" s="161"/>
      <c r="BJ843" s="161"/>
      <c r="BK843" s="161"/>
      <c r="BL843" s="161"/>
      <c r="BM843" s="161"/>
      <c r="BN843" s="161"/>
      <c r="BO843" s="161"/>
      <c r="BP843" s="161"/>
      <c r="BQ843" s="161"/>
      <c r="BR843" s="161"/>
      <c r="BS843" s="161"/>
      <c r="BT843" s="161"/>
      <c r="BU843" s="161"/>
      <c r="BV843" s="161"/>
      <c r="BW843" s="161"/>
      <c r="BX843" s="161"/>
    </row>
    <row r="844">
      <c r="A844" s="161"/>
      <c r="B844" s="161"/>
      <c r="C844" s="161"/>
      <c r="D844" s="161"/>
      <c r="E844" s="161"/>
      <c r="F844" s="161"/>
      <c r="G844" s="161"/>
      <c r="H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161"/>
      <c r="BH844" s="161"/>
      <c r="BI844" s="161"/>
      <c r="BJ844" s="161"/>
      <c r="BK844" s="161"/>
      <c r="BL844" s="161"/>
      <c r="BM844" s="161"/>
      <c r="BN844" s="161"/>
      <c r="BO844" s="161"/>
      <c r="BP844" s="161"/>
      <c r="BQ844" s="161"/>
      <c r="BR844" s="161"/>
      <c r="BS844" s="161"/>
      <c r="BT844" s="161"/>
      <c r="BU844" s="161"/>
      <c r="BV844" s="161"/>
      <c r="BW844" s="161"/>
      <c r="BX844" s="161"/>
    </row>
    <row r="845">
      <c r="A845" s="161"/>
      <c r="B845" s="161"/>
      <c r="C845" s="161"/>
      <c r="D845" s="161"/>
      <c r="E845" s="161"/>
      <c r="F845" s="161"/>
      <c r="G845" s="161"/>
      <c r="H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161"/>
      <c r="BH845" s="161"/>
      <c r="BI845" s="161"/>
      <c r="BJ845" s="161"/>
      <c r="BK845" s="161"/>
      <c r="BL845" s="161"/>
      <c r="BM845" s="161"/>
      <c r="BN845" s="161"/>
      <c r="BO845" s="161"/>
      <c r="BP845" s="161"/>
      <c r="BQ845" s="161"/>
      <c r="BR845" s="161"/>
      <c r="BS845" s="161"/>
      <c r="BT845" s="161"/>
      <c r="BU845" s="161"/>
      <c r="BV845" s="161"/>
      <c r="BW845" s="161"/>
      <c r="BX845" s="161"/>
    </row>
    <row r="846">
      <c r="A846" s="161"/>
      <c r="B846" s="161"/>
      <c r="C846" s="161"/>
      <c r="D846" s="161"/>
      <c r="E846" s="161"/>
      <c r="F846" s="161"/>
      <c r="G846" s="161"/>
      <c r="H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161"/>
      <c r="BH846" s="161"/>
      <c r="BI846" s="161"/>
      <c r="BJ846" s="161"/>
      <c r="BK846" s="161"/>
      <c r="BL846" s="161"/>
      <c r="BM846" s="161"/>
      <c r="BN846" s="161"/>
      <c r="BO846" s="161"/>
      <c r="BP846" s="161"/>
      <c r="BQ846" s="161"/>
      <c r="BR846" s="161"/>
      <c r="BS846" s="161"/>
      <c r="BT846" s="161"/>
      <c r="BU846" s="161"/>
      <c r="BV846" s="161"/>
      <c r="BW846" s="161"/>
      <c r="BX846" s="161"/>
    </row>
    <row r="847">
      <c r="A847" s="161"/>
      <c r="B847" s="161"/>
      <c r="C847" s="161"/>
      <c r="D847" s="161"/>
      <c r="E847" s="161"/>
      <c r="F847" s="161"/>
      <c r="G847" s="161"/>
      <c r="H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161"/>
      <c r="BH847" s="161"/>
      <c r="BI847" s="161"/>
      <c r="BJ847" s="161"/>
      <c r="BK847" s="161"/>
      <c r="BL847" s="161"/>
      <c r="BM847" s="161"/>
      <c r="BN847" s="161"/>
      <c r="BO847" s="161"/>
      <c r="BP847" s="161"/>
      <c r="BQ847" s="161"/>
      <c r="BR847" s="161"/>
      <c r="BS847" s="161"/>
      <c r="BT847" s="161"/>
      <c r="BU847" s="161"/>
      <c r="BV847" s="161"/>
      <c r="BW847" s="161"/>
      <c r="BX847" s="161"/>
    </row>
    <row r="848">
      <c r="A848" s="161"/>
      <c r="B848" s="161"/>
      <c r="C848" s="161"/>
      <c r="D848" s="161"/>
      <c r="E848" s="161"/>
      <c r="F848" s="161"/>
      <c r="G848" s="161"/>
      <c r="H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F848" s="161"/>
      <c r="BG848" s="161"/>
      <c r="BH848" s="161"/>
      <c r="BI848" s="161"/>
      <c r="BJ848" s="161"/>
      <c r="BK848" s="161"/>
      <c r="BL848" s="161"/>
      <c r="BM848" s="161"/>
      <c r="BN848" s="161"/>
      <c r="BO848" s="161"/>
      <c r="BP848" s="161"/>
      <c r="BQ848" s="161"/>
      <c r="BR848" s="161"/>
      <c r="BS848" s="161"/>
      <c r="BT848" s="161"/>
      <c r="BU848" s="161"/>
      <c r="BV848" s="161"/>
      <c r="BW848" s="161"/>
      <c r="BX848" s="161"/>
    </row>
    <row r="849">
      <c r="A849" s="161"/>
      <c r="B849" s="161"/>
      <c r="C849" s="161"/>
      <c r="D849" s="161"/>
      <c r="E849" s="161"/>
      <c r="F849" s="161"/>
      <c r="G849" s="161"/>
      <c r="H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161"/>
      <c r="BH849" s="161"/>
      <c r="BI849" s="161"/>
      <c r="BJ849" s="161"/>
      <c r="BK849" s="161"/>
      <c r="BL849" s="161"/>
      <c r="BM849" s="161"/>
      <c r="BN849" s="161"/>
      <c r="BO849" s="161"/>
      <c r="BP849" s="161"/>
      <c r="BQ849" s="161"/>
      <c r="BR849" s="161"/>
      <c r="BS849" s="161"/>
      <c r="BT849" s="161"/>
      <c r="BU849" s="161"/>
      <c r="BV849" s="161"/>
      <c r="BW849" s="161"/>
      <c r="BX849" s="161"/>
    </row>
    <row r="850">
      <c r="A850" s="161"/>
      <c r="B850" s="161"/>
      <c r="C850" s="161"/>
      <c r="D850" s="161"/>
      <c r="E850" s="161"/>
      <c r="F850" s="161"/>
      <c r="G850" s="161"/>
      <c r="H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/>
      <c r="BG850" s="161"/>
      <c r="BH850" s="161"/>
      <c r="BI850" s="161"/>
      <c r="BJ850" s="161"/>
      <c r="BK850" s="161"/>
      <c r="BL850" s="161"/>
      <c r="BM850" s="161"/>
      <c r="BN850" s="161"/>
      <c r="BO850" s="161"/>
      <c r="BP850" s="161"/>
      <c r="BQ850" s="161"/>
      <c r="BR850" s="161"/>
      <c r="BS850" s="161"/>
      <c r="BT850" s="161"/>
      <c r="BU850" s="161"/>
      <c r="BV850" s="161"/>
      <c r="BW850" s="161"/>
      <c r="BX850" s="161"/>
    </row>
    <row r="851">
      <c r="A851" s="161"/>
      <c r="B851" s="161"/>
      <c r="C851" s="161"/>
      <c r="D851" s="161"/>
      <c r="E851" s="161"/>
      <c r="F851" s="161"/>
      <c r="G851" s="161"/>
      <c r="H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161"/>
      <c r="BH851" s="161"/>
      <c r="BI851" s="161"/>
      <c r="BJ851" s="161"/>
      <c r="BK851" s="161"/>
      <c r="BL851" s="161"/>
      <c r="BM851" s="161"/>
      <c r="BN851" s="161"/>
      <c r="BO851" s="161"/>
      <c r="BP851" s="161"/>
      <c r="BQ851" s="161"/>
      <c r="BR851" s="161"/>
      <c r="BS851" s="161"/>
      <c r="BT851" s="161"/>
      <c r="BU851" s="161"/>
      <c r="BV851" s="161"/>
      <c r="BW851" s="161"/>
      <c r="BX851" s="161"/>
    </row>
    <row r="852">
      <c r="A852" s="161"/>
      <c r="B852" s="161"/>
      <c r="C852" s="161"/>
      <c r="D852" s="161"/>
      <c r="E852" s="161"/>
      <c r="F852" s="161"/>
      <c r="G852" s="161"/>
      <c r="H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161"/>
      <c r="BH852" s="161"/>
      <c r="BI852" s="161"/>
      <c r="BJ852" s="161"/>
      <c r="BK852" s="161"/>
      <c r="BL852" s="161"/>
      <c r="BM852" s="161"/>
      <c r="BN852" s="161"/>
      <c r="BO852" s="161"/>
      <c r="BP852" s="161"/>
      <c r="BQ852" s="161"/>
      <c r="BR852" s="161"/>
      <c r="BS852" s="161"/>
      <c r="BT852" s="161"/>
      <c r="BU852" s="161"/>
      <c r="BV852" s="161"/>
      <c r="BW852" s="161"/>
      <c r="BX852" s="161"/>
    </row>
    <row r="853">
      <c r="A853" s="161"/>
      <c r="B853" s="161"/>
      <c r="C853" s="161"/>
      <c r="D853" s="161"/>
      <c r="E853" s="161"/>
      <c r="F853" s="161"/>
      <c r="G853" s="161"/>
      <c r="H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161"/>
      <c r="BH853" s="161"/>
      <c r="BI853" s="161"/>
      <c r="BJ853" s="161"/>
      <c r="BK853" s="161"/>
      <c r="BL853" s="161"/>
      <c r="BM853" s="161"/>
      <c r="BN853" s="161"/>
      <c r="BO853" s="161"/>
      <c r="BP853" s="161"/>
      <c r="BQ853" s="161"/>
      <c r="BR853" s="161"/>
      <c r="BS853" s="161"/>
      <c r="BT853" s="161"/>
      <c r="BU853" s="161"/>
      <c r="BV853" s="161"/>
      <c r="BW853" s="161"/>
      <c r="BX853" s="161"/>
    </row>
    <row r="854">
      <c r="A854" s="161"/>
      <c r="B854" s="161"/>
      <c r="C854" s="161"/>
      <c r="D854" s="161"/>
      <c r="E854" s="161"/>
      <c r="F854" s="161"/>
      <c r="G854" s="161"/>
      <c r="H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161"/>
      <c r="BH854" s="161"/>
      <c r="BI854" s="161"/>
      <c r="BJ854" s="161"/>
      <c r="BK854" s="161"/>
      <c r="BL854" s="161"/>
      <c r="BM854" s="161"/>
      <c r="BN854" s="161"/>
      <c r="BO854" s="161"/>
      <c r="BP854" s="161"/>
      <c r="BQ854" s="161"/>
      <c r="BR854" s="161"/>
      <c r="BS854" s="161"/>
      <c r="BT854" s="161"/>
      <c r="BU854" s="161"/>
      <c r="BV854" s="161"/>
      <c r="BW854" s="161"/>
      <c r="BX854" s="161"/>
    </row>
    <row r="855">
      <c r="A855" s="161"/>
      <c r="B855" s="161"/>
      <c r="C855" s="161"/>
      <c r="D855" s="161"/>
      <c r="E855" s="161"/>
      <c r="F855" s="161"/>
      <c r="G855" s="161"/>
      <c r="H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161"/>
      <c r="BH855" s="161"/>
      <c r="BI855" s="161"/>
      <c r="BJ855" s="161"/>
      <c r="BK855" s="161"/>
      <c r="BL855" s="161"/>
      <c r="BM855" s="161"/>
      <c r="BN855" s="161"/>
      <c r="BO855" s="161"/>
      <c r="BP855" s="161"/>
      <c r="BQ855" s="161"/>
      <c r="BR855" s="161"/>
      <c r="BS855" s="161"/>
      <c r="BT855" s="161"/>
      <c r="BU855" s="161"/>
      <c r="BV855" s="161"/>
      <c r="BW855" s="161"/>
      <c r="BX855" s="161"/>
    </row>
    <row r="856">
      <c r="A856" s="161"/>
      <c r="B856" s="161"/>
      <c r="C856" s="161"/>
      <c r="D856" s="161"/>
      <c r="E856" s="161"/>
      <c r="F856" s="161"/>
      <c r="G856" s="161"/>
      <c r="H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/>
      <c r="BG856" s="161"/>
      <c r="BH856" s="161"/>
      <c r="BI856" s="161"/>
      <c r="BJ856" s="161"/>
      <c r="BK856" s="161"/>
      <c r="BL856" s="161"/>
      <c r="BM856" s="161"/>
      <c r="BN856" s="161"/>
      <c r="BO856" s="161"/>
      <c r="BP856" s="161"/>
      <c r="BQ856" s="161"/>
      <c r="BR856" s="161"/>
      <c r="BS856" s="161"/>
      <c r="BT856" s="161"/>
      <c r="BU856" s="161"/>
      <c r="BV856" s="161"/>
      <c r="BW856" s="161"/>
      <c r="BX856" s="161"/>
    </row>
    <row r="857">
      <c r="A857" s="161"/>
      <c r="B857" s="161"/>
      <c r="C857" s="161"/>
      <c r="D857" s="161"/>
      <c r="E857" s="161"/>
      <c r="F857" s="161"/>
      <c r="G857" s="161"/>
      <c r="H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161"/>
      <c r="BH857" s="161"/>
      <c r="BI857" s="161"/>
      <c r="BJ857" s="161"/>
      <c r="BK857" s="161"/>
      <c r="BL857" s="161"/>
      <c r="BM857" s="161"/>
      <c r="BN857" s="161"/>
      <c r="BO857" s="161"/>
      <c r="BP857" s="161"/>
      <c r="BQ857" s="161"/>
      <c r="BR857" s="161"/>
      <c r="BS857" s="161"/>
      <c r="BT857" s="161"/>
      <c r="BU857" s="161"/>
      <c r="BV857" s="161"/>
      <c r="BW857" s="161"/>
      <c r="BX857" s="161"/>
    </row>
    <row r="858">
      <c r="A858" s="161"/>
      <c r="B858" s="161"/>
      <c r="C858" s="161"/>
      <c r="D858" s="161"/>
      <c r="E858" s="161"/>
      <c r="F858" s="161"/>
      <c r="G858" s="161"/>
      <c r="H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161"/>
      <c r="BH858" s="161"/>
      <c r="BI858" s="161"/>
      <c r="BJ858" s="161"/>
      <c r="BK858" s="161"/>
      <c r="BL858" s="161"/>
      <c r="BM858" s="161"/>
      <c r="BN858" s="161"/>
      <c r="BO858" s="161"/>
      <c r="BP858" s="161"/>
      <c r="BQ858" s="161"/>
      <c r="BR858" s="161"/>
      <c r="BS858" s="161"/>
      <c r="BT858" s="161"/>
      <c r="BU858" s="161"/>
      <c r="BV858" s="161"/>
      <c r="BW858" s="161"/>
      <c r="BX858" s="161"/>
    </row>
    <row r="859">
      <c r="A859" s="161"/>
      <c r="B859" s="161"/>
      <c r="C859" s="161"/>
      <c r="D859" s="161"/>
      <c r="E859" s="161"/>
      <c r="F859" s="161"/>
      <c r="G859" s="161"/>
      <c r="H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161"/>
      <c r="BH859" s="161"/>
      <c r="BI859" s="161"/>
      <c r="BJ859" s="161"/>
      <c r="BK859" s="161"/>
      <c r="BL859" s="161"/>
      <c r="BM859" s="161"/>
      <c r="BN859" s="161"/>
      <c r="BO859" s="161"/>
      <c r="BP859" s="161"/>
      <c r="BQ859" s="161"/>
      <c r="BR859" s="161"/>
      <c r="BS859" s="161"/>
      <c r="BT859" s="161"/>
      <c r="BU859" s="161"/>
      <c r="BV859" s="161"/>
      <c r="BW859" s="161"/>
      <c r="BX859" s="161"/>
    </row>
    <row r="860">
      <c r="A860" s="161"/>
      <c r="B860" s="161"/>
      <c r="C860" s="161"/>
      <c r="D860" s="161"/>
      <c r="E860" s="161"/>
      <c r="F860" s="161"/>
      <c r="G860" s="161"/>
      <c r="H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161"/>
      <c r="BH860" s="161"/>
      <c r="BI860" s="161"/>
      <c r="BJ860" s="161"/>
      <c r="BK860" s="161"/>
      <c r="BL860" s="161"/>
      <c r="BM860" s="161"/>
      <c r="BN860" s="161"/>
      <c r="BO860" s="161"/>
      <c r="BP860" s="161"/>
      <c r="BQ860" s="161"/>
      <c r="BR860" s="161"/>
      <c r="BS860" s="161"/>
      <c r="BT860" s="161"/>
      <c r="BU860" s="161"/>
      <c r="BV860" s="161"/>
      <c r="BW860" s="161"/>
      <c r="BX860" s="161"/>
    </row>
    <row r="861">
      <c r="A861" s="161"/>
      <c r="B861" s="161"/>
      <c r="C861" s="161"/>
      <c r="D861" s="161"/>
      <c r="E861" s="161"/>
      <c r="F861" s="161"/>
      <c r="G861" s="161"/>
      <c r="H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161"/>
      <c r="BH861" s="161"/>
      <c r="BI861" s="161"/>
      <c r="BJ861" s="161"/>
      <c r="BK861" s="161"/>
      <c r="BL861" s="161"/>
      <c r="BM861" s="161"/>
      <c r="BN861" s="161"/>
      <c r="BO861" s="161"/>
      <c r="BP861" s="161"/>
      <c r="BQ861" s="161"/>
      <c r="BR861" s="161"/>
      <c r="BS861" s="161"/>
      <c r="BT861" s="161"/>
      <c r="BU861" s="161"/>
      <c r="BV861" s="161"/>
      <c r="BW861" s="161"/>
      <c r="BX861" s="161"/>
    </row>
    <row r="862">
      <c r="A862" s="161"/>
      <c r="B862" s="161"/>
      <c r="C862" s="161"/>
      <c r="D862" s="161"/>
      <c r="E862" s="161"/>
      <c r="F862" s="161"/>
      <c r="G862" s="161"/>
      <c r="H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161"/>
      <c r="BH862" s="161"/>
      <c r="BI862" s="161"/>
      <c r="BJ862" s="161"/>
      <c r="BK862" s="161"/>
      <c r="BL862" s="161"/>
      <c r="BM862" s="161"/>
      <c r="BN862" s="161"/>
      <c r="BO862" s="161"/>
      <c r="BP862" s="161"/>
      <c r="BQ862" s="161"/>
      <c r="BR862" s="161"/>
      <c r="BS862" s="161"/>
      <c r="BT862" s="161"/>
      <c r="BU862" s="161"/>
      <c r="BV862" s="161"/>
      <c r="BW862" s="161"/>
      <c r="BX862" s="161"/>
    </row>
    <row r="863">
      <c r="A863" s="161"/>
      <c r="B863" s="161"/>
      <c r="C863" s="161"/>
      <c r="D863" s="161"/>
      <c r="E863" s="161"/>
      <c r="F863" s="161"/>
      <c r="G863" s="161"/>
      <c r="H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161"/>
      <c r="BH863" s="161"/>
      <c r="BI863" s="161"/>
      <c r="BJ863" s="161"/>
      <c r="BK863" s="161"/>
      <c r="BL863" s="161"/>
      <c r="BM863" s="161"/>
      <c r="BN863" s="161"/>
      <c r="BO863" s="161"/>
      <c r="BP863" s="161"/>
      <c r="BQ863" s="161"/>
      <c r="BR863" s="161"/>
      <c r="BS863" s="161"/>
      <c r="BT863" s="161"/>
      <c r="BU863" s="161"/>
      <c r="BV863" s="161"/>
      <c r="BW863" s="161"/>
      <c r="BX863" s="161"/>
    </row>
    <row r="864">
      <c r="A864" s="161"/>
      <c r="B864" s="161"/>
      <c r="C864" s="161"/>
      <c r="D864" s="161"/>
      <c r="E864" s="161"/>
      <c r="F864" s="161"/>
      <c r="G864" s="161"/>
      <c r="H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F864" s="161"/>
      <c r="BG864" s="161"/>
      <c r="BH864" s="161"/>
      <c r="BI864" s="161"/>
      <c r="BJ864" s="161"/>
      <c r="BK864" s="161"/>
      <c r="BL864" s="161"/>
      <c r="BM864" s="161"/>
      <c r="BN864" s="161"/>
      <c r="BO864" s="161"/>
      <c r="BP864" s="161"/>
      <c r="BQ864" s="161"/>
      <c r="BR864" s="161"/>
      <c r="BS864" s="161"/>
      <c r="BT864" s="161"/>
      <c r="BU864" s="161"/>
      <c r="BV864" s="161"/>
      <c r="BW864" s="161"/>
      <c r="BX864" s="161"/>
    </row>
    <row r="865">
      <c r="A865" s="161"/>
      <c r="B865" s="161"/>
      <c r="C865" s="161"/>
      <c r="D865" s="161"/>
      <c r="E865" s="161"/>
      <c r="F865" s="161"/>
      <c r="G865" s="161"/>
      <c r="H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161"/>
      <c r="BH865" s="161"/>
      <c r="BI865" s="161"/>
      <c r="BJ865" s="161"/>
      <c r="BK865" s="161"/>
      <c r="BL865" s="161"/>
      <c r="BM865" s="161"/>
      <c r="BN865" s="161"/>
      <c r="BO865" s="161"/>
      <c r="BP865" s="161"/>
      <c r="BQ865" s="161"/>
      <c r="BR865" s="161"/>
      <c r="BS865" s="161"/>
      <c r="BT865" s="161"/>
      <c r="BU865" s="161"/>
      <c r="BV865" s="161"/>
      <c r="BW865" s="161"/>
      <c r="BX865" s="161"/>
    </row>
    <row r="866">
      <c r="A866" s="161"/>
      <c r="B866" s="161"/>
      <c r="C866" s="161"/>
      <c r="D866" s="161"/>
      <c r="E866" s="161"/>
      <c r="F866" s="161"/>
      <c r="G866" s="161"/>
      <c r="H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F866" s="161"/>
      <c r="BG866" s="161"/>
      <c r="BH866" s="161"/>
      <c r="BI866" s="161"/>
      <c r="BJ866" s="161"/>
      <c r="BK866" s="161"/>
      <c r="BL866" s="161"/>
      <c r="BM866" s="161"/>
      <c r="BN866" s="161"/>
      <c r="BO866" s="161"/>
      <c r="BP866" s="161"/>
      <c r="BQ866" s="161"/>
      <c r="BR866" s="161"/>
      <c r="BS866" s="161"/>
      <c r="BT866" s="161"/>
      <c r="BU866" s="161"/>
      <c r="BV866" s="161"/>
      <c r="BW866" s="161"/>
      <c r="BX866" s="161"/>
    </row>
    <row r="867">
      <c r="A867" s="161"/>
      <c r="B867" s="161"/>
      <c r="C867" s="161"/>
      <c r="D867" s="161"/>
      <c r="E867" s="161"/>
      <c r="F867" s="161"/>
      <c r="G867" s="161"/>
      <c r="H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161"/>
      <c r="BH867" s="161"/>
      <c r="BI867" s="161"/>
      <c r="BJ867" s="161"/>
      <c r="BK867" s="161"/>
      <c r="BL867" s="161"/>
      <c r="BM867" s="161"/>
      <c r="BN867" s="161"/>
      <c r="BO867" s="161"/>
      <c r="BP867" s="161"/>
      <c r="BQ867" s="161"/>
      <c r="BR867" s="161"/>
      <c r="BS867" s="161"/>
      <c r="BT867" s="161"/>
      <c r="BU867" s="161"/>
      <c r="BV867" s="161"/>
      <c r="BW867" s="161"/>
      <c r="BX867" s="161"/>
    </row>
    <row r="868">
      <c r="A868" s="161"/>
      <c r="B868" s="161"/>
      <c r="C868" s="161"/>
      <c r="D868" s="161"/>
      <c r="E868" s="161"/>
      <c r="F868" s="161"/>
      <c r="G868" s="161"/>
      <c r="H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F868" s="161"/>
      <c r="BG868" s="161"/>
      <c r="BH868" s="161"/>
      <c r="BI868" s="161"/>
      <c r="BJ868" s="161"/>
      <c r="BK868" s="161"/>
      <c r="BL868" s="161"/>
      <c r="BM868" s="161"/>
      <c r="BN868" s="161"/>
      <c r="BO868" s="161"/>
      <c r="BP868" s="161"/>
      <c r="BQ868" s="161"/>
      <c r="BR868" s="161"/>
      <c r="BS868" s="161"/>
      <c r="BT868" s="161"/>
      <c r="BU868" s="161"/>
      <c r="BV868" s="161"/>
      <c r="BW868" s="161"/>
      <c r="BX868" s="161"/>
    </row>
    <row r="869">
      <c r="A869" s="161"/>
      <c r="B869" s="161"/>
      <c r="C869" s="161"/>
      <c r="D869" s="161"/>
      <c r="E869" s="161"/>
      <c r="F869" s="161"/>
      <c r="G869" s="161"/>
      <c r="H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161"/>
      <c r="BH869" s="161"/>
      <c r="BI869" s="161"/>
      <c r="BJ869" s="161"/>
      <c r="BK869" s="161"/>
      <c r="BL869" s="161"/>
      <c r="BM869" s="161"/>
      <c r="BN869" s="161"/>
      <c r="BO869" s="161"/>
      <c r="BP869" s="161"/>
      <c r="BQ869" s="161"/>
      <c r="BR869" s="161"/>
      <c r="BS869" s="161"/>
      <c r="BT869" s="161"/>
      <c r="BU869" s="161"/>
      <c r="BV869" s="161"/>
      <c r="BW869" s="161"/>
      <c r="BX869" s="161"/>
    </row>
    <row r="870">
      <c r="A870" s="161"/>
      <c r="B870" s="161"/>
      <c r="C870" s="161"/>
      <c r="D870" s="161"/>
      <c r="E870" s="161"/>
      <c r="F870" s="161"/>
      <c r="G870" s="161"/>
      <c r="H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161"/>
      <c r="BH870" s="161"/>
      <c r="BI870" s="161"/>
      <c r="BJ870" s="161"/>
      <c r="BK870" s="161"/>
      <c r="BL870" s="161"/>
      <c r="BM870" s="161"/>
      <c r="BN870" s="161"/>
      <c r="BO870" s="161"/>
      <c r="BP870" s="161"/>
      <c r="BQ870" s="161"/>
      <c r="BR870" s="161"/>
      <c r="BS870" s="161"/>
      <c r="BT870" s="161"/>
      <c r="BU870" s="161"/>
      <c r="BV870" s="161"/>
      <c r="BW870" s="161"/>
      <c r="BX870" s="161"/>
    </row>
    <row r="871">
      <c r="A871" s="161"/>
      <c r="B871" s="161"/>
      <c r="C871" s="161"/>
      <c r="D871" s="161"/>
      <c r="E871" s="161"/>
      <c r="F871" s="161"/>
      <c r="G871" s="161"/>
      <c r="H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161"/>
      <c r="BH871" s="161"/>
      <c r="BI871" s="161"/>
      <c r="BJ871" s="161"/>
      <c r="BK871" s="161"/>
      <c r="BL871" s="161"/>
      <c r="BM871" s="161"/>
      <c r="BN871" s="161"/>
      <c r="BO871" s="161"/>
      <c r="BP871" s="161"/>
      <c r="BQ871" s="161"/>
      <c r="BR871" s="161"/>
      <c r="BS871" s="161"/>
      <c r="BT871" s="161"/>
      <c r="BU871" s="161"/>
      <c r="BV871" s="161"/>
      <c r="BW871" s="161"/>
      <c r="BX871" s="161"/>
    </row>
    <row r="872">
      <c r="A872" s="161"/>
      <c r="B872" s="161"/>
      <c r="C872" s="161"/>
      <c r="D872" s="161"/>
      <c r="E872" s="161"/>
      <c r="F872" s="161"/>
      <c r="G872" s="161"/>
      <c r="H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F872" s="161"/>
      <c r="BG872" s="161"/>
      <c r="BH872" s="161"/>
      <c r="BI872" s="161"/>
      <c r="BJ872" s="161"/>
      <c r="BK872" s="161"/>
      <c r="BL872" s="161"/>
      <c r="BM872" s="161"/>
      <c r="BN872" s="161"/>
      <c r="BO872" s="161"/>
      <c r="BP872" s="161"/>
      <c r="BQ872" s="161"/>
      <c r="BR872" s="161"/>
      <c r="BS872" s="161"/>
      <c r="BT872" s="161"/>
      <c r="BU872" s="161"/>
      <c r="BV872" s="161"/>
      <c r="BW872" s="161"/>
      <c r="BX872" s="161"/>
    </row>
    <row r="873">
      <c r="A873" s="161"/>
      <c r="B873" s="161"/>
      <c r="C873" s="161"/>
      <c r="D873" s="161"/>
      <c r="E873" s="161"/>
      <c r="F873" s="161"/>
      <c r="G873" s="161"/>
      <c r="H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/>
      <c r="BG873" s="161"/>
      <c r="BH873" s="161"/>
      <c r="BI873" s="161"/>
      <c r="BJ873" s="161"/>
      <c r="BK873" s="161"/>
      <c r="BL873" s="161"/>
      <c r="BM873" s="161"/>
      <c r="BN873" s="161"/>
      <c r="BO873" s="161"/>
      <c r="BP873" s="161"/>
      <c r="BQ873" s="161"/>
      <c r="BR873" s="161"/>
      <c r="BS873" s="161"/>
      <c r="BT873" s="161"/>
      <c r="BU873" s="161"/>
      <c r="BV873" s="161"/>
      <c r="BW873" s="161"/>
      <c r="BX873" s="161"/>
    </row>
    <row r="874">
      <c r="A874" s="161"/>
      <c r="B874" s="161"/>
      <c r="C874" s="161"/>
      <c r="D874" s="161"/>
      <c r="E874" s="161"/>
      <c r="F874" s="161"/>
      <c r="G874" s="161"/>
      <c r="H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/>
      <c r="BG874" s="161"/>
      <c r="BH874" s="161"/>
      <c r="BI874" s="161"/>
      <c r="BJ874" s="161"/>
      <c r="BK874" s="161"/>
      <c r="BL874" s="161"/>
      <c r="BM874" s="161"/>
      <c r="BN874" s="161"/>
      <c r="BO874" s="161"/>
      <c r="BP874" s="161"/>
      <c r="BQ874" s="161"/>
      <c r="BR874" s="161"/>
      <c r="BS874" s="161"/>
      <c r="BT874" s="161"/>
      <c r="BU874" s="161"/>
      <c r="BV874" s="161"/>
      <c r="BW874" s="161"/>
      <c r="BX874" s="161"/>
    </row>
    <row r="875">
      <c r="A875" s="161"/>
      <c r="B875" s="161"/>
      <c r="C875" s="161"/>
      <c r="D875" s="161"/>
      <c r="E875" s="161"/>
      <c r="F875" s="161"/>
      <c r="G875" s="161"/>
      <c r="H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/>
      <c r="BG875" s="161"/>
      <c r="BH875" s="161"/>
      <c r="BI875" s="161"/>
      <c r="BJ875" s="161"/>
      <c r="BK875" s="161"/>
      <c r="BL875" s="161"/>
      <c r="BM875" s="161"/>
      <c r="BN875" s="161"/>
      <c r="BO875" s="161"/>
      <c r="BP875" s="161"/>
      <c r="BQ875" s="161"/>
      <c r="BR875" s="161"/>
      <c r="BS875" s="161"/>
      <c r="BT875" s="161"/>
      <c r="BU875" s="161"/>
      <c r="BV875" s="161"/>
      <c r="BW875" s="161"/>
      <c r="BX875" s="161"/>
    </row>
    <row r="876">
      <c r="A876" s="161"/>
      <c r="B876" s="161"/>
      <c r="C876" s="161"/>
      <c r="D876" s="161"/>
      <c r="E876" s="161"/>
      <c r="F876" s="161"/>
      <c r="G876" s="161"/>
      <c r="H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161"/>
      <c r="BH876" s="161"/>
      <c r="BI876" s="161"/>
      <c r="BJ876" s="161"/>
      <c r="BK876" s="161"/>
      <c r="BL876" s="161"/>
      <c r="BM876" s="161"/>
      <c r="BN876" s="161"/>
      <c r="BO876" s="161"/>
      <c r="BP876" s="161"/>
      <c r="BQ876" s="161"/>
      <c r="BR876" s="161"/>
      <c r="BS876" s="161"/>
      <c r="BT876" s="161"/>
      <c r="BU876" s="161"/>
      <c r="BV876" s="161"/>
      <c r="BW876" s="161"/>
      <c r="BX876" s="161"/>
    </row>
    <row r="877">
      <c r="A877" s="161"/>
      <c r="B877" s="161"/>
      <c r="C877" s="161"/>
      <c r="D877" s="161"/>
      <c r="E877" s="161"/>
      <c r="F877" s="161"/>
      <c r="G877" s="161"/>
      <c r="H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1"/>
      <c r="BI877" s="161"/>
      <c r="BJ877" s="161"/>
      <c r="BK877" s="161"/>
      <c r="BL877" s="161"/>
      <c r="BM877" s="161"/>
      <c r="BN877" s="161"/>
      <c r="BO877" s="161"/>
      <c r="BP877" s="161"/>
      <c r="BQ877" s="161"/>
      <c r="BR877" s="161"/>
      <c r="BS877" s="161"/>
      <c r="BT877" s="161"/>
      <c r="BU877" s="161"/>
      <c r="BV877" s="161"/>
      <c r="BW877" s="161"/>
      <c r="BX877" s="161"/>
    </row>
    <row r="878">
      <c r="A878" s="161"/>
      <c r="B878" s="161"/>
      <c r="C878" s="161"/>
      <c r="D878" s="161"/>
      <c r="E878" s="161"/>
      <c r="F878" s="161"/>
      <c r="G878" s="161"/>
      <c r="H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/>
      <c r="BG878" s="161"/>
      <c r="BH878" s="161"/>
      <c r="BI878" s="161"/>
      <c r="BJ878" s="161"/>
      <c r="BK878" s="161"/>
      <c r="BL878" s="161"/>
      <c r="BM878" s="161"/>
      <c r="BN878" s="161"/>
      <c r="BO878" s="161"/>
      <c r="BP878" s="161"/>
      <c r="BQ878" s="161"/>
      <c r="BR878" s="161"/>
      <c r="BS878" s="161"/>
      <c r="BT878" s="161"/>
      <c r="BU878" s="161"/>
      <c r="BV878" s="161"/>
      <c r="BW878" s="161"/>
      <c r="BX878" s="161"/>
    </row>
    <row r="879">
      <c r="A879" s="161"/>
      <c r="B879" s="161"/>
      <c r="C879" s="161"/>
      <c r="D879" s="161"/>
      <c r="E879" s="161"/>
      <c r="F879" s="161"/>
      <c r="G879" s="161"/>
      <c r="H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161"/>
      <c r="BH879" s="161"/>
      <c r="BI879" s="161"/>
      <c r="BJ879" s="161"/>
      <c r="BK879" s="161"/>
      <c r="BL879" s="161"/>
      <c r="BM879" s="161"/>
      <c r="BN879" s="161"/>
      <c r="BO879" s="161"/>
      <c r="BP879" s="161"/>
      <c r="BQ879" s="161"/>
      <c r="BR879" s="161"/>
      <c r="BS879" s="161"/>
      <c r="BT879" s="161"/>
      <c r="BU879" s="161"/>
      <c r="BV879" s="161"/>
      <c r="BW879" s="161"/>
      <c r="BX879" s="161"/>
    </row>
    <row r="880">
      <c r="A880" s="161"/>
      <c r="B880" s="161"/>
      <c r="C880" s="161"/>
      <c r="D880" s="161"/>
      <c r="E880" s="161"/>
      <c r="F880" s="161"/>
      <c r="G880" s="161"/>
      <c r="H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161"/>
      <c r="BH880" s="161"/>
      <c r="BI880" s="161"/>
      <c r="BJ880" s="161"/>
      <c r="BK880" s="161"/>
      <c r="BL880" s="161"/>
      <c r="BM880" s="161"/>
      <c r="BN880" s="161"/>
      <c r="BO880" s="161"/>
      <c r="BP880" s="161"/>
      <c r="BQ880" s="161"/>
      <c r="BR880" s="161"/>
      <c r="BS880" s="161"/>
      <c r="BT880" s="161"/>
      <c r="BU880" s="161"/>
      <c r="BV880" s="161"/>
      <c r="BW880" s="161"/>
      <c r="BX880" s="161"/>
    </row>
    <row r="881">
      <c r="A881" s="161"/>
      <c r="B881" s="161"/>
      <c r="C881" s="161"/>
      <c r="D881" s="161"/>
      <c r="E881" s="161"/>
      <c r="F881" s="161"/>
      <c r="G881" s="161"/>
      <c r="H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F881" s="161"/>
      <c r="BG881" s="161"/>
      <c r="BH881" s="161"/>
      <c r="BI881" s="161"/>
      <c r="BJ881" s="161"/>
      <c r="BK881" s="161"/>
      <c r="BL881" s="161"/>
      <c r="BM881" s="161"/>
      <c r="BN881" s="161"/>
      <c r="BO881" s="161"/>
      <c r="BP881" s="161"/>
      <c r="BQ881" s="161"/>
      <c r="BR881" s="161"/>
      <c r="BS881" s="161"/>
      <c r="BT881" s="161"/>
      <c r="BU881" s="161"/>
      <c r="BV881" s="161"/>
      <c r="BW881" s="161"/>
      <c r="BX881" s="161"/>
    </row>
    <row r="882">
      <c r="A882" s="161"/>
      <c r="B882" s="161"/>
      <c r="C882" s="161"/>
      <c r="D882" s="161"/>
      <c r="E882" s="161"/>
      <c r="F882" s="161"/>
      <c r="G882" s="161"/>
      <c r="H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161"/>
      <c r="BH882" s="161"/>
      <c r="BI882" s="161"/>
      <c r="BJ882" s="161"/>
      <c r="BK882" s="161"/>
      <c r="BL882" s="161"/>
      <c r="BM882" s="161"/>
      <c r="BN882" s="161"/>
      <c r="BO882" s="161"/>
      <c r="BP882" s="161"/>
      <c r="BQ882" s="161"/>
      <c r="BR882" s="161"/>
      <c r="BS882" s="161"/>
      <c r="BT882" s="161"/>
      <c r="BU882" s="161"/>
      <c r="BV882" s="161"/>
      <c r="BW882" s="161"/>
      <c r="BX882" s="161"/>
    </row>
    <row r="883">
      <c r="A883" s="161"/>
      <c r="B883" s="161"/>
      <c r="C883" s="161"/>
      <c r="D883" s="161"/>
      <c r="E883" s="161"/>
      <c r="F883" s="161"/>
      <c r="G883" s="161"/>
      <c r="H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161"/>
      <c r="BH883" s="161"/>
      <c r="BI883" s="161"/>
      <c r="BJ883" s="161"/>
      <c r="BK883" s="161"/>
      <c r="BL883" s="161"/>
      <c r="BM883" s="161"/>
      <c r="BN883" s="161"/>
      <c r="BO883" s="161"/>
      <c r="BP883" s="161"/>
      <c r="BQ883" s="161"/>
      <c r="BR883" s="161"/>
      <c r="BS883" s="161"/>
      <c r="BT883" s="161"/>
      <c r="BU883" s="161"/>
      <c r="BV883" s="161"/>
      <c r="BW883" s="161"/>
      <c r="BX883" s="161"/>
    </row>
    <row r="884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161"/>
      <c r="BH884" s="161"/>
      <c r="BI884" s="161"/>
      <c r="BJ884" s="161"/>
      <c r="BK884" s="161"/>
      <c r="BL884" s="161"/>
      <c r="BM884" s="161"/>
      <c r="BN884" s="161"/>
      <c r="BO884" s="161"/>
      <c r="BP884" s="161"/>
      <c r="BQ884" s="161"/>
      <c r="BR884" s="161"/>
      <c r="BS884" s="161"/>
      <c r="BT884" s="161"/>
      <c r="BU884" s="161"/>
      <c r="BV884" s="161"/>
      <c r="BW884" s="161"/>
      <c r="BX884" s="161"/>
    </row>
    <row r="885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F885" s="161"/>
      <c r="BG885" s="161"/>
      <c r="BH885" s="161"/>
      <c r="BI885" s="161"/>
      <c r="BJ885" s="161"/>
      <c r="BK885" s="161"/>
      <c r="BL885" s="161"/>
      <c r="BM885" s="161"/>
      <c r="BN885" s="161"/>
      <c r="BO885" s="161"/>
      <c r="BP885" s="161"/>
      <c r="BQ885" s="161"/>
      <c r="BR885" s="161"/>
      <c r="BS885" s="161"/>
      <c r="BT885" s="161"/>
      <c r="BU885" s="161"/>
      <c r="BV885" s="161"/>
      <c r="BW885" s="161"/>
      <c r="BX885" s="161"/>
    </row>
    <row r="886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F886" s="161"/>
      <c r="BG886" s="161"/>
      <c r="BH886" s="161"/>
      <c r="BI886" s="161"/>
      <c r="BJ886" s="161"/>
      <c r="BK886" s="161"/>
      <c r="BL886" s="161"/>
      <c r="BM886" s="161"/>
      <c r="BN886" s="161"/>
      <c r="BO886" s="161"/>
      <c r="BP886" s="161"/>
      <c r="BQ886" s="161"/>
      <c r="BR886" s="161"/>
      <c r="BS886" s="161"/>
      <c r="BT886" s="161"/>
      <c r="BU886" s="161"/>
      <c r="BV886" s="161"/>
      <c r="BW886" s="161"/>
      <c r="BX886" s="161"/>
    </row>
    <row r="887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161"/>
      <c r="BH887" s="161"/>
      <c r="BI887" s="161"/>
      <c r="BJ887" s="161"/>
      <c r="BK887" s="161"/>
      <c r="BL887" s="161"/>
      <c r="BM887" s="161"/>
      <c r="BN887" s="161"/>
      <c r="BO887" s="161"/>
      <c r="BP887" s="161"/>
      <c r="BQ887" s="161"/>
      <c r="BR887" s="161"/>
      <c r="BS887" s="161"/>
      <c r="BT887" s="161"/>
      <c r="BU887" s="161"/>
      <c r="BV887" s="161"/>
      <c r="BW887" s="161"/>
      <c r="BX887" s="161"/>
    </row>
    <row r="888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/>
      <c r="BG888" s="161"/>
      <c r="BH888" s="161"/>
      <c r="BI888" s="161"/>
      <c r="BJ888" s="161"/>
      <c r="BK888" s="161"/>
      <c r="BL888" s="161"/>
      <c r="BM888" s="161"/>
      <c r="BN888" s="161"/>
      <c r="BO888" s="161"/>
      <c r="BP888" s="161"/>
      <c r="BQ888" s="161"/>
      <c r="BR888" s="161"/>
      <c r="BS888" s="161"/>
      <c r="BT888" s="161"/>
      <c r="BU888" s="161"/>
      <c r="BV888" s="161"/>
      <c r="BW888" s="161"/>
      <c r="BX888" s="161"/>
    </row>
    <row r="889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F889" s="161"/>
      <c r="BG889" s="161"/>
      <c r="BH889" s="161"/>
      <c r="BI889" s="161"/>
      <c r="BJ889" s="161"/>
      <c r="BK889" s="161"/>
      <c r="BL889" s="161"/>
      <c r="BM889" s="161"/>
      <c r="BN889" s="161"/>
      <c r="BO889" s="161"/>
      <c r="BP889" s="161"/>
      <c r="BQ889" s="161"/>
      <c r="BR889" s="161"/>
      <c r="BS889" s="161"/>
      <c r="BT889" s="161"/>
      <c r="BU889" s="161"/>
      <c r="BV889" s="161"/>
      <c r="BW889" s="161"/>
      <c r="BX889" s="161"/>
    </row>
    <row r="890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161"/>
      <c r="BH890" s="161"/>
      <c r="BI890" s="161"/>
      <c r="BJ890" s="161"/>
      <c r="BK890" s="161"/>
      <c r="BL890" s="161"/>
      <c r="BM890" s="161"/>
      <c r="BN890" s="161"/>
      <c r="BO890" s="161"/>
      <c r="BP890" s="161"/>
      <c r="BQ890" s="161"/>
      <c r="BR890" s="161"/>
      <c r="BS890" s="161"/>
      <c r="BT890" s="161"/>
      <c r="BU890" s="161"/>
      <c r="BV890" s="161"/>
      <c r="BW890" s="161"/>
      <c r="BX890" s="161"/>
    </row>
    <row r="89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161"/>
      <c r="BH891" s="161"/>
      <c r="BI891" s="161"/>
      <c r="BJ891" s="161"/>
      <c r="BK891" s="161"/>
      <c r="BL891" s="161"/>
      <c r="BM891" s="161"/>
      <c r="BN891" s="161"/>
      <c r="BO891" s="161"/>
      <c r="BP891" s="161"/>
      <c r="BQ891" s="161"/>
      <c r="BR891" s="161"/>
      <c r="BS891" s="161"/>
      <c r="BT891" s="161"/>
      <c r="BU891" s="161"/>
      <c r="BV891" s="161"/>
      <c r="BW891" s="161"/>
      <c r="BX891" s="161"/>
    </row>
    <row r="892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161"/>
      <c r="BH892" s="161"/>
      <c r="BI892" s="161"/>
      <c r="BJ892" s="161"/>
      <c r="BK892" s="161"/>
      <c r="BL892" s="161"/>
      <c r="BM892" s="161"/>
      <c r="BN892" s="161"/>
      <c r="BO892" s="161"/>
      <c r="BP892" s="161"/>
      <c r="BQ892" s="161"/>
      <c r="BR892" s="161"/>
      <c r="BS892" s="161"/>
      <c r="BT892" s="161"/>
      <c r="BU892" s="161"/>
      <c r="BV892" s="161"/>
      <c r="BW892" s="161"/>
      <c r="BX892" s="161"/>
    </row>
    <row r="893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F893" s="161"/>
      <c r="BG893" s="161"/>
      <c r="BH893" s="161"/>
      <c r="BI893" s="161"/>
      <c r="BJ893" s="161"/>
      <c r="BK893" s="161"/>
      <c r="BL893" s="161"/>
      <c r="BM893" s="161"/>
      <c r="BN893" s="161"/>
      <c r="BO893" s="161"/>
      <c r="BP893" s="161"/>
      <c r="BQ893" s="161"/>
      <c r="BR893" s="161"/>
      <c r="BS893" s="161"/>
      <c r="BT893" s="161"/>
      <c r="BU893" s="161"/>
      <c r="BV893" s="161"/>
      <c r="BW893" s="161"/>
      <c r="BX893" s="161"/>
    </row>
    <row r="894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161"/>
      <c r="BH894" s="161"/>
      <c r="BI894" s="161"/>
      <c r="BJ894" s="161"/>
      <c r="BK894" s="161"/>
      <c r="BL894" s="161"/>
      <c r="BM894" s="161"/>
      <c r="BN894" s="161"/>
      <c r="BO894" s="161"/>
      <c r="BP894" s="161"/>
      <c r="BQ894" s="161"/>
      <c r="BR894" s="161"/>
      <c r="BS894" s="161"/>
      <c r="BT894" s="161"/>
      <c r="BU894" s="161"/>
      <c r="BV894" s="161"/>
      <c r="BW894" s="161"/>
      <c r="BX894" s="161"/>
    </row>
    <row r="895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161"/>
      <c r="BH895" s="161"/>
      <c r="BI895" s="161"/>
      <c r="BJ895" s="161"/>
      <c r="BK895" s="161"/>
      <c r="BL895" s="161"/>
      <c r="BM895" s="161"/>
      <c r="BN895" s="161"/>
      <c r="BO895" s="161"/>
      <c r="BP895" s="161"/>
      <c r="BQ895" s="161"/>
      <c r="BR895" s="161"/>
      <c r="BS895" s="161"/>
      <c r="BT895" s="161"/>
      <c r="BU895" s="161"/>
      <c r="BV895" s="161"/>
      <c r="BW895" s="161"/>
      <c r="BX895" s="161"/>
    </row>
    <row r="896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161"/>
      <c r="BH896" s="161"/>
      <c r="BI896" s="161"/>
      <c r="BJ896" s="161"/>
      <c r="BK896" s="161"/>
      <c r="BL896" s="161"/>
      <c r="BM896" s="161"/>
      <c r="BN896" s="161"/>
      <c r="BO896" s="161"/>
      <c r="BP896" s="161"/>
      <c r="BQ896" s="161"/>
      <c r="BR896" s="161"/>
      <c r="BS896" s="161"/>
      <c r="BT896" s="161"/>
      <c r="BU896" s="161"/>
      <c r="BV896" s="161"/>
      <c r="BW896" s="161"/>
      <c r="BX896" s="161"/>
    </row>
    <row r="897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161"/>
      <c r="BH897" s="161"/>
      <c r="BI897" s="161"/>
      <c r="BJ897" s="161"/>
      <c r="BK897" s="161"/>
      <c r="BL897" s="161"/>
      <c r="BM897" s="161"/>
      <c r="BN897" s="161"/>
      <c r="BO897" s="161"/>
      <c r="BP897" s="161"/>
      <c r="BQ897" s="161"/>
      <c r="BR897" s="161"/>
      <c r="BS897" s="161"/>
      <c r="BT897" s="161"/>
      <c r="BU897" s="161"/>
      <c r="BV897" s="161"/>
      <c r="BW897" s="161"/>
      <c r="BX897" s="161"/>
    </row>
    <row r="898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161"/>
      <c r="BH898" s="161"/>
      <c r="BI898" s="161"/>
      <c r="BJ898" s="161"/>
      <c r="BK898" s="161"/>
      <c r="BL898" s="161"/>
      <c r="BM898" s="161"/>
      <c r="BN898" s="161"/>
      <c r="BO898" s="161"/>
      <c r="BP898" s="161"/>
      <c r="BQ898" s="161"/>
      <c r="BR898" s="161"/>
      <c r="BS898" s="161"/>
      <c r="BT898" s="161"/>
      <c r="BU898" s="161"/>
      <c r="BV898" s="161"/>
      <c r="BW898" s="161"/>
      <c r="BX898" s="161"/>
    </row>
    <row r="899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161"/>
      <c r="BH899" s="161"/>
      <c r="BI899" s="161"/>
      <c r="BJ899" s="161"/>
      <c r="BK899" s="161"/>
      <c r="BL899" s="161"/>
      <c r="BM899" s="161"/>
      <c r="BN899" s="161"/>
      <c r="BO899" s="161"/>
      <c r="BP899" s="161"/>
      <c r="BQ899" s="161"/>
      <c r="BR899" s="161"/>
      <c r="BS899" s="161"/>
      <c r="BT899" s="161"/>
      <c r="BU899" s="161"/>
      <c r="BV899" s="161"/>
      <c r="BW899" s="161"/>
      <c r="BX899" s="161"/>
    </row>
    <row r="900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/>
      <c r="BG900" s="161"/>
      <c r="BH900" s="161"/>
      <c r="BI900" s="161"/>
      <c r="BJ900" s="161"/>
      <c r="BK900" s="161"/>
      <c r="BL900" s="161"/>
      <c r="BM900" s="161"/>
      <c r="BN900" s="161"/>
      <c r="BO900" s="161"/>
      <c r="BP900" s="161"/>
      <c r="BQ900" s="161"/>
      <c r="BR900" s="161"/>
      <c r="BS900" s="161"/>
      <c r="BT900" s="161"/>
      <c r="BU900" s="161"/>
      <c r="BV900" s="161"/>
      <c r="BW900" s="161"/>
      <c r="BX900" s="161"/>
    </row>
    <row r="90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/>
      <c r="BG901" s="161"/>
      <c r="BH901" s="161"/>
      <c r="BI901" s="161"/>
      <c r="BJ901" s="161"/>
      <c r="BK901" s="161"/>
      <c r="BL901" s="161"/>
      <c r="BM901" s="161"/>
      <c r="BN901" s="161"/>
      <c r="BO901" s="161"/>
      <c r="BP901" s="161"/>
      <c r="BQ901" s="161"/>
      <c r="BR901" s="161"/>
      <c r="BS901" s="161"/>
      <c r="BT901" s="161"/>
      <c r="BU901" s="161"/>
      <c r="BV901" s="161"/>
      <c r="BW901" s="161"/>
      <c r="BX901" s="161"/>
    </row>
    <row r="902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F902" s="161"/>
      <c r="BG902" s="161"/>
      <c r="BH902" s="161"/>
      <c r="BI902" s="161"/>
      <c r="BJ902" s="161"/>
      <c r="BK902" s="161"/>
      <c r="BL902" s="161"/>
      <c r="BM902" s="161"/>
      <c r="BN902" s="161"/>
      <c r="BO902" s="161"/>
      <c r="BP902" s="161"/>
      <c r="BQ902" s="161"/>
      <c r="BR902" s="161"/>
      <c r="BS902" s="161"/>
      <c r="BT902" s="161"/>
      <c r="BU902" s="161"/>
      <c r="BV902" s="161"/>
      <c r="BW902" s="161"/>
      <c r="BX902" s="161"/>
    </row>
    <row r="903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161"/>
      <c r="BH903" s="161"/>
      <c r="BI903" s="161"/>
      <c r="BJ903" s="161"/>
      <c r="BK903" s="161"/>
      <c r="BL903" s="161"/>
      <c r="BM903" s="161"/>
      <c r="BN903" s="161"/>
      <c r="BO903" s="161"/>
      <c r="BP903" s="161"/>
      <c r="BQ903" s="161"/>
      <c r="BR903" s="161"/>
      <c r="BS903" s="161"/>
      <c r="BT903" s="161"/>
      <c r="BU903" s="161"/>
      <c r="BV903" s="161"/>
      <c r="BW903" s="161"/>
      <c r="BX903" s="161"/>
    </row>
    <row r="904">
      <c r="A904" s="161"/>
      <c r="B904" s="161"/>
      <c r="C904" s="161"/>
      <c r="D904" s="161"/>
      <c r="E904" s="161"/>
      <c r="F904" s="161"/>
      <c r="G904" s="161"/>
      <c r="H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161"/>
      <c r="BH904" s="161"/>
      <c r="BI904" s="161"/>
      <c r="BJ904" s="161"/>
      <c r="BK904" s="161"/>
      <c r="BL904" s="161"/>
      <c r="BM904" s="161"/>
      <c r="BN904" s="161"/>
      <c r="BO904" s="161"/>
      <c r="BP904" s="161"/>
      <c r="BQ904" s="161"/>
      <c r="BR904" s="161"/>
      <c r="BS904" s="161"/>
      <c r="BT904" s="161"/>
      <c r="BU904" s="161"/>
      <c r="BV904" s="161"/>
      <c r="BW904" s="161"/>
      <c r="BX904" s="161"/>
    </row>
    <row r="905">
      <c r="A905" s="161"/>
      <c r="B905" s="161"/>
      <c r="C905" s="161"/>
      <c r="D905" s="161"/>
      <c r="E905" s="161"/>
      <c r="F905" s="161"/>
      <c r="G905" s="161"/>
      <c r="H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F905" s="161"/>
      <c r="BG905" s="161"/>
      <c r="BH905" s="161"/>
      <c r="BI905" s="161"/>
      <c r="BJ905" s="161"/>
      <c r="BK905" s="161"/>
      <c r="BL905" s="161"/>
      <c r="BM905" s="161"/>
      <c r="BN905" s="161"/>
      <c r="BO905" s="161"/>
      <c r="BP905" s="161"/>
      <c r="BQ905" s="161"/>
      <c r="BR905" s="161"/>
      <c r="BS905" s="161"/>
      <c r="BT905" s="161"/>
      <c r="BU905" s="161"/>
      <c r="BV905" s="161"/>
      <c r="BW905" s="161"/>
      <c r="BX905" s="161"/>
    </row>
    <row r="906">
      <c r="A906" s="161"/>
      <c r="B906" s="161"/>
      <c r="C906" s="161"/>
      <c r="D906" s="161"/>
      <c r="E906" s="161"/>
      <c r="F906" s="161"/>
      <c r="G906" s="161"/>
      <c r="H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161"/>
      <c r="BH906" s="161"/>
      <c r="BI906" s="161"/>
      <c r="BJ906" s="161"/>
      <c r="BK906" s="161"/>
      <c r="BL906" s="161"/>
      <c r="BM906" s="161"/>
      <c r="BN906" s="161"/>
      <c r="BO906" s="161"/>
      <c r="BP906" s="161"/>
      <c r="BQ906" s="161"/>
      <c r="BR906" s="161"/>
      <c r="BS906" s="161"/>
      <c r="BT906" s="161"/>
      <c r="BU906" s="161"/>
      <c r="BV906" s="161"/>
      <c r="BW906" s="161"/>
      <c r="BX906" s="161"/>
    </row>
    <row r="907">
      <c r="A907" s="161"/>
      <c r="B907" s="161"/>
      <c r="C907" s="161"/>
      <c r="D907" s="161"/>
      <c r="E907" s="161"/>
      <c r="F907" s="161"/>
      <c r="G907" s="161"/>
      <c r="H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161"/>
      <c r="BH907" s="161"/>
      <c r="BI907" s="161"/>
      <c r="BJ907" s="161"/>
      <c r="BK907" s="161"/>
      <c r="BL907" s="161"/>
      <c r="BM907" s="161"/>
      <c r="BN907" s="161"/>
      <c r="BO907" s="161"/>
      <c r="BP907" s="161"/>
      <c r="BQ907" s="161"/>
      <c r="BR907" s="161"/>
      <c r="BS907" s="161"/>
      <c r="BT907" s="161"/>
      <c r="BU907" s="161"/>
      <c r="BV907" s="161"/>
      <c r="BW907" s="161"/>
      <c r="BX907" s="161"/>
    </row>
    <row r="908">
      <c r="A908" s="161"/>
      <c r="B908" s="161"/>
      <c r="C908" s="161"/>
      <c r="D908" s="161"/>
      <c r="E908" s="161"/>
      <c r="F908" s="161"/>
      <c r="G908" s="161"/>
      <c r="H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F908" s="161"/>
      <c r="BG908" s="161"/>
      <c r="BH908" s="161"/>
      <c r="BI908" s="161"/>
      <c r="BJ908" s="161"/>
      <c r="BK908" s="161"/>
      <c r="BL908" s="161"/>
      <c r="BM908" s="161"/>
      <c r="BN908" s="161"/>
      <c r="BO908" s="161"/>
      <c r="BP908" s="161"/>
      <c r="BQ908" s="161"/>
      <c r="BR908" s="161"/>
      <c r="BS908" s="161"/>
      <c r="BT908" s="161"/>
      <c r="BU908" s="161"/>
      <c r="BV908" s="161"/>
      <c r="BW908" s="161"/>
      <c r="BX908" s="161"/>
    </row>
    <row r="909">
      <c r="A909" s="161"/>
      <c r="B909" s="161"/>
      <c r="C909" s="161"/>
      <c r="D909" s="161"/>
      <c r="E909" s="161"/>
      <c r="F909" s="161"/>
      <c r="G909" s="161"/>
      <c r="H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161"/>
      <c r="BH909" s="161"/>
      <c r="BI909" s="161"/>
      <c r="BJ909" s="161"/>
      <c r="BK909" s="161"/>
      <c r="BL909" s="161"/>
      <c r="BM909" s="161"/>
      <c r="BN909" s="161"/>
      <c r="BO909" s="161"/>
      <c r="BP909" s="161"/>
      <c r="BQ909" s="161"/>
      <c r="BR909" s="161"/>
      <c r="BS909" s="161"/>
      <c r="BT909" s="161"/>
      <c r="BU909" s="161"/>
      <c r="BV909" s="161"/>
      <c r="BW909" s="161"/>
      <c r="BX909" s="161"/>
    </row>
    <row r="910">
      <c r="A910" s="161"/>
      <c r="B910" s="161"/>
      <c r="C910" s="161"/>
      <c r="D910" s="161"/>
      <c r="E910" s="161"/>
      <c r="F910" s="161"/>
      <c r="G910" s="161"/>
      <c r="H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F910" s="161"/>
      <c r="BG910" s="161"/>
      <c r="BH910" s="161"/>
      <c r="BI910" s="161"/>
      <c r="BJ910" s="161"/>
      <c r="BK910" s="161"/>
      <c r="BL910" s="161"/>
      <c r="BM910" s="161"/>
      <c r="BN910" s="161"/>
      <c r="BO910" s="161"/>
      <c r="BP910" s="161"/>
      <c r="BQ910" s="161"/>
      <c r="BR910" s="161"/>
      <c r="BS910" s="161"/>
      <c r="BT910" s="161"/>
      <c r="BU910" s="161"/>
      <c r="BV910" s="161"/>
      <c r="BW910" s="161"/>
      <c r="BX910" s="161"/>
    </row>
    <row r="911">
      <c r="A911" s="161"/>
      <c r="B911" s="161"/>
      <c r="C911" s="161"/>
      <c r="D911" s="161"/>
      <c r="E911" s="161"/>
      <c r="F911" s="161"/>
      <c r="G911" s="161"/>
      <c r="H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/>
      <c r="BG911" s="161"/>
      <c r="BH911" s="161"/>
      <c r="BI911" s="161"/>
      <c r="BJ911" s="161"/>
      <c r="BK911" s="161"/>
      <c r="BL911" s="161"/>
      <c r="BM911" s="161"/>
      <c r="BN911" s="161"/>
      <c r="BO911" s="161"/>
      <c r="BP911" s="161"/>
      <c r="BQ911" s="161"/>
      <c r="BR911" s="161"/>
      <c r="BS911" s="161"/>
      <c r="BT911" s="161"/>
      <c r="BU911" s="161"/>
      <c r="BV911" s="161"/>
      <c r="BW911" s="161"/>
      <c r="BX911" s="161"/>
    </row>
    <row r="912">
      <c r="A912" s="161"/>
      <c r="B912" s="161"/>
      <c r="C912" s="161"/>
      <c r="D912" s="161"/>
      <c r="E912" s="161"/>
      <c r="F912" s="161"/>
      <c r="G912" s="161"/>
      <c r="H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/>
      <c r="BG912" s="161"/>
      <c r="BH912" s="161"/>
      <c r="BI912" s="161"/>
      <c r="BJ912" s="161"/>
      <c r="BK912" s="161"/>
      <c r="BL912" s="161"/>
      <c r="BM912" s="161"/>
      <c r="BN912" s="161"/>
      <c r="BO912" s="161"/>
      <c r="BP912" s="161"/>
      <c r="BQ912" s="161"/>
      <c r="BR912" s="161"/>
      <c r="BS912" s="161"/>
      <c r="BT912" s="161"/>
      <c r="BU912" s="161"/>
      <c r="BV912" s="161"/>
      <c r="BW912" s="161"/>
      <c r="BX912" s="161"/>
    </row>
    <row r="913">
      <c r="A913" s="161"/>
      <c r="B913" s="161"/>
      <c r="C913" s="161"/>
      <c r="D913" s="161"/>
      <c r="E913" s="161"/>
      <c r="F913" s="161"/>
      <c r="G913" s="161"/>
      <c r="H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F913" s="161"/>
      <c r="BG913" s="161"/>
      <c r="BH913" s="161"/>
      <c r="BI913" s="161"/>
      <c r="BJ913" s="161"/>
      <c r="BK913" s="161"/>
      <c r="BL913" s="161"/>
      <c r="BM913" s="161"/>
      <c r="BN913" s="161"/>
      <c r="BO913" s="161"/>
      <c r="BP913" s="161"/>
      <c r="BQ913" s="161"/>
      <c r="BR913" s="161"/>
      <c r="BS913" s="161"/>
      <c r="BT913" s="161"/>
      <c r="BU913" s="161"/>
      <c r="BV913" s="161"/>
      <c r="BW913" s="161"/>
      <c r="BX913" s="161"/>
    </row>
    <row r="914">
      <c r="A914" s="161"/>
      <c r="B914" s="161"/>
      <c r="C914" s="161"/>
      <c r="D914" s="161"/>
      <c r="E914" s="161"/>
      <c r="F914" s="161"/>
      <c r="G914" s="161"/>
      <c r="H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F914" s="161"/>
      <c r="BG914" s="161"/>
      <c r="BH914" s="161"/>
      <c r="BI914" s="161"/>
      <c r="BJ914" s="161"/>
      <c r="BK914" s="161"/>
      <c r="BL914" s="161"/>
      <c r="BM914" s="161"/>
      <c r="BN914" s="161"/>
      <c r="BO914" s="161"/>
      <c r="BP914" s="161"/>
      <c r="BQ914" s="161"/>
      <c r="BR914" s="161"/>
      <c r="BS914" s="161"/>
      <c r="BT914" s="161"/>
      <c r="BU914" s="161"/>
      <c r="BV914" s="161"/>
      <c r="BW914" s="161"/>
      <c r="BX914" s="161"/>
    </row>
    <row r="915">
      <c r="A915" s="161"/>
      <c r="B915" s="161"/>
      <c r="C915" s="161"/>
      <c r="D915" s="161"/>
      <c r="E915" s="161"/>
      <c r="F915" s="161"/>
      <c r="G915" s="161"/>
      <c r="H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/>
      <c r="BG915" s="161"/>
      <c r="BH915" s="161"/>
      <c r="BI915" s="161"/>
      <c r="BJ915" s="161"/>
      <c r="BK915" s="161"/>
      <c r="BL915" s="161"/>
      <c r="BM915" s="161"/>
      <c r="BN915" s="161"/>
      <c r="BO915" s="161"/>
      <c r="BP915" s="161"/>
      <c r="BQ915" s="161"/>
      <c r="BR915" s="161"/>
      <c r="BS915" s="161"/>
      <c r="BT915" s="161"/>
      <c r="BU915" s="161"/>
      <c r="BV915" s="161"/>
      <c r="BW915" s="161"/>
      <c r="BX915" s="161"/>
    </row>
    <row r="916">
      <c r="A916" s="161"/>
      <c r="B916" s="161"/>
      <c r="C916" s="161"/>
      <c r="D916" s="161"/>
      <c r="E916" s="161"/>
      <c r="F916" s="161"/>
      <c r="G916" s="161"/>
      <c r="H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/>
      <c r="BG916" s="161"/>
      <c r="BH916" s="161"/>
      <c r="BI916" s="161"/>
      <c r="BJ916" s="161"/>
      <c r="BK916" s="161"/>
      <c r="BL916" s="161"/>
      <c r="BM916" s="161"/>
      <c r="BN916" s="161"/>
      <c r="BO916" s="161"/>
      <c r="BP916" s="161"/>
      <c r="BQ916" s="161"/>
      <c r="BR916" s="161"/>
      <c r="BS916" s="161"/>
      <c r="BT916" s="161"/>
      <c r="BU916" s="161"/>
      <c r="BV916" s="161"/>
      <c r="BW916" s="161"/>
      <c r="BX916" s="161"/>
    </row>
    <row r="917">
      <c r="A917" s="161"/>
      <c r="B917" s="161"/>
      <c r="C917" s="161"/>
      <c r="D917" s="161"/>
      <c r="E917" s="161"/>
      <c r="F917" s="161"/>
      <c r="G917" s="161"/>
      <c r="H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F917" s="161"/>
      <c r="BG917" s="161"/>
      <c r="BH917" s="161"/>
      <c r="BI917" s="161"/>
      <c r="BJ917" s="161"/>
      <c r="BK917" s="161"/>
      <c r="BL917" s="161"/>
      <c r="BM917" s="161"/>
      <c r="BN917" s="161"/>
      <c r="BO917" s="161"/>
      <c r="BP917" s="161"/>
      <c r="BQ917" s="161"/>
      <c r="BR917" s="161"/>
      <c r="BS917" s="161"/>
      <c r="BT917" s="161"/>
      <c r="BU917" s="161"/>
      <c r="BV917" s="161"/>
      <c r="BW917" s="161"/>
      <c r="BX917" s="161"/>
    </row>
    <row r="918">
      <c r="A918" s="161"/>
      <c r="B918" s="161"/>
      <c r="C918" s="161"/>
      <c r="D918" s="161"/>
      <c r="E918" s="161"/>
      <c r="F918" s="161"/>
      <c r="G918" s="161"/>
      <c r="H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161"/>
      <c r="BH918" s="161"/>
      <c r="BI918" s="161"/>
      <c r="BJ918" s="161"/>
      <c r="BK918" s="161"/>
      <c r="BL918" s="161"/>
      <c r="BM918" s="161"/>
      <c r="BN918" s="161"/>
      <c r="BO918" s="161"/>
      <c r="BP918" s="161"/>
      <c r="BQ918" s="161"/>
      <c r="BR918" s="161"/>
      <c r="BS918" s="161"/>
      <c r="BT918" s="161"/>
      <c r="BU918" s="161"/>
      <c r="BV918" s="161"/>
      <c r="BW918" s="161"/>
      <c r="BX918" s="161"/>
    </row>
    <row r="919">
      <c r="A919" s="161"/>
      <c r="B919" s="161"/>
      <c r="C919" s="161"/>
      <c r="D919" s="161"/>
      <c r="E919" s="161"/>
      <c r="F919" s="161"/>
      <c r="G919" s="161"/>
      <c r="H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F919" s="161"/>
      <c r="BG919" s="161"/>
      <c r="BH919" s="161"/>
      <c r="BI919" s="161"/>
      <c r="BJ919" s="161"/>
      <c r="BK919" s="161"/>
      <c r="BL919" s="161"/>
      <c r="BM919" s="161"/>
      <c r="BN919" s="161"/>
      <c r="BO919" s="161"/>
      <c r="BP919" s="161"/>
      <c r="BQ919" s="161"/>
      <c r="BR919" s="161"/>
      <c r="BS919" s="161"/>
      <c r="BT919" s="161"/>
      <c r="BU919" s="161"/>
      <c r="BV919" s="161"/>
      <c r="BW919" s="161"/>
      <c r="BX919" s="161"/>
    </row>
    <row r="920">
      <c r="A920" s="161"/>
      <c r="B920" s="161"/>
      <c r="C920" s="161"/>
      <c r="D920" s="161"/>
      <c r="E920" s="161"/>
      <c r="F920" s="161"/>
      <c r="G920" s="161"/>
      <c r="H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F920" s="161"/>
      <c r="BG920" s="161"/>
      <c r="BH920" s="161"/>
      <c r="BI920" s="161"/>
      <c r="BJ920" s="161"/>
      <c r="BK920" s="161"/>
      <c r="BL920" s="161"/>
      <c r="BM920" s="161"/>
      <c r="BN920" s="161"/>
      <c r="BO920" s="161"/>
      <c r="BP920" s="161"/>
      <c r="BQ920" s="161"/>
      <c r="BR920" s="161"/>
      <c r="BS920" s="161"/>
      <c r="BT920" s="161"/>
      <c r="BU920" s="161"/>
      <c r="BV920" s="161"/>
      <c r="BW920" s="161"/>
      <c r="BX920" s="161"/>
    </row>
    <row r="921">
      <c r="A921" s="161"/>
      <c r="B921" s="161"/>
      <c r="C921" s="161"/>
      <c r="D921" s="161"/>
      <c r="E921" s="161"/>
      <c r="F921" s="161"/>
      <c r="G921" s="161"/>
      <c r="H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/>
      <c r="BG921" s="161"/>
      <c r="BH921" s="161"/>
      <c r="BI921" s="161"/>
      <c r="BJ921" s="161"/>
      <c r="BK921" s="161"/>
      <c r="BL921" s="161"/>
      <c r="BM921" s="161"/>
      <c r="BN921" s="161"/>
      <c r="BO921" s="161"/>
      <c r="BP921" s="161"/>
      <c r="BQ921" s="161"/>
      <c r="BR921" s="161"/>
      <c r="BS921" s="161"/>
      <c r="BT921" s="161"/>
      <c r="BU921" s="161"/>
      <c r="BV921" s="161"/>
      <c r="BW921" s="161"/>
      <c r="BX921" s="161"/>
    </row>
    <row r="922">
      <c r="A922" s="161"/>
      <c r="B922" s="161"/>
      <c r="C922" s="161"/>
      <c r="D922" s="161"/>
      <c r="E922" s="161"/>
      <c r="F922" s="161"/>
      <c r="G922" s="161"/>
      <c r="H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/>
      <c r="BG922" s="161"/>
      <c r="BH922" s="161"/>
      <c r="BI922" s="161"/>
      <c r="BJ922" s="161"/>
      <c r="BK922" s="161"/>
      <c r="BL922" s="161"/>
      <c r="BM922" s="161"/>
      <c r="BN922" s="161"/>
      <c r="BO922" s="161"/>
      <c r="BP922" s="161"/>
      <c r="BQ922" s="161"/>
      <c r="BR922" s="161"/>
      <c r="BS922" s="161"/>
      <c r="BT922" s="161"/>
      <c r="BU922" s="161"/>
      <c r="BV922" s="161"/>
      <c r="BW922" s="161"/>
      <c r="BX922" s="161"/>
    </row>
    <row r="923">
      <c r="A923" s="161"/>
      <c r="B923" s="161"/>
      <c r="C923" s="161"/>
      <c r="D923" s="161"/>
      <c r="E923" s="161"/>
      <c r="F923" s="161"/>
      <c r="G923" s="161"/>
      <c r="H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1"/>
      <c r="BI923" s="161"/>
      <c r="BJ923" s="161"/>
      <c r="BK923" s="161"/>
      <c r="BL923" s="161"/>
      <c r="BM923" s="161"/>
      <c r="BN923" s="161"/>
      <c r="BO923" s="161"/>
      <c r="BP923" s="161"/>
      <c r="BQ923" s="161"/>
      <c r="BR923" s="161"/>
      <c r="BS923" s="161"/>
      <c r="BT923" s="161"/>
      <c r="BU923" s="161"/>
      <c r="BV923" s="161"/>
      <c r="BW923" s="161"/>
      <c r="BX923" s="161"/>
    </row>
    <row r="924">
      <c r="A924" s="161"/>
      <c r="B924" s="161"/>
      <c r="C924" s="161"/>
      <c r="D924" s="161"/>
      <c r="E924" s="161"/>
      <c r="F924" s="161"/>
      <c r="G924" s="161"/>
      <c r="H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F924" s="161"/>
      <c r="BG924" s="161"/>
      <c r="BH924" s="161"/>
      <c r="BI924" s="161"/>
      <c r="BJ924" s="161"/>
      <c r="BK924" s="161"/>
      <c r="BL924" s="161"/>
      <c r="BM924" s="161"/>
      <c r="BN924" s="161"/>
      <c r="BO924" s="161"/>
      <c r="BP924" s="161"/>
      <c r="BQ924" s="161"/>
      <c r="BR924" s="161"/>
      <c r="BS924" s="161"/>
      <c r="BT924" s="161"/>
      <c r="BU924" s="161"/>
      <c r="BV924" s="161"/>
      <c r="BW924" s="161"/>
      <c r="BX924" s="161"/>
    </row>
    <row r="925">
      <c r="A925" s="161"/>
      <c r="B925" s="161"/>
      <c r="C925" s="161"/>
      <c r="D925" s="161"/>
      <c r="E925" s="161"/>
      <c r="F925" s="161"/>
      <c r="G925" s="161"/>
      <c r="H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F925" s="161"/>
      <c r="BG925" s="161"/>
      <c r="BH925" s="161"/>
      <c r="BI925" s="161"/>
      <c r="BJ925" s="161"/>
      <c r="BK925" s="161"/>
      <c r="BL925" s="161"/>
      <c r="BM925" s="161"/>
      <c r="BN925" s="161"/>
      <c r="BO925" s="161"/>
      <c r="BP925" s="161"/>
      <c r="BQ925" s="161"/>
      <c r="BR925" s="161"/>
      <c r="BS925" s="161"/>
      <c r="BT925" s="161"/>
      <c r="BU925" s="161"/>
      <c r="BV925" s="161"/>
      <c r="BW925" s="161"/>
      <c r="BX925" s="161"/>
    </row>
    <row r="926">
      <c r="A926" s="161"/>
      <c r="B926" s="161"/>
      <c r="C926" s="161"/>
      <c r="D926" s="161"/>
      <c r="E926" s="161"/>
      <c r="F926" s="161"/>
      <c r="G926" s="161"/>
      <c r="H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F926" s="161"/>
      <c r="BG926" s="161"/>
      <c r="BH926" s="161"/>
      <c r="BI926" s="161"/>
      <c r="BJ926" s="161"/>
      <c r="BK926" s="161"/>
      <c r="BL926" s="161"/>
      <c r="BM926" s="161"/>
      <c r="BN926" s="161"/>
      <c r="BO926" s="161"/>
      <c r="BP926" s="161"/>
      <c r="BQ926" s="161"/>
      <c r="BR926" s="161"/>
      <c r="BS926" s="161"/>
      <c r="BT926" s="161"/>
      <c r="BU926" s="161"/>
      <c r="BV926" s="161"/>
      <c r="BW926" s="161"/>
      <c r="BX926" s="161"/>
    </row>
    <row r="927">
      <c r="A927" s="161"/>
      <c r="B927" s="161"/>
      <c r="C927" s="161"/>
      <c r="D927" s="161"/>
      <c r="E927" s="161"/>
      <c r="F927" s="161"/>
      <c r="G927" s="161"/>
      <c r="H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F927" s="161"/>
      <c r="BG927" s="161"/>
      <c r="BH927" s="161"/>
      <c r="BI927" s="161"/>
      <c r="BJ927" s="161"/>
      <c r="BK927" s="161"/>
      <c r="BL927" s="161"/>
      <c r="BM927" s="161"/>
      <c r="BN927" s="161"/>
      <c r="BO927" s="161"/>
      <c r="BP927" s="161"/>
      <c r="BQ927" s="161"/>
      <c r="BR927" s="161"/>
      <c r="BS927" s="161"/>
      <c r="BT927" s="161"/>
      <c r="BU927" s="161"/>
      <c r="BV927" s="161"/>
      <c r="BW927" s="161"/>
      <c r="BX927" s="161"/>
    </row>
    <row r="928">
      <c r="A928" s="161"/>
      <c r="B928" s="161"/>
      <c r="C928" s="161"/>
      <c r="D928" s="161"/>
      <c r="E928" s="161"/>
      <c r="F928" s="161"/>
      <c r="G928" s="161"/>
      <c r="H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/>
      <c r="BG928" s="161"/>
      <c r="BH928" s="161"/>
      <c r="BI928" s="161"/>
      <c r="BJ928" s="161"/>
      <c r="BK928" s="161"/>
      <c r="BL928" s="161"/>
      <c r="BM928" s="161"/>
      <c r="BN928" s="161"/>
      <c r="BO928" s="161"/>
      <c r="BP928" s="161"/>
      <c r="BQ928" s="161"/>
      <c r="BR928" s="161"/>
      <c r="BS928" s="161"/>
      <c r="BT928" s="161"/>
      <c r="BU928" s="161"/>
      <c r="BV928" s="161"/>
      <c r="BW928" s="161"/>
      <c r="BX928" s="161"/>
    </row>
    <row r="929">
      <c r="A929" s="161"/>
      <c r="B929" s="161"/>
      <c r="C929" s="161"/>
      <c r="D929" s="161"/>
      <c r="E929" s="161"/>
      <c r="F929" s="161"/>
      <c r="G929" s="161"/>
      <c r="H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/>
      <c r="BG929" s="161"/>
      <c r="BH929" s="161"/>
      <c r="BI929" s="161"/>
      <c r="BJ929" s="161"/>
      <c r="BK929" s="161"/>
      <c r="BL929" s="161"/>
      <c r="BM929" s="161"/>
      <c r="BN929" s="161"/>
      <c r="BO929" s="161"/>
      <c r="BP929" s="161"/>
      <c r="BQ929" s="161"/>
      <c r="BR929" s="161"/>
      <c r="BS929" s="161"/>
      <c r="BT929" s="161"/>
      <c r="BU929" s="161"/>
      <c r="BV929" s="161"/>
      <c r="BW929" s="161"/>
      <c r="BX929" s="161"/>
    </row>
    <row r="930">
      <c r="A930" s="161"/>
      <c r="B930" s="161"/>
      <c r="C930" s="161"/>
      <c r="D930" s="161"/>
      <c r="E930" s="161"/>
      <c r="F930" s="161"/>
      <c r="G930" s="161"/>
      <c r="H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F930" s="161"/>
      <c r="BG930" s="161"/>
      <c r="BH930" s="161"/>
      <c r="BI930" s="161"/>
      <c r="BJ930" s="161"/>
      <c r="BK930" s="161"/>
      <c r="BL930" s="161"/>
      <c r="BM930" s="161"/>
      <c r="BN930" s="161"/>
      <c r="BO930" s="161"/>
      <c r="BP930" s="161"/>
      <c r="BQ930" s="161"/>
      <c r="BR930" s="161"/>
      <c r="BS930" s="161"/>
      <c r="BT930" s="161"/>
      <c r="BU930" s="161"/>
      <c r="BV930" s="161"/>
      <c r="BW930" s="161"/>
      <c r="BX930" s="161"/>
    </row>
    <row r="931">
      <c r="A931" s="161"/>
      <c r="B931" s="161"/>
      <c r="C931" s="161"/>
      <c r="D931" s="161"/>
      <c r="E931" s="161"/>
      <c r="F931" s="161"/>
      <c r="G931" s="161"/>
      <c r="H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F931" s="161"/>
      <c r="BG931" s="161"/>
      <c r="BH931" s="161"/>
      <c r="BI931" s="161"/>
      <c r="BJ931" s="161"/>
      <c r="BK931" s="161"/>
      <c r="BL931" s="161"/>
      <c r="BM931" s="161"/>
      <c r="BN931" s="161"/>
      <c r="BO931" s="161"/>
      <c r="BP931" s="161"/>
      <c r="BQ931" s="161"/>
      <c r="BR931" s="161"/>
      <c r="BS931" s="161"/>
      <c r="BT931" s="161"/>
      <c r="BU931" s="161"/>
      <c r="BV931" s="161"/>
      <c r="BW931" s="161"/>
      <c r="BX931" s="161"/>
    </row>
    <row r="932">
      <c r="A932" s="161"/>
      <c r="B932" s="161"/>
      <c r="C932" s="161"/>
      <c r="D932" s="161"/>
      <c r="E932" s="161"/>
      <c r="F932" s="161"/>
      <c r="G932" s="161"/>
      <c r="H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F932" s="161"/>
      <c r="BG932" s="161"/>
      <c r="BH932" s="161"/>
      <c r="BI932" s="161"/>
      <c r="BJ932" s="161"/>
      <c r="BK932" s="161"/>
      <c r="BL932" s="161"/>
      <c r="BM932" s="161"/>
      <c r="BN932" s="161"/>
      <c r="BO932" s="161"/>
      <c r="BP932" s="161"/>
      <c r="BQ932" s="161"/>
      <c r="BR932" s="161"/>
      <c r="BS932" s="161"/>
      <c r="BT932" s="161"/>
      <c r="BU932" s="161"/>
      <c r="BV932" s="161"/>
      <c r="BW932" s="161"/>
      <c r="BX932" s="161"/>
    </row>
    <row r="933">
      <c r="A933" s="161"/>
      <c r="B933" s="161"/>
      <c r="C933" s="161"/>
      <c r="D933" s="161"/>
      <c r="E933" s="161"/>
      <c r="F933" s="161"/>
      <c r="G933" s="161"/>
      <c r="H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161"/>
      <c r="BH933" s="161"/>
      <c r="BI933" s="161"/>
      <c r="BJ933" s="161"/>
      <c r="BK933" s="161"/>
      <c r="BL933" s="161"/>
      <c r="BM933" s="161"/>
      <c r="BN933" s="161"/>
      <c r="BO933" s="161"/>
      <c r="BP933" s="161"/>
      <c r="BQ933" s="161"/>
      <c r="BR933" s="161"/>
      <c r="BS933" s="161"/>
      <c r="BT933" s="161"/>
      <c r="BU933" s="161"/>
      <c r="BV933" s="161"/>
      <c r="BW933" s="161"/>
      <c r="BX933" s="161"/>
    </row>
    <row r="934">
      <c r="A934" s="161"/>
      <c r="B934" s="161"/>
      <c r="C934" s="161"/>
      <c r="D934" s="161"/>
      <c r="E934" s="161"/>
      <c r="F934" s="161"/>
      <c r="G934" s="161"/>
      <c r="H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F934" s="161"/>
      <c r="BG934" s="161"/>
      <c r="BH934" s="161"/>
      <c r="BI934" s="161"/>
      <c r="BJ934" s="161"/>
      <c r="BK934" s="161"/>
      <c r="BL934" s="161"/>
      <c r="BM934" s="161"/>
      <c r="BN934" s="161"/>
      <c r="BO934" s="161"/>
      <c r="BP934" s="161"/>
      <c r="BQ934" s="161"/>
      <c r="BR934" s="161"/>
      <c r="BS934" s="161"/>
      <c r="BT934" s="161"/>
      <c r="BU934" s="161"/>
      <c r="BV934" s="161"/>
      <c r="BW934" s="161"/>
      <c r="BX934" s="161"/>
    </row>
    <row r="935">
      <c r="A935" s="161"/>
      <c r="B935" s="161"/>
      <c r="C935" s="161"/>
      <c r="D935" s="161"/>
      <c r="E935" s="161"/>
      <c r="F935" s="161"/>
      <c r="G935" s="161"/>
      <c r="H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F935" s="161"/>
      <c r="BG935" s="161"/>
      <c r="BH935" s="161"/>
      <c r="BI935" s="161"/>
      <c r="BJ935" s="161"/>
      <c r="BK935" s="161"/>
      <c r="BL935" s="161"/>
      <c r="BM935" s="161"/>
      <c r="BN935" s="161"/>
      <c r="BO935" s="161"/>
      <c r="BP935" s="161"/>
      <c r="BQ935" s="161"/>
      <c r="BR935" s="161"/>
      <c r="BS935" s="161"/>
      <c r="BT935" s="161"/>
      <c r="BU935" s="161"/>
      <c r="BV935" s="161"/>
      <c r="BW935" s="161"/>
      <c r="BX935" s="161"/>
    </row>
    <row r="936">
      <c r="A936" s="161"/>
      <c r="B936" s="161"/>
      <c r="C936" s="161"/>
      <c r="D936" s="161"/>
      <c r="E936" s="161"/>
      <c r="F936" s="161"/>
      <c r="G936" s="161"/>
      <c r="H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F936" s="161"/>
      <c r="BG936" s="161"/>
      <c r="BH936" s="161"/>
      <c r="BI936" s="161"/>
      <c r="BJ936" s="161"/>
      <c r="BK936" s="161"/>
      <c r="BL936" s="161"/>
      <c r="BM936" s="161"/>
      <c r="BN936" s="161"/>
      <c r="BO936" s="161"/>
      <c r="BP936" s="161"/>
      <c r="BQ936" s="161"/>
      <c r="BR936" s="161"/>
      <c r="BS936" s="161"/>
      <c r="BT936" s="161"/>
      <c r="BU936" s="161"/>
      <c r="BV936" s="161"/>
      <c r="BW936" s="161"/>
      <c r="BX936" s="161"/>
    </row>
    <row r="937">
      <c r="A937" s="161"/>
      <c r="B937" s="161"/>
      <c r="C937" s="161"/>
      <c r="D937" s="161"/>
      <c r="E937" s="161"/>
      <c r="F937" s="161"/>
      <c r="G937" s="161"/>
      <c r="H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F937" s="161"/>
      <c r="BG937" s="161"/>
      <c r="BH937" s="161"/>
      <c r="BI937" s="161"/>
      <c r="BJ937" s="161"/>
      <c r="BK937" s="161"/>
      <c r="BL937" s="161"/>
      <c r="BM937" s="161"/>
      <c r="BN937" s="161"/>
      <c r="BO937" s="161"/>
      <c r="BP937" s="161"/>
      <c r="BQ937" s="161"/>
      <c r="BR937" s="161"/>
      <c r="BS937" s="161"/>
      <c r="BT937" s="161"/>
      <c r="BU937" s="161"/>
      <c r="BV937" s="161"/>
      <c r="BW937" s="161"/>
      <c r="BX937" s="161"/>
    </row>
    <row r="938">
      <c r="A938" s="161"/>
      <c r="B938" s="161"/>
      <c r="C938" s="161"/>
      <c r="D938" s="161"/>
      <c r="E938" s="161"/>
      <c r="F938" s="161"/>
      <c r="G938" s="161"/>
      <c r="H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F938" s="161"/>
      <c r="BG938" s="161"/>
      <c r="BH938" s="161"/>
      <c r="BI938" s="161"/>
      <c r="BJ938" s="161"/>
      <c r="BK938" s="161"/>
      <c r="BL938" s="161"/>
      <c r="BM938" s="161"/>
      <c r="BN938" s="161"/>
      <c r="BO938" s="161"/>
      <c r="BP938" s="161"/>
      <c r="BQ938" s="161"/>
      <c r="BR938" s="161"/>
      <c r="BS938" s="161"/>
      <c r="BT938" s="161"/>
      <c r="BU938" s="161"/>
      <c r="BV938" s="161"/>
      <c r="BW938" s="161"/>
      <c r="BX938" s="161"/>
    </row>
    <row r="939">
      <c r="A939" s="161"/>
      <c r="B939" s="161"/>
      <c r="C939" s="161"/>
      <c r="D939" s="161"/>
      <c r="E939" s="161"/>
      <c r="F939" s="161"/>
      <c r="G939" s="161"/>
      <c r="H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F939" s="161"/>
      <c r="BG939" s="161"/>
      <c r="BH939" s="161"/>
      <c r="BI939" s="161"/>
      <c r="BJ939" s="161"/>
      <c r="BK939" s="161"/>
      <c r="BL939" s="161"/>
      <c r="BM939" s="161"/>
      <c r="BN939" s="161"/>
      <c r="BO939" s="161"/>
      <c r="BP939" s="161"/>
      <c r="BQ939" s="161"/>
      <c r="BR939" s="161"/>
      <c r="BS939" s="161"/>
      <c r="BT939" s="161"/>
      <c r="BU939" s="161"/>
      <c r="BV939" s="161"/>
      <c r="BW939" s="161"/>
      <c r="BX939" s="161"/>
    </row>
    <row r="940">
      <c r="A940" s="161"/>
      <c r="B940" s="161"/>
      <c r="C940" s="161"/>
      <c r="D940" s="161"/>
      <c r="E940" s="161"/>
      <c r="F940" s="161"/>
      <c r="G940" s="161"/>
      <c r="H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F940" s="161"/>
      <c r="BG940" s="161"/>
      <c r="BH940" s="161"/>
      <c r="BI940" s="161"/>
      <c r="BJ940" s="161"/>
      <c r="BK940" s="161"/>
      <c r="BL940" s="161"/>
      <c r="BM940" s="161"/>
      <c r="BN940" s="161"/>
      <c r="BO940" s="161"/>
      <c r="BP940" s="161"/>
      <c r="BQ940" s="161"/>
      <c r="BR940" s="161"/>
      <c r="BS940" s="161"/>
      <c r="BT940" s="161"/>
      <c r="BU940" s="161"/>
      <c r="BV940" s="161"/>
      <c r="BW940" s="161"/>
      <c r="BX940" s="161"/>
    </row>
    <row r="941">
      <c r="A941" s="161"/>
      <c r="B941" s="161"/>
      <c r="C941" s="161"/>
      <c r="D941" s="161"/>
      <c r="E941" s="161"/>
      <c r="F941" s="161"/>
      <c r="G941" s="161"/>
      <c r="H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161"/>
      <c r="BH941" s="161"/>
      <c r="BI941" s="161"/>
      <c r="BJ941" s="161"/>
      <c r="BK941" s="161"/>
      <c r="BL941" s="161"/>
      <c r="BM941" s="161"/>
      <c r="BN941" s="161"/>
      <c r="BO941" s="161"/>
      <c r="BP941" s="161"/>
      <c r="BQ941" s="161"/>
      <c r="BR941" s="161"/>
      <c r="BS941" s="161"/>
      <c r="BT941" s="161"/>
      <c r="BU941" s="161"/>
      <c r="BV941" s="161"/>
      <c r="BW941" s="161"/>
      <c r="BX941" s="161"/>
    </row>
    <row r="942">
      <c r="A942" s="161"/>
      <c r="B942" s="161"/>
      <c r="C942" s="161"/>
      <c r="D942" s="161"/>
      <c r="E942" s="161"/>
      <c r="F942" s="161"/>
      <c r="G942" s="161"/>
      <c r="H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F942" s="161"/>
      <c r="BG942" s="161"/>
      <c r="BH942" s="161"/>
      <c r="BI942" s="161"/>
      <c r="BJ942" s="161"/>
      <c r="BK942" s="161"/>
      <c r="BL942" s="161"/>
      <c r="BM942" s="161"/>
      <c r="BN942" s="161"/>
      <c r="BO942" s="161"/>
      <c r="BP942" s="161"/>
      <c r="BQ942" s="161"/>
      <c r="BR942" s="161"/>
      <c r="BS942" s="161"/>
      <c r="BT942" s="161"/>
      <c r="BU942" s="161"/>
      <c r="BV942" s="161"/>
      <c r="BW942" s="161"/>
      <c r="BX942" s="161"/>
    </row>
    <row r="943">
      <c r="A943" s="161"/>
      <c r="B943" s="161"/>
      <c r="C943" s="161"/>
      <c r="D943" s="161"/>
      <c r="E943" s="161"/>
      <c r="F943" s="161"/>
      <c r="G943" s="161"/>
      <c r="H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F943" s="161"/>
      <c r="BG943" s="161"/>
      <c r="BH943" s="161"/>
      <c r="BI943" s="161"/>
      <c r="BJ943" s="161"/>
      <c r="BK943" s="161"/>
      <c r="BL943" s="161"/>
      <c r="BM943" s="161"/>
      <c r="BN943" s="161"/>
      <c r="BO943" s="161"/>
      <c r="BP943" s="161"/>
      <c r="BQ943" s="161"/>
      <c r="BR943" s="161"/>
      <c r="BS943" s="161"/>
      <c r="BT943" s="161"/>
      <c r="BU943" s="161"/>
      <c r="BV943" s="161"/>
      <c r="BW943" s="161"/>
      <c r="BX943" s="161"/>
    </row>
    <row r="944">
      <c r="A944" s="161"/>
      <c r="B944" s="161"/>
      <c r="C944" s="161"/>
      <c r="D944" s="161"/>
      <c r="E944" s="161"/>
      <c r="F944" s="161"/>
      <c r="G944" s="161"/>
      <c r="H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161"/>
      <c r="BH944" s="161"/>
      <c r="BI944" s="161"/>
      <c r="BJ944" s="161"/>
      <c r="BK944" s="161"/>
      <c r="BL944" s="161"/>
      <c r="BM944" s="161"/>
      <c r="BN944" s="161"/>
      <c r="BO944" s="161"/>
      <c r="BP944" s="161"/>
      <c r="BQ944" s="161"/>
      <c r="BR944" s="161"/>
      <c r="BS944" s="161"/>
      <c r="BT944" s="161"/>
      <c r="BU944" s="161"/>
      <c r="BV944" s="161"/>
      <c r="BW944" s="161"/>
      <c r="BX944" s="161"/>
    </row>
    <row r="945">
      <c r="A945" s="161"/>
      <c r="B945" s="161"/>
      <c r="C945" s="161"/>
      <c r="D945" s="161"/>
      <c r="E945" s="161"/>
      <c r="F945" s="161"/>
      <c r="G945" s="161"/>
      <c r="H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/>
      <c r="BG945" s="161"/>
      <c r="BH945" s="161"/>
      <c r="BI945" s="161"/>
      <c r="BJ945" s="161"/>
      <c r="BK945" s="161"/>
      <c r="BL945" s="161"/>
      <c r="BM945" s="161"/>
      <c r="BN945" s="161"/>
      <c r="BO945" s="161"/>
      <c r="BP945" s="161"/>
      <c r="BQ945" s="161"/>
      <c r="BR945" s="161"/>
      <c r="BS945" s="161"/>
      <c r="BT945" s="161"/>
      <c r="BU945" s="161"/>
      <c r="BV945" s="161"/>
      <c r="BW945" s="161"/>
      <c r="BX945" s="161"/>
    </row>
    <row r="946">
      <c r="A946" s="161"/>
      <c r="B946" s="161"/>
      <c r="C946" s="161"/>
      <c r="D946" s="161"/>
      <c r="E946" s="161"/>
      <c r="F946" s="161"/>
      <c r="G946" s="161"/>
      <c r="H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/>
      <c r="BG946" s="161"/>
      <c r="BH946" s="161"/>
      <c r="BI946" s="161"/>
      <c r="BJ946" s="161"/>
      <c r="BK946" s="161"/>
      <c r="BL946" s="161"/>
      <c r="BM946" s="161"/>
      <c r="BN946" s="161"/>
      <c r="BO946" s="161"/>
      <c r="BP946" s="161"/>
      <c r="BQ946" s="161"/>
      <c r="BR946" s="161"/>
      <c r="BS946" s="161"/>
      <c r="BT946" s="161"/>
      <c r="BU946" s="161"/>
      <c r="BV946" s="161"/>
      <c r="BW946" s="161"/>
      <c r="BX946" s="161"/>
    </row>
    <row r="947">
      <c r="A947" s="161"/>
      <c r="B947" s="161"/>
      <c r="C947" s="161"/>
      <c r="D947" s="161"/>
      <c r="E947" s="161"/>
      <c r="F947" s="161"/>
      <c r="G947" s="161"/>
      <c r="H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/>
      <c r="BG947" s="161"/>
      <c r="BH947" s="161"/>
      <c r="BI947" s="161"/>
      <c r="BJ947" s="161"/>
      <c r="BK947" s="161"/>
      <c r="BL947" s="161"/>
      <c r="BM947" s="161"/>
      <c r="BN947" s="161"/>
      <c r="BO947" s="161"/>
      <c r="BP947" s="161"/>
      <c r="BQ947" s="161"/>
      <c r="BR947" s="161"/>
      <c r="BS947" s="161"/>
      <c r="BT947" s="161"/>
      <c r="BU947" s="161"/>
      <c r="BV947" s="161"/>
      <c r="BW947" s="161"/>
      <c r="BX947" s="161"/>
    </row>
    <row r="948">
      <c r="A948" s="161"/>
      <c r="B948" s="161"/>
      <c r="C948" s="161"/>
      <c r="D948" s="161"/>
      <c r="E948" s="161"/>
      <c r="F948" s="161"/>
      <c r="G948" s="161"/>
      <c r="H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161"/>
      <c r="BH948" s="161"/>
      <c r="BI948" s="161"/>
      <c r="BJ948" s="161"/>
      <c r="BK948" s="161"/>
      <c r="BL948" s="161"/>
      <c r="BM948" s="161"/>
      <c r="BN948" s="161"/>
      <c r="BO948" s="161"/>
      <c r="BP948" s="161"/>
      <c r="BQ948" s="161"/>
      <c r="BR948" s="161"/>
      <c r="BS948" s="161"/>
      <c r="BT948" s="161"/>
      <c r="BU948" s="161"/>
      <c r="BV948" s="161"/>
      <c r="BW948" s="161"/>
      <c r="BX948" s="161"/>
    </row>
    <row r="949">
      <c r="A949" s="161"/>
      <c r="B949" s="161"/>
      <c r="C949" s="161"/>
      <c r="D949" s="161"/>
      <c r="E949" s="161"/>
      <c r="F949" s="161"/>
      <c r="G949" s="161"/>
      <c r="H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F949" s="161"/>
      <c r="BG949" s="161"/>
      <c r="BH949" s="161"/>
      <c r="BI949" s="161"/>
      <c r="BJ949" s="161"/>
      <c r="BK949" s="161"/>
      <c r="BL949" s="161"/>
      <c r="BM949" s="161"/>
      <c r="BN949" s="161"/>
      <c r="BO949" s="161"/>
      <c r="BP949" s="161"/>
      <c r="BQ949" s="161"/>
      <c r="BR949" s="161"/>
      <c r="BS949" s="161"/>
      <c r="BT949" s="161"/>
      <c r="BU949" s="161"/>
      <c r="BV949" s="161"/>
      <c r="BW949" s="161"/>
      <c r="BX949" s="161"/>
    </row>
    <row r="950">
      <c r="A950" s="161"/>
      <c r="B950" s="161"/>
      <c r="C950" s="161"/>
      <c r="D950" s="161"/>
      <c r="E950" s="161"/>
      <c r="F950" s="161"/>
      <c r="G950" s="161"/>
      <c r="H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161"/>
      <c r="BH950" s="161"/>
      <c r="BI950" s="161"/>
      <c r="BJ950" s="161"/>
      <c r="BK950" s="161"/>
      <c r="BL950" s="161"/>
      <c r="BM950" s="161"/>
      <c r="BN950" s="161"/>
      <c r="BO950" s="161"/>
      <c r="BP950" s="161"/>
      <c r="BQ950" s="161"/>
      <c r="BR950" s="161"/>
      <c r="BS950" s="161"/>
      <c r="BT950" s="161"/>
      <c r="BU950" s="161"/>
      <c r="BV950" s="161"/>
      <c r="BW950" s="161"/>
      <c r="BX950" s="161"/>
    </row>
    <row r="951">
      <c r="A951" s="161"/>
      <c r="B951" s="161"/>
      <c r="C951" s="161"/>
      <c r="D951" s="161"/>
      <c r="E951" s="161"/>
      <c r="F951" s="161"/>
      <c r="G951" s="161"/>
      <c r="H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/>
      <c r="BG951" s="161"/>
      <c r="BH951" s="161"/>
      <c r="BI951" s="161"/>
      <c r="BJ951" s="161"/>
      <c r="BK951" s="161"/>
      <c r="BL951" s="161"/>
      <c r="BM951" s="161"/>
      <c r="BN951" s="161"/>
      <c r="BO951" s="161"/>
      <c r="BP951" s="161"/>
      <c r="BQ951" s="161"/>
      <c r="BR951" s="161"/>
      <c r="BS951" s="161"/>
      <c r="BT951" s="161"/>
      <c r="BU951" s="161"/>
      <c r="BV951" s="161"/>
      <c r="BW951" s="161"/>
      <c r="BX951" s="161"/>
    </row>
    <row r="952">
      <c r="A952" s="161"/>
      <c r="B952" s="161"/>
      <c r="C952" s="161"/>
      <c r="D952" s="161"/>
      <c r="E952" s="161"/>
      <c r="F952" s="161"/>
      <c r="G952" s="161"/>
      <c r="H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F952" s="161"/>
      <c r="BG952" s="161"/>
      <c r="BH952" s="161"/>
      <c r="BI952" s="161"/>
      <c r="BJ952" s="161"/>
      <c r="BK952" s="161"/>
      <c r="BL952" s="161"/>
      <c r="BM952" s="161"/>
      <c r="BN952" s="161"/>
      <c r="BO952" s="161"/>
      <c r="BP952" s="161"/>
      <c r="BQ952" s="161"/>
      <c r="BR952" s="161"/>
      <c r="BS952" s="161"/>
      <c r="BT952" s="161"/>
      <c r="BU952" s="161"/>
      <c r="BV952" s="161"/>
      <c r="BW952" s="161"/>
      <c r="BX952" s="161"/>
    </row>
    <row r="953">
      <c r="A953" s="161"/>
      <c r="B953" s="161"/>
      <c r="C953" s="161"/>
      <c r="D953" s="161"/>
      <c r="E953" s="161"/>
      <c r="F953" s="161"/>
      <c r="G953" s="161"/>
      <c r="H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F953" s="161"/>
      <c r="BG953" s="161"/>
      <c r="BH953" s="161"/>
      <c r="BI953" s="161"/>
      <c r="BJ953" s="161"/>
      <c r="BK953" s="161"/>
      <c r="BL953" s="161"/>
      <c r="BM953" s="161"/>
      <c r="BN953" s="161"/>
      <c r="BO953" s="161"/>
      <c r="BP953" s="161"/>
      <c r="BQ953" s="161"/>
      <c r="BR953" s="161"/>
      <c r="BS953" s="161"/>
      <c r="BT953" s="161"/>
      <c r="BU953" s="161"/>
      <c r="BV953" s="161"/>
      <c r="BW953" s="161"/>
      <c r="BX953" s="161"/>
    </row>
    <row r="954">
      <c r="A954" s="161"/>
      <c r="B954" s="161"/>
      <c r="C954" s="161"/>
      <c r="D954" s="161"/>
      <c r="E954" s="161"/>
      <c r="F954" s="161"/>
      <c r="G954" s="161"/>
      <c r="H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F954" s="161"/>
      <c r="BG954" s="161"/>
      <c r="BH954" s="161"/>
      <c r="BI954" s="161"/>
      <c r="BJ954" s="161"/>
      <c r="BK954" s="161"/>
      <c r="BL954" s="161"/>
      <c r="BM954" s="161"/>
      <c r="BN954" s="161"/>
      <c r="BO954" s="161"/>
      <c r="BP954" s="161"/>
      <c r="BQ954" s="161"/>
      <c r="BR954" s="161"/>
      <c r="BS954" s="161"/>
      <c r="BT954" s="161"/>
      <c r="BU954" s="161"/>
      <c r="BV954" s="161"/>
      <c r="BW954" s="161"/>
      <c r="BX954" s="161"/>
    </row>
    <row r="955">
      <c r="A955" s="161"/>
      <c r="B955" s="161"/>
      <c r="C955" s="161"/>
      <c r="D955" s="161"/>
      <c r="E955" s="161"/>
      <c r="F955" s="161"/>
      <c r="G955" s="161"/>
      <c r="H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161"/>
      <c r="BH955" s="161"/>
      <c r="BI955" s="161"/>
      <c r="BJ955" s="161"/>
      <c r="BK955" s="161"/>
      <c r="BL955" s="161"/>
      <c r="BM955" s="161"/>
      <c r="BN955" s="161"/>
      <c r="BO955" s="161"/>
      <c r="BP955" s="161"/>
      <c r="BQ955" s="161"/>
      <c r="BR955" s="161"/>
      <c r="BS955" s="161"/>
      <c r="BT955" s="161"/>
      <c r="BU955" s="161"/>
      <c r="BV955" s="161"/>
      <c r="BW955" s="161"/>
      <c r="BX955" s="161"/>
    </row>
    <row r="956">
      <c r="A956" s="161"/>
      <c r="B956" s="161"/>
      <c r="C956" s="161"/>
      <c r="D956" s="161"/>
      <c r="E956" s="161"/>
      <c r="F956" s="161"/>
      <c r="G956" s="161"/>
      <c r="H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F956" s="161"/>
      <c r="BG956" s="161"/>
      <c r="BH956" s="161"/>
      <c r="BI956" s="161"/>
      <c r="BJ956" s="161"/>
      <c r="BK956" s="161"/>
      <c r="BL956" s="161"/>
      <c r="BM956" s="161"/>
      <c r="BN956" s="161"/>
      <c r="BO956" s="161"/>
      <c r="BP956" s="161"/>
      <c r="BQ956" s="161"/>
      <c r="BR956" s="161"/>
      <c r="BS956" s="161"/>
      <c r="BT956" s="161"/>
      <c r="BU956" s="161"/>
      <c r="BV956" s="161"/>
      <c r="BW956" s="161"/>
      <c r="BX956" s="161"/>
    </row>
    <row r="957">
      <c r="A957" s="161"/>
      <c r="B957" s="161"/>
      <c r="C957" s="161"/>
      <c r="D957" s="161"/>
      <c r="E957" s="161"/>
      <c r="F957" s="161"/>
      <c r="G957" s="161"/>
      <c r="H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F957" s="161"/>
      <c r="BG957" s="161"/>
      <c r="BH957" s="161"/>
      <c r="BI957" s="161"/>
      <c r="BJ957" s="161"/>
      <c r="BK957" s="161"/>
      <c r="BL957" s="161"/>
      <c r="BM957" s="161"/>
      <c r="BN957" s="161"/>
      <c r="BO957" s="161"/>
      <c r="BP957" s="161"/>
      <c r="BQ957" s="161"/>
      <c r="BR957" s="161"/>
      <c r="BS957" s="161"/>
      <c r="BT957" s="161"/>
      <c r="BU957" s="161"/>
      <c r="BV957" s="161"/>
      <c r="BW957" s="161"/>
      <c r="BX957" s="161"/>
    </row>
    <row r="958">
      <c r="A958" s="161"/>
      <c r="B958" s="161"/>
      <c r="C958" s="161"/>
      <c r="D958" s="161"/>
      <c r="E958" s="161"/>
      <c r="F958" s="161"/>
      <c r="G958" s="161"/>
      <c r="H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/>
      <c r="BG958" s="161"/>
      <c r="BH958" s="161"/>
      <c r="BI958" s="161"/>
      <c r="BJ958" s="161"/>
      <c r="BK958" s="161"/>
      <c r="BL958" s="161"/>
      <c r="BM958" s="161"/>
      <c r="BN958" s="161"/>
      <c r="BO958" s="161"/>
      <c r="BP958" s="161"/>
      <c r="BQ958" s="161"/>
      <c r="BR958" s="161"/>
      <c r="BS958" s="161"/>
      <c r="BT958" s="161"/>
      <c r="BU958" s="161"/>
      <c r="BV958" s="161"/>
      <c r="BW958" s="161"/>
      <c r="BX958" s="161"/>
    </row>
    <row r="959">
      <c r="A959" s="161"/>
      <c r="B959" s="161"/>
      <c r="C959" s="161"/>
      <c r="D959" s="161"/>
      <c r="E959" s="161"/>
      <c r="F959" s="161"/>
      <c r="G959" s="161"/>
      <c r="H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/>
      <c r="BG959" s="161"/>
      <c r="BH959" s="161"/>
      <c r="BI959" s="161"/>
      <c r="BJ959" s="161"/>
      <c r="BK959" s="161"/>
      <c r="BL959" s="161"/>
      <c r="BM959" s="161"/>
      <c r="BN959" s="161"/>
      <c r="BO959" s="161"/>
      <c r="BP959" s="161"/>
      <c r="BQ959" s="161"/>
      <c r="BR959" s="161"/>
      <c r="BS959" s="161"/>
      <c r="BT959" s="161"/>
      <c r="BU959" s="161"/>
      <c r="BV959" s="161"/>
      <c r="BW959" s="161"/>
      <c r="BX959" s="161"/>
    </row>
    <row r="960">
      <c r="A960" s="161"/>
      <c r="B960" s="161"/>
      <c r="C960" s="161"/>
      <c r="D960" s="161"/>
      <c r="E960" s="161"/>
      <c r="F960" s="161"/>
      <c r="G960" s="161"/>
      <c r="H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161"/>
      <c r="BH960" s="161"/>
      <c r="BI960" s="161"/>
      <c r="BJ960" s="161"/>
      <c r="BK960" s="161"/>
      <c r="BL960" s="161"/>
      <c r="BM960" s="161"/>
      <c r="BN960" s="161"/>
      <c r="BO960" s="161"/>
      <c r="BP960" s="161"/>
      <c r="BQ960" s="161"/>
      <c r="BR960" s="161"/>
      <c r="BS960" s="161"/>
      <c r="BT960" s="161"/>
      <c r="BU960" s="161"/>
      <c r="BV960" s="161"/>
      <c r="BW960" s="161"/>
      <c r="BX960" s="161"/>
    </row>
    <row r="961">
      <c r="A961" s="161"/>
      <c r="B961" s="161"/>
      <c r="C961" s="161"/>
      <c r="D961" s="161"/>
      <c r="E961" s="161"/>
      <c r="F961" s="161"/>
      <c r="G961" s="161"/>
      <c r="H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F961" s="161"/>
      <c r="BG961" s="161"/>
      <c r="BH961" s="161"/>
      <c r="BI961" s="161"/>
      <c r="BJ961" s="161"/>
      <c r="BK961" s="161"/>
      <c r="BL961" s="161"/>
      <c r="BM961" s="161"/>
      <c r="BN961" s="161"/>
      <c r="BO961" s="161"/>
      <c r="BP961" s="161"/>
      <c r="BQ961" s="161"/>
      <c r="BR961" s="161"/>
      <c r="BS961" s="161"/>
      <c r="BT961" s="161"/>
      <c r="BU961" s="161"/>
      <c r="BV961" s="161"/>
      <c r="BW961" s="161"/>
      <c r="BX961" s="161"/>
    </row>
    <row r="962">
      <c r="A962" s="161"/>
      <c r="B962" s="161"/>
      <c r="C962" s="161"/>
      <c r="D962" s="161"/>
      <c r="E962" s="161"/>
      <c r="F962" s="161"/>
      <c r="G962" s="161"/>
      <c r="H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161"/>
      <c r="BH962" s="161"/>
      <c r="BI962" s="161"/>
      <c r="BJ962" s="161"/>
      <c r="BK962" s="161"/>
      <c r="BL962" s="161"/>
      <c r="BM962" s="161"/>
      <c r="BN962" s="161"/>
      <c r="BO962" s="161"/>
      <c r="BP962" s="161"/>
      <c r="BQ962" s="161"/>
      <c r="BR962" s="161"/>
      <c r="BS962" s="161"/>
      <c r="BT962" s="161"/>
      <c r="BU962" s="161"/>
      <c r="BV962" s="161"/>
      <c r="BW962" s="161"/>
      <c r="BX962" s="161"/>
    </row>
    <row r="963">
      <c r="A963" s="161"/>
      <c r="B963" s="161"/>
      <c r="C963" s="161"/>
      <c r="D963" s="161"/>
      <c r="E963" s="161"/>
      <c r="F963" s="161"/>
      <c r="G963" s="161"/>
      <c r="H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F963" s="161"/>
      <c r="BG963" s="161"/>
      <c r="BH963" s="161"/>
      <c r="BI963" s="161"/>
      <c r="BJ963" s="161"/>
      <c r="BK963" s="161"/>
      <c r="BL963" s="161"/>
      <c r="BM963" s="161"/>
      <c r="BN963" s="161"/>
      <c r="BO963" s="161"/>
      <c r="BP963" s="161"/>
      <c r="BQ963" s="161"/>
      <c r="BR963" s="161"/>
      <c r="BS963" s="161"/>
      <c r="BT963" s="161"/>
      <c r="BU963" s="161"/>
      <c r="BV963" s="161"/>
      <c r="BW963" s="161"/>
      <c r="BX963" s="161"/>
    </row>
    <row r="964">
      <c r="A964" s="161"/>
      <c r="B964" s="161"/>
      <c r="C964" s="161"/>
      <c r="D964" s="161"/>
      <c r="E964" s="161"/>
      <c r="F964" s="161"/>
      <c r="G964" s="161"/>
      <c r="H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F964" s="161"/>
      <c r="BG964" s="161"/>
      <c r="BH964" s="161"/>
      <c r="BI964" s="161"/>
      <c r="BJ964" s="161"/>
      <c r="BK964" s="161"/>
      <c r="BL964" s="161"/>
      <c r="BM964" s="161"/>
      <c r="BN964" s="161"/>
      <c r="BO964" s="161"/>
      <c r="BP964" s="161"/>
      <c r="BQ964" s="161"/>
      <c r="BR964" s="161"/>
      <c r="BS964" s="161"/>
      <c r="BT964" s="161"/>
      <c r="BU964" s="161"/>
      <c r="BV964" s="161"/>
      <c r="BW964" s="161"/>
      <c r="BX964" s="161"/>
    </row>
    <row r="965">
      <c r="A965" s="161"/>
      <c r="B965" s="161"/>
      <c r="C965" s="161"/>
      <c r="D965" s="161"/>
      <c r="E965" s="161"/>
      <c r="F965" s="161"/>
      <c r="G965" s="161"/>
      <c r="H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F965" s="161"/>
      <c r="BG965" s="161"/>
      <c r="BH965" s="161"/>
      <c r="BI965" s="161"/>
      <c r="BJ965" s="161"/>
      <c r="BK965" s="161"/>
      <c r="BL965" s="161"/>
      <c r="BM965" s="161"/>
      <c r="BN965" s="161"/>
      <c r="BO965" s="161"/>
      <c r="BP965" s="161"/>
      <c r="BQ965" s="161"/>
      <c r="BR965" s="161"/>
      <c r="BS965" s="161"/>
      <c r="BT965" s="161"/>
      <c r="BU965" s="161"/>
      <c r="BV965" s="161"/>
      <c r="BW965" s="161"/>
      <c r="BX965" s="161"/>
    </row>
    <row r="966">
      <c r="A966" s="161"/>
      <c r="B966" s="161"/>
      <c r="C966" s="161"/>
      <c r="D966" s="161"/>
      <c r="E966" s="161"/>
      <c r="F966" s="161"/>
      <c r="G966" s="161"/>
      <c r="H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F966" s="161"/>
      <c r="BG966" s="161"/>
      <c r="BH966" s="161"/>
      <c r="BI966" s="161"/>
      <c r="BJ966" s="161"/>
      <c r="BK966" s="161"/>
      <c r="BL966" s="161"/>
      <c r="BM966" s="161"/>
      <c r="BN966" s="161"/>
      <c r="BO966" s="161"/>
      <c r="BP966" s="161"/>
      <c r="BQ966" s="161"/>
      <c r="BR966" s="161"/>
      <c r="BS966" s="161"/>
      <c r="BT966" s="161"/>
      <c r="BU966" s="161"/>
      <c r="BV966" s="161"/>
      <c r="BW966" s="161"/>
      <c r="BX966" s="161"/>
    </row>
    <row r="967">
      <c r="A967" s="161"/>
      <c r="B967" s="161"/>
      <c r="C967" s="161"/>
      <c r="D967" s="161"/>
      <c r="E967" s="161"/>
      <c r="F967" s="161"/>
      <c r="G967" s="161"/>
      <c r="H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F967" s="161"/>
      <c r="BG967" s="161"/>
      <c r="BH967" s="161"/>
      <c r="BI967" s="161"/>
      <c r="BJ967" s="161"/>
      <c r="BK967" s="161"/>
      <c r="BL967" s="161"/>
      <c r="BM967" s="161"/>
      <c r="BN967" s="161"/>
      <c r="BO967" s="161"/>
      <c r="BP967" s="161"/>
      <c r="BQ967" s="161"/>
      <c r="BR967" s="161"/>
      <c r="BS967" s="161"/>
      <c r="BT967" s="161"/>
      <c r="BU967" s="161"/>
      <c r="BV967" s="161"/>
      <c r="BW967" s="161"/>
      <c r="BX967" s="161"/>
    </row>
    <row r="968">
      <c r="A968" s="161"/>
      <c r="B968" s="161"/>
      <c r="C968" s="161"/>
      <c r="D968" s="161"/>
      <c r="E968" s="161"/>
      <c r="F968" s="161"/>
      <c r="G968" s="161"/>
      <c r="H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161"/>
      <c r="BH968" s="161"/>
      <c r="BI968" s="161"/>
      <c r="BJ968" s="161"/>
      <c r="BK968" s="161"/>
      <c r="BL968" s="161"/>
      <c r="BM968" s="161"/>
      <c r="BN968" s="161"/>
      <c r="BO968" s="161"/>
      <c r="BP968" s="161"/>
      <c r="BQ968" s="161"/>
      <c r="BR968" s="161"/>
      <c r="BS968" s="161"/>
      <c r="BT968" s="161"/>
      <c r="BU968" s="161"/>
      <c r="BV968" s="161"/>
      <c r="BW968" s="161"/>
      <c r="BX968" s="161"/>
    </row>
    <row r="969">
      <c r="A969" s="161"/>
      <c r="B969" s="161"/>
      <c r="C969" s="161"/>
      <c r="D969" s="161"/>
      <c r="E969" s="161"/>
      <c r="F969" s="161"/>
      <c r="G969" s="161"/>
      <c r="H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1"/>
      <c r="BI969" s="161"/>
      <c r="BJ969" s="161"/>
      <c r="BK969" s="161"/>
      <c r="BL969" s="161"/>
      <c r="BM969" s="161"/>
      <c r="BN969" s="161"/>
      <c r="BO969" s="161"/>
      <c r="BP969" s="161"/>
      <c r="BQ969" s="161"/>
      <c r="BR969" s="161"/>
      <c r="BS969" s="161"/>
      <c r="BT969" s="161"/>
      <c r="BU969" s="161"/>
      <c r="BV969" s="161"/>
      <c r="BW969" s="161"/>
      <c r="BX969" s="161"/>
    </row>
    <row r="970">
      <c r="A970" s="161"/>
      <c r="B970" s="161"/>
      <c r="C970" s="161"/>
      <c r="D970" s="161"/>
      <c r="E970" s="161"/>
      <c r="F970" s="161"/>
      <c r="G970" s="161"/>
      <c r="H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F970" s="161"/>
      <c r="BG970" s="161"/>
      <c r="BH970" s="161"/>
      <c r="BI970" s="161"/>
      <c r="BJ970" s="161"/>
      <c r="BK970" s="161"/>
      <c r="BL970" s="161"/>
      <c r="BM970" s="161"/>
      <c r="BN970" s="161"/>
      <c r="BO970" s="161"/>
      <c r="BP970" s="161"/>
      <c r="BQ970" s="161"/>
      <c r="BR970" s="161"/>
      <c r="BS970" s="161"/>
      <c r="BT970" s="161"/>
      <c r="BU970" s="161"/>
      <c r="BV970" s="161"/>
      <c r="BW970" s="161"/>
      <c r="BX970" s="161"/>
    </row>
    <row r="971">
      <c r="A971" s="161"/>
      <c r="B971" s="161"/>
      <c r="C971" s="161"/>
      <c r="D971" s="161"/>
      <c r="E971" s="161"/>
      <c r="F971" s="161"/>
      <c r="G971" s="161"/>
      <c r="H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161"/>
      <c r="BH971" s="161"/>
      <c r="BI971" s="161"/>
      <c r="BJ971" s="161"/>
      <c r="BK971" s="161"/>
      <c r="BL971" s="161"/>
      <c r="BM971" s="161"/>
      <c r="BN971" s="161"/>
      <c r="BO971" s="161"/>
      <c r="BP971" s="161"/>
      <c r="BQ971" s="161"/>
      <c r="BR971" s="161"/>
      <c r="BS971" s="161"/>
      <c r="BT971" s="161"/>
      <c r="BU971" s="161"/>
      <c r="BV971" s="161"/>
      <c r="BW971" s="161"/>
      <c r="BX971" s="161"/>
    </row>
    <row r="972">
      <c r="A972" s="161"/>
      <c r="B972" s="161"/>
      <c r="C972" s="161"/>
      <c r="D972" s="161"/>
      <c r="E972" s="161"/>
      <c r="F972" s="161"/>
      <c r="G972" s="161"/>
      <c r="H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161"/>
      <c r="BH972" s="161"/>
      <c r="BI972" s="161"/>
      <c r="BJ972" s="161"/>
      <c r="BK972" s="161"/>
      <c r="BL972" s="161"/>
      <c r="BM972" s="161"/>
      <c r="BN972" s="161"/>
      <c r="BO972" s="161"/>
      <c r="BP972" s="161"/>
      <c r="BQ972" s="161"/>
      <c r="BR972" s="161"/>
      <c r="BS972" s="161"/>
      <c r="BT972" s="161"/>
      <c r="BU972" s="161"/>
      <c r="BV972" s="161"/>
      <c r="BW972" s="161"/>
      <c r="BX972" s="161"/>
    </row>
    <row r="973">
      <c r="A973" s="161"/>
      <c r="B973" s="161"/>
      <c r="C973" s="161"/>
      <c r="D973" s="161"/>
      <c r="E973" s="161"/>
      <c r="F973" s="161"/>
      <c r="G973" s="161"/>
      <c r="H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161"/>
      <c r="BH973" s="161"/>
      <c r="BI973" s="161"/>
      <c r="BJ973" s="161"/>
      <c r="BK973" s="161"/>
      <c r="BL973" s="161"/>
      <c r="BM973" s="161"/>
      <c r="BN973" s="161"/>
      <c r="BO973" s="161"/>
      <c r="BP973" s="161"/>
      <c r="BQ973" s="161"/>
      <c r="BR973" s="161"/>
      <c r="BS973" s="161"/>
      <c r="BT973" s="161"/>
      <c r="BU973" s="161"/>
      <c r="BV973" s="161"/>
      <c r="BW973" s="161"/>
      <c r="BX973" s="161"/>
    </row>
    <row r="974">
      <c r="A974" s="161"/>
      <c r="B974" s="161"/>
      <c r="C974" s="161"/>
      <c r="D974" s="161"/>
      <c r="E974" s="161"/>
      <c r="F974" s="161"/>
      <c r="G974" s="161"/>
      <c r="H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/>
      <c r="BG974" s="161"/>
      <c r="BH974" s="161"/>
      <c r="BI974" s="161"/>
      <c r="BJ974" s="161"/>
      <c r="BK974" s="161"/>
      <c r="BL974" s="161"/>
      <c r="BM974" s="161"/>
      <c r="BN974" s="161"/>
      <c r="BO974" s="161"/>
      <c r="BP974" s="161"/>
      <c r="BQ974" s="161"/>
      <c r="BR974" s="161"/>
      <c r="BS974" s="161"/>
      <c r="BT974" s="161"/>
      <c r="BU974" s="161"/>
      <c r="BV974" s="161"/>
      <c r="BW974" s="161"/>
      <c r="BX974" s="161"/>
    </row>
    <row r="975">
      <c r="A975" s="161"/>
      <c r="B975" s="161"/>
      <c r="C975" s="161"/>
      <c r="D975" s="161"/>
      <c r="E975" s="161"/>
      <c r="F975" s="161"/>
      <c r="G975" s="161"/>
      <c r="H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/>
      <c r="BG975" s="161"/>
      <c r="BH975" s="161"/>
      <c r="BI975" s="161"/>
      <c r="BJ975" s="161"/>
      <c r="BK975" s="161"/>
      <c r="BL975" s="161"/>
      <c r="BM975" s="161"/>
      <c r="BN975" s="161"/>
      <c r="BO975" s="161"/>
      <c r="BP975" s="161"/>
      <c r="BQ975" s="161"/>
      <c r="BR975" s="161"/>
      <c r="BS975" s="161"/>
      <c r="BT975" s="161"/>
      <c r="BU975" s="161"/>
      <c r="BV975" s="161"/>
      <c r="BW975" s="161"/>
      <c r="BX975" s="161"/>
    </row>
    <row r="976">
      <c r="A976" s="161"/>
      <c r="B976" s="161"/>
      <c r="C976" s="161"/>
      <c r="D976" s="161"/>
      <c r="E976" s="161"/>
      <c r="F976" s="161"/>
      <c r="G976" s="161"/>
      <c r="H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F976" s="161"/>
      <c r="BG976" s="161"/>
      <c r="BH976" s="161"/>
      <c r="BI976" s="161"/>
      <c r="BJ976" s="161"/>
      <c r="BK976" s="161"/>
      <c r="BL976" s="161"/>
      <c r="BM976" s="161"/>
      <c r="BN976" s="161"/>
      <c r="BO976" s="161"/>
      <c r="BP976" s="161"/>
      <c r="BQ976" s="161"/>
      <c r="BR976" s="161"/>
      <c r="BS976" s="161"/>
      <c r="BT976" s="161"/>
      <c r="BU976" s="161"/>
      <c r="BV976" s="161"/>
      <c r="BW976" s="161"/>
      <c r="BX976" s="161"/>
    </row>
    <row r="977">
      <c r="A977" s="161"/>
      <c r="B977" s="161"/>
      <c r="C977" s="161"/>
      <c r="D977" s="161"/>
      <c r="E977" s="161"/>
      <c r="F977" s="161"/>
      <c r="G977" s="161"/>
      <c r="H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161"/>
      <c r="BH977" s="161"/>
      <c r="BI977" s="161"/>
      <c r="BJ977" s="161"/>
      <c r="BK977" s="161"/>
      <c r="BL977" s="161"/>
      <c r="BM977" s="161"/>
      <c r="BN977" s="161"/>
      <c r="BO977" s="161"/>
      <c r="BP977" s="161"/>
      <c r="BQ977" s="161"/>
      <c r="BR977" s="161"/>
      <c r="BS977" s="161"/>
      <c r="BT977" s="161"/>
      <c r="BU977" s="161"/>
      <c r="BV977" s="161"/>
      <c r="BW977" s="161"/>
      <c r="BX977" s="161"/>
    </row>
    <row r="978">
      <c r="A978" s="161"/>
      <c r="B978" s="161"/>
      <c r="C978" s="161"/>
      <c r="D978" s="161"/>
      <c r="E978" s="161"/>
      <c r="F978" s="161"/>
      <c r="G978" s="161"/>
      <c r="H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161"/>
      <c r="BH978" s="161"/>
      <c r="BI978" s="161"/>
      <c r="BJ978" s="161"/>
      <c r="BK978" s="161"/>
      <c r="BL978" s="161"/>
      <c r="BM978" s="161"/>
      <c r="BN978" s="161"/>
      <c r="BO978" s="161"/>
      <c r="BP978" s="161"/>
      <c r="BQ978" s="161"/>
      <c r="BR978" s="161"/>
      <c r="BS978" s="161"/>
      <c r="BT978" s="161"/>
      <c r="BU978" s="161"/>
      <c r="BV978" s="161"/>
      <c r="BW978" s="161"/>
      <c r="BX978" s="161"/>
    </row>
    <row r="979">
      <c r="A979" s="161"/>
      <c r="B979" s="161"/>
      <c r="C979" s="161"/>
      <c r="D979" s="161"/>
      <c r="E979" s="161"/>
      <c r="F979" s="161"/>
      <c r="G979" s="161"/>
      <c r="H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161"/>
      <c r="BH979" s="161"/>
      <c r="BI979" s="161"/>
      <c r="BJ979" s="161"/>
      <c r="BK979" s="161"/>
      <c r="BL979" s="161"/>
      <c r="BM979" s="161"/>
      <c r="BN979" s="161"/>
      <c r="BO979" s="161"/>
      <c r="BP979" s="161"/>
      <c r="BQ979" s="161"/>
      <c r="BR979" s="161"/>
      <c r="BS979" s="161"/>
      <c r="BT979" s="161"/>
      <c r="BU979" s="161"/>
      <c r="BV979" s="161"/>
      <c r="BW979" s="161"/>
      <c r="BX979" s="161"/>
    </row>
    <row r="980">
      <c r="A980" s="161"/>
      <c r="B980" s="161"/>
      <c r="C980" s="161"/>
      <c r="D980" s="161"/>
      <c r="E980" s="161"/>
      <c r="F980" s="161"/>
      <c r="G980" s="161"/>
      <c r="H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161"/>
      <c r="BH980" s="161"/>
      <c r="BI980" s="161"/>
      <c r="BJ980" s="161"/>
      <c r="BK980" s="161"/>
      <c r="BL980" s="161"/>
      <c r="BM980" s="161"/>
      <c r="BN980" s="161"/>
      <c r="BO980" s="161"/>
      <c r="BP980" s="161"/>
      <c r="BQ980" s="161"/>
      <c r="BR980" s="161"/>
      <c r="BS980" s="161"/>
      <c r="BT980" s="161"/>
      <c r="BU980" s="161"/>
      <c r="BV980" s="161"/>
      <c r="BW980" s="161"/>
      <c r="BX980" s="161"/>
    </row>
    <row r="981">
      <c r="A981" s="161"/>
      <c r="B981" s="161"/>
      <c r="C981" s="161"/>
      <c r="D981" s="161"/>
      <c r="E981" s="161"/>
      <c r="F981" s="161"/>
      <c r="G981" s="161"/>
      <c r="H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F981" s="161"/>
      <c r="BG981" s="161"/>
      <c r="BH981" s="161"/>
      <c r="BI981" s="161"/>
      <c r="BJ981" s="161"/>
      <c r="BK981" s="161"/>
      <c r="BL981" s="161"/>
      <c r="BM981" s="161"/>
      <c r="BN981" s="161"/>
      <c r="BO981" s="161"/>
      <c r="BP981" s="161"/>
      <c r="BQ981" s="161"/>
      <c r="BR981" s="161"/>
      <c r="BS981" s="161"/>
      <c r="BT981" s="161"/>
      <c r="BU981" s="161"/>
      <c r="BV981" s="161"/>
      <c r="BW981" s="161"/>
      <c r="BX981" s="161"/>
    </row>
    <row r="982">
      <c r="A982" s="161"/>
      <c r="B982" s="161"/>
      <c r="C982" s="161"/>
      <c r="D982" s="161"/>
      <c r="E982" s="161"/>
      <c r="F982" s="161"/>
      <c r="G982" s="161"/>
      <c r="H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161"/>
      <c r="BH982" s="161"/>
      <c r="BI982" s="161"/>
      <c r="BJ982" s="161"/>
      <c r="BK982" s="161"/>
      <c r="BL982" s="161"/>
      <c r="BM982" s="161"/>
      <c r="BN982" s="161"/>
      <c r="BO982" s="161"/>
      <c r="BP982" s="161"/>
      <c r="BQ982" s="161"/>
      <c r="BR982" s="161"/>
      <c r="BS982" s="161"/>
      <c r="BT982" s="161"/>
      <c r="BU982" s="161"/>
      <c r="BV982" s="161"/>
      <c r="BW982" s="161"/>
      <c r="BX982" s="161"/>
    </row>
    <row r="983">
      <c r="A983" s="161"/>
      <c r="B983" s="161"/>
      <c r="C983" s="161"/>
      <c r="D983" s="161"/>
      <c r="E983" s="161"/>
      <c r="F983" s="161"/>
      <c r="G983" s="161"/>
      <c r="H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161"/>
      <c r="BH983" s="161"/>
      <c r="BI983" s="161"/>
      <c r="BJ983" s="161"/>
      <c r="BK983" s="161"/>
      <c r="BL983" s="161"/>
      <c r="BM983" s="161"/>
      <c r="BN983" s="161"/>
      <c r="BO983" s="161"/>
      <c r="BP983" s="161"/>
      <c r="BQ983" s="161"/>
      <c r="BR983" s="161"/>
      <c r="BS983" s="161"/>
      <c r="BT983" s="161"/>
      <c r="BU983" s="161"/>
      <c r="BV983" s="161"/>
      <c r="BW983" s="161"/>
      <c r="BX983" s="161"/>
    </row>
    <row r="984">
      <c r="A984" s="161"/>
      <c r="B984" s="161"/>
      <c r="C984" s="161"/>
      <c r="D984" s="161"/>
      <c r="E984" s="161"/>
      <c r="F984" s="161"/>
      <c r="G984" s="161"/>
      <c r="H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161"/>
      <c r="BH984" s="161"/>
      <c r="BI984" s="161"/>
      <c r="BJ984" s="161"/>
      <c r="BK984" s="161"/>
      <c r="BL984" s="161"/>
      <c r="BM984" s="161"/>
      <c r="BN984" s="161"/>
      <c r="BO984" s="161"/>
      <c r="BP984" s="161"/>
      <c r="BQ984" s="161"/>
      <c r="BR984" s="161"/>
      <c r="BS984" s="161"/>
      <c r="BT984" s="161"/>
      <c r="BU984" s="161"/>
      <c r="BV984" s="161"/>
      <c r="BW984" s="161"/>
      <c r="BX984" s="161"/>
    </row>
    <row r="985">
      <c r="A985" s="161"/>
      <c r="B985" s="161"/>
      <c r="C985" s="161"/>
      <c r="D985" s="161"/>
      <c r="E985" s="161"/>
      <c r="F985" s="161"/>
      <c r="G985" s="161"/>
      <c r="H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161"/>
      <c r="BH985" s="161"/>
      <c r="BI985" s="161"/>
      <c r="BJ985" s="161"/>
      <c r="BK985" s="161"/>
      <c r="BL985" s="161"/>
      <c r="BM985" s="161"/>
      <c r="BN985" s="161"/>
      <c r="BO985" s="161"/>
      <c r="BP985" s="161"/>
      <c r="BQ985" s="161"/>
      <c r="BR985" s="161"/>
      <c r="BS985" s="161"/>
      <c r="BT985" s="161"/>
      <c r="BU985" s="161"/>
      <c r="BV985" s="161"/>
      <c r="BW985" s="161"/>
      <c r="BX985" s="161"/>
    </row>
    <row r="986">
      <c r="A986" s="161"/>
      <c r="B986" s="161"/>
      <c r="C986" s="161"/>
      <c r="D986" s="161"/>
      <c r="E986" s="161"/>
      <c r="F986" s="161"/>
      <c r="G986" s="161"/>
      <c r="H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161"/>
      <c r="BH986" s="161"/>
      <c r="BI986" s="161"/>
      <c r="BJ986" s="161"/>
      <c r="BK986" s="161"/>
      <c r="BL986" s="161"/>
      <c r="BM986" s="161"/>
      <c r="BN986" s="161"/>
      <c r="BO986" s="161"/>
      <c r="BP986" s="161"/>
      <c r="BQ986" s="161"/>
      <c r="BR986" s="161"/>
      <c r="BS986" s="161"/>
      <c r="BT986" s="161"/>
      <c r="BU986" s="161"/>
      <c r="BV986" s="161"/>
      <c r="BW986" s="161"/>
      <c r="BX986" s="161"/>
    </row>
    <row r="987">
      <c r="A987" s="161"/>
      <c r="B987" s="161"/>
      <c r="C987" s="161"/>
      <c r="D987" s="161"/>
      <c r="E987" s="161"/>
      <c r="F987" s="161"/>
      <c r="G987" s="161"/>
      <c r="H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161"/>
      <c r="BH987" s="161"/>
      <c r="BI987" s="161"/>
      <c r="BJ987" s="161"/>
      <c r="BK987" s="161"/>
      <c r="BL987" s="161"/>
      <c r="BM987" s="161"/>
      <c r="BN987" s="161"/>
      <c r="BO987" s="161"/>
      <c r="BP987" s="161"/>
      <c r="BQ987" s="161"/>
      <c r="BR987" s="161"/>
      <c r="BS987" s="161"/>
      <c r="BT987" s="161"/>
      <c r="BU987" s="161"/>
      <c r="BV987" s="161"/>
      <c r="BW987" s="161"/>
      <c r="BX987" s="161"/>
    </row>
    <row r="988">
      <c r="A988" s="161"/>
      <c r="B988" s="161"/>
      <c r="C988" s="161"/>
      <c r="D988" s="161"/>
      <c r="E988" s="161"/>
      <c r="F988" s="161"/>
      <c r="G988" s="161"/>
      <c r="H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161"/>
      <c r="BH988" s="161"/>
      <c r="BI988" s="161"/>
      <c r="BJ988" s="161"/>
      <c r="BK988" s="161"/>
      <c r="BL988" s="161"/>
      <c r="BM988" s="161"/>
      <c r="BN988" s="161"/>
      <c r="BO988" s="161"/>
      <c r="BP988" s="161"/>
      <c r="BQ988" s="161"/>
      <c r="BR988" s="161"/>
      <c r="BS988" s="161"/>
      <c r="BT988" s="161"/>
      <c r="BU988" s="161"/>
      <c r="BV988" s="161"/>
      <c r="BW988" s="161"/>
      <c r="BX988" s="161"/>
    </row>
    <row r="989">
      <c r="A989" s="161"/>
      <c r="B989" s="161"/>
      <c r="C989" s="161"/>
      <c r="D989" s="161"/>
      <c r="E989" s="161"/>
      <c r="F989" s="161"/>
      <c r="G989" s="161"/>
      <c r="H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161"/>
      <c r="BH989" s="161"/>
      <c r="BI989" s="161"/>
      <c r="BJ989" s="161"/>
      <c r="BK989" s="161"/>
      <c r="BL989" s="161"/>
      <c r="BM989" s="161"/>
      <c r="BN989" s="161"/>
      <c r="BO989" s="161"/>
      <c r="BP989" s="161"/>
      <c r="BQ989" s="161"/>
      <c r="BR989" s="161"/>
      <c r="BS989" s="161"/>
      <c r="BT989" s="161"/>
      <c r="BU989" s="161"/>
      <c r="BV989" s="161"/>
      <c r="BW989" s="161"/>
      <c r="BX989" s="161"/>
    </row>
    <row r="990">
      <c r="A990" s="161"/>
      <c r="B990" s="161"/>
      <c r="C990" s="161"/>
      <c r="D990" s="161"/>
      <c r="E990" s="161"/>
      <c r="F990" s="161"/>
      <c r="G990" s="161"/>
      <c r="H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F990" s="161"/>
      <c r="BG990" s="161"/>
      <c r="BH990" s="161"/>
      <c r="BI990" s="161"/>
      <c r="BJ990" s="161"/>
      <c r="BK990" s="161"/>
      <c r="BL990" s="161"/>
      <c r="BM990" s="161"/>
      <c r="BN990" s="161"/>
      <c r="BO990" s="161"/>
      <c r="BP990" s="161"/>
      <c r="BQ990" s="161"/>
      <c r="BR990" s="161"/>
      <c r="BS990" s="161"/>
      <c r="BT990" s="161"/>
      <c r="BU990" s="161"/>
      <c r="BV990" s="161"/>
      <c r="BW990" s="161"/>
      <c r="BX990" s="161"/>
    </row>
    <row r="991">
      <c r="A991" s="161"/>
      <c r="B991" s="161"/>
      <c r="C991" s="161"/>
      <c r="D991" s="161"/>
      <c r="E991" s="161"/>
      <c r="F991" s="161"/>
      <c r="G991" s="161"/>
      <c r="H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161"/>
      <c r="BH991" s="161"/>
      <c r="BI991" s="161"/>
      <c r="BJ991" s="161"/>
      <c r="BK991" s="161"/>
      <c r="BL991" s="161"/>
      <c r="BM991" s="161"/>
      <c r="BN991" s="161"/>
      <c r="BO991" s="161"/>
      <c r="BP991" s="161"/>
      <c r="BQ991" s="161"/>
      <c r="BR991" s="161"/>
      <c r="BS991" s="161"/>
      <c r="BT991" s="161"/>
      <c r="BU991" s="161"/>
      <c r="BV991" s="161"/>
      <c r="BW991" s="161"/>
      <c r="BX991" s="161"/>
    </row>
    <row r="992">
      <c r="A992" s="161"/>
      <c r="B992" s="161"/>
      <c r="C992" s="161"/>
      <c r="D992" s="161"/>
      <c r="E992" s="161"/>
      <c r="F992" s="161"/>
      <c r="G992" s="161"/>
      <c r="H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/>
      <c r="BG992" s="161"/>
      <c r="BH992" s="161"/>
      <c r="BI992" s="161"/>
      <c r="BJ992" s="161"/>
      <c r="BK992" s="161"/>
      <c r="BL992" s="161"/>
      <c r="BM992" s="161"/>
      <c r="BN992" s="161"/>
      <c r="BO992" s="161"/>
      <c r="BP992" s="161"/>
      <c r="BQ992" s="161"/>
      <c r="BR992" s="161"/>
      <c r="BS992" s="161"/>
      <c r="BT992" s="161"/>
      <c r="BU992" s="161"/>
      <c r="BV992" s="161"/>
      <c r="BW992" s="161"/>
      <c r="BX992" s="161"/>
    </row>
    <row r="993">
      <c r="A993" s="161"/>
      <c r="B993" s="161"/>
      <c r="C993" s="161"/>
      <c r="D993" s="161"/>
      <c r="E993" s="161"/>
      <c r="F993" s="161"/>
      <c r="G993" s="161"/>
      <c r="H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161"/>
      <c r="BH993" s="161"/>
      <c r="BI993" s="161"/>
      <c r="BJ993" s="161"/>
      <c r="BK993" s="161"/>
      <c r="BL993" s="161"/>
      <c r="BM993" s="161"/>
      <c r="BN993" s="161"/>
      <c r="BO993" s="161"/>
      <c r="BP993" s="161"/>
      <c r="BQ993" s="161"/>
      <c r="BR993" s="161"/>
      <c r="BS993" s="161"/>
      <c r="BT993" s="161"/>
      <c r="BU993" s="161"/>
      <c r="BV993" s="161"/>
      <c r="BW993" s="161"/>
      <c r="BX993" s="161"/>
    </row>
    <row r="994">
      <c r="A994" s="161"/>
      <c r="B994" s="161"/>
      <c r="C994" s="161"/>
      <c r="D994" s="161"/>
      <c r="E994" s="161"/>
      <c r="F994" s="161"/>
      <c r="G994" s="161"/>
      <c r="H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F994" s="161"/>
      <c r="BG994" s="161"/>
      <c r="BH994" s="161"/>
      <c r="BI994" s="161"/>
      <c r="BJ994" s="161"/>
      <c r="BK994" s="161"/>
      <c r="BL994" s="161"/>
      <c r="BM994" s="161"/>
      <c r="BN994" s="161"/>
      <c r="BO994" s="161"/>
      <c r="BP994" s="161"/>
      <c r="BQ994" s="161"/>
      <c r="BR994" s="161"/>
      <c r="BS994" s="161"/>
      <c r="BT994" s="161"/>
      <c r="BU994" s="161"/>
      <c r="BV994" s="161"/>
      <c r="BW994" s="161"/>
      <c r="BX994" s="161"/>
    </row>
    <row r="995">
      <c r="A995" s="161"/>
      <c r="B995" s="161"/>
      <c r="C995" s="161"/>
      <c r="D995" s="161"/>
      <c r="E995" s="161"/>
      <c r="F995" s="161"/>
      <c r="G995" s="161"/>
      <c r="H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161"/>
      <c r="BH995" s="161"/>
      <c r="BI995" s="161"/>
      <c r="BJ995" s="161"/>
      <c r="BK995" s="161"/>
      <c r="BL995" s="161"/>
      <c r="BM995" s="161"/>
      <c r="BN995" s="161"/>
      <c r="BO995" s="161"/>
      <c r="BP995" s="161"/>
      <c r="BQ995" s="161"/>
      <c r="BR995" s="161"/>
      <c r="BS995" s="161"/>
      <c r="BT995" s="161"/>
      <c r="BU995" s="161"/>
      <c r="BV995" s="161"/>
      <c r="BW995" s="161"/>
      <c r="BX995" s="161"/>
    </row>
    <row r="996">
      <c r="A996" s="161"/>
      <c r="B996" s="161"/>
      <c r="C996" s="161"/>
      <c r="D996" s="161"/>
      <c r="E996" s="161"/>
      <c r="F996" s="161"/>
      <c r="G996" s="161"/>
      <c r="H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F996" s="161"/>
      <c r="BG996" s="161"/>
      <c r="BH996" s="161"/>
      <c r="BI996" s="161"/>
      <c r="BJ996" s="161"/>
      <c r="BK996" s="161"/>
      <c r="BL996" s="161"/>
      <c r="BM996" s="161"/>
      <c r="BN996" s="161"/>
      <c r="BO996" s="161"/>
      <c r="BP996" s="161"/>
      <c r="BQ996" s="161"/>
      <c r="BR996" s="161"/>
      <c r="BS996" s="161"/>
      <c r="BT996" s="161"/>
      <c r="BU996" s="161"/>
      <c r="BV996" s="161"/>
      <c r="BW996" s="161"/>
      <c r="BX996" s="161"/>
    </row>
    <row r="997">
      <c r="A997" s="161"/>
      <c r="B997" s="161"/>
      <c r="C997" s="161"/>
      <c r="D997" s="161"/>
      <c r="E997" s="161"/>
      <c r="F997" s="161"/>
      <c r="G997" s="161"/>
      <c r="H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F997" s="161"/>
      <c r="BG997" s="161"/>
      <c r="BH997" s="161"/>
      <c r="BI997" s="161"/>
      <c r="BJ997" s="161"/>
      <c r="BK997" s="161"/>
      <c r="BL997" s="161"/>
      <c r="BM997" s="161"/>
      <c r="BN997" s="161"/>
      <c r="BO997" s="161"/>
      <c r="BP997" s="161"/>
      <c r="BQ997" s="161"/>
      <c r="BR997" s="161"/>
      <c r="BS997" s="161"/>
      <c r="BT997" s="161"/>
      <c r="BU997" s="161"/>
      <c r="BV997" s="161"/>
      <c r="BW997" s="161"/>
      <c r="BX997" s="161"/>
    </row>
    <row r="998">
      <c r="A998" s="161"/>
      <c r="B998" s="161"/>
      <c r="C998" s="161"/>
      <c r="D998" s="161"/>
      <c r="E998" s="161"/>
      <c r="F998" s="161"/>
      <c r="G998" s="161"/>
      <c r="H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161"/>
      <c r="BH998" s="161"/>
      <c r="BI998" s="161"/>
      <c r="BJ998" s="161"/>
      <c r="BK998" s="161"/>
      <c r="BL998" s="161"/>
      <c r="BM998" s="161"/>
      <c r="BN998" s="161"/>
      <c r="BO998" s="161"/>
      <c r="BP998" s="161"/>
      <c r="BQ998" s="161"/>
      <c r="BR998" s="161"/>
      <c r="BS998" s="161"/>
      <c r="BT998" s="161"/>
      <c r="BU998" s="161"/>
      <c r="BV998" s="161"/>
      <c r="BW998" s="161"/>
      <c r="BX998" s="161"/>
    </row>
    <row r="999">
      <c r="A999" s="161"/>
      <c r="B999" s="161"/>
      <c r="C999" s="161"/>
      <c r="D999" s="161"/>
      <c r="E999" s="161"/>
      <c r="F999" s="161"/>
      <c r="G999" s="161"/>
      <c r="H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/>
      <c r="BG999" s="161"/>
      <c r="BH999" s="161"/>
      <c r="BI999" s="161"/>
      <c r="BJ999" s="161"/>
      <c r="BK999" s="161"/>
      <c r="BL999" s="161"/>
      <c r="BM999" s="161"/>
      <c r="BN999" s="161"/>
      <c r="BO999" s="161"/>
      <c r="BP999" s="161"/>
      <c r="BQ999" s="161"/>
      <c r="BR999" s="161"/>
      <c r="BS999" s="161"/>
      <c r="BT999" s="161"/>
      <c r="BU999" s="161"/>
      <c r="BV999" s="161"/>
      <c r="BW999" s="161"/>
      <c r="BX999" s="161"/>
    </row>
    <row r="1000">
      <c r="A1000" s="161"/>
      <c r="B1000" s="161"/>
      <c r="C1000" s="161"/>
      <c r="D1000" s="161"/>
      <c r="E1000" s="161"/>
      <c r="F1000" s="161"/>
      <c r="G1000" s="161"/>
      <c r="H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/>
      <c r="BG1000" s="161"/>
      <c r="BH1000" s="161"/>
      <c r="BI1000" s="161"/>
      <c r="BJ1000" s="161"/>
      <c r="BK1000" s="161"/>
      <c r="BL1000" s="161"/>
      <c r="BM1000" s="161"/>
      <c r="BN1000" s="161"/>
      <c r="BO1000" s="161"/>
      <c r="BP1000" s="161"/>
      <c r="BQ1000" s="161"/>
      <c r="BR1000" s="161"/>
      <c r="BS1000" s="161"/>
      <c r="BT1000" s="161"/>
      <c r="BU1000" s="161"/>
      <c r="BV1000" s="161"/>
      <c r="BW1000" s="161"/>
      <c r="BX1000" s="161"/>
    </row>
    <row r="1001">
      <c r="A1001" s="161"/>
      <c r="B1001" s="161"/>
      <c r="C1001" s="161"/>
      <c r="D1001" s="161"/>
      <c r="E1001" s="161"/>
      <c r="F1001" s="161"/>
      <c r="G1001" s="161"/>
      <c r="H1001" s="161"/>
      <c r="I1001" s="161"/>
      <c r="J1001" s="161"/>
      <c r="K1001" s="161"/>
      <c r="L1001" s="161"/>
      <c r="M1001" s="161"/>
      <c r="N1001" s="161"/>
      <c r="O1001" s="161"/>
      <c r="P1001" s="161"/>
      <c r="Q1001" s="161"/>
      <c r="R1001" s="161"/>
      <c r="S1001" s="161"/>
      <c r="T1001" s="161"/>
      <c r="U1001" s="161"/>
      <c r="V1001" s="161"/>
      <c r="W1001" s="161"/>
      <c r="X1001" s="161"/>
      <c r="Y1001" s="161"/>
      <c r="Z1001" s="161"/>
      <c r="AA1001" s="161"/>
      <c r="AB1001" s="161"/>
      <c r="AC1001" s="161"/>
      <c r="AD1001" s="161"/>
      <c r="AE1001" s="161"/>
      <c r="AF1001" s="161"/>
      <c r="AG1001" s="161"/>
      <c r="AH1001" s="161"/>
      <c r="AI1001" s="161"/>
      <c r="AJ1001" s="161"/>
      <c r="AK1001" s="161"/>
      <c r="AL1001" s="161"/>
      <c r="AM1001" s="161"/>
      <c r="AN1001" s="161"/>
      <c r="AO1001" s="161"/>
      <c r="AP1001" s="161"/>
      <c r="AQ1001" s="161"/>
      <c r="AR1001" s="161"/>
      <c r="AS1001" s="161"/>
      <c r="AT1001" s="161"/>
      <c r="AU1001" s="161"/>
      <c r="AV1001" s="161"/>
      <c r="AW1001" s="161"/>
      <c r="AX1001" s="161"/>
      <c r="AY1001" s="161"/>
      <c r="AZ1001" s="161"/>
      <c r="BA1001" s="161"/>
      <c r="BB1001" s="161"/>
      <c r="BC1001" s="161"/>
      <c r="BD1001" s="161"/>
      <c r="BE1001" s="161"/>
      <c r="BF1001" s="161"/>
      <c r="BG1001" s="161"/>
      <c r="BH1001" s="161"/>
      <c r="BI1001" s="161"/>
      <c r="BJ1001" s="161"/>
      <c r="BK1001" s="161"/>
      <c r="BL1001" s="161"/>
      <c r="BM1001" s="161"/>
      <c r="BN1001" s="161"/>
      <c r="BO1001" s="161"/>
      <c r="BP1001" s="161"/>
      <c r="BQ1001" s="161"/>
      <c r="BR1001" s="161"/>
      <c r="BS1001" s="161"/>
      <c r="BT1001" s="161"/>
      <c r="BU1001" s="161"/>
      <c r="BV1001" s="161"/>
      <c r="BW1001" s="161"/>
      <c r="BX1001" s="161"/>
    </row>
    <row r="1002">
      <c r="A1002" s="161"/>
      <c r="B1002" s="161"/>
      <c r="C1002" s="161"/>
      <c r="D1002" s="161"/>
      <c r="E1002" s="161"/>
      <c r="F1002" s="161"/>
      <c r="G1002" s="161"/>
      <c r="H1002" s="161"/>
      <c r="I1002" s="161"/>
      <c r="J1002" s="161"/>
      <c r="K1002" s="161"/>
      <c r="L1002" s="161"/>
      <c r="M1002" s="161"/>
      <c r="N1002" s="161"/>
      <c r="O1002" s="161"/>
      <c r="P1002" s="161"/>
      <c r="Q1002" s="161"/>
      <c r="R1002" s="161"/>
      <c r="S1002" s="161"/>
      <c r="T1002" s="161"/>
      <c r="U1002" s="161"/>
      <c r="V1002" s="161"/>
      <c r="W1002" s="161"/>
      <c r="X1002" s="161"/>
      <c r="Y1002" s="161"/>
      <c r="Z1002" s="161"/>
      <c r="AA1002" s="161"/>
      <c r="AB1002" s="161"/>
      <c r="AC1002" s="161"/>
      <c r="AD1002" s="161"/>
      <c r="AE1002" s="161"/>
      <c r="AF1002" s="161"/>
      <c r="AG1002" s="161"/>
      <c r="AH1002" s="161"/>
      <c r="AI1002" s="161"/>
      <c r="AJ1002" s="161"/>
      <c r="AK1002" s="161"/>
      <c r="AL1002" s="161"/>
      <c r="AM1002" s="161"/>
      <c r="AN1002" s="161"/>
      <c r="AO1002" s="161"/>
      <c r="AP1002" s="161"/>
      <c r="AQ1002" s="161"/>
      <c r="AR1002" s="161"/>
      <c r="AS1002" s="161"/>
      <c r="AT1002" s="161"/>
      <c r="AU1002" s="161"/>
      <c r="AV1002" s="161"/>
      <c r="AW1002" s="161"/>
      <c r="AX1002" s="161"/>
      <c r="AY1002" s="161"/>
      <c r="AZ1002" s="161"/>
      <c r="BA1002" s="161"/>
      <c r="BB1002" s="161"/>
      <c r="BC1002" s="161"/>
      <c r="BD1002" s="161"/>
      <c r="BE1002" s="161"/>
      <c r="BF1002" s="161"/>
      <c r="BG1002" s="161"/>
      <c r="BH1002" s="161"/>
      <c r="BI1002" s="161"/>
      <c r="BJ1002" s="161"/>
      <c r="BK1002" s="161"/>
      <c r="BL1002" s="161"/>
      <c r="BM1002" s="161"/>
      <c r="BN1002" s="161"/>
      <c r="BO1002" s="161"/>
      <c r="BP1002" s="161"/>
      <c r="BQ1002" s="161"/>
      <c r="BR1002" s="161"/>
      <c r="BS1002" s="161"/>
      <c r="BT1002" s="161"/>
      <c r="BU1002" s="161"/>
      <c r="BV1002" s="161"/>
      <c r="BW1002" s="161"/>
      <c r="BX1002" s="161"/>
    </row>
    <row r="1003">
      <c r="A1003" s="161"/>
      <c r="B1003" s="161"/>
      <c r="C1003" s="161"/>
      <c r="D1003" s="161"/>
      <c r="E1003" s="161"/>
      <c r="F1003" s="161"/>
      <c r="G1003" s="161"/>
      <c r="H1003" s="161"/>
      <c r="I1003" s="161"/>
      <c r="J1003" s="161"/>
      <c r="K1003" s="161"/>
      <c r="L1003" s="161"/>
      <c r="M1003" s="161"/>
      <c r="N1003" s="161"/>
      <c r="O1003" s="161"/>
      <c r="P1003" s="161"/>
      <c r="Q1003" s="161"/>
      <c r="R1003" s="161"/>
      <c r="S1003" s="161"/>
      <c r="T1003" s="161"/>
      <c r="U1003" s="161"/>
      <c r="V1003" s="161"/>
      <c r="W1003" s="161"/>
      <c r="X1003" s="161"/>
      <c r="Y1003" s="161"/>
      <c r="Z1003" s="161"/>
      <c r="AA1003" s="161"/>
      <c r="AB1003" s="161"/>
      <c r="AC1003" s="161"/>
      <c r="AD1003" s="161"/>
      <c r="AE1003" s="161"/>
      <c r="AF1003" s="161"/>
      <c r="AG1003" s="161"/>
      <c r="AH1003" s="161"/>
      <c r="AI1003" s="161"/>
      <c r="AJ1003" s="161"/>
      <c r="AK1003" s="161"/>
      <c r="AL1003" s="161"/>
      <c r="AM1003" s="161"/>
      <c r="AN1003" s="161"/>
      <c r="AO1003" s="161"/>
      <c r="AP1003" s="161"/>
      <c r="AQ1003" s="161"/>
      <c r="AR1003" s="161"/>
      <c r="AS1003" s="161"/>
      <c r="AT1003" s="161"/>
      <c r="AU1003" s="161"/>
      <c r="AV1003" s="161"/>
      <c r="AW1003" s="161"/>
      <c r="AX1003" s="161"/>
      <c r="AY1003" s="161"/>
      <c r="AZ1003" s="161"/>
      <c r="BA1003" s="161"/>
      <c r="BB1003" s="161"/>
      <c r="BC1003" s="161"/>
      <c r="BD1003" s="161"/>
      <c r="BE1003" s="161"/>
      <c r="BF1003" s="161"/>
      <c r="BG1003" s="161"/>
      <c r="BH1003" s="161"/>
      <c r="BI1003" s="161"/>
      <c r="BJ1003" s="161"/>
      <c r="BK1003" s="161"/>
      <c r="BL1003" s="161"/>
      <c r="BM1003" s="161"/>
      <c r="BN1003" s="161"/>
      <c r="BO1003" s="161"/>
      <c r="BP1003" s="161"/>
      <c r="BQ1003" s="161"/>
      <c r="BR1003" s="161"/>
      <c r="BS1003" s="161"/>
      <c r="BT1003" s="161"/>
      <c r="BU1003" s="161"/>
      <c r="BV1003" s="161"/>
      <c r="BW1003" s="161"/>
      <c r="BX1003" s="161"/>
    </row>
    <row r="1004">
      <c r="A1004" s="161"/>
      <c r="B1004" s="161"/>
      <c r="C1004" s="161"/>
      <c r="D1004" s="161"/>
      <c r="E1004" s="161"/>
      <c r="F1004" s="161"/>
      <c r="G1004" s="161"/>
      <c r="H1004" s="161"/>
      <c r="I1004" s="161"/>
      <c r="J1004" s="161"/>
      <c r="K1004" s="161"/>
      <c r="L1004" s="161"/>
      <c r="M1004" s="161"/>
      <c r="N1004" s="161"/>
      <c r="O1004" s="161"/>
      <c r="P1004" s="161"/>
      <c r="Q1004" s="161"/>
      <c r="R1004" s="161"/>
      <c r="S1004" s="161"/>
      <c r="T1004" s="161"/>
      <c r="U1004" s="161"/>
      <c r="V1004" s="161"/>
      <c r="W1004" s="161"/>
      <c r="X1004" s="161"/>
      <c r="Y1004" s="161"/>
      <c r="Z1004" s="161"/>
      <c r="AA1004" s="161"/>
      <c r="AB1004" s="161"/>
      <c r="AC1004" s="161"/>
      <c r="AD1004" s="161"/>
      <c r="AE1004" s="161"/>
      <c r="AF1004" s="161"/>
      <c r="AG1004" s="161"/>
      <c r="AH1004" s="161"/>
      <c r="AI1004" s="161"/>
      <c r="AJ1004" s="161"/>
      <c r="AK1004" s="161"/>
      <c r="AL1004" s="161"/>
      <c r="AM1004" s="161"/>
      <c r="AN1004" s="161"/>
      <c r="AO1004" s="161"/>
      <c r="AP1004" s="161"/>
      <c r="AQ1004" s="161"/>
      <c r="AR1004" s="161"/>
      <c r="AS1004" s="161"/>
      <c r="AT1004" s="161"/>
      <c r="AU1004" s="161"/>
      <c r="AV1004" s="161"/>
      <c r="AW1004" s="161"/>
      <c r="AX1004" s="161"/>
      <c r="AY1004" s="161"/>
      <c r="AZ1004" s="161"/>
      <c r="BA1004" s="161"/>
      <c r="BB1004" s="161"/>
      <c r="BC1004" s="161"/>
      <c r="BD1004" s="161"/>
      <c r="BE1004" s="161"/>
      <c r="BF1004" s="161"/>
      <c r="BG1004" s="161"/>
      <c r="BH1004" s="161"/>
      <c r="BI1004" s="161"/>
      <c r="BJ1004" s="161"/>
      <c r="BK1004" s="161"/>
      <c r="BL1004" s="161"/>
      <c r="BM1004" s="161"/>
      <c r="BN1004" s="161"/>
      <c r="BO1004" s="161"/>
      <c r="BP1004" s="161"/>
      <c r="BQ1004" s="161"/>
      <c r="BR1004" s="161"/>
      <c r="BS1004" s="161"/>
      <c r="BT1004" s="161"/>
      <c r="BU1004" s="161"/>
      <c r="BV1004" s="161"/>
      <c r="BW1004" s="161"/>
      <c r="BX1004" s="161"/>
    </row>
    <row r="1005">
      <c r="A1005" s="161"/>
      <c r="B1005" s="161"/>
      <c r="C1005" s="161"/>
      <c r="D1005" s="161"/>
      <c r="E1005" s="161"/>
      <c r="F1005" s="161"/>
      <c r="G1005" s="161"/>
      <c r="H1005" s="161"/>
      <c r="I1005" s="161"/>
      <c r="J1005" s="161"/>
      <c r="K1005" s="161"/>
      <c r="L1005" s="161"/>
      <c r="M1005" s="161"/>
      <c r="N1005" s="161"/>
      <c r="O1005" s="161"/>
      <c r="P1005" s="161"/>
      <c r="Q1005" s="161"/>
      <c r="R1005" s="161"/>
      <c r="S1005" s="161"/>
      <c r="T1005" s="161"/>
      <c r="U1005" s="161"/>
      <c r="V1005" s="161"/>
      <c r="W1005" s="161"/>
      <c r="X1005" s="161"/>
      <c r="Y1005" s="161"/>
      <c r="Z1005" s="161"/>
      <c r="AA1005" s="161"/>
      <c r="AB1005" s="161"/>
      <c r="AC1005" s="161"/>
      <c r="AD1005" s="161"/>
      <c r="AE1005" s="161"/>
      <c r="AF1005" s="161"/>
      <c r="AG1005" s="161"/>
      <c r="AH1005" s="161"/>
      <c r="AI1005" s="161"/>
      <c r="AJ1005" s="161"/>
      <c r="AK1005" s="161"/>
      <c r="AL1005" s="161"/>
      <c r="AM1005" s="161"/>
      <c r="AN1005" s="161"/>
      <c r="AO1005" s="161"/>
      <c r="AP1005" s="161"/>
      <c r="AQ1005" s="161"/>
      <c r="AR1005" s="161"/>
      <c r="AS1005" s="161"/>
      <c r="AT1005" s="161"/>
      <c r="AU1005" s="161"/>
      <c r="AV1005" s="161"/>
      <c r="AW1005" s="161"/>
      <c r="AX1005" s="161"/>
      <c r="AY1005" s="161"/>
      <c r="AZ1005" s="161"/>
      <c r="BA1005" s="161"/>
      <c r="BB1005" s="161"/>
      <c r="BC1005" s="161"/>
      <c r="BD1005" s="161"/>
      <c r="BE1005" s="161"/>
      <c r="BF1005" s="161"/>
      <c r="BG1005" s="161"/>
      <c r="BH1005" s="161"/>
      <c r="BI1005" s="161"/>
      <c r="BJ1005" s="161"/>
      <c r="BK1005" s="161"/>
      <c r="BL1005" s="161"/>
      <c r="BM1005" s="161"/>
      <c r="BN1005" s="161"/>
      <c r="BO1005" s="161"/>
      <c r="BP1005" s="161"/>
      <c r="BQ1005" s="161"/>
      <c r="BR1005" s="161"/>
      <c r="BS1005" s="161"/>
      <c r="BT1005" s="161"/>
      <c r="BU1005" s="161"/>
      <c r="BV1005" s="161"/>
      <c r="BW1005" s="161"/>
      <c r="BX1005" s="161"/>
    </row>
    <row r="1006">
      <c r="A1006" s="161"/>
      <c r="B1006" s="161"/>
      <c r="C1006" s="161"/>
      <c r="D1006" s="161"/>
      <c r="E1006" s="161"/>
      <c r="F1006" s="161"/>
      <c r="G1006" s="161"/>
      <c r="H1006" s="161"/>
      <c r="I1006" s="161"/>
      <c r="J1006" s="161"/>
      <c r="K1006" s="161"/>
      <c r="L1006" s="161"/>
      <c r="M1006" s="161"/>
      <c r="N1006" s="161"/>
      <c r="O1006" s="161"/>
      <c r="P1006" s="161"/>
      <c r="Q1006" s="161"/>
      <c r="R1006" s="161"/>
      <c r="S1006" s="161"/>
      <c r="T1006" s="161"/>
      <c r="U1006" s="161"/>
      <c r="V1006" s="161"/>
      <c r="W1006" s="161"/>
      <c r="X1006" s="161"/>
      <c r="Y1006" s="161"/>
      <c r="Z1006" s="161"/>
      <c r="AA1006" s="161"/>
      <c r="AB1006" s="161"/>
      <c r="AC1006" s="161"/>
      <c r="AD1006" s="161"/>
      <c r="AE1006" s="161"/>
      <c r="AF1006" s="161"/>
      <c r="AG1006" s="161"/>
      <c r="AH1006" s="161"/>
      <c r="AI1006" s="161"/>
      <c r="AJ1006" s="161"/>
      <c r="AK1006" s="161"/>
      <c r="AL1006" s="161"/>
      <c r="AM1006" s="161"/>
      <c r="AN1006" s="161"/>
      <c r="AO1006" s="161"/>
      <c r="AP1006" s="161"/>
      <c r="AQ1006" s="161"/>
      <c r="AR1006" s="161"/>
      <c r="AS1006" s="161"/>
      <c r="AT1006" s="161"/>
      <c r="AU1006" s="161"/>
      <c r="AV1006" s="161"/>
      <c r="AW1006" s="161"/>
      <c r="AX1006" s="161"/>
      <c r="AY1006" s="161"/>
      <c r="AZ1006" s="161"/>
      <c r="BA1006" s="161"/>
      <c r="BB1006" s="161"/>
      <c r="BC1006" s="161"/>
      <c r="BD1006" s="161"/>
      <c r="BE1006" s="161"/>
      <c r="BF1006" s="161"/>
      <c r="BG1006" s="161"/>
      <c r="BH1006" s="161"/>
      <c r="BI1006" s="161"/>
      <c r="BJ1006" s="161"/>
      <c r="BK1006" s="161"/>
      <c r="BL1006" s="161"/>
      <c r="BM1006" s="161"/>
      <c r="BN1006" s="161"/>
      <c r="BO1006" s="161"/>
      <c r="BP1006" s="161"/>
      <c r="BQ1006" s="161"/>
      <c r="BR1006" s="161"/>
      <c r="BS1006" s="161"/>
      <c r="BT1006" s="161"/>
      <c r="BU1006" s="161"/>
      <c r="BV1006" s="161"/>
      <c r="BW1006" s="161"/>
      <c r="BX1006" s="161"/>
    </row>
    <row r="1007">
      <c r="A1007" s="161"/>
      <c r="B1007" s="161"/>
      <c r="C1007" s="161"/>
      <c r="D1007" s="161"/>
      <c r="E1007" s="161"/>
      <c r="F1007" s="161"/>
      <c r="G1007" s="161"/>
      <c r="H1007" s="161"/>
      <c r="I1007" s="161"/>
      <c r="J1007" s="161"/>
      <c r="K1007" s="161"/>
      <c r="L1007" s="161"/>
      <c r="M1007" s="161"/>
      <c r="N1007" s="161"/>
      <c r="O1007" s="161"/>
      <c r="P1007" s="161"/>
      <c r="Q1007" s="161"/>
      <c r="R1007" s="161"/>
      <c r="S1007" s="161"/>
      <c r="T1007" s="161"/>
      <c r="U1007" s="161"/>
      <c r="V1007" s="161"/>
      <c r="W1007" s="161"/>
      <c r="X1007" s="161"/>
      <c r="Y1007" s="161"/>
      <c r="Z1007" s="161"/>
      <c r="AA1007" s="161"/>
      <c r="AB1007" s="161"/>
      <c r="AC1007" s="161"/>
      <c r="AD1007" s="161"/>
      <c r="AE1007" s="161"/>
      <c r="AF1007" s="161"/>
      <c r="AG1007" s="161"/>
      <c r="AH1007" s="161"/>
      <c r="AI1007" s="161"/>
      <c r="AJ1007" s="161"/>
      <c r="AK1007" s="161"/>
      <c r="AL1007" s="161"/>
      <c r="AM1007" s="161"/>
      <c r="AN1007" s="161"/>
      <c r="AO1007" s="161"/>
      <c r="AP1007" s="161"/>
      <c r="AQ1007" s="161"/>
      <c r="AR1007" s="161"/>
      <c r="AS1007" s="161"/>
      <c r="AT1007" s="161"/>
      <c r="AU1007" s="161"/>
      <c r="AV1007" s="161"/>
      <c r="AW1007" s="161"/>
      <c r="AX1007" s="161"/>
      <c r="AY1007" s="161"/>
      <c r="AZ1007" s="161"/>
      <c r="BA1007" s="161"/>
      <c r="BB1007" s="161"/>
      <c r="BC1007" s="161"/>
      <c r="BD1007" s="161"/>
      <c r="BE1007" s="161"/>
      <c r="BF1007" s="161"/>
      <c r="BG1007" s="161"/>
      <c r="BH1007" s="161"/>
      <c r="BI1007" s="161"/>
      <c r="BJ1007" s="161"/>
      <c r="BK1007" s="161"/>
      <c r="BL1007" s="161"/>
      <c r="BM1007" s="161"/>
      <c r="BN1007" s="161"/>
      <c r="BO1007" s="161"/>
      <c r="BP1007" s="161"/>
      <c r="BQ1007" s="161"/>
      <c r="BR1007" s="161"/>
      <c r="BS1007" s="161"/>
      <c r="BT1007" s="161"/>
      <c r="BU1007" s="161"/>
      <c r="BV1007" s="161"/>
      <c r="BW1007" s="161"/>
      <c r="BX1007" s="161"/>
    </row>
    <row r="1008">
      <c r="A1008" s="161"/>
      <c r="B1008" s="161"/>
      <c r="C1008" s="161"/>
      <c r="D1008" s="161"/>
      <c r="E1008" s="161"/>
      <c r="F1008" s="161"/>
      <c r="G1008" s="161"/>
      <c r="H1008" s="161"/>
      <c r="I1008" s="161"/>
      <c r="J1008" s="161"/>
      <c r="K1008" s="161"/>
      <c r="L1008" s="161"/>
      <c r="M1008" s="161"/>
      <c r="N1008" s="161"/>
      <c r="O1008" s="161"/>
      <c r="P1008" s="161"/>
      <c r="Q1008" s="161"/>
      <c r="R1008" s="161"/>
      <c r="S1008" s="161"/>
      <c r="T1008" s="161"/>
      <c r="U1008" s="161"/>
      <c r="V1008" s="161"/>
      <c r="W1008" s="161"/>
      <c r="X1008" s="161"/>
      <c r="Y1008" s="161"/>
      <c r="Z1008" s="161"/>
      <c r="AA1008" s="161"/>
      <c r="AB1008" s="161"/>
      <c r="AC1008" s="161"/>
      <c r="AD1008" s="161"/>
      <c r="AE1008" s="161"/>
      <c r="AF1008" s="161"/>
      <c r="AG1008" s="161"/>
      <c r="AH1008" s="161"/>
      <c r="AI1008" s="161"/>
      <c r="AJ1008" s="161"/>
      <c r="AK1008" s="161"/>
      <c r="AL1008" s="161"/>
      <c r="AM1008" s="161"/>
      <c r="AN1008" s="161"/>
      <c r="AO1008" s="161"/>
      <c r="AP1008" s="161"/>
      <c r="AQ1008" s="161"/>
      <c r="AR1008" s="161"/>
      <c r="AS1008" s="161"/>
      <c r="AT1008" s="161"/>
      <c r="AU1008" s="161"/>
      <c r="AV1008" s="161"/>
      <c r="AW1008" s="161"/>
      <c r="AX1008" s="161"/>
      <c r="AY1008" s="161"/>
      <c r="AZ1008" s="161"/>
      <c r="BA1008" s="161"/>
      <c r="BB1008" s="161"/>
      <c r="BC1008" s="161"/>
      <c r="BD1008" s="161"/>
      <c r="BE1008" s="161"/>
      <c r="BF1008" s="161"/>
      <c r="BG1008" s="161"/>
      <c r="BH1008" s="161"/>
      <c r="BI1008" s="161"/>
      <c r="BJ1008" s="161"/>
      <c r="BK1008" s="161"/>
      <c r="BL1008" s="161"/>
      <c r="BM1008" s="161"/>
      <c r="BN1008" s="161"/>
      <c r="BO1008" s="161"/>
      <c r="BP1008" s="161"/>
      <c r="BQ1008" s="161"/>
      <c r="BR1008" s="161"/>
      <c r="BS1008" s="161"/>
      <c r="BT1008" s="161"/>
      <c r="BU1008" s="161"/>
      <c r="BV1008" s="161"/>
      <c r="BW1008" s="161"/>
      <c r="BX1008" s="161"/>
    </row>
    <row r="1009">
      <c r="A1009" s="161"/>
      <c r="B1009" s="161"/>
      <c r="C1009" s="161"/>
      <c r="D1009" s="161"/>
      <c r="E1009" s="161"/>
      <c r="F1009" s="161"/>
      <c r="G1009" s="161"/>
      <c r="H1009" s="161"/>
      <c r="I1009" s="161"/>
      <c r="J1009" s="161"/>
      <c r="K1009" s="161"/>
      <c r="L1009" s="161"/>
      <c r="M1009" s="161"/>
      <c r="N1009" s="161"/>
      <c r="O1009" s="161"/>
      <c r="P1009" s="161"/>
      <c r="Q1009" s="161"/>
      <c r="R1009" s="161"/>
      <c r="S1009" s="161"/>
      <c r="T1009" s="161"/>
      <c r="U1009" s="161"/>
      <c r="V1009" s="161"/>
      <c r="W1009" s="161"/>
      <c r="X1009" s="161"/>
      <c r="Y1009" s="161"/>
      <c r="Z1009" s="161"/>
      <c r="AA1009" s="161"/>
      <c r="AB1009" s="161"/>
      <c r="AC1009" s="161"/>
      <c r="AD1009" s="161"/>
      <c r="AE1009" s="161"/>
      <c r="AF1009" s="161"/>
      <c r="AG1009" s="161"/>
      <c r="AH1009" s="161"/>
      <c r="AI1009" s="161"/>
      <c r="AJ1009" s="161"/>
      <c r="AK1009" s="161"/>
      <c r="AL1009" s="161"/>
      <c r="AM1009" s="161"/>
      <c r="AN1009" s="161"/>
      <c r="AO1009" s="161"/>
      <c r="AP1009" s="161"/>
      <c r="AQ1009" s="161"/>
      <c r="AR1009" s="161"/>
      <c r="AS1009" s="161"/>
      <c r="AT1009" s="161"/>
      <c r="AU1009" s="161"/>
      <c r="AV1009" s="161"/>
      <c r="AW1009" s="161"/>
      <c r="AX1009" s="161"/>
      <c r="AY1009" s="161"/>
      <c r="AZ1009" s="161"/>
      <c r="BA1009" s="161"/>
      <c r="BB1009" s="161"/>
      <c r="BC1009" s="161"/>
      <c r="BD1009" s="161"/>
      <c r="BE1009" s="161"/>
      <c r="BF1009" s="161"/>
      <c r="BG1009" s="161"/>
      <c r="BH1009" s="161"/>
      <c r="BI1009" s="161"/>
      <c r="BJ1009" s="161"/>
      <c r="BK1009" s="161"/>
      <c r="BL1009" s="161"/>
      <c r="BM1009" s="161"/>
      <c r="BN1009" s="161"/>
      <c r="BO1009" s="161"/>
      <c r="BP1009" s="161"/>
      <c r="BQ1009" s="161"/>
      <c r="BR1009" s="161"/>
      <c r="BS1009" s="161"/>
      <c r="BT1009" s="161"/>
      <c r="BU1009" s="161"/>
      <c r="BV1009" s="161"/>
      <c r="BW1009" s="161"/>
      <c r="BX1009" s="161"/>
    </row>
    <row r="1010">
      <c r="A1010" s="161"/>
      <c r="B1010" s="161"/>
      <c r="C1010" s="161"/>
      <c r="D1010" s="161"/>
      <c r="E1010" s="161"/>
      <c r="F1010" s="161"/>
      <c r="G1010" s="161"/>
      <c r="H1010" s="161"/>
      <c r="I1010" s="161"/>
      <c r="J1010" s="161"/>
      <c r="K1010" s="161"/>
      <c r="L1010" s="161"/>
      <c r="M1010" s="161"/>
      <c r="N1010" s="161"/>
      <c r="O1010" s="161"/>
      <c r="P1010" s="161"/>
      <c r="Q1010" s="161"/>
      <c r="R1010" s="161"/>
      <c r="S1010" s="161"/>
      <c r="T1010" s="161"/>
      <c r="U1010" s="161"/>
      <c r="V1010" s="161"/>
      <c r="W1010" s="161"/>
      <c r="X1010" s="161"/>
      <c r="Y1010" s="161"/>
      <c r="Z1010" s="161"/>
      <c r="AA1010" s="161"/>
      <c r="AB1010" s="161"/>
      <c r="AC1010" s="161"/>
      <c r="AD1010" s="161"/>
      <c r="AE1010" s="161"/>
      <c r="AF1010" s="161"/>
      <c r="AG1010" s="161"/>
      <c r="AH1010" s="161"/>
      <c r="AI1010" s="161"/>
      <c r="AJ1010" s="161"/>
      <c r="AK1010" s="161"/>
      <c r="AL1010" s="161"/>
      <c r="AM1010" s="161"/>
      <c r="AN1010" s="161"/>
      <c r="AO1010" s="161"/>
      <c r="AP1010" s="161"/>
      <c r="AQ1010" s="161"/>
      <c r="AR1010" s="161"/>
      <c r="AS1010" s="161"/>
      <c r="AT1010" s="161"/>
      <c r="AU1010" s="161"/>
      <c r="AV1010" s="161"/>
      <c r="AW1010" s="161"/>
      <c r="AX1010" s="161"/>
      <c r="AY1010" s="161"/>
      <c r="AZ1010" s="161"/>
      <c r="BA1010" s="161"/>
      <c r="BB1010" s="161"/>
      <c r="BC1010" s="161"/>
      <c r="BD1010" s="161"/>
      <c r="BE1010" s="161"/>
      <c r="BF1010" s="161"/>
      <c r="BG1010" s="161"/>
      <c r="BH1010" s="161"/>
      <c r="BI1010" s="161"/>
      <c r="BJ1010" s="161"/>
      <c r="BK1010" s="161"/>
      <c r="BL1010" s="161"/>
      <c r="BM1010" s="161"/>
      <c r="BN1010" s="161"/>
      <c r="BO1010" s="161"/>
      <c r="BP1010" s="161"/>
      <c r="BQ1010" s="161"/>
      <c r="BR1010" s="161"/>
      <c r="BS1010" s="161"/>
      <c r="BT1010" s="161"/>
      <c r="BU1010" s="161"/>
      <c r="BV1010" s="161"/>
      <c r="BW1010" s="161"/>
      <c r="BX1010" s="161"/>
    </row>
    <row r="1011">
      <c r="A1011" s="161"/>
      <c r="B1011" s="161"/>
      <c r="C1011" s="161"/>
      <c r="D1011" s="161"/>
      <c r="E1011" s="161"/>
      <c r="F1011" s="161"/>
      <c r="G1011" s="161"/>
      <c r="H1011" s="161"/>
      <c r="I1011" s="161"/>
      <c r="J1011" s="161"/>
      <c r="K1011" s="161"/>
      <c r="L1011" s="161"/>
      <c r="M1011" s="161"/>
      <c r="N1011" s="161"/>
      <c r="O1011" s="161"/>
      <c r="P1011" s="161"/>
      <c r="Q1011" s="161"/>
      <c r="R1011" s="161"/>
      <c r="S1011" s="161"/>
      <c r="T1011" s="161"/>
      <c r="U1011" s="161"/>
      <c r="V1011" s="161"/>
      <c r="W1011" s="161"/>
      <c r="X1011" s="161"/>
      <c r="Y1011" s="161"/>
      <c r="Z1011" s="161"/>
      <c r="AA1011" s="161"/>
      <c r="AB1011" s="161"/>
      <c r="AC1011" s="161"/>
      <c r="AD1011" s="161"/>
      <c r="AE1011" s="161"/>
      <c r="AF1011" s="161"/>
      <c r="AG1011" s="161"/>
      <c r="AH1011" s="161"/>
      <c r="AI1011" s="161"/>
      <c r="AJ1011" s="161"/>
      <c r="AK1011" s="161"/>
      <c r="AL1011" s="161"/>
      <c r="AM1011" s="161"/>
      <c r="AN1011" s="161"/>
      <c r="AO1011" s="161"/>
      <c r="AP1011" s="161"/>
      <c r="AQ1011" s="161"/>
      <c r="AR1011" s="161"/>
      <c r="AS1011" s="161"/>
      <c r="AT1011" s="161"/>
      <c r="AU1011" s="161"/>
      <c r="AV1011" s="161"/>
      <c r="AW1011" s="161"/>
      <c r="AX1011" s="161"/>
      <c r="AY1011" s="161"/>
      <c r="AZ1011" s="161"/>
      <c r="BA1011" s="161"/>
      <c r="BB1011" s="161"/>
      <c r="BC1011" s="161"/>
      <c r="BD1011" s="161"/>
      <c r="BE1011" s="161"/>
      <c r="BF1011" s="161"/>
      <c r="BG1011" s="161"/>
      <c r="BH1011" s="161"/>
      <c r="BI1011" s="161"/>
      <c r="BJ1011" s="161"/>
      <c r="BK1011" s="161"/>
      <c r="BL1011" s="161"/>
      <c r="BM1011" s="161"/>
      <c r="BN1011" s="161"/>
      <c r="BO1011" s="161"/>
      <c r="BP1011" s="161"/>
      <c r="BQ1011" s="161"/>
      <c r="BR1011" s="161"/>
      <c r="BS1011" s="161"/>
      <c r="BT1011" s="161"/>
      <c r="BU1011" s="161"/>
      <c r="BV1011" s="161"/>
      <c r="BW1011" s="161"/>
      <c r="BX1011" s="161"/>
    </row>
    <row r="1012">
      <c r="A1012" s="161"/>
      <c r="B1012" s="161"/>
      <c r="C1012" s="161"/>
      <c r="D1012" s="161"/>
      <c r="E1012" s="161"/>
      <c r="F1012" s="161"/>
      <c r="G1012" s="161"/>
      <c r="H1012" s="161"/>
      <c r="I1012" s="161"/>
      <c r="J1012" s="161"/>
      <c r="K1012" s="161"/>
      <c r="L1012" s="161"/>
      <c r="M1012" s="161"/>
      <c r="N1012" s="161"/>
      <c r="O1012" s="161"/>
      <c r="P1012" s="161"/>
      <c r="Q1012" s="161"/>
      <c r="R1012" s="161"/>
      <c r="S1012" s="161"/>
      <c r="T1012" s="161"/>
      <c r="U1012" s="161"/>
      <c r="V1012" s="161"/>
      <c r="W1012" s="161"/>
      <c r="X1012" s="161"/>
      <c r="Y1012" s="161"/>
      <c r="Z1012" s="161"/>
      <c r="AA1012" s="161"/>
      <c r="AB1012" s="161"/>
      <c r="AC1012" s="161"/>
      <c r="AD1012" s="161"/>
      <c r="AE1012" s="161"/>
      <c r="AF1012" s="161"/>
      <c r="AG1012" s="161"/>
      <c r="AH1012" s="161"/>
      <c r="AI1012" s="161"/>
      <c r="AJ1012" s="161"/>
      <c r="AK1012" s="161"/>
      <c r="AL1012" s="161"/>
      <c r="AM1012" s="161"/>
      <c r="AN1012" s="161"/>
      <c r="AO1012" s="161"/>
      <c r="AP1012" s="161"/>
      <c r="AQ1012" s="161"/>
      <c r="AR1012" s="161"/>
      <c r="AS1012" s="161"/>
      <c r="AT1012" s="161"/>
      <c r="AU1012" s="161"/>
      <c r="AV1012" s="161"/>
      <c r="AW1012" s="161"/>
      <c r="AX1012" s="161"/>
      <c r="AY1012" s="161"/>
      <c r="AZ1012" s="161"/>
      <c r="BA1012" s="161"/>
      <c r="BB1012" s="161"/>
      <c r="BC1012" s="161"/>
      <c r="BD1012" s="161"/>
      <c r="BE1012" s="161"/>
      <c r="BF1012" s="161"/>
      <c r="BG1012" s="161"/>
      <c r="BH1012" s="161"/>
      <c r="BI1012" s="161"/>
      <c r="BJ1012" s="161"/>
      <c r="BK1012" s="161"/>
      <c r="BL1012" s="161"/>
      <c r="BM1012" s="161"/>
      <c r="BN1012" s="161"/>
      <c r="BO1012" s="161"/>
      <c r="BP1012" s="161"/>
      <c r="BQ1012" s="161"/>
      <c r="BR1012" s="161"/>
      <c r="BS1012" s="161"/>
      <c r="BT1012" s="161"/>
      <c r="BU1012" s="161"/>
      <c r="BV1012" s="161"/>
      <c r="BW1012" s="161"/>
      <c r="BX1012" s="161"/>
    </row>
    <row r="1013">
      <c r="A1013" s="161"/>
      <c r="B1013" s="161"/>
      <c r="C1013" s="161"/>
      <c r="D1013" s="161"/>
      <c r="E1013" s="161"/>
      <c r="F1013" s="161"/>
      <c r="G1013" s="161"/>
      <c r="H1013" s="161"/>
      <c r="I1013" s="161"/>
      <c r="J1013" s="161"/>
      <c r="K1013" s="161"/>
      <c r="L1013" s="161"/>
      <c r="M1013" s="161"/>
      <c r="N1013" s="161"/>
      <c r="O1013" s="161"/>
      <c r="P1013" s="161"/>
      <c r="Q1013" s="161"/>
      <c r="R1013" s="161"/>
      <c r="S1013" s="161"/>
      <c r="T1013" s="161"/>
      <c r="U1013" s="161"/>
      <c r="V1013" s="161"/>
      <c r="W1013" s="161"/>
      <c r="X1013" s="161"/>
      <c r="Y1013" s="161"/>
      <c r="Z1013" s="161"/>
      <c r="AA1013" s="161"/>
      <c r="AB1013" s="161"/>
      <c r="AC1013" s="161"/>
      <c r="AD1013" s="161"/>
      <c r="AE1013" s="161"/>
      <c r="AF1013" s="161"/>
      <c r="AG1013" s="161"/>
      <c r="AH1013" s="161"/>
      <c r="AI1013" s="161"/>
      <c r="AJ1013" s="161"/>
      <c r="AK1013" s="161"/>
      <c r="AL1013" s="161"/>
      <c r="AM1013" s="161"/>
      <c r="AN1013" s="161"/>
      <c r="AO1013" s="161"/>
      <c r="AP1013" s="161"/>
      <c r="AQ1013" s="161"/>
      <c r="AR1013" s="161"/>
      <c r="AS1013" s="161"/>
      <c r="AT1013" s="161"/>
      <c r="AU1013" s="161"/>
      <c r="AV1013" s="161"/>
      <c r="AW1013" s="161"/>
      <c r="AX1013" s="161"/>
      <c r="AY1013" s="161"/>
      <c r="AZ1013" s="161"/>
      <c r="BA1013" s="161"/>
      <c r="BB1013" s="161"/>
      <c r="BC1013" s="161"/>
      <c r="BD1013" s="161"/>
      <c r="BE1013" s="161"/>
      <c r="BF1013" s="161"/>
      <c r="BG1013" s="161"/>
      <c r="BH1013" s="161"/>
      <c r="BI1013" s="161"/>
      <c r="BJ1013" s="161"/>
      <c r="BK1013" s="161"/>
      <c r="BL1013" s="161"/>
      <c r="BM1013" s="161"/>
      <c r="BN1013" s="161"/>
      <c r="BO1013" s="161"/>
      <c r="BP1013" s="161"/>
      <c r="BQ1013" s="161"/>
      <c r="BR1013" s="161"/>
      <c r="BS1013" s="161"/>
      <c r="BT1013" s="161"/>
      <c r="BU1013" s="161"/>
      <c r="BV1013" s="161"/>
      <c r="BW1013" s="161"/>
      <c r="BX1013" s="161"/>
    </row>
    <row r="1014">
      <c r="A1014" s="161"/>
      <c r="B1014" s="161"/>
      <c r="C1014" s="161"/>
      <c r="D1014" s="161"/>
      <c r="E1014" s="161"/>
      <c r="F1014" s="161"/>
      <c r="G1014" s="161"/>
      <c r="H1014" s="161"/>
      <c r="I1014" s="161"/>
      <c r="J1014" s="161"/>
      <c r="K1014" s="161"/>
      <c r="L1014" s="161"/>
      <c r="M1014" s="161"/>
      <c r="N1014" s="161"/>
      <c r="O1014" s="161"/>
      <c r="P1014" s="161"/>
      <c r="Q1014" s="161"/>
      <c r="R1014" s="161"/>
      <c r="S1014" s="161"/>
      <c r="T1014" s="161"/>
      <c r="U1014" s="161"/>
      <c r="V1014" s="161"/>
      <c r="W1014" s="161"/>
      <c r="X1014" s="161"/>
      <c r="Y1014" s="161"/>
      <c r="Z1014" s="161"/>
      <c r="AA1014" s="161"/>
      <c r="AB1014" s="161"/>
      <c r="AC1014" s="161"/>
      <c r="AD1014" s="161"/>
      <c r="AE1014" s="161"/>
      <c r="AF1014" s="161"/>
      <c r="AG1014" s="161"/>
      <c r="AH1014" s="161"/>
      <c r="AI1014" s="161"/>
      <c r="AJ1014" s="161"/>
      <c r="AK1014" s="161"/>
      <c r="AL1014" s="161"/>
      <c r="AM1014" s="161"/>
      <c r="AN1014" s="161"/>
      <c r="AO1014" s="161"/>
      <c r="AP1014" s="161"/>
      <c r="AQ1014" s="161"/>
      <c r="AR1014" s="161"/>
      <c r="AS1014" s="161"/>
      <c r="AT1014" s="161"/>
      <c r="AU1014" s="161"/>
      <c r="AV1014" s="161"/>
      <c r="AW1014" s="161"/>
      <c r="AX1014" s="161"/>
      <c r="AY1014" s="161"/>
      <c r="AZ1014" s="161"/>
      <c r="BA1014" s="161"/>
      <c r="BB1014" s="161"/>
      <c r="BC1014" s="161"/>
      <c r="BD1014" s="161"/>
      <c r="BE1014" s="161"/>
      <c r="BF1014" s="161"/>
      <c r="BG1014" s="161"/>
      <c r="BH1014" s="161"/>
      <c r="BI1014" s="161"/>
      <c r="BJ1014" s="161"/>
      <c r="BK1014" s="161"/>
      <c r="BL1014" s="161"/>
      <c r="BM1014" s="161"/>
      <c r="BN1014" s="161"/>
      <c r="BO1014" s="161"/>
      <c r="BP1014" s="161"/>
      <c r="BQ1014" s="161"/>
      <c r="BR1014" s="161"/>
      <c r="BS1014" s="161"/>
      <c r="BT1014" s="161"/>
      <c r="BU1014" s="161"/>
      <c r="BV1014" s="161"/>
      <c r="BW1014" s="161"/>
      <c r="BX1014" s="161"/>
    </row>
    <row r="1015">
      <c r="A1015" s="161"/>
      <c r="B1015" s="161"/>
      <c r="C1015" s="161"/>
      <c r="D1015" s="161"/>
      <c r="E1015" s="161"/>
      <c r="F1015" s="161"/>
      <c r="G1015" s="161"/>
      <c r="H1015" s="161"/>
      <c r="I1015" s="161"/>
      <c r="J1015" s="161"/>
      <c r="K1015" s="161"/>
      <c r="L1015" s="161"/>
      <c r="M1015" s="161"/>
      <c r="N1015" s="161"/>
      <c r="O1015" s="161"/>
      <c r="P1015" s="161"/>
      <c r="Q1015" s="161"/>
      <c r="R1015" s="161"/>
      <c r="S1015" s="161"/>
      <c r="T1015" s="161"/>
      <c r="U1015" s="161"/>
      <c r="V1015" s="161"/>
      <c r="W1015" s="161"/>
      <c r="X1015" s="161"/>
      <c r="Y1015" s="161"/>
      <c r="Z1015" s="161"/>
      <c r="AA1015" s="161"/>
      <c r="AB1015" s="161"/>
      <c r="AC1015" s="161"/>
      <c r="AD1015" s="161"/>
      <c r="AE1015" s="161"/>
      <c r="AF1015" s="161"/>
      <c r="AG1015" s="161"/>
      <c r="AH1015" s="161"/>
      <c r="AI1015" s="161"/>
      <c r="AJ1015" s="161"/>
      <c r="AK1015" s="161"/>
      <c r="AL1015" s="161"/>
      <c r="AM1015" s="161"/>
      <c r="AN1015" s="161"/>
      <c r="AO1015" s="161"/>
      <c r="AP1015" s="161"/>
      <c r="AQ1015" s="161"/>
      <c r="AR1015" s="161"/>
      <c r="AS1015" s="161"/>
      <c r="AT1015" s="161"/>
      <c r="AU1015" s="161"/>
      <c r="AV1015" s="161"/>
      <c r="AW1015" s="161"/>
      <c r="AX1015" s="161"/>
      <c r="AY1015" s="161"/>
      <c r="AZ1015" s="161"/>
      <c r="BA1015" s="161"/>
      <c r="BB1015" s="161"/>
      <c r="BC1015" s="161"/>
      <c r="BD1015" s="161"/>
      <c r="BE1015" s="161"/>
      <c r="BF1015" s="161"/>
      <c r="BG1015" s="161"/>
      <c r="BH1015" s="161"/>
      <c r="BI1015" s="161"/>
      <c r="BJ1015" s="161"/>
      <c r="BK1015" s="161"/>
      <c r="BL1015" s="161"/>
      <c r="BM1015" s="161"/>
      <c r="BN1015" s="161"/>
      <c r="BO1015" s="161"/>
      <c r="BP1015" s="161"/>
      <c r="BQ1015" s="161"/>
      <c r="BR1015" s="161"/>
      <c r="BS1015" s="161"/>
      <c r="BT1015" s="161"/>
      <c r="BU1015" s="161"/>
      <c r="BV1015" s="161"/>
      <c r="BW1015" s="161"/>
      <c r="BX1015" s="161"/>
    </row>
    <row r="1016">
      <c r="A1016" s="161"/>
      <c r="B1016" s="161"/>
      <c r="C1016" s="161"/>
      <c r="D1016" s="161"/>
      <c r="E1016" s="161"/>
      <c r="F1016" s="161"/>
      <c r="G1016" s="161"/>
      <c r="H1016" s="161"/>
      <c r="I1016" s="161"/>
      <c r="J1016" s="161"/>
      <c r="K1016" s="161"/>
      <c r="L1016" s="161"/>
      <c r="M1016" s="161"/>
      <c r="N1016" s="161"/>
      <c r="O1016" s="161"/>
      <c r="P1016" s="161"/>
      <c r="Q1016" s="161"/>
      <c r="R1016" s="161"/>
      <c r="S1016" s="161"/>
      <c r="T1016" s="161"/>
      <c r="U1016" s="161"/>
      <c r="V1016" s="161"/>
      <c r="W1016" s="161"/>
      <c r="X1016" s="161"/>
      <c r="Y1016" s="161"/>
      <c r="Z1016" s="161"/>
      <c r="AA1016" s="161"/>
      <c r="AB1016" s="161"/>
      <c r="AC1016" s="161"/>
      <c r="AD1016" s="161"/>
      <c r="AE1016" s="161"/>
      <c r="AF1016" s="161"/>
      <c r="AG1016" s="161"/>
      <c r="AH1016" s="161"/>
      <c r="AI1016" s="161"/>
      <c r="AJ1016" s="161"/>
      <c r="AK1016" s="161"/>
      <c r="AL1016" s="161"/>
      <c r="AM1016" s="161"/>
      <c r="AN1016" s="161"/>
      <c r="AO1016" s="161"/>
      <c r="AP1016" s="161"/>
      <c r="AQ1016" s="161"/>
      <c r="AR1016" s="161"/>
      <c r="AS1016" s="161"/>
      <c r="AT1016" s="161"/>
      <c r="AU1016" s="161"/>
      <c r="AV1016" s="161"/>
      <c r="AW1016" s="161"/>
      <c r="AX1016" s="161"/>
      <c r="AY1016" s="161"/>
      <c r="AZ1016" s="161"/>
      <c r="BA1016" s="161"/>
      <c r="BB1016" s="161"/>
      <c r="BC1016" s="161"/>
      <c r="BD1016" s="161"/>
      <c r="BE1016" s="161"/>
      <c r="BF1016" s="161"/>
      <c r="BG1016" s="161"/>
      <c r="BH1016" s="161"/>
      <c r="BI1016" s="161"/>
      <c r="BJ1016" s="161"/>
      <c r="BK1016" s="161"/>
      <c r="BL1016" s="161"/>
      <c r="BM1016" s="161"/>
      <c r="BN1016" s="161"/>
      <c r="BO1016" s="161"/>
      <c r="BP1016" s="161"/>
      <c r="BQ1016" s="161"/>
      <c r="BR1016" s="161"/>
      <c r="BS1016" s="161"/>
      <c r="BT1016" s="161"/>
      <c r="BU1016" s="161"/>
      <c r="BV1016" s="161"/>
      <c r="BW1016" s="161"/>
      <c r="BX1016" s="161"/>
    </row>
    <row r="1017">
      <c r="A1017" s="161"/>
      <c r="B1017" s="161"/>
      <c r="C1017" s="161"/>
      <c r="D1017" s="161"/>
      <c r="E1017" s="161"/>
      <c r="F1017" s="161"/>
      <c r="G1017" s="161"/>
      <c r="H1017" s="161"/>
      <c r="I1017" s="161"/>
      <c r="J1017" s="161"/>
      <c r="K1017" s="161"/>
      <c r="L1017" s="161"/>
      <c r="M1017" s="161"/>
      <c r="N1017" s="161"/>
      <c r="O1017" s="161"/>
      <c r="P1017" s="161"/>
      <c r="Q1017" s="161"/>
      <c r="R1017" s="161"/>
      <c r="S1017" s="161"/>
      <c r="T1017" s="161"/>
      <c r="U1017" s="161"/>
      <c r="V1017" s="161"/>
      <c r="W1017" s="161"/>
      <c r="X1017" s="161"/>
      <c r="Y1017" s="161"/>
      <c r="Z1017" s="161"/>
      <c r="AA1017" s="161"/>
      <c r="AB1017" s="161"/>
      <c r="AC1017" s="161"/>
      <c r="AD1017" s="161"/>
      <c r="AE1017" s="161"/>
      <c r="AF1017" s="161"/>
      <c r="AG1017" s="161"/>
      <c r="AH1017" s="161"/>
      <c r="AI1017" s="161"/>
      <c r="AJ1017" s="161"/>
      <c r="AK1017" s="161"/>
      <c r="AL1017" s="161"/>
      <c r="AM1017" s="161"/>
      <c r="AN1017" s="161"/>
      <c r="AO1017" s="161"/>
      <c r="AP1017" s="161"/>
      <c r="AQ1017" s="161"/>
      <c r="AR1017" s="161"/>
      <c r="AS1017" s="161"/>
      <c r="AT1017" s="161"/>
      <c r="AU1017" s="161"/>
      <c r="AV1017" s="161"/>
      <c r="AW1017" s="161"/>
      <c r="AX1017" s="161"/>
      <c r="AY1017" s="161"/>
      <c r="AZ1017" s="161"/>
      <c r="BA1017" s="161"/>
      <c r="BB1017" s="161"/>
      <c r="BC1017" s="161"/>
      <c r="BD1017" s="161"/>
      <c r="BE1017" s="161"/>
      <c r="BF1017" s="161"/>
      <c r="BG1017" s="161"/>
      <c r="BH1017" s="161"/>
      <c r="BI1017" s="161"/>
      <c r="BJ1017" s="161"/>
      <c r="BK1017" s="161"/>
      <c r="BL1017" s="161"/>
      <c r="BM1017" s="161"/>
      <c r="BN1017" s="161"/>
      <c r="BO1017" s="161"/>
      <c r="BP1017" s="161"/>
      <c r="BQ1017" s="161"/>
      <c r="BR1017" s="161"/>
      <c r="BS1017" s="161"/>
      <c r="BT1017" s="161"/>
      <c r="BU1017" s="161"/>
      <c r="BV1017" s="161"/>
      <c r="BW1017" s="161"/>
      <c r="BX1017" s="161"/>
    </row>
    <row r="1018">
      <c r="A1018" s="161"/>
      <c r="B1018" s="161"/>
      <c r="C1018" s="161"/>
      <c r="D1018" s="161"/>
      <c r="E1018" s="161"/>
      <c r="F1018" s="161"/>
      <c r="G1018" s="161"/>
      <c r="H1018" s="161"/>
      <c r="I1018" s="161"/>
      <c r="J1018" s="161"/>
      <c r="K1018" s="161"/>
      <c r="L1018" s="161"/>
      <c r="M1018" s="161"/>
      <c r="N1018" s="161"/>
      <c r="O1018" s="161"/>
      <c r="P1018" s="161"/>
      <c r="Q1018" s="161"/>
      <c r="R1018" s="161"/>
      <c r="S1018" s="161"/>
      <c r="T1018" s="161"/>
      <c r="U1018" s="161"/>
      <c r="V1018" s="161"/>
      <c r="W1018" s="161"/>
      <c r="X1018" s="161"/>
      <c r="Y1018" s="161"/>
      <c r="Z1018" s="161"/>
      <c r="AA1018" s="161"/>
      <c r="AB1018" s="161"/>
      <c r="AC1018" s="161"/>
      <c r="AD1018" s="161"/>
      <c r="AE1018" s="161"/>
      <c r="AF1018" s="161"/>
      <c r="AG1018" s="161"/>
      <c r="AH1018" s="161"/>
      <c r="AI1018" s="161"/>
      <c r="AJ1018" s="161"/>
      <c r="AK1018" s="161"/>
      <c r="AL1018" s="161"/>
      <c r="AM1018" s="161"/>
      <c r="AN1018" s="161"/>
      <c r="AO1018" s="161"/>
      <c r="AP1018" s="161"/>
      <c r="AQ1018" s="161"/>
      <c r="AR1018" s="161"/>
      <c r="AS1018" s="161"/>
      <c r="AT1018" s="161"/>
      <c r="AU1018" s="161"/>
      <c r="AV1018" s="161"/>
      <c r="AW1018" s="161"/>
      <c r="AX1018" s="161"/>
      <c r="AY1018" s="161"/>
      <c r="AZ1018" s="161"/>
      <c r="BA1018" s="161"/>
      <c r="BB1018" s="161"/>
      <c r="BC1018" s="161"/>
      <c r="BD1018" s="161"/>
      <c r="BE1018" s="161"/>
      <c r="BF1018" s="161"/>
      <c r="BG1018" s="161"/>
      <c r="BH1018" s="161"/>
      <c r="BI1018" s="161"/>
      <c r="BJ1018" s="161"/>
      <c r="BK1018" s="161"/>
      <c r="BL1018" s="161"/>
      <c r="BM1018" s="161"/>
      <c r="BN1018" s="161"/>
      <c r="BO1018" s="161"/>
      <c r="BP1018" s="161"/>
      <c r="BQ1018" s="161"/>
      <c r="BR1018" s="161"/>
      <c r="BS1018" s="161"/>
      <c r="BT1018" s="161"/>
      <c r="BU1018" s="161"/>
      <c r="BV1018" s="161"/>
      <c r="BW1018" s="161"/>
      <c r="BX1018" s="161"/>
    </row>
    <row r="1019">
      <c r="A1019" s="161"/>
      <c r="B1019" s="161"/>
      <c r="C1019" s="161"/>
      <c r="D1019" s="161"/>
      <c r="E1019" s="161"/>
      <c r="F1019" s="161"/>
      <c r="G1019" s="161"/>
      <c r="H1019" s="161"/>
      <c r="I1019" s="161"/>
      <c r="J1019" s="161"/>
      <c r="K1019" s="161"/>
      <c r="L1019" s="161"/>
      <c r="M1019" s="161"/>
      <c r="N1019" s="161"/>
      <c r="O1019" s="161"/>
      <c r="P1019" s="161"/>
      <c r="Q1019" s="161"/>
      <c r="R1019" s="161"/>
      <c r="S1019" s="161"/>
      <c r="T1019" s="161"/>
      <c r="U1019" s="161"/>
      <c r="V1019" s="161"/>
      <c r="W1019" s="161"/>
      <c r="X1019" s="161"/>
      <c r="Y1019" s="161"/>
      <c r="Z1019" s="161"/>
      <c r="AA1019" s="161"/>
      <c r="AB1019" s="161"/>
      <c r="AC1019" s="161"/>
      <c r="AD1019" s="161"/>
      <c r="AE1019" s="161"/>
      <c r="AF1019" s="161"/>
      <c r="AG1019" s="161"/>
      <c r="AH1019" s="161"/>
      <c r="AI1019" s="161"/>
      <c r="AJ1019" s="161"/>
      <c r="AK1019" s="161"/>
      <c r="AL1019" s="161"/>
      <c r="AM1019" s="161"/>
      <c r="AN1019" s="161"/>
      <c r="AO1019" s="161"/>
      <c r="AP1019" s="161"/>
      <c r="AQ1019" s="161"/>
      <c r="AR1019" s="161"/>
      <c r="AS1019" s="161"/>
      <c r="AT1019" s="161"/>
      <c r="AU1019" s="161"/>
      <c r="AV1019" s="161"/>
      <c r="AW1019" s="161"/>
      <c r="AX1019" s="161"/>
      <c r="AY1019" s="161"/>
      <c r="AZ1019" s="161"/>
      <c r="BA1019" s="161"/>
      <c r="BB1019" s="161"/>
      <c r="BC1019" s="161"/>
      <c r="BD1019" s="161"/>
      <c r="BE1019" s="161"/>
      <c r="BF1019" s="161"/>
      <c r="BG1019" s="161"/>
      <c r="BH1019" s="161"/>
      <c r="BI1019" s="161"/>
      <c r="BJ1019" s="161"/>
      <c r="BK1019" s="161"/>
      <c r="BL1019" s="161"/>
      <c r="BM1019" s="161"/>
      <c r="BN1019" s="161"/>
      <c r="BO1019" s="161"/>
      <c r="BP1019" s="161"/>
      <c r="BQ1019" s="161"/>
      <c r="BR1019" s="161"/>
      <c r="BS1019" s="161"/>
      <c r="BT1019" s="161"/>
      <c r="BU1019" s="161"/>
      <c r="BV1019" s="161"/>
      <c r="BW1019" s="161"/>
      <c r="BX1019" s="161"/>
    </row>
    <row r="1020">
      <c r="A1020" s="161"/>
      <c r="B1020" s="161"/>
      <c r="C1020" s="161"/>
      <c r="D1020" s="161"/>
      <c r="E1020" s="161"/>
      <c r="F1020" s="161"/>
      <c r="G1020" s="161"/>
      <c r="H1020" s="161"/>
      <c r="I1020" s="161"/>
      <c r="J1020" s="161"/>
      <c r="K1020" s="161"/>
      <c r="L1020" s="161"/>
      <c r="M1020" s="161"/>
      <c r="N1020" s="161"/>
      <c r="O1020" s="161"/>
      <c r="P1020" s="161"/>
      <c r="Q1020" s="161"/>
      <c r="R1020" s="161"/>
      <c r="S1020" s="161"/>
      <c r="T1020" s="161"/>
      <c r="U1020" s="161"/>
      <c r="V1020" s="161"/>
      <c r="W1020" s="161"/>
      <c r="X1020" s="161"/>
      <c r="Y1020" s="161"/>
      <c r="Z1020" s="161"/>
      <c r="AA1020" s="161"/>
      <c r="AB1020" s="161"/>
      <c r="AC1020" s="161"/>
      <c r="AD1020" s="161"/>
      <c r="AE1020" s="161"/>
      <c r="AF1020" s="161"/>
      <c r="AG1020" s="161"/>
      <c r="AH1020" s="161"/>
      <c r="AI1020" s="161"/>
      <c r="AJ1020" s="161"/>
      <c r="AK1020" s="161"/>
      <c r="AL1020" s="161"/>
      <c r="AM1020" s="161"/>
      <c r="AN1020" s="161"/>
      <c r="AO1020" s="161"/>
      <c r="AP1020" s="161"/>
      <c r="AQ1020" s="161"/>
      <c r="AR1020" s="161"/>
      <c r="AS1020" s="161"/>
      <c r="AT1020" s="161"/>
      <c r="AU1020" s="161"/>
      <c r="AV1020" s="161"/>
      <c r="AW1020" s="161"/>
      <c r="AX1020" s="161"/>
      <c r="AY1020" s="161"/>
      <c r="AZ1020" s="161"/>
      <c r="BA1020" s="161"/>
      <c r="BB1020" s="161"/>
      <c r="BC1020" s="161"/>
      <c r="BD1020" s="161"/>
      <c r="BE1020" s="161"/>
      <c r="BF1020" s="161"/>
      <c r="BG1020" s="161"/>
      <c r="BH1020" s="161"/>
      <c r="BI1020" s="161"/>
      <c r="BJ1020" s="161"/>
      <c r="BK1020" s="161"/>
      <c r="BL1020" s="161"/>
      <c r="BM1020" s="161"/>
      <c r="BN1020" s="161"/>
      <c r="BO1020" s="161"/>
      <c r="BP1020" s="161"/>
      <c r="BQ1020" s="161"/>
      <c r="BR1020" s="161"/>
      <c r="BS1020" s="161"/>
      <c r="BT1020" s="161"/>
      <c r="BU1020" s="161"/>
      <c r="BV1020" s="161"/>
      <c r="BW1020" s="161"/>
      <c r="BX1020" s="161"/>
    </row>
    <row r="1021">
      <c r="A1021" s="161"/>
      <c r="B1021" s="161"/>
      <c r="C1021" s="161"/>
      <c r="D1021" s="161"/>
      <c r="E1021" s="161"/>
      <c r="F1021" s="161"/>
      <c r="G1021" s="161"/>
      <c r="H1021" s="161"/>
      <c r="I1021" s="161"/>
      <c r="J1021" s="161"/>
      <c r="K1021" s="161"/>
      <c r="L1021" s="161"/>
      <c r="M1021" s="161"/>
      <c r="N1021" s="161"/>
      <c r="O1021" s="161"/>
      <c r="P1021" s="161"/>
      <c r="Q1021" s="161"/>
      <c r="R1021" s="161"/>
      <c r="S1021" s="161"/>
      <c r="T1021" s="161"/>
      <c r="U1021" s="161"/>
      <c r="V1021" s="161"/>
      <c r="W1021" s="161"/>
      <c r="X1021" s="161"/>
      <c r="Y1021" s="161"/>
      <c r="Z1021" s="161"/>
      <c r="AA1021" s="161"/>
      <c r="AB1021" s="161"/>
      <c r="AC1021" s="161"/>
      <c r="AD1021" s="161"/>
      <c r="AE1021" s="161"/>
      <c r="AF1021" s="161"/>
      <c r="AG1021" s="161"/>
      <c r="AH1021" s="161"/>
      <c r="AI1021" s="161"/>
      <c r="AJ1021" s="161"/>
      <c r="AK1021" s="161"/>
      <c r="AL1021" s="161"/>
      <c r="AM1021" s="161"/>
      <c r="AN1021" s="161"/>
      <c r="AO1021" s="161"/>
      <c r="AP1021" s="161"/>
      <c r="AQ1021" s="161"/>
      <c r="AR1021" s="161"/>
      <c r="AS1021" s="161"/>
      <c r="AT1021" s="161"/>
      <c r="AU1021" s="161"/>
      <c r="AV1021" s="161"/>
      <c r="AW1021" s="161"/>
      <c r="AX1021" s="161"/>
      <c r="AY1021" s="161"/>
      <c r="AZ1021" s="161"/>
      <c r="BA1021" s="161"/>
      <c r="BB1021" s="161"/>
      <c r="BC1021" s="161"/>
      <c r="BD1021" s="161"/>
      <c r="BE1021" s="161"/>
      <c r="BF1021" s="161"/>
      <c r="BG1021" s="161"/>
      <c r="BH1021" s="161"/>
      <c r="BI1021" s="161"/>
      <c r="BJ1021" s="161"/>
      <c r="BK1021" s="161"/>
      <c r="BL1021" s="161"/>
      <c r="BM1021" s="161"/>
      <c r="BN1021" s="161"/>
      <c r="BO1021" s="161"/>
      <c r="BP1021" s="161"/>
      <c r="BQ1021" s="161"/>
      <c r="BR1021" s="161"/>
      <c r="BS1021" s="161"/>
      <c r="BT1021" s="161"/>
      <c r="BU1021" s="161"/>
      <c r="BV1021" s="161"/>
      <c r="BW1021" s="161"/>
      <c r="BX1021" s="161"/>
    </row>
    <row r="1022">
      <c r="A1022" s="161"/>
      <c r="B1022" s="161"/>
      <c r="C1022" s="161"/>
      <c r="D1022" s="161"/>
      <c r="E1022" s="161"/>
      <c r="F1022" s="161"/>
      <c r="G1022" s="161"/>
      <c r="H1022" s="161"/>
      <c r="I1022" s="161"/>
      <c r="J1022" s="161"/>
      <c r="K1022" s="161"/>
      <c r="L1022" s="161"/>
      <c r="M1022" s="161"/>
      <c r="N1022" s="161"/>
      <c r="O1022" s="161"/>
      <c r="P1022" s="161"/>
      <c r="Q1022" s="161"/>
      <c r="R1022" s="161"/>
      <c r="S1022" s="161"/>
      <c r="T1022" s="161"/>
      <c r="U1022" s="161"/>
      <c r="V1022" s="161"/>
      <c r="W1022" s="161"/>
      <c r="X1022" s="161"/>
      <c r="Y1022" s="161"/>
      <c r="Z1022" s="161"/>
      <c r="AA1022" s="161"/>
      <c r="AB1022" s="161"/>
      <c r="AC1022" s="161"/>
      <c r="AD1022" s="161"/>
      <c r="AE1022" s="161"/>
      <c r="AF1022" s="161"/>
      <c r="AG1022" s="161"/>
      <c r="AH1022" s="161"/>
      <c r="AI1022" s="161"/>
      <c r="AJ1022" s="161"/>
      <c r="AK1022" s="161"/>
      <c r="AL1022" s="161"/>
      <c r="AM1022" s="161"/>
      <c r="AN1022" s="161"/>
      <c r="AO1022" s="161"/>
      <c r="AP1022" s="161"/>
      <c r="AQ1022" s="161"/>
      <c r="AR1022" s="161"/>
      <c r="AS1022" s="161"/>
      <c r="AT1022" s="161"/>
      <c r="AU1022" s="161"/>
      <c r="AV1022" s="161"/>
      <c r="AW1022" s="161"/>
      <c r="AX1022" s="161"/>
      <c r="AY1022" s="161"/>
      <c r="AZ1022" s="161"/>
      <c r="BA1022" s="161"/>
      <c r="BB1022" s="161"/>
      <c r="BC1022" s="161"/>
      <c r="BD1022" s="161"/>
      <c r="BE1022" s="161"/>
      <c r="BF1022" s="161"/>
      <c r="BG1022" s="161"/>
      <c r="BH1022" s="161"/>
      <c r="BI1022" s="161"/>
      <c r="BJ1022" s="161"/>
      <c r="BK1022" s="161"/>
      <c r="BL1022" s="161"/>
      <c r="BM1022" s="161"/>
      <c r="BN1022" s="161"/>
      <c r="BO1022" s="161"/>
      <c r="BP1022" s="161"/>
      <c r="BQ1022" s="161"/>
      <c r="BR1022" s="161"/>
      <c r="BS1022" s="161"/>
      <c r="BT1022" s="161"/>
      <c r="BU1022" s="161"/>
      <c r="BV1022" s="161"/>
      <c r="BW1022" s="161"/>
      <c r="BX1022" s="161"/>
    </row>
    <row r="1023">
      <c r="A1023" s="161"/>
      <c r="B1023" s="161"/>
      <c r="C1023" s="161"/>
      <c r="D1023" s="161"/>
      <c r="E1023" s="161"/>
      <c r="F1023" s="161"/>
      <c r="G1023" s="161"/>
      <c r="H1023" s="161"/>
      <c r="I1023" s="161"/>
      <c r="J1023" s="161"/>
      <c r="K1023" s="161"/>
      <c r="L1023" s="161"/>
      <c r="M1023" s="161"/>
      <c r="N1023" s="161"/>
      <c r="O1023" s="161"/>
      <c r="P1023" s="161"/>
      <c r="Q1023" s="161"/>
      <c r="R1023" s="161"/>
      <c r="S1023" s="161"/>
      <c r="T1023" s="161"/>
      <c r="U1023" s="161"/>
      <c r="V1023" s="161"/>
      <c r="W1023" s="161"/>
      <c r="X1023" s="161"/>
      <c r="Y1023" s="161"/>
      <c r="Z1023" s="161"/>
      <c r="AA1023" s="161"/>
      <c r="AB1023" s="161"/>
      <c r="AC1023" s="161"/>
      <c r="AD1023" s="161"/>
      <c r="AE1023" s="161"/>
      <c r="AF1023" s="161"/>
      <c r="AG1023" s="161"/>
      <c r="AH1023" s="161"/>
      <c r="AI1023" s="161"/>
      <c r="AJ1023" s="161"/>
      <c r="AK1023" s="161"/>
      <c r="AL1023" s="161"/>
      <c r="AM1023" s="161"/>
      <c r="AN1023" s="161"/>
      <c r="AO1023" s="161"/>
      <c r="AP1023" s="161"/>
      <c r="AQ1023" s="161"/>
      <c r="AR1023" s="161"/>
      <c r="AS1023" s="161"/>
      <c r="AT1023" s="161"/>
      <c r="AU1023" s="161"/>
      <c r="AV1023" s="161"/>
      <c r="AW1023" s="161"/>
      <c r="AX1023" s="161"/>
      <c r="AY1023" s="161"/>
      <c r="AZ1023" s="161"/>
      <c r="BA1023" s="161"/>
      <c r="BB1023" s="161"/>
      <c r="BC1023" s="161"/>
      <c r="BD1023" s="161"/>
      <c r="BE1023" s="161"/>
      <c r="BF1023" s="161"/>
      <c r="BG1023" s="161"/>
      <c r="BH1023" s="161"/>
      <c r="BI1023" s="161"/>
      <c r="BJ1023" s="161"/>
      <c r="BK1023" s="161"/>
      <c r="BL1023" s="161"/>
      <c r="BM1023" s="161"/>
      <c r="BN1023" s="161"/>
      <c r="BO1023" s="161"/>
      <c r="BP1023" s="161"/>
      <c r="BQ1023" s="161"/>
      <c r="BR1023" s="161"/>
      <c r="BS1023" s="161"/>
      <c r="BT1023" s="161"/>
      <c r="BU1023" s="161"/>
      <c r="BV1023" s="161"/>
      <c r="BW1023" s="161"/>
      <c r="BX1023" s="161"/>
    </row>
    <row r="1024">
      <c r="A1024" s="161"/>
      <c r="B1024" s="161"/>
      <c r="C1024" s="161"/>
      <c r="D1024" s="161"/>
      <c r="E1024" s="161"/>
      <c r="F1024" s="161"/>
      <c r="G1024" s="161"/>
      <c r="H1024" s="161"/>
      <c r="I1024" s="161"/>
      <c r="J1024" s="161"/>
      <c r="K1024" s="161"/>
      <c r="L1024" s="161"/>
      <c r="M1024" s="161"/>
      <c r="N1024" s="161"/>
      <c r="O1024" s="161"/>
      <c r="P1024" s="161"/>
      <c r="Q1024" s="161"/>
      <c r="R1024" s="161"/>
      <c r="S1024" s="161"/>
      <c r="T1024" s="161"/>
      <c r="U1024" s="161"/>
      <c r="V1024" s="161"/>
      <c r="W1024" s="161"/>
      <c r="X1024" s="161"/>
      <c r="Y1024" s="161"/>
      <c r="Z1024" s="161"/>
      <c r="AA1024" s="161"/>
      <c r="AB1024" s="161"/>
      <c r="AC1024" s="161"/>
      <c r="AD1024" s="161"/>
      <c r="AE1024" s="161"/>
      <c r="AF1024" s="161"/>
      <c r="AG1024" s="161"/>
      <c r="AH1024" s="161"/>
      <c r="AI1024" s="161"/>
      <c r="AJ1024" s="161"/>
      <c r="AK1024" s="161"/>
      <c r="AL1024" s="161"/>
      <c r="AM1024" s="161"/>
      <c r="AN1024" s="161"/>
      <c r="AO1024" s="161"/>
      <c r="AP1024" s="161"/>
      <c r="AQ1024" s="161"/>
      <c r="AR1024" s="161"/>
      <c r="AS1024" s="161"/>
      <c r="AT1024" s="161"/>
      <c r="AU1024" s="161"/>
      <c r="AV1024" s="161"/>
      <c r="AW1024" s="161"/>
      <c r="AX1024" s="161"/>
      <c r="AY1024" s="161"/>
      <c r="AZ1024" s="161"/>
      <c r="BA1024" s="161"/>
      <c r="BB1024" s="161"/>
      <c r="BC1024" s="161"/>
      <c r="BD1024" s="161"/>
      <c r="BE1024" s="161"/>
      <c r="BF1024" s="161"/>
      <c r="BG1024" s="161"/>
      <c r="BH1024" s="161"/>
      <c r="BI1024" s="161"/>
      <c r="BJ1024" s="161"/>
      <c r="BK1024" s="161"/>
      <c r="BL1024" s="161"/>
      <c r="BM1024" s="161"/>
      <c r="BN1024" s="161"/>
      <c r="BO1024" s="161"/>
      <c r="BP1024" s="161"/>
      <c r="BQ1024" s="161"/>
      <c r="BR1024" s="161"/>
      <c r="BS1024" s="161"/>
      <c r="BT1024" s="161"/>
      <c r="BU1024" s="161"/>
      <c r="BV1024" s="161"/>
      <c r="BW1024" s="161"/>
      <c r="BX1024" s="161"/>
    </row>
    <row r="1025">
      <c r="A1025" s="161"/>
      <c r="B1025" s="161"/>
      <c r="C1025" s="161"/>
      <c r="D1025" s="161"/>
      <c r="E1025" s="161"/>
      <c r="F1025" s="161"/>
      <c r="G1025" s="161"/>
      <c r="H1025" s="161"/>
      <c r="I1025" s="161"/>
      <c r="J1025" s="161"/>
      <c r="K1025" s="161"/>
      <c r="L1025" s="161"/>
      <c r="M1025" s="161"/>
      <c r="N1025" s="161"/>
      <c r="O1025" s="161"/>
      <c r="P1025" s="161"/>
      <c r="Q1025" s="161"/>
      <c r="R1025" s="161"/>
      <c r="S1025" s="161"/>
      <c r="T1025" s="161"/>
      <c r="U1025" s="161"/>
      <c r="V1025" s="161"/>
      <c r="W1025" s="161"/>
      <c r="X1025" s="161"/>
      <c r="Y1025" s="161"/>
      <c r="Z1025" s="161"/>
      <c r="AA1025" s="161"/>
      <c r="AB1025" s="161"/>
      <c r="AC1025" s="161"/>
      <c r="AD1025" s="161"/>
      <c r="AE1025" s="161"/>
      <c r="AF1025" s="161"/>
      <c r="AG1025" s="161"/>
      <c r="AH1025" s="161"/>
      <c r="AI1025" s="161"/>
      <c r="AJ1025" s="161"/>
      <c r="AK1025" s="161"/>
      <c r="AL1025" s="161"/>
      <c r="AM1025" s="161"/>
      <c r="AN1025" s="161"/>
      <c r="AO1025" s="161"/>
      <c r="AP1025" s="161"/>
      <c r="AQ1025" s="161"/>
      <c r="AR1025" s="161"/>
      <c r="AS1025" s="161"/>
      <c r="AT1025" s="161"/>
      <c r="AU1025" s="161"/>
      <c r="AV1025" s="161"/>
      <c r="AW1025" s="161"/>
      <c r="AX1025" s="161"/>
      <c r="AY1025" s="161"/>
      <c r="AZ1025" s="161"/>
      <c r="BA1025" s="161"/>
      <c r="BB1025" s="161"/>
      <c r="BC1025" s="161"/>
      <c r="BD1025" s="161"/>
      <c r="BE1025" s="161"/>
      <c r="BF1025" s="161"/>
      <c r="BG1025" s="161"/>
      <c r="BH1025" s="161"/>
      <c r="BI1025" s="161"/>
      <c r="BJ1025" s="161"/>
      <c r="BK1025" s="161"/>
      <c r="BL1025" s="161"/>
      <c r="BM1025" s="161"/>
      <c r="BN1025" s="161"/>
      <c r="BO1025" s="161"/>
      <c r="BP1025" s="161"/>
      <c r="BQ1025" s="161"/>
      <c r="BR1025" s="161"/>
      <c r="BS1025" s="161"/>
      <c r="BT1025" s="161"/>
      <c r="BU1025" s="161"/>
      <c r="BV1025" s="161"/>
      <c r="BW1025" s="161"/>
      <c r="BX1025" s="161"/>
    </row>
    <row r="1026">
      <c r="A1026" s="161"/>
      <c r="B1026" s="161"/>
      <c r="C1026" s="161"/>
      <c r="D1026" s="161"/>
      <c r="E1026" s="161"/>
      <c r="F1026" s="161"/>
      <c r="G1026" s="161"/>
      <c r="H1026" s="161"/>
      <c r="I1026" s="161"/>
      <c r="J1026" s="161"/>
      <c r="K1026" s="161"/>
      <c r="L1026" s="161"/>
      <c r="M1026" s="161"/>
      <c r="N1026" s="161"/>
      <c r="O1026" s="161"/>
      <c r="P1026" s="161"/>
      <c r="Q1026" s="161"/>
      <c r="R1026" s="161"/>
      <c r="S1026" s="161"/>
      <c r="T1026" s="161"/>
      <c r="U1026" s="161"/>
      <c r="V1026" s="161"/>
      <c r="W1026" s="161"/>
      <c r="X1026" s="161"/>
      <c r="Y1026" s="161"/>
      <c r="Z1026" s="161"/>
      <c r="AA1026" s="161"/>
      <c r="AB1026" s="161"/>
      <c r="AC1026" s="161"/>
      <c r="AD1026" s="161"/>
      <c r="AE1026" s="161"/>
      <c r="AF1026" s="161"/>
      <c r="AG1026" s="161"/>
      <c r="AH1026" s="161"/>
      <c r="AI1026" s="161"/>
      <c r="AJ1026" s="161"/>
      <c r="AK1026" s="161"/>
      <c r="AL1026" s="161"/>
      <c r="AM1026" s="161"/>
      <c r="AN1026" s="161"/>
      <c r="AO1026" s="161"/>
      <c r="AP1026" s="161"/>
      <c r="AQ1026" s="161"/>
      <c r="AR1026" s="161"/>
      <c r="AS1026" s="161"/>
      <c r="AT1026" s="161"/>
      <c r="AU1026" s="161"/>
      <c r="AV1026" s="161"/>
      <c r="AW1026" s="161"/>
      <c r="AX1026" s="161"/>
      <c r="AY1026" s="161"/>
      <c r="AZ1026" s="161"/>
      <c r="BA1026" s="161"/>
      <c r="BB1026" s="161"/>
      <c r="BC1026" s="161"/>
      <c r="BD1026" s="161"/>
      <c r="BE1026" s="161"/>
      <c r="BF1026" s="161"/>
      <c r="BG1026" s="161"/>
      <c r="BH1026" s="161"/>
      <c r="BI1026" s="161"/>
      <c r="BJ1026" s="161"/>
      <c r="BK1026" s="161"/>
      <c r="BL1026" s="161"/>
      <c r="BM1026" s="161"/>
      <c r="BN1026" s="161"/>
      <c r="BO1026" s="161"/>
      <c r="BP1026" s="161"/>
      <c r="BQ1026" s="161"/>
      <c r="BR1026" s="161"/>
      <c r="BS1026" s="161"/>
      <c r="BT1026" s="161"/>
      <c r="BU1026" s="161"/>
      <c r="BV1026" s="161"/>
      <c r="BW1026" s="161"/>
      <c r="BX1026" s="161"/>
    </row>
    <row r="1027">
      <c r="A1027" s="161"/>
      <c r="B1027" s="161"/>
      <c r="C1027" s="161"/>
      <c r="D1027" s="161"/>
      <c r="E1027" s="161"/>
      <c r="F1027" s="161"/>
      <c r="G1027" s="161"/>
      <c r="H1027" s="161"/>
      <c r="I1027" s="161"/>
      <c r="J1027" s="161"/>
      <c r="K1027" s="161"/>
      <c r="L1027" s="161"/>
      <c r="M1027" s="161"/>
      <c r="N1027" s="161"/>
      <c r="O1027" s="161"/>
      <c r="P1027" s="161"/>
      <c r="Q1027" s="161"/>
      <c r="R1027" s="161"/>
      <c r="S1027" s="161"/>
      <c r="T1027" s="161"/>
      <c r="U1027" s="161"/>
      <c r="V1027" s="161"/>
      <c r="W1027" s="161"/>
      <c r="X1027" s="161"/>
      <c r="Y1027" s="161"/>
      <c r="Z1027" s="161"/>
      <c r="AA1027" s="161"/>
      <c r="AB1027" s="161"/>
      <c r="AC1027" s="161"/>
      <c r="AD1027" s="161"/>
      <c r="AE1027" s="161"/>
      <c r="AF1027" s="161"/>
      <c r="AG1027" s="161"/>
      <c r="AH1027" s="161"/>
      <c r="AI1027" s="161"/>
      <c r="AJ1027" s="161"/>
      <c r="AK1027" s="161"/>
      <c r="AL1027" s="161"/>
      <c r="AM1027" s="161"/>
      <c r="AN1027" s="161"/>
      <c r="AO1027" s="161"/>
      <c r="AP1027" s="161"/>
      <c r="AQ1027" s="161"/>
      <c r="AR1027" s="161"/>
      <c r="AS1027" s="161"/>
      <c r="AT1027" s="161"/>
      <c r="AU1027" s="161"/>
      <c r="AV1027" s="161"/>
      <c r="AW1027" s="161"/>
      <c r="AX1027" s="161"/>
      <c r="AY1027" s="161"/>
      <c r="AZ1027" s="161"/>
      <c r="BA1027" s="161"/>
      <c r="BB1027" s="161"/>
      <c r="BC1027" s="161"/>
      <c r="BD1027" s="161"/>
      <c r="BE1027" s="161"/>
      <c r="BF1027" s="161"/>
      <c r="BG1027" s="161"/>
      <c r="BH1027" s="161"/>
      <c r="BI1027" s="161"/>
      <c r="BJ1027" s="161"/>
      <c r="BK1027" s="161"/>
      <c r="BL1027" s="161"/>
      <c r="BM1027" s="161"/>
      <c r="BN1027" s="161"/>
      <c r="BO1027" s="161"/>
      <c r="BP1027" s="161"/>
      <c r="BQ1027" s="161"/>
      <c r="BR1027" s="161"/>
      <c r="BS1027" s="161"/>
      <c r="BT1027" s="161"/>
      <c r="BU1027" s="161"/>
      <c r="BV1027" s="161"/>
      <c r="BW1027" s="161"/>
      <c r="BX1027" s="161"/>
    </row>
    <row r="1028">
      <c r="A1028" s="161"/>
      <c r="B1028" s="161"/>
      <c r="C1028" s="161"/>
      <c r="D1028" s="161"/>
      <c r="E1028" s="161"/>
      <c r="F1028" s="161"/>
      <c r="G1028" s="161"/>
      <c r="H1028" s="161"/>
      <c r="I1028" s="161"/>
      <c r="J1028" s="161"/>
      <c r="K1028" s="161"/>
      <c r="L1028" s="161"/>
      <c r="M1028" s="161"/>
      <c r="N1028" s="161"/>
      <c r="O1028" s="161"/>
      <c r="P1028" s="161"/>
      <c r="Q1028" s="161"/>
      <c r="R1028" s="161"/>
      <c r="S1028" s="161"/>
      <c r="T1028" s="161"/>
      <c r="U1028" s="161"/>
      <c r="V1028" s="161"/>
      <c r="W1028" s="161"/>
      <c r="X1028" s="161"/>
      <c r="Y1028" s="161"/>
      <c r="Z1028" s="161"/>
      <c r="AA1028" s="161"/>
      <c r="AB1028" s="161"/>
      <c r="AC1028" s="161"/>
      <c r="AD1028" s="161"/>
      <c r="AE1028" s="161"/>
      <c r="AF1028" s="161"/>
      <c r="AG1028" s="161"/>
      <c r="AH1028" s="161"/>
      <c r="AI1028" s="161"/>
      <c r="AJ1028" s="161"/>
      <c r="AK1028" s="161"/>
      <c r="AL1028" s="161"/>
      <c r="AM1028" s="161"/>
      <c r="AN1028" s="161"/>
      <c r="AO1028" s="161"/>
      <c r="AP1028" s="161"/>
      <c r="AQ1028" s="161"/>
      <c r="AR1028" s="161"/>
      <c r="AS1028" s="161"/>
      <c r="AT1028" s="161"/>
      <c r="AU1028" s="161"/>
      <c r="AV1028" s="161"/>
      <c r="AW1028" s="161"/>
      <c r="AX1028" s="161"/>
      <c r="AY1028" s="161"/>
      <c r="AZ1028" s="161"/>
      <c r="BA1028" s="161"/>
      <c r="BB1028" s="161"/>
      <c r="BC1028" s="161"/>
      <c r="BD1028" s="161"/>
      <c r="BE1028" s="161"/>
      <c r="BF1028" s="161"/>
      <c r="BG1028" s="161"/>
      <c r="BH1028" s="161"/>
      <c r="BI1028" s="161"/>
      <c r="BJ1028" s="161"/>
      <c r="BK1028" s="161"/>
      <c r="BL1028" s="161"/>
      <c r="BM1028" s="161"/>
      <c r="BN1028" s="161"/>
      <c r="BO1028" s="161"/>
      <c r="BP1028" s="161"/>
      <c r="BQ1028" s="161"/>
      <c r="BR1028" s="161"/>
      <c r="BS1028" s="161"/>
      <c r="BT1028" s="161"/>
      <c r="BU1028" s="161"/>
      <c r="BV1028" s="161"/>
      <c r="BW1028" s="161"/>
      <c r="BX1028" s="161"/>
    </row>
    <row r="1029">
      <c r="A1029" s="161"/>
      <c r="B1029" s="161"/>
      <c r="C1029" s="161"/>
      <c r="D1029" s="161"/>
      <c r="E1029" s="161"/>
      <c r="F1029" s="161"/>
      <c r="G1029" s="161"/>
      <c r="H1029" s="161"/>
      <c r="I1029" s="161"/>
      <c r="J1029" s="161"/>
      <c r="K1029" s="161"/>
      <c r="L1029" s="161"/>
      <c r="M1029" s="161"/>
      <c r="N1029" s="161"/>
      <c r="O1029" s="161"/>
      <c r="P1029" s="161"/>
      <c r="Q1029" s="161"/>
      <c r="R1029" s="161"/>
      <c r="S1029" s="161"/>
      <c r="T1029" s="161"/>
      <c r="U1029" s="161"/>
      <c r="V1029" s="161"/>
      <c r="W1029" s="161"/>
      <c r="X1029" s="161"/>
      <c r="Y1029" s="161"/>
      <c r="Z1029" s="161"/>
      <c r="AA1029" s="161"/>
      <c r="AB1029" s="161"/>
      <c r="AC1029" s="161"/>
      <c r="AD1029" s="161"/>
      <c r="AE1029" s="161"/>
      <c r="AF1029" s="161"/>
      <c r="AG1029" s="161"/>
      <c r="AH1029" s="161"/>
      <c r="AI1029" s="161"/>
      <c r="AJ1029" s="161"/>
      <c r="AK1029" s="161"/>
      <c r="AL1029" s="161"/>
      <c r="AM1029" s="161"/>
      <c r="AN1029" s="161"/>
      <c r="AO1029" s="161"/>
      <c r="AP1029" s="161"/>
      <c r="AQ1029" s="161"/>
      <c r="AR1029" s="161"/>
      <c r="AS1029" s="161"/>
      <c r="AT1029" s="161"/>
      <c r="AU1029" s="161"/>
      <c r="AV1029" s="161"/>
      <c r="AW1029" s="161"/>
      <c r="AX1029" s="161"/>
      <c r="AY1029" s="161"/>
      <c r="AZ1029" s="161"/>
      <c r="BA1029" s="161"/>
      <c r="BB1029" s="161"/>
      <c r="BC1029" s="161"/>
      <c r="BD1029" s="161"/>
      <c r="BE1029" s="161"/>
      <c r="BF1029" s="161"/>
      <c r="BG1029" s="161"/>
      <c r="BH1029" s="161"/>
      <c r="BI1029" s="161"/>
      <c r="BJ1029" s="161"/>
      <c r="BK1029" s="161"/>
      <c r="BL1029" s="161"/>
      <c r="BM1029" s="161"/>
      <c r="BN1029" s="161"/>
      <c r="BO1029" s="161"/>
      <c r="BP1029" s="161"/>
      <c r="BQ1029" s="161"/>
      <c r="BR1029" s="161"/>
      <c r="BS1029" s="161"/>
      <c r="BT1029" s="161"/>
      <c r="BU1029" s="161"/>
      <c r="BV1029" s="161"/>
      <c r="BW1029" s="161"/>
      <c r="BX1029" s="161"/>
    </row>
    <row r="1030">
      <c r="A1030" s="161"/>
      <c r="B1030" s="161"/>
      <c r="C1030" s="161"/>
      <c r="D1030" s="161"/>
      <c r="E1030" s="161"/>
      <c r="F1030" s="161"/>
      <c r="G1030" s="161"/>
      <c r="H1030" s="161"/>
      <c r="I1030" s="161"/>
      <c r="J1030" s="161"/>
      <c r="K1030" s="161"/>
      <c r="L1030" s="161"/>
      <c r="M1030" s="161"/>
      <c r="N1030" s="161"/>
      <c r="O1030" s="161"/>
      <c r="P1030" s="161"/>
      <c r="Q1030" s="161"/>
      <c r="R1030" s="161"/>
      <c r="S1030" s="161"/>
      <c r="T1030" s="161"/>
      <c r="U1030" s="161"/>
      <c r="V1030" s="161"/>
      <c r="W1030" s="161"/>
      <c r="X1030" s="161"/>
      <c r="Y1030" s="161"/>
      <c r="Z1030" s="161"/>
      <c r="AA1030" s="161"/>
      <c r="AB1030" s="161"/>
      <c r="AC1030" s="161"/>
      <c r="AD1030" s="161"/>
      <c r="AE1030" s="161"/>
      <c r="AF1030" s="161"/>
      <c r="AG1030" s="161"/>
      <c r="AH1030" s="161"/>
      <c r="AI1030" s="161"/>
      <c r="AJ1030" s="161"/>
      <c r="AK1030" s="161"/>
      <c r="AL1030" s="161"/>
      <c r="AM1030" s="161"/>
      <c r="AN1030" s="161"/>
      <c r="AO1030" s="161"/>
      <c r="AP1030" s="161"/>
      <c r="AQ1030" s="161"/>
      <c r="AR1030" s="161"/>
      <c r="AS1030" s="161"/>
      <c r="AT1030" s="161"/>
      <c r="AU1030" s="161"/>
      <c r="AV1030" s="161"/>
      <c r="AW1030" s="161"/>
      <c r="AX1030" s="161"/>
      <c r="AY1030" s="161"/>
      <c r="AZ1030" s="161"/>
      <c r="BA1030" s="161"/>
      <c r="BB1030" s="161"/>
      <c r="BC1030" s="161"/>
      <c r="BD1030" s="161"/>
      <c r="BE1030" s="161"/>
      <c r="BF1030" s="161"/>
      <c r="BG1030" s="161"/>
      <c r="BH1030" s="161"/>
      <c r="BI1030" s="161"/>
      <c r="BJ1030" s="161"/>
      <c r="BK1030" s="161"/>
      <c r="BL1030" s="161"/>
      <c r="BM1030" s="161"/>
      <c r="BN1030" s="161"/>
      <c r="BO1030" s="161"/>
      <c r="BP1030" s="161"/>
      <c r="BQ1030" s="161"/>
      <c r="BR1030" s="161"/>
      <c r="BS1030" s="161"/>
      <c r="BT1030" s="161"/>
      <c r="BU1030" s="161"/>
      <c r="BV1030" s="161"/>
      <c r="BW1030" s="161"/>
      <c r="BX1030" s="161"/>
    </row>
    <row r="1031">
      <c r="A1031" s="161"/>
      <c r="B1031" s="161"/>
      <c r="C1031" s="161"/>
      <c r="D1031" s="161"/>
      <c r="E1031" s="161"/>
      <c r="F1031" s="161"/>
      <c r="G1031" s="161"/>
      <c r="H1031" s="161"/>
      <c r="I1031" s="161"/>
      <c r="J1031" s="161"/>
      <c r="K1031" s="161"/>
      <c r="L1031" s="161"/>
      <c r="M1031" s="161"/>
      <c r="N1031" s="161"/>
      <c r="O1031" s="161"/>
      <c r="P1031" s="161"/>
      <c r="Q1031" s="161"/>
      <c r="R1031" s="161"/>
      <c r="S1031" s="161"/>
      <c r="T1031" s="161"/>
      <c r="U1031" s="161"/>
      <c r="V1031" s="161"/>
      <c r="W1031" s="161"/>
      <c r="X1031" s="161"/>
      <c r="Y1031" s="161"/>
      <c r="Z1031" s="161"/>
      <c r="AA1031" s="161"/>
      <c r="AB1031" s="161"/>
      <c r="AC1031" s="161"/>
      <c r="AD1031" s="161"/>
      <c r="AE1031" s="161"/>
      <c r="AF1031" s="161"/>
      <c r="AG1031" s="161"/>
      <c r="AH1031" s="161"/>
      <c r="AI1031" s="161"/>
      <c r="AJ1031" s="161"/>
      <c r="AK1031" s="161"/>
      <c r="AL1031" s="161"/>
      <c r="AM1031" s="161"/>
      <c r="AN1031" s="161"/>
      <c r="AO1031" s="161"/>
      <c r="AP1031" s="161"/>
      <c r="AQ1031" s="161"/>
      <c r="AR1031" s="161"/>
      <c r="AS1031" s="161"/>
      <c r="AT1031" s="161"/>
      <c r="AU1031" s="161"/>
      <c r="AV1031" s="161"/>
      <c r="AW1031" s="161"/>
      <c r="AX1031" s="161"/>
      <c r="AY1031" s="161"/>
      <c r="AZ1031" s="161"/>
      <c r="BA1031" s="161"/>
      <c r="BB1031" s="161"/>
      <c r="BC1031" s="161"/>
      <c r="BD1031" s="161"/>
      <c r="BE1031" s="161"/>
      <c r="BF1031" s="161"/>
      <c r="BG1031" s="161"/>
      <c r="BH1031" s="161"/>
      <c r="BI1031" s="161"/>
      <c r="BJ1031" s="161"/>
      <c r="BK1031" s="161"/>
      <c r="BL1031" s="161"/>
      <c r="BM1031" s="161"/>
      <c r="BN1031" s="161"/>
      <c r="BO1031" s="161"/>
      <c r="BP1031" s="161"/>
      <c r="BQ1031" s="161"/>
      <c r="BR1031" s="161"/>
      <c r="BS1031" s="161"/>
      <c r="BT1031" s="161"/>
      <c r="BU1031" s="161"/>
      <c r="BV1031" s="161"/>
      <c r="BW1031" s="161"/>
      <c r="BX1031" s="161"/>
    </row>
    <row r="1032">
      <c r="A1032" s="161"/>
      <c r="B1032" s="161"/>
      <c r="C1032" s="161"/>
      <c r="D1032" s="161"/>
      <c r="E1032" s="161"/>
      <c r="F1032" s="161"/>
      <c r="G1032" s="161"/>
      <c r="H1032" s="161"/>
      <c r="I1032" s="161"/>
      <c r="J1032" s="161"/>
      <c r="K1032" s="161"/>
      <c r="L1032" s="161"/>
      <c r="M1032" s="161"/>
      <c r="N1032" s="161"/>
      <c r="O1032" s="161"/>
      <c r="P1032" s="161"/>
      <c r="Q1032" s="161"/>
      <c r="R1032" s="161"/>
      <c r="S1032" s="161"/>
      <c r="T1032" s="161"/>
      <c r="U1032" s="161"/>
      <c r="V1032" s="161"/>
      <c r="W1032" s="161"/>
      <c r="X1032" s="161"/>
      <c r="Y1032" s="161"/>
      <c r="Z1032" s="161"/>
      <c r="AA1032" s="161"/>
      <c r="AB1032" s="161"/>
      <c r="AC1032" s="161"/>
      <c r="AD1032" s="161"/>
      <c r="AE1032" s="161"/>
      <c r="AF1032" s="161"/>
      <c r="AG1032" s="161"/>
      <c r="AH1032" s="161"/>
      <c r="AI1032" s="161"/>
      <c r="AJ1032" s="161"/>
      <c r="AK1032" s="161"/>
      <c r="AL1032" s="161"/>
      <c r="AM1032" s="161"/>
      <c r="AN1032" s="161"/>
      <c r="AO1032" s="161"/>
      <c r="AP1032" s="161"/>
      <c r="AQ1032" s="161"/>
      <c r="AR1032" s="161"/>
      <c r="AS1032" s="161"/>
      <c r="AT1032" s="161"/>
      <c r="AU1032" s="161"/>
      <c r="AV1032" s="161"/>
      <c r="AW1032" s="161"/>
      <c r="AX1032" s="161"/>
      <c r="AY1032" s="161"/>
      <c r="AZ1032" s="161"/>
      <c r="BA1032" s="161"/>
      <c r="BB1032" s="161"/>
      <c r="BC1032" s="161"/>
      <c r="BD1032" s="161"/>
      <c r="BE1032" s="161"/>
      <c r="BF1032" s="161"/>
      <c r="BG1032" s="161"/>
      <c r="BH1032" s="161"/>
      <c r="BI1032" s="161"/>
      <c r="BJ1032" s="161"/>
      <c r="BK1032" s="161"/>
      <c r="BL1032" s="161"/>
      <c r="BM1032" s="161"/>
      <c r="BN1032" s="161"/>
      <c r="BO1032" s="161"/>
      <c r="BP1032" s="161"/>
      <c r="BQ1032" s="161"/>
      <c r="BR1032" s="161"/>
      <c r="BS1032" s="161"/>
      <c r="BT1032" s="161"/>
      <c r="BU1032" s="161"/>
      <c r="BV1032" s="161"/>
      <c r="BW1032" s="161"/>
      <c r="BX1032" s="161"/>
    </row>
    <row r="1033">
      <c r="A1033" s="161"/>
      <c r="B1033" s="161"/>
      <c r="C1033" s="161"/>
      <c r="D1033" s="161"/>
      <c r="E1033" s="161"/>
      <c r="F1033" s="161"/>
      <c r="G1033" s="161"/>
      <c r="H1033" s="161"/>
      <c r="I1033" s="161"/>
      <c r="J1033" s="161"/>
      <c r="K1033" s="161"/>
      <c r="L1033" s="161"/>
      <c r="M1033" s="161"/>
      <c r="N1033" s="161"/>
      <c r="O1033" s="161"/>
      <c r="P1033" s="161"/>
      <c r="Q1033" s="161"/>
      <c r="R1033" s="161"/>
      <c r="S1033" s="161"/>
      <c r="T1033" s="161"/>
      <c r="U1033" s="161"/>
      <c r="V1033" s="161"/>
      <c r="W1033" s="161"/>
      <c r="X1033" s="161"/>
      <c r="Y1033" s="161"/>
      <c r="Z1033" s="161"/>
      <c r="AA1033" s="161"/>
      <c r="AB1033" s="161"/>
      <c r="AC1033" s="161"/>
      <c r="AD1033" s="161"/>
      <c r="AE1033" s="161"/>
      <c r="AF1033" s="161"/>
      <c r="AG1033" s="161"/>
      <c r="AH1033" s="161"/>
      <c r="AI1033" s="161"/>
      <c r="AJ1033" s="161"/>
      <c r="AK1033" s="161"/>
      <c r="AL1033" s="161"/>
      <c r="AM1033" s="161"/>
      <c r="AN1033" s="161"/>
      <c r="AO1033" s="161"/>
      <c r="AP1033" s="161"/>
      <c r="AQ1033" s="161"/>
      <c r="AR1033" s="161"/>
      <c r="AS1033" s="161"/>
      <c r="AT1033" s="161"/>
      <c r="AU1033" s="161"/>
      <c r="AV1033" s="161"/>
      <c r="AW1033" s="161"/>
      <c r="AX1033" s="161"/>
      <c r="AY1033" s="161"/>
      <c r="AZ1033" s="161"/>
      <c r="BA1033" s="161"/>
      <c r="BB1033" s="161"/>
      <c r="BC1033" s="161"/>
      <c r="BD1033" s="161"/>
      <c r="BE1033" s="161"/>
      <c r="BF1033" s="161"/>
      <c r="BG1033" s="161"/>
      <c r="BH1033" s="161"/>
      <c r="BI1033" s="161"/>
      <c r="BJ1033" s="161"/>
      <c r="BK1033" s="161"/>
      <c r="BL1033" s="161"/>
      <c r="BM1033" s="161"/>
      <c r="BN1033" s="161"/>
      <c r="BO1033" s="161"/>
      <c r="BP1033" s="161"/>
      <c r="BQ1033" s="161"/>
      <c r="BR1033" s="161"/>
      <c r="BS1033" s="161"/>
      <c r="BT1033" s="161"/>
      <c r="BU1033" s="161"/>
      <c r="BV1033" s="161"/>
      <c r="BW1033" s="161"/>
      <c r="BX1033" s="161"/>
    </row>
    <row r="1034">
      <c r="A1034" s="161"/>
      <c r="B1034" s="161"/>
      <c r="C1034" s="161"/>
      <c r="D1034" s="161"/>
      <c r="E1034" s="161"/>
      <c r="F1034" s="161"/>
      <c r="G1034" s="161"/>
      <c r="H1034" s="161"/>
      <c r="I1034" s="161"/>
      <c r="J1034" s="161"/>
      <c r="K1034" s="161"/>
      <c r="L1034" s="161"/>
      <c r="M1034" s="161"/>
      <c r="N1034" s="161"/>
      <c r="O1034" s="161"/>
      <c r="P1034" s="161"/>
      <c r="Q1034" s="161"/>
      <c r="R1034" s="161"/>
      <c r="S1034" s="161"/>
      <c r="T1034" s="161"/>
      <c r="U1034" s="161"/>
      <c r="V1034" s="161"/>
      <c r="W1034" s="161"/>
      <c r="X1034" s="161"/>
      <c r="Y1034" s="161"/>
      <c r="Z1034" s="161"/>
      <c r="AA1034" s="161"/>
      <c r="AB1034" s="161"/>
      <c r="AC1034" s="161"/>
      <c r="AD1034" s="161"/>
      <c r="AE1034" s="161"/>
      <c r="AF1034" s="161"/>
      <c r="AG1034" s="161"/>
      <c r="AH1034" s="161"/>
      <c r="AI1034" s="161"/>
      <c r="AJ1034" s="161"/>
      <c r="AK1034" s="161"/>
      <c r="AL1034" s="161"/>
      <c r="AM1034" s="161"/>
      <c r="AN1034" s="161"/>
      <c r="AO1034" s="161"/>
      <c r="AP1034" s="161"/>
      <c r="AQ1034" s="161"/>
      <c r="AR1034" s="161"/>
      <c r="AS1034" s="161"/>
      <c r="AT1034" s="161"/>
      <c r="AU1034" s="161"/>
      <c r="AV1034" s="161"/>
      <c r="AW1034" s="161"/>
      <c r="AX1034" s="161"/>
      <c r="AY1034" s="161"/>
      <c r="AZ1034" s="161"/>
      <c r="BA1034" s="161"/>
      <c r="BB1034" s="161"/>
      <c r="BC1034" s="161"/>
      <c r="BD1034" s="161"/>
      <c r="BE1034" s="161"/>
      <c r="BF1034" s="161"/>
      <c r="BG1034" s="161"/>
      <c r="BH1034" s="161"/>
      <c r="BI1034" s="161"/>
      <c r="BJ1034" s="161"/>
      <c r="BK1034" s="161"/>
      <c r="BL1034" s="161"/>
      <c r="BM1034" s="161"/>
      <c r="BN1034" s="161"/>
      <c r="BO1034" s="161"/>
      <c r="BP1034" s="161"/>
      <c r="BQ1034" s="161"/>
      <c r="BR1034" s="161"/>
      <c r="BS1034" s="161"/>
      <c r="BT1034" s="161"/>
      <c r="BU1034" s="161"/>
      <c r="BV1034" s="161"/>
      <c r="BW1034" s="161"/>
      <c r="BX1034" s="161"/>
    </row>
    <row r="1035">
      <c r="A1035" s="161"/>
      <c r="B1035" s="161"/>
      <c r="C1035" s="161"/>
      <c r="D1035" s="161"/>
      <c r="E1035" s="161"/>
      <c r="F1035" s="161"/>
      <c r="G1035" s="161"/>
      <c r="H1035" s="161"/>
      <c r="I1035" s="161"/>
      <c r="J1035" s="161"/>
      <c r="K1035" s="161"/>
      <c r="L1035" s="161"/>
      <c r="M1035" s="161"/>
      <c r="N1035" s="161"/>
      <c r="O1035" s="161"/>
      <c r="P1035" s="161"/>
      <c r="Q1035" s="161"/>
      <c r="R1035" s="161"/>
      <c r="S1035" s="161"/>
      <c r="T1035" s="161"/>
      <c r="U1035" s="161"/>
      <c r="V1035" s="161"/>
      <c r="W1035" s="161"/>
      <c r="X1035" s="161"/>
      <c r="Y1035" s="161"/>
      <c r="Z1035" s="161"/>
      <c r="AA1035" s="161"/>
      <c r="AB1035" s="161"/>
      <c r="AC1035" s="161"/>
      <c r="AD1035" s="161"/>
      <c r="AE1035" s="161"/>
      <c r="AF1035" s="161"/>
      <c r="AG1035" s="161"/>
      <c r="AH1035" s="161"/>
      <c r="AI1035" s="161"/>
      <c r="AJ1035" s="161"/>
      <c r="AK1035" s="161"/>
      <c r="AL1035" s="161"/>
      <c r="AM1035" s="161"/>
      <c r="AN1035" s="161"/>
      <c r="AO1035" s="161"/>
      <c r="AP1035" s="161"/>
      <c r="AQ1035" s="161"/>
      <c r="AR1035" s="161"/>
      <c r="AS1035" s="161"/>
      <c r="AT1035" s="161"/>
      <c r="AU1035" s="161"/>
      <c r="AV1035" s="161"/>
      <c r="AW1035" s="161"/>
      <c r="AX1035" s="161"/>
      <c r="AY1035" s="161"/>
      <c r="AZ1035" s="161"/>
      <c r="BA1035" s="161"/>
      <c r="BB1035" s="161"/>
      <c r="BC1035" s="161"/>
      <c r="BD1035" s="161"/>
      <c r="BE1035" s="161"/>
      <c r="BF1035" s="161"/>
      <c r="BG1035" s="161"/>
      <c r="BH1035" s="161"/>
      <c r="BI1035" s="161"/>
      <c r="BJ1035" s="161"/>
      <c r="BK1035" s="161"/>
      <c r="BL1035" s="161"/>
      <c r="BM1035" s="161"/>
      <c r="BN1035" s="161"/>
      <c r="BO1035" s="161"/>
      <c r="BP1035" s="161"/>
      <c r="BQ1035" s="161"/>
      <c r="BR1035" s="161"/>
      <c r="BS1035" s="161"/>
      <c r="BT1035" s="161"/>
      <c r="BU1035" s="161"/>
      <c r="BV1035" s="161"/>
      <c r="BW1035" s="161"/>
      <c r="BX1035" s="161"/>
    </row>
    <row r="1036">
      <c r="A1036" s="161"/>
      <c r="B1036" s="161"/>
      <c r="C1036" s="161"/>
      <c r="D1036" s="161"/>
      <c r="E1036" s="161"/>
      <c r="F1036" s="161"/>
      <c r="G1036" s="161"/>
      <c r="H1036" s="161"/>
      <c r="I1036" s="161"/>
      <c r="J1036" s="161"/>
      <c r="K1036" s="161"/>
      <c r="L1036" s="161"/>
      <c r="M1036" s="161"/>
      <c r="N1036" s="161"/>
      <c r="O1036" s="161"/>
      <c r="P1036" s="161"/>
      <c r="Q1036" s="161"/>
      <c r="R1036" s="161"/>
      <c r="S1036" s="161"/>
      <c r="T1036" s="161"/>
      <c r="U1036" s="161"/>
      <c r="V1036" s="161"/>
      <c r="W1036" s="161"/>
      <c r="X1036" s="161"/>
      <c r="Y1036" s="161"/>
      <c r="Z1036" s="161"/>
      <c r="AA1036" s="161"/>
      <c r="AB1036" s="161"/>
      <c r="AC1036" s="161"/>
      <c r="AD1036" s="161"/>
      <c r="AE1036" s="161"/>
      <c r="AF1036" s="161"/>
      <c r="AG1036" s="161"/>
      <c r="AH1036" s="161"/>
      <c r="AI1036" s="161"/>
      <c r="AJ1036" s="161"/>
      <c r="AK1036" s="161"/>
      <c r="AL1036" s="161"/>
      <c r="AM1036" s="161"/>
      <c r="AN1036" s="161"/>
      <c r="AO1036" s="161"/>
      <c r="AP1036" s="161"/>
      <c r="AQ1036" s="161"/>
      <c r="AR1036" s="161"/>
      <c r="AS1036" s="161"/>
      <c r="AT1036" s="161"/>
      <c r="AU1036" s="161"/>
      <c r="AV1036" s="161"/>
      <c r="AW1036" s="161"/>
      <c r="AX1036" s="161"/>
      <c r="AY1036" s="161"/>
      <c r="AZ1036" s="161"/>
      <c r="BA1036" s="161"/>
      <c r="BB1036" s="161"/>
      <c r="BC1036" s="161"/>
      <c r="BD1036" s="161"/>
      <c r="BE1036" s="161"/>
      <c r="BF1036" s="161"/>
      <c r="BG1036" s="161"/>
      <c r="BH1036" s="161"/>
      <c r="BI1036" s="161"/>
      <c r="BJ1036" s="161"/>
      <c r="BK1036" s="161"/>
      <c r="BL1036" s="161"/>
      <c r="BM1036" s="161"/>
      <c r="BN1036" s="161"/>
      <c r="BO1036" s="161"/>
      <c r="BP1036" s="161"/>
      <c r="BQ1036" s="161"/>
      <c r="BR1036" s="161"/>
      <c r="BS1036" s="161"/>
      <c r="BT1036" s="161"/>
      <c r="BU1036" s="161"/>
      <c r="BV1036" s="161"/>
      <c r="BW1036" s="161"/>
      <c r="BX1036" s="161"/>
    </row>
    <row r="1037">
      <c r="A1037" s="161"/>
      <c r="B1037" s="161"/>
      <c r="C1037" s="161"/>
      <c r="D1037" s="161"/>
      <c r="E1037" s="161"/>
      <c r="F1037" s="161"/>
      <c r="G1037" s="161"/>
      <c r="H1037" s="161"/>
      <c r="I1037" s="161"/>
      <c r="J1037" s="161"/>
      <c r="K1037" s="161"/>
      <c r="L1037" s="161"/>
      <c r="M1037" s="161"/>
      <c r="N1037" s="161"/>
      <c r="O1037" s="161"/>
      <c r="P1037" s="161"/>
      <c r="Q1037" s="161"/>
      <c r="R1037" s="161"/>
      <c r="S1037" s="161"/>
      <c r="T1037" s="161"/>
      <c r="U1037" s="161"/>
      <c r="V1037" s="161"/>
      <c r="W1037" s="161"/>
      <c r="X1037" s="161"/>
      <c r="Y1037" s="161"/>
      <c r="Z1037" s="161"/>
      <c r="AA1037" s="161"/>
      <c r="AB1037" s="161"/>
      <c r="AC1037" s="161"/>
      <c r="AD1037" s="161"/>
      <c r="AE1037" s="161"/>
      <c r="AF1037" s="161"/>
      <c r="AG1037" s="161"/>
      <c r="AH1037" s="161"/>
      <c r="AI1037" s="161"/>
      <c r="AJ1037" s="161"/>
      <c r="AK1037" s="161"/>
      <c r="AL1037" s="161"/>
      <c r="AM1037" s="161"/>
      <c r="AN1037" s="161"/>
      <c r="AO1037" s="161"/>
      <c r="AP1037" s="161"/>
      <c r="AQ1037" s="161"/>
      <c r="AR1037" s="161"/>
      <c r="AS1037" s="161"/>
      <c r="AT1037" s="161"/>
      <c r="AU1037" s="161"/>
      <c r="AV1037" s="161"/>
      <c r="AW1037" s="161"/>
      <c r="AX1037" s="161"/>
      <c r="AY1037" s="161"/>
      <c r="AZ1037" s="161"/>
      <c r="BA1037" s="161"/>
      <c r="BB1037" s="161"/>
      <c r="BC1037" s="161"/>
      <c r="BD1037" s="161"/>
      <c r="BE1037" s="161"/>
      <c r="BF1037" s="161"/>
      <c r="BG1037" s="161"/>
      <c r="BH1037" s="161"/>
      <c r="BI1037" s="161"/>
      <c r="BJ1037" s="161"/>
      <c r="BK1037" s="161"/>
      <c r="BL1037" s="161"/>
      <c r="BM1037" s="161"/>
      <c r="BN1037" s="161"/>
      <c r="BO1037" s="161"/>
      <c r="BP1037" s="161"/>
      <c r="BQ1037" s="161"/>
      <c r="BR1037" s="161"/>
      <c r="BS1037" s="161"/>
      <c r="BT1037" s="161"/>
      <c r="BU1037" s="161"/>
      <c r="BV1037" s="161"/>
      <c r="BW1037" s="161"/>
      <c r="BX1037" s="161"/>
    </row>
    <row r="1038">
      <c r="A1038" s="161"/>
      <c r="B1038" s="161"/>
      <c r="C1038" s="161"/>
      <c r="D1038" s="161"/>
      <c r="E1038" s="161"/>
      <c r="F1038" s="161"/>
      <c r="G1038" s="161"/>
      <c r="H1038" s="161"/>
      <c r="I1038" s="161"/>
      <c r="J1038" s="161"/>
      <c r="K1038" s="161"/>
      <c r="L1038" s="161"/>
      <c r="M1038" s="161"/>
      <c r="N1038" s="161"/>
      <c r="O1038" s="161"/>
      <c r="P1038" s="161"/>
      <c r="Q1038" s="161"/>
      <c r="R1038" s="161"/>
      <c r="S1038" s="161"/>
      <c r="T1038" s="161"/>
      <c r="U1038" s="161"/>
      <c r="V1038" s="161"/>
      <c r="W1038" s="161"/>
      <c r="X1038" s="161"/>
      <c r="Y1038" s="161"/>
      <c r="Z1038" s="161"/>
      <c r="AA1038" s="161"/>
      <c r="AB1038" s="161"/>
      <c r="AC1038" s="161"/>
      <c r="AD1038" s="161"/>
      <c r="AE1038" s="161"/>
      <c r="AF1038" s="161"/>
      <c r="AG1038" s="161"/>
      <c r="AH1038" s="161"/>
      <c r="AI1038" s="161"/>
      <c r="AJ1038" s="161"/>
      <c r="AK1038" s="161"/>
      <c r="AL1038" s="161"/>
      <c r="AM1038" s="161"/>
      <c r="AN1038" s="161"/>
      <c r="AO1038" s="161"/>
      <c r="AP1038" s="161"/>
      <c r="AQ1038" s="161"/>
      <c r="AR1038" s="161"/>
      <c r="AS1038" s="161"/>
      <c r="AT1038" s="161"/>
      <c r="AU1038" s="161"/>
      <c r="AV1038" s="161"/>
      <c r="AW1038" s="161"/>
      <c r="AX1038" s="161"/>
      <c r="AY1038" s="161"/>
      <c r="AZ1038" s="161"/>
      <c r="BA1038" s="161"/>
      <c r="BB1038" s="161"/>
      <c r="BC1038" s="161"/>
      <c r="BD1038" s="161"/>
      <c r="BE1038" s="161"/>
      <c r="BF1038" s="161"/>
      <c r="BG1038" s="161"/>
      <c r="BH1038" s="161"/>
      <c r="BI1038" s="161"/>
      <c r="BJ1038" s="161"/>
      <c r="BK1038" s="161"/>
      <c r="BL1038" s="161"/>
      <c r="BM1038" s="161"/>
      <c r="BN1038" s="161"/>
      <c r="BO1038" s="161"/>
      <c r="BP1038" s="161"/>
      <c r="BQ1038" s="161"/>
      <c r="BR1038" s="161"/>
      <c r="BS1038" s="161"/>
      <c r="BT1038" s="161"/>
      <c r="BU1038" s="161"/>
      <c r="BV1038" s="161"/>
      <c r="BW1038" s="161"/>
      <c r="BX1038" s="161"/>
    </row>
    <row r="1039">
      <c r="A1039" s="161"/>
      <c r="B1039" s="161"/>
      <c r="C1039" s="161"/>
      <c r="D1039" s="161"/>
      <c r="E1039" s="161"/>
      <c r="F1039" s="161"/>
      <c r="G1039" s="161"/>
      <c r="H1039" s="161"/>
      <c r="I1039" s="161"/>
      <c r="J1039" s="161"/>
      <c r="K1039" s="161"/>
      <c r="L1039" s="161"/>
      <c r="M1039" s="161"/>
      <c r="N1039" s="161"/>
      <c r="O1039" s="161"/>
      <c r="P1039" s="161"/>
      <c r="Q1039" s="161"/>
      <c r="R1039" s="161"/>
      <c r="S1039" s="161"/>
      <c r="T1039" s="161"/>
      <c r="U1039" s="161"/>
      <c r="V1039" s="161"/>
      <c r="W1039" s="161"/>
      <c r="X1039" s="161"/>
      <c r="Y1039" s="161"/>
      <c r="Z1039" s="161"/>
      <c r="AA1039" s="161"/>
      <c r="AB1039" s="161"/>
      <c r="AC1039" s="161"/>
      <c r="AD1039" s="161"/>
      <c r="AE1039" s="161"/>
      <c r="AF1039" s="161"/>
      <c r="AG1039" s="161"/>
      <c r="AH1039" s="161"/>
      <c r="AI1039" s="161"/>
      <c r="AJ1039" s="161"/>
      <c r="AK1039" s="161"/>
      <c r="AL1039" s="161"/>
      <c r="AM1039" s="161"/>
      <c r="AN1039" s="161"/>
      <c r="AO1039" s="161"/>
      <c r="AP1039" s="161"/>
      <c r="AQ1039" s="161"/>
      <c r="AR1039" s="161"/>
      <c r="AS1039" s="161"/>
      <c r="AT1039" s="161"/>
      <c r="AU1039" s="161"/>
      <c r="AV1039" s="161"/>
      <c r="AW1039" s="161"/>
      <c r="AX1039" s="161"/>
      <c r="AY1039" s="161"/>
      <c r="AZ1039" s="161"/>
      <c r="BA1039" s="161"/>
      <c r="BB1039" s="161"/>
      <c r="BC1039" s="161"/>
      <c r="BD1039" s="161"/>
      <c r="BE1039" s="161"/>
      <c r="BF1039" s="161"/>
      <c r="BG1039" s="161"/>
      <c r="BH1039" s="161"/>
      <c r="BI1039" s="161"/>
      <c r="BJ1039" s="161"/>
      <c r="BK1039" s="161"/>
      <c r="BL1039" s="161"/>
      <c r="BM1039" s="161"/>
      <c r="BN1039" s="161"/>
      <c r="BO1039" s="161"/>
      <c r="BP1039" s="161"/>
      <c r="BQ1039" s="161"/>
      <c r="BR1039" s="161"/>
      <c r="BS1039" s="161"/>
      <c r="BT1039" s="161"/>
      <c r="BU1039" s="161"/>
      <c r="BV1039" s="161"/>
      <c r="BW1039" s="161"/>
      <c r="BX1039" s="161"/>
    </row>
    <row r="1040">
      <c r="A1040" s="161"/>
      <c r="B1040" s="161"/>
      <c r="C1040" s="161"/>
      <c r="D1040" s="161"/>
      <c r="E1040" s="161"/>
      <c r="F1040" s="161"/>
      <c r="G1040" s="161"/>
      <c r="H1040" s="161"/>
      <c r="I1040" s="161"/>
      <c r="J1040" s="161"/>
      <c r="K1040" s="161"/>
      <c r="L1040" s="161"/>
      <c r="M1040" s="161"/>
      <c r="N1040" s="161"/>
      <c r="O1040" s="161"/>
      <c r="P1040" s="161"/>
      <c r="Q1040" s="161"/>
      <c r="R1040" s="161"/>
      <c r="S1040" s="161"/>
      <c r="T1040" s="161"/>
      <c r="U1040" s="161"/>
      <c r="V1040" s="161"/>
      <c r="W1040" s="161"/>
      <c r="X1040" s="161"/>
      <c r="Y1040" s="161"/>
      <c r="Z1040" s="161"/>
      <c r="AA1040" s="161"/>
      <c r="AB1040" s="161"/>
      <c r="AC1040" s="161"/>
      <c r="AD1040" s="161"/>
      <c r="AE1040" s="161"/>
      <c r="AF1040" s="161"/>
      <c r="AG1040" s="161"/>
      <c r="AH1040" s="161"/>
      <c r="AI1040" s="161"/>
      <c r="AJ1040" s="161"/>
      <c r="AK1040" s="161"/>
      <c r="AL1040" s="161"/>
      <c r="AM1040" s="161"/>
      <c r="AN1040" s="161"/>
      <c r="AO1040" s="161"/>
      <c r="AP1040" s="161"/>
      <c r="AQ1040" s="161"/>
      <c r="AR1040" s="161"/>
      <c r="AS1040" s="161"/>
      <c r="AT1040" s="161"/>
      <c r="AU1040" s="161"/>
      <c r="AV1040" s="161"/>
      <c r="AW1040" s="161"/>
      <c r="AX1040" s="161"/>
      <c r="AY1040" s="161"/>
      <c r="AZ1040" s="161"/>
      <c r="BA1040" s="161"/>
      <c r="BB1040" s="161"/>
      <c r="BC1040" s="161"/>
      <c r="BD1040" s="161"/>
      <c r="BE1040" s="161"/>
      <c r="BF1040" s="161"/>
      <c r="BG1040" s="161"/>
      <c r="BH1040" s="161"/>
      <c r="BI1040" s="161"/>
      <c r="BJ1040" s="161"/>
      <c r="BK1040" s="161"/>
      <c r="BL1040" s="161"/>
      <c r="BM1040" s="161"/>
      <c r="BN1040" s="161"/>
      <c r="BO1040" s="161"/>
      <c r="BP1040" s="161"/>
      <c r="BQ1040" s="161"/>
      <c r="BR1040" s="161"/>
      <c r="BS1040" s="161"/>
      <c r="BT1040" s="161"/>
      <c r="BU1040" s="161"/>
      <c r="BV1040" s="161"/>
      <c r="BW1040" s="161"/>
      <c r="BX1040" s="161"/>
    </row>
    <row r="1041">
      <c r="A1041" s="161"/>
      <c r="B1041" s="161"/>
      <c r="C1041" s="161"/>
      <c r="D1041" s="161"/>
      <c r="E1041" s="161"/>
      <c r="F1041" s="161"/>
      <c r="G1041" s="161"/>
      <c r="H1041" s="161"/>
      <c r="I1041" s="161"/>
      <c r="J1041" s="161"/>
      <c r="K1041" s="161"/>
      <c r="L1041" s="161"/>
      <c r="M1041" s="161"/>
      <c r="N1041" s="161"/>
      <c r="O1041" s="161"/>
      <c r="P1041" s="161"/>
      <c r="Q1041" s="161"/>
      <c r="R1041" s="161"/>
      <c r="S1041" s="161"/>
      <c r="T1041" s="161"/>
      <c r="U1041" s="161"/>
      <c r="V1041" s="161"/>
      <c r="W1041" s="161"/>
      <c r="X1041" s="161"/>
      <c r="Y1041" s="161"/>
      <c r="Z1041" s="161"/>
      <c r="AA1041" s="161"/>
      <c r="AB1041" s="161"/>
      <c r="AC1041" s="161"/>
      <c r="AD1041" s="161"/>
      <c r="AE1041" s="161"/>
      <c r="AF1041" s="161"/>
      <c r="AG1041" s="161"/>
      <c r="AH1041" s="161"/>
      <c r="AI1041" s="161"/>
      <c r="AJ1041" s="161"/>
      <c r="AK1041" s="161"/>
      <c r="AL1041" s="161"/>
      <c r="AM1041" s="161"/>
      <c r="AN1041" s="161"/>
      <c r="AO1041" s="161"/>
      <c r="AP1041" s="161"/>
      <c r="AQ1041" s="161"/>
      <c r="AR1041" s="161"/>
      <c r="AS1041" s="161"/>
      <c r="AT1041" s="161"/>
      <c r="AU1041" s="161"/>
      <c r="AV1041" s="161"/>
      <c r="AW1041" s="161"/>
      <c r="AX1041" s="161"/>
      <c r="AY1041" s="161"/>
      <c r="AZ1041" s="161"/>
      <c r="BA1041" s="161"/>
      <c r="BB1041" s="161"/>
      <c r="BC1041" s="161"/>
      <c r="BD1041" s="161"/>
      <c r="BE1041" s="161"/>
      <c r="BF1041" s="161"/>
      <c r="BG1041" s="161"/>
      <c r="BH1041" s="161"/>
      <c r="BI1041" s="161"/>
      <c r="BJ1041" s="161"/>
      <c r="BK1041" s="161"/>
      <c r="BL1041" s="161"/>
      <c r="BM1041" s="161"/>
      <c r="BN1041" s="161"/>
      <c r="BO1041" s="161"/>
      <c r="BP1041" s="161"/>
      <c r="BQ1041" s="161"/>
      <c r="BR1041" s="161"/>
      <c r="BS1041" s="161"/>
      <c r="BT1041" s="161"/>
      <c r="BU1041" s="161"/>
      <c r="BV1041" s="161"/>
      <c r="BW1041" s="161"/>
      <c r="BX1041" s="161"/>
    </row>
    <row r="1042">
      <c r="A1042" s="161"/>
      <c r="B1042" s="161"/>
      <c r="C1042" s="161"/>
      <c r="D1042" s="161"/>
      <c r="E1042" s="161"/>
      <c r="F1042" s="161"/>
      <c r="G1042" s="161"/>
      <c r="H1042" s="161"/>
      <c r="I1042" s="161"/>
      <c r="J1042" s="161"/>
      <c r="K1042" s="161"/>
      <c r="L1042" s="161"/>
      <c r="M1042" s="161"/>
      <c r="N1042" s="161"/>
      <c r="O1042" s="161"/>
      <c r="P1042" s="161"/>
      <c r="Q1042" s="161"/>
      <c r="R1042" s="161"/>
      <c r="S1042" s="161"/>
      <c r="T1042" s="161"/>
      <c r="U1042" s="161"/>
      <c r="V1042" s="161"/>
      <c r="W1042" s="161"/>
      <c r="X1042" s="161"/>
      <c r="Y1042" s="161"/>
      <c r="Z1042" s="161"/>
      <c r="AA1042" s="161"/>
      <c r="AB1042" s="161"/>
      <c r="AC1042" s="161"/>
      <c r="AD1042" s="161"/>
      <c r="AE1042" s="161"/>
      <c r="AF1042" s="161"/>
      <c r="AG1042" s="161"/>
      <c r="AH1042" s="161"/>
      <c r="AI1042" s="161"/>
      <c r="AJ1042" s="161"/>
      <c r="AK1042" s="161"/>
      <c r="AL1042" s="161"/>
      <c r="AM1042" s="161"/>
      <c r="AN1042" s="161"/>
      <c r="AO1042" s="161"/>
      <c r="AP1042" s="161"/>
      <c r="AQ1042" s="161"/>
      <c r="AR1042" s="161"/>
      <c r="AS1042" s="161"/>
      <c r="AT1042" s="161"/>
      <c r="AU1042" s="161"/>
      <c r="AV1042" s="161"/>
      <c r="AW1042" s="161"/>
      <c r="AX1042" s="161"/>
      <c r="AY1042" s="161"/>
      <c r="AZ1042" s="161"/>
      <c r="BA1042" s="161"/>
      <c r="BB1042" s="161"/>
      <c r="BC1042" s="161"/>
      <c r="BD1042" s="161"/>
      <c r="BE1042" s="161"/>
      <c r="BF1042" s="161"/>
      <c r="BG1042" s="161"/>
      <c r="BH1042" s="161"/>
      <c r="BI1042" s="161"/>
      <c r="BJ1042" s="161"/>
      <c r="BK1042" s="161"/>
      <c r="BL1042" s="161"/>
      <c r="BM1042" s="161"/>
      <c r="BN1042" s="161"/>
      <c r="BO1042" s="161"/>
      <c r="BP1042" s="161"/>
      <c r="BQ1042" s="161"/>
      <c r="BR1042" s="161"/>
      <c r="BS1042" s="161"/>
      <c r="BT1042" s="161"/>
      <c r="BU1042" s="161"/>
      <c r="BV1042" s="161"/>
      <c r="BW1042" s="161"/>
      <c r="BX1042" s="161"/>
    </row>
    <row r="1043">
      <c r="A1043" s="161"/>
      <c r="B1043" s="161"/>
      <c r="C1043" s="161"/>
      <c r="D1043" s="161"/>
      <c r="E1043" s="161"/>
      <c r="F1043" s="161"/>
      <c r="G1043" s="161"/>
      <c r="H1043" s="161"/>
      <c r="I1043" s="161"/>
      <c r="J1043" s="161"/>
      <c r="K1043" s="161"/>
      <c r="L1043" s="161"/>
      <c r="M1043" s="161"/>
      <c r="N1043" s="161"/>
      <c r="O1043" s="161"/>
      <c r="P1043" s="161"/>
      <c r="Q1043" s="161"/>
      <c r="R1043" s="161"/>
      <c r="S1043" s="161"/>
      <c r="T1043" s="161"/>
      <c r="U1043" s="161"/>
      <c r="V1043" s="161"/>
      <c r="W1043" s="161"/>
      <c r="X1043" s="161"/>
      <c r="Y1043" s="161"/>
      <c r="Z1043" s="161"/>
      <c r="AA1043" s="161"/>
      <c r="AB1043" s="161"/>
      <c r="AC1043" s="161"/>
      <c r="AD1043" s="161"/>
      <c r="AE1043" s="161"/>
      <c r="AF1043" s="161"/>
      <c r="AG1043" s="161"/>
      <c r="AH1043" s="161"/>
      <c r="AI1043" s="161"/>
      <c r="AJ1043" s="161"/>
      <c r="AK1043" s="161"/>
      <c r="AL1043" s="161"/>
      <c r="AM1043" s="161"/>
      <c r="AN1043" s="161"/>
      <c r="AO1043" s="161"/>
      <c r="AP1043" s="161"/>
      <c r="AQ1043" s="161"/>
      <c r="AR1043" s="161"/>
      <c r="AS1043" s="161"/>
      <c r="AT1043" s="161"/>
      <c r="AU1043" s="161"/>
      <c r="AV1043" s="161"/>
      <c r="AW1043" s="161"/>
      <c r="AX1043" s="161"/>
      <c r="AY1043" s="161"/>
      <c r="AZ1043" s="161"/>
      <c r="BA1043" s="161"/>
      <c r="BB1043" s="161"/>
      <c r="BC1043" s="161"/>
      <c r="BD1043" s="161"/>
      <c r="BE1043" s="161"/>
      <c r="BF1043" s="161"/>
      <c r="BG1043" s="161"/>
      <c r="BH1043" s="161"/>
      <c r="BI1043" s="161"/>
      <c r="BJ1043" s="161"/>
      <c r="BK1043" s="161"/>
      <c r="BL1043" s="161"/>
      <c r="BM1043" s="161"/>
      <c r="BN1043" s="161"/>
      <c r="BO1043" s="161"/>
      <c r="BP1043" s="161"/>
      <c r="BQ1043" s="161"/>
      <c r="BR1043" s="161"/>
      <c r="BS1043" s="161"/>
      <c r="BT1043" s="161"/>
      <c r="BU1043" s="161"/>
      <c r="BV1043" s="161"/>
      <c r="BW1043" s="161"/>
      <c r="BX1043" s="161"/>
    </row>
    <row r="1044">
      <c r="A1044" s="161"/>
      <c r="B1044" s="161"/>
      <c r="C1044" s="161"/>
      <c r="D1044" s="161"/>
      <c r="E1044" s="161"/>
      <c r="F1044" s="161"/>
      <c r="G1044" s="161"/>
      <c r="H1044" s="161"/>
      <c r="I1044" s="161"/>
      <c r="J1044" s="161"/>
      <c r="K1044" s="161"/>
      <c r="L1044" s="161"/>
      <c r="M1044" s="161"/>
      <c r="N1044" s="161"/>
      <c r="O1044" s="161"/>
      <c r="P1044" s="161"/>
      <c r="Q1044" s="161"/>
      <c r="R1044" s="161"/>
      <c r="S1044" s="161"/>
      <c r="T1044" s="161"/>
      <c r="U1044" s="161"/>
      <c r="V1044" s="161"/>
      <c r="W1044" s="161"/>
      <c r="X1044" s="161"/>
      <c r="Y1044" s="161"/>
      <c r="Z1044" s="161"/>
      <c r="AA1044" s="161"/>
      <c r="AB1044" s="161"/>
      <c r="AC1044" s="161"/>
      <c r="AD1044" s="161"/>
      <c r="AE1044" s="161"/>
      <c r="AF1044" s="161"/>
      <c r="AG1044" s="161"/>
      <c r="AH1044" s="161"/>
      <c r="AI1044" s="161"/>
      <c r="AJ1044" s="161"/>
      <c r="AK1044" s="161"/>
      <c r="AL1044" s="161"/>
      <c r="AM1044" s="161"/>
      <c r="AN1044" s="161"/>
      <c r="AO1044" s="161"/>
      <c r="AP1044" s="161"/>
      <c r="AQ1044" s="161"/>
      <c r="AR1044" s="161"/>
      <c r="AS1044" s="161"/>
      <c r="AT1044" s="161"/>
      <c r="AU1044" s="161"/>
      <c r="AV1044" s="161"/>
      <c r="AW1044" s="161"/>
      <c r="AX1044" s="161"/>
      <c r="AY1044" s="161"/>
      <c r="AZ1044" s="161"/>
      <c r="BA1044" s="161"/>
      <c r="BB1044" s="161"/>
      <c r="BC1044" s="161"/>
      <c r="BD1044" s="161"/>
      <c r="BE1044" s="161"/>
      <c r="BF1044" s="161"/>
      <c r="BG1044" s="161"/>
      <c r="BH1044" s="161"/>
      <c r="BI1044" s="161"/>
      <c r="BJ1044" s="161"/>
      <c r="BK1044" s="161"/>
      <c r="BL1044" s="161"/>
      <c r="BM1044" s="161"/>
      <c r="BN1044" s="161"/>
      <c r="BO1044" s="161"/>
      <c r="BP1044" s="161"/>
      <c r="BQ1044" s="161"/>
      <c r="BR1044" s="161"/>
      <c r="BS1044" s="161"/>
      <c r="BT1044" s="161"/>
      <c r="BU1044" s="161"/>
      <c r="BV1044" s="161"/>
      <c r="BW1044" s="161"/>
      <c r="BX1044" s="161"/>
    </row>
    <row r="1045">
      <c r="A1045" s="161"/>
      <c r="B1045" s="161"/>
      <c r="C1045" s="161"/>
      <c r="D1045" s="161"/>
      <c r="E1045" s="161"/>
      <c r="F1045" s="161"/>
      <c r="G1045" s="161"/>
      <c r="H1045" s="161"/>
      <c r="I1045" s="161"/>
      <c r="J1045" s="161"/>
      <c r="K1045" s="161"/>
      <c r="L1045" s="161"/>
      <c r="M1045" s="161"/>
      <c r="N1045" s="161"/>
      <c r="O1045" s="161"/>
      <c r="P1045" s="161"/>
      <c r="Q1045" s="161"/>
      <c r="R1045" s="161"/>
      <c r="S1045" s="161"/>
      <c r="T1045" s="161"/>
      <c r="U1045" s="161"/>
      <c r="V1045" s="161"/>
      <c r="W1045" s="161"/>
      <c r="X1045" s="161"/>
      <c r="Y1045" s="161"/>
      <c r="Z1045" s="161"/>
      <c r="AA1045" s="161"/>
      <c r="AB1045" s="161"/>
      <c r="AC1045" s="161"/>
      <c r="AD1045" s="161"/>
      <c r="AE1045" s="161"/>
      <c r="AF1045" s="161"/>
      <c r="AG1045" s="161"/>
      <c r="AH1045" s="161"/>
      <c r="AI1045" s="161"/>
      <c r="AJ1045" s="161"/>
      <c r="AK1045" s="161"/>
      <c r="AL1045" s="161"/>
      <c r="AM1045" s="161"/>
      <c r="AN1045" s="161"/>
      <c r="AO1045" s="161"/>
      <c r="AP1045" s="161"/>
      <c r="AQ1045" s="161"/>
      <c r="AR1045" s="161"/>
      <c r="AS1045" s="161"/>
      <c r="AT1045" s="161"/>
      <c r="AU1045" s="161"/>
      <c r="AV1045" s="161"/>
      <c r="AW1045" s="161"/>
      <c r="AX1045" s="161"/>
      <c r="AY1045" s="161"/>
      <c r="AZ1045" s="161"/>
      <c r="BA1045" s="161"/>
      <c r="BB1045" s="161"/>
      <c r="BC1045" s="161"/>
      <c r="BD1045" s="161"/>
      <c r="BE1045" s="161"/>
      <c r="BF1045" s="161"/>
      <c r="BG1045" s="161"/>
      <c r="BH1045" s="161"/>
      <c r="BI1045" s="161"/>
      <c r="BJ1045" s="161"/>
      <c r="BK1045" s="161"/>
      <c r="BL1045" s="161"/>
      <c r="BM1045" s="161"/>
      <c r="BN1045" s="161"/>
      <c r="BO1045" s="161"/>
      <c r="BP1045" s="161"/>
      <c r="BQ1045" s="161"/>
      <c r="BR1045" s="161"/>
      <c r="BS1045" s="161"/>
      <c r="BT1045" s="161"/>
      <c r="BU1045" s="161"/>
      <c r="BV1045" s="161"/>
      <c r="BW1045" s="161"/>
      <c r="BX1045" s="161"/>
    </row>
    <row r="1046">
      <c r="A1046" s="161"/>
      <c r="B1046" s="161"/>
      <c r="C1046" s="161"/>
      <c r="D1046" s="161"/>
      <c r="E1046" s="161"/>
      <c r="F1046" s="161"/>
      <c r="G1046" s="161"/>
      <c r="H1046" s="161"/>
      <c r="I1046" s="161"/>
      <c r="J1046" s="161"/>
      <c r="K1046" s="161"/>
      <c r="L1046" s="161"/>
      <c r="M1046" s="161"/>
      <c r="N1046" s="161"/>
      <c r="O1046" s="161"/>
      <c r="P1046" s="161"/>
      <c r="Q1046" s="161"/>
      <c r="R1046" s="161"/>
      <c r="S1046" s="161"/>
      <c r="T1046" s="161"/>
      <c r="U1046" s="161"/>
      <c r="V1046" s="161"/>
      <c r="W1046" s="161"/>
      <c r="X1046" s="161"/>
      <c r="Y1046" s="161"/>
      <c r="Z1046" s="161"/>
      <c r="AA1046" s="161"/>
      <c r="AB1046" s="161"/>
      <c r="AC1046" s="161"/>
      <c r="AD1046" s="161"/>
      <c r="AE1046" s="161"/>
      <c r="AF1046" s="161"/>
      <c r="AG1046" s="161"/>
      <c r="AH1046" s="161"/>
      <c r="AI1046" s="161"/>
      <c r="AJ1046" s="161"/>
      <c r="AK1046" s="161"/>
      <c r="AL1046" s="161"/>
      <c r="AM1046" s="161"/>
      <c r="AN1046" s="161"/>
      <c r="AO1046" s="161"/>
      <c r="AP1046" s="161"/>
      <c r="AQ1046" s="161"/>
      <c r="AR1046" s="161"/>
      <c r="AS1046" s="161"/>
      <c r="AT1046" s="161"/>
      <c r="AU1046" s="161"/>
      <c r="AV1046" s="161"/>
      <c r="AW1046" s="161"/>
      <c r="AX1046" s="161"/>
      <c r="AY1046" s="161"/>
      <c r="AZ1046" s="161"/>
      <c r="BA1046" s="161"/>
      <c r="BB1046" s="161"/>
      <c r="BC1046" s="161"/>
      <c r="BD1046" s="161"/>
      <c r="BE1046" s="161"/>
      <c r="BF1046" s="161"/>
      <c r="BG1046" s="161"/>
      <c r="BH1046" s="161"/>
      <c r="BI1046" s="161"/>
      <c r="BJ1046" s="161"/>
      <c r="BK1046" s="161"/>
      <c r="BL1046" s="161"/>
      <c r="BM1046" s="161"/>
      <c r="BN1046" s="161"/>
      <c r="BO1046" s="161"/>
      <c r="BP1046" s="161"/>
      <c r="BQ1046" s="161"/>
      <c r="BR1046" s="161"/>
      <c r="BS1046" s="161"/>
      <c r="BT1046" s="161"/>
      <c r="BU1046" s="161"/>
      <c r="BV1046" s="161"/>
      <c r="BW1046" s="161"/>
      <c r="BX1046" s="161"/>
    </row>
    <row r="1047">
      <c r="A1047" s="161"/>
      <c r="B1047" s="161"/>
      <c r="C1047" s="161"/>
      <c r="D1047" s="161"/>
      <c r="E1047" s="161"/>
      <c r="F1047" s="161"/>
      <c r="G1047" s="161"/>
      <c r="H1047" s="161"/>
      <c r="I1047" s="161"/>
      <c r="J1047" s="161"/>
      <c r="K1047" s="161"/>
      <c r="L1047" s="161"/>
      <c r="M1047" s="161"/>
      <c r="N1047" s="161"/>
      <c r="O1047" s="161"/>
      <c r="P1047" s="161"/>
      <c r="Q1047" s="161"/>
      <c r="R1047" s="161"/>
      <c r="S1047" s="161"/>
      <c r="T1047" s="161"/>
      <c r="U1047" s="161"/>
      <c r="V1047" s="161"/>
      <c r="W1047" s="161"/>
      <c r="X1047" s="161"/>
      <c r="Y1047" s="161"/>
      <c r="Z1047" s="161"/>
      <c r="AA1047" s="161"/>
      <c r="AB1047" s="161"/>
      <c r="AC1047" s="161"/>
      <c r="AD1047" s="161"/>
      <c r="AE1047" s="161"/>
      <c r="AF1047" s="161"/>
      <c r="AG1047" s="161"/>
      <c r="AH1047" s="161"/>
      <c r="AI1047" s="161"/>
      <c r="AJ1047" s="161"/>
      <c r="AK1047" s="161"/>
      <c r="AL1047" s="161"/>
      <c r="AM1047" s="161"/>
      <c r="AN1047" s="161"/>
      <c r="AO1047" s="161"/>
      <c r="AP1047" s="161"/>
      <c r="AQ1047" s="161"/>
      <c r="AR1047" s="161"/>
      <c r="AS1047" s="161"/>
      <c r="AT1047" s="161"/>
      <c r="AU1047" s="161"/>
      <c r="AV1047" s="161"/>
      <c r="AW1047" s="161"/>
      <c r="AX1047" s="161"/>
      <c r="AY1047" s="161"/>
      <c r="AZ1047" s="161"/>
      <c r="BA1047" s="161"/>
      <c r="BB1047" s="161"/>
      <c r="BC1047" s="161"/>
      <c r="BD1047" s="161"/>
      <c r="BE1047" s="161"/>
      <c r="BF1047" s="161"/>
      <c r="BG1047" s="161"/>
      <c r="BH1047" s="161"/>
      <c r="BI1047" s="161"/>
      <c r="BJ1047" s="161"/>
      <c r="BK1047" s="161"/>
      <c r="BL1047" s="161"/>
      <c r="BM1047" s="161"/>
      <c r="BN1047" s="161"/>
      <c r="BO1047" s="161"/>
      <c r="BP1047" s="161"/>
      <c r="BQ1047" s="161"/>
      <c r="BR1047" s="161"/>
      <c r="BS1047" s="161"/>
      <c r="BT1047" s="161"/>
      <c r="BU1047" s="161"/>
      <c r="BV1047" s="161"/>
      <c r="BW1047" s="161"/>
      <c r="BX1047" s="161"/>
    </row>
    <row r="1048">
      <c r="A1048" s="161"/>
      <c r="B1048" s="161"/>
      <c r="C1048" s="161"/>
      <c r="D1048" s="161"/>
      <c r="E1048" s="161"/>
      <c r="F1048" s="161"/>
      <c r="G1048" s="161"/>
      <c r="H1048" s="161"/>
      <c r="I1048" s="161"/>
      <c r="J1048" s="161"/>
      <c r="K1048" s="161"/>
      <c r="L1048" s="161"/>
      <c r="M1048" s="161"/>
      <c r="N1048" s="161"/>
      <c r="O1048" s="161"/>
      <c r="P1048" s="161"/>
      <c r="Q1048" s="161"/>
      <c r="R1048" s="161"/>
      <c r="S1048" s="161"/>
      <c r="T1048" s="161"/>
      <c r="U1048" s="161"/>
      <c r="V1048" s="161"/>
      <c r="W1048" s="161"/>
      <c r="X1048" s="161"/>
      <c r="Y1048" s="161"/>
      <c r="Z1048" s="161"/>
      <c r="AA1048" s="161"/>
      <c r="AB1048" s="161"/>
      <c r="AC1048" s="161"/>
      <c r="AD1048" s="161"/>
      <c r="AE1048" s="161"/>
      <c r="AF1048" s="161"/>
      <c r="AG1048" s="161"/>
      <c r="AH1048" s="161"/>
      <c r="AI1048" s="161"/>
      <c r="AJ1048" s="161"/>
      <c r="AK1048" s="161"/>
      <c r="AL1048" s="161"/>
      <c r="AM1048" s="161"/>
      <c r="AN1048" s="161"/>
      <c r="AO1048" s="161"/>
      <c r="AP1048" s="161"/>
      <c r="AQ1048" s="161"/>
      <c r="AR1048" s="161"/>
      <c r="AS1048" s="161"/>
      <c r="AT1048" s="161"/>
      <c r="AU1048" s="161"/>
      <c r="AV1048" s="161"/>
      <c r="AW1048" s="161"/>
      <c r="AX1048" s="161"/>
      <c r="AY1048" s="161"/>
      <c r="AZ1048" s="161"/>
      <c r="BA1048" s="161"/>
      <c r="BB1048" s="161"/>
      <c r="BC1048" s="161"/>
      <c r="BD1048" s="161"/>
      <c r="BE1048" s="161"/>
      <c r="BF1048" s="161"/>
      <c r="BG1048" s="161"/>
      <c r="BH1048" s="161"/>
      <c r="BI1048" s="161"/>
      <c r="BJ1048" s="161"/>
      <c r="BK1048" s="161"/>
      <c r="BL1048" s="161"/>
      <c r="BM1048" s="161"/>
      <c r="BN1048" s="161"/>
      <c r="BO1048" s="161"/>
      <c r="BP1048" s="161"/>
      <c r="BQ1048" s="161"/>
      <c r="BR1048" s="161"/>
      <c r="BS1048" s="161"/>
      <c r="BT1048" s="161"/>
      <c r="BU1048" s="161"/>
      <c r="BV1048" s="161"/>
      <c r="BW1048" s="161"/>
      <c r="BX1048" s="161"/>
    </row>
    <row r="1049">
      <c r="A1049" s="161"/>
      <c r="B1049" s="161"/>
      <c r="C1049" s="161"/>
      <c r="D1049" s="161"/>
      <c r="E1049" s="161"/>
      <c r="F1049" s="161"/>
      <c r="G1049" s="161"/>
      <c r="H1049" s="161"/>
      <c r="I1049" s="161"/>
      <c r="J1049" s="161"/>
      <c r="K1049" s="161"/>
      <c r="L1049" s="161"/>
      <c r="M1049" s="161"/>
      <c r="N1049" s="161"/>
      <c r="O1049" s="161"/>
      <c r="P1049" s="161"/>
      <c r="Q1049" s="161"/>
      <c r="R1049" s="161"/>
      <c r="S1049" s="161"/>
      <c r="T1049" s="161"/>
      <c r="U1049" s="161"/>
      <c r="V1049" s="161"/>
      <c r="W1049" s="161"/>
      <c r="X1049" s="161"/>
      <c r="Y1049" s="161"/>
      <c r="Z1049" s="161"/>
      <c r="AA1049" s="161"/>
      <c r="AB1049" s="161"/>
      <c r="AC1049" s="161"/>
      <c r="AD1049" s="161"/>
      <c r="AE1049" s="161"/>
      <c r="AF1049" s="161"/>
      <c r="AG1049" s="161"/>
      <c r="AH1049" s="161"/>
      <c r="AI1049" s="161"/>
      <c r="AJ1049" s="161"/>
      <c r="AK1049" s="161"/>
      <c r="AL1049" s="161"/>
      <c r="AM1049" s="161"/>
      <c r="AN1049" s="161"/>
      <c r="AO1049" s="161"/>
      <c r="AP1049" s="161"/>
      <c r="AQ1049" s="161"/>
      <c r="AR1049" s="161"/>
      <c r="AS1049" s="161"/>
      <c r="AT1049" s="161"/>
      <c r="AU1049" s="161"/>
      <c r="AV1049" s="161"/>
      <c r="AW1049" s="161"/>
      <c r="AX1049" s="161"/>
      <c r="AY1049" s="161"/>
      <c r="AZ1049" s="161"/>
      <c r="BA1049" s="161"/>
      <c r="BB1049" s="161"/>
      <c r="BC1049" s="161"/>
      <c r="BD1049" s="161"/>
      <c r="BE1049" s="161"/>
      <c r="BF1049" s="161"/>
      <c r="BG1049" s="161"/>
      <c r="BH1049" s="161"/>
      <c r="BI1049" s="161"/>
      <c r="BJ1049" s="161"/>
      <c r="BK1049" s="161"/>
      <c r="BL1049" s="161"/>
      <c r="BM1049" s="161"/>
      <c r="BN1049" s="161"/>
      <c r="BO1049" s="161"/>
      <c r="BP1049" s="161"/>
      <c r="BQ1049" s="161"/>
      <c r="BR1049" s="161"/>
      <c r="BS1049" s="161"/>
      <c r="BT1049" s="161"/>
      <c r="BU1049" s="161"/>
      <c r="BV1049" s="161"/>
      <c r="BW1049" s="161"/>
      <c r="BX1049" s="161"/>
    </row>
    <row r="1050">
      <c r="A1050" s="161"/>
      <c r="B1050" s="161"/>
      <c r="C1050" s="161"/>
      <c r="D1050" s="161"/>
      <c r="E1050" s="161"/>
      <c r="F1050" s="161"/>
      <c r="G1050" s="161"/>
      <c r="H1050" s="161"/>
      <c r="I1050" s="161"/>
      <c r="J1050" s="161"/>
      <c r="K1050" s="161"/>
      <c r="L1050" s="161"/>
      <c r="M1050" s="161"/>
      <c r="N1050" s="161"/>
      <c r="O1050" s="161"/>
      <c r="P1050" s="161"/>
      <c r="Q1050" s="161"/>
      <c r="R1050" s="161"/>
      <c r="S1050" s="161"/>
      <c r="T1050" s="161"/>
      <c r="U1050" s="161"/>
      <c r="V1050" s="161"/>
      <c r="W1050" s="161"/>
      <c r="X1050" s="161"/>
      <c r="Y1050" s="161"/>
      <c r="Z1050" s="161"/>
      <c r="AA1050" s="161"/>
      <c r="AB1050" s="161"/>
      <c r="AC1050" s="161"/>
      <c r="AD1050" s="161"/>
      <c r="AE1050" s="161"/>
      <c r="AF1050" s="161"/>
      <c r="AG1050" s="161"/>
      <c r="AH1050" s="161"/>
      <c r="AI1050" s="161"/>
      <c r="AJ1050" s="161"/>
      <c r="AK1050" s="161"/>
      <c r="AL1050" s="161"/>
      <c r="AM1050" s="161"/>
      <c r="AN1050" s="161"/>
      <c r="AO1050" s="161"/>
      <c r="AP1050" s="161"/>
      <c r="AQ1050" s="161"/>
      <c r="AR1050" s="161"/>
      <c r="AS1050" s="161"/>
      <c r="AT1050" s="161"/>
      <c r="AU1050" s="161"/>
      <c r="AV1050" s="161"/>
      <c r="AW1050" s="161"/>
      <c r="AX1050" s="161"/>
      <c r="AY1050" s="161"/>
      <c r="AZ1050" s="161"/>
      <c r="BA1050" s="161"/>
      <c r="BB1050" s="161"/>
      <c r="BC1050" s="161"/>
      <c r="BD1050" s="161"/>
      <c r="BE1050" s="161"/>
      <c r="BF1050" s="161"/>
      <c r="BG1050" s="161"/>
      <c r="BH1050" s="161"/>
      <c r="BI1050" s="161"/>
      <c r="BJ1050" s="161"/>
      <c r="BK1050" s="161"/>
      <c r="BL1050" s="161"/>
      <c r="BM1050" s="161"/>
      <c r="BN1050" s="161"/>
      <c r="BO1050" s="161"/>
      <c r="BP1050" s="161"/>
      <c r="BQ1050" s="161"/>
      <c r="BR1050" s="161"/>
      <c r="BS1050" s="161"/>
      <c r="BT1050" s="161"/>
      <c r="BU1050" s="161"/>
      <c r="BV1050" s="161"/>
      <c r="BW1050" s="161"/>
      <c r="BX1050" s="161"/>
    </row>
    <row r="1051">
      <c r="A1051" s="161"/>
      <c r="B1051" s="161"/>
      <c r="C1051" s="161"/>
      <c r="D1051" s="161"/>
      <c r="E1051" s="161"/>
      <c r="F1051" s="161"/>
      <c r="G1051" s="161"/>
      <c r="H1051" s="161"/>
      <c r="I1051" s="161"/>
      <c r="J1051" s="161"/>
      <c r="K1051" s="161"/>
      <c r="L1051" s="161"/>
      <c r="M1051" s="161"/>
      <c r="N1051" s="161"/>
      <c r="O1051" s="161"/>
      <c r="P1051" s="161"/>
      <c r="Q1051" s="161"/>
      <c r="R1051" s="161"/>
      <c r="S1051" s="161"/>
      <c r="T1051" s="161"/>
      <c r="U1051" s="161"/>
      <c r="V1051" s="161"/>
      <c r="W1051" s="161"/>
      <c r="X1051" s="161"/>
      <c r="Y1051" s="161"/>
      <c r="Z1051" s="161"/>
      <c r="AA1051" s="161"/>
      <c r="AB1051" s="161"/>
      <c r="AC1051" s="161"/>
      <c r="AD1051" s="161"/>
      <c r="AE1051" s="161"/>
      <c r="AF1051" s="161"/>
      <c r="AG1051" s="161"/>
      <c r="AH1051" s="161"/>
      <c r="AI1051" s="161"/>
      <c r="AJ1051" s="161"/>
      <c r="AK1051" s="161"/>
      <c r="AL1051" s="161"/>
      <c r="AM1051" s="161"/>
      <c r="AN1051" s="161"/>
      <c r="AO1051" s="161"/>
      <c r="AP1051" s="161"/>
      <c r="AQ1051" s="161"/>
      <c r="AR1051" s="161"/>
      <c r="AS1051" s="161"/>
      <c r="AT1051" s="161"/>
      <c r="AU1051" s="161"/>
      <c r="AV1051" s="161"/>
      <c r="AW1051" s="161"/>
      <c r="AX1051" s="161"/>
      <c r="AY1051" s="161"/>
      <c r="AZ1051" s="161"/>
      <c r="BA1051" s="161"/>
      <c r="BB1051" s="161"/>
      <c r="BC1051" s="161"/>
      <c r="BD1051" s="161"/>
      <c r="BE1051" s="161"/>
      <c r="BF1051" s="161"/>
      <c r="BG1051" s="161"/>
      <c r="BH1051" s="161"/>
      <c r="BI1051" s="161"/>
      <c r="BJ1051" s="161"/>
      <c r="BK1051" s="161"/>
      <c r="BL1051" s="161"/>
      <c r="BM1051" s="161"/>
      <c r="BN1051" s="161"/>
      <c r="BO1051" s="161"/>
      <c r="BP1051" s="161"/>
      <c r="BQ1051" s="161"/>
      <c r="BR1051" s="161"/>
      <c r="BS1051" s="161"/>
      <c r="BT1051" s="161"/>
      <c r="BU1051" s="161"/>
      <c r="BV1051" s="161"/>
      <c r="BW1051" s="161"/>
      <c r="BX1051" s="161"/>
    </row>
    <row r="1052">
      <c r="A1052" s="161"/>
      <c r="B1052" s="161"/>
      <c r="C1052" s="161"/>
      <c r="D1052" s="161"/>
      <c r="E1052" s="161"/>
      <c r="F1052" s="161"/>
      <c r="G1052" s="161"/>
      <c r="H1052" s="161"/>
      <c r="I1052" s="161"/>
      <c r="J1052" s="161"/>
      <c r="K1052" s="161"/>
      <c r="L1052" s="161"/>
      <c r="M1052" s="161"/>
      <c r="N1052" s="161"/>
      <c r="O1052" s="161"/>
      <c r="P1052" s="161"/>
      <c r="Q1052" s="161"/>
      <c r="R1052" s="161"/>
      <c r="S1052" s="161"/>
      <c r="T1052" s="161"/>
      <c r="U1052" s="161"/>
      <c r="V1052" s="161"/>
      <c r="W1052" s="161"/>
      <c r="X1052" s="161"/>
      <c r="Y1052" s="161"/>
      <c r="Z1052" s="161"/>
      <c r="AA1052" s="161"/>
      <c r="AB1052" s="161"/>
      <c r="AC1052" s="161"/>
      <c r="AD1052" s="161"/>
      <c r="AE1052" s="161"/>
      <c r="AF1052" s="161"/>
      <c r="AG1052" s="161"/>
      <c r="AH1052" s="161"/>
      <c r="AI1052" s="161"/>
      <c r="AJ1052" s="161"/>
      <c r="AK1052" s="161"/>
      <c r="AL1052" s="161"/>
      <c r="AM1052" s="161"/>
      <c r="AN1052" s="161"/>
      <c r="AO1052" s="161"/>
      <c r="AP1052" s="161"/>
      <c r="AQ1052" s="161"/>
      <c r="AR1052" s="161"/>
      <c r="AS1052" s="161"/>
      <c r="AT1052" s="161"/>
      <c r="AU1052" s="161"/>
      <c r="AV1052" s="161"/>
      <c r="AW1052" s="161"/>
      <c r="AX1052" s="161"/>
      <c r="AY1052" s="161"/>
      <c r="AZ1052" s="161"/>
      <c r="BA1052" s="161"/>
      <c r="BB1052" s="161"/>
      <c r="BC1052" s="161"/>
      <c r="BD1052" s="161"/>
      <c r="BE1052" s="161"/>
      <c r="BF1052" s="161"/>
      <c r="BG1052" s="161"/>
      <c r="BH1052" s="161"/>
      <c r="BI1052" s="161"/>
      <c r="BJ1052" s="161"/>
      <c r="BK1052" s="161"/>
      <c r="BL1052" s="161"/>
      <c r="BM1052" s="161"/>
      <c r="BN1052" s="161"/>
      <c r="BO1052" s="161"/>
      <c r="BP1052" s="161"/>
      <c r="BQ1052" s="161"/>
      <c r="BR1052" s="161"/>
      <c r="BS1052" s="161"/>
      <c r="BT1052" s="161"/>
      <c r="BU1052" s="161"/>
      <c r="BV1052" s="161"/>
      <c r="BW1052" s="161"/>
      <c r="BX1052" s="161"/>
    </row>
    <row r="1053">
      <c r="A1053" s="161"/>
      <c r="B1053" s="161"/>
      <c r="C1053" s="161"/>
      <c r="D1053" s="161"/>
      <c r="E1053" s="161"/>
      <c r="F1053" s="161"/>
      <c r="G1053" s="161"/>
      <c r="H1053" s="161"/>
      <c r="I1053" s="161"/>
      <c r="J1053" s="161"/>
      <c r="K1053" s="161"/>
      <c r="L1053" s="161"/>
      <c r="M1053" s="161"/>
      <c r="N1053" s="161"/>
      <c r="O1053" s="161"/>
      <c r="P1053" s="161"/>
      <c r="Q1053" s="161"/>
      <c r="R1053" s="161"/>
      <c r="S1053" s="161"/>
      <c r="T1053" s="161"/>
      <c r="U1053" s="161"/>
      <c r="V1053" s="161"/>
      <c r="W1053" s="161"/>
      <c r="X1053" s="161"/>
      <c r="Y1053" s="161"/>
      <c r="Z1053" s="161"/>
      <c r="AA1053" s="161"/>
      <c r="AB1053" s="161"/>
      <c r="AC1053" s="161"/>
      <c r="AD1053" s="161"/>
      <c r="AE1053" s="161"/>
      <c r="AF1053" s="161"/>
      <c r="AG1053" s="161"/>
      <c r="AH1053" s="161"/>
      <c r="AI1053" s="161"/>
      <c r="AJ1053" s="161"/>
      <c r="AK1053" s="161"/>
      <c r="AL1053" s="161"/>
      <c r="AM1053" s="161"/>
      <c r="AN1053" s="161"/>
      <c r="AO1053" s="161"/>
      <c r="AP1053" s="161"/>
      <c r="AQ1053" s="161"/>
      <c r="AR1053" s="161"/>
      <c r="AS1053" s="161"/>
      <c r="AT1053" s="161"/>
      <c r="AU1053" s="161"/>
      <c r="AV1053" s="161"/>
      <c r="AW1053" s="161"/>
      <c r="AX1053" s="161"/>
      <c r="AY1053" s="161"/>
      <c r="AZ1053" s="161"/>
      <c r="BA1053" s="161"/>
      <c r="BB1053" s="161"/>
      <c r="BC1053" s="161"/>
      <c r="BD1053" s="161"/>
      <c r="BE1053" s="161"/>
      <c r="BF1053" s="161"/>
      <c r="BG1053" s="161"/>
      <c r="BH1053" s="161"/>
      <c r="BI1053" s="161"/>
      <c r="BJ1053" s="161"/>
      <c r="BK1053" s="161"/>
      <c r="BL1053" s="161"/>
      <c r="BM1053" s="161"/>
      <c r="BN1053" s="161"/>
      <c r="BO1053" s="161"/>
      <c r="BP1053" s="161"/>
      <c r="BQ1053" s="161"/>
      <c r="BR1053" s="161"/>
      <c r="BS1053" s="161"/>
      <c r="BT1053" s="161"/>
      <c r="BU1053" s="161"/>
      <c r="BV1053" s="161"/>
      <c r="BW1053" s="161"/>
      <c r="BX1053" s="161"/>
    </row>
    <row r="1054">
      <c r="A1054" s="161"/>
      <c r="B1054" s="161"/>
      <c r="C1054" s="161"/>
      <c r="D1054" s="161"/>
      <c r="E1054" s="161"/>
      <c r="F1054" s="161"/>
      <c r="G1054" s="161"/>
      <c r="H1054" s="161"/>
      <c r="I1054" s="161"/>
      <c r="J1054" s="161"/>
      <c r="K1054" s="161"/>
      <c r="L1054" s="161"/>
      <c r="M1054" s="161"/>
      <c r="N1054" s="161"/>
      <c r="O1054" s="161"/>
      <c r="P1054" s="161"/>
      <c r="Q1054" s="161"/>
      <c r="R1054" s="161"/>
      <c r="S1054" s="161"/>
      <c r="T1054" s="161"/>
      <c r="U1054" s="161"/>
      <c r="V1054" s="161"/>
      <c r="W1054" s="161"/>
      <c r="X1054" s="161"/>
      <c r="Y1054" s="161"/>
      <c r="Z1054" s="161"/>
      <c r="AA1054" s="161"/>
      <c r="AB1054" s="161"/>
      <c r="AC1054" s="161"/>
      <c r="AD1054" s="161"/>
      <c r="AE1054" s="161"/>
      <c r="AF1054" s="161"/>
      <c r="AG1054" s="161"/>
      <c r="AH1054" s="161"/>
      <c r="AI1054" s="161"/>
      <c r="AJ1054" s="161"/>
      <c r="AK1054" s="161"/>
      <c r="AL1054" s="161"/>
      <c r="AM1054" s="161"/>
      <c r="AN1054" s="161"/>
      <c r="AO1054" s="161"/>
      <c r="AP1054" s="161"/>
      <c r="AQ1054" s="161"/>
      <c r="AR1054" s="161"/>
      <c r="AS1054" s="161"/>
      <c r="AT1054" s="161"/>
      <c r="AU1054" s="161"/>
      <c r="AV1054" s="161"/>
      <c r="AW1054" s="161"/>
      <c r="AX1054" s="161"/>
      <c r="AY1054" s="161"/>
      <c r="AZ1054" s="161"/>
      <c r="BA1054" s="161"/>
      <c r="BB1054" s="161"/>
      <c r="BC1054" s="161"/>
      <c r="BD1054" s="161"/>
      <c r="BE1054" s="161"/>
      <c r="BF1054" s="161"/>
      <c r="BG1054" s="161"/>
      <c r="BH1054" s="161"/>
      <c r="BI1054" s="161"/>
      <c r="BJ1054" s="161"/>
      <c r="BK1054" s="161"/>
      <c r="BL1054" s="161"/>
      <c r="BM1054" s="161"/>
      <c r="BN1054" s="161"/>
      <c r="BO1054" s="161"/>
      <c r="BP1054" s="161"/>
      <c r="BQ1054" s="161"/>
      <c r="BR1054" s="161"/>
      <c r="BS1054" s="161"/>
      <c r="BT1054" s="161"/>
      <c r="BU1054" s="161"/>
      <c r="BV1054" s="161"/>
      <c r="BW1054" s="161"/>
      <c r="BX1054" s="161"/>
    </row>
    <row r="1055">
      <c r="A1055" s="161"/>
      <c r="B1055" s="161"/>
      <c r="C1055" s="161"/>
      <c r="D1055" s="161"/>
      <c r="E1055" s="161"/>
      <c r="F1055" s="161"/>
      <c r="G1055" s="161"/>
      <c r="H1055" s="161"/>
      <c r="I1055" s="161"/>
      <c r="J1055" s="161"/>
      <c r="K1055" s="161"/>
      <c r="L1055" s="161"/>
      <c r="M1055" s="161"/>
      <c r="N1055" s="161"/>
      <c r="O1055" s="161"/>
      <c r="P1055" s="161"/>
      <c r="Q1055" s="161"/>
      <c r="R1055" s="161"/>
      <c r="S1055" s="161"/>
      <c r="T1055" s="161"/>
      <c r="U1055" s="161"/>
      <c r="V1055" s="161"/>
      <c r="W1055" s="161"/>
      <c r="X1055" s="161"/>
      <c r="Y1055" s="161"/>
      <c r="Z1055" s="161"/>
      <c r="AA1055" s="161"/>
      <c r="AB1055" s="161"/>
      <c r="AC1055" s="161"/>
      <c r="AD1055" s="161"/>
      <c r="AE1055" s="161"/>
      <c r="AF1055" s="161"/>
      <c r="AG1055" s="161"/>
      <c r="AH1055" s="161"/>
      <c r="AI1055" s="161"/>
      <c r="AJ1055" s="161"/>
      <c r="AK1055" s="161"/>
      <c r="AL1055" s="161"/>
      <c r="AM1055" s="161"/>
      <c r="AN1055" s="161"/>
      <c r="AO1055" s="161"/>
      <c r="AP1055" s="161"/>
      <c r="AQ1055" s="161"/>
      <c r="AR1055" s="161"/>
      <c r="AS1055" s="161"/>
      <c r="AT1055" s="161"/>
      <c r="AU1055" s="161"/>
      <c r="AV1055" s="161"/>
      <c r="AW1055" s="161"/>
      <c r="AX1055" s="161"/>
      <c r="AY1055" s="161"/>
      <c r="AZ1055" s="161"/>
      <c r="BA1055" s="161"/>
      <c r="BB1055" s="161"/>
      <c r="BC1055" s="161"/>
      <c r="BD1055" s="161"/>
      <c r="BE1055" s="161"/>
      <c r="BF1055" s="161"/>
      <c r="BG1055" s="161"/>
      <c r="BH1055" s="161"/>
      <c r="BI1055" s="161"/>
      <c r="BJ1055" s="161"/>
      <c r="BK1055" s="161"/>
      <c r="BL1055" s="161"/>
      <c r="BM1055" s="161"/>
      <c r="BN1055" s="161"/>
      <c r="BO1055" s="161"/>
      <c r="BP1055" s="161"/>
      <c r="BQ1055" s="161"/>
      <c r="BR1055" s="161"/>
      <c r="BS1055" s="161"/>
      <c r="BT1055" s="161"/>
      <c r="BU1055" s="161"/>
      <c r="BV1055" s="161"/>
      <c r="BW1055" s="161"/>
      <c r="BX1055" s="161"/>
    </row>
    <row r="1056">
      <c r="A1056" s="161"/>
      <c r="B1056" s="161"/>
      <c r="C1056" s="161"/>
      <c r="D1056" s="161"/>
      <c r="E1056" s="161"/>
      <c r="F1056" s="161"/>
      <c r="G1056" s="161"/>
      <c r="H1056" s="161"/>
      <c r="I1056" s="161"/>
      <c r="J1056" s="161"/>
      <c r="K1056" s="161"/>
      <c r="L1056" s="161"/>
      <c r="M1056" s="161"/>
      <c r="N1056" s="161"/>
      <c r="O1056" s="161"/>
      <c r="P1056" s="161"/>
      <c r="Q1056" s="161"/>
      <c r="R1056" s="161"/>
      <c r="S1056" s="161"/>
      <c r="T1056" s="161"/>
      <c r="U1056" s="161"/>
      <c r="V1056" s="161"/>
      <c r="W1056" s="161"/>
      <c r="X1056" s="161"/>
      <c r="Y1056" s="161"/>
      <c r="Z1056" s="161"/>
      <c r="AA1056" s="161"/>
      <c r="AB1056" s="161"/>
      <c r="AC1056" s="161"/>
      <c r="AD1056" s="161"/>
      <c r="AE1056" s="161"/>
      <c r="AF1056" s="161"/>
      <c r="AG1056" s="161"/>
      <c r="AH1056" s="161"/>
      <c r="AI1056" s="161"/>
      <c r="AJ1056" s="161"/>
      <c r="AK1056" s="161"/>
      <c r="AL1056" s="161"/>
      <c r="AM1056" s="161"/>
      <c r="AN1056" s="161"/>
      <c r="AO1056" s="161"/>
      <c r="AP1056" s="161"/>
      <c r="AQ1056" s="161"/>
      <c r="AR1056" s="161"/>
      <c r="AS1056" s="161"/>
      <c r="AT1056" s="161"/>
      <c r="AU1056" s="161"/>
      <c r="AV1056" s="161"/>
      <c r="AW1056" s="161"/>
      <c r="AX1056" s="161"/>
      <c r="AY1056" s="161"/>
      <c r="AZ1056" s="161"/>
      <c r="BA1056" s="161"/>
      <c r="BB1056" s="161"/>
      <c r="BC1056" s="161"/>
      <c r="BD1056" s="161"/>
      <c r="BE1056" s="161"/>
      <c r="BF1056" s="161"/>
      <c r="BG1056" s="161"/>
      <c r="BH1056" s="161"/>
      <c r="BI1056" s="161"/>
      <c r="BJ1056" s="161"/>
      <c r="BK1056" s="161"/>
      <c r="BL1056" s="161"/>
      <c r="BM1056" s="161"/>
      <c r="BN1056" s="161"/>
      <c r="BO1056" s="161"/>
      <c r="BP1056" s="161"/>
      <c r="BQ1056" s="161"/>
      <c r="BR1056" s="161"/>
      <c r="BS1056" s="161"/>
      <c r="BT1056" s="161"/>
      <c r="BU1056" s="161"/>
      <c r="BV1056" s="161"/>
      <c r="BW1056" s="161"/>
      <c r="BX1056" s="161"/>
    </row>
    <row r="1057">
      <c r="A1057" s="161"/>
      <c r="B1057" s="161"/>
      <c r="C1057" s="161"/>
      <c r="D1057" s="161"/>
      <c r="E1057" s="161"/>
      <c r="F1057" s="161"/>
      <c r="G1057" s="161"/>
      <c r="H1057" s="161"/>
      <c r="I1057" s="161"/>
      <c r="J1057" s="161"/>
      <c r="K1057" s="161"/>
      <c r="L1057" s="161"/>
      <c r="M1057" s="161"/>
      <c r="N1057" s="161"/>
      <c r="O1057" s="161"/>
      <c r="P1057" s="161"/>
      <c r="Q1057" s="161"/>
      <c r="R1057" s="161"/>
      <c r="S1057" s="161"/>
      <c r="T1057" s="161"/>
      <c r="U1057" s="161"/>
      <c r="V1057" s="161"/>
      <c r="W1057" s="161"/>
      <c r="X1057" s="161"/>
      <c r="Y1057" s="161"/>
      <c r="Z1057" s="161"/>
      <c r="AA1057" s="161"/>
      <c r="AB1057" s="161"/>
      <c r="AC1057" s="161"/>
      <c r="AD1057" s="161"/>
      <c r="AE1057" s="161"/>
      <c r="AF1057" s="161"/>
      <c r="AG1057" s="161"/>
      <c r="AH1057" s="161"/>
      <c r="AI1057" s="161"/>
      <c r="AJ1057" s="161"/>
      <c r="AK1057" s="161"/>
      <c r="AL1057" s="161"/>
      <c r="AM1057" s="161"/>
      <c r="AN1057" s="161"/>
      <c r="AO1057" s="161"/>
      <c r="AP1057" s="161"/>
      <c r="AQ1057" s="161"/>
      <c r="AR1057" s="161"/>
      <c r="AS1057" s="161"/>
      <c r="AT1057" s="161"/>
      <c r="AU1057" s="161"/>
      <c r="AV1057" s="161"/>
      <c r="AW1057" s="161"/>
      <c r="AX1057" s="161"/>
      <c r="AY1057" s="161"/>
      <c r="AZ1057" s="161"/>
      <c r="BA1057" s="161"/>
      <c r="BB1057" s="161"/>
      <c r="BC1057" s="161"/>
      <c r="BD1057" s="161"/>
      <c r="BE1057" s="161"/>
      <c r="BF1057" s="161"/>
      <c r="BG1057" s="161"/>
      <c r="BH1057" s="161"/>
      <c r="BI1057" s="161"/>
      <c r="BJ1057" s="161"/>
      <c r="BK1057" s="161"/>
      <c r="BL1057" s="161"/>
      <c r="BM1057" s="161"/>
      <c r="BN1057" s="161"/>
      <c r="BO1057" s="161"/>
      <c r="BP1057" s="161"/>
      <c r="BQ1057" s="161"/>
      <c r="BR1057" s="161"/>
      <c r="BS1057" s="161"/>
      <c r="BT1057" s="161"/>
      <c r="BU1057" s="161"/>
      <c r="BV1057" s="161"/>
      <c r="BW1057" s="161"/>
      <c r="BX1057" s="161"/>
    </row>
    <row r="1058">
      <c r="A1058" s="161"/>
      <c r="B1058" s="161"/>
      <c r="C1058" s="161"/>
      <c r="D1058" s="161"/>
      <c r="E1058" s="161"/>
      <c r="F1058" s="161"/>
      <c r="G1058" s="161"/>
      <c r="H1058" s="161"/>
      <c r="I1058" s="161"/>
      <c r="J1058" s="161"/>
      <c r="K1058" s="161"/>
      <c r="L1058" s="161"/>
      <c r="M1058" s="161"/>
      <c r="N1058" s="161"/>
      <c r="O1058" s="161"/>
      <c r="P1058" s="161"/>
      <c r="Q1058" s="161"/>
      <c r="R1058" s="161"/>
      <c r="S1058" s="161"/>
      <c r="T1058" s="161"/>
      <c r="U1058" s="161"/>
      <c r="V1058" s="161"/>
      <c r="W1058" s="161"/>
      <c r="X1058" s="161"/>
      <c r="Y1058" s="161"/>
      <c r="Z1058" s="161"/>
      <c r="AA1058" s="161"/>
      <c r="AB1058" s="161"/>
      <c r="AC1058" s="161"/>
      <c r="AD1058" s="161"/>
      <c r="AE1058" s="161"/>
      <c r="AF1058" s="161"/>
      <c r="AG1058" s="161"/>
      <c r="AH1058" s="161"/>
      <c r="AI1058" s="161"/>
      <c r="AJ1058" s="161"/>
      <c r="AK1058" s="161"/>
      <c r="AL1058" s="161"/>
      <c r="AM1058" s="161"/>
      <c r="AN1058" s="161"/>
      <c r="AO1058" s="161"/>
      <c r="AP1058" s="161"/>
      <c r="AQ1058" s="161"/>
      <c r="AR1058" s="161"/>
      <c r="AS1058" s="161"/>
      <c r="AT1058" s="161"/>
      <c r="AU1058" s="161"/>
      <c r="AV1058" s="161"/>
      <c r="AW1058" s="161"/>
      <c r="AX1058" s="161"/>
      <c r="AY1058" s="161"/>
      <c r="AZ1058" s="161"/>
      <c r="BA1058" s="161"/>
      <c r="BB1058" s="161"/>
      <c r="BC1058" s="161"/>
      <c r="BD1058" s="161"/>
      <c r="BE1058" s="161"/>
      <c r="BF1058" s="161"/>
      <c r="BG1058" s="161"/>
      <c r="BH1058" s="161"/>
      <c r="BI1058" s="161"/>
      <c r="BJ1058" s="161"/>
      <c r="BK1058" s="161"/>
      <c r="BL1058" s="161"/>
      <c r="BM1058" s="161"/>
      <c r="BN1058" s="161"/>
      <c r="BO1058" s="161"/>
      <c r="BP1058" s="161"/>
      <c r="BQ1058" s="161"/>
      <c r="BR1058" s="161"/>
      <c r="BS1058" s="161"/>
      <c r="BT1058" s="161"/>
      <c r="BU1058" s="161"/>
      <c r="BV1058" s="161"/>
      <c r="BW1058" s="161"/>
      <c r="BX1058" s="161"/>
    </row>
    <row r="1059">
      <c r="A1059" s="161"/>
      <c r="B1059" s="161"/>
      <c r="C1059" s="161"/>
      <c r="D1059" s="161"/>
      <c r="E1059" s="161"/>
      <c r="F1059" s="161"/>
      <c r="G1059" s="161"/>
      <c r="H1059" s="161"/>
      <c r="I1059" s="161"/>
      <c r="J1059" s="161"/>
      <c r="K1059" s="161"/>
      <c r="L1059" s="161"/>
      <c r="M1059" s="161"/>
      <c r="N1059" s="161"/>
      <c r="O1059" s="161"/>
      <c r="P1059" s="161"/>
      <c r="Q1059" s="161"/>
      <c r="R1059" s="161"/>
      <c r="S1059" s="161"/>
      <c r="T1059" s="161"/>
      <c r="U1059" s="161"/>
      <c r="V1059" s="161"/>
      <c r="W1059" s="161"/>
      <c r="X1059" s="161"/>
      <c r="Y1059" s="161"/>
      <c r="Z1059" s="161"/>
      <c r="AA1059" s="161"/>
      <c r="AB1059" s="161"/>
      <c r="AC1059" s="161"/>
      <c r="AD1059" s="161"/>
      <c r="AE1059" s="161"/>
      <c r="AF1059" s="161"/>
      <c r="AG1059" s="161"/>
      <c r="AH1059" s="161"/>
      <c r="AI1059" s="161"/>
      <c r="AJ1059" s="161"/>
      <c r="AK1059" s="161"/>
      <c r="AL1059" s="161"/>
      <c r="AM1059" s="161"/>
      <c r="AN1059" s="161"/>
      <c r="AO1059" s="161"/>
      <c r="AP1059" s="161"/>
      <c r="AQ1059" s="161"/>
      <c r="AR1059" s="161"/>
      <c r="AS1059" s="161"/>
      <c r="AT1059" s="161"/>
      <c r="AU1059" s="161"/>
      <c r="AV1059" s="161"/>
      <c r="AW1059" s="161"/>
      <c r="AX1059" s="161"/>
      <c r="AY1059" s="161"/>
      <c r="AZ1059" s="161"/>
      <c r="BA1059" s="161"/>
      <c r="BB1059" s="161"/>
      <c r="BC1059" s="161"/>
      <c r="BD1059" s="161"/>
      <c r="BE1059" s="161"/>
      <c r="BF1059" s="161"/>
      <c r="BG1059" s="161"/>
      <c r="BH1059" s="161"/>
      <c r="BI1059" s="161"/>
      <c r="BJ1059" s="161"/>
      <c r="BK1059" s="161"/>
      <c r="BL1059" s="161"/>
      <c r="BM1059" s="161"/>
      <c r="BN1059" s="161"/>
      <c r="BO1059" s="161"/>
      <c r="BP1059" s="161"/>
      <c r="BQ1059" s="161"/>
      <c r="BR1059" s="161"/>
      <c r="BS1059" s="161"/>
      <c r="BT1059" s="161"/>
      <c r="BU1059" s="161"/>
      <c r="BV1059" s="161"/>
      <c r="BW1059" s="161"/>
      <c r="BX1059" s="161"/>
    </row>
    <row r="1060">
      <c r="A1060" s="161"/>
      <c r="B1060" s="161"/>
      <c r="C1060" s="161"/>
      <c r="D1060" s="161"/>
      <c r="E1060" s="161"/>
      <c r="F1060" s="161"/>
      <c r="G1060" s="161"/>
      <c r="H1060" s="161"/>
      <c r="I1060" s="161"/>
      <c r="J1060" s="161"/>
      <c r="K1060" s="161"/>
      <c r="L1060" s="161"/>
      <c r="M1060" s="161"/>
      <c r="N1060" s="161"/>
      <c r="O1060" s="161"/>
      <c r="P1060" s="161"/>
      <c r="Q1060" s="161"/>
      <c r="R1060" s="161"/>
      <c r="S1060" s="161"/>
      <c r="T1060" s="161"/>
      <c r="U1060" s="161"/>
      <c r="V1060" s="161"/>
      <c r="W1060" s="161"/>
      <c r="X1060" s="161"/>
      <c r="Y1060" s="161"/>
      <c r="Z1060" s="161"/>
      <c r="AA1060" s="161"/>
      <c r="AB1060" s="161"/>
      <c r="AC1060" s="161"/>
      <c r="AD1060" s="161"/>
      <c r="AE1060" s="161"/>
      <c r="AF1060" s="161"/>
      <c r="AG1060" s="161"/>
      <c r="AH1060" s="161"/>
      <c r="AI1060" s="161"/>
      <c r="AJ1060" s="161"/>
      <c r="AK1060" s="161"/>
      <c r="AL1060" s="161"/>
      <c r="AM1060" s="161"/>
      <c r="AN1060" s="161"/>
      <c r="AO1060" s="161"/>
      <c r="AP1060" s="161"/>
      <c r="AQ1060" s="161"/>
      <c r="AR1060" s="161"/>
      <c r="AS1060" s="161"/>
      <c r="AT1060" s="161"/>
      <c r="AU1060" s="161"/>
      <c r="AV1060" s="161"/>
      <c r="AW1060" s="161"/>
      <c r="AX1060" s="161"/>
      <c r="AY1060" s="161"/>
      <c r="AZ1060" s="161"/>
      <c r="BA1060" s="161"/>
      <c r="BB1060" s="161"/>
      <c r="BC1060" s="161"/>
      <c r="BD1060" s="161"/>
      <c r="BE1060" s="161"/>
      <c r="BF1060" s="161"/>
      <c r="BG1060" s="161"/>
      <c r="BH1060" s="161"/>
      <c r="BI1060" s="161"/>
      <c r="BJ1060" s="161"/>
      <c r="BK1060" s="161"/>
      <c r="BL1060" s="161"/>
      <c r="BM1060" s="161"/>
      <c r="BN1060" s="161"/>
      <c r="BO1060" s="161"/>
      <c r="BP1060" s="161"/>
      <c r="BQ1060" s="161"/>
      <c r="BR1060" s="161"/>
      <c r="BS1060" s="161"/>
      <c r="BT1060" s="161"/>
      <c r="BU1060" s="161"/>
      <c r="BV1060" s="161"/>
      <c r="BW1060" s="161"/>
      <c r="BX1060" s="161"/>
    </row>
    <row r="1061">
      <c r="A1061" s="161"/>
      <c r="B1061" s="161"/>
      <c r="C1061" s="161"/>
      <c r="D1061" s="161"/>
      <c r="E1061" s="161"/>
      <c r="F1061" s="161"/>
      <c r="G1061" s="161"/>
      <c r="H1061" s="161"/>
      <c r="I1061" s="161"/>
      <c r="J1061" s="161"/>
      <c r="K1061" s="161"/>
      <c r="L1061" s="161"/>
      <c r="M1061" s="161"/>
      <c r="N1061" s="161"/>
      <c r="O1061" s="161"/>
      <c r="P1061" s="161"/>
      <c r="Q1061" s="161"/>
      <c r="R1061" s="161"/>
      <c r="S1061" s="161"/>
      <c r="T1061" s="161"/>
      <c r="U1061" s="161"/>
      <c r="V1061" s="161"/>
      <c r="W1061" s="161"/>
      <c r="X1061" s="161"/>
      <c r="Y1061" s="161"/>
      <c r="Z1061" s="161"/>
      <c r="AA1061" s="161"/>
      <c r="AB1061" s="161"/>
      <c r="AC1061" s="161"/>
      <c r="AD1061" s="161"/>
      <c r="AE1061" s="161"/>
      <c r="AF1061" s="161"/>
      <c r="AG1061" s="161"/>
      <c r="AH1061" s="161"/>
      <c r="AI1061" s="161"/>
      <c r="AJ1061" s="161"/>
      <c r="AK1061" s="161"/>
      <c r="AL1061" s="161"/>
      <c r="AM1061" s="161"/>
      <c r="AN1061" s="161"/>
      <c r="AO1061" s="161"/>
      <c r="AP1061" s="161"/>
      <c r="AQ1061" s="161"/>
      <c r="AR1061" s="161"/>
      <c r="AS1061" s="161"/>
      <c r="AT1061" s="161"/>
      <c r="AU1061" s="161"/>
      <c r="AV1061" s="161"/>
      <c r="AW1061" s="161"/>
      <c r="AX1061" s="161"/>
      <c r="AY1061" s="161"/>
      <c r="AZ1061" s="161"/>
      <c r="BA1061" s="161"/>
      <c r="BB1061" s="161"/>
      <c r="BC1061" s="161"/>
      <c r="BD1061" s="161"/>
      <c r="BE1061" s="161"/>
      <c r="BF1061" s="161"/>
      <c r="BG1061" s="161"/>
      <c r="BH1061" s="161"/>
      <c r="BI1061" s="161"/>
      <c r="BJ1061" s="161"/>
      <c r="BK1061" s="161"/>
      <c r="BL1061" s="161"/>
      <c r="BM1061" s="161"/>
      <c r="BN1061" s="161"/>
      <c r="BO1061" s="161"/>
      <c r="BP1061" s="161"/>
      <c r="BQ1061" s="161"/>
      <c r="BR1061" s="161"/>
      <c r="BS1061" s="161"/>
      <c r="BT1061" s="161"/>
      <c r="BU1061" s="161"/>
      <c r="BV1061" s="161"/>
      <c r="BW1061" s="161"/>
      <c r="BX1061" s="161"/>
    </row>
    <row r="1062">
      <c r="A1062" s="161"/>
      <c r="B1062" s="161"/>
      <c r="C1062" s="161"/>
      <c r="D1062" s="161"/>
      <c r="E1062" s="161"/>
      <c r="F1062" s="161"/>
      <c r="G1062" s="161"/>
      <c r="H1062" s="161"/>
      <c r="I1062" s="161"/>
      <c r="J1062" s="161"/>
      <c r="K1062" s="161"/>
      <c r="L1062" s="161"/>
      <c r="M1062" s="161"/>
      <c r="N1062" s="161"/>
      <c r="O1062" s="161"/>
      <c r="P1062" s="161"/>
      <c r="Q1062" s="161"/>
      <c r="R1062" s="161"/>
      <c r="S1062" s="161"/>
      <c r="T1062" s="161"/>
      <c r="U1062" s="161"/>
      <c r="V1062" s="161"/>
      <c r="W1062" s="161"/>
      <c r="X1062" s="161"/>
      <c r="Y1062" s="161"/>
      <c r="Z1062" s="161"/>
      <c r="AA1062" s="161"/>
      <c r="AB1062" s="161"/>
      <c r="AC1062" s="161"/>
      <c r="AD1062" s="161"/>
      <c r="AE1062" s="161"/>
      <c r="AF1062" s="161"/>
      <c r="AG1062" s="161"/>
      <c r="AH1062" s="161"/>
      <c r="AI1062" s="161"/>
      <c r="AJ1062" s="161"/>
      <c r="AK1062" s="161"/>
      <c r="AL1062" s="161"/>
      <c r="AM1062" s="161"/>
      <c r="AN1062" s="161"/>
      <c r="AO1062" s="161"/>
      <c r="AP1062" s="161"/>
      <c r="AQ1062" s="161"/>
      <c r="AR1062" s="161"/>
      <c r="AS1062" s="161"/>
      <c r="AT1062" s="161"/>
      <c r="AU1062" s="161"/>
      <c r="AV1062" s="161"/>
      <c r="AW1062" s="161"/>
      <c r="AX1062" s="161"/>
      <c r="AY1062" s="161"/>
      <c r="AZ1062" s="161"/>
      <c r="BA1062" s="161"/>
      <c r="BB1062" s="161"/>
      <c r="BC1062" s="161"/>
      <c r="BD1062" s="161"/>
      <c r="BE1062" s="161"/>
      <c r="BF1062" s="161"/>
      <c r="BG1062" s="161"/>
      <c r="BH1062" s="161"/>
      <c r="BI1062" s="161"/>
      <c r="BJ1062" s="161"/>
      <c r="BK1062" s="161"/>
      <c r="BL1062" s="161"/>
      <c r="BM1062" s="161"/>
      <c r="BN1062" s="161"/>
      <c r="BO1062" s="161"/>
      <c r="BP1062" s="161"/>
      <c r="BQ1062" s="161"/>
      <c r="BR1062" s="161"/>
      <c r="BS1062" s="161"/>
      <c r="BT1062" s="161"/>
      <c r="BU1062" s="161"/>
      <c r="BV1062" s="161"/>
      <c r="BW1062" s="161"/>
      <c r="BX1062" s="161"/>
    </row>
    <row r="1063">
      <c r="A1063" s="161"/>
      <c r="B1063" s="161"/>
      <c r="C1063" s="161"/>
      <c r="D1063" s="161"/>
      <c r="E1063" s="161"/>
      <c r="F1063" s="161"/>
      <c r="G1063" s="161"/>
      <c r="H1063" s="161"/>
      <c r="I1063" s="161"/>
      <c r="J1063" s="161"/>
      <c r="K1063" s="161"/>
      <c r="L1063" s="161"/>
      <c r="M1063" s="161"/>
      <c r="N1063" s="161"/>
      <c r="O1063" s="161"/>
      <c r="P1063" s="161"/>
      <c r="Q1063" s="161"/>
      <c r="R1063" s="161"/>
      <c r="S1063" s="161"/>
      <c r="T1063" s="161"/>
      <c r="U1063" s="161"/>
      <c r="V1063" s="161"/>
      <c r="W1063" s="161"/>
      <c r="X1063" s="161"/>
      <c r="Y1063" s="161"/>
      <c r="Z1063" s="161"/>
      <c r="AA1063" s="161"/>
      <c r="AB1063" s="161"/>
      <c r="AC1063" s="161"/>
      <c r="AD1063" s="161"/>
      <c r="AE1063" s="161"/>
      <c r="AF1063" s="161"/>
      <c r="AG1063" s="161"/>
      <c r="AH1063" s="161"/>
      <c r="AI1063" s="161"/>
      <c r="AJ1063" s="161"/>
      <c r="AK1063" s="161"/>
      <c r="AL1063" s="161"/>
      <c r="AM1063" s="161"/>
      <c r="AN1063" s="161"/>
      <c r="AO1063" s="161"/>
      <c r="AP1063" s="161"/>
      <c r="AQ1063" s="161"/>
      <c r="AR1063" s="161"/>
      <c r="AS1063" s="161"/>
      <c r="AT1063" s="161"/>
      <c r="AU1063" s="161"/>
      <c r="AV1063" s="161"/>
      <c r="AW1063" s="161"/>
      <c r="AX1063" s="161"/>
      <c r="AY1063" s="161"/>
      <c r="AZ1063" s="161"/>
      <c r="BA1063" s="161"/>
      <c r="BB1063" s="161"/>
      <c r="BC1063" s="161"/>
      <c r="BD1063" s="161"/>
      <c r="BE1063" s="161"/>
      <c r="BF1063" s="161"/>
      <c r="BG1063" s="161"/>
      <c r="BH1063" s="161"/>
      <c r="BI1063" s="161"/>
      <c r="BJ1063" s="161"/>
      <c r="BK1063" s="161"/>
      <c r="BL1063" s="161"/>
      <c r="BM1063" s="161"/>
      <c r="BN1063" s="161"/>
      <c r="BO1063" s="161"/>
      <c r="BP1063" s="161"/>
      <c r="BQ1063" s="161"/>
      <c r="BR1063" s="161"/>
      <c r="BS1063" s="161"/>
      <c r="BT1063" s="161"/>
      <c r="BU1063" s="161"/>
      <c r="BV1063" s="161"/>
      <c r="BW1063" s="161"/>
      <c r="BX1063" s="161"/>
    </row>
    <row r="1064">
      <c r="A1064" s="161"/>
      <c r="B1064" s="161"/>
      <c r="C1064" s="161"/>
      <c r="D1064" s="161"/>
      <c r="E1064" s="161"/>
      <c r="F1064" s="161"/>
      <c r="G1064" s="161"/>
      <c r="H1064" s="161"/>
      <c r="I1064" s="161"/>
      <c r="J1064" s="161"/>
      <c r="K1064" s="161"/>
      <c r="L1064" s="161"/>
      <c r="M1064" s="161"/>
      <c r="N1064" s="161"/>
      <c r="O1064" s="161"/>
      <c r="P1064" s="161"/>
      <c r="Q1064" s="161"/>
      <c r="R1064" s="161"/>
      <c r="S1064" s="161"/>
      <c r="T1064" s="161"/>
      <c r="U1064" s="161"/>
      <c r="V1064" s="161"/>
      <c r="W1064" s="161"/>
      <c r="X1064" s="161"/>
      <c r="Y1064" s="161"/>
      <c r="Z1064" s="161"/>
      <c r="AA1064" s="161"/>
      <c r="AB1064" s="161"/>
      <c r="AC1064" s="161"/>
      <c r="AD1064" s="161"/>
      <c r="AE1064" s="161"/>
      <c r="AF1064" s="161"/>
      <c r="AG1064" s="161"/>
      <c r="AH1064" s="161"/>
      <c r="AI1064" s="161"/>
      <c r="AJ1064" s="161"/>
      <c r="AK1064" s="161"/>
      <c r="AL1064" s="161"/>
      <c r="AM1064" s="161"/>
      <c r="AN1064" s="161"/>
      <c r="AO1064" s="161"/>
      <c r="AP1064" s="161"/>
      <c r="AQ1064" s="161"/>
      <c r="AR1064" s="161"/>
      <c r="AS1064" s="161"/>
      <c r="AT1064" s="161"/>
      <c r="AU1064" s="161"/>
      <c r="AV1064" s="161"/>
      <c r="AW1064" s="161"/>
      <c r="AX1064" s="161"/>
      <c r="AY1064" s="161"/>
      <c r="AZ1064" s="161"/>
      <c r="BA1064" s="161"/>
      <c r="BB1064" s="161"/>
      <c r="BC1064" s="161"/>
      <c r="BD1064" s="161"/>
      <c r="BE1064" s="161"/>
      <c r="BF1064" s="161"/>
      <c r="BG1064" s="161"/>
      <c r="BH1064" s="161"/>
      <c r="BI1064" s="161"/>
      <c r="BJ1064" s="161"/>
      <c r="BK1064" s="161"/>
      <c r="BL1064" s="161"/>
      <c r="BM1064" s="161"/>
      <c r="BN1064" s="161"/>
      <c r="BO1064" s="161"/>
      <c r="BP1064" s="161"/>
      <c r="BQ1064" s="161"/>
      <c r="BR1064" s="161"/>
      <c r="BS1064" s="161"/>
      <c r="BT1064" s="161"/>
      <c r="BU1064" s="161"/>
      <c r="BV1064" s="161"/>
      <c r="BW1064" s="161"/>
      <c r="BX1064" s="161"/>
    </row>
    <row r="1065">
      <c r="A1065" s="161"/>
      <c r="B1065" s="161"/>
      <c r="C1065" s="161"/>
      <c r="D1065" s="161"/>
      <c r="E1065" s="161"/>
      <c r="F1065" s="161"/>
      <c r="G1065" s="161"/>
      <c r="H1065" s="161"/>
      <c r="I1065" s="161"/>
      <c r="J1065" s="161"/>
      <c r="K1065" s="161"/>
      <c r="L1065" s="161"/>
      <c r="M1065" s="161"/>
      <c r="N1065" s="161"/>
      <c r="O1065" s="161"/>
      <c r="P1065" s="161"/>
      <c r="Q1065" s="161"/>
      <c r="R1065" s="161"/>
      <c r="S1065" s="161"/>
      <c r="T1065" s="161"/>
      <c r="U1065" s="161"/>
      <c r="V1065" s="161"/>
      <c r="W1065" s="161"/>
      <c r="X1065" s="161"/>
      <c r="Y1065" s="161"/>
      <c r="Z1065" s="161"/>
      <c r="AA1065" s="161"/>
      <c r="AB1065" s="161"/>
      <c r="AC1065" s="161"/>
      <c r="AD1065" s="161"/>
      <c r="AE1065" s="161"/>
      <c r="AF1065" s="161"/>
      <c r="AG1065" s="161"/>
      <c r="AH1065" s="161"/>
      <c r="AI1065" s="161"/>
      <c r="AJ1065" s="161"/>
      <c r="AK1065" s="161"/>
      <c r="AL1065" s="161"/>
      <c r="AM1065" s="161"/>
      <c r="AN1065" s="161"/>
      <c r="AO1065" s="161"/>
      <c r="AP1065" s="161"/>
      <c r="AQ1065" s="161"/>
      <c r="AR1065" s="161"/>
      <c r="AS1065" s="161"/>
      <c r="AT1065" s="161"/>
      <c r="AU1065" s="161"/>
      <c r="AV1065" s="161"/>
      <c r="AW1065" s="161"/>
      <c r="AX1065" s="161"/>
      <c r="AY1065" s="161"/>
      <c r="AZ1065" s="161"/>
      <c r="BA1065" s="161"/>
      <c r="BB1065" s="161"/>
      <c r="BC1065" s="161"/>
      <c r="BD1065" s="161"/>
      <c r="BE1065" s="161"/>
      <c r="BF1065" s="161"/>
      <c r="BG1065" s="161"/>
      <c r="BH1065" s="161"/>
      <c r="BI1065" s="161"/>
      <c r="BJ1065" s="161"/>
      <c r="BK1065" s="161"/>
      <c r="BL1065" s="161"/>
      <c r="BM1065" s="161"/>
      <c r="BN1065" s="161"/>
      <c r="BO1065" s="161"/>
      <c r="BP1065" s="161"/>
      <c r="BQ1065" s="161"/>
      <c r="BR1065" s="161"/>
      <c r="BS1065" s="161"/>
      <c r="BT1065" s="161"/>
      <c r="BU1065" s="161"/>
      <c r="BV1065" s="161"/>
      <c r="BW1065" s="161"/>
      <c r="BX1065" s="161"/>
    </row>
    <row r="1066">
      <c r="A1066" s="161"/>
      <c r="B1066" s="161"/>
      <c r="C1066" s="161"/>
      <c r="D1066" s="161"/>
      <c r="E1066" s="161"/>
      <c r="F1066" s="161"/>
      <c r="G1066" s="161"/>
      <c r="H1066" s="161"/>
      <c r="I1066" s="161"/>
      <c r="J1066" s="161"/>
      <c r="K1066" s="161"/>
      <c r="L1066" s="161"/>
      <c r="M1066" s="161"/>
      <c r="N1066" s="161"/>
      <c r="O1066" s="161"/>
      <c r="P1066" s="161"/>
      <c r="Q1066" s="161"/>
      <c r="R1066" s="161"/>
      <c r="S1066" s="161"/>
      <c r="T1066" s="161"/>
      <c r="U1066" s="161"/>
      <c r="V1066" s="161"/>
      <c r="W1066" s="161"/>
      <c r="X1066" s="161"/>
      <c r="Y1066" s="161"/>
      <c r="Z1066" s="161"/>
      <c r="AA1066" s="161"/>
      <c r="AB1066" s="161"/>
      <c r="AC1066" s="161"/>
      <c r="AD1066" s="161"/>
      <c r="AE1066" s="161"/>
      <c r="AF1066" s="161"/>
      <c r="AG1066" s="161"/>
      <c r="AH1066" s="161"/>
      <c r="AI1066" s="161"/>
      <c r="AJ1066" s="161"/>
      <c r="AK1066" s="161"/>
      <c r="AL1066" s="161"/>
      <c r="AM1066" s="161"/>
      <c r="AN1066" s="161"/>
      <c r="AO1066" s="161"/>
      <c r="AP1066" s="161"/>
      <c r="AQ1066" s="161"/>
      <c r="AR1066" s="161"/>
      <c r="AS1066" s="161"/>
      <c r="AT1066" s="161"/>
      <c r="AU1066" s="161"/>
      <c r="AV1066" s="161"/>
      <c r="AW1066" s="161"/>
      <c r="AX1066" s="161"/>
      <c r="AY1066" s="161"/>
      <c r="AZ1066" s="161"/>
      <c r="BA1066" s="161"/>
      <c r="BB1066" s="161"/>
      <c r="BC1066" s="161"/>
      <c r="BD1066" s="161"/>
      <c r="BE1066" s="161"/>
      <c r="BF1066" s="161"/>
      <c r="BG1066" s="161"/>
      <c r="BH1066" s="161"/>
      <c r="BI1066" s="161"/>
      <c r="BJ1066" s="161"/>
      <c r="BK1066" s="161"/>
      <c r="BL1066" s="161"/>
      <c r="BM1066" s="161"/>
      <c r="BN1066" s="161"/>
      <c r="BO1066" s="161"/>
      <c r="BP1066" s="161"/>
      <c r="BQ1066" s="161"/>
      <c r="BR1066" s="161"/>
      <c r="BS1066" s="161"/>
      <c r="BT1066" s="161"/>
      <c r="BU1066" s="161"/>
      <c r="BV1066" s="161"/>
      <c r="BW1066" s="161"/>
      <c r="BX1066" s="161"/>
    </row>
    <row r="1067">
      <c r="A1067" s="161"/>
      <c r="B1067" s="161"/>
      <c r="C1067" s="161"/>
      <c r="D1067" s="161"/>
      <c r="E1067" s="161"/>
      <c r="F1067" s="161"/>
      <c r="G1067" s="161"/>
      <c r="H1067" s="161"/>
      <c r="I1067" s="161"/>
      <c r="J1067" s="161"/>
      <c r="K1067" s="161"/>
      <c r="L1067" s="161"/>
      <c r="M1067" s="161"/>
      <c r="N1067" s="161"/>
      <c r="O1067" s="161"/>
      <c r="P1067" s="161"/>
      <c r="Q1067" s="161"/>
      <c r="R1067" s="161"/>
      <c r="S1067" s="161"/>
      <c r="T1067" s="161"/>
      <c r="U1067" s="161"/>
      <c r="V1067" s="161"/>
      <c r="W1067" s="161"/>
      <c r="X1067" s="161"/>
      <c r="Y1067" s="161"/>
      <c r="Z1067" s="161"/>
      <c r="AA1067" s="161"/>
      <c r="AB1067" s="161"/>
      <c r="AC1067" s="161"/>
      <c r="AD1067" s="161"/>
      <c r="AE1067" s="161"/>
      <c r="AF1067" s="161"/>
      <c r="AG1067" s="161"/>
      <c r="AH1067" s="161"/>
      <c r="AI1067" s="161"/>
      <c r="AJ1067" s="161"/>
      <c r="AK1067" s="161"/>
      <c r="AL1067" s="161"/>
      <c r="AM1067" s="161"/>
      <c r="AN1067" s="161"/>
      <c r="AO1067" s="161"/>
      <c r="AP1067" s="161"/>
      <c r="AQ1067" s="161"/>
      <c r="AR1067" s="161"/>
      <c r="AS1067" s="161"/>
      <c r="AT1067" s="161"/>
      <c r="AU1067" s="161"/>
      <c r="AV1067" s="161"/>
      <c r="AW1067" s="161"/>
      <c r="AX1067" s="161"/>
      <c r="AY1067" s="161"/>
      <c r="AZ1067" s="161"/>
      <c r="BA1067" s="161"/>
      <c r="BB1067" s="161"/>
      <c r="BC1067" s="161"/>
      <c r="BD1067" s="161"/>
      <c r="BE1067" s="161"/>
      <c r="BF1067" s="161"/>
      <c r="BG1067" s="161"/>
      <c r="BH1067" s="161"/>
      <c r="BI1067" s="161"/>
      <c r="BJ1067" s="161"/>
      <c r="BK1067" s="161"/>
      <c r="BL1067" s="161"/>
      <c r="BM1067" s="161"/>
      <c r="BN1067" s="161"/>
      <c r="BO1067" s="161"/>
      <c r="BP1067" s="161"/>
      <c r="BQ1067" s="161"/>
      <c r="BR1067" s="161"/>
      <c r="BS1067" s="161"/>
      <c r="BT1067" s="161"/>
      <c r="BU1067" s="161"/>
      <c r="BV1067" s="161"/>
      <c r="BW1067" s="161"/>
      <c r="BX1067" s="161"/>
    </row>
    <row r="1068">
      <c r="A1068" s="161"/>
      <c r="B1068" s="161"/>
      <c r="C1068" s="161"/>
      <c r="D1068" s="161"/>
      <c r="E1068" s="161"/>
      <c r="F1068" s="161"/>
      <c r="G1068" s="161"/>
      <c r="H1068" s="161"/>
      <c r="I1068" s="161"/>
      <c r="J1068" s="161"/>
      <c r="K1068" s="161"/>
      <c r="L1068" s="161"/>
      <c r="M1068" s="161"/>
      <c r="N1068" s="161"/>
      <c r="O1068" s="161"/>
      <c r="P1068" s="161"/>
      <c r="Q1068" s="161"/>
      <c r="R1068" s="161"/>
      <c r="S1068" s="161"/>
      <c r="T1068" s="161"/>
      <c r="U1068" s="161"/>
      <c r="V1068" s="161"/>
      <c r="W1068" s="161"/>
      <c r="X1068" s="161"/>
      <c r="Y1068" s="161"/>
      <c r="Z1068" s="161"/>
      <c r="AA1068" s="161"/>
      <c r="AB1068" s="161"/>
      <c r="AC1068" s="161"/>
      <c r="AD1068" s="161"/>
      <c r="AE1068" s="161"/>
      <c r="AF1068" s="161"/>
      <c r="AG1068" s="161"/>
      <c r="AH1068" s="161"/>
      <c r="AI1068" s="161"/>
      <c r="AJ1068" s="161"/>
      <c r="AK1068" s="161"/>
      <c r="AL1068" s="161"/>
      <c r="AM1068" s="161"/>
      <c r="AN1068" s="161"/>
      <c r="AO1068" s="161"/>
      <c r="AP1068" s="161"/>
      <c r="AQ1068" s="161"/>
      <c r="AR1068" s="161"/>
      <c r="AS1068" s="161"/>
      <c r="AT1068" s="161"/>
      <c r="AU1068" s="161"/>
      <c r="AV1068" s="161"/>
      <c r="AW1068" s="161"/>
      <c r="AX1068" s="161"/>
      <c r="AY1068" s="161"/>
      <c r="AZ1068" s="161"/>
      <c r="BA1068" s="161"/>
      <c r="BB1068" s="161"/>
      <c r="BC1068" s="161"/>
      <c r="BD1068" s="161"/>
      <c r="BE1068" s="161"/>
      <c r="BF1068" s="161"/>
      <c r="BG1068" s="161"/>
      <c r="BH1068" s="161"/>
      <c r="BI1068" s="161"/>
      <c r="BJ1068" s="161"/>
      <c r="BK1068" s="161"/>
      <c r="BL1068" s="161"/>
      <c r="BM1068" s="161"/>
      <c r="BN1068" s="161"/>
      <c r="BO1068" s="161"/>
      <c r="BP1068" s="161"/>
      <c r="BQ1068" s="161"/>
      <c r="BR1068" s="161"/>
      <c r="BS1068" s="161"/>
      <c r="BT1068" s="161"/>
      <c r="BU1068" s="161"/>
      <c r="BV1068" s="161"/>
      <c r="BW1068" s="161"/>
      <c r="BX1068" s="161"/>
    </row>
    <row r="1069">
      <c r="A1069" s="161"/>
      <c r="B1069" s="161"/>
      <c r="C1069" s="161"/>
      <c r="D1069" s="161"/>
      <c r="E1069" s="161"/>
      <c r="F1069" s="161"/>
      <c r="G1069" s="161"/>
      <c r="H1069" s="161"/>
      <c r="I1069" s="161"/>
      <c r="J1069" s="161"/>
      <c r="K1069" s="161"/>
      <c r="L1069" s="161"/>
      <c r="M1069" s="161"/>
      <c r="N1069" s="161"/>
      <c r="O1069" s="161"/>
      <c r="P1069" s="161"/>
      <c r="Q1069" s="161"/>
      <c r="R1069" s="161"/>
      <c r="S1069" s="161"/>
      <c r="T1069" s="161"/>
      <c r="U1069" s="161"/>
      <c r="V1069" s="161"/>
      <c r="W1069" s="161"/>
      <c r="X1069" s="161"/>
      <c r="Y1069" s="161"/>
      <c r="Z1069" s="161"/>
      <c r="AA1069" s="161"/>
      <c r="AB1069" s="161"/>
      <c r="AC1069" s="161"/>
      <c r="AD1069" s="161"/>
      <c r="AE1069" s="161"/>
      <c r="AF1069" s="161"/>
      <c r="AG1069" s="161"/>
      <c r="AH1069" s="161"/>
      <c r="AI1069" s="161"/>
      <c r="AJ1069" s="161"/>
      <c r="AK1069" s="161"/>
      <c r="AL1069" s="161"/>
      <c r="AM1069" s="161"/>
      <c r="AN1069" s="161"/>
      <c r="AO1069" s="161"/>
      <c r="AP1069" s="161"/>
      <c r="AQ1069" s="161"/>
      <c r="AR1069" s="161"/>
      <c r="AS1069" s="161"/>
      <c r="AT1069" s="161"/>
      <c r="AU1069" s="161"/>
      <c r="AV1069" s="161"/>
      <c r="AW1069" s="161"/>
      <c r="AX1069" s="161"/>
      <c r="AY1069" s="161"/>
      <c r="AZ1069" s="161"/>
      <c r="BA1069" s="161"/>
      <c r="BB1069" s="161"/>
      <c r="BC1069" s="161"/>
      <c r="BD1069" s="161"/>
      <c r="BE1069" s="161"/>
      <c r="BF1069" s="161"/>
      <c r="BG1069" s="161"/>
      <c r="BH1069" s="161"/>
      <c r="BI1069" s="161"/>
      <c r="BJ1069" s="161"/>
      <c r="BK1069" s="161"/>
      <c r="BL1069" s="161"/>
      <c r="BM1069" s="161"/>
      <c r="BN1069" s="161"/>
      <c r="BO1069" s="161"/>
      <c r="BP1069" s="161"/>
      <c r="BQ1069" s="161"/>
      <c r="BR1069" s="161"/>
      <c r="BS1069" s="161"/>
      <c r="BT1069" s="161"/>
      <c r="BU1069" s="161"/>
      <c r="BV1069" s="161"/>
      <c r="BW1069" s="161"/>
      <c r="BX1069" s="161"/>
    </row>
    <row r="1070">
      <c r="A1070" s="161"/>
      <c r="B1070" s="161"/>
      <c r="C1070" s="161"/>
      <c r="D1070" s="161"/>
      <c r="E1070" s="161"/>
      <c r="F1070" s="161"/>
      <c r="G1070" s="161"/>
      <c r="H1070" s="161"/>
      <c r="I1070" s="161"/>
      <c r="J1070" s="161"/>
      <c r="K1070" s="161"/>
      <c r="L1070" s="161"/>
      <c r="M1070" s="161"/>
      <c r="N1070" s="161"/>
      <c r="O1070" s="161"/>
      <c r="P1070" s="161"/>
      <c r="Q1070" s="161"/>
      <c r="R1070" s="161"/>
      <c r="S1070" s="161"/>
      <c r="T1070" s="161"/>
      <c r="U1070" s="161"/>
      <c r="V1070" s="161"/>
      <c r="W1070" s="161"/>
      <c r="X1070" s="161"/>
      <c r="Y1070" s="161"/>
      <c r="Z1070" s="161"/>
      <c r="AA1070" s="161"/>
      <c r="AB1070" s="161"/>
      <c r="AC1070" s="161"/>
      <c r="AD1070" s="161"/>
      <c r="AE1070" s="161"/>
      <c r="AF1070" s="161"/>
      <c r="AG1070" s="161"/>
      <c r="AH1070" s="161"/>
      <c r="AI1070" s="161"/>
      <c r="AJ1070" s="161"/>
      <c r="AK1070" s="161"/>
      <c r="AL1070" s="161"/>
      <c r="AM1070" s="161"/>
      <c r="AN1070" s="161"/>
      <c r="AO1070" s="161"/>
      <c r="AP1070" s="161"/>
      <c r="AQ1070" s="161"/>
      <c r="AR1070" s="161"/>
      <c r="AS1070" s="161"/>
      <c r="AT1070" s="161"/>
      <c r="AU1070" s="161"/>
      <c r="AV1070" s="161"/>
      <c r="AW1070" s="161"/>
      <c r="AX1070" s="161"/>
      <c r="AY1070" s="161"/>
      <c r="AZ1070" s="161"/>
      <c r="BA1070" s="161"/>
      <c r="BB1070" s="161"/>
      <c r="BC1070" s="161"/>
      <c r="BD1070" s="161"/>
      <c r="BE1070" s="161"/>
      <c r="BF1070" s="161"/>
      <c r="BG1070" s="161"/>
      <c r="BH1070" s="161"/>
      <c r="BI1070" s="161"/>
      <c r="BJ1070" s="161"/>
      <c r="BK1070" s="161"/>
      <c r="BL1070" s="161"/>
      <c r="BM1070" s="161"/>
      <c r="BN1070" s="161"/>
      <c r="BO1070" s="161"/>
      <c r="BP1070" s="161"/>
      <c r="BQ1070" s="161"/>
      <c r="BR1070" s="161"/>
      <c r="BS1070" s="161"/>
      <c r="BT1070" s="161"/>
      <c r="BU1070" s="161"/>
      <c r="BV1070" s="161"/>
      <c r="BW1070" s="161"/>
      <c r="BX1070" s="161"/>
    </row>
    <row r="1071">
      <c r="A1071" s="161"/>
      <c r="B1071" s="161"/>
      <c r="C1071" s="161"/>
      <c r="D1071" s="161"/>
      <c r="E1071" s="161"/>
      <c r="F1071" s="161"/>
      <c r="G1071" s="161"/>
      <c r="H1071" s="161"/>
      <c r="I1071" s="161"/>
      <c r="J1071" s="161"/>
      <c r="K1071" s="161"/>
      <c r="L1071" s="161"/>
      <c r="M1071" s="161"/>
      <c r="N1071" s="161"/>
      <c r="O1071" s="161"/>
      <c r="P1071" s="161"/>
      <c r="Q1071" s="161"/>
      <c r="R1071" s="161"/>
      <c r="S1071" s="161"/>
      <c r="T1071" s="161"/>
      <c r="U1071" s="161"/>
      <c r="V1071" s="161"/>
      <c r="W1071" s="161"/>
      <c r="X1071" s="161"/>
      <c r="Y1071" s="161"/>
      <c r="Z1071" s="161"/>
      <c r="AA1071" s="161"/>
      <c r="AB1071" s="161"/>
      <c r="AC1071" s="161"/>
      <c r="AD1071" s="161"/>
      <c r="AE1071" s="161"/>
      <c r="AF1071" s="161"/>
      <c r="AG1071" s="161"/>
      <c r="AH1071" s="161"/>
      <c r="AI1071" s="161"/>
      <c r="AJ1071" s="161"/>
      <c r="AK1071" s="161"/>
      <c r="AL1071" s="161"/>
      <c r="AM1071" s="161"/>
      <c r="AN1071" s="161"/>
      <c r="AO1071" s="161"/>
      <c r="AP1071" s="161"/>
      <c r="AQ1071" s="161"/>
      <c r="AR1071" s="161"/>
      <c r="AS1071" s="161"/>
      <c r="AT1071" s="161"/>
      <c r="AU1071" s="161"/>
      <c r="AV1071" s="161"/>
      <c r="AW1071" s="161"/>
      <c r="AX1071" s="161"/>
      <c r="AY1071" s="161"/>
      <c r="AZ1071" s="161"/>
      <c r="BA1071" s="161"/>
      <c r="BB1071" s="161"/>
      <c r="BC1071" s="161"/>
      <c r="BD1071" s="161"/>
      <c r="BE1071" s="161"/>
      <c r="BF1071" s="161"/>
      <c r="BG1071" s="161"/>
      <c r="BH1071" s="161"/>
      <c r="BI1071" s="161"/>
      <c r="BJ1071" s="161"/>
      <c r="BK1071" s="161"/>
      <c r="BL1071" s="161"/>
      <c r="BM1071" s="161"/>
      <c r="BN1071" s="161"/>
      <c r="BO1071" s="161"/>
      <c r="BP1071" s="161"/>
      <c r="BQ1071" s="161"/>
      <c r="BR1071" s="161"/>
      <c r="BS1071" s="161"/>
      <c r="BT1071" s="161"/>
      <c r="BU1071" s="161"/>
      <c r="BV1071" s="161"/>
      <c r="BW1071" s="161"/>
      <c r="BX1071" s="161"/>
    </row>
    <row r="1072">
      <c r="A1072" s="161"/>
      <c r="B1072" s="161"/>
      <c r="C1072" s="161"/>
      <c r="D1072" s="161"/>
      <c r="E1072" s="161"/>
      <c r="F1072" s="161"/>
      <c r="G1072" s="161"/>
      <c r="H1072" s="161"/>
      <c r="I1072" s="161"/>
      <c r="J1072" s="161"/>
      <c r="K1072" s="161"/>
      <c r="L1072" s="161"/>
      <c r="M1072" s="161"/>
      <c r="N1072" s="161"/>
      <c r="O1072" s="161"/>
      <c r="P1072" s="161"/>
      <c r="Q1072" s="161"/>
      <c r="R1072" s="161"/>
      <c r="S1072" s="161"/>
      <c r="T1072" s="161"/>
      <c r="U1072" s="161"/>
      <c r="V1072" s="161"/>
      <c r="W1072" s="161"/>
      <c r="X1072" s="161"/>
      <c r="Y1072" s="161"/>
      <c r="Z1072" s="161"/>
      <c r="AA1072" s="161"/>
      <c r="AB1072" s="161"/>
      <c r="AC1072" s="161"/>
      <c r="AD1072" s="161"/>
      <c r="AE1072" s="161"/>
      <c r="AF1072" s="161"/>
      <c r="AG1072" s="161"/>
      <c r="AH1072" s="161"/>
      <c r="AI1072" s="161"/>
      <c r="AJ1072" s="161"/>
      <c r="AK1072" s="161"/>
      <c r="AL1072" s="161"/>
      <c r="AM1072" s="161"/>
      <c r="AN1072" s="161"/>
      <c r="AO1072" s="161"/>
      <c r="AP1072" s="161"/>
      <c r="AQ1072" s="161"/>
      <c r="AR1072" s="161"/>
      <c r="AS1072" s="161"/>
      <c r="AT1072" s="161"/>
      <c r="AU1072" s="161"/>
      <c r="AV1072" s="161"/>
      <c r="AW1072" s="161"/>
      <c r="AX1072" s="161"/>
      <c r="AY1072" s="161"/>
      <c r="AZ1072" s="161"/>
      <c r="BA1072" s="161"/>
      <c r="BB1072" s="161"/>
      <c r="BC1072" s="161"/>
      <c r="BD1072" s="161"/>
      <c r="BE1072" s="161"/>
      <c r="BF1072" s="161"/>
      <c r="BG1072" s="161"/>
      <c r="BH1072" s="161"/>
      <c r="BI1072" s="161"/>
      <c r="BJ1072" s="161"/>
      <c r="BK1072" s="161"/>
      <c r="BL1072" s="161"/>
      <c r="BM1072" s="161"/>
      <c r="BN1072" s="161"/>
      <c r="BO1072" s="161"/>
      <c r="BP1072" s="161"/>
      <c r="BQ1072" s="161"/>
      <c r="BR1072" s="161"/>
      <c r="BS1072" s="161"/>
      <c r="BT1072" s="161"/>
      <c r="BU1072" s="161"/>
      <c r="BV1072" s="161"/>
      <c r="BW1072" s="161"/>
      <c r="BX1072" s="161"/>
    </row>
    <row r="1073">
      <c r="A1073" s="161"/>
      <c r="B1073" s="161"/>
      <c r="C1073" s="161"/>
      <c r="D1073" s="161"/>
      <c r="E1073" s="161"/>
      <c r="F1073" s="161"/>
      <c r="G1073" s="161"/>
      <c r="H1073" s="161"/>
      <c r="I1073" s="161"/>
      <c r="J1073" s="161"/>
      <c r="K1073" s="161"/>
      <c r="L1073" s="161"/>
      <c r="M1073" s="161"/>
      <c r="N1073" s="161"/>
      <c r="O1073" s="161"/>
      <c r="P1073" s="161"/>
      <c r="Q1073" s="161"/>
      <c r="R1073" s="161"/>
      <c r="S1073" s="161"/>
      <c r="T1073" s="161"/>
      <c r="U1073" s="161"/>
      <c r="V1073" s="161"/>
      <c r="W1073" s="161"/>
      <c r="X1073" s="161"/>
      <c r="Y1073" s="161"/>
      <c r="Z1073" s="161"/>
      <c r="AA1073" s="161"/>
      <c r="AB1073" s="161"/>
      <c r="AC1073" s="161"/>
      <c r="AD1073" s="161"/>
      <c r="AE1073" s="161"/>
      <c r="AF1073" s="161"/>
      <c r="AG1073" s="161"/>
      <c r="AH1073" s="161"/>
      <c r="AI1073" s="161"/>
      <c r="AJ1073" s="161"/>
      <c r="AK1073" s="161"/>
      <c r="AL1073" s="161"/>
      <c r="AM1073" s="161"/>
      <c r="AN1073" s="161"/>
      <c r="AO1073" s="161"/>
      <c r="AP1073" s="161"/>
      <c r="AQ1073" s="161"/>
      <c r="AR1073" s="161"/>
      <c r="AS1073" s="161"/>
      <c r="AT1073" s="161"/>
      <c r="AU1073" s="161"/>
      <c r="AV1073" s="161"/>
      <c r="AW1073" s="161"/>
      <c r="AX1073" s="161"/>
      <c r="AY1073" s="161"/>
      <c r="AZ1073" s="161"/>
      <c r="BA1073" s="161"/>
      <c r="BB1073" s="161"/>
      <c r="BC1073" s="161"/>
      <c r="BD1073" s="161"/>
      <c r="BE1073" s="161"/>
      <c r="BF1073" s="161"/>
      <c r="BG1073" s="161"/>
      <c r="BH1073" s="161"/>
      <c r="BI1073" s="161"/>
      <c r="BJ1073" s="161"/>
      <c r="BK1073" s="161"/>
      <c r="BL1073" s="161"/>
      <c r="BM1073" s="161"/>
      <c r="BN1073" s="161"/>
      <c r="BO1073" s="161"/>
      <c r="BP1073" s="161"/>
      <c r="BQ1073" s="161"/>
      <c r="BR1073" s="161"/>
      <c r="BS1073" s="161"/>
      <c r="BT1073" s="161"/>
      <c r="BU1073" s="161"/>
      <c r="BV1073" s="161"/>
      <c r="BW1073" s="161"/>
      <c r="BX1073" s="161"/>
    </row>
    <row r="1074">
      <c r="A1074" s="161"/>
      <c r="B1074" s="161"/>
      <c r="C1074" s="161"/>
      <c r="D1074" s="161"/>
      <c r="E1074" s="161"/>
      <c r="F1074" s="161"/>
      <c r="G1074" s="161"/>
      <c r="H1074" s="161"/>
      <c r="I1074" s="161"/>
      <c r="J1074" s="161"/>
      <c r="K1074" s="161"/>
      <c r="L1074" s="161"/>
      <c r="M1074" s="161"/>
      <c r="N1074" s="161"/>
      <c r="O1074" s="161"/>
      <c r="P1074" s="161"/>
      <c r="Q1074" s="161"/>
      <c r="R1074" s="161"/>
      <c r="S1074" s="161"/>
      <c r="T1074" s="161"/>
      <c r="U1074" s="161"/>
      <c r="V1074" s="161"/>
      <c r="W1074" s="161"/>
      <c r="X1074" s="161"/>
      <c r="Y1074" s="161"/>
      <c r="Z1074" s="161"/>
      <c r="AA1074" s="161"/>
      <c r="AB1074" s="161"/>
      <c r="AC1074" s="161"/>
      <c r="AD1074" s="161"/>
      <c r="AE1074" s="161"/>
      <c r="AF1074" s="161"/>
      <c r="AG1074" s="161"/>
      <c r="AH1074" s="161"/>
      <c r="AI1074" s="161"/>
      <c r="AJ1074" s="161"/>
      <c r="AK1074" s="161"/>
      <c r="AL1074" s="161"/>
      <c r="AM1074" s="161"/>
      <c r="AN1074" s="161"/>
      <c r="AO1074" s="161"/>
      <c r="AP1074" s="161"/>
      <c r="AQ1074" s="161"/>
      <c r="AR1074" s="161"/>
      <c r="AS1074" s="161"/>
      <c r="AT1074" s="161"/>
      <c r="AU1074" s="161"/>
      <c r="AV1074" s="161"/>
      <c r="AW1074" s="161"/>
      <c r="AX1074" s="161"/>
      <c r="AY1074" s="161"/>
      <c r="AZ1074" s="161"/>
      <c r="BA1074" s="161"/>
      <c r="BB1074" s="161"/>
      <c r="BC1074" s="161"/>
      <c r="BD1074" s="161"/>
      <c r="BE1074" s="161"/>
      <c r="BF1074" s="161"/>
      <c r="BG1074" s="161"/>
      <c r="BH1074" s="161"/>
      <c r="BI1074" s="161"/>
      <c r="BJ1074" s="161"/>
      <c r="BK1074" s="161"/>
      <c r="BL1074" s="161"/>
      <c r="BM1074" s="161"/>
      <c r="BN1074" s="161"/>
      <c r="BO1074" s="161"/>
      <c r="BP1074" s="161"/>
      <c r="BQ1074" s="161"/>
      <c r="BR1074" s="161"/>
      <c r="BS1074" s="161"/>
      <c r="BT1074" s="161"/>
      <c r="BU1074" s="161"/>
      <c r="BV1074" s="161"/>
      <c r="BW1074" s="161"/>
      <c r="BX1074" s="161"/>
    </row>
    <row r="1075">
      <c r="A1075" s="161"/>
      <c r="B1075" s="161"/>
      <c r="C1075" s="161"/>
      <c r="D1075" s="161"/>
      <c r="E1075" s="161"/>
      <c r="F1075" s="161"/>
      <c r="G1075" s="161"/>
      <c r="H1075" s="161"/>
      <c r="I1075" s="161"/>
      <c r="J1075" s="161"/>
      <c r="K1075" s="161"/>
      <c r="L1075" s="161"/>
      <c r="M1075" s="161"/>
      <c r="N1075" s="161"/>
      <c r="O1075" s="161"/>
      <c r="P1075" s="161"/>
      <c r="Q1075" s="161"/>
      <c r="R1075" s="161"/>
      <c r="S1075" s="161"/>
      <c r="T1075" s="161"/>
      <c r="U1075" s="161"/>
      <c r="V1075" s="161"/>
      <c r="W1075" s="161"/>
      <c r="X1075" s="161"/>
      <c r="Y1075" s="161"/>
      <c r="Z1075" s="161"/>
      <c r="AA1075" s="161"/>
      <c r="AB1075" s="161"/>
      <c r="AC1075" s="161"/>
      <c r="AD1075" s="161"/>
      <c r="AE1075" s="161"/>
      <c r="AF1075" s="161"/>
      <c r="AG1075" s="161"/>
      <c r="AH1075" s="161"/>
      <c r="AI1075" s="161"/>
      <c r="AJ1075" s="161"/>
      <c r="AK1075" s="161"/>
      <c r="AL1075" s="161"/>
      <c r="AM1075" s="161"/>
      <c r="AN1075" s="161"/>
      <c r="AO1075" s="161"/>
      <c r="AP1075" s="161"/>
      <c r="AQ1075" s="161"/>
      <c r="AR1075" s="161"/>
      <c r="AS1075" s="161"/>
      <c r="AT1075" s="161"/>
      <c r="AU1075" s="161"/>
      <c r="AV1075" s="161"/>
      <c r="AW1075" s="161"/>
      <c r="AX1075" s="161"/>
      <c r="AY1075" s="161"/>
      <c r="AZ1075" s="161"/>
      <c r="BA1075" s="161"/>
      <c r="BB1075" s="161"/>
      <c r="BC1075" s="161"/>
      <c r="BD1075" s="161"/>
      <c r="BE1075" s="161"/>
      <c r="BF1075" s="161"/>
      <c r="BG1075" s="161"/>
      <c r="BH1075" s="161"/>
      <c r="BI1075" s="161"/>
      <c r="BJ1075" s="161"/>
      <c r="BK1075" s="161"/>
      <c r="BL1075" s="161"/>
      <c r="BM1075" s="161"/>
      <c r="BN1075" s="161"/>
      <c r="BO1075" s="161"/>
      <c r="BP1075" s="161"/>
      <c r="BQ1075" s="161"/>
      <c r="BR1075" s="161"/>
      <c r="BS1075" s="161"/>
      <c r="BT1075" s="161"/>
      <c r="BU1075" s="161"/>
      <c r="BV1075" s="161"/>
      <c r="BW1075" s="161"/>
      <c r="BX1075" s="161"/>
    </row>
    <row r="1076">
      <c r="A1076" s="161"/>
      <c r="B1076" s="161"/>
      <c r="C1076" s="161"/>
      <c r="D1076" s="161"/>
      <c r="E1076" s="161"/>
      <c r="F1076" s="161"/>
      <c r="G1076" s="161"/>
      <c r="H1076" s="161"/>
      <c r="I1076" s="161"/>
      <c r="J1076" s="161"/>
      <c r="K1076" s="161"/>
      <c r="L1076" s="161"/>
      <c r="M1076" s="161"/>
      <c r="N1076" s="161"/>
      <c r="O1076" s="161"/>
      <c r="P1076" s="161"/>
      <c r="Q1076" s="161"/>
      <c r="R1076" s="161"/>
      <c r="S1076" s="161"/>
      <c r="T1076" s="161"/>
      <c r="U1076" s="161"/>
      <c r="V1076" s="161"/>
      <c r="W1076" s="161"/>
      <c r="X1076" s="161"/>
      <c r="Y1076" s="161"/>
      <c r="Z1076" s="161"/>
      <c r="AA1076" s="161"/>
      <c r="AB1076" s="161"/>
      <c r="AC1076" s="161"/>
      <c r="AD1076" s="161"/>
      <c r="AE1076" s="161"/>
      <c r="AF1076" s="161"/>
      <c r="AG1076" s="161"/>
      <c r="AH1076" s="161"/>
      <c r="AI1076" s="161"/>
      <c r="AJ1076" s="161"/>
      <c r="AK1076" s="161"/>
      <c r="AL1076" s="161"/>
      <c r="AM1076" s="161"/>
      <c r="AN1076" s="161"/>
      <c r="AO1076" s="161"/>
      <c r="AP1076" s="161"/>
      <c r="AQ1076" s="161"/>
      <c r="AR1076" s="161"/>
      <c r="AS1076" s="161"/>
      <c r="AT1076" s="161"/>
      <c r="AU1076" s="161"/>
      <c r="AV1076" s="161"/>
      <c r="AW1076" s="161"/>
      <c r="AX1076" s="161"/>
      <c r="AY1076" s="161"/>
      <c r="AZ1076" s="161"/>
      <c r="BA1076" s="161"/>
      <c r="BB1076" s="161"/>
      <c r="BC1076" s="161"/>
      <c r="BD1076" s="161"/>
      <c r="BE1076" s="161"/>
      <c r="BF1076" s="161"/>
      <c r="BG1076" s="161"/>
      <c r="BH1076" s="161"/>
      <c r="BI1076" s="161"/>
      <c r="BJ1076" s="161"/>
      <c r="BK1076" s="161"/>
      <c r="BL1076" s="161"/>
      <c r="BM1076" s="161"/>
      <c r="BN1076" s="161"/>
      <c r="BO1076" s="161"/>
      <c r="BP1076" s="161"/>
      <c r="BQ1076" s="161"/>
      <c r="BR1076" s="161"/>
      <c r="BS1076" s="161"/>
      <c r="BT1076" s="161"/>
      <c r="BU1076" s="161"/>
      <c r="BV1076" s="161"/>
      <c r="BW1076" s="161"/>
      <c r="BX1076" s="161"/>
    </row>
    <row r="1077">
      <c r="A1077" s="161"/>
      <c r="B1077" s="161"/>
      <c r="C1077" s="161"/>
      <c r="D1077" s="161"/>
      <c r="E1077" s="161"/>
      <c r="F1077" s="161"/>
      <c r="G1077" s="161"/>
      <c r="H1077" s="161"/>
      <c r="I1077" s="161"/>
      <c r="J1077" s="161"/>
      <c r="K1077" s="161"/>
      <c r="L1077" s="161"/>
      <c r="M1077" s="161"/>
      <c r="N1077" s="161"/>
      <c r="O1077" s="161"/>
      <c r="P1077" s="161"/>
      <c r="Q1077" s="161"/>
      <c r="R1077" s="161"/>
      <c r="S1077" s="161"/>
      <c r="T1077" s="161"/>
      <c r="U1077" s="161"/>
      <c r="V1077" s="161"/>
      <c r="W1077" s="161"/>
      <c r="X1077" s="161"/>
      <c r="Y1077" s="161"/>
      <c r="Z1077" s="161"/>
      <c r="AA1077" s="161"/>
      <c r="AB1077" s="161"/>
      <c r="AC1077" s="161"/>
      <c r="AD1077" s="161"/>
      <c r="AE1077" s="161"/>
      <c r="AF1077" s="161"/>
      <c r="AG1077" s="161"/>
      <c r="AH1077" s="161"/>
      <c r="AI1077" s="161"/>
      <c r="AJ1077" s="161"/>
      <c r="AK1077" s="161"/>
      <c r="AL1077" s="161"/>
      <c r="AM1077" s="161"/>
      <c r="AN1077" s="161"/>
      <c r="AO1077" s="161"/>
      <c r="AP1077" s="161"/>
      <c r="AQ1077" s="161"/>
      <c r="AR1077" s="161"/>
      <c r="AS1077" s="161"/>
      <c r="AT1077" s="161"/>
      <c r="AU1077" s="161"/>
      <c r="AV1077" s="161"/>
      <c r="AW1077" s="161"/>
      <c r="AX1077" s="161"/>
      <c r="AY1077" s="161"/>
      <c r="AZ1077" s="161"/>
      <c r="BA1077" s="161"/>
      <c r="BB1077" s="161"/>
      <c r="BC1077" s="161"/>
      <c r="BD1077" s="161"/>
      <c r="BE1077" s="161"/>
      <c r="BF1077" s="161"/>
      <c r="BG1077" s="161"/>
      <c r="BH1077" s="161"/>
      <c r="BI1077" s="161"/>
      <c r="BJ1077" s="161"/>
      <c r="BK1077" s="161"/>
      <c r="BL1077" s="161"/>
      <c r="BM1077" s="161"/>
      <c r="BN1077" s="161"/>
      <c r="BO1077" s="161"/>
      <c r="BP1077" s="161"/>
      <c r="BQ1077" s="161"/>
      <c r="BR1077" s="161"/>
      <c r="BS1077" s="161"/>
      <c r="BT1077" s="161"/>
      <c r="BU1077" s="161"/>
      <c r="BV1077" s="161"/>
      <c r="BW1077" s="161"/>
      <c r="BX1077" s="161"/>
    </row>
    <row r="1078">
      <c r="A1078" s="161"/>
      <c r="B1078" s="161"/>
      <c r="C1078" s="161"/>
      <c r="D1078" s="161"/>
      <c r="E1078" s="161"/>
      <c r="F1078" s="161"/>
      <c r="G1078" s="161"/>
      <c r="H1078" s="161"/>
      <c r="I1078" s="161"/>
      <c r="J1078" s="161"/>
      <c r="K1078" s="161"/>
      <c r="L1078" s="161"/>
      <c r="M1078" s="161"/>
      <c r="N1078" s="161"/>
      <c r="O1078" s="161"/>
      <c r="P1078" s="161"/>
      <c r="Q1078" s="161"/>
      <c r="R1078" s="161"/>
      <c r="S1078" s="161"/>
      <c r="T1078" s="161"/>
      <c r="U1078" s="161"/>
      <c r="V1078" s="161"/>
      <c r="W1078" s="161"/>
      <c r="X1078" s="161"/>
      <c r="Y1078" s="161"/>
      <c r="Z1078" s="161"/>
      <c r="AA1078" s="161"/>
      <c r="AB1078" s="161"/>
      <c r="AC1078" s="161"/>
      <c r="AD1078" s="161"/>
      <c r="AE1078" s="161"/>
      <c r="AF1078" s="161"/>
      <c r="AG1078" s="161"/>
      <c r="AH1078" s="161"/>
      <c r="AI1078" s="161"/>
      <c r="AJ1078" s="161"/>
      <c r="AK1078" s="161"/>
      <c r="AL1078" s="161"/>
      <c r="AM1078" s="161"/>
      <c r="AN1078" s="161"/>
      <c r="AO1078" s="161"/>
      <c r="AP1078" s="161"/>
      <c r="AQ1078" s="161"/>
      <c r="AR1078" s="161"/>
      <c r="AS1078" s="161"/>
      <c r="AT1078" s="161"/>
      <c r="AU1078" s="161"/>
      <c r="AV1078" s="161"/>
      <c r="AW1078" s="161"/>
      <c r="AX1078" s="161"/>
      <c r="AY1078" s="161"/>
      <c r="AZ1078" s="161"/>
      <c r="BA1078" s="161"/>
      <c r="BB1078" s="161"/>
      <c r="BC1078" s="161"/>
      <c r="BD1078" s="161"/>
      <c r="BE1078" s="161"/>
      <c r="BF1078" s="161"/>
      <c r="BG1078" s="161"/>
      <c r="BH1078" s="161"/>
      <c r="BI1078" s="161"/>
      <c r="BJ1078" s="161"/>
      <c r="BK1078" s="161"/>
      <c r="BL1078" s="161"/>
      <c r="BM1078" s="161"/>
      <c r="BN1078" s="161"/>
      <c r="BO1078" s="161"/>
      <c r="BP1078" s="161"/>
      <c r="BQ1078" s="161"/>
      <c r="BR1078" s="161"/>
      <c r="BS1078" s="161"/>
      <c r="BT1078" s="161"/>
      <c r="BU1078" s="161"/>
      <c r="BV1078" s="161"/>
      <c r="BW1078" s="161"/>
      <c r="BX1078" s="161"/>
    </row>
    <row r="1079">
      <c r="A1079" s="161"/>
      <c r="B1079" s="161"/>
      <c r="C1079" s="161"/>
      <c r="D1079" s="161"/>
      <c r="E1079" s="161"/>
      <c r="F1079" s="161"/>
      <c r="G1079" s="161"/>
      <c r="H1079" s="161"/>
      <c r="I1079" s="161"/>
      <c r="J1079" s="161"/>
      <c r="K1079" s="161"/>
      <c r="L1079" s="161"/>
      <c r="M1079" s="161"/>
      <c r="N1079" s="161"/>
      <c r="O1079" s="161"/>
      <c r="P1079" s="161"/>
      <c r="Q1079" s="161"/>
      <c r="R1079" s="161"/>
      <c r="S1079" s="161"/>
      <c r="T1079" s="161"/>
      <c r="U1079" s="161"/>
      <c r="V1079" s="161"/>
      <c r="W1079" s="161"/>
      <c r="X1079" s="161"/>
      <c r="Y1079" s="161"/>
      <c r="Z1079" s="161"/>
      <c r="AA1079" s="161"/>
      <c r="AB1079" s="161"/>
      <c r="AC1079" s="161"/>
      <c r="AD1079" s="161"/>
      <c r="AE1079" s="161"/>
      <c r="AF1079" s="161"/>
      <c r="AG1079" s="161"/>
      <c r="AH1079" s="161"/>
      <c r="AI1079" s="161"/>
      <c r="AJ1079" s="161"/>
      <c r="AK1079" s="161"/>
      <c r="AL1079" s="161"/>
      <c r="AM1079" s="161"/>
      <c r="AN1079" s="161"/>
      <c r="AO1079" s="161"/>
      <c r="AP1079" s="161"/>
      <c r="AQ1079" s="161"/>
      <c r="AR1079" s="161"/>
      <c r="AS1079" s="161"/>
      <c r="AT1079" s="161"/>
      <c r="AU1079" s="161"/>
      <c r="AV1079" s="161"/>
      <c r="AW1079" s="161"/>
      <c r="AX1079" s="161"/>
      <c r="AY1079" s="161"/>
      <c r="AZ1079" s="161"/>
      <c r="BA1079" s="161"/>
      <c r="BB1079" s="161"/>
      <c r="BC1079" s="161"/>
      <c r="BD1079" s="161"/>
      <c r="BE1079" s="161"/>
      <c r="BF1079" s="161"/>
      <c r="BG1079" s="161"/>
      <c r="BH1079" s="161"/>
      <c r="BI1079" s="161"/>
      <c r="BJ1079" s="161"/>
      <c r="BK1079" s="161"/>
      <c r="BL1079" s="161"/>
      <c r="BM1079" s="161"/>
      <c r="BN1079" s="161"/>
      <c r="BO1079" s="161"/>
      <c r="BP1079" s="161"/>
      <c r="BQ1079" s="161"/>
      <c r="BR1079" s="161"/>
      <c r="BS1079" s="161"/>
      <c r="BT1079" s="161"/>
      <c r="BU1079" s="161"/>
      <c r="BV1079" s="161"/>
      <c r="BW1079" s="161"/>
      <c r="BX1079" s="161"/>
    </row>
    <row r="1080">
      <c r="A1080" s="161"/>
      <c r="B1080" s="161"/>
      <c r="C1080" s="161"/>
      <c r="D1080" s="161"/>
      <c r="E1080" s="161"/>
      <c r="F1080" s="161"/>
      <c r="G1080" s="161"/>
      <c r="H1080" s="161"/>
      <c r="I1080" s="161"/>
      <c r="J1080" s="161"/>
      <c r="K1080" s="161"/>
      <c r="L1080" s="161"/>
      <c r="M1080" s="161"/>
      <c r="N1080" s="161"/>
      <c r="O1080" s="161"/>
      <c r="P1080" s="161"/>
      <c r="Q1080" s="161"/>
      <c r="R1080" s="161"/>
      <c r="S1080" s="161"/>
      <c r="T1080" s="161"/>
      <c r="U1080" s="161"/>
      <c r="V1080" s="161"/>
      <c r="W1080" s="161"/>
      <c r="X1080" s="161"/>
      <c r="Y1080" s="161"/>
      <c r="Z1080" s="161"/>
      <c r="AA1080" s="161"/>
      <c r="AB1080" s="161"/>
      <c r="AC1080" s="161"/>
      <c r="AD1080" s="161"/>
      <c r="AE1080" s="161"/>
      <c r="AF1080" s="161"/>
      <c r="AG1080" s="161"/>
      <c r="AH1080" s="161"/>
      <c r="AI1080" s="161"/>
      <c r="AJ1080" s="161"/>
      <c r="AK1080" s="161"/>
      <c r="AL1080" s="161"/>
      <c r="AM1080" s="161"/>
      <c r="AN1080" s="161"/>
      <c r="AO1080" s="161"/>
      <c r="AP1080" s="161"/>
      <c r="AQ1080" s="161"/>
      <c r="AR1080" s="161"/>
      <c r="AS1080" s="161"/>
      <c r="AT1080" s="161"/>
      <c r="AU1080" s="161"/>
      <c r="AV1080" s="161"/>
      <c r="AW1080" s="161"/>
      <c r="AX1080" s="161"/>
      <c r="AY1080" s="161"/>
      <c r="AZ1080" s="161"/>
      <c r="BA1080" s="161"/>
      <c r="BB1080" s="161"/>
      <c r="BC1080" s="161"/>
      <c r="BD1080" s="161"/>
      <c r="BE1080" s="161"/>
      <c r="BF1080" s="161"/>
      <c r="BG1080" s="161"/>
      <c r="BH1080" s="161"/>
      <c r="BI1080" s="161"/>
      <c r="BJ1080" s="161"/>
      <c r="BK1080" s="161"/>
      <c r="BL1080" s="161"/>
      <c r="BM1080" s="161"/>
      <c r="BN1080" s="161"/>
      <c r="BO1080" s="161"/>
      <c r="BP1080" s="161"/>
      <c r="BQ1080" s="161"/>
      <c r="BR1080" s="161"/>
      <c r="BS1080" s="161"/>
      <c r="BT1080" s="161"/>
      <c r="BU1080" s="161"/>
      <c r="BV1080" s="161"/>
      <c r="BW1080" s="161"/>
      <c r="BX1080" s="161"/>
    </row>
    <row r="1081">
      <c r="A1081" s="161"/>
      <c r="B1081" s="161"/>
      <c r="C1081" s="161"/>
      <c r="D1081" s="161"/>
      <c r="E1081" s="161"/>
      <c r="F1081" s="161"/>
      <c r="G1081" s="161"/>
      <c r="H1081" s="161"/>
      <c r="I1081" s="161"/>
      <c r="J1081" s="161"/>
      <c r="K1081" s="161"/>
      <c r="L1081" s="161"/>
      <c r="M1081" s="161"/>
      <c r="N1081" s="161"/>
      <c r="O1081" s="161"/>
      <c r="P1081" s="161"/>
      <c r="Q1081" s="161"/>
      <c r="R1081" s="161"/>
      <c r="S1081" s="161"/>
      <c r="T1081" s="161"/>
      <c r="U1081" s="161"/>
      <c r="V1081" s="161"/>
      <c r="W1081" s="161"/>
      <c r="X1081" s="161"/>
      <c r="Y1081" s="161"/>
      <c r="Z1081" s="161"/>
      <c r="AA1081" s="161"/>
      <c r="AB1081" s="161"/>
      <c r="AC1081" s="161"/>
      <c r="AD1081" s="161"/>
      <c r="AE1081" s="161"/>
      <c r="AF1081" s="161"/>
      <c r="AG1081" s="161"/>
      <c r="AH1081" s="161"/>
      <c r="AI1081" s="161"/>
      <c r="AJ1081" s="161"/>
      <c r="AK1081" s="161"/>
      <c r="AL1081" s="161"/>
      <c r="AM1081" s="161"/>
      <c r="AN1081" s="161"/>
      <c r="AO1081" s="161"/>
      <c r="AP1081" s="161"/>
      <c r="AQ1081" s="161"/>
      <c r="AR1081" s="161"/>
      <c r="AS1081" s="161"/>
      <c r="AT1081" s="161"/>
      <c r="AU1081" s="161"/>
      <c r="AV1081" s="161"/>
      <c r="AW1081" s="161"/>
      <c r="AX1081" s="161"/>
      <c r="AY1081" s="161"/>
      <c r="AZ1081" s="161"/>
      <c r="BA1081" s="161"/>
      <c r="BB1081" s="161"/>
      <c r="BC1081" s="161"/>
      <c r="BD1081" s="161"/>
      <c r="BE1081" s="161"/>
      <c r="BF1081" s="161"/>
      <c r="BG1081" s="161"/>
      <c r="BH1081" s="161"/>
      <c r="BI1081" s="161"/>
      <c r="BJ1081" s="161"/>
      <c r="BK1081" s="161"/>
      <c r="BL1081" s="161"/>
      <c r="BM1081" s="161"/>
      <c r="BN1081" s="161"/>
      <c r="BO1081" s="161"/>
      <c r="BP1081" s="161"/>
      <c r="BQ1081" s="161"/>
      <c r="BR1081" s="161"/>
      <c r="BS1081" s="161"/>
      <c r="BT1081" s="161"/>
      <c r="BU1081" s="161"/>
      <c r="BV1081" s="161"/>
      <c r="BW1081" s="161"/>
      <c r="BX1081" s="161"/>
    </row>
    <row r="1082">
      <c r="A1082" s="161"/>
      <c r="B1082" s="161"/>
      <c r="C1082" s="161"/>
      <c r="D1082" s="161"/>
      <c r="E1082" s="161"/>
      <c r="F1082" s="161"/>
      <c r="G1082" s="161"/>
      <c r="H1082" s="161"/>
      <c r="I1082" s="161"/>
      <c r="J1082" s="161"/>
      <c r="K1082" s="161"/>
      <c r="L1082" s="161"/>
      <c r="M1082" s="161"/>
      <c r="N1082" s="161"/>
      <c r="O1082" s="161"/>
      <c r="P1082" s="161"/>
      <c r="Q1082" s="161"/>
      <c r="R1082" s="161"/>
      <c r="S1082" s="161"/>
      <c r="T1082" s="161"/>
      <c r="U1082" s="161"/>
      <c r="V1082" s="161"/>
      <c r="W1082" s="161"/>
      <c r="X1082" s="161"/>
      <c r="Y1082" s="161"/>
      <c r="Z1082" s="161"/>
      <c r="AA1082" s="161"/>
      <c r="AB1082" s="161"/>
      <c r="AC1082" s="161"/>
      <c r="AD1082" s="161"/>
      <c r="AE1082" s="161"/>
      <c r="AF1082" s="161"/>
      <c r="AG1082" s="161"/>
      <c r="AH1082" s="161"/>
      <c r="AI1082" s="161"/>
      <c r="AJ1082" s="161"/>
      <c r="AK1082" s="161"/>
      <c r="AL1082" s="161"/>
      <c r="AM1082" s="161"/>
      <c r="AN1082" s="161"/>
      <c r="AO1082" s="161"/>
      <c r="AP1082" s="161"/>
      <c r="AQ1082" s="161"/>
      <c r="AR1082" s="161"/>
      <c r="AS1082" s="161"/>
      <c r="AT1082" s="161"/>
      <c r="AU1082" s="161"/>
      <c r="AV1082" s="161"/>
      <c r="AW1082" s="161"/>
      <c r="AX1082" s="161"/>
      <c r="AY1082" s="161"/>
      <c r="AZ1082" s="161"/>
      <c r="BA1082" s="161"/>
      <c r="BB1082" s="161"/>
      <c r="BC1082" s="161"/>
      <c r="BD1082" s="161"/>
      <c r="BE1082" s="161"/>
      <c r="BF1082" s="161"/>
      <c r="BG1082" s="161"/>
      <c r="BH1082" s="161"/>
      <c r="BI1082" s="161"/>
      <c r="BJ1082" s="161"/>
      <c r="BK1082" s="161"/>
      <c r="BL1082" s="161"/>
      <c r="BM1082" s="161"/>
      <c r="BN1082" s="161"/>
      <c r="BO1082" s="161"/>
      <c r="BP1082" s="161"/>
      <c r="BQ1082" s="161"/>
      <c r="BR1082" s="161"/>
      <c r="BS1082" s="161"/>
      <c r="BT1082" s="161"/>
      <c r="BU1082" s="161"/>
      <c r="BV1082" s="161"/>
      <c r="BW1082" s="161"/>
      <c r="BX1082" s="161"/>
    </row>
    <row r="1083">
      <c r="A1083" s="161"/>
      <c r="B1083" s="161"/>
      <c r="C1083" s="161"/>
      <c r="D1083" s="161"/>
      <c r="E1083" s="161"/>
      <c r="F1083" s="161"/>
      <c r="G1083" s="161"/>
      <c r="H1083" s="161"/>
      <c r="I1083" s="161"/>
      <c r="J1083" s="161"/>
      <c r="K1083" s="161"/>
      <c r="L1083" s="161"/>
      <c r="M1083" s="161"/>
      <c r="N1083" s="161"/>
      <c r="O1083" s="161"/>
      <c r="P1083" s="161"/>
      <c r="Q1083" s="161"/>
      <c r="R1083" s="161"/>
      <c r="S1083" s="161"/>
      <c r="T1083" s="161"/>
      <c r="U1083" s="161"/>
      <c r="V1083" s="161"/>
      <c r="W1083" s="161"/>
      <c r="X1083" s="161"/>
      <c r="Y1083" s="161"/>
      <c r="Z1083" s="161"/>
      <c r="AA1083" s="161"/>
      <c r="AB1083" s="161"/>
      <c r="AC1083" s="161"/>
      <c r="AD1083" s="161"/>
      <c r="AE1083" s="161"/>
      <c r="AF1083" s="161"/>
      <c r="AG1083" s="161"/>
      <c r="AH1083" s="161"/>
      <c r="AI1083" s="161"/>
      <c r="AJ1083" s="161"/>
      <c r="AK1083" s="161"/>
      <c r="AL1083" s="161"/>
      <c r="AM1083" s="161"/>
      <c r="AN1083" s="161"/>
      <c r="AO1083" s="161"/>
      <c r="AP1083" s="161"/>
      <c r="AQ1083" s="161"/>
      <c r="AR1083" s="161"/>
      <c r="AS1083" s="161"/>
      <c r="AT1083" s="161"/>
      <c r="AU1083" s="161"/>
      <c r="AV1083" s="161"/>
      <c r="AW1083" s="161"/>
      <c r="AX1083" s="161"/>
      <c r="AY1083" s="161"/>
      <c r="AZ1083" s="161"/>
      <c r="BA1083" s="161"/>
      <c r="BB1083" s="161"/>
      <c r="BC1083" s="161"/>
      <c r="BD1083" s="161"/>
      <c r="BE1083" s="161"/>
      <c r="BF1083" s="161"/>
      <c r="BG1083" s="161"/>
      <c r="BH1083" s="161"/>
      <c r="BI1083" s="161"/>
      <c r="BJ1083" s="161"/>
      <c r="BK1083" s="161"/>
      <c r="BL1083" s="161"/>
      <c r="BM1083" s="161"/>
      <c r="BN1083" s="161"/>
      <c r="BO1083" s="161"/>
      <c r="BP1083" s="161"/>
      <c r="BQ1083" s="161"/>
      <c r="BR1083" s="161"/>
      <c r="BS1083" s="161"/>
      <c r="BT1083" s="161"/>
      <c r="BU1083" s="161"/>
      <c r="BV1083" s="161"/>
      <c r="BW1083" s="161"/>
      <c r="BX1083" s="161"/>
    </row>
    <row r="1084">
      <c r="A1084" s="161"/>
      <c r="B1084" s="161"/>
      <c r="C1084" s="161"/>
      <c r="D1084" s="161"/>
      <c r="E1084" s="161"/>
      <c r="F1084" s="161"/>
      <c r="G1084" s="161"/>
      <c r="H1084" s="161"/>
      <c r="I1084" s="161"/>
      <c r="J1084" s="161"/>
      <c r="K1084" s="161"/>
      <c r="L1084" s="161"/>
      <c r="M1084" s="161"/>
      <c r="N1084" s="161"/>
      <c r="O1084" s="161"/>
      <c r="P1084" s="161"/>
      <c r="Q1084" s="161"/>
      <c r="R1084" s="161"/>
      <c r="S1084" s="161"/>
      <c r="T1084" s="161"/>
      <c r="U1084" s="161"/>
      <c r="V1084" s="161"/>
      <c r="W1084" s="161"/>
      <c r="X1084" s="161"/>
      <c r="Y1084" s="161"/>
      <c r="Z1084" s="161"/>
      <c r="AA1084" s="161"/>
      <c r="AB1084" s="161"/>
      <c r="AC1084" s="161"/>
      <c r="AD1084" s="161"/>
      <c r="AE1084" s="161"/>
      <c r="AF1084" s="161"/>
      <c r="AG1084" s="161"/>
      <c r="AH1084" s="161"/>
      <c r="AI1084" s="161"/>
      <c r="AJ1084" s="161"/>
      <c r="AK1084" s="161"/>
      <c r="AL1084" s="161"/>
      <c r="AM1084" s="161"/>
      <c r="AN1084" s="161"/>
      <c r="AO1084" s="161"/>
      <c r="AP1084" s="161"/>
      <c r="AQ1084" s="161"/>
      <c r="AR1084" s="161"/>
      <c r="AS1084" s="161"/>
      <c r="AT1084" s="161"/>
      <c r="AU1084" s="161"/>
      <c r="AV1084" s="161"/>
      <c r="AW1084" s="161"/>
      <c r="AX1084" s="161"/>
      <c r="AY1084" s="161"/>
      <c r="AZ1084" s="161"/>
      <c r="BA1084" s="161"/>
      <c r="BB1084" s="161"/>
      <c r="BC1084" s="161"/>
      <c r="BD1084" s="161"/>
      <c r="BE1084" s="161"/>
      <c r="BF1084" s="161"/>
      <c r="BG1084" s="161"/>
      <c r="BH1084" s="161"/>
      <c r="BI1084" s="161"/>
      <c r="BJ1084" s="161"/>
      <c r="BK1084" s="161"/>
      <c r="BL1084" s="161"/>
      <c r="BM1084" s="161"/>
      <c r="BN1084" s="161"/>
      <c r="BO1084" s="161"/>
      <c r="BP1084" s="161"/>
      <c r="BQ1084" s="161"/>
      <c r="BR1084" s="161"/>
      <c r="BS1084" s="161"/>
      <c r="BT1084" s="161"/>
      <c r="BU1084" s="161"/>
      <c r="BV1084" s="161"/>
      <c r="BW1084" s="161"/>
      <c r="BX1084" s="161"/>
    </row>
    <row r="1085">
      <c r="A1085" s="161"/>
      <c r="B1085" s="161"/>
      <c r="C1085" s="161"/>
      <c r="D1085" s="161"/>
      <c r="E1085" s="161"/>
      <c r="F1085" s="161"/>
      <c r="G1085" s="161"/>
      <c r="H1085" s="161"/>
      <c r="I1085" s="161"/>
      <c r="J1085" s="161"/>
      <c r="K1085" s="161"/>
      <c r="L1085" s="161"/>
      <c r="M1085" s="161"/>
      <c r="N1085" s="161"/>
      <c r="O1085" s="161"/>
      <c r="P1085" s="161"/>
      <c r="Q1085" s="161"/>
      <c r="R1085" s="161"/>
      <c r="S1085" s="161"/>
      <c r="T1085" s="161"/>
      <c r="U1085" s="161"/>
      <c r="V1085" s="161"/>
      <c r="W1085" s="161"/>
      <c r="X1085" s="161"/>
      <c r="Y1085" s="161"/>
      <c r="Z1085" s="161"/>
      <c r="AA1085" s="161"/>
      <c r="AB1085" s="161"/>
      <c r="AC1085" s="161"/>
      <c r="AD1085" s="161"/>
      <c r="AE1085" s="161"/>
      <c r="AF1085" s="161"/>
      <c r="AG1085" s="161"/>
      <c r="AH1085" s="161"/>
      <c r="AI1085" s="161"/>
      <c r="AJ1085" s="161"/>
      <c r="AK1085" s="161"/>
      <c r="AL1085" s="161"/>
      <c r="AM1085" s="161"/>
      <c r="AN1085" s="161"/>
      <c r="AO1085" s="161"/>
      <c r="AP1085" s="161"/>
      <c r="AQ1085" s="161"/>
      <c r="AR1085" s="161"/>
      <c r="AS1085" s="161"/>
      <c r="AT1085" s="161"/>
      <c r="AU1085" s="161"/>
      <c r="AV1085" s="161"/>
      <c r="AW1085" s="161"/>
      <c r="AX1085" s="161"/>
      <c r="AY1085" s="161"/>
      <c r="AZ1085" s="161"/>
      <c r="BA1085" s="161"/>
      <c r="BB1085" s="161"/>
      <c r="BC1085" s="161"/>
      <c r="BD1085" s="161"/>
      <c r="BE1085" s="161"/>
      <c r="BF1085" s="161"/>
      <c r="BG1085" s="161"/>
      <c r="BH1085" s="161"/>
      <c r="BI1085" s="161"/>
      <c r="BJ1085" s="161"/>
      <c r="BK1085" s="161"/>
      <c r="BL1085" s="161"/>
      <c r="BM1085" s="161"/>
      <c r="BN1085" s="161"/>
      <c r="BO1085" s="161"/>
      <c r="BP1085" s="161"/>
      <c r="BQ1085" s="161"/>
      <c r="BR1085" s="161"/>
      <c r="BS1085" s="161"/>
      <c r="BT1085" s="161"/>
      <c r="BU1085" s="161"/>
      <c r="BV1085" s="161"/>
      <c r="BW1085" s="161"/>
      <c r="BX1085" s="161"/>
    </row>
    <row r="1086">
      <c r="A1086" s="161"/>
      <c r="B1086" s="161"/>
      <c r="C1086" s="161"/>
      <c r="D1086" s="161"/>
      <c r="E1086" s="161"/>
      <c r="F1086" s="161"/>
      <c r="G1086" s="161"/>
      <c r="H1086" s="161"/>
      <c r="I1086" s="161"/>
      <c r="J1086" s="161"/>
      <c r="K1086" s="161"/>
      <c r="L1086" s="161"/>
      <c r="M1086" s="161"/>
      <c r="N1086" s="161"/>
      <c r="O1086" s="161"/>
      <c r="P1086" s="161"/>
      <c r="Q1086" s="161"/>
      <c r="R1086" s="161"/>
      <c r="S1086" s="161"/>
      <c r="T1086" s="161"/>
      <c r="U1086" s="161"/>
      <c r="V1086" s="161"/>
      <c r="W1086" s="161"/>
      <c r="X1086" s="161"/>
      <c r="Y1086" s="161"/>
      <c r="Z1086" s="161"/>
      <c r="AA1086" s="161"/>
      <c r="AB1086" s="161"/>
      <c r="AC1086" s="161"/>
      <c r="AD1086" s="161"/>
      <c r="AE1086" s="161"/>
      <c r="AF1086" s="161"/>
      <c r="AG1086" s="161"/>
      <c r="AH1086" s="161"/>
      <c r="AI1086" s="161"/>
      <c r="AJ1086" s="161"/>
      <c r="AK1086" s="161"/>
      <c r="AL1086" s="161"/>
      <c r="AM1086" s="161"/>
      <c r="AN1086" s="161"/>
      <c r="AO1086" s="161"/>
      <c r="AP1086" s="161"/>
      <c r="AQ1086" s="161"/>
      <c r="AR1086" s="161"/>
      <c r="AS1086" s="161"/>
      <c r="AT1086" s="161"/>
      <c r="AU1086" s="161"/>
      <c r="AV1086" s="161"/>
      <c r="AW1086" s="161"/>
      <c r="AX1086" s="161"/>
      <c r="AY1086" s="161"/>
      <c r="AZ1086" s="161"/>
      <c r="BA1086" s="161"/>
      <c r="BB1086" s="161"/>
      <c r="BC1086" s="161"/>
      <c r="BD1086" s="161"/>
      <c r="BE1086" s="161"/>
      <c r="BF1086" s="161"/>
      <c r="BG1086" s="161"/>
      <c r="BH1086" s="161"/>
      <c r="BI1086" s="161"/>
      <c r="BJ1086" s="161"/>
      <c r="BK1086" s="161"/>
      <c r="BL1086" s="161"/>
      <c r="BM1086" s="161"/>
      <c r="BN1086" s="161"/>
      <c r="BO1086" s="161"/>
      <c r="BP1086" s="161"/>
      <c r="BQ1086" s="161"/>
      <c r="BR1086" s="161"/>
      <c r="BS1086" s="161"/>
      <c r="BT1086" s="161"/>
      <c r="BU1086" s="161"/>
      <c r="BV1086" s="161"/>
      <c r="BW1086" s="161"/>
      <c r="BX1086" s="161"/>
    </row>
    <row r="1087">
      <c r="A1087" s="161"/>
      <c r="B1087" s="161"/>
      <c r="C1087" s="161"/>
      <c r="D1087" s="161"/>
      <c r="E1087" s="161"/>
      <c r="F1087" s="161"/>
      <c r="G1087" s="161"/>
      <c r="H1087" s="161"/>
      <c r="I1087" s="161"/>
      <c r="J1087" s="161"/>
      <c r="K1087" s="161"/>
      <c r="L1087" s="161"/>
      <c r="M1087" s="161"/>
      <c r="N1087" s="161"/>
      <c r="O1087" s="161"/>
      <c r="P1087" s="161"/>
      <c r="Q1087" s="161"/>
      <c r="R1087" s="161"/>
      <c r="S1087" s="161"/>
      <c r="T1087" s="161"/>
      <c r="U1087" s="161"/>
      <c r="V1087" s="161"/>
      <c r="W1087" s="161"/>
      <c r="X1087" s="161"/>
      <c r="Y1087" s="161"/>
      <c r="Z1087" s="161"/>
      <c r="AA1087" s="161"/>
      <c r="AB1087" s="161"/>
      <c r="AC1087" s="161"/>
      <c r="AD1087" s="161"/>
      <c r="AE1087" s="161"/>
      <c r="AF1087" s="161"/>
      <c r="AG1087" s="161"/>
      <c r="AH1087" s="161"/>
      <c r="AI1087" s="161"/>
      <c r="AJ1087" s="161"/>
      <c r="AK1087" s="161"/>
      <c r="AL1087" s="161"/>
      <c r="AM1087" s="161"/>
      <c r="AN1087" s="161"/>
      <c r="AO1087" s="161"/>
      <c r="AP1087" s="161"/>
      <c r="AQ1087" s="161"/>
      <c r="AR1087" s="161"/>
      <c r="AS1087" s="161"/>
      <c r="AT1087" s="161"/>
      <c r="AU1087" s="161"/>
      <c r="AV1087" s="161"/>
      <c r="AW1087" s="161"/>
      <c r="AX1087" s="161"/>
      <c r="AY1087" s="161"/>
      <c r="AZ1087" s="161"/>
      <c r="BA1087" s="161"/>
      <c r="BB1087" s="161"/>
      <c r="BC1087" s="161"/>
      <c r="BD1087" s="161"/>
      <c r="BE1087" s="161"/>
      <c r="BF1087" s="161"/>
      <c r="BG1087" s="161"/>
      <c r="BH1087" s="161"/>
      <c r="BI1087" s="161"/>
      <c r="BJ1087" s="161"/>
      <c r="BK1087" s="161"/>
      <c r="BL1087" s="161"/>
      <c r="BM1087" s="161"/>
      <c r="BN1087" s="161"/>
      <c r="BO1087" s="161"/>
      <c r="BP1087" s="161"/>
      <c r="BQ1087" s="161"/>
      <c r="BR1087" s="161"/>
      <c r="BS1087" s="161"/>
      <c r="BT1087" s="161"/>
      <c r="BU1087" s="161"/>
      <c r="BV1087" s="161"/>
      <c r="BW1087" s="161"/>
      <c r="BX1087" s="161"/>
    </row>
    <row r="1088">
      <c r="A1088" s="161"/>
      <c r="B1088" s="161"/>
      <c r="C1088" s="161"/>
      <c r="D1088" s="161"/>
      <c r="E1088" s="161"/>
      <c r="F1088" s="161"/>
      <c r="G1088" s="161"/>
      <c r="H1088" s="161"/>
      <c r="I1088" s="161"/>
      <c r="J1088" s="161"/>
      <c r="K1088" s="161"/>
      <c r="L1088" s="161"/>
      <c r="M1088" s="161"/>
      <c r="N1088" s="161"/>
      <c r="O1088" s="161"/>
      <c r="P1088" s="161"/>
      <c r="Q1088" s="161"/>
      <c r="R1088" s="161"/>
      <c r="S1088" s="161"/>
      <c r="T1088" s="161"/>
      <c r="U1088" s="161"/>
      <c r="V1088" s="161"/>
      <c r="W1088" s="161"/>
      <c r="X1088" s="161"/>
      <c r="Y1088" s="161"/>
      <c r="Z1088" s="161"/>
      <c r="AA1088" s="161"/>
      <c r="AB1088" s="161"/>
      <c r="AC1088" s="161"/>
      <c r="AD1088" s="161"/>
      <c r="AE1088" s="161"/>
      <c r="AF1088" s="161"/>
      <c r="AG1088" s="161"/>
      <c r="AH1088" s="161"/>
      <c r="AI1088" s="161"/>
      <c r="AJ1088" s="161"/>
      <c r="AK1088" s="161"/>
      <c r="AL1088" s="161"/>
      <c r="AM1088" s="161"/>
      <c r="AN1088" s="161"/>
      <c r="AO1088" s="161"/>
      <c r="AP1088" s="161"/>
      <c r="AQ1088" s="161"/>
      <c r="AR1088" s="161"/>
      <c r="AS1088" s="161"/>
      <c r="AT1088" s="161"/>
      <c r="AU1088" s="161"/>
      <c r="AV1088" s="161"/>
      <c r="AW1088" s="161"/>
      <c r="AX1088" s="161"/>
      <c r="AY1088" s="161"/>
      <c r="AZ1088" s="161"/>
      <c r="BA1088" s="161"/>
      <c r="BB1088" s="161"/>
      <c r="BC1088" s="161"/>
      <c r="BD1088" s="161"/>
      <c r="BE1088" s="161"/>
      <c r="BF1088" s="161"/>
      <c r="BG1088" s="161"/>
      <c r="BH1088" s="161"/>
      <c r="BI1088" s="161"/>
      <c r="BJ1088" s="161"/>
      <c r="BK1088" s="161"/>
      <c r="BL1088" s="161"/>
      <c r="BM1088" s="161"/>
      <c r="BN1088" s="161"/>
      <c r="BO1088" s="161"/>
      <c r="BP1088" s="161"/>
      <c r="BQ1088" s="161"/>
      <c r="BR1088" s="161"/>
      <c r="BS1088" s="161"/>
      <c r="BT1088" s="161"/>
      <c r="BU1088" s="161"/>
      <c r="BV1088" s="161"/>
      <c r="BW1088" s="161"/>
      <c r="BX1088" s="161"/>
    </row>
    <row r="1089">
      <c r="A1089" s="161"/>
      <c r="B1089" s="161"/>
      <c r="C1089" s="161"/>
      <c r="D1089" s="161"/>
      <c r="E1089" s="161"/>
      <c r="F1089" s="161"/>
      <c r="G1089" s="161"/>
      <c r="H1089" s="161"/>
      <c r="I1089" s="161"/>
      <c r="J1089" s="161"/>
      <c r="K1089" s="161"/>
      <c r="L1089" s="161"/>
      <c r="M1089" s="161"/>
      <c r="N1089" s="161"/>
      <c r="O1089" s="161"/>
      <c r="P1089" s="161"/>
      <c r="Q1089" s="161"/>
      <c r="R1089" s="161"/>
      <c r="S1089" s="161"/>
      <c r="T1089" s="161"/>
      <c r="U1089" s="161"/>
      <c r="V1089" s="161"/>
      <c r="W1089" s="161"/>
      <c r="X1089" s="161"/>
      <c r="Y1089" s="161"/>
      <c r="Z1089" s="161"/>
      <c r="AA1089" s="161"/>
      <c r="AB1089" s="161"/>
      <c r="AC1089" s="161"/>
      <c r="AD1089" s="161"/>
      <c r="AE1089" s="161"/>
      <c r="AF1089" s="161"/>
      <c r="AG1089" s="161"/>
      <c r="AH1089" s="161"/>
      <c r="AI1089" s="161"/>
      <c r="AJ1089" s="161"/>
      <c r="AK1089" s="161"/>
      <c r="AL1089" s="161"/>
      <c r="AM1089" s="161"/>
      <c r="AN1089" s="161"/>
      <c r="AO1089" s="161"/>
      <c r="AP1089" s="161"/>
      <c r="AQ1089" s="161"/>
      <c r="AR1089" s="161"/>
      <c r="AS1089" s="161"/>
      <c r="AT1089" s="161"/>
      <c r="AU1089" s="161"/>
      <c r="AV1089" s="161"/>
      <c r="AW1089" s="161"/>
      <c r="AX1089" s="161"/>
      <c r="AY1089" s="161"/>
      <c r="AZ1089" s="161"/>
      <c r="BA1089" s="161"/>
      <c r="BB1089" s="161"/>
      <c r="BC1089" s="161"/>
      <c r="BD1089" s="161"/>
      <c r="BE1089" s="161"/>
      <c r="BF1089" s="161"/>
      <c r="BG1089" s="161"/>
      <c r="BH1089" s="161"/>
      <c r="BI1089" s="161"/>
      <c r="BJ1089" s="161"/>
      <c r="BK1089" s="161"/>
      <c r="BL1089" s="161"/>
      <c r="BM1089" s="161"/>
      <c r="BN1089" s="161"/>
      <c r="BO1089" s="161"/>
      <c r="BP1089" s="161"/>
      <c r="BQ1089" s="161"/>
      <c r="BR1089" s="161"/>
      <c r="BS1089" s="161"/>
      <c r="BT1089" s="161"/>
      <c r="BU1089" s="161"/>
      <c r="BV1089" s="161"/>
      <c r="BW1089" s="161"/>
      <c r="BX1089" s="161"/>
    </row>
    <row r="1090">
      <c r="A1090" s="161"/>
      <c r="B1090" s="161"/>
      <c r="C1090" s="161"/>
      <c r="D1090" s="161"/>
      <c r="E1090" s="161"/>
      <c r="F1090" s="161"/>
      <c r="G1090" s="161"/>
      <c r="H1090" s="161"/>
      <c r="I1090" s="161"/>
      <c r="J1090" s="161"/>
      <c r="K1090" s="161"/>
      <c r="L1090" s="161"/>
      <c r="M1090" s="161"/>
      <c r="N1090" s="161"/>
      <c r="O1090" s="161"/>
      <c r="P1090" s="161"/>
      <c r="Q1090" s="161"/>
      <c r="R1090" s="161"/>
      <c r="S1090" s="161"/>
      <c r="T1090" s="161"/>
      <c r="U1090" s="161"/>
      <c r="V1090" s="161"/>
      <c r="W1090" s="161"/>
      <c r="X1090" s="161"/>
      <c r="Y1090" s="161"/>
      <c r="Z1090" s="161"/>
      <c r="AA1090" s="161"/>
      <c r="AB1090" s="161"/>
      <c r="AC1090" s="161"/>
      <c r="AD1090" s="161"/>
      <c r="AE1090" s="161"/>
      <c r="AF1090" s="161"/>
      <c r="AG1090" s="161"/>
      <c r="AH1090" s="161"/>
      <c r="AI1090" s="161"/>
      <c r="AJ1090" s="161"/>
      <c r="AK1090" s="161"/>
      <c r="AL1090" s="161"/>
      <c r="AM1090" s="161"/>
      <c r="AN1090" s="161"/>
      <c r="AO1090" s="161"/>
      <c r="AP1090" s="161"/>
      <c r="AQ1090" s="161"/>
      <c r="AR1090" s="161"/>
      <c r="AS1090" s="161"/>
      <c r="AT1090" s="161"/>
      <c r="AU1090" s="161"/>
      <c r="AV1090" s="161"/>
      <c r="AW1090" s="161"/>
      <c r="AX1090" s="161"/>
      <c r="AY1090" s="161"/>
      <c r="AZ1090" s="161"/>
      <c r="BA1090" s="161"/>
      <c r="BB1090" s="161"/>
      <c r="BC1090" s="161"/>
      <c r="BD1090" s="161"/>
      <c r="BE1090" s="161"/>
      <c r="BF1090" s="161"/>
      <c r="BG1090" s="161"/>
      <c r="BH1090" s="161"/>
      <c r="BI1090" s="161"/>
      <c r="BJ1090" s="161"/>
      <c r="BK1090" s="161"/>
      <c r="BL1090" s="161"/>
      <c r="BM1090" s="161"/>
      <c r="BN1090" s="161"/>
      <c r="BO1090" s="161"/>
      <c r="BP1090" s="161"/>
      <c r="BQ1090" s="161"/>
      <c r="BR1090" s="161"/>
      <c r="BS1090" s="161"/>
      <c r="BT1090" s="161"/>
      <c r="BU1090" s="161"/>
      <c r="BV1090" s="161"/>
      <c r="BW1090" s="161"/>
      <c r="BX1090" s="161"/>
    </row>
    <row r="1091">
      <c r="A1091" s="161"/>
      <c r="B1091" s="161"/>
      <c r="C1091" s="161"/>
      <c r="D1091" s="161"/>
      <c r="E1091" s="161"/>
      <c r="F1091" s="161"/>
      <c r="G1091" s="161"/>
      <c r="H1091" s="161"/>
      <c r="I1091" s="161"/>
      <c r="J1091" s="161"/>
      <c r="K1091" s="161"/>
      <c r="L1091" s="161"/>
      <c r="M1091" s="161"/>
      <c r="N1091" s="161"/>
      <c r="O1091" s="161"/>
      <c r="P1091" s="161"/>
      <c r="Q1091" s="161"/>
      <c r="R1091" s="161"/>
      <c r="S1091" s="161"/>
      <c r="T1091" s="161"/>
      <c r="U1091" s="161"/>
      <c r="V1091" s="161"/>
      <c r="W1091" s="161"/>
      <c r="X1091" s="161"/>
      <c r="Y1091" s="161"/>
      <c r="Z1091" s="161"/>
      <c r="AA1091" s="161"/>
      <c r="AB1091" s="161"/>
      <c r="AC1091" s="161"/>
      <c r="AD1091" s="161"/>
      <c r="AE1091" s="161"/>
      <c r="AF1091" s="161"/>
      <c r="AG1091" s="161"/>
      <c r="AH1091" s="161"/>
      <c r="AI1091" s="161"/>
      <c r="AJ1091" s="161"/>
      <c r="AK1091" s="161"/>
      <c r="AL1091" s="161"/>
      <c r="AM1091" s="161"/>
      <c r="AN1091" s="161"/>
      <c r="AO1091" s="161"/>
      <c r="AP1091" s="161"/>
      <c r="AQ1091" s="161"/>
      <c r="AR1091" s="161"/>
      <c r="AS1091" s="161"/>
      <c r="AT1091" s="161"/>
      <c r="AU1091" s="161"/>
      <c r="AV1091" s="161"/>
      <c r="AW1091" s="161"/>
      <c r="AX1091" s="161"/>
      <c r="AY1091" s="161"/>
      <c r="AZ1091" s="161"/>
      <c r="BA1091" s="161"/>
      <c r="BB1091" s="161"/>
      <c r="BC1091" s="161"/>
      <c r="BD1091" s="161"/>
      <c r="BE1091" s="161"/>
      <c r="BF1091" s="161"/>
      <c r="BG1091" s="161"/>
      <c r="BH1091" s="161"/>
      <c r="BI1091" s="161"/>
      <c r="BJ1091" s="161"/>
      <c r="BK1091" s="161"/>
      <c r="BL1091" s="161"/>
      <c r="BM1091" s="161"/>
      <c r="BN1091" s="161"/>
      <c r="BO1091" s="161"/>
      <c r="BP1091" s="161"/>
      <c r="BQ1091" s="161"/>
      <c r="BR1091" s="161"/>
      <c r="BS1091" s="161"/>
      <c r="BT1091" s="161"/>
      <c r="BU1091" s="161"/>
      <c r="BV1091" s="161"/>
      <c r="BW1091" s="161"/>
      <c r="BX1091" s="161"/>
    </row>
    <row r="1092">
      <c r="A1092" s="161"/>
      <c r="B1092" s="161"/>
      <c r="C1092" s="161"/>
      <c r="D1092" s="161"/>
      <c r="E1092" s="161"/>
      <c r="F1092" s="161"/>
      <c r="G1092" s="161"/>
      <c r="H1092" s="161"/>
      <c r="I1092" s="161"/>
      <c r="J1092" s="161"/>
      <c r="K1092" s="161"/>
      <c r="L1092" s="161"/>
      <c r="M1092" s="161"/>
      <c r="N1092" s="161"/>
      <c r="O1092" s="161"/>
      <c r="P1092" s="161"/>
      <c r="Q1092" s="161"/>
      <c r="R1092" s="161"/>
      <c r="S1092" s="161"/>
      <c r="T1092" s="161"/>
      <c r="U1092" s="161"/>
      <c r="V1092" s="161"/>
      <c r="W1092" s="161"/>
      <c r="X1092" s="161"/>
      <c r="Y1092" s="161"/>
      <c r="Z1092" s="161"/>
      <c r="AA1092" s="161"/>
      <c r="AB1092" s="161"/>
      <c r="AC1092" s="161"/>
      <c r="AD1092" s="161"/>
      <c r="AE1092" s="161"/>
      <c r="AF1092" s="161"/>
      <c r="AG1092" s="161"/>
      <c r="AH1092" s="161"/>
      <c r="AI1092" s="161"/>
      <c r="AJ1092" s="161"/>
      <c r="AK1092" s="161"/>
      <c r="AL1092" s="161"/>
      <c r="AM1092" s="161"/>
      <c r="AN1092" s="161"/>
      <c r="AO1092" s="161"/>
      <c r="AP1092" s="161"/>
      <c r="AQ1092" s="161"/>
      <c r="AR1092" s="161"/>
      <c r="AS1092" s="161"/>
      <c r="AT1092" s="161"/>
      <c r="AU1092" s="161"/>
      <c r="AV1092" s="161"/>
      <c r="AW1092" s="161"/>
      <c r="AX1092" s="161"/>
      <c r="AY1092" s="161"/>
      <c r="AZ1092" s="161"/>
      <c r="BA1092" s="161"/>
      <c r="BB1092" s="161"/>
      <c r="BC1092" s="161"/>
      <c r="BD1092" s="161"/>
      <c r="BE1092" s="161"/>
      <c r="BF1092" s="161"/>
      <c r="BG1092" s="161"/>
      <c r="BH1092" s="161"/>
      <c r="BI1092" s="161"/>
      <c r="BJ1092" s="161"/>
      <c r="BK1092" s="161"/>
      <c r="BL1092" s="161"/>
      <c r="BM1092" s="161"/>
      <c r="BN1092" s="161"/>
      <c r="BO1092" s="161"/>
      <c r="BP1092" s="161"/>
      <c r="BQ1092" s="161"/>
      <c r="BR1092" s="161"/>
      <c r="BS1092" s="161"/>
      <c r="BT1092" s="161"/>
      <c r="BU1092" s="161"/>
      <c r="BV1092" s="161"/>
      <c r="BW1092" s="161"/>
      <c r="BX1092" s="161"/>
    </row>
    <row r="1093">
      <c r="A1093" s="161"/>
      <c r="B1093" s="161"/>
      <c r="C1093" s="161"/>
      <c r="D1093" s="161"/>
      <c r="E1093" s="161"/>
      <c r="F1093" s="161"/>
      <c r="G1093" s="161"/>
      <c r="H1093" s="161"/>
      <c r="I1093" s="161"/>
      <c r="J1093" s="161"/>
      <c r="K1093" s="161"/>
      <c r="L1093" s="161"/>
      <c r="M1093" s="161"/>
      <c r="N1093" s="161"/>
      <c r="O1093" s="161"/>
      <c r="P1093" s="161"/>
      <c r="Q1093" s="161"/>
      <c r="R1093" s="161"/>
      <c r="S1093" s="161"/>
      <c r="T1093" s="161"/>
      <c r="U1093" s="161"/>
      <c r="V1093" s="161"/>
      <c r="W1093" s="161"/>
      <c r="X1093" s="161"/>
      <c r="Y1093" s="161"/>
      <c r="Z1093" s="161"/>
      <c r="AA1093" s="161"/>
      <c r="AB1093" s="161"/>
      <c r="AC1093" s="161"/>
      <c r="AD1093" s="161"/>
      <c r="AE1093" s="161"/>
      <c r="AF1093" s="161"/>
      <c r="AG1093" s="161"/>
      <c r="AH1093" s="161"/>
      <c r="AI1093" s="161"/>
      <c r="AJ1093" s="161"/>
      <c r="AK1093" s="161"/>
      <c r="AL1093" s="161"/>
      <c r="AM1093" s="161"/>
      <c r="AN1093" s="161"/>
      <c r="AO1093" s="161"/>
      <c r="AP1093" s="161"/>
      <c r="AQ1093" s="161"/>
      <c r="AR1093" s="161"/>
      <c r="AS1093" s="161"/>
      <c r="AT1093" s="161"/>
      <c r="AU1093" s="161"/>
      <c r="AV1093" s="161"/>
      <c r="AW1093" s="161"/>
      <c r="AX1093" s="161"/>
      <c r="AY1093" s="161"/>
      <c r="AZ1093" s="161"/>
      <c r="BA1093" s="161"/>
      <c r="BB1093" s="161"/>
      <c r="BC1093" s="161"/>
      <c r="BD1093" s="161"/>
      <c r="BE1093" s="161"/>
      <c r="BF1093" s="161"/>
      <c r="BG1093" s="161"/>
      <c r="BH1093" s="161"/>
      <c r="BI1093" s="161"/>
      <c r="BJ1093" s="161"/>
      <c r="BK1093" s="161"/>
      <c r="BL1093" s="161"/>
      <c r="BM1093" s="161"/>
      <c r="BN1093" s="161"/>
      <c r="BO1093" s="161"/>
      <c r="BP1093" s="161"/>
      <c r="BQ1093" s="161"/>
      <c r="BR1093" s="161"/>
      <c r="BS1093" s="161"/>
      <c r="BT1093" s="161"/>
      <c r="BU1093" s="161"/>
      <c r="BV1093" s="161"/>
      <c r="BW1093" s="161"/>
      <c r="BX1093" s="161"/>
    </row>
    <row r="1094">
      <c r="A1094" s="161"/>
      <c r="B1094" s="161"/>
      <c r="C1094" s="161"/>
      <c r="D1094" s="161"/>
      <c r="E1094" s="161"/>
      <c r="F1094" s="161"/>
      <c r="G1094" s="161"/>
      <c r="H1094" s="161"/>
      <c r="I1094" s="161"/>
      <c r="J1094" s="161"/>
      <c r="K1094" s="161"/>
      <c r="L1094" s="161"/>
      <c r="M1094" s="161"/>
      <c r="N1094" s="161"/>
      <c r="O1094" s="161"/>
      <c r="P1094" s="161"/>
      <c r="Q1094" s="161"/>
      <c r="R1094" s="161"/>
      <c r="S1094" s="161"/>
      <c r="T1094" s="161"/>
      <c r="U1094" s="161"/>
      <c r="V1094" s="161"/>
      <c r="W1094" s="161"/>
      <c r="X1094" s="161"/>
      <c r="Y1094" s="161"/>
      <c r="Z1094" s="161"/>
      <c r="AA1094" s="161"/>
      <c r="AB1094" s="161"/>
      <c r="AC1094" s="161"/>
      <c r="AD1094" s="161"/>
      <c r="AE1094" s="161"/>
      <c r="AF1094" s="161"/>
      <c r="AG1094" s="161"/>
      <c r="AH1094" s="161"/>
      <c r="AI1094" s="161"/>
      <c r="AJ1094" s="161"/>
      <c r="AK1094" s="161"/>
      <c r="AL1094" s="161"/>
      <c r="AM1094" s="161"/>
      <c r="AN1094" s="161"/>
      <c r="AO1094" s="161"/>
      <c r="AP1094" s="161"/>
      <c r="AQ1094" s="161"/>
      <c r="AR1094" s="161"/>
      <c r="AS1094" s="161"/>
      <c r="AT1094" s="161"/>
      <c r="AU1094" s="161"/>
      <c r="AV1094" s="161"/>
      <c r="AW1094" s="161"/>
      <c r="AX1094" s="161"/>
      <c r="AY1094" s="161"/>
      <c r="AZ1094" s="161"/>
      <c r="BA1094" s="161"/>
      <c r="BB1094" s="161"/>
      <c r="BC1094" s="161"/>
      <c r="BD1094" s="161"/>
      <c r="BE1094" s="161"/>
      <c r="BF1094" s="161"/>
      <c r="BG1094" s="161"/>
      <c r="BH1094" s="161"/>
      <c r="BI1094" s="161"/>
      <c r="BJ1094" s="161"/>
      <c r="BK1094" s="161"/>
      <c r="BL1094" s="161"/>
      <c r="BM1094" s="161"/>
      <c r="BN1094" s="161"/>
      <c r="BO1094" s="161"/>
      <c r="BP1094" s="161"/>
      <c r="BQ1094" s="161"/>
      <c r="BR1094" s="161"/>
      <c r="BS1094" s="161"/>
      <c r="BT1094" s="161"/>
      <c r="BU1094" s="161"/>
      <c r="BV1094" s="161"/>
      <c r="BW1094" s="161"/>
      <c r="BX1094" s="161"/>
    </row>
    <row r="1095">
      <c r="A1095" s="161"/>
      <c r="B1095" s="161"/>
      <c r="C1095" s="161"/>
      <c r="D1095" s="161"/>
      <c r="E1095" s="161"/>
      <c r="F1095" s="161"/>
      <c r="G1095" s="161"/>
      <c r="H1095" s="161"/>
      <c r="I1095" s="161"/>
      <c r="J1095" s="161"/>
      <c r="K1095" s="161"/>
      <c r="L1095" s="161"/>
      <c r="M1095" s="161"/>
      <c r="N1095" s="161"/>
      <c r="O1095" s="161"/>
      <c r="P1095" s="161"/>
      <c r="Q1095" s="161"/>
      <c r="R1095" s="161"/>
      <c r="S1095" s="161"/>
      <c r="T1095" s="161"/>
      <c r="U1095" s="161"/>
      <c r="V1095" s="161"/>
      <c r="W1095" s="161"/>
      <c r="X1095" s="161"/>
      <c r="Y1095" s="161"/>
      <c r="Z1095" s="161"/>
      <c r="AA1095" s="161"/>
      <c r="AB1095" s="161"/>
      <c r="AC1095" s="161"/>
      <c r="AD1095" s="161"/>
      <c r="AE1095" s="161"/>
      <c r="AF1095" s="161"/>
      <c r="AG1095" s="161"/>
      <c r="AH1095" s="161"/>
      <c r="AI1095" s="161"/>
      <c r="AJ1095" s="161"/>
      <c r="AK1095" s="161"/>
      <c r="AL1095" s="161"/>
      <c r="AM1095" s="161"/>
      <c r="AN1095" s="161"/>
      <c r="AO1095" s="161"/>
      <c r="AP1095" s="161"/>
      <c r="AQ1095" s="161"/>
      <c r="AR1095" s="161"/>
      <c r="AS1095" s="161"/>
      <c r="AT1095" s="161"/>
      <c r="AU1095" s="161"/>
      <c r="AV1095" s="161"/>
      <c r="AW1095" s="161"/>
      <c r="AX1095" s="161"/>
      <c r="AY1095" s="161"/>
      <c r="AZ1095" s="161"/>
      <c r="BA1095" s="161"/>
      <c r="BB1095" s="161"/>
      <c r="BC1095" s="161"/>
      <c r="BD1095" s="161"/>
      <c r="BE1095" s="161"/>
      <c r="BF1095" s="161"/>
      <c r="BG1095" s="161"/>
      <c r="BH1095" s="161"/>
      <c r="BI1095" s="161"/>
      <c r="BJ1095" s="161"/>
      <c r="BK1095" s="161"/>
      <c r="BL1095" s="161"/>
      <c r="BM1095" s="161"/>
      <c r="BN1095" s="161"/>
      <c r="BO1095" s="161"/>
      <c r="BP1095" s="161"/>
      <c r="BQ1095" s="161"/>
      <c r="BR1095" s="161"/>
      <c r="BS1095" s="161"/>
      <c r="BT1095" s="161"/>
      <c r="BU1095" s="161"/>
      <c r="BV1095" s="161"/>
      <c r="BW1095" s="161"/>
      <c r="BX1095" s="161"/>
    </row>
    <row r="1096">
      <c r="A1096" s="161"/>
      <c r="B1096" s="161"/>
      <c r="C1096" s="161"/>
      <c r="D1096" s="161"/>
      <c r="E1096" s="161"/>
      <c r="F1096" s="161"/>
      <c r="G1096" s="161"/>
      <c r="H1096" s="161"/>
      <c r="I1096" s="161"/>
      <c r="J1096" s="161"/>
      <c r="K1096" s="161"/>
      <c r="L1096" s="161"/>
      <c r="M1096" s="161"/>
      <c r="N1096" s="161"/>
      <c r="O1096" s="161"/>
      <c r="P1096" s="161"/>
      <c r="Q1096" s="161"/>
      <c r="R1096" s="161"/>
      <c r="S1096" s="161"/>
      <c r="T1096" s="161"/>
      <c r="U1096" s="161"/>
      <c r="V1096" s="161"/>
      <c r="W1096" s="161"/>
      <c r="X1096" s="161"/>
      <c r="Y1096" s="161"/>
      <c r="Z1096" s="161"/>
      <c r="AA1096" s="161"/>
      <c r="AB1096" s="161"/>
      <c r="AC1096" s="161"/>
      <c r="AD1096" s="161"/>
      <c r="AE1096" s="161"/>
      <c r="AF1096" s="161"/>
      <c r="AG1096" s="161"/>
      <c r="AH1096" s="161"/>
      <c r="AI1096" s="161"/>
      <c r="AJ1096" s="161"/>
      <c r="AK1096" s="161"/>
      <c r="AL1096" s="161"/>
      <c r="AM1096" s="161"/>
      <c r="AN1096" s="161"/>
      <c r="AO1096" s="161"/>
      <c r="AP1096" s="161"/>
      <c r="AQ1096" s="161"/>
      <c r="AR1096" s="161"/>
      <c r="AS1096" s="161"/>
      <c r="AT1096" s="161"/>
      <c r="AU1096" s="161"/>
      <c r="AV1096" s="161"/>
      <c r="AW1096" s="161"/>
      <c r="AX1096" s="161"/>
      <c r="AY1096" s="161"/>
      <c r="AZ1096" s="161"/>
      <c r="BA1096" s="161"/>
      <c r="BB1096" s="161"/>
      <c r="BC1096" s="161"/>
      <c r="BD1096" s="161"/>
      <c r="BE1096" s="161"/>
      <c r="BF1096" s="161"/>
      <c r="BG1096" s="161"/>
      <c r="BH1096" s="161"/>
      <c r="BI1096" s="161"/>
      <c r="BJ1096" s="161"/>
      <c r="BK1096" s="161"/>
      <c r="BL1096" s="161"/>
      <c r="BM1096" s="161"/>
      <c r="BN1096" s="161"/>
      <c r="BO1096" s="161"/>
      <c r="BP1096" s="161"/>
      <c r="BQ1096" s="161"/>
      <c r="BR1096" s="161"/>
      <c r="BS1096" s="161"/>
      <c r="BT1096" s="161"/>
      <c r="BU1096" s="161"/>
      <c r="BV1096" s="161"/>
      <c r="BW1096" s="161"/>
      <c r="BX1096" s="161"/>
    </row>
    <row r="1097">
      <c r="A1097" s="161"/>
      <c r="B1097" s="161"/>
      <c r="C1097" s="161"/>
      <c r="D1097" s="161"/>
      <c r="E1097" s="161"/>
      <c r="F1097" s="161"/>
      <c r="G1097" s="161"/>
      <c r="H1097" s="161"/>
      <c r="I1097" s="161"/>
      <c r="J1097" s="161"/>
      <c r="K1097" s="161"/>
      <c r="L1097" s="161"/>
      <c r="M1097" s="161"/>
      <c r="N1097" s="161"/>
      <c r="O1097" s="161"/>
      <c r="P1097" s="161"/>
      <c r="Q1097" s="161"/>
      <c r="R1097" s="161"/>
      <c r="S1097" s="161"/>
      <c r="T1097" s="161"/>
      <c r="U1097" s="161"/>
      <c r="V1097" s="161"/>
      <c r="W1097" s="161"/>
      <c r="X1097" s="161"/>
      <c r="Y1097" s="161"/>
      <c r="Z1097" s="161"/>
      <c r="AA1097" s="161"/>
      <c r="AB1097" s="161"/>
      <c r="AC1097" s="161"/>
      <c r="AD1097" s="161"/>
      <c r="AE1097" s="161"/>
      <c r="AF1097" s="161"/>
      <c r="AG1097" s="161"/>
      <c r="AH1097" s="161"/>
      <c r="AI1097" s="161"/>
      <c r="AJ1097" s="161"/>
      <c r="AK1097" s="161"/>
      <c r="AL1097" s="161"/>
      <c r="AM1097" s="161"/>
      <c r="AN1097" s="161"/>
      <c r="AO1097" s="161"/>
      <c r="AP1097" s="161"/>
      <c r="AQ1097" s="161"/>
      <c r="AR1097" s="161"/>
      <c r="AS1097" s="161"/>
      <c r="AT1097" s="161"/>
      <c r="AU1097" s="161"/>
      <c r="AV1097" s="161"/>
      <c r="AW1097" s="161"/>
      <c r="AX1097" s="161"/>
      <c r="AY1097" s="161"/>
      <c r="AZ1097" s="161"/>
      <c r="BA1097" s="161"/>
      <c r="BB1097" s="161"/>
      <c r="BC1097" s="161"/>
      <c r="BD1097" s="161"/>
      <c r="BE1097" s="161"/>
      <c r="BF1097" s="161"/>
      <c r="BG1097" s="161"/>
      <c r="BH1097" s="161"/>
      <c r="BI1097" s="161"/>
      <c r="BJ1097" s="161"/>
      <c r="BK1097" s="161"/>
      <c r="BL1097" s="161"/>
      <c r="BM1097" s="161"/>
      <c r="BN1097" s="161"/>
      <c r="BO1097" s="161"/>
      <c r="BP1097" s="161"/>
      <c r="BQ1097" s="161"/>
      <c r="BR1097" s="161"/>
      <c r="BS1097" s="161"/>
      <c r="BT1097" s="161"/>
      <c r="BU1097" s="161"/>
      <c r="BV1097" s="161"/>
      <c r="BW1097" s="161"/>
      <c r="BX1097" s="161"/>
    </row>
    <row r="1098">
      <c r="A1098" s="161"/>
      <c r="B1098" s="161"/>
      <c r="C1098" s="161"/>
      <c r="D1098" s="161"/>
      <c r="E1098" s="161"/>
      <c r="F1098" s="161"/>
      <c r="G1098" s="161"/>
      <c r="H1098" s="161"/>
      <c r="I1098" s="161"/>
      <c r="J1098" s="161"/>
      <c r="K1098" s="161"/>
      <c r="L1098" s="161"/>
      <c r="M1098" s="161"/>
      <c r="N1098" s="161"/>
      <c r="O1098" s="161"/>
      <c r="P1098" s="161"/>
      <c r="Q1098" s="161"/>
      <c r="R1098" s="161"/>
      <c r="S1098" s="161"/>
      <c r="T1098" s="161"/>
      <c r="U1098" s="161"/>
      <c r="V1098" s="161"/>
      <c r="W1098" s="161"/>
      <c r="X1098" s="161"/>
      <c r="Y1098" s="161"/>
      <c r="Z1098" s="161"/>
      <c r="AA1098" s="161"/>
      <c r="AB1098" s="161"/>
      <c r="AC1098" s="161"/>
      <c r="AD1098" s="161"/>
      <c r="AE1098" s="161"/>
      <c r="AF1098" s="161"/>
      <c r="AG1098" s="161"/>
      <c r="AH1098" s="161"/>
      <c r="AI1098" s="161"/>
      <c r="AJ1098" s="161"/>
      <c r="AK1098" s="161"/>
      <c r="AL1098" s="161"/>
      <c r="AM1098" s="161"/>
      <c r="AN1098" s="161"/>
      <c r="AO1098" s="161"/>
      <c r="AP1098" s="161"/>
      <c r="AQ1098" s="161"/>
      <c r="AR1098" s="161"/>
      <c r="AS1098" s="161"/>
      <c r="AT1098" s="161"/>
      <c r="AU1098" s="161"/>
      <c r="AV1098" s="161"/>
      <c r="AW1098" s="161"/>
      <c r="AX1098" s="161"/>
      <c r="AY1098" s="161"/>
      <c r="AZ1098" s="161"/>
      <c r="BA1098" s="161"/>
      <c r="BB1098" s="161"/>
      <c r="BC1098" s="161"/>
      <c r="BD1098" s="161"/>
      <c r="BE1098" s="161"/>
      <c r="BF1098" s="161"/>
      <c r="BG1098" s="161"/>
      <c r="BH1098" s="161"/>
      <c r="BI1098" s="161"/>
      <c r="BJ1098" s="161"/>
      <c r="BK1098" s="161"/>
      <c r="BL1098" s="161"/>
      <c r="BM1098" s="161"/>
      <c r="BN1098" s="161"/>
      <c r="BO1098" s="161"/>
      <c r="BP1098" s="161"/>
      <c r="BQ1098" s="161"/>
      <c r="BR1098" s="161"/>
      <c r="BS1098" s="161"/>
      <c r="BT1098" s="161"/>
      <c r="BU1098" s="161"/>
      <c r="BV1098" s="161"/>
      <c r="BW1098" s="161"/>
      <c r="BX1098" s="161"/>
    </row>
    <row r="1099">
      <c r="A1099" s="161"/>
      <c r="B1099" s="161"/>
      <c r="C1099" s="161"/>
      <c r="D1099" s="161"/>
      <c r="E1099" s="161"/>
      <c r="F1099" s="161"/>
      <c r="G1099" s="161"/>
      <c r="H1099" s="161"/>
      <c r="I1099" s="161"/>
      <c r="J1099" s="161"/>
      <c r="K1099" s="161"/>
      <c r="L1099" s="161"/>
      <c r="M1099" s="161"/>
      <c r="N1099" s="161"/>
      <c r="O1099" s="161"/>
      <c r="P1099" s="161"/>
      <c r="Q1099" s="161"/>
      <c r="R1099" s="161"/>
      <c r="S1099" s="161"/>
      <c r="T1099" s="161"/>
      <c r="U1099" s="161"/>
      <c r="V1099" s="161"/>
      <c r="W1099" s="161"/>
      <c r="X1099" s="161"/>
      <c r="Y1099" s="161"/>
      <c r="Z1099" s="161"/>
      <c r="AA1099" s="161"/>
      <c r="AB1099" s="161"/>
      <c r="AC1099" s="161"/>
      <c r="AD1099" s="161"/>
      <c r="AE1099" s="161"/>
      <c r="AF1099" s="161"/>
      <c r="AG1099" s="161"/>
      <c r="AH1099" s="161"/>
      <c r="AI1099" s="161"/>
      <c r="AJ1099" s="161"/>
      <c r="AK1099" s="161"/>
      <c r="AL1099" s="161"/>
      <c r="AM1099" s="161"/>
      <c r="AN1099" s="161"/>
      <c r="AO1099" s="161"/>
      <c r="AP1099" s="161"/>
      <c r="AQ1099" s="161"/>
      <c r="AR1099" s="161"/>
      <c r="AS1099" s="161"/>
      <c r="AT1099" s="161"/>
      <c r="AU1099" s="161"/>
      <c r="AV1099" s="161"/>
      <c r="AW1099" s="161"/>
      <c r="AX1099" s="161"/>
      <c r="AY1099" s="161"/>
      <c r="AZ1099" s="161"/>
      <c r="BA1099" s="161"/>
      <c r="BB1099" s="161"/>
      <c r="BC1099" s="161"/>
      <c r="BD1099" s="161"/>
      <c r="BE1099" s="161"/>
      <c r="BF1099" s="161"/>
      <c r="BG1099" s="161"/>
      <c r="BH1099" s="161"/>
      <c r="BI1099" s="161"/>
      <c r="BJ1099" s="161"/>
      <c r="BK1099" s="161"/>
      <c r="BL1099" s="161"/>
      <c r="BM1099" s="161"/>
      <c r="BN1099" s="161"/>
      <c r="BO1099" s="161"/>
      <c r="BP1099" s="161"/>
      <c r="BQ1099" s="161"/>
      <c r="BR1099" s="161"/>
      <c r="BS1099" s="161"/>
      <c r="BT1099" s="161"/>
      <c r="BU1099" s="161"/>
      <c r="BV1099" s="161"/>
      <c r="BW1099" s="161"/>
      <c r="BX1099" s="161"/>
    </row>
    <row r="1100">
      <c r="A1100" s="161"/>
      <c r="B1100" s="161"/>
      <c r="C1100" s="161"/>
      <c r="D1100" s="161"/>
      <c r="E1100" s="161"/>
      <c r="F1100" s="161"/>
      <c r="G1100" s="161"/>
      <c r="H1100" s="161"/>
      <c r="I1100" s="161"/>
      <c r="J1100" s="161"/>
      <c r="K1100" s="161"/>
      <c r="L1100" s="161"/>
      <c r="M1100" s="161"/>
      <c r="N1100" s="161"/>
      <c r="O1100" s="161"/>
      <c r="P1100" s="161"/>
      <c r="Q1100" s="161"/>
      <c r="R1100" s="161"/>
      <c r="S1100" s="161"/>
      <c r="T1100" s="161"/>
      <c r="U1100" s="161"/>
      <c r="V1100" s="161"/>
      <c r="W1100" s="161"/>
      <c r="X1100" s="161"/>
      <c r="Y1100" s="161"/>
      <c r="Z1100" s="161"/>
      <c r="AA1100" s="161"/>
      <c r="AB1100" s="161"/>
      <c r="AC1100" s="161"/>
      <c r="AD1100" s="161"/>
      <c r="AE1100" s="161"/>
      <c r="AF1100" s="161"/>
      <c r="AG1100" s="161"/>
      <c r="AH1100" s="161"/>
      <c r="AI1100" s="161"/>
      <c r="AJ1100" s="161"/>
      <c r="AK1100" s="161"/>
      <c r="AL1100" s="161"/>
      <c r="AM1100" s="161"/>
      <c r="AN1100" s="161"/>
      <c r="AO1100" s="161"/>
      <c r="AP1100" s="161"/>
      <c r="AQ1100" s="161"/>
      <c r="AR1100" s="161"/>
      <c r="AS1100" s="161"/>
      <c r="AT1100" s="161"/>
      <c r="AU1100" s="161"/>
      <c r="AV1100" s="161"/>
      <c r="AW1100" s="161"/>
      <c r="AX1100" s="161"/>
      <c r="AY1100" s="161"/>
      <c r="AZ1100" s="161"/>
      <c r="BA1100" s="161"/>
      <c r="BB1100" s="161"/>
      <c r="BC1100" s="161"/>
      <c r="BD1100" s="161"/>
      <c r="BE1100" s="161"/>
      <c r="BF1100" s="161"/>
      <c r="BG1100" s="161"/>
      <c r="BH1100" s="161"/>
      <c r="BI1100" s="161"/>
      <c r="BJ1100" s="161"/>
      <c r="BK1100" s="161"/>
      <c r="BL1100" s="161"/>
      <c r="BM1100" s="161"/>
      <c r="BN1100" s="161"/>
      <c r="BO1100" s="161"/>
      <c r="BP1100" s="161"/>
      <c r="BQ1100" s="161"/>
      <c r="BR1100" s="161"/>
      <c r="BS1100" s="161"/>
      <c r="BT1100" s="161"/>
      <c r="BU1100" s="161"/>
      <c r="BV1100" s="161"/>
      <c r="BW1100" s="161"/>
      <c r="BX1100" s="161"/>
    </row>
    <row r="1101">
      <c r="A1101" s="161"/>
      <c r="B1101" s="161"/>
      <c r="C1101" s="161"/>
      <c r="D1101" s="161"/>
      <c r="E1101" s="161"/>
      <c r="F1101" s="161"/>
      <c r="G1101" s="161"/>
      <c r="H1101" s="161"/>
      <c r="I1101" s="161"/>
      <c r="J1101" s="161"/>
      <c r="K1101" s="161"/>
      <c r="L1101" s="161"/>
      <c r="M1101" s="161"/>
      <c r="N1101" s="161"/>
      <c r="O1101" s="161"/>
      <c r="P1101" s="161"/>
      <c r="Q1101" s="161"/>
      <c r="R1101" s="161"/>
      <c r="S1101" s="161"/>
      <c r="T1101" s="161"/>
      <c r="U1101" s="161"/>
      <c r="V1101" s="161"/>
      <c r="W1101" s="161"/>
      <c r="X1101" s="161"/>
      <c r="Y1101" s="161"/>
      <c r="Z1101" s="161"/>
      <c r="AA1101" s="161"/>
      <c r="AB1101" s="161"/>
      <c r="AC1101" s="161"/>
      <c r="AD1101" s="161"/>
      <c r="AE1101" s="161"/>
      <c r="AF1101" s="161"/>
      <c r="AG1101" s="161"/>
      <c r="AH1101" s="161"/>
      <c r="AI1101" s="161"/>
      <c r="AJ1101" s="161"/>
      <c r="AK1101" s="161"/>
      <c r="AL1101" s="161"/>
      <c r="AM1101" s="161"/>
      <c r="AN1101" s="161"/>
      <c r="AO1101" s="161"/>
      <c r="AP1101" s="161"/>
      <c r="AQ1101" s="161"/>
      <c r="AR1101" s="161"/>
      <c r="AS1101" s="161"/>
      <c r="AT1101" s="161"/>
      <c r="AU1101" s="161"/>
      <c r="AV1101" s="161"/>
      <c r="AW1101" s="161"/>
      <c r="AX1101" s="161"/>
      <c r="AY1101" s="161"/>
      <c r="AZ1101" s="161"/>
      <c r="BA1101" s="161"/>
      <c r="BB1101" s="161"/>
      <c r="BC1101" s="161"/>
      <c r="BD1101" s="161"/>
      <c r="BE1101" s="161"/>
      <c r="BF1101" s="161"/>
      <c r="BG1101" s="161"/>
      <c r="BH1101" s="161"/>
      <c r="BI1101" s="161"/>
      <c r="BJ1101" s="161"/>
      <c r="BK1101" s="161"/>
      <c r="BL1101" s="161"/>
      <c r="BM1101" s="161"/>
      <c r="BN1101" s="161"/>
      <c r="BO1101" s="161"/>
      <c r="BP1101" s="161"/>
      <c r="BQ1101" s="161"/>
      <c r="BR1101" s="161"/>
      <c r="BS1101" s="161"/>
      <c r="BT1101" s="161"/>
      <c r="BU1101" s="161"/>
      <c r="BV1101" s="161"/>
      <c r="BW1101" s="161"/>
      <c r="BX1101" s="161"/>
    </row>
    <row r="1102">
      <c r="A1102" s="161"/>
      <c r="B1102" s="161"/>
      <c r="C1102" s="161"/>
      <c r="D1102" s="161"/>
      <c r="E1102" s="161"/>
      <c r="F1102" s="161"/>
      <c r="G1102" s="161"/>
      <c r="H1102" s="161"/>
      <c r="I1102" s="161"/>
      <c r="J1102" s="161"/>
      <c r="K1102" s="161"/>
      <c r="L1102" s="161"/>
      <c r="M1102" s="161"/>
      <c r="N1102" s="161"/>
      <c r="O1102" s="161"/>
      <c r="P1102" s="161"/>
      <c r="Q1102" s="161"/>
      <c r="R1102" s="161"/>
      <c r="S1102" s="161"/>
      <c r="T1102" s="161"/>
      <c r="U1102" s="161"/>
      <c r="V1102" s="161"/>
      <c r="W1102" s="161"/>
      <c r="X1102" s="161"/>
      <c r="Y1102" s="161"/>
      <c r="Z1102" s="161"/>
      <c r="AA1102" s="161"/>
      <c r="AB1102" s="161"/>
      <c r="AC1102" s="161"/>
      <c r="AD1102" s="161"/>
      <c r="AE1102" s="161"/>
      <c r="AF1102" s="161"/>
      <c r="AG1102" s="161"/>
      <c r="AH1102" s="161"/>
      <c r="AI1102" s="161"/>
      <c r="AJ1102" s="161"/>
      <c r="AK1102" s="161"/>
      <c r="AL1102" s="161"/>
      <c r="AM1102" s="161"/>
      <c r="AN1102" s="161"/>
      <c r="AO1102" s="161"/>
      <c r="AP1102" s="161"/>
      <c r="AQ1102" s="161"/>
      <c r="AR1102" s="161"/>
      <c r="AS1102" s="161"/>
      <c r="AT1102" s="161"/>
      <c r="AU1102" s="161"/>
      <c r="AV1102" s="161"/>
      <c r="AW1102" s="161"/>
      <c r="AX1102" s="161"/>
      <c r="AY1102" s="161"/>
      <c r="AZ1102" s="161"/>
      <c r="BA1102" s="161"/>
      <c r="BB1102" s="161"/>
      <c r="BC1102" s="161"/>
      <c r="BD1102" s="161"/>
      <c r="BE1102" s="161"/>
      <c r="BF1102" s="161"/>
      <c r="BG1102" s="161"/>
      <c r="BH1102" s="161"/>
      <c r="BI1102" s="161"/>
      <c r="BJ1102" s="161"/>
      <c r="BK1102" s="161"/>
      <c r="BL1102" s="161"/>
      <c r="BM1102" s="161"/>
      <c r="BN1102" s="161"/>
      <c r="BO1102" s="161"/>
      <c r="BP1102" s="161"/>
      <c r="BQ1102" s="161"/>
      <c r="BR1102" s="161"/>
      <c r="BS1102" s="161"/>
      <c r="BT1102" s="161"/>
      <c r="BU1102" s="161"/>
      <c r="BV1102" s="161"/>
      <c r="BW1102" s="161"/>
      <c r="BX1102" s="161"/>
    </row>
    <row r="1103">
      <c r="A1103" s="161"/>
      <c r="B1103" s="161"/>
      <c r="C1103" s="161"/>
      <c r="D1103" s="161"/>
      <c r="E1103" s="161"/>
      <c r="F1103" s="161"/>
      <c r="G1103" s="161"/>
      <c r="H1103" s="161"/>
      <c r="I1103" s="161"/>
      <c r="J1103" s="161"/>
      <c r="K1103" s="161"/>
      <c r="L1103" s="161"/>
      <c r="M1103" s="161"/>
      <c r="N1103" s="161"/>
      <c r="O1103" s="161"/>
      <c r="P1103" s="161"/>
      <c r="Q1103" s="161"/>
      <c r="R1103" s="161"/>
      <c r="S1103" s="161"/>
      <c r="T1103" s="161"/>
      <c r="U1103" s="161"/>
      <c r="V1103" s="161"/>
      <c r="W1103" s="161"/>
      <c r="X1103" s="161"/>
      <c r="Y1103" s="161"/>
      <c r="Z1103" s="161"/>
      <c r="AA1103" s="161"/>
      <c r="AB1103" s="161"/>
      <c r="AC1103" s="161"/>
      <c r="AD1103" s="161"/>
      <c r="AE1103" s="161"/>
      <c r="AF1103" s="161"/>
      <c r="AG1103" s="161"/>
      <c r="AH1103" s="161"/>
      <c r="AI1103" s="161"/>
      <c r="AJ1103" s="161"/>
      <c r="AK1103" s="161"/>
      <c r="AL1103" s="161"/>
      <c r="AM1103" s="161"/>
      <c r="AN1103" s="161"/>
      <c r="AO1103" s="161"/>
      <c r="AP1103" s="161"/>
      <c r="AQ1103" s="161"/>
      <c r="AR1103" s="161"/>
      <c r="AS1103" s="161"/>
      <c r="AT1103" s="161"/>
      <c r="AU1103" s="161"/>
      <c r="AV1103" s="161"/>
      <c r="AW1103" s="161"/>
      <c r="AX1103" s="161"/>
      <c r="AY1103" s="161"/>
      <c r="AZ1103" s="161"/>
      <c r="BA1103" s="161"/>
      <c r="BB1103" s="161"/>
      <c r="BC1103" s="161"/>
      <c r="BD1103" s="161"/>
      <c r="BE1103" s="161"/>
      <c r="BF1103" s="161"/>
      <c r="BG1103" s="161"/>
      <c r="BH1103" s="161"/>
      <c r="BI1103" s="161"/>
      <c r="BJ1103" s="161"/>
      <c r="BK1103" s="161"/>
      <c r="BL1103" s="161"/>
      <c r="BM1103" s="161"/>
      <c r="BN1103" s="161"/>
      <c r="BO1103" s="161"/>
      <c r="BP1103" s="161"/>
      <c r="BQ1103" s="161"/>
      <c r="BR1103" s="161"/>
      <c r="BS1103" s="161"/>
      <c r="BT1103" s="161"/>
      <c r="BU1103" s="161"/>
      <c r="BV1103" s="161"/>
      <c r="BW1103" s="161"/>
      <c r="BX1103" s="161"/>
    </row>
    <row r="1104">
      <c r="A1104" s="161"/>
      <c r="B1104" s="161"/>
      <c r="C1104" s="161"/>
      <c r="D1104" s="161"/>
      <c r="E1104" s="161"/>
      <c r="F1104" s="161"/>
      <c r="G1104" s="161"/>
      <c r="H1104" s="161"/>
      <c r="I1104" s="161"/>
      <c r="J1104" s="161"/>
      <c r="K1104" s="161"/>
      <c r="L1104" s="161"/>
      <c r="M1104" s="161"/>
      <c r="N1104" s="161"/>
      <c r="O1104" s="161"/>
      <c r="P1104" s="161"/>
      <c r="Q1104" s="161"/>
      <c r="R1104" s="161"/>
      <c r="S1104" s="161"/>
      <c r="T1104" s="161"/>
      <c r="U1104" s="161"/>
      <c r="V1104" s="161"/>
      <c r="W1104" s="161"/>
      <c r="X1104" s="161"/>
      <c r="Y1104" s="161"/>
      <c r="Z1104" s="161"/>
      <c r="AA1104" s="161"/>
      <c r="AB1104" s="161"/>
      <c r="AC1104" s="161"/>
      <c r="AD1104" s="161"/>
      <c r="AE1104" s="161"/>
      <c r="AF1104" s="161"/>
      <c r="AG1104" s="161"/>
      <c r="AH1104" s="161"/>
      <c r="AI1104" s="161"/>
      <c r="AJ1104" s="161"/>
      <c r="AK1104" s="161"/>
      <c r="AL1104" s="161"/>
      <c r="AM1104" s="161"/>
      <c r="AN1104" s="161"/>
      <c r="AO1104" s="161"/>
      <c r="AP1104" s="161"/>
      <c r="AQ1104" s="161"/>
      <c r="AR1104" s="161"/>
      <c r="AS1104" s="161"/>
      <c r="AT1104" s="161"/>
      <c r="AU1104" s="161"/>
      <c r="AV1104" s="161"/>
      <c r="AW1104" s="161"/>
      <c r="AX1104" s="161"/>
      <c r="AY1104" s="161"/>
      <c r="AZ1104" s="161"/>
      <c r="BA1104" s="161"/>
      <c r="BB1104" s="161"/>
      <c r="BC1104" s="161"/>
      <c r="BD1104" s="161"/>
      <c r="BE1104" s="161"/>
      <c r="BF1104" s="161"/>
      <c r="BG1104" s="161"/>
      <c r="BH1104" s="161"/>
      <c r="BI1104" s="161"/>
      <c r="BJ1104" s="161"/>
      <c r="BK1104" s="161"/>
      <c r="BL1104" s="161"/>
      <c r="BM1104" s="161"/>
      <c r="BN1104" s="161"/>
      <c r="BO1104" s="161"/>
      <c r="BP1104" s="161"/>
      <c r="BQ1104" s="161"/>
      <c r="BR1104" s="161"/>
      <c r="BS1104" s="161"/>
      <c r="BT1104" s="161"/>
      <c r="BU1104" s="161"/>
      <c r="BV1104" s="161"/>
      <c r="BW1104" s="161"/>
      <c r="BX1104" s="161"/>
    </row>
    <row r="1105">
      <c r="A1105" s="161"/>
      <c r="B1105" s="161"/>
      <c r="C1105" s="161"/>
      <c r="D1105" s="161"/>
      <c r="E1105" s="161"/>
      <c r="F1105" s="161"/>
      <c r="G1105" s="161"/>
      <c r="H1105" s="161"/>
      <c r="I1105" s="161"/>
      <c r="J1105" s="161"/>
      <c r="K1105" s="161"/>
      <c r="L1105" s="161"/>
      <c r="M1105" s="161"/>
      <c r="N1105" s="161"/>
      <c r="O1105" s="161"/>
      <c r="P1105" s="161"/>
      <c r="Q1105" s="161"/>
      <c r="R1105" s="161"/>
      <c r="S1105" s="161"/>
      <c r="T1105" s="161"/>
      <c r="U1105" s="161"/>
      <c r="V1105" s="161"/>
      <c r="W1105" s="161"/>
      <c r="X1105" s="161"/>
      <c r="Y1105" s="161"/>
      <c r="Z1105" s="161"/>
      <c r="AA1105" s="161"/>
      <c r="AB1105" s="161"/>
      <c r="AC1105" s="161"/>
      <c r="AD1105" s="161"/>
      <c r="AE1105" s="161"/>
      <c r="AF1105" s="161"/>
      <c r="AG1105" s="161"/>
      <c r="AH1105" s="161"/>
      <c r="AI1105" s="161"/>
      <c r="AJ1105" s="161"/>
      <c r="AK1105" s="161"/>
      <c r="AL1105" s="161"/>
      <c r="AM1105" s="161"/>
      <c r="AN1105" s="161"/>
      <c r="AO1105" s="161"/>
      <c r="AP1105" s="161"/>
      <c r="AQ1105" s="161"/>
      <c r="AR1105" s="161"/>
      <c r="AS1105" s="161"/>
      <c r="AT1105" s="161"/>
      <c r="AU1105" s="161"/>
      <c r="AV1105" s="161"/>
      <c r="AW1105" s="161"/>
      <c r="AX1105" s="161"/>
      <c r="AY1105" s="161"/>
      <c r="AZ1105" s="161"/>
      <c r="BA1105" s="161"/>
      <c r="BB1105" s="161"/>
      <c r="BC1105" s="161"/>
      <c r="BD1105" s="161"/>
      <c r="BE1105" s="161"/>
      <c r="BF1105" s="161"/>
      <c r="BG1105" s="161"/>
      <c r="BH1105" s="161"/>
      <c r="BI1105" s="161"/>
      <c r="BJ1105" s="161"/>
      <c r="BK1105" s="161"/>
      <c r="BL1105" s="161"/>
      <c r="BM1105" s="161"/>
      <c r="BN1105" s="161"/>
      <c r="BO1105" s="161"/>
      <c r="BP1105" s="161"/>
      <c r="BQ1105" s="161"/>
      <c r="BR1105" s="161"/>
      <c r="BS1105" s="161"/>
      <c r="BT1105" s="161"/>
      <c r="BU1105" s="161"/>
      <c r="BV1105" s="161"/>
      <c r="BW1105" s="161"/>
      <c r="BX1105" s="161"/>
    </row>
    <row r="1106">
      <c r="A1106" s="161"/>
      <c r="B1106" s="161"/>
      <c r="C1106" s="161"/>
      <c r="D1106" s="161"/>
      <c r="E1106" s="161"/>
      <c r="F1106" s="161"/>
      <c r="G1106" s="161"/>
      <c r="H1106" s="161"/>
      <c r="I1106" s="161"/>
      <c r="J1106" s="161"/>
      <c r="K1106" s="161"/>
      <c r="L1106" s="161"/>
      <c r="M1106" s="161"/>
      <c r="N1106" s="161"/>
      <c r="O1106" s="161"/>
      <c r="P1106" s="161"/>
      <c r="Q1106" s="161"/>
      <c r="R1106" s="161"/>
      <c r="S1106" s="161"/>
      <c r="T1106" s="161"/>
      <c r="U1106" s="161"/>
      <c r="V1106" s="161"/>
      <c r="W1106" s="161"/>
      <c r="X1106" s="161"/>
      <c r="Y1106" s="161"/>
      <c r="Z1106" s="161"/>
      <c r="AA1106" s="161"/>
      <c r="AB1106" s="161"/>
      <c r="AC1106" s="161"/>
      <c r="AD1106" s="161"/>
      <c r="AE1106" s="161"/>
      <c r="AF1106" s="161"/>
      <c r="AG1106" s="161"/>
      <c r="AH1106" s="161"/>
      <c r="AI1106" s="161"/>
      <c r="AJ1106" s="161"/>
      <c r="AK1106" s="161"/>
      <c r="AL1106" s="161"/>
      <c r="AM1106" s="161"/>
      <c r="AN1106" s="161"/>
      <c r="AO1106" s="161"/>
      <c r="AP1106" s="161"/>
      <c r="AQ1106" s="161"/>
      <c r="AR1106" s="161"/>
      <c r="AS1106" s="161"/>
      <c r="AT1106" s="161"/>
      <c r="AU1106" s="161"/>
      <c r="AV1106" s="161"/>
      <c r="AW1106" s="161"/>
      <c r="AX1106" s="161"/>
      <c r="AY1106" s="161"/>
      <c r="AZ1106" s="161"/>
      <c r="BA1106" s="161"/>
      <c r="BB1106" s="161"/>
      <c r="BC1106" s="161"/>
      <c r="BD1106" s="161"/>
      <c r="BE1106" s="161"/>
      <c r="BF1106" s="161"/>
      <c r="BG1106" s="161"/>
      <c r="BH1106" s="161"/>
      <c r="BI1106" s="161"/>
      <c r="BJ1106" s="161"/>
      <c r="BK1106" s="161"/>
      <c r="BL1106" s="161"/>
      <c r="BM1106" s="161"/>
      <c r="BN1106" s="161"/>
      <c r="BO1106" s="161"/>
      <c r="BP1106" s="161"/>
      <c r="BQ1106" s="161"/>
      <c r="BR1106" s="161"/>
      <c r="BS1106" s="161"/>
      <c r="BT1106" s="161"/>
      <c r="BU1106" s="161"/>
      <c r="BV1106" s="161"/>
      <c r="BW1106" s="161"/>
      <c r="BX1106" s="161"/>
    </row>
    <row r="1107">
      <c r="A1107" s="161"/>
      <c r="B1107" s="161"/>
      <c r="C1107" s="161"/>
      <c r="D1107" s="161"/>
      <c r="E1107" s="161"/>
      <c r="F1107" s="161"/>
      <c r="G1107" s="161"/>
      <c r="H1107" s="161"/>
      <c r="I1107" s="161"/>
      <c r="J1107" s="161"/>
      <c r="K1107" s="161"/>
      <c r="L1107" s="161"/>
      <c r="M1107" s="161"/>
      <c r="N1107" s="161"/>
      <c r="O1107" s="161"/>
      <c r="P1107" s="161"/>
      <c r="Q1107" s="161"/>
      <c r="R1107" s="161"/>
      <c r="S1107" s="161"/>
      <c r="T1107" s="161"/>
      <c r="U1107" s="161"/>
      <c r="V1107" s="161"/>
      <c r="W1107" s="161"/>
      <c r="X1107" s="161"/>
      <c r="Y1107" s="161"/>
      <c r="Z1107" s="161"/>
      <c r="AA1107" s="161"/>
      <c r="AB1107" s="161"/>
      <c r="AC1107" s="161"/>
      <c r="AD1107" s="161"/>
      <c r="AE1107" s="161"/>
      <c r="AF1107" s="161"/>
      <c r="AG1107" s="161"/>
      <c r="AH1107" s="161"/>
      <c r="AI1107" s="161"/>
      <c r="AJ1107" s="161"/>
      <c r="AK1107" s="161"/>
      <c r="AL1107" s="161"/>
      <c r="AM1107" s="161"/>
      <c r="AN1107" s="161"/>
      <c r="AO1107" s="161"/>
      <c r="AP1107" s="161"/>
      <c r="AQ1107" s="161"/>
      <c r="AR1107" s="161"/>
      <c r="AS1107" s="161"/>
      <c r="AT1107" s="161"/>
      <c r="AU1107" s="161"/>
      <c r="AV1107" s="161"/>
      <c r="AW1107" s="161"/>
      <c r="AX1107" s="161"/>
      <c r="AY1107" s="161"/>
      <c r="AZ1107" s="161"/>
      <c r="BA1107" s="161"/>
      <c r="BB1107" s="161"/>
      <c r="BC1107" s="161"/>
      <c r="BD1107" s="161"/>
      <c r="BE1107" s="161"/>
      <c r="BF1107" s="161"/>
      <c r="BG1107" s="161"/>
      <c r="BH1107" s="161"/>
      <c r="BI1107" s="161"/>
      <c r="BJ1107" s="161"/>
      <c r="BK1107" s="161"/>
      <c r="BL1107" s="161"/>
      <c r="BM1107" s="161"/>
      <c r="BN1107" s="161"/>
      <c r="BO1107" s="161"/>
      <c r="BP1107" s="161"/>
      <c r="BQ1107" s="161"/>
      <c r="BR1107" s="161"/>
      <c r="BS1107" s="161"/>
      <c r="BT1107" s="161"/>
      <c r="BU1107" s="161"/>
      <c r="BV1107" s="161"/>
      <c r="BW1107" s="161"/>
      <c r="BX1107" s="161"/>
    </row>
    <row r="1108">
      <c r="A1108" s="161"/>
      <c r="B1108" s="161"/>
      <c r="C1108" s="161"/>
      <c r="D1108" s="161"/>
      <c r="E1108" s="161"/>
      <c r="F1108" s="161"/>
      <c r="G1108" s="161"/>
      <c r="H1108" s="161"/>
      <c r="I1108" s="161"/>
      <c r="J1108" s="161"/>
      <c r="K1108" s="161"/>
      <c r="L1108" s="161"/>
      <c r="M1108" s="161"/>
      <c r="N1108" s="161"/>
      <c r="O1108" s="161"/>
      <c r="P1108" s="161"/>
      <c r="Q1108" s="161"/>
      <c r="R1108" s="161"/>
      <c r="S1108" s="161"/>
      <c r="T1108" s="161"/>
      <c r="U1108" s="161"/>
      <c r="V1108" s="161"/>
      <c r="W1108" s="161"/>
      <c r="X1108" s="161"/>
      <c r="Y1108" s="161"/>
      <c r="Z1108" s="161"/>
      <c r="AA1108" s="161"/>
      <c r="AB1108" s="161"/>
      <c r="AC1108" s="161"/>
      <c r="AD1108" s="161"/>
      <c r="AE1108" s="161"/>
      <c r="AF1108" s="161"/>
      <c r="AG1108" s="161"/>
      <c r="AH1108" s="161"/>
      <c r="AI1108" s="161"/>
      <c r="AJ1108" s="161"/>
      <c r="AK1108" s="161"/>
      <c r="AL1108" s="161"/>
      <c r="AM1108" s="161"/>
      <c r="AN1108" s="161"/>
      <c r="AO1108" s="161"/>
      <c r="AP1108" s="161"/>
      <c r="AQ1108" s="161"/>
      <c r="AR1108" s="161"/>
      <c r="AS1108" s="161"/>
      <c r="AT1108" s="161"/>
      <c r="AU1108" s="161"/>
      <c r="AV1108" s="161"/>
      <c r="AW1108" s="161"/>
      <c r="AX1108" s="161"/>
      <c r="AY1108" s="161"/>
      <c r="AZ1108" s="161"/>
      <c r="BA1108" s="161"/>
      <c r="BB1108" s="161"/>
      <c r="BC1108" s="161"/>
      <c r="BD1108" s="161"/>
      <c r="BE1108" s="161"/>
      <c r="BF1108" s="161"/>
      <c r="BG1108" s="161"/>
      <c r="BH1108" s="161"/>
      <c r="BI1108" s="161"/>
      <c r="BJ1108" s="161"/>
      <c r="BK1108" s="161"/>
      <c r="BL1108" s="161"/>
      <c r="BM1108" s="161"/>
      <c r="BN1108" s="161"/>
      <c r="BO1108" s="161"/>
      <c r="BP1108" s="161"/>
      <c r="BQ1108" s="161"/>
      <c r="BR1108" s="161"/>
      <c r="BS1108" s="161"/>
      <c r="BT1108" s="161"/>
      <c r="BU1108" s="161"/>
      <c r="BV1108" s="161"/>
      <c r="BW1108" s="161"/>
      <c r="BX1108" s="161"/>
    </row>
    <row r="1109">
      <c r="A1109" s="161"/>
      <c r="B1109" s="161"/>
      <c r="C1109" s="161"/>
      <c r="D1109" s="161"/>
      <c r="E1109" s="161"/>
      <c r="F1109" s="161"/>
      <c r="G1109" s="161"/>
      <c r="H1109" s="161"/>
      <c r="I1109" s="161"/>
      <c r="J1109" s="161"/>
      <c r="K1109" s="161"/>
      <c r="L1109" s="161"/>
      <c r="M1109" s="161"/>
      <c r="N1109" s="161"/>
      <c r="O1109" s="161"/>
      <c r="P1109" s="161"/>
      <c r="Q1109" s="161"/>
      <c r="R1109" s="161"/>
      <c r="S1109" s="161"/>
      <c r="T1109" s="161"/>
      <c r="U1109" s="161"/>
      <c r="V1109" s="161"/>
      <c r="W1109" s="161"/>
      <c r="X1109" s="161"/>
      <c r="Y1109" s="161"/>
      <c r="Z1109" s="161"/>
      <c r="AA1109" s="161"/>
      <c r="AB1109" s="161"/>
      <c r="AC1109" s="161"/>
      <c r="AD1109" s="161"/>
      <c r="AE1109" s="161"/>
      <c r="AF1109" s="161"/>
      <c r="AG1109" s="161"/>
      <c r="AH1109" s="161"/>
      <c r="AI1109" s="161"/>
      <c r="AJ1109" s="161"/>
      <c r="AK1109" s="161"/>
      <c r="AL1109" s="161"/>
      <c r="AM1109" s="161"/>
      <c r="AN1109" s="161"/>
      <c r="AO1109" s="161"/>
      <c r="AP1109" s="161"/>
      <c r="AQ1109" s="161"/>
      <c r="AR1109" s="161"/>
      <c r="AS1109" s="161"/>
      <c r="AT1109" s="161"/>
      <c r="AU1109" s="161"/>
      <c r="AV1109" s="161"/>
      <c r="AW1109" s="161"/>
      <c r="AX1109" s="161"/>
      <c r="AY1109" s="161"/>
      <c r="AZ1109" s="161"/>
      <c r="BA1109" s="161"/>
      <c r="BB1109" s="161"/>
      <c r="BC1109" s="161"/>
      <c r="BD1109" s="161"/>
      <c r="BE1109" s="161"/>
      <c r="BF1109" s="161"/>
      <c r="BG1109" s="161"/>
      <c r="BH1109" s="161"/>
      <c r="BI1109" s="161"/>
      <c r="BJ1109" s="161"/>
      <c r="BK1109" s="161"/>
      <c r="BL1109" s="161"/>
      <c r="BM1109" s="161"/>
      <c r="BN1109" s="161"/>
      <c r="BO1109" s="161"/>
      <c r="BP1109" s="161"/>
      <c r="BQ1109" s="161"/>
      <c r="BR1109" s="161"/>
      <c r="BS1109" s="161"/>
      <c r="BT1109" s="161"/>
      <c r="BU1109" s="161"/>
      <c r="BV1109" s="161"/>
      <c r="BW1109" s="161"/>
      <c r="BX1109" s="161"/>
    </row>
    <row r="1110">
      <c r="A1110" s="161"/>
      <c r="B1110" s="161"/>
      <c r="C1110" s="161"/>
      <c r="D1110" s="161"/>
      <c r="E1110" s="161"/>
      <c r="F1110" s="161"/>
      <c r="G1110" s="161"/>
      <c r="H1110" s="161"/>
      <c r="I1110" s="161"/>
      <c r="J1110" s="161"/>
      <c r="K1110" s="161"/>
      <c r="L1110" s="161"/>
      <c r="M1110" s="161"/>
      <c r="N1110" s="161"/>
      <c r="O1110" s="161"/>
      <c r="P1110" s="161"/>
      <c r="Q1110" s="161"/>
      <c r="R1110" s="161"/>
      <c r="S1110" s="161"/>
      <c r="T1110" s="161"/>
      <c r="U1110" s="161"/>
      <c r="V1110" s="161"/>
      <c r="W1110" s="161"/>
      <c r="X1110" s="161"/>
      <c r="Y1110" s="161"/>
      <c r="Z1110" s="161"/>
      <c r="AA1110" s="161"/>
      <c r="AB1110" s="161"/>
      <c r="AC1110" s="161"/>
      <c r="AD1110" s="161"/>
      <c r="AE1110" s="161"/>
      <c r="AF1110" s="161"/>
      <c r="AG1110" s="161"/>
      <c r="AH1110" s="161"/>
      <c r="AI1110" s="161"/>
      <c r="AJ1110" s="161"/>
      <c r="AK1110" s="161"/>
      <c r="AL1110" s="161"/>
      <c r="AM1110" s="161"/>
      <c r="AN1110" s="161"/>
      <c r="AO1110" s="161"/>
      <c r="AP1110" s="161"/>
      <c r="AQ1110" s="161"/>
      <c r="AR1110" s="161"/>
      <c r="AS1110" s="161"/>
      <c r="AT1110" s="161"/>
      <c r="AU1110" s="161"/>
      <c r="AV1110" s="161"/>
      <c r="AW1110" s="161"/>
      <c r="AX1110" s="161"/>
      <c r="AY1110" s="161"/>
      <c r="AZ1110" s="161"/>
      <c r="BA1110" s="161"/>
      <c r="BB1110" s="161"/>
      <c r="BC1110" s="161"/>
      <c r="BD1110" s="161"/>
      <c r="BE1110" s="161"/>
      <c r="BF1110" s="161"/>
      <c r="BG1110" s="161"/>
      <c r="BH1110" s="161"/>
      <c r="BI1110" s="161"/>
      <c r="BJ1110" s="161"/>
      <c r="BK1110" s="161"/>
      <c r="BL1110" s="161"/>
      <c r="BM1110" s="161"/>
      <c r="BN1110" s="161"/>
      <c r="BO1110" s="161"/>
      <c r="BP1110" s="161"/>
      <c r="BQ1110" s="161"/>
      <c r="BR1110" s="161"/>
      <c r="BS1110" s="161"/>
      <c r="BT1110" s="161"/>
      <c r="BU1110" s="161"/>
      <c r="BV1110" s="161"/>
      <c r="BW1110" s="161"/>
      <c r="BX1110" s="161"/>
    </row>
    <row r="1111">
      <c r="A1111" s="161"/>
      <c r="B1111" s="161"/>
      <c r="C1111" s="161"/>
      <c r="D1111" s="161"/>
      <c r="E1111" s="161"/>
      <c r="F1111" s="161"/>
      <c r="G1111" s="161"/>
      <c r="H1111" s="161"/>
      <c r="I1111" s="161"/>
      <c r="J1111" s="161"/>
      <c r="K1111" s="161"/>
      <c r="L1111" s="161"/>
      <c r="M1111" s="161"/>
      <c r="N1111" s="161"/>
      <c r="O1111" s="161"/>
      <c r="P1111" s="161"/>
      <c r="Q1111" s="161"/>
      <c r="R1111" s="161"/>
      <c r="S1111" s="161"/>
      <c r="T1111" s="161"/>
      <c r="U1111" s="161"/>
      <c r="V1111" s="161"/>
      <c r="W1111" s="161"/>
      <c r="X1111" s="161"/>
      <c r="Y1111" s="161"/>
      <c r="Z1111" s="161"/>
      <c r="AA1111" s="161"/>
      <c r="AB1111" s="161"/>
      <c r="AC1111" s="161"/>
      <c r="AD1111" s="161"/>
      <c r="AE1111" s="161"/>
      <c r="AF1111" s="161"/>
      <c r="AG1111" s="161"/>
      <c r="AH1111" s="161"/>
      <c r="AI1111" s="161"/>
      <c r="AJ1111" s="161"/>
      <c r="AK1111" s="161"/>
      <c r="AL1111" s="161"/>
      <c r="AM1111" s="161"/>
      <c r="AN1111" s="161"/>
      <c r="AO1111" s="161"/>
      <c r="AP1111" s="161"/>
      <c r="AQ1111" s="161"/>
      <c r="AR1111" s="161"/>
      <c r="AS1111" s="161"/>
      <c r="AT1111" s="161"/>
      <c r="AU1111" s="161"/>
      <c r="AV1111" s="161"/>
      <c r="AW1111" s="161"/>
      <c r="AX1111" s="161"/>
      <c r="AY1111" s="161"/>
      <c r="AZ1111" s="161"/>
      <c r="BA1111" s="161"/>
      <c r="BB1111" s="161"/>
      <c r="BC1111" s="161"/>
      <c r="BD1111" s="161"/>
      <c r="BE1111" s="161"/>
      <c r="BF1111" s="161"/>
      <c r="BG1111" s="161"/>
      <c r="BH1111" s="161"/>
      <c r="BI1111" s="161"/>
      <c r="BJ1111" s="161"/>
      <c r="BK1111" s="161"/>
      <c r="BL1111" s="161"/>
      <c r="BM1111" s="161"/>
      <c r="BN1111" s="161"/>
      <c r="BO1111" s="161"/>
      <c r="BP1111" s="161"/>
      <c r="BQ1111" s="161"/>
      <c r="BR1111" s="161"/>
      <c r="BS1111" s="161"/>
      <c r="BT1111" s="161"/>
      <c r="BU1111" s="161"/>
      <c r="BV1111" s="161"/>
      <c r="BW1111" s="161"/>
      <c r="BX1111" s="161"/>
    </row>
    <row r="1112">
      <c r="A1112" s="161"/>
      <c r="B1112" s="161"/>
      <c r="C1112" s="161"/>
      <c r="D1112" s="161"/>
      <c r="E1112" s="161"/>
      <c r="F1112" s="161"/>
      <c r="G1112" s="161"/>
      <c r="H1112" s="161"/>
      <c r="I1112" s="161"/>
      <c r="J1112" s="161"/>
      <c r="K1112" s="161"/>
      <c r="L1112" s="161"/>
      <c r="M1112" s="161"/>
      <c r="N1112" s="161"/>
      <c r="O1112" s="161"/>
      <c r="P1112" s="161"/>
      <c r="Q1112" s="161"/>
      <c r="R1112" s="161"/>
      <c r="S1112" s="161"/>
      <c r="T1112" s="161"/>
      <c r="U1112" s="161"/>
      <c r="V1112" s="161"/>
      <c r="W1112" s="161"/>
      <c r="X1112" s="161"/>
      <c r="Y1112" s="161"/>
      <c r="Z1112" s="161"/>
      <c r="AA1112" s="161"/>
      <c r="AB1112" s="161"/>
      <c r="AC1112" s="161"/>
      <c r="AD1112" s="161"/>
      <c r="AE1112" s="161"/>
      <c r="AF1112" s="161"/>
      <c r="AG1112" s="161"/>
      <c r="AH1112" s="161"/>
      <c r="AI1112" s="161"/>
      <c r="AJ1112" s="161"/>
      <c r="AK1112" s="161"/>
      <c r="AL1112" s="161"/>
      <c r="AM1112" s="161"/>
      <c r="AN1112" s="161"/>
      <c r="AO1112" s="161"/>
      <c r="AP1112" s="161"/>
      <c r="AQ1112" s="161"/>
      <c r="AR1112" s="161"/>
      <c r="AS1112" s="161"/>
      <c r="AT1112" s="161"/>
      <c r="AU1112" s="161"/>
      <c r="AV1112" s="161"/>
      <c r="AW1112" s="161"/>
      <c r="AX1112" s="161"/>
      <c r="AY1112" s="161"/>
      <c r="AZ1112" s="161"/>
      <c r="BA1112" s="161"/>
      <c r="BB1112" s="161"/>
      <c r="BC1112" s="161"/>
      <c r="BD1112" s="161"/>
      <c r="BE1112" s="161"/>
      <c r="BF1112" s="161"/>
      <c r="BG1112" s="161"/>
      <c r="BH1112" s="161"/>
      <c r="BI1112" s="161"/>
      <c r="BJ1112" s="161"/>
      <c r="BK1112" s="161"/>
      <c r="BL1112" s="161"/>
      <c r="BM1112" s="161"/>
      <c r="BN1112" s="161"/>
      <c r="BO1112" s="161"/>
      <c r="BP1112" s="161"/>
      <c r="BQ1112" s="161"/>
      <c r="BR1112" s="161"/>
      <c r="BS1112" s="161"/>
      <c r="BT1112" s="161"/>
      <c r="BU1112" s="161"/>
      <c r="BV1112" s="161"/>
      <c r="BW1112" s="161"/>
      <c r="BX1112" s="161"/>
    </row>
    <row r="1113">
      <c r="A1113" s="161"/>
      <c r="B1113" s="161"/>
      <c r="C1113" s="161"/>
      <c r="D1113" s="161"/>
      <c r="E1113" s="161"/>
      <c r="F1113" s="161"/>
      <c r="G1113" s="161"/>
      <c r="H1113" s="161"/>
      <c r="I1113" s="161"/>
      <c r="J1113" s="161"/>
      <c r="K1113" s="161"/>
      <c r="L1113" s="161"/>
      <c r="M1113" s="161"/>
      <c r="N1113" s="161"/>
      <c r="O1113" s="161"/>
      <c r="P1113" s="161"/>
      <c r="Q1113" s="161"/>
      <c r="R1113" s="161"/>
      <c r="S1113" s="161"/>
      <c r="T1113" s="161"/>
      <c r="U1113" s="161"/>
      <c r="V1113" s="161"/>
      <c r="W1113" s="161"/>
      <c r="X1113" s="161"/>
      <c r="Y1113" s="161"/>
      <c r="Z1113" s="161"/>
      <c r="AA1113" s="161"/>
      <c r="AB1113" s="161"/>
      <c r="AC1113" s="161"/>
      <c r="AD1113" s="161"/>
      <c r="AE1113" s="161"/>
      <c r="AF1113" s="161"/>
      <c r="AG1113" s="161"/>
      <c r="AH1113" s="161"/>
      <c r="AI1113" s="161"/>
      <c r="AJ1113" s="161"/>
      <c r="AK1113" s="161"/>
      <c r="AL1113" s="161"/>
      <c r="AM1113" s="161"/>
      <c r="AN1113" s="161"/>
      <c r="AO1113" s="161"/>
      <c r="AP1113" s="161"/>
      <c r="AQ1113" s="161"/>
      <c r="AR1113" s="161"/>
      <c r="AS1113" s="161"/>
      <c r="AT1113" s="161"/>
      <c r="AU1113" s="161"/>
      <c r="AV1113" s="161"/>
      <c r="AW1113" s="161"/>
      <c r="AX1113" s="161"/>
      <c r="AY1113" s="161"/>
      <c r="AZ1113" s="161"/>
      <c r="BA1113" s="161"/>
      <c r="BB1113" s="161"/>
      <c r="BC1113" s="161"/>
      <c r="BD1113" s="161"/>
      <c r="BE1113" s="161"/>
      <c r="BF1113" s="161"/>
      <c r="BG1113" s="161"/>
      <c r="BH1113" s="161"/>
      <c r="BI1113" s="161"/>
      <c r="BJ1113" s="161"/>
      <c r="BK1113" s="161"/>
      <c r="BL1113" s="161"/>
      <c r="BM1113" s="161"/>
      <c r="BN1113" s="161"/>
      <c r="BO1113" s="161"/>
      <c r="BP1113" s="161"/>
      <c r="BQ1113" s="161"/>
      <c r="BR1113" s="161"/>
      <c r="BS1113" s="161"/>
      <c r="BT1113" s="161"/>
      <c r="BU1113" s="161"/>
      <c r="BV1113" s="161"/>
      <c r="BW1113" s="161"/>
      <c r="BX1113" s="161"/>
    </row>
    <row r="1114">
      <c r="A1114" s="161"/>
      <c r="B1114" s="161"/>
      <c r="C1114" s="161"/>
      <c r="D1114" s="161"/>
      <c r="E1114" s="161"/>
      <c r="F1114" s="161"/>
      <c r="G1114" s="161"/>
      <c r="H1114" s="161"/>
      <c r="I1114" s="161"/>
      <c r="J1114" s="161"/>
      <c r="K1114" s="161"/>
      <c r="L1114" s="161"/>
      <c r="M1114" s="161"/>
      <c r="N1114" s="161"/>
      <c r="O1114" s="161"/>
      <c r="P1114" s="161"/>
      <c r="Q1114" s="161"/>
      <c r="R1114" s="161"/>
      <c r="S1114" s="161"/>
      <c r="T1114" s="161"/>
      <c r="U1114" s="161"/>
      <c r="V1114" s="161"/>
      <c r="W1114" s="161"/>
      <c r="X1114" s="161"/>
      <c r="Y1114" s="161"/>
      <c r="Z1114" s="161"/>
      <c r="AA1114" s="161"/>
      <c r="AB1114" s="161"/>
      <c r="AC1114" s="161"/>
      <c r="AD1114" s="161"/>
      <c r="AE1114" s="161"/>
      <c r="AF1114" s="161"/>
      <c r="AG1114" s="161"/>
      <c r="AH1114" s="161"/>
      <c r="AI1114" s="161"/>
      <c r="AJ1114" s="161"/>
      <c r="AK1114" s="161"/>
      <c r="AL1114" s="161"/>
      <c r="AM1114" s="161"/>
      <c r="AN1114" s="161"/>
      <c r="AO1114" s="161"/>
      <c r="AP1114" s="161"/>
      <c r="AQ1114" s="161"/>
      <c r="AR1114" s="161"/>
      <c r="AS1114" s="161"/>
      <c r="AT1114" s="161"/>
      <c r="AU1114" s="161"/>
      <c r="AV1114" s="161"/>
      <c r="AW1114" s="161"/>
      <c r="AX1114" s="161"/>
      <c r="AY1114" s="161"/>
      <c r="AZ1114" s="161"/>
      <c r="BA1114" s="161"/>
      <c r="BB1114" s="161"/>
      <c r="BC1114" s="161"/>
      <c r="BD1114" s="161"/>
      <c r="BE1114" s="161"/>
      <c r="BF1114" s="161"/>
      <c r="BG1114" s="161"/>
      <c r="BH1114" s="161"/>
      <c r="BI1114" s="161"/>
      <c r="BJ1114" s="161"/>
      <c r="BK1114" s="161"/>
      <c r="BL1114" s="161"/>
      <c r="BM1114" s="161"/>
      <c r="BN1114" s="161"/>
      <c r="BO1114" s="161"/>
      <c r="BP1114" s="161"/>
      <c r="BQ1114" s="161"/>
      <c r="BR1114" s="161"/>
      <c r="BS1114" s="161"/>
      <c r="BT1114" s="161"/>
      <c r="BU1114" s="161"/>
      <c r="BV1114" s="161"/>
      <c r="BW1114" s="161"/>
      <c r="BX1114" s="161"/>
    </row>
    <row r="1115">
      <c r="A1115" s="161"/>
      <c r="B1115" s="161"/>
      <c r="C1115" s="161"/>
      <c r="D1115" s="161"/>
      <c r="E1115" s="161"/>
      <c r="F1115" s="161"/>
      <c r="G1115" s="161"/>
      <c r="H1115" s="161"/>
      <c r="I1115" s="161"/>
      <c r="J1115" s="161"/>
      <c r="K1115" s="161"/>
      <c r="L1115" s="161"/>
      <c r="M1115" s="161"/>
      <c r="N1115" s="161"/>
      <c r="O1115" s="161"/>
      <c r="P1115" s="161"/>
      <c r="Q1115" s="161"/>
      <c r="R1115" s="161"/>
      <c r="S1115" s="161"/>
      <c r="T1115" s="161"/>
      <c r="U1115" s="161"/>
      <c r="V1115" s="161"/>
      <c r="W1115" s="161"/>
      <c r="X1115" s="161"/>
      <c r="Y1115" s="161"/>
      <c r="Z1115" s="161"/>
      <c r="AA1115" s="161"/>
      <c r="AB1115" s="161"/>
      <c r="AC1115" s="161"/>
      <c r="AD1115" s="161"/>
      <c r="AE1115" s="161"/>
      <c r="AF1115" s="161"/>
      <c r="AG1115" s="161"/>
      <c r="AH1115" s="161"/>
      <c r="AI1115" s="161"/>
      <c r="AJ1115" s="161"/>
      <c r="AK1115" s="161"/>
      <c r="AL1115" s="161"/>
      <c r="AM1115" s="161"/>
      <c r="AN1115" s="161"/>
      <c r="AO1115" s="161"/>
      <c r="AP1115" s="161"/>
      <c r="AQ1115" s="161"/>
      <c r="AR1115" s="161"/>
      <c r="AS1115" s="161"/>
      <c r="AT1115" s="161"/>
      <c r="AU1115" s="161"/>
      <c r="AV1115" s="161"/>
      <c r="AW1115" s="161"/>
      <c r="AX1115" s="161"/>
      <c r="AY1115" s="161"/>
      <c r="AZ1115" s="161"/>
      <c r="BA1115" s="161"/>
      <c r="BB1115" s="161"/>
      <c r="BC1115" s="161"/>
      <c r="BD1115" s="161"/>
      <c r="BE1115" s="161"/>
      <c r="BF1115" s="161"/>
      <c r="BG1115" s="161"/>
      <c r="BH1115" s="161"/>
      <c r="BI1115" s="161"/>
      <c r="BJ1115" s="161"/>
      <c r="BK1115" s="161"/>
      <c r="BL1115" s="161"/>
      <c r="BM1115" s="161"/>
      <c r="BN1115" s="161"/>
      <c r="BO1115" s="161"/>
      <c r="BP1115" s="161"/>
      <c r="BQ1115" s="161"/>
      <c r="BR1115" s="161"/>
      <c r="BS1115" s="161"/>
      <c r="BT1115" s="161"/>
      <c r="BU1115" s="161"/>
      <c r="BV1115" s="161"/>
      <c r="BW1115" s="161"/>
      <c r="BX1115" s="161"/>
    </row>
    <row r="1116">
      <c r="A1116" s="161"/>
      <c r="B1116" s="161"/>
      <c r="C1116" s="161"/>
      <c r="D1116" s="161"/>
      <c r="E1116" s="161"/>
      <c r="F1116" s="161"/>
      <c r="G1116" s="161"/>
      <c r="H1116" s="161"/>
      <c r="I1116" s="161"/>
      <c r="J1116" s="161"/>
      <c r="K1116" s="161"/>
      <c r="L1116" s="161"/>
      <c r="M1116" s="161"/>
      <c r="N1116" s="161"/>
      <c r="O1116" s="161"/>
      <c r="P1116" s="161"/>
      <c r="Q1116" s="161"/>
      <c r="R1116" s="161"/>
      <c r="S1116" s="161"/>
      <c r="T1116" s="161"/>
      <c r="U1116" s="161"/>
      <c r="V1116" s="161"/>
      <c r="W1116" s="161"/>
      <c r="X1116" s="161"/>
      <c r="Y1116" s="161"/>
      <c r="Z1116" s="161"/>
      <c r="AA1116" s="161"/>
      <c r="AB1116" s="161"/>
      <c r="AC1116" s="161"/>
      <c r="AD1116" s="161"/>
      <c r="AE1116" s="161"/>
      <c r="AF1116" s="161"/>
      <c r="AG1116" s="161"/>
      <c r="AH1116" s="161"/>
      <c r="AI1116" s="161"/>
      <c r="AJ1116" s="161"/>
      <c r="AK1116" s="161"/>
      <c r="AL1116" s="161"/>
      <c r="AM1116" s="161"/>
      <c r="AN1116" s="161"/>
      <c r="AO1116" s="161"/>
      <c r="AP1116" s="161"/>
      <c r="AQ1116" s="161"/>
      <c r="AR1116" s="161"/>
      <c r="AS1116" s="161"/>
      <c r="AT1116" s="161"/>
      <c r="AU1116" s="161"/>
      <c r="AV1116" s="161"/>
      <c r="AW1116" s="161"/>
      <c r="AX1116" s="161"/>
      <c r="AY1116" s="161"/>
      <c r="AZ1116" s="161"/>
      <c r="BA1116" s="161"/>
      <c r="BB1116" s="161"/>
      <c r="BC1116" s="161"/>
      <c r="BD1116" s="161"/>
      <c r="BE1116" s="161"/>
      <c r="BF1116" s="161"/>
      <c r="BG1116" s="161"/>
      <c r="BH1116" s="161"/>
      <c r="BI1116" s="161"/>
      <c r="BJ1116" s="161"/>
      <c r="BK1116" s="161"/>
      <c r="BL1116" s="161"/>
      <c r="BM1116" s="161"/>
      <c r="BN1116" s="161"/>
      <c r="BO1116" s="161"/>
      <c r="BP1116" s="161"/>
      <c r="BQ1116" s="161"/>
      <c r="BR1116" s="161"/>
      <c r="BS1116" s="161"/>
      <c r="BT1116" s="161"/>
      <c r="BU1116" s="161"/>
      <c r="BV1116" s="161"/>
      <c r="BW1116" s="161"/>
      <c r="BX1116" s="161"/>
    </row>
    <row r="1117">
      <c r="A1117" s="161"/>
      <c r="B1117" s="161"/>
      <c r="C1117" s="161"/>
      <c r="D1117" s="161"/>
      <c r="E1117" s="161"/>
      <c r="F1117" s="161"/>
      <c r="G1117" s="161"/>
      <c r="H1117" s="161"/>
      <c r="I1117" s="161"/>
      <c r="J1117" s="161"/>
      <c r="K1117" s="161"/>
      <c r="L1117" s="161"/>
      <c r="M1117" s="161"/>
      <c r="N1117" s="161"/>
      <c r="O1117" s="161"/>
      <c r="P1117" s="161"/>
      <c r="Q1117" s="161"/>
      <c r="R1117" s="161"/>
      <c r="S1117" s="161"/>
      <c r="T1117" s="161"/>
      <c r="U1117" s="161"/>
      <c r="V1117" s="161"/>
      <c r="W1117" s="161"/>
      <c r="X1117" s="161"/>
      <c r="Y1117" s="161"/>
      <c r="Z1117" s="161"/>
      <c r="AA1117" s="161"/>
      <c r="AB1117" s="161"/>
      <c r="AC1117" s="161"/>
      <c r="AD1117" s="161"/>
      <c r="AE1117" s="161"/>
      <c r="AF1117" s="161"/>
      <c r="AG1117" s="161"/>
      <c r="AH1117" s="161"/>
      <c r="AI1117" s="161"/>
      <c r="AJ1117" s="161"/>
      <c r="AK1117" s="161"/>
      <c r="AL1117" s="161"/>
      <c r="AM1117" s="161"/>
      <c r="AN1117" s="161"/>
      <c r="AO1117" s="161"/>
      <c r="AP1117" s="161"/>
      <c r="AQ1117" s="161"/>
      <c r="AR1117" s="161"/>
      <c r="AS1117" s="161"/>
      <c r="AT1117" s="161"/>
      <c r="AU1117" s="161"/>
      <c r="AV1117" s="161"/>
      <c r="AW1117" s="161"/>
      <c r="AX1117" s="161"/>
      <c r="AY1117" s="161"/>
      <c r="AZ1117" s="161"/>
      <c r="BA1117" s="161"/>
      <c r="BB1117" s="161"/>
      <c r="BC1117" s="161"/>
      <c r="BD1117" s="161"/>
      <c r="BE1117" s="161"/>
      <c r="BF1117" s="161"/>
      <c r="BG1117" s="161"/>
      <c r="BH1117" s="161"/>
      <c r="BI1117" s="161"/>
      <c r="BJ1117" s="161"/>
      <c r="BK1117" s="161"/>
      <c r="BL1117" s="161"/>
      <c r="BM1117" s="161"/>
      <c r="BN1117" s="161"/>
      <c r="BO1117" s="161"/>
      <c r="BP1117" s="161"/>
      <c r="BQ1117" s="161"/>
      <c r="BR1117" s="161"/>
      <c r="BS1117" s="161"/>
      <c r="BT1117" s="161"/>
      <c r="BU1117" s="161"/>
      <c r="BV1117" s="161"/>
      <c r="BW1117" s="161"/>
      <c r="BX1117" s="161"/>
    </row>
    <row r="1118">
      <c r="A1118" s="161"/>
      <c r="B1118" s="161"/>
      <c r="C1118" s="161"/>
      <c r="D1118" s="161"/>
      <c r="E1118" s="161"/>
      <c r="F1118" s="161"/>
      <c r="G1118" s="161"/>
      <c r="H1118" s="161"/>
      <c r="I1118" s="161"/>
      <c r="J1118" s="161"/>
      <c r="K1118" s="161"/>
      <c r="L1118" s="161"/>
      <c r="M1118" s="161"/>
      <c r="N1118" s="161"/>
      <c r="O1118" s="161"/>
      <c r="P1118" s="161"/>
      <c r="Q1118" s="161"/>
      <c r="R1118" s="161"/>
      <c r="S1118" s="161"/>
      <c r="T1118" s="161"/>
      <c r="U1118" s="161"/>
      <c r="V1118" s="161"/>
      <c r="W1118" s="161"/>
      <c r="X1118" s="161"/>
      <c r="Y1118" s="161"/>
      <c r="Z1118" s="161"/>
      <c r="AA1118" s="161"/>
      <c r="AB1118" s="161"/>
      <c r="AC1118" s="161"/>
      <c r="AD1118" s="161"/>
      <c r="AE1118" s="161"/>
      <c r="AF1118" s="161"/>
      <c r="AG1118" s="161"/>
      <c r="AH1118" s="161"/>
      <c r="AI1118" s="161"/>
      <c r="AJ1118" s="161"/>
      <c r="AK1118" s="161"/>
      <c r="AL1118" s="161"/>
      <c r="AM1118" s="161"/>
      <c r="AN1118" s="161"/>
      <c r="AO1118" s="161"/>
      <c r="AP1118" s="161"/>
      <c r="AQ1118" s="161"/>
      <c r="AR1118" s="161"/>
      <c r="AS1118" s="161"/>
      <c r="AT1118" s="161"/>
      <c r="AU1118" s="161"/>
      <c r="AV1118" s="161"/>
      <c r="AW1118" s="161"/>
      <c r="AX1118" s="161"/>
      <c r="AY1118" s="161"/>
      <c r="AZ1118" s="161"/>
      <c r="BA1118" s="161"/>
      <c r="BB1118" s="161"/>
      <c r="BC1118" s="161"/>
      <c r="BD1118" s="161"/>
      <c r="BE1118" s="161"/>
      <c r="BF1118" s="161"/>
      <c r="BG1118" s="161"/>
      <c r="BH1118" s="161"/>
      <c r="BI1118" s="161"/>
      <c r="BJ1118" s="161"/>
      <c r="BK1118" s="161"/>
      <c r="BL1118" s="161"/>
      <c r="BM1118" s="161"/>
      <c r="BN1118" s="161"/>
      <c r="BO1118" s="161"/>
      <c r="BP1118" s="161"/>
      <c r="BQ1118" s="161"/>
      <c r="BR1118" s="161"/>
      <c r="BS1118" s="161"/>
      <c r="BT1118" s="161"/>
      <c r="BU1118" s="161"/>
      <c r="BV1118" s="161"/>
      <c r="BW1118" s="161"/>
      <c r="BX1118" s="161"/>
    </row>
    <row r="1119">
      <c r="A1119" s="161"/>
      <c r="B1119" s="161"/>
      <c r="C1119" s="161"/>
      <c r="D1119" s="161"/>
      <c r="E1119" s="161"/>
      <c r="F1119" s="161"/>
      <c r="G1119" s="161"/>
      <c r="H1119" s="161"/>
      <c r="I1119" s="161"/>
      <c r="J1119" s="161"/>
      <c r="K1119" s="161"/>
      <c r="L1119" s="161"/>
      <c r="M1119" s="161"/>
      <c r="N1119" s="161"/>
      <c r="O1119" s="161"/>
      <c r="P1119" s="161"/>
      <c r="Q1119" s="161"/>
      <c r="R1119" s="161"/>
      <c r="S1119" s="161"/>
      <c r="T1119" s="161"/>
      <c r="U1119" s="161"/>
      <c r="V1119" s="161"/>
      <c r="W1119" s="161"/>
      <c r="X1119" s="161"/>
      <c r="Y1119" s="161"/>
      <c r="Z1119" s="161"/>
      <c r="AA1119" s="161"/>
      <c r="AB1119" s="161"/>
      <c r="AC1119" s="161"/>
      <c r="AD1119" s="161"/>
      <c r="AE1119" s="161"/>
      <c r="AF1119" s="161"/>
      <c r="AG1119" s="161"/>
      <c r="AH1119" s="161"/>
      <c r="AI1119" s="161"/>
      <c r="AJ1119" s="161"/>
      <c r="AK1119" s="161"/>
      <c r="AL1119" s="161"/>
      <c r="AM1119" s="161"/>
      <c r="AN1119" s="161"/>
      <c r="AO1119" s="161"/>
      <c r="AP1119" s="161"/>
      <c r="AQ1119" s="161"/>
      <c r="AR1119" s="161"/>
      <c r="AS1119" s="161"/>
      <c r="AT1119" s="161"/>
      <c r="AU1119" s="161"/>
      <c r="AV1119" s="161"/>
      <c r="AW1119" s="161"/>
      <c r="AX1119" s="161"/>
      <c r="AY1119" s="161"/>
      <c r="AZ1119" s="161"/>
      <c r="BA1119" s="161"/>
      <c r="BB1119" s="161"/>
      <c r="BC1119" s="161"/>
      <c r="BD1119" s="161"/>
      <c r="BE1119" s="161"/>
      <c r="BF1119" s="161"/>
      <c r="BG1119" s="161"/>
      <c r="BH1119" s="161"/>
      <c r="BI1119" s="161"/>
      <c r="BJ1119" s="161"/>
      <c r="BK1119" s="161"/>
      <c r="BL1119" s="161"/>
      <c r="BM1119" s="161"/>
      <c r="BN1119" s="161"/>
      <c r="BO1119" s="161"/>
      <c r="BP1119" s="161"/>
      <c r="BQ1119" s="161"/>
      <c r="BR1119" s="161"/>
      <c r="BS1119" s="161"/>
      <c r="BT1119" s="161"/>
      <c r="BU1119" s="161"/>
      <c r="BV1119" s="161"/>
      <c r="BW1119" s="161"/>
      <c r="BX1119" s="161"/>
    </row>
    <row r="1120">
      <c r="A1120" s="161"/>
      <c r="B1120" s="161"/>
      <c r="C1120" s="161"/>
      <c r="D1120" s="161"/>
      <c r="E1120" s="161"/>
      <c r="F1120" s="161"/>
      <c r="G1120" s="161"/>
      <c r="H1120" s="161"/>
      <c r="I1120" s="161"/>
      <c r="J1120" s="161"/>
      <c r="K1120" s="161"/>
      <c r="L1120" s="161"/>
      <c r="M1120" s="161"/>
      <c r="N1120" s="161"/>
      <c r="O1120" s="161"/>
      <c r="P1120" s="161"/>
      <c r="Q1120" s="161"/>
      <c r="R1120" s="161"/>
      <c r="S1120" s="161"/>
      <c r="T1120" s="161"/>
      <c r="U1120" s="161"/>
      <c r="V1120" s="161"/>
      <c r="W1120" s="161"/>
      <c r="X1120" s="161"/>
      <c r="Y1120" s="161"/>
      <c r="Z1120" s="161"/>
      <c r="AA1120" s="161"/>
      <c r="AB1120" s="161"/>
      <c r="AC1120" s="161"/>
      <c r="AD1120" s="161"/>
      <c r="AE1120" s="161"/>
      <c r="AF1120" s="161"/>
      <c r="AG1120" s="161"/>
      <c r="AH1120" s="161"/>
      <c r="AI1120" s="161"/>
      <c r="AJ1120" s="161"/>
      <c r="AK1120" s="161"/>
      <c r="AL1120" s="161"/>
      <c r="AM1120" s="161"/>
      <c r="AN1120" s="161"/>
      <c r="AO1120" s="161"/>
      <c r="AP1120" s="161"/>
      <c r="AQ1120" s="161"/>
      <c r="AR1120" s="161"/>
      <c r="AS1120" s="161"/>
      <c r="AT1120" s="161"/>
      <c r="AU1120" s="161"/>
      <c r="AV1120" s="161"/>
      <c r="AW1120" s="161"/>
      <c r="AX1120" s="161"/>
      <c r="AY1120" s="161"/>
      <c r="AZ1120" s="161"/>
      <c r="BA1120" s="161"/>
      <c r="BB1120" s="161"/>
      <c r="BC1120" s="161"/>
      <c r="BD1120" s="161"/>
      <c r="BE1120" s="161"/>
      <c r="BF1120" s="161"/>
      <c r="BG1120" s="161"/>
      <c r="BH1120" s="161"/>
      <c r="BI1120" s="161"/>
      <c r="BJ1120" s="161"/>
      <c r="BK1120" s="161"/>
      <c r="BL1120" s="161"/>
      <c r="BM1120" s="161"/>
      <c r="BN1120" s="161"/>
      <c r="BO1120" s="161"/>
      <c r="BP1120" s="161"/>
      <c r="BQ1120" s="161"/>
      <c r="BR1120" s="161"/>
      <c r="BS1120" s="161"/>
      <c r="BT1120" s="161"/>
      <c r="BU1120" s="161"/>
      <c r="BV1120" s="161"/>
      <c r="BW1120" s="161"/>
      <c r="BX1120" s="161"/>
    </row>
    <row r="1121">
      <c r="A1121" s="161"/>
      <c r="B1121" s="161"/>
      <c r="C1121" s="161"/>
      <c r="D1121" s="161"/>
      <c r="E1121" s="161"/>
      <c r="F1121" s="161"/>
      <c r="G1121" s="161"/>
      <c r="H1121" s="161"/>
      <c r="I1121" s="161"/>
      <c r="J1121" s="161"/>
      <c r="K1121" s="161"/>
      <c r="L1121" s="161"/>
      <c r="M1121" s="161"/>
      <c r="N1121" s="161"/>
      <c r="O1121" s="161"/>
      <c r="P1121" s="161"/>
      <c r="Q1121" s="161"/>
      <c r="R1121" s="161"/>
      <c r="S1121" s="161"/>
      <c r="T1121" s="161"/>
      <c r="U1121" s="161"/>
      <c r="V1121" s="161"/>
      <c r="W1121" s="161"/>
      <c r="X1121" s="161"/>
      <c r="Y1121" s="161"/>
      <c r="Z1121" s="161"/>
      <c r="AA1121" s="161"/>
      <c r="AB1121" s="161"/>
      <c r="AC1121" s="161"/>
      <c r="AD1121" s="161"/>
      <c r="AE1121" s="161"/>
      <c r="AF1121" s="161"/>
      <c r="AG1121" s="161"/>
      <c r="AH1121" s="161"/>
      <c r="AI1121" s="161"/>
      <c r="AJ1121" s="161"/>
      <c r="AK1121" s="161"/>
      <c r="AL1121" s="161"/>
      <c r="AM1121" s="161"/>
      <c r="AN1121" s="161"/>
      <c r="AO1121" s="161"/>
      <c r="AP1121" s="161"/>
      <c r="AQ1121" s="161"/>
      <c r="AR1121" s="161"/>
      <c r="AS1121" s="161"/>
      <c r="AT1121" s="161"/>
      <c r="AU1121" s="161"/>
      <c r="AV1121" s="161"/>
      <c r="AW1121" s="161"/>
      <c r="AX1121" s="161"/>
      <c r="AY1121" s="161"/>
      <c r="AZ1121" s="161"/>
      <c r="BA1121" s="161"/>
      <c r="BB1121" s="161"/>
      <c r="BC1121" s="161"/>
      <c r="BD1121" s="161"/>
      <c r="BE1121" s="161"/>
      <c r="BF1121" s="161"/>
      <c r="BG1121" s="161"/>
      <c r="BH1121" s="161"/>
      <c r="BI1121" s="161"/>
      <c r="BJ1121" s="161"/>
      <c r="BK1121" s="161"/>
      <c r="BL1121" s="161"/>
      <c r="BM1121" s="161"/>
      <c r="BN1121" s="161"/>
      <c r="BO1121" s="161"/>
      <c r="BP1121" s="161"/>
      <c r="BQ1121" s="161"/>
      <c r="BR1121" s="161"/>
      <c r="BS1121" s="161"/>
      <c r="BT1121" s="161"/>
      <c r="BU1121" s="161"/>
      <c r="BV1121" s="161"/>
      <c r="BW1121" s="161"/>
      <c r="BX1121" s="161"/>
    </row>
    <row r="1122">
      <c r="A1122" s="161"/>
      <c r="B1122" s="161"/>
      <c r="C1122" s="161"/>
      <c r="D1122" s="161"/>
      <c r="E1122" s="161"/>
      <c r="F1122" s="161"/>
      <c r="G1122" s="161"/>
      <c r="H1122" s="161"/>
      <c r="I1122" s="161"/>
      <c r="J1122" s="161"/>
      <c r="K1122" s="161"/>
      <c r="L1122" s="161"/>
      <c r="M1122" s="161"/>
      <c r="N1122" s="161"/>
      <c r="O1122" s="161"/>
      <c r="P1122" s="161"/>
      <c r="Q1122" s="161"/>
      <c r="R1122" s="161"/>
      <c r="S1122" s="161"/>
      <c r="T1122" s="161"/>
      <c r="U1122" s="161"/>
      <c r="V1122" s="161"/>
      <c r="W1122" s="161"/>
      <c r="X1122" s="161"/>
      <c r="Y1122" s="161"/>
      <c r="Z1122" s="161"/>
      <c r="AA1122" s="161"/>
      <c r="AB1122" s="161"/>
      <c r="AC1122" s="161"/>
      <c r="AD1122" s="161"/>
      <c r="AE1122" s="161"/>
      <c r="AF1122" s="161"/>
      <c r="AG1122" s="161"/>
      <c r="AH1122" s="161"/>
      <c r="AI1122" s="161"/>
      <c r="AJ1122" s="161"/>
      <c r="AK1122" s="161"/>
      <c r="AL1122" s="161"/>
      <c r="AM1122" s="161"/>
      <c r="AN1122" s="161"/>
      <c r="AO1122" s="161"/>
      <c r="AP1122" s="161"/>
      <c r="AQ1122" s="161"/>
      <c r="AR1122" s="161"/>
      <c r="AS1122" s="161"/>
      <c r="AT1122" s="161"/>
      <c r="AU1122" s="161"/>
      <c r="AV1122" s="161"/>
      <c r="AW1122" s="161"/>
      <c r="AX1122" s="161"/>
      <c r="AY1122" s="161"/>
      <c r="AZ1122" s="161"/>
      <c r="BA1122" s="161"/>
      <c r="BB1122" s="161"/>
      <c r="BC1122" s="161"/>
      <c r="BD1122" s="161"/>
      <c r="BE1122" s="161"/>
      <c r="BF1122" s="161"/>
      <c r="BG1122" s="161"/>
      <c r="BH1122" s="161"/>
      <c r="BI1122" s="161"/>
      <c r="BJ1122" s="161"/>
      <c r="BK1122" s="161"/>
      <c r="BL1122" s="161"/>
      <c r="BM1122" s="161"/>
      <c r="BN1122" s="161"/>
      <c r="BO1122" s="161"/>
      <c r="BP1122" s="161"/>
      <c r="BQ1122" s="161"/>
      <c r="BR1122" s="161"/>
      <c r="BS1122" s="161"/>
      <c r="BT1122" s="161"/>
      <c r="BU1122" s="161"/>
      <c r="BV1122" s="161"/>
      <c r="BW1122" s="161"/>
      <c r="BX1122" s="161"/>
    </row>
    <row r="1123">
      <c r="A1123" s="161"/>
      <c r="B1123" s="161"/>
      <c r="C1123" s="161"/>
      <c r="D1123" s="161"/>
      <c r="E1123" s="161"/>
      <c r="F1123" s="161"/>
      <c r="G1123" s="161"/>
      <c r="H1123" s="161"/>
      <c r="I1123" s="161"/>
      <c r="J1123" s="161"/>
      <c r="K1123" s="161"/>
      <c r="L1123" s="161"/>
      <c r="M1123" s="161"/>
      <c r="N1123" s="161"/>
      <c r="O1123" s="161"/>
      <c r="P1123" s="161"/>
      <c r="Q1123" s="161"/>
      <c r="R1123" s="161"/>
      <c r="S1123" s="161"/>
      <c r="T1123" s="161"/>
      <c r="U1123" s="161"/>
      <c r="V1123" s="161"/>
      <c r="W1123" s="161"/>
      <c r="X1123" s="161"/>
      <c r="Y1123" s="161"/>
      <c r="Z1123" s="161"/>
      <c r="AA1123" s="161"/>
      <c r="AB1123" s="161"/>
      <c r="AC1123" s="161"/>
      <c r="AD1123" s="161"/>
      <c r="AE1123" s="161"/>
      <c r="AF1123" s="161"/>
      <c r="AG1123" s="161"/>
      <c r="AH1123" s="161"/>
      <c r="AI1123" s="161"/>
      <c r="AJ1123" s="161"/>
      <c r="AK1123" s="161"/>
      <c r="AL1123" s="161"/>
      <c r="AM1123" s="161"/>
      <c r="AN1123" s="161"/>
      <c r="AO1123" s="161"/>
      <c r="AP1123" s="161"/>
      <c r="AQ1123" s="161"/>
      <c r="AR1123" s="161"/>
      <c r="AS1123" s="161"/>
      <c r="AT1123" s="161"/>
      <c r="AU1123" s="161"/>
      <c r="AV1123" s="161"/>
      <c r="AW1123" s="161"/>
      <c r="AX1123" s="161"/>
      <c r="AY1123" s="161"/>
      <c r="AZ1123" s="161"/>
      <c r="BA1123" s="161"/>
      <c r="BB1123" s="161"/>
      <c r="BC1123" s="161"/>
      <c r="BD1123" s="161"/>
      <c r="BE1123" s="161"/>
      <c r="BF1123" s="161"/>
      <c r="BG1123" s="161"/>
      <c r="BH1123" s="161"/>
      <c r="BI1123" s="161"/>
      <c r="BJ1123" s="161"/>
      <c r="BK1123" s="161"/>
      <c r="BL1123" s="161"/>
      <c r="BM1123" s="161"/>
      <c r="BN1123" s="161"/>
      <c r="BO1123" s="161"/>
      <c r="BP1123" s="161"/>
      <c r="BQ1123" s="161"/>
      <c r="BR1123" s="161"/>
      <c r="BS1123" s="161"/>
      <c r="BT1123" s="161"/>
      <c r="BU1123" s="161"/>
      <c r="BV1123" s="161"/>
      <c r="BW1123" s="161"/>
      <c r="BX1123" s="161"/>
    </row>
    <row r="1124">
      <c r="A1124" s="161"/>
      <c r="B1124" s="161"/>
      <c r="C1124" s="161"/>
      <c r="D1124" s="161"/>
      <c r="E1124" s="161"/>
      <c r="F1124" s="161"/>
      <c r="G1124" s="161"/>
      <c r="H1124" s="161"/>
      <c r="I1124" s="161"/>
      <c r="J1124" s="161"/>
      <c r="K1124" s="161"/>
      <c r="L1124" s="161"/>
      <c r="M1124" s="161"/>
      <c r="N1124" s="161"/>
      <c r="O1124" s="161"/>
      <c r="P1124" s="161"/>
      <c r="Q1124" s="161"/>
      <c r="R1124" s="161"/>
      <c r="S1124" s="161"/>
      <c r="T1124" s="161"/>
      <c r="U1124" s="161"/>
      <c r="V1124" s="161"/>
      <c r="W1124" s="161"/>
      <c r="X1124" s="161"/>
      <c r="Y1124" s="161"/>
      <c r="Z1124" s="161"/>
      <c r="AA1124" s="161"/>
      <c r="AB1124" s="161"/>
      <c r="AC1124" s="161"/>
      <c r="AD1124" s="161"/>
      <c r="AE1124" s="161"/>
      <c r="AF1124" s="161"/>
      <c r="AG1124" s="161"/>
      <c r="AH1124" s="161"/>
      <c r="AI1124" s="161"/>
      <c r="AJ1124" s="161"/>
      <c r="AK1124" s="161"/>
      <c r="AL1124" s="161"/>
      <c r="AM1124" s="161"/>
      <c r="AN1124" s="161"/>
      <c r="AO1124" s="161"/>
      <c r="AP1124" s="161"/>
      <c r="AQ1124" s="161"/>
      <c r="AR1124" s="161"/>
      <c r="AS1124" s="161"/>
      <c r="AT1124" s="161"/>
      <c r="AU1124" s="161"/>
      <c r="AV1124" s="161"/>
      <c r="AW1124" s="161"/>
      <c r="AX1124" s="161"/>
      <c r="AY1124" s="161"/>
      <c r="AZ1124" s="161"/>
      <c r="BA1124" s="161"/>
      <c r="BB1124" s="161"/>
      <c r="BC1124" s="161"/>
      <c r="BD1124" s="161"/>
      <c r="BE1124" s="161"/>
      <c r="BF1124" s="161"/>
      <c r="BG1124" s="161"/>
      <c r="BH1124" s="161"/>
      <c r="BI1124" s="161"/>
      <c r="BJ1124" s="161"/>
      <c r="BK1124" s="161"/>
      <c r="BL1124" s="161"/>
      <c r="BM1124" s="161"/>
      <c r="BN1124" s="161"/>
      <c r="BO1124" s="161"/>
      <c r="BP1124" s="161"/>
      <c r="BQ1124" s="161"/>
      <c r="BR1124" s="161"/>
      <c r="BS1124" s="161"/>
      <c r="BT1124" s="161"/>
      <c r="BU1124" s="161"/>
      <c r="BV1124" s="161"/>
      <c r="BW1124" s="161"/>
      <c r="BX1124" s="161"/>
    </row>
    <row r="1125">
      <c r="A1125" s="161"/>
      <c r="B1125" s="161"/>
      <c r="C1125" s="161"/>
      <c r="D1125" s="161"/>
      <c r="E1125" s="161"/>
      <c r="F1125" s="161"/>
      <c r="G1125" s="161"/>
      <c r="H1125" s="161"/>
      <c r="I1125" s="161"/>
      <c r="J1125" s="161"/>
      <c r="K1125" s="161"/>
      <c r="L1125" s="161"/>
      <c r="M1125" s="161"/>
      <c r="N1125" s="161"/>
      <c r="O1125" s="161"/>
      <c r="P1125" s="161"/>
      <c r="Q1125" s="161"/>
      <c r="R1125" s="161"/>
      <c r="S1125" s="161"/>
      <c r="T1125" s="161"/>
      <c r="U1125" s="161"/>
      <c r="V1125" s="161"/>
      <c r="W1125" s="161"/>
      <c r="X1125" s="161"/>
      <c r="Y1125" s="161"/>
      <c r="Z1125" s="161"/>
      <c r="AA1125" s="161"/>
      <c r="AB1125" s="161"/>
      <c r="AC1125" s="161"/>
      <c r="AD1125" s="161"/>
      <c r="AE1125" s="161"/>
      <c r="AF1125" s="161"/>
      <c r="AG1125" s="161"/>
      <c r="AH1125" s="161"/>
      <c r="AI1125" s="161"/>
      <c r="AJ1125" s="161"/>
      <c r="AK1125" s="161"/>
      <c r="AL1125" s="161"/>
      <c r="AM1125" s="161"/>
      <c r="AN1125" s="161"/>
      <c r="AO1125" s="161"/>
      <c r="AP1125" s="161"/>
      <c r="AQ1125" s="161"/>
      <c r="AR1125" s="161"/>
      <c r="AS1125" s="161"/>
      <c r="AT1125" s="161"/>
      <c r="AU1125" s="161"/>
      <c r="AV1125" s="161"/>
      <c r="AW1125" s="161"/>
      <c r="AX1125" s="161"/>
      <c r="AY1125" s="161"/>
      <c r="AZ1125" s="161"/>
      <c r="BA1125" s="161"/>
      <c r="BB1125" s="161"/>
      <c r="BC1125" s="161"/>
      <c r="BD1125" s="161"/>
      <c r="BE1125" s="161"/>
      <c r="BF1125" s="161"/>
      <c r="BG1125" s="161"/>
      <c r="BH1125" s="161"/>
      <c r="BI1125" s="161"/>
      <c r="BJ1125" s="161"/>
      <c r="BK1125" s="161"/>
      <c r="BL1125" s="161"/>
      <c r="BM1125" s="161"/>
      <c r="BN1125" s="161"/>
      <c r="BO1125" s="161"/>
      <c r="BP1125" s="161"/>
      <c r="BQ1125" s="161"/>
      <c r="BR1125" s="161"/>
      <c r="BS1125" s="161"/>
      <c r="BT1125" s="161"/>
      <c r="BU1125" s="161"/>
      <c r="BV1125" s="161"/>
      <c r="BW1125" s="161"/>
      <c r="BX1125" s="161"/>
    </row>
    <row r="1126">
      <c r="A1126" s="161"/>
      <c r="B1126" s="161"/>
      <c r="C1126" s="161"/>
      <c r="D1126" s="161"/>
      <c r="E1126" s="161"/>
      <c r="F1126" s="161"/>
      <c r="G1126" s="161"/>
      <c r="H1126" s="161"/>
      <c r="I1126" s="161"/>
      <c r="J1126" s="161"/>
      <c r="K1126" s="161"/>
      <c r="L1126" s="161"/>
      <c r="M1126" s="161"/>
      <c r="N1126" s="161"/>
      <c r="O1126" s="161"/>
      <c r="P1126" s="161"/>
      <c r="Q1126" s="161"/>
      <c r="R1126" s="161"/>
      <c r="S1126" s="161"/>
      <c r="T1126" s="161"/>
      <c r="U1126" s="161"/>
      <c r="V1126" s="161"/>
      <c r="W1126" s="161"/>
      <c r="X1126" s="161"/>
      <c r="Y1126" s="161"/>
      <c r="Z1126" s="161"/>
      <c r="AA1126" s="161"/>
      <c r="AB1126" s="161"/>
      <c r="AC1126" s="161"/>
      <c r="AD1126" s="161"/>
      <c r="AE1126" s="161"/>
      <c r="AF1126" s="161"/>
      <c r="AG1126" s="161"/>
      <c r="AH1126" s="161"/>
      <c r="AI1126" s="161"/>
      <c r="AJ1126" s="161"/>
      <c r="AK1126" s="161"/>
      <c r="AL1126" s="161"/>
      <c r="AM1126" s="161"/>
      <c r="AN1126" s="161"/>
      <c r="AO1126" s="161"/>
      <c r="AP1126" s="161"/>
      <c r="AQ1126" s="161"/>
      <c r="AR1126" s="161"/>
      <c r="AS1126" s="161"/>
      <c r="AT1126" s="161"/>
      <c r="AU1126" s="161"/>
      <c r="AV1126" s="161"/>
      <c r="AW1126" s="161"/>
      <c r="AX1126" s="161"/>
      <c r="AY1126" s="161"/>
      <c r="AZ1126" s="161"/>
      <c r="BA1126" s="161"/>
      <c r="BB1126" s="161"/>
      <c r="BC1126" s="161"/>
      <c r="BD1126" s="161"/>
      <c r="BE1126" s="161"/>
      <c r="BF1126" s="161"/>
      <c r="BG1126" s="161"/>
      <c r="BH1126" s="161"/>
      <c r="BI1126" s="161"/>
      <c r="BJ1126" s="161"/>
      <c r="BK1126" s="161"/>
      <c r="BL1126" s="161"/>
      <c r="BM1126" s="161"/>
      <c r="BN1126" s="161"/>
      <c r="BO1126" s="161"/>
      <c r="BP1126" s="161"/>
      <c r="BQ1126" s="161"/>
      <c r="BR1126" s="161"/>
      <c r="BS1126" s="161"/>
      <c r="BT1126" s="161"/>
      <c r="BU1126" s="161"/>
      <c r="BV1126" s="161"/>
      <c r="BW1126" s="161"/>
      <c r="BX1126" s="161"/>
    </row>
    <row r="1127">
      <c r="A1127" s="161"/>
      <c r="B1127" s="161"/>
      <c r="C1127" s="161"/>
      <c r="D1127" s="161"/>
      <c r="E1127" s="161"/>
      <c r="F1127" s="161"/>
      <c r="G1127" s="161"/>
      <c r="H1127" s="161"/>
      <c r="I1127" s="161"/>
      <c r="J1127" s="161"/>
      <c r="K1127" s="161"/>
      <c r="L1127" s="161"/>
      <c r="M1127" s="161"/>
      <c r="N1127" s="161"/>
      <c r="O1127" s="161"/>
      <c r="P1127" s="161"/>
      <c r="Q1127" s="161"/>
      <c r="R1127" s="161"/>
      <c r="S1127" s="161"/>
      <c r="T1127" s="161"/>
      <c r="U1127" s="161"/>
      <c r="V1127" s="161"/>
      <c r="W1127" s="161"/>
      <c r="X1127" s="161"/>
      <c r="Y1127" s="161"/>
      <c r="Z1127" s="161"/>
      <c r="AA1127" s="161"/>
      <c r="AB1127" s="161"/>
      <c r="AC1127" s="161"/>
      <c r="AD1127" s="161"/>
      <c r="AE1127" s="161"/>
      <c r="AF1127" s="161"/>
      <c r="AG1127" s="161"/>
      <c r="AH1127" s="161"/>
      <c r="AI1127" s="161"/>
      <c r="AJ1127" s="161"/>
      <c r="AK1127" s="161"/>
      <c r="AL1127" s="161"/>
      <c r="AM1127" s="161"/>
      <c r="AN1127" s="161"/>
      <c r="AO1127" s="161"/>
      <c r="AP1127" s="161"/>
      <c r="AQ1127" s="161"/>
      <c r="AR1127" s="161"/>
      <c r="AS1127" s="161"/>
      <c r="AT1127" s="161"/>
      <c r="AU1127" s="161"/>
      <c r="AV1127" s="161"/>
      <c r="AW1127" s="161"/>
      <c r="AX1127" s="161"/>
      <c r="AY1127" s="161"/>
      <c r="AZ1127" s="161"/>
      <c r="BA1127" s="161"/>
      <c r="BB1127" s="161"/>
      <c r="BC1127" s="161"/>
      <c r="BD1127" s="161"/>
      <c r="BE1127" s="161"/>
      <c r="BF1127" s="161"/>
      <c r="BG1127" s="161"/>
      <c r="BH1127" s="161"/>
      <c r="BI1127" s="161"/>
      <c r="BJ1127" s="161"/>
      <c r="BK1127" s="161"/>
      <c r="BL1127" s="161"/>
      <c r="BM1127" s="161"/>
      <c r="BN1127" s="161"/>
      <c r="BO1127" s="161"/>
      <c r="BP1127" s="161"/>
      <c r="BQ1127" s="161"/>
      <c r="BR1127" s="161"/>
      <c r="BS1127" s="161"/>
      <c r="BT1127" s="161"/>
      <c r="BU1127" s="161"/>
      <c r="BV1127" s="161"/>
      <c r="BW1127" s="161"/>
      <c r="BX1127" s="161"/>
    </row>
  </sheetData>
  <mergeCells count="209">
    <mergeCell ref="B2:AF2"/>
    <mergeCell ref="AG2:AL2"/>
    <mergeCell ref="AM2:BB2"/>
    <mergeCell ref="BC2:BP2"/>
    <mergeCell ref="C3:F3"/>
    <mergeCell ref="H3:I3"/>
    <mergeCell ref="K3:N3"/>
    <mergeCell ref="O3:P3"/>
    <mergeCell ref="S3:U3"/>
    <mergeCell ref="D4:F4"/>
    <mergeCell ref="A6:A10"/>
    <mergeCell ref="B32:BP32"/>
    <mergeCell ref="B33:BP33"/>
    <mergeCell ref="B34:BP34"/>
    <mergeCell ref="V3:W3"/>
    <mergeCell ref="Y3:Z3"/>
    <mergeCell ref="AA3:AB3"/>
    <mergeCell ref="AD3:AE3"/>
    <mergeCell ref="AI3:AJ3"/>
    <mergeCell ref="AK3:AL3"/>
    <mergeCell ref="AO3:AP3"/>
    <mergeCell ref="AQ3:AR3"/>
    <mergeCell ref="AS3:AV3"/>
    <mergeCell ref="AY3:AZ3"/>
    <mergeCell ref="AT4:AV4"/>
    <mergeCell ref="AY4:AZ4"/>
    <mergeCell ref="BG3:BI3"/>
    <mergeCell ref="BL3:BN3"/>
    <mergeCell ref="BO4:BP4"/>
    <mergeCell ref="B100:BX100"/>
    <mergeCell ref="B101:BO101"/>
    <mergeCell ref="B102:BK102"/>
    <mergeCell ref="B103:BP103"/>
    <mergeCell ref="B104:BO104"/>
    <mergeCell ref="B105:BP105"/>
    <mergeCell ref="B106:BX106"/>
    <mergeCell ref="A149:A151"/>
    <mergeCell ref="A153:A155"/>
    <mergeCell ref="B153:BO153"/>
    <mergeCell ref="B154:BO154"/>
    <mergeCell ref="B155:BO155"/>
    <mergeCell ref="A156:A157"/>
    <mergeCell ref="B156:BO156"/>
    <mergeCell ref="B157:BO157"/>
    <mergeCell ref="B158:BO158"/>
    <mergeCell ref="A159:A160"/>
    <mergeCell ref="B159:BO159"/>
    <mergeCell ref="B160:BO160"/>
    <mergeCell ref="A161:A162"/>
    <mergeCell ref="B161:BO161"/>
    <mergeCell ref="B168:BO168"/>
    <mergeCell ref="B169:BO169"/>
    <mergeCell ref="B162:BO162"/>
    <mergeCell ref="B163:BP163"/>
    <mergeCell ref="B164:BO164"/>
    <mergeCell ref="B165:BO165"/>
    <mergeCell ref="B166:BO166"/>
    <mergeCell ref="B167:BO167"/>
    <mergeCell ref="A168:A170"/>
    <mergeCell ref="B175:BO175"/>
    <mergeCell ref="B176:BO176"/>
    <mergeCell ref="B170:BO170"/>
    <mergeCell ref="B171:BP171"/>
    <mergeCell ref="B172:BO172"/>
    <mergeCell ref="A173:A174"/>
    <mergeCell ref="B173:BO173"/>
    <mergeCell ref="B174:BO174"/>
    <mergeCell ref="A175:A177"/>
    <mergeCell ref="B185:BO185"/>
    <mergeCell ref="B186:BO186"/>
    <mergeCell ref="B187:BO187"/>
    <mergeCell ref="A188:A189"/>
    <mergeCell ref="B188:BO188"/>
    <mergeCell ref="B189:BO189"/>
    <mergeCell ref="B190:BP190"/>
    <mergeCell ref="B177:BO177"/>
    <mergeCell ref="B178:BO178"/>
    <mergeCell ref="B179:BO179"/>
    <mergeCell ref="B180:BP180"/>
    <mergeCell ref="B181:BO181"/>
    <mergeCell ref="B182:BP182"/>
    <mergeCell ref="A184:A186"/>
    <mergeCell ref="B107:BG107"/>
    <mergeCell ref="B108:BP108"/>
    <mergeCell ref="B109:BG109"/>
    <mergeCell ref="B110:BG110"/>
    <mergeCell ref="B111:BO111"/>
    <mergeCell ref="B112:BL112"/>
    <mergeCell ref="B113:BL113"/>
    <mergeCell ref="B114:BG114"/>
    <mergeCell ref="B115:BG115"/>
    <mergeCell ref="B116:BX116"/>
    <mergeCell ref="A117:A119"/>
    <mergeCell ref="B117:BL117"/>
    <mergeCell ref="B118:BG118"/>
    <mergeCell ref="B119:BG119"/>
    <mergeCell ref="B126:BO126"/>
    <mergeCell ref="B127:BO127"/>
    <mergeCell ref="B120:BL120"/>
    <mergeCell ref="B121:BK121"/>
    <mergeCell ref="B122:BG122"/>
    <mergeCell ref="B123:BO123"/>
    <mergeCell ref="B124:BP124"/>
    <mergeCell ref="B125:BO125"/>
    <mergeCell ref="A126:A128"/>
    <mergeCell ref="B128:BO128"/>
    <mergeCell ref="B129:BO129"/>
    <mergeCell ref="B130:BO130"/>
    <mergeCell ref="A131:A133"/>
    <mergeCell ref="B131:BO131"/>
    <mergeCell ref="B132:BO132"/>
    <mergeCell ref="B133:BO133"/>
    <mergeCell ref="B134:BO134"/>
    <mergeCell ref="B135:BO135"/>
    <mergeCell ref="B136:BO136"/>
    <mergeCell ref="B137:BO137"/>
    <mergeCell ref="A138:A140"/>
    <mergeCell ref="B138:BO138"/>
    <mergeCell ref="B139:BO139"/>
    <mergeCell ref="B183:BO183"/>
    <mergeCell ref="B184:BO184"/>
    <mergeCell ref="B40:BP40"/>
    <mergeCell ref="B41:BP41"/>
    <mergeCell ref="A32:A33"/>
    <mergeCell ref="A35:A36"/>
    <mergeCell ref="B35:BP35"/>
    <mergeCell ref="B36:BP36"/>
    <mergeCell ref="B37:BP37"/>
    <mergeCell ref="B38:BP38"/>
    <mergeCell ref="B39:BP39"/>
    <mergeCell ref="A37:A39"/>
    <mergeCell ref="A40:A47"/>
    <mergeCell ref="B42:BP42"/>
    <mergeCell ref="B43:BP43"/>
    <mergeCell ref="B44:BP44"/>
    <mergeCell ref="B45:BP45"/>
    <mergeCell ref="B46:BP46"/>
    <mergeCell ref="B47:BP47"/>
    <mergeCell ref="B48:BP48"/>
    <mergeCell ref="B49:BP49"/>
    <mergeCell ref="B50:BP50"/>
    <mergeCell ref="B51:BP51"/>
    <mergeCell ref="A52:A53"/>
    <mergeCell ref="B52:BP52"/>
    <mergeCell ref="B53:BP53"/>
    <mergeCell ref="B54:BP54"/>
    <mergeCell ref="B55:BP55"/>
    <mergeCell ref="A56:A57"/>
    <mergeCell ref="B56:BP56"/>
    <mergeCell ref="B57:BP57"/>
    <mergeCell ref="A58:A59"/>
    <mergeCell ref="B58:BP58"/>
    <mergeCell ref="B59:BP59"/>
    <mergeCell ref="B60:BP60"/>
    <mergeCell ref="B61:BP61"/>
    <mergeCell ref="B62:BG62"/>
    <mergeCell ref="A63:A64"/>
    <mergeCell ref="B63:BG63"/>
    <mergeCell ref="B70:BP70"/>
    <mergeCell ref="B71:BO71"/>
    <mergeCell ref="B64:BG64"/>
    <mergeCell ref="B65:BG65"/>
    <mergeCell ref="B66:BG66"/>
    <mergeCell ref="B67:BP67"/>
    <mergeCell ref="B68:BG68"/>
    <mergeCell ref="B69:BG69"/>
    <mergeCell ref="A71:A73"/>
    <mergeCell ref="B72:BO72"/>
    <mergeCell ref="B73:BO73"/>
    <mergeCell ref="B74:BG74"/>
    <mergeCell ref="B75:BP75"/>
    <mergeCell ref="B76:BO76"/>
    <mergeCell ref="B77:BP77"/>
    <mergeCell ref="B78:BK78"/>
    <mergeCell ref="B79:BL79"/>
    <mergeCell ref="B80:BP80"/>
    <mergeCell ref="B81:BP81"/>
    <mergeCell ref="B82:BO82"/>
    <mergeCell ref="B83:BP83"/>
    <mergeCell ref="B84:BP84"/>
    <mergeCell ref="B85:BO85"/>
    <mergeCell ref="B86:BO86"/>
    <mergeCell ref="B87:BO87"/>
    <mergeCell ref="B88:BP88"/>
    <mergeCell ref="B89:BG89"/>
    <mergeCell ref="B90:BP90"/>
    <mergeCell ref="B91:BO91"/>
    <mergeCell ref="B92:BO92"/>
    <mergeCell ref="B93:BP93"/>
    <mergeCell ref="B94:BP94"/>
    <mergeCell ref="B95:BO95"/>
    <mergeCell ref="B96:BO96"/>
    <mergeCell ref="B97:BP97"/>
    <mergeCell ref="B98:BP98"/>
    <mergeCell ref="B99:BP99"/>
    <mergeCell ref="B140:BO140"/>
    <mergeCell ref="B141:BO141"/>
    <mergeCell ref="B142:BG142"/>
    <mergeCell ref="A143:A145"/>
    <mergeCell ref="B143:BO143"/>
    <mergeCell ref="B144:BO144"/>
    <mergeCell ref="B145:BO145"/>
    <mergeCell ref="B146:BO146"/>
    <mergeCell ref="B147:BO147"/>
    <mergeCell ref="B148:BP148"/>
    <mergeCell ref="B149:BO149"/>
    <mergeCell ref="B150:BO150"/>
    <mergeCell ref="B151:BO151"/>
    <mergeCell ref="B152:BO152"/>
  </mergeCells>
  <drawing r:id="rId2"/>
  <legacyDrawing r:id="rId3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Col="1"/>
  <cols>
    <col customWidth="1" min="1" max="1" width="19.14"/>
    <col customWidth="1" min="2" max="4" width="14.43"/>
    <col customWidth="1" min="5" max="5" width="14.43" outlineLevel="1"/>
    <col customWidth="1" min="6" max="6" width="22.86"/>
    <col customWidth="1" min="7" max="7" width="47.14" outlineLevel="1"/>
    <col customWidth="1" min="15" max="15" width="17.57"/>
  </cols>
  <sheetData>
    <row r="1" ht="15.75" customHeight="1">
      <c r="A1" s="332" t="s">
        <v>1182</v>
      </c>
      <c r="B1" s="332" t="s">
        <v>1183</v>
      </c>
      <c r="C1" s="332" t="s">
        <v>1184</v>
      </c>
      <c r="D1" s="332" t="s">
        <v>1185</v>
      </c>
      <c r="E1" s="333" t="s">
        <v>1186</v>
      </c>
      <c r="F1" s="332" t="s">
        <v>1187</v>
      </c>
      <c r="G1" s="333" t="s">
        <v>1188</v>
      </c>
      <c r="H1" s="332" t="s">
        <v>110</v>
      </c>
      <c r="I1" s="332" t="s">
        <v>1189</v>
      </c>
      <c r="J1" s="332" t="s">
        <v>1190</v>
      </c>
      <c r="K1" s="332" t="s">
        <v>1191</v>
      </c>
      <c r="L1" s="332" t="s">
        <v>70</v>
      </c>
      <c r="M1" s="332" t="s">
        <v>1192</v>
      </c>
      <c r="N1" s="332" t="s">
        <v>1193</v>
      </c>
      <c r="O1" s="334" t="s">
        <v>1194</v>
      </c>
      <c r="P1" s="334" t="s">
        <v>1195</v>
      </c>
    </row>
    <row r="2" ht="15.75" customHeight="1">
      <c r="A2" s="335" t="s">
        <v>1196</v>
      </c>
      <c r="B2" s="336">
        <v>45610.0</v>
      </c>
      <c r="C2" s="335" t="s">
        <v>5</v>
      </c>
      <c r="D2" s="335" t="s">
        <v>46</v>
      </c>
      <c r="E2" s="337" t="str">
        <f t="shared" ref="E2:E5769" si="1">C2&amp;":"&amp;D2</f>
        <v>中山製鋼:阪和</v>
      </c>
      <c r="F2" s="338" t="s">
        <v>116</v>
      </c>
      <c r="G2" s="339" t="str">
        <f t="shared" ref="G2:G5769" si="2">E2&amp;F2</f>
        <v>中山製鋼:阪和Ｈ２(特級)</v>
      </c>
      <c r="H2" s="340">
        <f t="shared" ref="H2:H5769" si="3">J2+I2</f>
        <v>-5</v>
      </c>
      <c r="I2" s="341">
        <v>-5.0</v>
      </c>
      <c r="J2" s="332" t="str">
        <f>IFERROR(__xludf.DUMMYFUNCTION("IF(IF(COUNTIF(P1:P$2, P2)=0, """", INDEX(H1:H$2,
MAX(FILTER(ROW(H1:H$2) - ROW(H$2) + 1, P1:P$2 = P2))))=""単価"","""",
IF(COUNTIF(P1:P$2, P2)=0, """", INDEX(H1:H$2,
MAX(FILTER(ROW(H1:H$2) - ROW(H$2) + 1, P1:P$2 = P2)))))"),"")</f>
        <v/>
      </c>
      <c r="N2" s="335" t="str">
        <f>IF(MAXIFS('単価履歴'!$O:$O,'単価履歴'!$E:$E,E2,'単価履歴'!$F:$F,F2)=O2,"●","")</f>
        <v/>
      </c>
      <c r="O2" s="342">
        <v>1.0</v>
      </c>
      <c r="P2" s="334" t="str">
        <f t="shared" ref="P2:P5769" si="4">E2&amp;F2</f>
        <v>中山製鋼:阪和Ｈ２(特級)</v>
      </c>
    </row>
    <row r="3" ht="15.75" customHeight="1">
      <c r="A3" s="332" t="s">
        <v>1197</v>
      </c>
      <c r="B3" s="343">
        <v>45548.0</v>
      </c>
      <c r="C3" s="332" t="s">
        <v>5</v>
      </c>
      <c r="D3" s="332" t="s">
        <v>46</v>
      </c>
      <c r="E3" s="337" t="str">
        <f t="shared" si="1"/>
        <v>中山製鋼:阪和</v>
      </c>
      <c r="F3" s="332" t="s">
        <v>101</v>
      </c>
      <c r="G3" s="339" t="str">
        <f t="shared" si="2"/>
        <v>中山製鋼:阪和ＨＳ２</v>
      </c>
      <c r="H3" s="340">
        <f t="shared" si="3"/>
        <v>0</v>
      </c>
      <c r="I3" s="332">
        <v>0.0</v>
      </c>
      <c r="J3" s="332" t="str">
        <f>IFERROR(__xludf.DUMMYFUNCTION("IF(IF(COUNTIF(P2:P$2, P3)=0, """", INDEX(H2:H$2,
MAX(FILTER(ROW(H2:H$2) - ROW(H$2) + 1, P2:P$2 = P3))))=""単価"","""",
IF(COUNTIF(P2:P$2, P3)=0, """", INDEX(H2:H$2,
MAX(FILTER(ROW(H2:H$2) - ROW(H$2) + 1, P2:P$2 = P3)))))"),"")</f>
        <v/>
      </c>
      <c r="N3" s="335" t="str">
        <f>IF(MAXIFS('単価履歴'!$O:$O,'単価履歴'!$E:$E,E3,'単価履歴'!$F:$F,F3)=O3,"●","")</f>
        <v/>
      </c>
      <c r="O3" s="344">
        <v>45547.66893518518</v>
      </c>
      <c r="P3" s="334" t="str">
        <f t="shared" si="4"/>
        <v>中山製鋼:阪和ＨＳ２</v>
      </c>
    </row>
    <row r="4" ht="15.75" customHeight="1">
      <c r="A4" s="335" t="s">
        <v>1198</v>
      </c>
      <c r="B4" s="343">
        <v>45580.0</v>
      </c>
      <c r="C4" s="335" t="s">
        <v>531</v>
      </c>
      <c r="D4" s="335" t="s">
        <v>77</v>
      </c>
      <c r="E4" s="337" t="str">
        <f t="shared" si="1"/>
        <v>東鐵関西:直納</v>
      </c>
      <c r="F4" s="338" t="s">
        <v>1199</v>
      </c>
      <c r="G4" s="339" t="str">
        <f t="shared" si="2"/>
        <v>東鐵関西:直納ＨＳ１(単体H1/電特A/HS))</v>
      </c>
      <c r="H4" s="340">
        <f t="shared" si="3"/>
        <v>43</v>
      </c>
      <c r="I4" s="335">
        <v>43.0</v>
      </c>
      <c r="J4" s="332" t="str">
        <f>IFERROR(__xludf.DUMMYFUNCTION("IF(IF(COUNTIF(P$2:P3, P4)=0, """", INDEX(H$2:H3,
MAX(FILTER(ROW(H$2:H3) - ROW(H$2) + 1, P$2:P3 = P4))))=""単価"","""",
IF(COUNTIF(P$2:P3, P4)=0, """", INDEX(H$2:H3,
MAX(FILTER(ROW(H$2:H3) - ROW(H$2) + 1, P$2:P3 = P4)))))"),"")</f>
        <v/>
      </c>
      <c r="N4" s="335" t="str">
        <f>IF(MAXIFS('単価履歴'!$O:$O,'単価履歴'!$E:$E,E4,'単価履歴'!$F:$F,F4)=O4,"●","")</f>
        <v/>
      </c>
      <c r="O4" s="345">
        <v>45580.44059027778</v>
      </c>
      <c r="P4" s="334" t="str">
        <f t="shared" si="4"/>
        <v>東鐵関西:直納ＨＳ１(単体H1/電特A/HS))</v>
      </c>
    </row>
    <row r="5" ht="15.75" customHeight="1">
      <c r="A5" s="335" t="s">
        <v>1200</v>
      </c>
      <c r="B5" s="343">
        <v>45580.0</v>
      </c>
      <c r="C5" s="335" t="s">
        <v>531</v>
      </c>
      <c r="D5" s="335" t="s">
        <v>77</v>
      </c>
      <c r="E5" s="337" t="str">
        <f t="shared" si="1"/>
        <v>東鐵関西:直納</v>
      </c>
      <c r="F5" s="338" t="s">
        <v>111</v>
      </c>
      <c r="G5" s="339" t="str">
        <f t="shared" si="2"/>
        <v>東鐵関西:直納Ｈ１(特A)</v>
      </c>
      <c r="H5" s="340">
        <f t="shared" si="3"/>
        <v>42.5</v>
      </c>
      <c r="I5" s="335">
        <v>42.5</v>
      </c>
      <c r="J5" s="332" t="str">
        <f>IFERROR(__xludf.DUMMYFUNCTION("IF(IF(COUNTIF(P$2:P4, P5)=0, """", INDEX(H$2:H4,
MAX(FILTER(ROW(H$2:H4) - ROW(H$2) + 1, P$2:P4 = P5))))=""単価"","""",
IF(COUNTIF(P$2:P4, P5)=0, """", INDEX(H$2:H4,
MAX(FILTER(ROW(H$2:H4) - ROW(H$2) + 1, P$2:P4 = P5)))))"),"")</f>
        <v/>
      </c>
      <c r="N5" s="335" t="str">
        <f>IF(MAXIFS('単価履歴'!$O:$O,'単価履歴'!$E:$E,E5,'単価履歴'!$F:$F,F5)=O5,"●","")</f>
        <v/>
      </c>
      <c r="O5" s="345">
        <v>45580.44122685185</v>
      </c>
      <c r="P5" s="334" t="str">
        <f t="shared" si="4"/>
        <v>東鐵関西:直納Ｈ１(特A)</v>
      </c>
    </row>
    <row r="6" ht="15.75" customHeight="1">
      <c r="A6" s="335" t="s">
        <v>1201</v>
      </c>
      <c r="B6" s="336">
        <v>45580.0</v>
      </c>
      <c r="C6" s="335" t="s">
        <v>531</v>
      </c>
      <c r="D6" s="335" t="s">
        <v>77</v>
      </c>
      <c r="E6" s="337" t="str">
        <f t="shared" si="1"/>
        <v>東鐵関西:直納</v>
      </c>
      <c r="F6" s="338" t="s">
        <v>116</v>
      </c>
      <c r="G6" s="339" t="str">
        <f t="shared" si="2"/>
        <v>東鐵関西:直納Ｈ２(特級)</v>
      </c>
      <c r="H6" s="340">
        <f t="shared" si="3"/>
        <v>40.5</v>
      </c>
      <c r="I6" s="341">
        <v>40.5</v>
      </c>
      <c r="J6" s="332" t="str">
        <f>IFERROR(__xludf.DUMMYFUNCTION("IF(IF(COUNTIF(P$2:P5, P6)=0, """", INDEX(H$2:H5,
MAX(FILTER(ROW(H$2:H5) - ROW(H$2) + 1, P$2:P5 = P6))))=""単価"","""",
IF(COUNTIF(P$2:P5, P6)=0, """", INDEX(H$2:H5,
MAX(FILTER(ROW(H$2:H5) - ROW(H$2) + 1, P$2:P5 = P6)))))"),"")</f>
        <v/>
      </c>
      <c r="N6" s="335" t="str">
        <f>IF(MAXIFS('単価履歴'!$O:$O,'単価履歴'!$E:$E,E6,'単価履歴'!$F:$F,F6)=O6,"●","")</f>
        <v/>
      </c>
      <c r="O6" s="346">
        <v>45580.441782407404</v>
      </c>
      <c r="P6" s="334" t="str">
        <f t="shared" si="4"/>
        <v>東鐵関西:直納Ｈ２(特級)</v>
      </c>
    </row>
    <row r="7" ht="15.75" customHeight="1">
      <c r="A7" s="335" t="s">
        <v>1202</v>
      </c>
      <c r="B7" s="336">
        <v>45580.0</v>
      </c>
      <c r="C7" s="335" t="s">
        <v>531</v>
      </c>
      <c r="D7" s="335" t="s">
        <v>77</v>
      </c>
      <c r="E7" s="337" t="str">
        <f t="shared" si="1"/>
        <v>東鐵関西:直納</v>
      </c>
      <c r="F7" s="338" t="s">
        <v>119</v>
      </c>
      <c r="G7" s="339" t="str">
        <f t="shared" si="2"/>
        <v>東鐵関西:直納Ｈ３(1級)</v>
      </c>
      <c r="H7" s="340">
        <f t="shared" si="3"/>
        <v>40.5</v>
      </c>
      <c r="I7" s="341">
        <v>40.5</v>
      </c>
      <c r="J7" s="332" t="str">
        <f>IFERROR(__xludf.DUMMYFUNCTION("IF(IF(COUNTIF(P$2:P6, P7)=0, """", INDEX(H$2:H6,
MAX(FILTER(ROW(H$2:H6) - ROW(H$2) + 1, P$2:P6 = P7))))=""単価"","""",
IF(COUNTIF(P$2:P6, P7)=0, """", INDEX(H$2:H6,
MAX(FILTER(ROW(H$2:H6) - ROW(H$2) + 1, P$2:P6 = P7)))))"),"")</f>
        <v/>
      </c>
      <c r="N7" s="335" t="str">
        <f>IF(MAXIFS('単価履歴'!$O:$O,'単価履歴'!$E:$E,E7,'単価履歴'!$F:$F,F7)=O7,"●","")</f>
        <v/>
      </c>
      <c r="O7" s="346">
        <v>45580.441782407404</v>
      </c>
      <c r="P7" s="334" t="str">
        <f t="shared" si="4"/>
        <v>東鐵関西:直納Ｈ３(1級)</v>
      </c>
    </row>
    <row r="8" ht="15.75" customHeight="1">
      <c r="A8" s="335" t="s">
        <v>1203</v>
      </c>
      <c r="B8" s="336">
        <v>45580.0</v>
      </c>
      <c r="C8" s="335" t="s">
        <v>531</v>
      </c>
      <c r="D8" s="335" t="s">
        <v>77</v>
      </c>
      <c r="E8" s="337" t="str">
        <f t="shared" si="1"/>
        <v>東鐵関西:直納</v>
      </c>
      <c r="F8" s="338" t="s">
        <v>122</v>
      </c>
      <c r="G8" s="339" t="str">
        <f t="shared" si="2"/>
        <v>東鐵関西:直納Ｌ１(2級)</v>
      </c>
      <c r="H8" s="340">
        <f t="shared" si="3"/>
        <v>38.5</v>
      </c>
      <c r="I8" s="341">
        <v>38.5</v>
      </c>
      <c r="J8" s="332" t="str">
        <f>IFERROR(__xludf.DUMMYFUNCTION("IF(IF(COUNTIF(P$2:P7, P8)=0, """", INDEX(H$2:H7,
MAX(FILTER(ROW(H$2:H7) - ROW(H$2) + 1, P$2:P7 = P8))))=""単価"","""",
IF(COUNTIF(P$2:P7, P8)=0, """", INDEX(H$2:H7,
MAX(FILTER(ROW(H$2:H7) - ROW(H$2) + 1, P$2:P7 = P8)))))"),"")</f>
        <v/>
      </c>
      <c r="N8" s="335" t="str">
        <f>IF(MAXIFS('単価履歴'!$O:$O,'単価履歴'!$E:$E,E8,'単価履歴'!$F:$F,F8)=O8,"●","")</f>
        <v/>
      </c>
      <c r="O8" s="346">
        <v>45580.4435300926</v>
      </c>
      <c r="P8" s="334" t="str">
        <f t="shared" si="4"/>
        <v>東鐵関西:直納Ｌ１(2級)</v>
      </c>
    </row>
    <row r="9" ht="15.75" customHeight="1">
      <c r="A9" s="335" t="s">
        <v>1204</v>
      </c>
      <c r="B9" s="336">
        <v>45580.0</v>
      </c>
      <c r="C9" s="335" t="s">
        <v>531</v>
      </c>
      <c r="D9" s="335" t="s">
        <v>77</v>
      </c>
      <c r="E9" s="337" t="str">
        <f t="shared" si="1"/>
        <v>東鐵関西:直納</v>
      </c>
      <c r="F9" s="338" t="s">
        <v>573</v>
      </c>
      <c r="G9" s="339" t="str">
        <f t="shared" si="2"/>
        <v>東鐵関西:直納Ｌ２(H4･級外･L1ﾊﾞﾗ)</v>
      </c>
      <c r="H9" s="340">
        <f t="shared" si="3"/>
        <v>35.5</v>
      </c>
      <c r="I9" s="332">
        <v>35.5</v>
      </c>
      <c r="J9" s="332" t="str">
        <f>IFERROR(__xludf.DUMMYFUNCTION("IF(IF(COUNTIF(P$2:P8, P9)=0, """", INDEX(H$2:H8,
MAX(FILTER(ROW(H$2:H8) - ROW(H$2) + 1, P$2:P8 = P9))))=""単価"","""",
IF(COUNTIF(P$2:P8, P9)=0, """", INDEX(H$2:H8,
MAX(FILTER(ROW(H$2:H8) - ROW(H$2) + 1, P$2:P8 = P9)))))"),"")</f>
        <v/>
      </c>
      <c r="N9" s="335" t="str">
        <f>IF(MAXIFS('単価履歴'!$O:$O,'単価履歴'!$E:$E,E9,'単価履歴'!$F:$F,F9)=O9,"●","")</f>
        <v/>
      </c>
      <c r="O9" s="346">
        <v>45580.4435300926</v>
      </c>
      <c r="P9" s="334" t="str">
        <f t="shared" si="4"/>
        <v>東鐵関西:直納Ｌ２(H4･級外･L1ﾊﾞﾗ)</v>
      </c>
    </row>
    <row r="10" ht="15.75" customHeight="1">
      <c r="A10" s="335" t="s">
        <v>1205</v>
      </c>
      <c r="B10" s="343">
        <v>45580.0</v>
      </c>
      <c r="C10" s="335" t="s">
        <v>531</v>
      </c>
      <c r="D10" s="335" t="s">
        <v>77</v>
      </c>
      <c r="E10" s="337" t="str">
        <f t="shared" si="1"/>
        <v>東鐵関西:直納</v>
      </c>
      <c r="F10" s="338" t="s">
        <v>145</v>
      </c>
      <c r="G10" s="339" t="str">
        <f t="shared" si="2"/>
        <v>東鐵関西:直納シュレＡ</v>
      </c>
      <c r="H10" s="340">
        <f t="shared" si="3"/>
        <v>42.5</v>
      </c>
      <c r="I10" s="335">
        <v>42.5</v>
      </c>
      <c r="J10" s="332" t="str">
        <f>IFERROR(__xludf.DUMMYFUNCTION("IF(IF(COUNTIF(P$2:P9, P10)=0, """", INDEX(H$2:H9,
MAX(FILTER(ROW(H$2:H9) - ROW(H$2) + 1, P$2:P9 = P10))))=""単価"","""",
IF(COUNTIF(P$2:P9, P10)=0, """", INDEX(H$2:H9,
MAX(FILTER(ROW(H$2:H9) - ROW(H$2) + 1, P$2:P9 = P10)))))"),"")</f>
        <v/>
      </c>
      <c r="N10" s="335" t="str">
        <f>IF(MAXIFS('単価履歴'!$O:$O,'単価履歴'!$E:$E,E10,'単価履歴'!$F:$F,F10)=O10,"●","")</f>
        <v/>
      </c>
      <c r="O10" s="345">
        <v>45580.44375</v>
      </c>
      <c r="P10" s="334" t="str">
        <f t="shared" si="4"/>
        <v>東鐵関西:直納シュレＡ</v>
      </c>
    </row>
    <row r="11" ht="15.75" customHeight="1">
      <c r="A11" s="335" t="s">
        <v>1206</v>
      </c>
      <c r="B11" s="343">
        <v>45580.0</v>
      </c>
      <c r="C11" s="335" t="s">
        <v>531</v>
      </c>
      <c r="D11" s="335" t="s">
        <v>77</v>
      </c>
      <c r="E11" s="337" t="str">
        <f t="shared" si="1"/>
        <v>東鐵関西:直納</v>
      </c>
      <c r="F11" s="338" t="s">
        <v>151</v>
      </c>
      <c r="G11" s="339" t="str">
        <f t="shared" si="2"/>
        <v>東鐵関西:直納シュレＣ</v>
      </c>
      <c r="H11" s="340">
        <f t="shared" si="3"/>
        <v>41.5</v>
      </c>
      <c r="I11" s="335">
        <v>41.5</v>
      </c>
      <c r="J11" s="332" t="str">
        <f>IFERROR(__xludf.DUMMYFUNCTION("IF(IF(COUNTIF(P$2:P10, P11)=0, """", INDEX(H$2:H10,
MAX(FILTER(ROW(H$2:H10) - ROW(H$2) + 1, P$2:P10 = P11))))=""単価"","""",
IF(COUNTIF(P$2:P10, P11)=0, """", INDEX(H$2:H10,
MAX(FILTER(ROW(H$2:H10) - ROW(H$2) + 1, P$2:P10 = P11)))))"),"")</f>
        <v/>
      </c>
      <c r="N11" s="335" t="str">
        <f>IF(MAXIFS('単価履歴'!$O:$O,'単価履歴'!$E:$E,E11,'単価履歴'!$F:$F,F11)=O11,"●","")</f>
        <v/>
      </c>
      <c r="O11" s="345">
        <v>45580.443923611114</v>
      </c>
      <c r="P11" s="334" t="str">
        <f t="shared" si="4"/>
        <v>東鐵関西:直納シュレＣ</v>
      </c>
    </row>
    <row r="12" ht="15.75" customHeight="1">
      <c r="A12" s="335" t="s">
        <v>1207</v>
      </c>
      <c r="B12" s="336">
        <v>45580.0</v>
      </c>
      <c r="C12" s="335" t="s">
        <v>5</v>
      </c>
      <c r="D12" s="335" t="s">
        <v>46</v>
      </c>
      <c r="E12" s="337" t="str">
        <f t="shared" si="1"/>
        <v>中山製鋼:阪和</v>
      </c>
      <c r="F12" s="338" t="s">
        <v>1199</v>
      </c>
      <c r="G12" s="339" t="str">
        <f t="shared" si="2"/>
        <v>中山製鋼:阪和ＨＳ１(単体H1/電特A/HS))</v>
      </c>
      <c r="H12" s="340">
        <f t="shared" si="3"/>
        <v>0</v>
      </c>
      <c r="I12" s="335">
        <v>0.0</v>
      </c>
      <c r="J12" s="332" t="str">
        <f>IFERROR(__xludf.DUMMYFUNCTION("IF(IF(COUNTIF(P$2:P11, P12)=0, """", INDEX(H$2:H11,
MAX(FILTER(ROW(H$2:H11) - ROW(H$2) + 1, P$2:P11 = P12))))=""単価"","""",
IF(COUNTIF(P$2:P11, P12)=0, """", INDEX(H$2:H11,
MAX(FILTER(ROW(H$2:H11) - ROW(H$2) + 1, P$2:P11 = P12)))))"),"")</f>
        <v/>
      </c>
      <c r="N12" s="335" t="str">
        <f>IF(MAXIFS('単価履歴'!$O:$O,'単価履歴'!$E:$E,E12,'単価履歴'!$F:$F,F12)=O12,"●","")</f>
        <v/>
      </c>
      <c r="O12" s="346">
        <v>45580.44635416666</v>
      </c>
      <c r="P12" s="334" t="str">
        <f t="shared" si="4"/>
        <v>中山製鋼:阪和ＨＳ１(単体H1/電特A/HS))</v>
      </c>
    </row>
    <row r="13" ht="15.75" customHeight="1">
      <c r="A13" s="335" t="s">
        <v>1208</v>
      </c>
      <c r="B13" s="336">
        <v>45580.0</v>
      </c>
      <c r="C13" s="335" t="s">
        <v>5</v>
      </c>
      <c r="D13" s="335" t="s">
        <v>46</v>
      </c>
      <c r="E13" s="337" t="str">
        <f t="shared" si="1"/>
        <v>中山製鋼:阪和</v>
      </c>
      <c r="F13" s="338" t="s">
        <v>101</v>
      </c>
      <c r="G13" s="339" t="str">
        <f t="shared" si="2"/>
        <v>中山製鋼:阪和ＨＳ２</v>
      </c>
      <c r="H13" s="340">
        <f t="shared" si="3"/>
        <v>42.9</v>
      </c>
      <c r="I13" s="341">
        <v>42.9</v>
      </c>
      <c r="J13" s="332">
        <f>IFERROR(__xludf.DUMMYFUNCTION("IF(IF(COUNTIF(P$2:P12, P13)=0, """", INDEX(H$2:H12,
MAX(FILTER(ROW(H$2:H12) - ROW(H$2) + 1, P$2:P12 = P13))))=""単価"","""",
IF(COUNTIF(P$2:P12, P13)=0, """", INDEX(H$2:H12,
MAX(FILTER(ROW(H$2:H12) - ROW(H$2) + 1, P$2:P12 = P13)))))"),0.0)</f>
        <v>0</v>
      </c>
      <c r="N13" s="335" t="str">
        <f>IF(MAXIFS('単価履歴'!$O:$O,'単価履歴'!$E:$E,E13,'単価履歴'!$F:$F,F13)=O13,"●","")</f>
        <v/>
      </c>
      <c r="O13" s="346">
        <v>45580.44635416666</v>
      </c>
      <c r="P13" s="334" t="str">
        <f t="shared" si="4"/>
        <v>中山製鋼:阪和ＨＳ２</v>
      </c>
    </row>
    <row r="14" ht="15.75" customHeight="1">
      <c r="A14" s="335" t="s">
        <v>1209</v>
      </c>
      <c r="B14" s="336">
        <v>45580.0</v>
      </c>
      <c r="C14" s="335" t="s">
        <v>5</v>
      </c>
      <c r="D14" s="335" t="s">
        <v>46</v>
      </c>
      <c r="E14" s="337" t="str">
        <f t="shared" si="1"/>
        <v>中山製鋼:阪和</v>
      </c>
      <c r="F14" s="338" t="s">
        <v>1199</v>
      </c>
      <c r="G14" s="339" t="str">
        <f t="shared" si="2"/>
        <v>中山製鋼:阪和ＨＳ１(単体H1/電特A/HS))</v>
      </c>
      <c r="H14" s="340">
        <f t="shared" si="3"/>
        <v>42.9</v>
      </c>
      <c r="I14" s="341">
        <v>42.9</v>
      </c>
      <c r="J14" s="332">
        <f>IFERROR(__xludf.DUMMYFUNCTION("IF(IF(COUNTIF(P$2:P13, P14)=0, """", INDEX(H$2:H13,
MAX(FILTER(ROW(H$2:H13) - ROW(H$2) + 1, P$2:P13 = P14))))=""単価"","""",
IF(COUNTIF(P$2:P13, P14)=0, """", INDEX(H$2:H13,
MAX(FILTER(ROW(H$2:H13) - ROW(H$2) + 1, P$2:P13 = P14)))))"),0.0)</f>
        <v>0</v>
      </c>
      <c r="N14" s="335" t="str">
        <f>IF(MAXIFS('単価履歴'!$O:$O,'単価履歴'!$E:$E,E14,'単価履歴'!$F:$F,F14)=O14,"●","")</f>
        <v/>
      </c>
      <c r="O14" s="346">
        <v>45580.44635416666</v>
      </c>
      <c r="P14" s="334" t="str">
        <f t="shared" si="4"/>
        <v>中山製鋼:阪和ＨＳ１(単体H1/電特A/HS))</v>
      </c>
    </row>
    <row r="15" ht="15.75" customHeight="1">
      <c r="A15" s="335" t="s">
        <v>1210</v>
      </c>
      <c r="B15" s="336">
        <v>45580.0</v>
      </c>
      <c r="C15" s="335" t="s">
        <v>5</v>
      </c>
      <c r="D15" s="335" t="s">
        <v>46</v>
      </c>
      <c r="E15" s="337" t="str">
        <f t="shared" si="1"/>
        <v>中山製鋼:阪和</v>
      </c>
      <c r="F15" s="338" t="s">
        <v>101</v>
      </c>
      <c r="G15" s="339" t="str">
        <f t="shared" si="2"/>
        <v>中山製鋼:阪和ＨＳ２</v>
      </c>
      <c r="H15" s="340">
        <f t="shared" si="3"/>
        <v>85.8</v>
      </c>
      <c r="I15" s="341">
        <v>42.9</v>
      </c>
      <c r="J15" s="332">
        <f>IFERROR(__xludf.DUMMYFUNCTION("IF(IF(COUNTIF(P$2:P14, P15)=0, """", INDEX(H$2:H14,
MAX(FILTER(ROW(H$2:H14) - ROW(H$2) + 1, P$2:P14 = P15))))=""単価"","""",
IF(COUNTIF(P$2:P14, P15)=0, """", INDEX(H$2:H14,
MAX(FILTER(ROW(H$2:H14) - ROW(H$2) + 1, P$2:P14 = P15)))))"),42.9)</f>
        <v>42.9</v>
      </c>
      <c r="N15" s="335" t="str">
        <f>IF(MAXIFS('単価履歴'!$O:$O,'単価履歴'!$E:$E,E15,'単価履歴'!$F:$F,F15)=O15,"●","")</f>
        <v/>
      </c>
      <c r="O15" s="346">
        <v>45580.44635416666</v>
      </c>
      <c r="P15" s="334" t="str">
        <f t="shared" si="4"/>
        <v>中山製鋼:阪和ＨＳ２</v>
      </c>
    </row>
    <row r="16" ht="15.75" customHeight="1">
      <c r="A16" s="335" t="s">
        <v>1211</v>
      </c>
      <c r="B16" s="336">
        <v>45580.0</v>
      </c>
      <c r="C16" s="335" t="s">
        <v>5</v>
      </c>
      <c r="D16" s="335" t="s">
        <v>46</v>
      </c>
      <c r="E16" s="337" t="str">
        <f t="shared" si="1"/>
        <v>中山製鋼:阪和</v>
      </c>
      <c r="F16" s="338" t="s">
        <v>111</v>
      </c>
      <c r="G16" s="339" t="str">
        <f t="shared" si="2"/>
        <v>中山製鋼:阪和Ｈ１(特A)</v>
      </c>
      <c r="H16" s="340">
        <f t="shared" si="3"/>
        <v>40.5</v>
      </c>
      <c r="I16" s="341">
        <v>40.5</v>
      </c>
      <c r="J16" s="332" t="str">
        <f>IFERROR(__xludf.DUMMYFUNCTION("IF(IF(COUNTIF(P$2:P15, P16)=0, """", INDEX(H$2:H15,
MAX(FILTER(ROW(H$2:H15) - ROW(H$2) + 1, P$2:P15 = P16))))=""単価"","""",
IF(COUNTIF(P$2:P15, P16)=0, """", INDEX(H$2:H15,
MAX(FILTER(ROW(H$2:H15) - ROW(H$2) + 1, P$2:P15 = P16)))))"),"")</f>
        <v/>
      </c>
      <c r="N16" s="335" t="str">
        <f>IF(MAXIFS('単価履歴'!$O:$O,'単価履歴'!$E:$E,E16,'単価履歴'!$F:$F,F16)=O16,"●","")</f>
        <v/>
      </c>
      <c r="O16" s="346">
        <v>45580.44678240741</v>
      </c>
      <c r="P16" s="334" t="str">
        <f t="shared" si="4"/>
        <v>中山製鋼:阪和Ｈ１(特A)</v>
      </c>
    </row>
    <row r="17" ht="15.75" customHeight="1">
      <c r="A17" s="335" t="s">
        <v>1212</v>
      </c>
      <c r="B17" s="336">
        <v>45580.0</v>
      </c>
      <c r="C17" s="335" t="s">
        <v>5</v>
      </c>
      <c r="D17" s="335" t="s">
        <v>47</v>
      </c>
      <c r="E17" s="337" t="str">
        <f t="shared" si="1"/>
        <v>中山製鋼:豊通</v>
      </c>
      <c r="F17" s="338" t="s">
        <v>111</v>
      </c>
      <c r="G17" s="339" t="str">
        <f t="shared" si="2"/>
        <v>中山製鋼:豊通Ｈ１(特A)</v>
      </c>
      <c r="H17" s="340">
        <f t="shared" si="3"/>
        <v>40.5</v>
      </c>
      <c r="I17" s="341">
        <v>40.5</v>
      </c>
      <c r="J17" s="332" t="str">
        <f>IFERROR(__xludf.DUMMYFUNCTION("IF(IF(COUNTIF(P$2:P16, P17)=0, """", INDEX(H$2:H16,
MAX(FILTER(ROW(H$2:H16) - ROW(H$2) + 1, P$2:P16 = P17))))=""単価"","""",
IF(COUNTIF(P$2:P16, P17)=0, """", INDEX(H$2:H16,
MAX(FILTER(ROW(H$2:H16) - ROW(H$2) + 1, P$2:P16 = P17)))))"),"")</f>
        <v/>
      </c>
      <c r="N17" s="335" t="str">
        <f>IF(MAXIFS('単価履歴'!$O:$O,'単価履歴'!$E:$E,E17,'単価履歴'!$F:$F,F17)=O17,"●","")</f>
        <v/>
      </c>
      <c r="O17" s="346">
        <v>45580.44678240741</v>
      </c>
      <c r="P17" s="334" t="str">
        <f t="shared" si="4"/>
        <v>中山製鋼:豊通Ｈ１(特A)</v>
      </c>
    </row>
    <row r="18" ht="15.75" customHeight="1">
      <c r="A18" s="335" t="s">
        <v>1213</v>
      </c>
      <c r="B18" s="336">
        <v>45580.0</v>
      </c>
      <c r="C18" s="335" t="s">
        <v>5</v>
      </c>
      <c r="D18" s="335" t="s">
        <v>46</v>
      </c>
      <c r="E18" s="337" t="str">
        <f t="shared" si="1"/>
        <v>中山製鋼:阪和</v>
      </c>
      <c r="F18" s="338" t="s">
        <v>111</v>
      </c>
      <c r="G18" s="339" t="str">
        <f t="shared" si="2"/>
        <v>中山製鋼:阪和Ｈ１(特A)</v>
      </c>
      <c r="H18" s="340">
        <f t="shared" si="3"/>
        <v>81</v>
      </c>
      <c r="I18" s="341">
        <v>40.5</v>
      </c>
      <c r="J18" s="332">
        <f>IFERROR(__xludf.DUMMYFUNCTION("IF(IF(COUNTIF(P$2:P17, P18)=0, """", INDEX(H$2:H17,
MAX(FILTER(ROW(H$2:H17) - ROW(H$2) + 1, P$2:P17 = P18))))=""単価"","""",
IF(COUNTIF(P$2:P17, P18)=0, """", INDEX(H$2:H17,
MAX(FILTER(ROW(H$2:H17) - ROW(H$2) + 1, P$2:P17 = P18)))))"),40.5)</f>
        <v>40.5</v>
      </c>
      <c r="N18" s="335" t="str">
        <f>IF(MAXIFS('単価履歴'!$O:$O,'単価履歴'!$E:$E,E18,'単価履歴'!$F:$F,F18)=O18,"●","")</f>
        <v/>
      </c>
      <c r="O18" s="346">
        <v>45580.44678240741</v>
      </c>
      <c r="P18" s="334" t="str">
        <f t="shared" si="4"/>
        <v>中山製鋼:阪和Ｈ１(特A)</v>
      </c>
    </row>
    <row r="19" ht="15.75" customHeight="1">
      <c r="A19" s="335" t="s">
        <v>1214</v>
      </c>
      <c r="B19" s="336">
        <v>45580.0</v>
      </c>
      <c r="C19" s="335" t="s">
        <v>5</v>
      </c>
      <c r="D19" s="335" t="s">
        <v>47</v>
      </c>
      <c r="E19" s="337" t="str">
        <f t="shared" si="1"/>
        <v>中山製鋼:豊通</v>
      </c>
      <c r="F19" s="338" t="s">
        <v>111</v>
      </c>
      <c r="G19" s="339" t="str">
        <f t="shared" si="2"/>
        <v>中山製鋼:豊通Ｈ１(特A)</v>
      </c>
      <c r="H19" s="340">
        <f t="shared" si="3"/>
        <v>81</v>
      </c>
      <c r="I19" s="341">
        <v>40.5</v>
      </c>
      <c r="J19" s="332">
        <f>IFERROR(__xludf.DUMMYFUNCTION("IF(IF(COUNTIF(P$2:P18, P19)=0, """", INDEX(H$2:H18,
MAX(FILTER(ROW(H$2:H18) - ROW(H$2) + 1, P$2:P18 = P19))))=""単価"","""",
IF(COUNTIF(P$2:P18, P19)=0, """", INDEX(H$2:H18,
MAX(FILTER(ROW(H$2:H18) - ROW(H$2) + 1, P$2:P18 = P19)))))"),40.5)</f>
        <v>40.5</v>
      </c>
      <c r="N19" s="335" t="str">
        <f>IF(MAXIFS('単価履歴'!$O:$O,'単価履歴'!$E:$E,E19,'単価履歴'!$F:$F,F19)=O19,"●","")</f>
        <v/>
      </c>
      <c r="O19" s="346">
        <v>45580.44678240741</v>
      </c>
      <c r="P19" s="334" t="str">
        <f t="shared" si="4"/>
        <v>中山製鋼:豊通Ｈ１(特A)</v>
      </c>
    </row>
    <row r="20" ht="15.75" customHeight="1">
      <c r="A20" s="335" t="s">
        <v>1215</v>
      </c>
      <c r="B20" s="336">
        <v>45580.0</v>
      </c>
      <c r="C20" s="335" t="s">
        <v>5</v>
      </c>
      <c r="D20" s="335" t="s">
        <v>46</v>
      </c>
      <c r="E20" s="337" t="str">
        <f t="shared" si="1"/>
        <v>中山製鋼:阪和</v>
      </c>
      <c r="F20" s="338" t="s">
        <v>116</v>
      </c>
      <c r="G20" s="339" t="str">
        <f t="shared" si="2"/>
        <v>中山製鋼:阪和Ｈ２(特級)</v>
      </c>
      <c r="H20" s="340">
        <f t="shared" si="3"/>
        <v>30.8</v>
      </c>
      <c r="I20" s="341">
        <v>35.8</v>
      </c>
      <c r="J20" s="332">
        <f>IFERROR(__xludf.DUMMYFUNCTION("IF(IF(COUNTIF(P$2:P19, P20)=0, """", INDEX(H$2:H19,
MAX(FILTER(ROW(H$2:H19) - ROW(H$2) + 1, P$2:P19 = P20))))=""単価"","""",
IF(COUNTIF(P$2:P19, P20)=0, """", INDEX(H$2:H19,
MAX(FILTER(ROW(H$2:H19) - ROW(H$2) + 1, P$2:P19 = P20)))))"),-5.0)</f>
        <v>-5</v>
      </c>
      <c r="N20" s="335" t="str">
        <f>IF(MAXIFS('単価履歴'!$O:$O,'単価履歴'!$E:$E,E20,'単価履歴'!$F:$F,F20)=O20,"●","")</f>
        <v/>
      </c>
      <c r="O20" s="346">
        <v>45580.4471875</v>
      </c>
      <c r="P20" s="334" t="str">
        <f t="shared" si="4"/>
        <v>中山製鋼:阪和Ｈ２(特級)</v>
      </c>
    </row>
    <row r="21" ht="15.75" customHeight="1">
      <c r="A21" s="335" t="s">
        <v>1216</v>
      </c>
      <c r="B21" s="336">
        <v>45580.0</v>
      </c>
      <c r="C21" s="335" t="s">
        <v>5</v>
      </c>
      <c r="D21" s="335" t="s">
        <v>47</v>
      </c>
      <c r="E21" s="337" t="str">
        <f t="shared" si="1"/>
        <v>中山製鋼:豊通</v>
      </c>
      <c r="F21" s="338" t="s">
        <v>116</v>
      </c>
      <c r="G21" s="339" t="str">
        <f t="shared" si="2"/>
        <v>中山製鋼:豊通Ｈ２(特級)</v>
      </c>
      <c r="H21" s="340">
        <f t="shared" si="3"/>
        <v>35.8</v>
      </c>
      <c r="I21" s="341">
        <v>35.8</v>
      </c>
      <c r="J21" s="332" t="str">
        <f>IFERROR(__xludf.DUMMYFUNCTION("IF(IF(COUNTIF(P$2:P20, P21)=0, """", INDEX(H$2:H20,
MAX(FILTER(ROW(H$2:H20) - ROW(H$2) + 1, P$2:P20 = P21))))=""単価"","""",
IF(COUNTIF(P$2:P20, P21)=0, """", INDEX(H$2:H20,
MAX(FILTER(ROW(H$2:H20) - ROW(H$2) + 1, P$2:P20 = P21)))))"),"")</f>
        <v/>
      </c>
      <c r="N21" s="335" t="str">
        <f>IF(MAXIFS('単価履歴'!$O:$O,'単価履歴'!$E:$E,E21,'単価履歴'!$F:$F,F21)=O21,"●","")</f>
        <v/>
      </c>
      <c r="O21" s="346">
        <v>45580.4471875</v>
      </c>
      <c r="P21" s="334" t="str">
        <f t="shared" si="4"/>
        <v>中山製鋼:豊通Ｈ２(特級)</v>
      </c>
    </row>
    <row r="22" ht="15.75" customHeight="1">
      <c r="A22" s="335" t="s">
        <v>1217</v>
      </c>
      <c r="B22" s="336">
        <v>45580.0</v>
      </c>
      <c r="C22" s="335" t="s">
        <v>5</v>
      </c>
      <c r="D22" s="335" t="s">
        <v>46</v>
      </c>
      <c r="E22" s="337" t="str">
        <f t="shared" si="1"/>
        <v>中山製鋼:阪和</v>
      </c>
      <c r="F22" s="338" t="s">
        <v>116</v>
      </c>
      <c r="G22" s="339" t="str">
        <f t="shared" si="2"/>
        <v>中山製鋼:阪和Ｈ２(特級)</v>
      </c>
      <c r="H22" s="340">
        <f t="shared" si="3"/>
        <v>66.6</v>
      </c>
      <c r="I22" s="341">
        <v>35.8</v>
      </c>
      <c r="J22" s="332">
        <f>IFERROR(__xludf.DUMMYFUNCTION("IF(IF(COUNTIF(P$2:P21, P22)=0, """", INDEX(H$2:H21,
MAX(FILTER(ROW(H$2:H21) - ROW(H$2) + 1, P$2:P21 = P22))))=""単価"","""",
IF(COUNTIF(P$2:P21, P22)=0, """", INDEX(H$2:H21,
MAX(FILTER(ROW(H$2:H21) - ROW(H$2) + 1, P$2:P21 = P22)))))"),30.799999999999997)</f>
        <v>30.8</v>
      </c>
      <c r="N22" s="335" t="str">
        <f>IF(MAXIFS('単価履歴'!$O:$O,'単価履歴'!$E:$E,E22,'単価履歴'!$F:$F,F22)=O22,"●","")</f>
        <v/>
      </c>
      <c r="O22" s="346">
        <v>45580.4471875</v>
      </c>
      <c r="P22" s="334" t="str">
        <f t="shared" si="4"/>
        <v>中山製鋼:阪和Ｈ２(特級)</v>
      </c>
    </row>
    <row r="23" ht="15.75" customHeight="1">
      <c r="A23" s="335" t="s">
        <v>1218</v>
      </c>
      <c r="B23" s="336">
        <v>45580.0</v>
      </c>
      <c r="C23" s="335" t="s">
        <v>5</v>
      </c>
      <c r="D23" s="335" t="s">
        <v>47</v>
      </c>
      <c r="E23" s="337" t="str">
        <f t="shared" si="1"/>
        <v>中山製鋼:豊通</v>
      </c>
      <c r="F23" s="338" t="s">
        <v>116</v>
      </c>
      <c r="G23" s="339" t="str">
        <f t="shared" si="2"/>
        <v>中山製鋼:豊通Ｈ２(特級)</v>
      </c>
      <c r="H23" s="340">
        <f t="shared" si="3"/>
        <v>71.6</v>
      </c>
      <c r="I23" s="341">
        <v>35.8</v>
      </c>
      <c r="J23" s="332">
        <f>IFERROR(__xludf.DUMMYFUNCTION("IF(IF(COUNTIF(P$2:P22, P23)=0, """", INDEX(H$2:H22,
MAX(FILTER(ROW(H$2:H22) - ROW(H$2) + 1, P$2:P22 = P23))))=""単価"","""",
IF(COUNTIF(P$2:P22, P23)=0, """", INDEX(H$2:H22,
MAX(FILTER(ROW(H$2:H22) - ROW(H$2) + 1, P$2:P22 = P23)))))"),35.8)</f>
        <v>35.8</v>
      </c>
      <c r="N23" s="335" t="str">
        <f>IF(MAXIFS('単価履歴'!$O:$O,'単価履歴'!$E:$E,E23,'単価履歴'!$F:$F,F23)=O23,"●","")</f>
        <v/>
      </c>
      <c r="O23" s="346">
        <v>45580.4471875</v>
      </c>
      <c r="P23" s="334" t="str">
        <f t="shared" si="4"/>
        <v>中山製鋼:豊通Ｈ２(特級)</v>
      </c>
    </row>
    <row r="24" ht="15.75" customHeight="1">
      <c r="A24" s="335" t="s">
        <v>1219</v>
      </c>
      <c r="B24" s="336">
        <v>45580.0</v>
      </c>
      <c r="C24" s="335" t="s">
        <v>5</v>
      </c>
      <c r="D24" s="335" t="s">
        <v>46</v>
      </c>
      <c r="E24" s="337" t="str">
        <f t="shared" si="1"/>
        <v>中山製鋼:阪和</v>
      </c>
      <c r="F24" s="338" t="s">
        <v>119</v>
      </c>
      <c r="G24" s="339" t="str">
        <f t="shared" si="2"/>
        <v>中山製鋼:阪和Ｈ３(1級)</v>
      </c>
      <c r="H24" s="340">
        <f t="shared" si="3"/>
        <v>31.8</v>
      </c>
      <c r="I24" s="341">
        <v>31.8</v>
      </c>
      <c r="J24" s="332" t="str">
        <f>IFERROR(__xludf.DUMMYFUNCTION("IF(IF(COUNTIF(P$2:P23, P24)=0, """", INDEX(H$2:H23,
MAX(FILTER(ROW(H$2:H23) - ROW(H$2) + 1, P$2:P23 = P24))))=""単価"","""",
IF(COUNTIF(P$2:P23, P24)=0, """", INDEX(H$2:H23,
MAX(FILTER(ROW(H$2:H23) - ROW(H$2) + 1, P$2:P23 = P24)))))"),"")</f>
        <v/>
      </c>
      <c r="N24" s="335" t="str">
        <f>IF(MAXIFS('単価履歴'!$O:$O,'単価履歴'!$E:$E,E24,'単価履歴'!$F:$F,F24)=O24,"●","")</f>
        <v/>
      </c>
      <c r="O24" s="346">
        <v>45580.448275462964</v>
      </c>
      <c r="P24" s="334" t="str">
        <f t="shared" si="4"/>
        <v>中山製鋼:阪和Ｈ３(1級)</v>
      </c>
    </row>
    <row r="25" ht="15.75" customHeight="1">
      <c r="A25" s="335" t="s">
        <v>1220</v>
      </c>
      <c r="B25" s="336">
        <v>45580.0</v>
      </c>
      <c r="C25" s="335" t="s">
        <v>5</v>
      </c>
      <c r="D25" s="335" t="s">
        <v>47</v>
      </c>
      <c r="E25" s="337" t="str">
        <f t="shared" si="1"/>
        <v>中山製鋼:豊通</v>
      </c>
      <c r="F25" s="338" t="s">
        <v>119</v>
      </c>
      <c r="G25" s="339" t="str">
        <f t="shared" si="2"/>
        <v>中山製鋼:豊通Ｈ３(1級)</v>
      </c>
      <c r="H25" s="340">
        <f t="shared" si="3"/>
        <v>32.8</v>
      </c>
      <c r="I25" s="332">
        <v>32.8</v>
      </c>
      <c r="J25" s="332" t="str">
        <f>IFERROR(__xludf.DUMMYFUNCTION("IF(IF(COUNTIF(P$2:P24, P25)=0, """", INDEX(H$2:H24,
MAX(FILTER(ROW(H$2:H24) - ROW(H$2) + 1, P$2:P24 = P25))))=""単価"","""",
IF(COUNTIF(P$2:P24, P25)=0, """", INDEX(H$2:H24,
MAX(FILTER(ROW(H$2:H24) - ROW(H$2) + 1, P$2:P24 = P25)))))"),"")</f>
        <v/>
      </c>
      <c r="N25" s="335" t="str">
        <f>IF(MAXIFS('単価履歴'!$O:$O,'単価履歴'!$E:$E,E25,'単価履歴'!$F:$F,F25)=O25,"●","")</f>
        <v/>
      </c>
      <c r="O25" s="346">
        <v>45580.448275462964</v>
      </c>
      <c r="P25" s="334" t="str">
        <f t="shared" si="4"/>
        <v>中山製鋼:豊通Ｈ３(1級)</v>
      </c>
    </row>
    <row r="26" ht="15.75" customHeight="1">
      <c r="A26" s="335" t="s">
        <v>1221</v>
      </c>
      <c r="B26" s="336">
        <v>45580.0</v>
      </c>
      <c r="C26" s="335" t="s">
        <v>5</v>
      </c>
      <c r="D26" s="335" t="s">
        <v>46</v>
      </c>
      <c r="E26" s="337" t="str">
        <f t="shared" si="1"/>
        <v>中山製鋼:阪和</v>
      </c>
      <c r="F26" s="338" t="s">
        <v>119</v>
      </c>
      <c r="G26" s="339" t="str">
        <f t="shared" si="2"/>
        <v>中山製鋼:阪和Ｈ３(1級)</v>
      </c>
      <c r="H26" s="340">
        <f t="shared" si="3"/>
        <v>63.6</v>
      </c>
      <c r="I26" s="341">
        <v>31.8</v>
      </c>
      <c r="J26" s="332">
        <f>IFERROR(__xludf.DUMMYFUNCTION("IF(IF(COUNTIF(P$2:P25, P26)=0, """", INDEX(H$2:H25,
MAX(FILTER(ROW(H$2:H25) - ROW(H$2) + 1, P$2:P25 = P26))))=""単価"","""",
IF(COUNTIF(P$2:P25, P26)=0, """", INDEX(H$2:H25,
MAX(FILTER(ROW(H$2:H25) - ROW(H$2) + 1, P$2:P25 = P26)))))"),31.8)</f>
        <v>31.8</v>
      </c>
      <c r="N26" s="335" t="str">
        <f>IF(MAXIFS('単価履歴'!$O:$O,'単価履歴'!$E:$E,E26,'単価履歴'!$F:$F,F26)=O26,"●","")</f>
        <v/>
      </c>
      <c r="O26" s="346">
        <v>45580.448275462964</v>
      </c>
      <c r="P26" s="334" t="str">
        <f t="shared" si="4"/>
        <v>中山製鋼:阪和Ｈ３(1級)</v>
      </c>
    </row>
    <row r="27" ht="15.75" customHeight="1">
      <c r="A27" s="335" t="s">
        <v>1222</v>
      </c>
      <c r="B27" s="336">
        <v>45580.0</v>
      </c>
      <c r="C27" s="335" t="s">
        <v>5</v>
      </c>
      <c r="D27" s="335" t="s">
        <v>46</v>
      </c>
      <c r="E27" s="337" t="str">
        <f t="shared" si="1"/>
        <v>中山製鋼:阪和</v>
      </c>
      <c r="F27" s="338" t="s">
        <v>122</v>
      </c>
      <c r="G27" s="339" t="str">
        <f t="shared" si="2"/>
        <v>中山製鋼:阪和Ｌ１(2級)</v>
      </c>
      <c r="H27" s="340">
        <f t="shared" si="3"/>
        <v>25.3</v>
      </c>
      <c r="I27" s="341">
        <v>25.3</v>
      </c>
      <c r="J27" s="332" t="str">
        <f>IFERROR(__xludf.DUMMYFUNCTION("IF(IF(COUNTIF(P$2:P26, P27)=0, """", INDEX(H$2:H26,
MAX(FILTER(ROW(H$2:H26) - ROW(H$2) + 1, P$2:P26 = P27))))=""単価"","""",
IF(COUNTIF(P$2:P26, P27)=0, """", INDEX(H$2:H26,
MAX(FILTER(ROW(H$2:H26) - ROW(H$2) + 1, P$2:P26 = P27)))))"),"")</f>
        <v/>
      </c>
      <c r="N27" s="335" t="str">
        <f>IF(MAXIFS('単価履歴'!$O:$O,'単価履歴'!$E:$E,E27,'単価履歴'!$F:$F,F27)=O27,"●","")</f>
        <v/>
      </c>
      <c r="O27" s="346">
        <v>45580.44844907407</v>
      </c>
      <c r="P27" s="334" t="str">
        <f t="shared" si="4"/>
        <v>中山製鋼:阪和Ｌ１(2級)</v>
      </c>
    </row>
    <row r="28" ht="15.75" customHeight="1">
      <c r="A28" s="335" t="s">
        <v>1223</v>
      </c>
      <c r="B28" s="336">
        <v>45580.0</v>
      </c>
      <c r="C28" s="335" t="s">
        <v>5</v>
      </c>
      <c r="D28" s="335" t="s">
        <v>47</v>
      </c>
      <c r="E28" s="337" t="str">
        <f t="shared" si="1"/>
        <v>中山製鋼:豊通</v>
      </c>
      <c r="F28" s="338" t="s">
        <v>122</v>
      </c>
      <c r="G28" s="339" t="str">
        <f t="shared" si="2"/>
        <v>中山製鋼:豊通Ｌ１(2級)</v>
      </c>
      <c r="H28" s="340">
        <f t="shared" si="3"/>
        <v>26.3</v>
      </c>
      <c r="I28" s="335">
        <v>26.3</v>
      </c>
      <c r="J28" s="332" t="str">
        <f>IFERROR(__xludf.DUMMYFUNCTION("IF(IF(COUNTIF(P$2:P27, P28)=0, """", INDEX(H$2:H27,
MAX(FILTER(ROW(H$2:H27) - ROW(H$2) + 1, P$2:P27 = P28))))=""単価"","""",
IF(COUNTIF(P$2:P27, P28)=0, """", INDEX(H$2:H27,
MAX(FILTER(ROW(H$2:H27) - ROW(H$2) + 1, P$2:P27 = P28)))))"),"")</f>
        <v/>
      </c>
      <c r="N28" s="335" t="str">
        <f>IF(MAXIFS('単価履歴'!$O:$O,'単価履歴'!$E:$E,E28,'単価履歴'!$F:$F,F28)=O28,"●","")</f>
        <v/>
      </c>
      <c r="O28" s="346">
        <v>45580.44844907407</v>
      </c>
      <c r="P28" s="334" t="str">
        <f t="shared" si="4"/>
        <v>中山製鋼:豊通Ｌ１(2級)</v>
      </c>
    </row>
    <row r="29" ht="15.75" customHeight="1">
      <c r="A29" s="335" t="s">
        <v>1224</v>
      </c>
      <c r="B29" s="336">
        <v>45580.0</v>
      </c>
      <c r="C29" s="335" t="s">
        <v>5</v>
      </c>
      <c r="D29" s="335" t="s">
        <v>46</v>
      </c>
      <c r="E29" s="337" t="str">
        <f t="shared" si="1"/>
        <v>中山製鋼:阪和</v>
      </c>
      <c r="F29" s="338" t="s">
        <v>122</v>
      </c>
      <c r="G29" s="339" t="str">
        <f t="shared" si="2"/>
        <v>中山製鋼:阪和Ｌ１(2級)</v>
      </c>
      <c r="H29" s="340">
        <f t="shared" si="3"/>
        <v>50.6</v>
      </c>
      <c r="I29" s="341">
        <v>25.3</v>
      </c>
      <c r="J29" s="332">
        <f>IFERROR(__xludf.DUMMYFUNCTION("IF(IF(COUNTIF(P$2:P28, P29)=0, """", INDEX(H$2:H28,
MAX(FILTER(ROW(H$2:H28) - ROW(H$2) + 1, P$2:P28 = P29))))=""単価"","""",
IF(COUNTIF(P$2:P28, P29)=0, """", INDEX(H$2:H28,
MAX(FILTER(ROW(H$2:H28) - ROW(H$2) + 1, P$2:P28 = P29)))))"),25.3)</f>
        <v>25.3</v>
      </c>
      <c r="N29" s="335" t="str">
        <f>IF(MAXIFS('単価履歴'!$O:$O,'単価履歴'!$E:$E,E29,'単価履歴'!$F:$F,F29)=O29,"●","")</f>
        <v/>
      </c>
      <c r="O29" s="346">
        <v>45580.44844907407</v>
      </c>
      <c r="P29" s="334" t="str">
        <f t="shared" si="4"/>
        <v>中山製鋼:阪和Ｌ１(2級)</v>
      </c>
    </row>
    <row r="30" ht="15.75" customHeight="1">
      <c r="A30" s="335" t="s">
        <v>1225</v>
      </c>
      <c r="B30" s="336">
        <v>45580.0</v>
      </c>
      <c r="C30" s="335" t="s">
        <v>5</v>
      </c>
      <c r="D30" s="335" t="s">
        <v>46</v>
      </c>
      <c r="E30" s="337" t="str">
        <f t="shared" si="1"/>
        <v>中山製鋼:阪和</v>
      </c>
      <c r="F30" s="338" t="s">
        <v>130</v>
      </c>
      <c r="G30" s="339" t="str">
        <f t="shared" si="2"/>
        <v>中山製鋼:阪和新断Ａ</v>
      </c>
      <c r="H30" s="340">
        <f t="shared" si="3"/>
        <v>43.8</v>
      </c>
      <c r="I30" s="341">
        <v>43.8</v>
      </c>
      <c r="J30" s="332" t="str">
        <f>IFERROR(__xludf.DUMMYFUNCTION("IF(IF(COUNTIF(P$2:P29, P30)=0, """", INDEX(H$2:H29,
MAX(FILTER(ROW(H$2:H29) - ROW(H$2) + 1, P$2:P29 = P30))))=""単価"","""",
IF(COUNTIF(P$2:P29, P30)=0, """", INDEX(H$2:H29,
MAX(FILTER(ROW(H$2:H29) - ROW(H$2) + 1, P$2:P29 = P30)))))"),"")</f>
        <v/>
      </c>
      <c r="N30" s="335" t="str">
        <f>IF(MAXIFS('単価履歴'!$O:$O,'単価履歴'!$E:$E,E30,'単価履歴'!$F:$F,F30)=O30,"●","")</f>
        <v/>
      </c>
      <c r="O30" s="346">
        <v>45580.44862268519</v>
      </c>
      <c r="P30" s="334" t="str">
        <f t="shared" si="4"/>
        <v>中山製鋼:阪和新断Ａ</v>
      </c>
    </row>
    <row r="31" ht="15.75" customHeight="1">
      <c r="A31" s="335" t="s">
        <v>1226</v>
      </c>
      <c r="B31" s="336">
        <v>45580.0</v>
      </c>
      <c r="C31" s="335" t="s">
        <v>5</v>
      </c>
      <c r="D31" s="335" t="s">
        <v>47</v>
      </c>
      <c r="E31" s="337" t="str">
        <f t="shared" si="1"/>
        <v>中山製鋼:豊通</v>
      </c>
      <c r="F31" s="338" t="s">
        <v>130</v>
      </c>
      <c r="G31" s="339" t="str">
        <f t="shared" si="2"/>
        <v>中山製鋼:豊通新断Ａ</v>
      </c>
      <c r="H31" s="340">
        <f t="shared" si="3"/>
        <v>44.8</v>
      </c>
      <c r="I31" s="335">
        <v>44.8</v>
      </c>
      <c r="J31" s="332" t="str">
        <f>IFERROR(__xludf.DUMMYFUNCTION("IF(IF(COUNTIF(P$2:P30, P31)=0, """", INDEX(H$2:H30,
MAX(FILTER(ROW(H$2:H30) - ROW(H$2) + 1, P$2:P30 = P31))))=""単価"","""",
IF(COUNTIF(P$2:P30, P31)=0, """", INDEX(H$2:H30,
MAX(FILTER(ROW(H$2:H30) - ROW(H$2) + 1, P$2:P30 = P31)))))"),"")</f>
        <v/>
      </c>
      <c r="N31" s="335" t="str">
        <f>IF(MAXIFS('単価履歴'!$O:$O,'単価履歴'!$E:$E,E31,'単価履歴'!$F:$F,F31)=O31,"●","")</f>
        <v/>
      </c>
      <c r="O31" s="346">
        <v>45580.44862268519</v>
      </c>
      <c r="P31" s="334" t="str">
        <f t="shared" si="4"/>
        <v>中山製鋼:豊通新断Ａ</v>
      </c>
    </row>
    <row r="32" ht="15.75" customHeight="1">
      <c r="A32" s="335" t="s">
        <v>1227</v>
      </c>
      <c r="B32" s="336">
        <v>45580.0</v>
      </c>
      <c r="C32" s="335" t="s">
        <v>5</v>
      </c>
      <c r="D32" s="335" t="s">
        <v>46</v>
      </c>
      <c r="E32" s="337" t="str">
        <f t="shared" si="1"/>
        <v>中山製鋼:阪和</v>
      </c>
      <c r="F32" s="338" t="s">
        <v>130</v>
      </c>
      <c r="G32" s="339" t="str">
        <f t="shared" si="2"/>
        <v>中山製鋼:阪和新断Ａ</v>
      </c>
      <c r="H32" s="340">
        <f t="shared" si="3"/>
        <v>87.6</v>
      </c>
      <c r="I32" s="341">
        <v>43.8</v>
      </c>
      <c r="J32" s="332">
        <f>IFERROR(__xludf.DUMMYFUNCTION("IF(IF(COUNTIF(P$2:P31, P32)=0, """", INDEX(H$2:H31,
MAX(FILTER(ROW(H$2:H31) - ROW(H$2) + 1, P$2:P31 = P32))))=""単価"","""",
IF(COUNTIF(P$2:P31, P32)=0, """", INDEX(H$2:H31,
MAX(FILTER(ROW(H$2:H31) - ROW(H$2) + 1, P$2:P31 = P32)))))"),43.8)</f>
        <v>43.8</v>
      </c>
      <c r="N32" s="335" t="str">
        <f>IF(MAXIFS('単価履歴'!$O:$O,'単価履歴'!$E:$E,E32,'単価履歴'!$F:$F,F32)=O32,"●","")</f>
        <v/>
      </c>
      <c r="O32" s="346">
        <v>45580.44862268519</v>
      </c>
      <c r="P32" s="334" t="str">
        <f t="shared" si="4"/>
        <v>中山製鋼:阪和新断Ａ</v>
      </c>
    </row>
    <row r="33" ht="15.75" customHeight="1">
      <c r="A33" s="335" t="s">
        <v>1228</v>
      </c>
      <c r="B33" s="336">
        <v>45580.0</v>
      </c>
      <c r="C33" s="335" t="s">
        <v>5</v>
      </c>
      <c r="D33" s="335" t="s">
        <v>46</v>
      </c>
      <c r="E33" s="337" t="str">
        <f t="shared" si="1"/>
        <v>中山製鋼:阪和</v>
      </c>
      <c r="F33" s="338" t="s">
        <v>131</v>
      </c>
      <c r="G33" s="339" t="str">
        <f t="shared" si="2"/>
        <v>中山製鋼:阪和新断Ｂ</v>
      </c>
      <c r="H33" s="340">
        <f t="shared" si="3"/>
        <v>42.8</v>
      </c>
      <c r="I33" s="341">
        <v>42.8</v>
      </c>
      <c r="J33" s="332" t="str">
        <f>IFERROR(__xludf.DUMMYFUNCTION("IF(IF(COUNTIF(P$2:P32, P33)=0, """", INDEX(H$2:H32,
MAX(FILTER(ROW(H$2:H32) - ROW(H$2) + 1, P$2:P32 = P33))))=""単価"","""",
IF(COUNTIF(P$2:P32, P33)=0, """", INDEX(H$2:H32,
MAX(FILTER(ROW(H$2:H32) - ROW(H$2) + 1, P$2:P32 = P33)))))"),"")</f>
        <v/>
      </c>
      <c r="N33" s="335" t="str">
        <f>IF(MAXIFS('単価履歴'!$O:$O,'単価履歴'!$E:$E,E33,'単価履歴'!$F:$F,F33)=O33,"●","")</f>
        <v/>
      </c>
      <c r="O33" s="346">
        <v>45580.44890046296</v>
      </c>
      <c r="P33" s="334" t="str">
        <f t="shared" si="4"/>
        <v>中山製鋼:阪和新断Ｂ</v>
      </c>
    </row>
    <row r="34" ht="15.75" customHeight="1">
      <c r="A34" s="335" t="s">
        <v>1229</v>
      </c>
      <c r="B34" s="336">
        <v>45580.0</v>
      </c>
      <c r="C34" s="335" t="s">
        <v>5</v>
      </c>
      <c r="D34" s="335" t="s">
        <v>47</v>
      </c>
      <c r="E34" s="337" t="str">
        <f t="shared" si="1"/>
        <v>中山製鋼:豊通</v>
      </c>
      <c r="F34" s="338" t="s">
        <v>131</v>
      </c>
      <c r="G34" s="339" t="str">
        <f t="shared" si="2"/>
        <v>中山製鋼:豊通新断Ｂ</v>
      </c>
      <c r="H34" s="340">
        <f t="shared" si="3"/>
        <v>43.8</v>
      </c>
      <c r="I34" s="332">
        <v>43.8</v>
      </c>
      <c r="J34" s="332" t="str">
        <f>IFERROR(__xludf.DUMMYFUNCTION("IF(IF(COUNTIF(P$2:P33, P34)=0, """", INDEX(H$2:H33,
MAX(FILTER(ROW(H$2:H33) - ROW(H$2) + 1, P$2:P33 = P34))))=""単価"","""",
IF(COUNTIF(P$2:P33, P34)=0, """", INDEX(H$2:H33,
MAX(FILTER(ROW(H$2:H33) - ROW(H$2) + 1, P$2:P33 = P34)))))"),"")</f>
        <v/>
      </c>
      <c r="N34" s="335" t="str">
        <f>IF(MAXIFS('単価履歴'!$O:$O,'単価履歴'!$E:$E,E34,'単価履歴'!$F:$F,F34)=O34,"●","")</f>
        <v/>
      </c>
      <c r="O34" s="346">
        <v>45580.44890046296</v>
      </c>
      <c r="P34" s="334" t="str">
        <f t="shared" si="4"/>
        <v>中山製鋼:豊通新断Ｂ</v>
      </c>
    </row>
    <row r="35" ht="15.75" customHeight="1">
      <c r="A35" s="335" t="s">
        <v>1230</v>
      </c>
      <c r="B35" s="336">
        <v>45580.0</v>
      </c>
      <c r="C35" s="335" t="s">
        <v>5</v>
      </c>
      <c r="D35" s="335" t="s">
        <v>46</v>
      </c>
      <c r="E35" s="337" t="str">
        <f t="shared" si="1"/>
        <v>中山製鋼:阪和</v>
      </c>
      <c r="F35" s="338" t="s">
        <v>131</v>
      </c>
      <c r="G35" s="339" t="str">
        <f t="shared" si="2"/>
        <v>中山製鋼:阪和新断Ｂ</v>
      </c>
      <c r="H35" s="340">
        <f t="shared" si="3"/>
        <v>85.6</v>
      </c>
      <c r="I35" s="341">
        <v>42.8</v>
      </c>
      <c r="J35" s="332">
        <f>IFERROR(__xludf.DUMMYFUNCTION("IF(IF(COUNTIF(P$2:P34, P35)=0, """", INDEX(H$2:H34,
MAX(FILTER(ROW(H$2:H34) - ROW(H$2) + 1, P$2:P34 = P35))))=""単価"","""",
IF(COUNTIF(P$2:P34, P35)=0, """", INDEX(H$2:H34,
MAX(FILTER(ROW(H$2:H34) - ROW(H$2) + 1, P$2:P34 = P35)))))"),42.8)</f>
        <v>42.8</v>
      </c>
      <c r="N35" s="335" t="str">
        <f>IF(MAXIFS('単価履歴'!$O:$O,'単価履歴'!$E:$E,E35,'単価履歴'!$F:$F,F35)=O35,"●","")</f>
        <v/>
      </c>
      <c r="O35" s="346">
        <v>45580.44890046296</v>
      </c>
      <c r="P35" s="334" t="str">
        <f t="shared" si="4"/>
        <v>中山製鋼:阪和新断Ｂ</v>
      </c>
    </row>
    <row r="36" ht="15.75" customHeight="1">
      <c r="A36" s="335" t="s">
        <v>1231</v>
      </c>
      <c r="B36" s="343">
        <v>45580.0</v>
      </c>
      <c r="C36" s="335" t="s">
        <v>5</v>
      </c>
      <c r="D36" s="335" t="s">
        <v>1232</v>
      </c>
      <c r="E36" s="337" t="str">
        <f t="shared" si="1"/>
        <v>中山製鋼:豊通/出張商店</v>
      </c>
      <c r="F36" s="338" t="s">
        <v>130</v>
      </c>
      <c r="G36" s="339" t="str">
        <f t="shared" si="2"/>
        <v>中山製鋼:豊通/出張商店新断Ａ</v>
      </c>
      <c r="H36" s="340">
        <f t="shared" si="3"/>
        <v>42.8</v>
      </c>
      <c r="I36" s="335">
        <v>42.8</v>
      </c>
      <c r="J36" s="332" t="str">
        <f>IFERROR(__xludf.DUMMYFUNCTION("IF(IF(COUNTIF(P$2:P35, P36)=0, """", INDEX(H$2:H35,
MAX(FILTER(ROW(H$2:H35) - ROW(H$2) + 1, P$2:P35 = P36))))=""単価"","""",
IF(COUNTIF(P$2:P35, P36)=0, """", INDEX(H$2:H35,
MAX(FILTER(ROW(H$2:H35) - ROW(H$2) + 1, P$2:P35 = P36)))))"),"")</f>
        <v/>
      </c>
      <c r="N36" s="335" t="str">
        <f>IF(MAXIFS('単価履歴'!$O:$O,'単価履歴'!$E:$E,E36,'単価履歴'!$F:$F,F36)=O36,"●","")</f>
        <v/>
      </c>
      <c r="O36" s="345">
        <v>45580.44954861111</v>
      </c>
      <c r="P36" s="334" t="str">
        <f t="shared" si="4"/>
        <v>中山製鋼:豊通/出張商店新断Ａ</v>
      </c>
    </row>
    <row r="37" ht="15.75" customHeight="1">
      <c r="A37" s="347" t="s">
        <v>1233</v>
      </c>
      <c r="B37" s="343">
        <v>45580.0</v>
      </c>
      <c r="C37" s="335" t="s">
        <v>5</v>
      </c>
      <c r="D37" s="335" t="s">
        <v>1234</v>
      </c>
      <c r="E37" s="337" t="str">
        <f t="shared" si="1"/>
        <v>中山製鋼:豊通/中川嘉弘商店</v>
      </c>
      <c r="F37" s="338" t="s">
        <v>130</v>
      </c>
      <c r="G37" s="339" t="str">
        <f t="shared" si="2"/>
        <v>中山製鋼:豊通/中川嘉弘商店新断Ａ</v>
      </c>
      <c r="H37" s="340">
        <f t="shared" si="3"/>
        <v>40.8</v>
      </c>
      <c r="I37" s="335">
        <v>40.8</v>
      </c>
      <c r="J37" s="332" t="str">
        <f>IFERROR(__xludf.DUMMYFUNCTION("IF(IF(COUNTIF(P$2:P36, P37)=0, """", INDEX(H$2:H36,
MAX(FILTER(ROW(H$2:H36) - ROW(H$2) + 1, P$2:P36 = P37))))=""単価"","""",
IF(COUNTIF(P$2:P36, P37)=0, """", INDEX(H$2:H36,
MAX(FILTER(ROW(H$2:H36) - ROW(H$2) + 1, P$2:P36 = P37)))))"),"")</f>
        <v/>
      </c>
      <c r="N37" s="335" t="str">
        <f>IF(MAXIFS('単価履歴'!$O:$O,'単価履歴'!$E:$E,E37,'単価履歴'!$F:$F,F37)=O37,"●","")</f>
        <v/>
      </c>
      <c r="O37" s="345">
        <v>45580.44972222222</v>
      </c>
      <c r="P37" s="334" t="str">
        <f t="shared" si="4"/>
        <v>中山製鋼:豊通/中川嘉弘商店新断Ａ</v>
      </c>
    </row>
    <row r="38" ht="15.75" customHeight="1">
      <c r="A38" s="335" t="s">
        <v>1235</v>
      </c>
      <c r="B38" s="343">
        <v>45580.0</v>
      </c>
      <c r="C38" s="335" t="s">
        <v>6</v>
      </c>
      <c r="D38" s="335" t="s">
        <v>48</v>
      </c>
      <c r="E38" s="337" t="str">
        <f t="shared" si="1"/>
        <v>中山鋼業:ナベ</v>
      </c>
      <c r="F38" s="338" t="s">
        <v>111</v>
      </c>
      <c r="G38" s="339" t="str">
        <f t="shared" si="2"/>
        <v>中山鋼業:ナベＨ１(特A)</v>
      </c>
      <c r="H38" s="340">
        <f t="shared" si="3"/>
        <v>42.5</v>
      </c>
      <c r="I38" s="335">
        <v>42.5</v>
      </c>
      <c r="J38" s="332" t="str">
        <f>IFERROR(__xludf.DUMMYFUNCTION("IF(IF(COUNTIF(P$2:P37, P38)=0, """", INDEX(H$2:H37,
MAX(FILTER(ROW(H$2:H37) - ROW(H$2) + 1, P$2:P37 = P38))))=""単価"","""",
IF(COUNTIF(P$2:P37, P38)=0, """", INDEX(H$2:H37,
MAX(FILTER(ROW(H$2:H37) - ROW(H$2) + 1, P$2:P37 = P38)))))"),"")</f>
        <v/>
      </c>
      <c r="N38" s="335" t="str">
        <f>IF(MAXIFS('単価履歴'!$O:$O,'単価履歴'!$E:$E,E38,'単価履歴'!$F:$F,F38)=O38,"●","")</f>
        <v/>
      </c>
      <c r="O38" s="345">
        <v>45580.45023148148</v>
      </c>
      <c r="P38" s="334" t="str">
        <f t="shared" si="4"/>
        <v>中山鋼業:ナベＨ１(特A)</v>
      </c>
    </row>
    <row r="39" ht="15.75" customHeight="1">
      <c r="A39" s="335" t="s">
        <v>1236</v>
      </c>
      <c r="B39" s="343">
        <v>45580.0</v>
      </c>
      <c r="C39" s="335" t="s">
        <v>6</v>
      </c>
      <c r="D39" s="335" t="s">
        <v>48</v>
      </c>
      <c r="E39" s="337" t="str">
        <f t="shared" si="1"/>
        <v>中山鋼業:ナベ</v>
      </c>
      <c r="F39" s="338" t="s">
        <v>1237</v>
      </c>
      <c r="G39" s="339" t="str">
        <f t="shared" si="2"/>
        <v>中山鋼業:ナベＪＨ１(H2T山口)鍛造ﾊﾞﾘ</v>
      </c>
      <c r="H39" s="340">
        <f t="shared" si="3"/>
        <v>41.7</v>
      </c>
      <c r="I39" s="335">
        <v>41.7</v>
      </c>
      <c r="J39" s="332" t="str">
        <f>IFERROR(__xludf.DUMMYFUNCTION("IF(IF(COUNTIF(P$2:P38, P39)=0, """", INDEX(H$2:H38,
MAX(FILTER(ROW(H$2:H38) - ROW(H$2) + 1, P$2:P38 = P39))))=""単価"","""",
IF(COUNTIF(P$2:P38, P39)=0, """", INDEX(H$2:H38,
MAX(FILTER(ROW(H$2:H38) - ROW(H$2) + 1, P$2:P38 = P39)))))"),"")</f>
        <v/>
      </c>
      <c r="N39" s="335" t="str">
        <f>IF(MAXIFS('単価履歴'!$O:$O,'単価履歴'!$E:$E,E39,'単価履歴'!$F:$F,F39)=O39,"●","")</f>
        <v/>
      </c>
      <c r="O39" s="345">
        <v>45580.452835648146</v>
      </c>
      <c r="P39" s="334" t="str">
        <f t="shared" si="4"/>
        <v>中山鋼業:ナベＪＨ１(H2T山口)鍛造ﾊﾞﾘ</v>
      </c>
    </row>
    <row r="40" ht="15.75" customHeight="1">
      <c r="A40" s="335" t="s">
        <v>1238</v>
      </c>
      <c r="B40" s="343">
        <v>45580.0</v>
      </c>
      <c r="C40" s="335" t="s">
        <v>6</v>
      </c>
      <c r="D40" s="335" t="s">
        <v>48</v>
      </c>
      <c r="E40" s="337" t="str">
        <f t="shared" si="1"/>
        <v>中山鋼業:ナベ</v>
      </c>
      <c r="F40" s="338" t="s">
        <v>116</v>
      </c>
      <c r="G40" s="339" t="str">
        <f t="shared" si="2"/>
        <v>中山鋼業:ナベＨ２(特級)</v>
      </c>
      <c r="H40" s="340">
        <f t="shared" si="3"/>
        <v>40.5</v>
      </c>
      <c r="I40" s="335">
        <v>40.5</v>
      </c>
      <c r="J40" s="332" t="str">
        <f>IFERROR(__xludf.DUMMYFUNCTION("IF(IF(COUNTIF(P$2:P39, P40)=0, """", INDEX(H$2:H39,
MAX(FILTER(ROW(H$2:H39) - ROW(H$2) + 1, P$2:P39 = P40))))=""単価"","""",
IF(COUNTIF(P$2:P39, P40)=0, """", INDEX(H$2:H39,
MAX(FILTER(ROW(H$2:H39) - ROW(H$2) + 1, P$2:P39 = P40)))))"),"")</f>
        <v/>
      </c>
      <c r="N40" s="335" t="str">
        <f>IF(MAXIFS('単価履歴'!$O:$O,'単価履歴'!$E:$E,E40,'単価履歴'!$F:$F,F40)=O40,"●","")</f>
        <v/>
      </c>
      <c r="O40" s="345">
        <v>45580.452997685185</v>
      </c>
      <c r="P40" s="334" t="str">
        <f t="shared" si="4"/>
        <v>中山鋼業:ナベＨ２(特級)</v>
      </c>
    </row>
    <row r="41" ht="15.75" customHeight="1">
      <c r="A41" s="335" t="s">
        <v>1239</v>
      </c>
      <c r="B41" s="343">
        <v>45580.0</v>
      </c>
      <c r="C41" s="335" t="s">
        <v>6</v>
      </c>
      <c r="D41" s="335" t="s">
        <v>48</v>
      </c>
      <c r="E41" s="337" t="str">
        <f t="shared" si="1"/>
        <v>中山鋼業:ナベ</v>
      </c>
      <c r="F41" s="338" t="s">
        <v>119</v>
      </c>
      <c r="G41" s="339" t="str">
        <f t="shared" si="2"/>
        <v>中山鋼業:ナベＨ３(1級)</v>
      </c>
      <c r="H41" s="340">
        <f t="shared" si="3"/>
        <v>38</v>
      </c>
      <c r="I41" s="335">
        <v>38.0</v>
      </c>
      <c r="J41" s="332" t="str">
        <f>IFERROR(__xludf.DUMMYFUNCTION("IF(IF(COUNTIF(P$2:P40, P41)=0, """", INDEX(H$2:H40,
MAX(FILTER(ROW(H$2:H40) - ROW(H$2) + 1, P$2:P40 = P41))))=""単価"","""",
IF(COUNTIF(P$2:P40, P41)=0, """", INDEX(H$2:H40,
MAX(FILTER(ROW(H$2:H40) - ROW(H$2) + 1, P$2:P40 = P41)))))"),"")</f>
        <v/>
      </c>
      <c r="N41" s="335" t="str">
        <f>IF(MAXIFS('単価履歴'!$O:$O,'単価履歴'!$E:$E,E41,'単価履歴'!$F:$F,F41)=O41,"●","")</f>
        <v/>
      </c>
      <c r="O41" s="345">
        <v>45580.45318287037</v>
      </c>
      <c r="P41" s="334" t="str">
        <f t="shared" si="4"/>
        <v>中山鋼業:ナベＨ３(1級)</v>
      </c>
    </row>
    <row r="42" ht="15.75" customHeight="1">
      <c r="A42" s="335" t="s">
        <v>1240</v>
      </c>
      <c r="B42" s="343">
        <v>45580.0</v>
      </c>
      <c r="C42" s="335" t="s">
        <v>6</v>
      </c>
      <c r="D42" s="335" t="s">
        <v>48</v>
      </c>
      <c r="E42" s="337" t="str">
        <f t="shared" si="1"/>
        <v>中山鋼業:ナベ</v>
      </c>
      <c r="F42" s="338" t="s">
        <v>122</v>
      </c>
      <c r="G42" s="339" t="str">
        <f t="shared" si="2"/>
        <v>中山鋼業:ナベＬ１(2級)</v>
      </c>
      <c r="H42" s="340">
        <f t="shared" si="3"/>
        <v>37.5</v>
      </c>
      <c r="I42" s="335">
        <v>37.5</v>
      </c>
      <c r="J42" s="332" t="str">
        <f>IFERROR(__xludf.DUMMYFUNCTION("IF(IF(COUNTIF(P$2:P41, P42)=0, """", INDEX(H$2:H41,
MAX(FILTER(ROW(H$2:H41) - ROW(H$2) + 1, P$2:P41 = P42))))=""単価"","""",
IF(COUNTIF(P$2:P41, P42)=0, """", INDEX(H$2:H41,
MAX(FILTER(ROW(H$2:H41) - ROW(H$2) + 1, P$2:P41 = P42)))))"),"")</f>
        <v/>
      </c>
      <c r="N42" s="335" t="str">
        <f>IF(MAXIFS('単価履歴'!$O:$O,'単価履歴'!$E:$E,E42,'単価履歴'!$F:$F,F42)=O42,"●","")</f>
        <v/>
      </c>
      <c r="O42" s="345">
        <v>45580.45337962963</v>
      </c>
      <c r="P42" s="334" t="str">
        <f t="shared" si="4"/>
        <v>中山鋼業:ナベＬ１(2級)</v>
      </c>
    </row>
    <row r="43" ht="15.75" customHeight="1">
      <c r="A43" s="335" t="s">
        <v>1241</v>
      </c>
      <c r="B43" s="343">
        <v>45580.0</v>
      </c>
      <c r="C43" s="335" t="s">
        <v>6</v>
      </c>
      <c r="D43" s="335" t="s">
        <v>48</v>
      </c>
      <c r="E43" s="337" t="str">
        <f t="shared" si="1"/>
        <v>中山鋼業:ナベ</v>
      </c>
      <c r="F43" s="338" t="s">
        <v>573</v>
      </c>
      <c r="G43" s="339" t="str">
        <f t="shared" si="2"/>
        <v>中山鋼業:ナベＬ２(H4･級外･L1ﾊﾞﾗ)</v>
      </c>
      <c r="H43" s="340">
        <f t="shared" si="3"/>
        <v>27.5</v>
      </c>
      <c r="I43" s="335">
        <v>27.5</v>
      </c>
      <c r="J43" s="332" t="str">
        <f>IFERROR(__xludf.DUMMYFUNCTION("IF(IF(COUNTIF(P$2:P42, P43)=0, """", INDEX(H$2:H42,
MAX(FILTER(ROW(H$2:H42) - ROW(H$2) + 1, P$2:P42 = P43))))=""単価"","""",
IF(COUNTIF(P$2:P42, P43)=0, """", INDEX(H$2:H42,
MAX(FILTER(ROW(H$2:H42) - ROW(H$2) + 1, P$2:P42 = P43)))))"),"")</f>
        <v/>
      </c>
      <c r="N43" s="335" t="str">
        <f>IF(MAXIFS('単価履歴'!$O:$O,'単価履歴'!$E:$E,E43,'単価履歴'!$F:$F,F43)=O43,"●","")</f>
        <v/>
      </c>
      <c r="O43" s="345">
        <v>45580.455462962964</v>
      </c>
      <c r="P43" s="334" t="str">
        <f t="shared" si="4"/>
        <v>中山鋼業:ナベＬ２(H4･級外･L1ﾊﾞﾗ)</v>
      </c>
    </row>
    <row r="44" ht="15.75" customHeight="1">
      <c r="A44" s="335" t="s">
        <v>1242</v>
      </c>
      <c r="B44" s="343">
        <v>45580.0</v>
      </c>
      <c r="C44" s="335" t="s">
        <v>6</v>
      </c>
      <c r="D44" s="335" t="s">
        <v>48</v>
      </c>
      <c r="E44" s="337" t="str">
        <f t="shared" si="1"/>
        <v>中山鋼業:ナベ</v>
      </c>
      <c r="F44" s="338" t="s">
        <v>575</v>
      </c>
      <c r="G44" s="339" t="str">
        <f t="shared" si="2"/>
        <v>中山鋼業:ナベ鋼ダライＡ</v>
      </c>
      <c r="H44" s="340">
        <f t="shared" si="3"/>
        <v>35.2</v>
      </c>
      <c r="I44" s="335">
        <v>35.2</v>
      </c>
      <c r="J44" s="332" t="str">
        <f>IFERROR(__xludf.DUMMYFUNCTION("IF(IF(COUNTIF(P$2:P43, P44)=0, """", INDEX(H$2:H43,
MAX(FILTER(ROW(H$2:H43) - ROW(H$2) + 1, P$2:P43 = P44))))=""単価"","""",
IF(COUNTIF(P$2:P43, P44)=0, """", INDEX(H$2:H43,
MAX(FILTER(ROW(H$2:H43) - ROW(H$2) + 1, P$2:P43 = P44)))))"),"")</f>
        <v/>
      </c>
      <c r="N44" s="335" t="str">
        <f>IF(MAXIFS('単価履歴'!$O:$O,'単価履歴'!$E:$E,E44,'単価履歴'!$F:$F,F44)=O44,"●","")</f>
        <v/>
      </c>
      <c r="O44" s="345">
        <v>45580.457025462965</v>
      </c>
      <c r="P44" s="334" t="str">
        <f t="shared" si="4"/>
        <v>中山鋼業:ナベ鋼ダライＡ</v>
      </c>
    </row>
    <row r="45" ht="15.75" customHeight="1">
      <c r="A45" s="335" t="s">
        <v>1243</v>
      </c>
      <c r="B45" s="336">
        <v>45580.0</v>
      </c>
      <c r="C45" s="335" t="s">
        <v>7</v>
      </c>
      <c r="D45" s="335" t="s">
        <v>49</v>
      </c>
      <c r="E45" s="337" t="str">
        <f t="shared" si="1"/>
        <v>合同大阪:伊藤忠</v>
      </c>
      <c r="F45" s="338" t="s">
        <v>1199</v>
      </c>
      <c r="G45" s="339" t="str">
        <f t="shared" si="2"/>
        <v>合同大阪:伊藤忠ＨＳ１(単体H1/電特A/HS))</v>
      </c>
      <c r="H45" s="340">
        <f t="shared" si="3"/>
        <v>42.8</v>
      </c>
      <c r="I45" s="341">
        <v>42.8</v>
      </c>
      <c r="J45" s="332" t="str">
        <f>IFERROR(__xludf.DUMMYFUNCTION("IF(IF(COUNTIF(P$2:P44, P45)=0, """", INDEX(H$2:H44,
MAX(FILTER(ROW(H$2:H44) - ROW(H$2) + 1, P$2:P44 = P45))))=""単価"","""",
IF(COUNTIF(P$2:P44, P45)=0, """", INDEX(H$2:H44,
MAX(FILTER(ROW(H$2:H44) - ROW(H$2) + 1, P$2:P44 = P45)))))"),"")</f>
        <v/>
      </c>
      <c r="N45" s="335" t="str">
        <f>IF(MAXIFS('単価履歴'!$O:$O,'単価履歴'!$E:$E,E45,'単価履歴'!$F:$F,F45)=O45,"●","")</f>
        <v/>
      </c>
      <c r="O45" s="346">
        <v>45580.457824074074</v>
      </c>
      <c r="P45" s="334" t="str">
        <f t="shared" si="4"/>
        <v>合同大阪:伊藤忠ＨＳ１(単体H1/電特A/HS))</v>
      </c>
    </row>
    <row r="46" ht="15.75" customHeight="1">
      <c r="A46" s="335" t="s">
        <v>1244</v>
      </c>
      <c r="B46" s="336">
        <v>45580.0</v>
      </c>
      <c r="C46" s="335" t="s">
        <v>7</v>
      </c>
      <c r="D46" s="335" t="s">
        <v>49</v>
      </c>
      <c r="E46" s="337" t="str">
        <f t="shared" si="1"/>
        <v>合同大阪:伊藤忠</v>
      </c>
      <c r="F46" s="338" t="s">
        <v>111</v>
      </c>
      <c r="G46" s="339" t="str">
        <f t="shared" si="2"/>
        <v>合同大阪:伊藤忠Ｈ１(特A)</v>
      </c>
      <c r="H46" s="340">
        <f t="shared" si="3"/>
        <v>43.3</v>
      </c>
      <c r="I46" s="335">
        <v>43.3</v>
      </c>
      <c r="J46" s="332" t="str">
        <f>IFERROR(__xludf.DUMMYFUNCTION("IF(IF(COUNTIF(P$2:P45, P46)=0, """", INDEX(H$2:H45,
MAX(FILTER(ROW(H$2:H45) - ROW(H$2) + 1, P$2:P45 = P46))))=""単価"","""",
IF(COUNTIF(P$2:P45, P46)=0, """", INDEX(H$2:H45,
MAX(FILTER(ROW(H$2:H45) - ROW(H$2) + 1, P$2:P45 = P46)))))"),"")</f>
        <v/>
      </c>
      <c r="N46" s="335" t="str">
        <f>IF(MAXIFS('単価履歴'!$O:$O,'単価履歴'!$E:$E,E46,'単価履歴'!$F:$F,F46)=O46,"●","")</f>
        <v/>
      </c>
      <c r="O46" s="346">
        <v>45580.457824074074</v>
      </c>
      <c r="P46" s="334" t="str">
        <f t="shared" si="4"/>
        <v>合同大阪:伊藤忠Ｈ１(特A)</v>
      </c>
    </row>
    <row r="47" ht="15.75" customHeight="1">
      <c r="A47" s="335" t="s">
        <v>1245</v>
      </c>
      <c r="B47" s="336">
        <v>45580.0</v>
      </c>
      <c r="C47" s="335" t="s">
        <v>7</v>
      </c>
      <c r="D47" s="335" t="s">
        <v>49</v>
      </c>
      <c r="E47" s="337" t="str">
        <f t="shared" si="1"/>
        <v>合同大阪:伊藤忠</v>
      </c>
      <c r="F47" s="338" t="s">
        <v>1199</v>
      </c>
      <c r="G47" s="339" t="str">
        <f t="shared" si="2"/>
        <v>合同大阪:伊藤忠ＨＳ１(単体H1/電特A/HS))</v>
      </c>
      <c r="H47" s="340">
        <f t="shared" si="3"/>
        <v>43.8</v>
      </c>
      <c r="I47" s="335">
        <v>1.0</v>
      </c>
      <c r="J47" s="332">
        <f>IFERROR(__xludf.DUMMYFUNCTION("IF(IF(COUNTIF(P$2:P46, P47)=0, """", INDEX(H$2:H46,
MAX(FILTER(ROW(H$2:H46) - ROW(H$2) + 1, P$2:P46 = P47))))=""単価"","""",
IF(COUNTIF(P$2:P46, P47)=0, """", INDEX(H$2:H46,
MAX(FILTER(ROW(H$2:H46) - ROW(H$2) + 1, P$2:P46 = P47)))))"),42.8)</f>
        <v>42.8</v>
      </c>
      <c r="N47" s="335" t="str">
        <f>IF(MAXIFS('単価履歴'!$O:$O,'単価履歴'!$E:$E,E47,'単価履歴'!$F:$F,F47)=O47,"●","")</f>
        <v/>
      </c>
      <c r="O47" s="346">
        <v>45580.457824074074</v>
      </c>
      <c r="P47" s="334" t="str">
        <f t="shared" si="4"/>
        <v>合同大阪:伊藤忠ＨＳ１(単体H1/電特A/HS))</v>
      </c>
    </row>
    <row r="48" ht="15.75" customHeight="1">
      <c r="A48" s="335" t="s">
        <v>1246</v>
      </c>
      <c r="B48" s="336">
        <v>45580.0</v>
      </c>
      <c r="C48" s="335" t="s">
        <v>7</v>
      </c>
      <c r="D48" s="335" t="s">
        <v>49</v>
      </c>
      <c r="E48" s="337" t="str">
        <f t="shared" si="1"/>
        <v>合同大阪:伊藤忠</v>
      </c>
      <c r="F48" s="338" t="s">
        <v>111</v>
      </c>
      <c r="G48" s="339" t="str">
        <f t="shared" si="2"/>
        <v>合同大阪:伊藤忠Ｈ１(特A)</v>
      </c>
      <c r="H48" s="340">
        <f t="shared" si="3"/>
        <v>43.3</v>
      </c>
      <c r="I48" s="335">
        <v>0.0</v>
      </c>
      <c r="J48" s="332">
        <f>IFERROR(__xludf.DUMMYFUNCTION("IF(IF(COUNTIF(P$2:P47, P48)=0, """", INDEX(H$2:H47,
MAX(FILTER(ROW(H$2:H47) - ROW(H$2) + 1, P$2:P47 = P48))))=""単価"","""",
IF(COUNTIF(P$2:P47, P48)=0, """", INDEX(H$2:H47,
MAX(FILTER(ROW(H$2:H47) - ROW(H$2) + 1, P$2:P47 = P48)))))"),43.3)</f>
        <v>43.3</v>
      </c>
      <c r="N48" s="335" t="str">
        <f>IF(MAXIFS('単価履歴'!$O:$O,'単価履歴'!$E:$E,E48,'単価履歴'!$F:$F,F48)=O48,"●","")</f>
        <v/>
      </c>
      <c r="O48" s="346">
        <v>45580.457824074074</v>
      </c>
      <c r="P48" s="334" t="str">
        <f t="shared" si="4"/>
        <v>合同大阪:伊藤忠Ｈ１(特A)</v>
      </c>
    </row>
    <row r="49" ht="15.75" customHeight="1">
      <c r="A49" s="335" t="s">
        <v>1247</v>
      </c>
      <c r="B49" s="336">
        <v>45580.0</v>
      </c>
      <c r="C49" s="335" t="s">
        <v>7</v>
      </c>
      <c r="D49" s="335" t="s">
        <v>49</v>
      </c>
      <c r="E49" s="337" t="str">
        <f t="shared" si="1"/>
        <v>合同大阪:伊藤忠</v>
      </c>
      <c r="F49" s="338" t="s">
        <v>101</v>
      </c>
      <c r="G49" s="339" t="str">
        <f t="shared" si="2"/>
        <v>合同大阪:伊藤忠ＨＳ２</v>
      </c>
      <c r="H49" s="340">
        <f t="shared" si="3"/>
        <v>42.3</v>
      </c>
      <c r="I49" s="341">
        <v>42.3</v>
      </c>
      <c r="J49" s="332" t="str">
        <f>IFERROR(__xludf.DUMMYFUNCTION("IF(IF(COUNTIF(P$2:P48, P49)=0, """", INDEX(H$2:H48,
MAX(FILTER(ROW(H$2:H48) - ROW(H$2) + 1, P$2:P48 = P49))))=""単価"","""",
IF(COUNTIF(P$2:P48, P49)=0, """", INDEX(H$2:H48,
MAX(FILTER(ROW(H$2:H48) - ROW(H$2) + 1, P$2:P48 = P49)))))"),"")</f>
        <v/>
      </c>
      <c r="N49" s="335" t="str">
        <f>IF(MAXIFS('単価履歴'!$O:$O,'単価履歴'!$E:$E,E49,'単価履歴'!$F:$F,F49)=O49,"●","")</f>
        <v/>
      </c>
      <c r="O49" s="346">
        <v>45580.45820601852</v>
      </c>
      <c r="P49" s="334" t="str">
        <f t="shared" si="4"/>
        <v>合同大阪:伊藤忠ＨＳ２</v>
      </c>
    </row>
    <row r="50" ht="15.75" customHeight="1">
      <c r="A50" s="335" t="s">
        <v>1248</v>
      </c>
      <c r="B50" s="336">
        <v>45580.0</v>
      </c>
      <c r="C50" s="335" t="s">
        <v>7</v>
      </c>
      <c r="D50" s="335" t="s">
        <v>49</v>
      </c>
      <c r="E50" s="337" t="str">
        <f t="shared" si="1"/>
        <v>合同大阪:伊藤忠</v>
      </c>
      <c r="F50" s="338" t="s">
        <v>130</v>
      </c>
      <c r="G50" s="339" t="str">
        <f t="shared" si="2"/>
        <v>合同大阪:伊藤忠新断Ａ</v>
      </c>
      <c r="H50" s="340">
        <f t="shared" si="3"/>
        <v>43.3</v>
      </c>
      <c r="I50" s="335">
        <v>43.3</v>
      </c>
      <c r="J50" s="332" t="str">
        <f>IFERROR(__xludf.DUMMYFUNCTION("IF(IF(COUNTIF(P$2:P49, P50)=0, """", INDEX(H$2:H49,
MAX(FILTER(ROW(H$2:H49) - ROW(H$2) + 1, P$2:P49 = P50))))=""単価"","""",
IF(COUNTIF(P$2:P49, P50)=0, """", INDEX(H$2:H49,
MAX(FILTER(ROW(H$2:H49) - ROW(H$2) + 1, P$2:P49 = P50)))))"),"")</f>
        <v/>
      </c>
      <c r="N50" s="335" t="str">
        <f>IF(MAXIFS('単価履歴'!$O:$O,'単価履歴'!$E:$E,E50,'単価履歴'!$F:$F,F50)=O50,"●","")</f>
        <v/>
      </c>
      <c r="O50" s="346">
        <v>45580.45820601852</v>
      </c>
      <c r="P50" s="334" t="str">
        <f t="shared" si="4"/>
        <v>合同大阪:伊藤忠新断Ａ</v>
      </c>
    </row>
    <row r="51" ht="15.75" customHeight="1">
      <c r="A51" s="335" t="s">
        <v>1249</v>
      </c>
      <c r="B51" s="336">
        <v>45580.0</v>
      </c>
      <c r="C51" s="335" t="s">
        <v>7</v>
      </c>
      <c r="D51" s="335" t="s">
        <v>49</v>
      </c>
      <c r="E51" s="337" t="str">
        <f t="shared" si="1"/>
        <v>合同大阪:伊藤忠</v>
      </c>
      <c r="F51" s="338" t="s">
        <v>101</v>
      </c>
      <c r="G51" s="339" t="str">
        <f t="shared" si="2"/>
        <v>合同大阪:伊藤忠ＨＳ２</v>
      </c>
      <c r="H51" s="340">
        <f t="shared" si="3"/>
        <v>43.3</v>
      </c>
      <c r="I51" s="335">
        <v>1.0</v>
      </c>
      <c r="J51" s="332">
        <f>IFERROR(__xludf.DUMMYFUNCTION("IF(IF(COUNTIF(P$2:P50, P51)=0, """", INDEX(H$2:H50,
MAX(FILTER(ROW(H$2:H50) - ROW(H$2) + 1, P$2:P50 = P51))))=""単価"","""",
IF(COUNTIF(P$2:P50, P51)=0, """", INDEX(H$2:H50,
MAX(FILTER(ROW(H$2:H50) - ROW(H$2) + 1, P$2:P50 = P51)))))"),42.3)</f>
        <v>42.3</v>
      </c>
      <c r="N51" s="335" t="str">
        <f>IF(MAXIFS('単価履歴'!$O:$O,'単価履歴'!$E:$E,E51,'単価履歴'!$F:$F,F51)=O51,"●","")</f>
        <v/>
      </c>
      <c r="O51" s="346">
        <v>45580.45820601852</v>
      </c>
      <c r="P51" s="334" t="str">
        <f t="shared" si="4"/>
        <v>合同大阪:伊藤忠ＨＳ２</v>
      </c>
    </row>
    <row r="52" ht="15.75" customHeight="1">
      <c r="A52" s="335" t="s">
        <v>1250</v>
      </c>
      <c r="B52" s="343">
        <v>45580.0</v>
      </c>
      <c r="C52" s="335" t="s">
        <v>7</v>
      </c>
      <c r="D52" s="335" t="s">
        <v>49</v>
      </c>
      <c r="E52" s="337" t="str">
        <f t="shared" si="1"/>
        <v>合同大阪:伊藤忠</v>
      </c>
      <c r="F52" s="338" t="s">
        <v>116</v>
      </c>
      <c r="G52" s="339" t="str">
        <f t="shared" si="2"/>
        <v>合同大阪:伊藤忠Ｈ２(特級)</v>
      </c>
      <c r="H52" s="340">
        <f t="shared" si="3"/>
        <v>41.8</v>
      </c>
      <c r="I52" s="335">
        <v>41.8</v>
      </c>
      <c r="J52" s="332" t="str">
        <f>IFERROR(__xludf.DUMMYFUNCTION("IF(IF(COUNTIF(P$2:P51, P52)=0, """", INDEX(H$2:H51,
MAX(FILTER(ROW(H$2:H51) - ROW(H$2) + 1, P$2:P51 = P52))))=""単価"","""",
IF(COUNTIF(P$2:P51, P52)=0, """", INDEX(H$2:H51,
MAX(FILTER(ROW(H$2:H51) - ROW(H$2) + 1, P$2:P51 = P52)))))"),"")</f>
        <v/>
      </c>
      <c r="N52" s="335" t="str">
        <f>IF(MAXIFS('単価履歴'!$O:$O,'単価履歴'!$E:$E,E52,'単価履歴'!$F:$F,F52)=O52,"●","")</f>
        <v/>
      </c>
      <c r="O52" s="345">
        <v>45580.45857638889</v>
      </c>
      <c r="P52" s="334" t="str">
        <f t="shared" si="4"/>
        <v>合同大阪:伊藤忠Ｈ２(特級)</v>
      </c>
    </row>
    <row r="53" ht="15.75" customHeight="1">
      <c r="A53" s="335" t="s">
        <v>1251</v>
      </c>
      <c r="B53" s="343">
        <v>45580.0</v>
      </c>
      <c r="C53" s="335" t="s">
        <v>7</v>
      </c>
      <c r="D53" s="335" t="s">
        <v>49</v>
      </c>
      <c r="E53" s="337" t="str">
        <f t="shared" si="1"/>
        <v>合同大阪:伊藤忠</v>
      </c>
      <c r="F53" s="338" t="s">
        <v>119</v>
      </c>
      <c r="G53" s="339" t="str">
        <f t="shared" si="2"/>
        <v>合同大阪:伊藤忠Ｈ３(1級)</v>
      </c>
      <c r="H53" s="340">
        <f t="shared" si="3"/>
        <v>41.3</v>
      </c>
      <c r="I53" s="335">
        <v>41.3</v>
      </c>
      <c r="J53" s="332" t="str">
        <f>IFERROR(__xludf.DUMMYFUNCTION("IF(IF(COUNTIF(P$2:P52, P53)=0, """", INDEX(H$2:H52,
MAX(FILTER(ROW(H$2:H52) - ROW(H$2) + 1, P$2:P52 = P53))))=""単価"","""",
IF(COUNTIF(P$2:P52, P53)=0, """", INDEX(H$2:H52,
MAX(FILTER(ROW(H$2:H52) - ROW(H$2) + 1, P$2:P52 = P53)))))"),"")</f>
        <v/>
      </c>
      <c r="N53" s="335" t="str">
        <f>IF(MAXIFS('単価履歴'!$O:$O,'単価履歴'!$E:$E,E53,'単価履歴'!$F:$F,F53)=O53,"●","")</f>
        <v/>
      </c>
      <c r="O53" s="345">
        <v>45580.45877314815</v>
      </c>
      <c r="P53" s="334" t="str">
        <f t="shared" si="4"/>
        <v>合同大阪:伊藤忠Ｈ３(1級)</v>
      </c>
    </row>
    <row r="54" ht="15.75" customHeight="1">
      <c r="A54" s="335" t="s">
        <v>1252</v>
      </c>
      <c r="B54" s="343">
        <v>45580.0</v>
      </c>
      <c r="C54" s="335" t="s">
        <v>7</v>
      </c>
      <c r="D54" s="335" t="s">
        <v>49</v>
      </c>
      <c r="E54" s="337" t="str">
        <f t="shared" si="1"/>
        <v>合同大阪:伊藤忠</v>
      </c>
      <c r="F54" s="338" t="s">
        <v>122</v>
      </c>
      <c r="G54" s="339" t="str">
        <f t="shared" si="2"/>
        <v>合同大阪:伊藤忠Ｌ１(2級)</v>
      </c>
      <c r="H54" s="340">
        <f t="shared" si="3"/>
        <v>40.3</v>
      </c>
      <c r="I54" s="335">
        <v>40.3</v>
      </c>
      <c r="J54" s="332" t="str">
        <f>IFERROR(__xludf.DUMMYFUNCTION("IF(IF(COUNTIF(P$2:P53, P54)=0, """", INDEX(H$2:H53,
MAX(FILTER(ROW(H$2:H53) - ROW(H$2) + 1, P$2:P53 = P54))))=""単価"","""",
IF(COUNTIF(P$2:P53, P54)=0, """", INDEX(H$2:H53,
MAX(FILTER(ROW(H$2:H53) - ROW(H$2) + 1, P$2:P53 = P54)))))"),"")</f>
        <v/>
      </c>
      <c r="N54" s="335" t="str">
        <f>IF(MAXIFS('単価履歴'!$O:$O,'単価履歴'!$E:$E,E54,'単価履歴'!$F:$F,F54)=O54,"●","")</f>
        <v/>
      </c>
      <c r="O54" s="345">
        <v>45580.45893518518</v>
      </c>
      <c r="P54" s="334" t="str">
        <f t="shared" si="4"/>
        <v>合同大阪:伊藤忠Ｌ１(2級)</v>
      </c>
    </row>
    <row r="55" ht="15.75" customHeight="1">
      <c r="A55" s="335" t="s">
        <v>1253</v>
      </c>
      <c r="B55" s="343">
        <v>45580.0</v>
      </c>
      <c r="C55" s="335" t="s">
        <v>7</v>
      </c>
      <c r="D55" s="335" t="s">
        <v>49</v>
      </c>
      <c r="E55" s="337" t="str">
        <f t="shared" si="1"/>
        <v>合同大阪:伊藤忠</v>
      </c>
      <c r="F55" s="338" t="s">
        <v>131</v>
      </c>
      <c r="G55" s="339" t="str">
        <f t="shared" si="2"/>
        <v>合同大阪:伊藤忠新断Ｂ</v>
      </c>
      <c r="H55" s="340">
        <f t="shared" si="3"/>
        <v>42.8</v>
      </c>
      <c r="I55" s="335">
        <v>42.8</v>
      </c>
      <c r="J55" s="332" t="str">
        <f>IFERROR(__xludf.DUMMYFUNCTION("IF(IF(COUNTIF(P$2:P54, P55)=0, """", INDEX(H$2:H54,
MAX(FILTER(ROW(H$2:H54) - ROW(H$2) + 1, P$2:P54 = P55))))=""単価"","""",
IF(COUNTIF(P$2:P54, P55)=0, """", INDEX(H$2:H54,
MAX(FILTER(ROW(H$2:H54) - ROW(H$2) + 1, P$2:P54 = P55)))))"),"")</f>
        <v/>
      </c>
      <c r="N55" s="335" t="str">
        <f>IF(MAXIFS('単価履歴'!$O:$O,'単価履歴'!$E:$E,E55,'単価履歴'!$F:$F,F55)=O55,"●","")</f>
        <v/>
      </c>
      <c r="O55" s="345">
        <v>45580.459178240744</v>
      </c>
      <c r="P55" s="334" t="str">
        <f t="shared" si="4"/>
        <v>合同大阪:伊藤忠新断Ｂ</v>
      </c>
    </row>
    <row r="56" ht="15.75" customHeight="1">
      <c r="A56" s="335" t="s">
        <v>1254</v>
      </c>
      <c r="B56" s="343">
        <v>45580.0</v>
      </c>
      <c r="C56" s="335" t="s">
        <v>9</v>
      </c>
      <c r="D56" s="335" t="s">
        <v>51</v>
      </c>
      <c r="E56" s="337" t="str">
        <f t="shared" si="1"/>
        <v>大鉄　堺:大鉄堺</v>
      </c>
      <c r="F56" s="338" t="s">
        <v>111</v>
      </c>
      <c r="G56" s="339" t="str">
        <f t="shared" si="2"/>
        <v>大鉄　堺:大鉄堺Ｈ１(特A)</v>
      </c>
      <c r="H56" s="340">
        <f t="shared" si="3"/>
        <v>44.5</v>
      </c>
      <c r="I56" s="335">
        <v>44.5</v>
      </c>
      <c r="J56" s="332" t="str">
        <f>IFERROR(__xludf.DUMMYFUNCTION("IF(IF(COUNTIF(P$2:P55, P56)=0, """", INDEX(H$2:H55,
MAX(FILTER(ROW(H$2:H55) - ROW(H$2) + 1, P$2:P55 = P56))))=""単価"","""",
IF(COUNTIF(P$2:P55, P56)=0, """", INDEX(H$2:H55,
MAX(FILTER(ROW(H$2:H55) - ROW(H$2) + 1, P$2:P55 = P56)))))"),"")</f>
        <v/>
      </c>
      <c r="N56" s="335" t="str">
        <f>IF(MAXIFS('単価履歴'!$O:$O,'単価履歴'!$E:$E,E56,'単価履歴'!$F:$F,F56)=O56,"●","")</f>
        <v/>
      </c>
      <c r="O56" s="345">
        <v>45580.459178240744</v>
      </c>
      <c r="P56" s="334" t="str">
        <f t="shared" si="4"/>
        <v>大鉄　堺:大鉄堺Ｈ１(特A)</v>
      </c>
    </row>
    <row r="57" ht="15.75" customHeight="1">
      <c r="A57" s="335" t="s">
        <v>1255</v>
      </c>
      <c r="B57" s="343">
        <v>45580.0</v>
      </c>
      <c r="C57" s="335" t="s">
        <v>9</v>
      </c>
      <c r="D57" s="335" t="s">
        <v>51</v>
      </c>
      <c r="E57" s="337" t="str">
        <f t="shared" si="1"/>
        <v>大鉄　堺:大鉄堺</v>
      </c>
      <c r="F57" s="338" t="s">
        <v>1237</v>
      </c>
      <c r="G57" s="339" t="str">
        <f t="shared" si="2"/>
        <v>大鉄　堺:大鉄堺ＪＨ１(H2T山口)鍛造ﾊﾞﾘ</v>
      </c>
      <c r="H57" s="340">
        <f t="shared" si="3"/>
        <v>43.5</v>
      </c>
      <c r="I57" s="335">
        <v>43.5</v>
      </c>
      <c r="J57" s="332" t="str">
        <f>IFERROR(__xludf.DUMMYFUNCTION("IF(IF(COUNTIF(P$2:P56, P57)=0, """", INDEX(H$2:H56,
MAX(FILTER(ROW(H$2:H56) - ROW(H$2) + 1, P$2:P56 = P57))))=""単価"","""",
IF(COUNTIF(P$2:P56, P57)=0, """", INDEX(H$2:H56,
MAX(FILTER(ROW(H$2:H56) - ROW(H$2) + 1, P$2:P56 = P57)))))"),"")</f>
        <v/>
      </c>
      <c r="N57" s="335" t="str">
        <f>IF(MAXIFS('単価履歴'!$O:$O,'単価履歴'!$E:$E,E57,'単価履歴'!$F:$F,F57)=O57,"●","")</f>
        <v/>
      </c>
      <c r="O57" s="345">
        <v>45580.459178240744</v>
      </c>
      <c r="P57" s="334" t="str">
        <f t="shared" si="4"/>
        <v>大鉄　堺:大鉄堺ＪＨ１(H2T山口)鍛造ﾊﾞﾘ</v>
      </c>
    </row>
    <row r="58" ht="15.75" customHeight="1">
      <c r="A58" s="335" t="s">
        <v>1256</v>
      </c>
      <c r="B58" s="343">
        <v>45580.0</v>
      </c>
      <c r="C58" s="335" t="s">
        <v>9</v>
      </c>
      <c r="D58" s="335" t="s">
        <v>51</v>
      </c>
      <c r="E58" s="337" t="str">
        <f t="shared" si="1"/>
        <v>大鉄　堺:大鉄堺</v>
      </c>
      <c r="F58" s="338" t="s">
        <v>116</v>
      </c>
      <c r="G58" s="339" t="str">
        <f t="shared" si="2"/>
        <v>大鉄　堺:大鉄堺Ｈ２(特級)</v>
      </c>
      <c r="H58" s="340">
        <f t="shared" si="3"/>
        <v>41</v>
      </c>
      <c r="I58" s="335">
        <v>41.0</v>
      </c>
      <c r="J58" s="332" t="str">
        <f>IFERROR(__xludf.DUMMYFUNCTION("IF(IF(COUNTIF(P$2:P57, P58)=0, """", INDEX(H$2:H57,
MAX(FILTER(ROW(H$2:H57) - ROW(H$2) + 1, P$2:P57 = P58))))=""単価"","""",
IF(COUNTIF(P$2:P57, P58)=0, """", INDEX(H$2:H57,
MAX(FILTER(ROW(H$2:H57) - ROW(H$2) + 1, P$2:P57 = P58)))))"),"")</f>
        <v/>
      </c>
      <c r="N58" s="335" t="str">
        <f>IF(MAXIFS('単価履歴'!$O:$O,'単価履歴'!$E:$E,E58,'単価履歴'!$F:$F,F58)=O58,"●","")</f>
        <v/>
      </c>
      <c r="O58" s="345">
        <v>45580.459178240744</v>
      </c>
      <c r="P58" s="334" t="str">
        <f t="shared" si="4"/>
        <v>大鉄　堺:大鉄堺Ｈ２(特級)</v>
      </c>
    </row>
    <row r="59" ht="15.75" customHeight="1">
      <c r="A59" s="335" t="s">
        <v>1257</v>
      </c>
      <c r="B59" s="343">
        <v>45580.0</v>
      </c>
      <c r="C59" s="335" t="s">
        <v>9</v>
      </c>
      <c r="D59" s="335" t="s">
        <v>51</v>
      </c>
      <c r="E59" s="337" t="str">
        <f t="shared" si="1"/>
        <v>大鉄　堺:大鉄堺</v>
      </c>
      <c r="F59" s="338" t="s">
        <v>119</v>
      </c>
      <c r="G59" s="339" t="str">
        <f t="shared" si="2"/>
        <v>大鉄　堺:大鉄堺Ｈ３(1級)</v>
      </c>
      <c r="H59" s="340">
        <f t="shared" si="3"/>
        <v>40.5</v>
      </c>
      <c r="I59" s="335">
        <v>40.5</v>
      </c>
      <c r="J59" s="332" t="str">
        <f>IFERROR(__xludf.DUMMYFUNCTION("IF(IF(COUNTIF(P$2:P58, P59)=0, """", INDEX(H$2:H58,
MAX(FILTER(ROW(H$2:H58) - ROW(H$2) + 1, P$2:P58 = P59))))=""単価"","""",
IF(COUNTIF(P$2:P58, P59)=0, """", INDEX(H$2:H58,
MAX(FILTER(ROW(H$2:H58) - ROW(H$2) + 1, P$2:P58 = P59)))))"),"")</f>
        <v/>
      </c>
      <c r="N59" s="335" t="str">
        <f>IF(MAXIFS('単価履歴'!$O:$O,'単価履歴'!$E:$E,E59,'単価履歴'!$F:$F,F59)=O59,"●","")</f>
        <v/>
      </c>
      <c r="O59" s="345">
        <v>45580.459178240744</v>
      </c>
      <c r="P59" s="334" t="str">
        <f t="shared" si="4"/>
        <v>大鉄　堺:大鉄堺Ｈ３(1級)</v>
      </c>
    </row>
    <row r="60" ht="15.75" customHeight="1">
      <c r="A60" s="335" t="s">
        <v>1258</v>
      </c>
      <c r="B60" s="343">
        <v>45580.0</v>
      </c>
      <c r="C60" s="335" t="s">
        <v>9</v>
      </c>
      <c r="D60" s="335" t="s">
        <v>51</v>
      </c>
      <c r="E60" s="337" t="str">
        <f t="shared" si="1"/>
        <v>大鉄　堺:大鉄堺</v>
      </c>
      <c r="F60" s="338" t="s">
        <v>122</v>
      </c>
      <c r="G60" s="339" t="str">
        <f t="shared" si="2"/>
        <v>大鉄　堺:大鉄堺Ｌ１(2級)</v>
      </c>
      <c r="H60" s="340">
        <f t="shared" si="3"/>
        <v>40</v>
      </c>
      <c r="I60" s="335">
        <v>40.0</v>
      </c>
      <c r="J60" s="332" t="str">
        <f>IFERROR(__xludf.DUMMYFUNCTION("IF(IF(COUNTIF(P$2:P59, P60)=0, """", INDEX(H$2:H59,
MAX(FILTER(ROW(H$2:H59) - ROW(H$2) + 1, P$2:P59 = P60))))=""単価"","""",
IF(COUNTIF(P$2:P59, P60)=0, """", INDEX(H$2:H59,
MAX(FILTER(ROW(H$2:H59) - ROW(H$2) + 1, P$2:P59 = P60)))))"),"")</f>
        <v/>
      </c>
      <c r="N60" s="335" t="str">
        <f>IF(MAXIFS('単価履歴'!$O:$O,'単価履歴'!$E:$E,E60,'単価履歴'!$F:$F,F60)=O60,"●","")</f>
        <v/>
      </c>
      <c r="O60" s="345">
        <v>45580.459178240744</v>
      </c>
      <c r="P60" s="334" t="str">
        <f t="shared" si="4"/>
        <v>大鉄　堺:大鉄堺Ｌ１(2級)</v>
      </c>
    </row>
    <row r="61" ht="15.75" customHeight="1">
      <c r="A61" s="335" t="s">
        <v>1259</v>
      </c>
      <c r="B61" s="343">
        <v>45580.0</v>
      </c>
      <c r="C61" s="335" t="s">
        <v>9</v>
      </c>
      <c r="D61" s="335" t="s">
        <v>51</v>
      </c>
      <c r="E61" s="337" t="str">
        <f t="shared" si="1"/>
        <v>大鉄　堺:大鉄堺</v>
      </c>
      <c r="F61" s="338" t="s">
        <v>130</v>
      </c>
      <c r="G61" s="339" t="str">
        <f t="shared" si="2"/>
        <v>大鉄　堺:大鉄堺新断Ａ</v>
      </c>
      <c r="H61" s="340">
        <f t="shared" si="3"/>
        <v>27.5</v>
      </c>
      <c r="I61" s="335">
        <v>27.5</v>
      </c>
      <c r="J61" s="332" t="str">
        <f>IFERROR(__xludf.DUMMYFUNCTION("IF(IF(COUNTIF(P$2:P60, P61)=0, """", INDEX(H$2:H60,
MAX(FILTER(ROW(H$2:H60) - ROW(H$2) + 1, P$2:P60 = P61))))=""単価"","""",
IF(COUNTIF(P$2:P60, P61)=0, """", INDEX(H$2:H60,
MAX(FILTER(ROW(H$2:H60) - ROW(H$2) + 1, P$2:P60 = P61)))))"),"")</f>
        <v/>
      </c>
      <c r="N61" s="335" t="str">
        <f>IF(MAXIFS('単価履歴'!$O:$O,'単価履歴'!$E:$E,E61,'単価履歴'!$F:$F,F61)=O61,"●","")</f>
        <v/>
      </c>
      <c r="O61" s="345">
        <v>45580.459178240744</v>
      </c>
      <c r="P61" s="334" t="str">
        <f t="shared" si="4"/>
        <v>大鉄　堺:大鉄堺新断Ａ</v>
      </c>
    </row>
    <row r="62" ht="15.75" customHeight="1">
      <c r="A62" s="335" t="s">
        <v>1260</v>
      </c>
      <c r="B62" s="343">
        <v>45580.0</v>
      </c>
      <c r="C62" s="335" t="s">
        <v>9</v>
      </c>
      <c r="D62" s="335" t="s">
        <v>51</v>
      </c>
      <c r="E62" s="337" t="str">
        <f t="shared" si="1"/>
        <v>大鉄　堺:大鉄堺</v>
      </c>
      <c r="F62" s="338" t="s">
        <v>131</v>
      </c>
      <c r="G62" s="339" t="str">
        <f t="shared" si="2"/>
        <v>大鉄　堺:大鉄堺新断Ｂ</v>
      </c>
      <c r="H62" s="340">
        <f t="shared" si="3"/>
        <v>27</v>
      </c>
      <c r="I62" s="335">
        <v>27.0</v>
      </c>
      <c r="J62" s="332" t="str">
        <f>IFERROR(__xludf.DUMMYFUNCTION("IF(IF(COUNTIF(P$2:P61, P62)=0, """", INDEX(H$2:H61,
MAX(FILTER(ROW(H$2:H61) - ROW(H$2) + 1, P$2:P61 = P62))))=""単価"","""",
IF(COUNTIF(P$2:P61, P62)=0, """", INDEX(H$2:H61,
MAX(FILTER(ROW(H$2:H61) - ROW(H$2) + 1, P$2:P61 = P62)))))"),"")</f>
        <v/>
      </c>
      <c r="N62" s="335" t="str">
        <f>IF(MAXIFS('単価履歴'!$O:$O,'単価履歴'!$E:$E,E62,'単価履歴'!$F:$F,F62)=O62,"●","")</f>
        <v/>
      </c>
      <c r="O62" s="345">
        <v>45580.459178240744</v>
      </c>
      <c r="P62" s="334" t="str">
        <f t="shared" si="4"/>
        <v>大鉄　堺:大鉄堺新断Ｂ</v>
      </c>
    </row>
    <row r="63" ht="15.75" customHeight="1">
      <c r="A63" s="335" t="s">
        <v>1261</v>
      </c>
      <c r="B63" s="343">
        <v>45580.0</v>
      </c>
      <c r="C63" s="335" t="s">
        <v>9</v>
      </c>
      <c r="D63" s="335" t="s">
        <v>51</v>
      </c>
      <c r="E63" s="337" t="str">
        <f t="shared" si="1"/>
        <v>大鉄　堺:大鉄堺</v>
      </c>
      <c r="F63" s="338" t="s">
        <v>575</v>
      </c>
      <c r="G63" s="339" t="str">
        <f t="shared" si="2"/>
        <v>大鉄　堺:大鉄堺鋼ダライＡ</v>
      </c>
      <c r="H63" s="340">
        <f t="shared" si="3"/>
        <v>28</v>
      </c>
      <c r="I63" s="335">
        <v>28.0</v>
      </c>
      <c r="J63" s="332" t="str">
        <f>IFERROR(__xludf.DUMMYFUNCTION("IF(IF(COUNTIF(P$2:P62, P63)=0, """", INDEX(H$2:H62,
MAX(FILTER(ROW(H$2:H62) - ROW(H$2) + 1, P$2:P62 = P63))))=""単価"","""",
IF(COUNTIF(P$2:P62, P63)=0, """", INDEX(H$2:H62,
MAX(FILTER(ROW(H$2:H62) - ROW(H$2) + 1, P$2:P62 = P63)))))"),"")</f>
        <v/>
      </c>
      <c r="N63" s="335" t="str">
        <f>IF(MAXIFS('単価履歴'!$O:$O,'単価履歴'!$E:$E,E63,'単価履歴'!$F:$F,F63)=O63,"●","")</f>
        <v/>
      </c>
      <c r="O63" s="345">
        <v>45580.459178240744</v>
      </c>
      <c r="P63" s="334" t="str">
        <f t="shared" si="4"/>
        <v>大鉄　堺:大鉄堺鋼ダライＡ</v>
      </c>
    </row>
    <row r="64" ht="15.75" customHeight="1">
      <c r="A64" s="335" t="s">
        <v>1262</v>
      </c>
      <c r="B64" s="343">
        <v>45580.0</v>
      </c>
      <c r="C64" s="335" t="s">
        <v>9</v>
      </c>
      <c r="D64" s="335" t="s">
        <v>51</v>
      </c>
      <c r="E64" s="337" t="str">
        <f t="shared" si="1"/>
        <v>大鉄　堺:大鉄堺</v>
      </c>
      <c r="F64" s="338" t="s">
        <v>576</v>
      </c>
      <c r="G64" s="339" t="str">
        <f t="shared" si="2"/>
        <v>大鉄　堺:大鉄堺鋼ダライＢ</v>
      </c>
      <c r="H64" s="340">
        <f t="shared" si="3"/>
        <v>28</v>
      </c>
      <c r="I64" s="335">
        <v>28.0</v>
      </c>
      <c r="J64" s="332" t="str">
        <f>IFERROR(__xludf.DUMMYFUNCTION("IF(IF(COUNTIF(P$2:P63, P64)=0, """", INDEX(H$2:H63,
MAX(FILTER(ROW(H$2:H63) - ROW(H$2) + 1, P$2:P63 = P64))))=""単価"","""",
IF(COUNTIF(P$2:P63, P64)=0, """", INDEX(H$2:H63,
MAX(FILTER(ROW(H$2:H63) - ROW(H$2) + 1, P$2:P63 = P64)))))"),"")</f>
        <v/>
      </c>
      <c r="N64" s="335" t="str">
        <f>IF(MAXIFS('単価履歴'!$O:$O,'単価履歴'!$E:$E,E64,'単価履歴'!$F:$F,F64)=O64,"●","")</f>
        <v/>
      </c>
      <c r="O64" s="345">
        <v>45580.459178240744</v>
      </c>
      <c r="P64" s="334" t="str">
        <f t="shared" si="4"/>
        <v>大鉄　堺:大鉄堺鋼ダライＢ</v>
      </c>
    </row>
    <row r="65" ht="15.75" customHeight="1">
      <c r="A65" s="335" t="s">
        <v>1263</v>
      </c>
      <c r="B65" s="343">
        <v>45580.0</v>
      </c>
      <c r="C65" s="335" t="s">
        <v>9</v>
      </c>
      <c r="D65" s="335" t="s">
        <v>51</v>
      </c>
      <c r="E65" s="337" t="str">
        <f t="shared" si="1"/>
        <v>大鉄　堺:大鉄堺</v>
      </c>
      <c r="F65" s="338" t="s">
        <v>145</v>
      </c>
      <c r="G65" s="339" t="str">
        <f t="shared" si="2"/>
        <v>大鉄　堺:大鉄堺シュレＡ</v>
      </c>
      <c r="H65" s="340">
        <f t="shared" si="3"/>
        <v>29.5</v>
      </c>
      <c r="I65" s="335">
        <v>29.5</v>
      </c>
      <c r="J65" s="332" t="str">
        <f>IFERROR(__xludf.DUMMYFUNCTION("IF(IF(COUNTIF(P$2:P64, P65)=0, """", INDEX(H$2:H64,
MAX(FILTER(ROW(H$2:H64) - ROW(H$2) + 1, P$2:P64 = P65))))=""単価"","""",
IF(COUNTIF(P$2:P64, P65)=0, """", INDEX(H$2:H64,
MAX(FILTER(ROW(H$2:H64) - ROW(H$2) + 1, P$2:P64 = P65)))))"),"")</f>
        <v/>
      </c>
      <c r="N65" s="335" t="str">
        <f>IF(MAXIFS('単価履歴'!$O:$O,'単価履歴'!$E:$E,E65,'単価履歴'!$F:$F,F65)=O65,"●","")</f>
        <v/>
      </c>
      <c r="O65" s="345">
        <v>45580.459178240744</v>
      </c>
      <c r="P65" s="334" t="str">
        <f t="shared" si="4"/>
        <v>大鉄　堺:大鉄堺シュレＡ</v>
      </c>
    </row>
    <row r="66" ht="15.75" customHeight="1">
      <c r="A66" s="335" t="s">
        <v>1264</v>
      </c>
      <c r="B66" s="343">
        <v>45580.0</v>
      </c>
      <c r="C66" s="335" t="s">
        <v>9</v>
      </c>
      <c r="D66" s="335" t="s">
        <v>51</v>
      </c>
      <c r="E66" s="337" t="str">
        <f t="shared" si="1"/>
        <v>大鉄　堺:大鉄堺</v>
      </c>
      <c r="F66" s="338" t="s">
        <v>149</v>
      </c>
      <c r="G66" s="339" t="str">
        <f t="shared" si="2"/>
        <v>大鉄　堺:大鉄堺シュレＢ</v>
      </c>
      <c r="H66" s="340">
        <f t="shared" si="3"/>
        <v>28.8</v>
      </c>
      <c r="I66" s="335">
        <v>28.8</v>
      </c>
      <c r="J66" s="332" t="str">
        <f>IFERROR(__xludf.DUMMYFUNCTION("IF(IF(COUNTIF(P$2:P65, P66)=0, """", INDEX(H$2:H65,
MAX(FILTER(ROW(H$2:H65) - ROW(H$2) + 1, P$2:P65 = P66))))=""単価"","""",
IF(COUNTIF(P$2:P65, P66)=0, """", INDEX(H$2:H65,
MAX(FILTER(ROW(H$2:H65) - ROW(H$2) + 1, P$2:P65 = P66)))))"),"")</f>
        <v/>
      </c>
      <c r="N66" s="335" t="str">
        <f>IF(MAXIFS('単価履歴'!$O:$O,'単価履歴'!$E:$E,E66,'単価履歴'!$F:$F,F66)=O66,"●","")</f>
        <v/>
      </c>
      <c r="O66" s="345">
        <v>45580.459178240744</v>
      </c>
      <c r="P66" s="334" t="str">
        <f t="shared" si="4"/>
        <v>大鉄　堺:大鉄堺シュレＢ</v>
      </c>
    </row>
    <row r="67" ht="15.75" customHeight="1">
      <c r="A67" s="335" t="s">
        <v>1265</v>
      </c>
      <c r="B67" s="343">
        <v>45580.0</v>
      </c>
      <c r="C67" s="335" t="s">
        <v>9</v>
      </c>
      <c r="D67" s="335" t="s">
        <v>51</v>
      </c>
      <c r="E67" s="337" t="str">
        <f t="shared" si="1"/>
        <v>大鉄　堺:大鉄堺</v>
      </c>
      <c r="F67" s="338" t="s">
        <v>151</v>
      </c>
      <c r="G67" s="339" t="str">
        <f t="shared" si="2"/>
        <v>大鉄　堺:大鉄堺シュレＣ</v>
      </c>
      <c r="H67" s="340">
        <f t="shared" si="3"/>
        <v>27.4</v>
      </c>
      <c r="I67" s="335">
        <v>27.4</v>
      </c>
      <c r="J67" s="332" t="str">
        <f>IFERROR(__xludf.DUMMYFUNCTION("IF(IF(COUNTIF(P$2:P66, P67)=0, """", INDEX(H$2:H66,
MAX(FILTER(ROW(H$2:H66) - ROW(H$2) + 1, P$2:P66 = P67))))=""単価"","""",
IF(COUNTIF(P$2:P66, P67)=0, """", INDEX(H$2:H66,
MAX(FILTER(ROW(H$2:H66) - ROW(H$2) + 1, P$2:P66 = P67)))))"),"")</f>
        <v/>
      </c>
      <c r="N67" s="335" t="str">
        <f>IF(MAXIFS('単価履歴'!$O:$O,'単価履歴'!$E:$E,E67,'単価履歴'!$F:$F,F67)=O67,"●","")</f>
        <v/>
      </c>
      <c r="O67" s="345">
        <v>45580.459178240744</v>
      </c>
      <c r="P67" s="334" t="str">
        <f t="shared" si="4"/>
        <v>大鉄　堺:大鉄堺シュレＣ</v>
      </c>
    </row>
    <row r="68" ht="15.75" customHeight="1">
      <c r="A68" s="335" t="s">
        <v>1266</v>
      </c>
      <c r="B68" s="343">
        <v>45580.0</v>
      </c>
      <c r="C68" s="335" t="s">
        <v>9</v>
      </c>
      <c r="D68" s="335" t="s">
        <v>51</v>
      </c>
      <c r="E68" s="337" t="str">
        <f t="shared" si="1"/>
        <v>大鉄　堺:大鉄堺</v>
      </c>
      <c r="F68" s="338" t="s">
        <v>154</v>
      </c>
      <c r="G68" s="339" t="str">
        <f t="shared" si="2"/>
        <v>大鉄　堺:大鉄堺ＣＰ Ａ</v>
      </c>
      <c r="H68" s="340">
        <f t="shared" si="3"/>
        <v>31.5</v>
      </c>
      <c r="I68" s="335">
        <v>31.5</v>
      </c>
      <c r="J68" s="332" t="str">
        <f>IFERROR(__xludf.DUMMYFUNCTION("IF(IF(COUNTIF(P$2:P67, P68)=0, """", INDEX(H$2:H67,
MAX(FILTER(ROW(H$2:H67) - ROW(H$2) + 1, P$2:P67 = P68))))=""単価"","""",
IF(COUNTIF(P$2:P67, P68)=0, """", INDEX(H$2:H67,
MAX(FILTER(ROW(H$2:H67) - ROW(H$2) + 1, P$2:P67 = P68)))))"),"")</f>
        <v/>
      </c>
      <c r="N68" s="335" t="str">
        <f>IF(MAXIFS('単価履歴'!$O:$O,'単価履歴'!$E:$E,E68,'単価履歴'!$F:$F,F68)=O68,"●","")</f>
        <v/>
      </c>
      <c r="O68" s="345">
        <v>45580.459178240744</v>
      </c>
      <c r="P68" s="334" t="str">
        <f t="shared" si="4"/>
        <v>大鉄　堺:大鉄堺ＣＰ Ａ</v>
      </c>
    </row>
    <row r="69" ht="15.75" customHeight="1">
      <c r="A69" s="335" t="s">
        <v>1267</v>
      </c>
      <c r="B69" s="343">
        <v>45580.0</v>
      </c>
      <c r="C69" s="335" t="s">
        <v>9</v>
      </c>
      <c r="D69" s="335" t="s">
        <v>51</v>
      </c>
      <c r="E69" s="337" t="str">
        <f t="shared" si="1"/>
        <v>大鉄　堺:大鉄堺</v>
      </c>
      <c r="F69" s="338" t="s">
        <v>156</v>
      </c>
      <c r="G69" s="339" t="str">
        <f t="shared" si="2"/>
        <v>大鉄　堺:大鉄堺ＣＰ Ｂ一斗缶</v>
      </c>
      <c r="H69" s="340">
        <f t="shared" si="3"/>
        <v>29</v>
      </c>
      <c r="I69" s="335">
        <v>29.0</v>
      </c>
      <c r="J69" s="332" t="str">
        <f>IFERROR(__xludf.DUMMYFUNCTION("IF(IF(COUNTIF(P$2:P68, P69)=0, """", INDEX(H$2:H68,
MAX(FILTER(ROW(H$2:H68) - ROW(H$2) + 1, P$2:P68 = P69))))=""単価"","""",
IF(COUNTIF(P$2:P68, P69)=0, """", INDEX(H$2:H68,
MAX(FILTER(ROW(H$2:H68) - ROW(H$2) + 1, P$2:P68 = P69)))))"),"")</f>
        <v/>
      </c>
      <c r="N69" s="335" t="str">
        <f>IF(MAXIFS('単価履歴'!$O:$O,'単価履歴'!$E:$E,E69,'単価履歴'!$F:$F,F69)=O69,"●","")</f>
        <v/>
      </c>
      <c r="O69" s="345">
        <v>45580.459178240744</v>
      </c>
      <c r="P69" s="334" t="str">
        <f t="shared" si="4"/>
        <v>大鉄　堺:大鉄堺ＣＰ Ｂ一斗缶</v>
      </c>
    </row>
    <row r="70" ht="15.75" customHeight="1">
      <c r="A70" s="335" t="s">
        <v>1268</v>
      </c>
      <c r="B70" s="343">
        <v>45580.0</v>
      </c>
      <c r="C70" s="335" t="s">
        <v>9</v>
      </c>
      <c r="D70" s="335" t="s">
        <v>47</v>
      </c>
      <c r="E70" s="337" t="str">
        <f t="shared" si="1"/>
        <v>大鉄　堺:豊通</v>
      </c>
      <c r="F70" s="338" t="s">
        <v>111</v>
      </c>
      <c r="G70" s="339" t="str">
        <f t="shared" si="2"/>
        <v>大鉄　堺:豊通Ｈ１(特A)</v>
      </c>
      <c r="H70" s="340">
        <f t="shared" si="3"/>
        <v>29.4</v>
      </c>
      <c r="I70" s="335">
        <v>29.4</v>
      </c>
      <c r="J70" s="332" t="str">
        <f>IFERROR(__xludf.DUMMYFUNCTION("IF(IF(COUNTIF(P$2:P69, P70)=0, """", INDEX(H$2:H69,
MAX(FILTER(ROW(H$2:H69) - ROW(H$2) + 1, P$2:P69 = P70))))=""単価"","""",
IF(COUNTIF(P$2:P69, P70)=0, """", INDEX(H$2:H69,
MAX(FILTER(ROW(H$2:H69) - ROW(H$2) + 1, P$2:P69 = P70)))))"),"")</f>
        <v/>
      </c>
      <c r="N70" s="335" t="str">
        <f>IF(MAXIFS('単価履歴'!$O:$O,'単価履歴'!$E:$E,E70,'単価履歴'!$F:$F,F70)=O70,"●","")</f>
        <v/>
      </c>
      <c r="O70" s="345">
        <v>45580.459178240744</v>
      </c>
      <c r="P70" s="334" t="str">
        <f t="shared" si="4"/>
        <v>大鉄　堺:豊通Ｈ１(特A)</v>
      </c>
    </row>
    <row r="71" ht="15.75" customHeight="1">
      <c r="A71" s="335" t="s">
        <v>1269</v>
      </c>
      <c r="B71" s="343">
        <v>45580.0</v>
      </c>
      <c r="C71" s="335" t="s">
        <v>9</v>
      </c>
      <c r="D71" s="335" t="s">
        <v>47</v>
      </c>
      <c r="E71" s="337" t="str">
        <f t="shared" si="1"/>
        <v>大鉄　堺:豊通</v>
      </c>
      <c r="F71" s="338" t="s">
        <v>1237</v>
      </c>
      <c r="G71" s="339" t="str">
        <f t="shared" si="2"/>
        <v>大鉄　堺:豊通ＪＨ１(H2T山口)鍛造ﾊﾞﾘ</v>
      </c>
      <c r="H71" s="340">
        <f t="shared" si="3"/>
        <v>28.4</v>
      </c>
      <c r="I71" s="335">
        <v>28.4</v>
      </c>
      <c r="J71" s="332" t="str">
        <f>IFERROR(__xludf.DUMMYFUNCTION("IF(IF(COUNTIF(P$2:P70, P71)=0, """", INDEX(H$2:H70,
MAX(FILTER(ROW(H$2:H70) - ROW(H$2) + 1, P$2:P70 = P71))))=""単価"","""",
IF(COUNTIF(P$2:P70, P71)=0, """", INDEX(H$2:H70,
MAX(FILTER(ROW(H$2:H70) - ROW(H$2) + 1, P$2:P70 = P71)))))"),"")</f>
        <v/>
      </c>
      <c r="N71" s="335" t="str">
        <f>IF(MAXIFS('単価履歴'!$O:$O,'単価履歴'!$E:$E,E71,'単価履歴'!$F:$F,F71)=O71,"●","")</f>
        <v/>
      </c>
      <c r="O71" s="345">
        <v>45580.459178240744</v>
      </c>
      <c r="P71" s="334" t="str">
        <f t="shared" si="4"/>
        <v>大鉄　堺:豊通ＪＨ１(H2T山口)鍛造ﾊﾞﾘ</v>
      </c>
    </row>
    <row r="72" ht="15.75" customHeight="1">
      <c r="A72" s="335" t="s">
        <v>1270</v>
      </c>
      <c r="B72" s="343">
        <v>45580.0</v>
      </c>
      <c r="C72" s="335" t="s">
        <v>9</v>
      </c>
      <c r="D72" s="335" t="s">
        <v>47</v>
      </c>
      <c r="E72" s="337" t="str">
        <f t="shared" si="1"/>
        <v>大鉄　堺:豊通</v>
      </c>
      <c r="F72" s="338" t="s">
        <v>116</v>
      </c>
      <c r="G72" s="339" t="str">
        <f t="shared" si="2"/>
        <v>大鉄　堺:豊通Ｈ２(特級)</v>
      </c>
      <c r="H72" s="340">
        <f t="shared" si="3"/>
        <v>24.7</v>
      </c>
      <c r="I72" s="335">
        <v>24.7</v>
      </c>
      <c r="J72" s="332" t="str">
        <f>IFERROR(__xludf.DUMMYFUNCTION("IF(IF(COUNTIF(P$2:P71, P72)=0, """", INDEX(H$2:H71,
MAX(FILTER(ROW(H$2:H71) - ROW(H$2) + 1, P$2:P71 = P72))))=""単価"","""",
IF(COUNTIF(P$2:P71, P72)=0, """", INDEX(H$2:H71,
MAX(FILTER(ROW(H$2:H71) - ROW(H$2) + 1, P$2:P71 = P72)))))"),"")</f>
        <v/>
      </c>
      <c r="N72" s="335" t="str">
        <f>IF(MAXIFS('単価履歴'!$O:$O,'単価履歴'!$E:$E,E72,'単価履歴'!$F:$F,F72)=O72,"●","")</f>
        <v/>
      </c>
      <c r="O72" s="345">
        <v>45580.459178240744</v>
      </c>
      <c r="P72" s="334" t="str">
        <f t="shared" si="4"/>
        <v>大鉄　堺:豊通Ｈ２(特級)</v>
      </c>
    </row>
    <row r="73" ht="15.75" customHeight="1">
      <c r="A73" s="335" t="s">
        <v>1271</v>
      </c>
      <c r="B73" s="343">
        <v>45580.0</v>
      </c>
      <c r="C73" s="335" t="s">
        <v>9</v>
      </c>
      <c r="D73" s="335" t="s">
        <v>47</v>
      </c>
      <c r="E73" s="337" t="str">
        <f t="shared" si="1"/>
        <v>大鉄　堺:豊通</v>
      </c>
      <c r="F73" s="338" t="s">
        <v>119</v>
      </c>
      <c r="G73" s="339" t="str">
        <f t="shared" si="2"/>
        <v>大鉄　堺:豊通Ｈ３(1級)</v>
      </c>
      <c r="H73" s="340">
        <f t="shared" si="3"/>
        <v>23.7</v>
      </c>
      <c r="I73" s="335">
        <v>23.7</v>
      </c>
      <c r="J73" s="332" t="str">
        <f>IFERROR(__xludf.DUMMYFUNCTION("IF(IF(COUNTIF(P$2:P72, P73)=0, """", INDEX(H$2:H72,
MAX(FILTER(ROW(H$2:H72) - ROW(H$2) + 1, P$2:P72 = P73))))=""単価"","""",
IF(COUNTIF(P$2:P72, P73)=0, """", INDEX(H$2:H72,
MAX(FILTER(ROW(H$2:H72) - ROW(H$2) + 1, P$2:P72 = P73)))))"),"")</f>
        <v/>
      </c>
      <c r="N73" s="335" t="str">
        <f>IF(MAXIFS('単価履歴'!$O:$O,'単価履歴'!$E:$E,E73,'単価履歴'!$F:$F,F73)=O73,"●","")</f>
        <v/>
      </c>
      <c r="O73" s="345">
        <v>45580.459178240744</v>
      </c>
      <c r="P73" s="334" t="str">
        <f t="shared" si="4"/>
        <v>大鉄　堺:豊通Ｈ３(1級)</v>
      </c>
    </row>
    <row r="74" ht="15.75" customHeight="1">
      <c r="A74" s="335" t="s">
        <v>1272</v>
      </c>
      <c r="B74" s="343">
        <v>45580.0</v>
      </c>
      <c r="C74" s="335" t="s">
        <v>9</v>
      </c>
      <c r="D74" s="335" t="s">
        <v>47</v>
      </c>
      <c r="E74" s="337" t="str">
        <f t="shared" si="1"/>
        <v>大鉄　堺:豊通</v>
      </c>
      <c r="F74" s="338" t="s">
        <v>122</v>
      </c>
      <c r="G74" s="339" t="str">
        <f t="shared" si="2"/>
        <v>大鉄　堺:豊通Ｌ１(2級)</v>
      </c>
      <c r="H74" s="340">
        <f t="shared" si="3"/>
        <v>22.2</v>
      </c>
      <c r="I74" s="335">
        <v>22.2</v>
      </c>
      <c r="J74" s="332" t="str">
        <f>IFERROR(__xludf.DUMMYFUNCTION("IF(IF(COUNTIF(P$2:P73, P74)=0, """", INDEX(H$2:H73,
MAX(FILTER(ROW(H$2:H73) - ROW(H$2) + 1, P$2:P73 = P74))))=""単価"","""",
IF(COUNTIF(P$2:P73, P74)=0, """", INDEX(H$2:H73,
MAX(FILTER(ROW(H$2:H73) - ROW(H$2) + 1, P$2:P73 = P74)))))"),"")</f>
        <v/>
      </c>
      <c r="N74" s="335" t="str">
        <f>IF(MAXIFS('単価履歴'!$O:$O,'単価履歴'!$E:$E,E74,'単価履歴'!$F:$F,F74)=O74,"●","")</f>
        <v/>
      </c>
      <c r="O74" s="345">
        <v>45580.459178240744</v>
      </c>
      <c r="P74" s="334" t="str">
        <f t="shared" si="4"/>
        <v>大鉄　堺:豊通Ｌ１(2級)</v>
      </c>
    </row>
    <row r="75" ht="15.75" customHeight="1">
      <c r="A75" s="335" t="s">
        <v>1273</v>
      </c>
      <c r="B75" s="343">
        <v>45580.0</v>
      </c>
      <c r="C75" s="335" t="s">
        <v>9</v>
      </c>
      <c r="D75" s="335" t="s">
        <v>47</v>
      </c>
      <c r="E75" s="337" t="str">
        <f t="shared" si="1"/>
        <v>大鉄　堺:豊通</v>
      </c>
      <c r="F75" s="338" t="s">
        <v>130</v>
      </c>
      <c r="G75" s="339" t="str">
        <f t="shared" si="2"/>
        <v>大鉄　堺:豊通新断Ａ</v>
      </c>
      <c r="H75" s="340">
        <f t="shared" si="3"/>
        <v>25.7</v>
      </c>
      <c r="I75" s="335">
        <v>25.7</v>
      </c>
      <c r="J75" s="332" t="str">
        <f>IFERROR(__xludf.DUMMYFUNCTION("IF(IF(COUNTIF(P$2:P74, P75)=0, """", INDEX(H$2:H74,
MAX(FILTER(ROW(H$2:H74) - ROW(H$2) + 1, P$2:P74 = P75))))=""単価"","""",
IF(COUNTIF(P$2:P74, P75)=0, """", INDEX(H$2:H74,
MAX(FILTER(ROW(H$2:H74) - ROW(H$2) + 1, P$2:P74 = P75)))))"),"")</f>
        <v/>
      </c>
      <c r="N75" s="335" t="str">
        <f>IF(MAXIFS('単価履歴'!$O:$O,'単価履歴'!$E:$E,E75,'単価履歴'!$F:$F,F75)=O75,"●","")</f>
        <v/>
      </c>
      <c r="O75" s="345">
        <v>45580.459178240744</v>
      </c>
      <c r="P75" s="334" t="str">
        <f t="shared" si="4"/>
        <v>大鉄　堺:豊通新断Ａ</v>
      </c>
    </row>
    <row r="76" ht="15.75" customHeight="1">
      <c r="A76" s="335" t="s">
        <v>1274</v>
      </c>
      <c r="B76" s="343">
        <v>45580.0</v>
      </c>
      <c r="C76" s="335" t="s">
        <v>9</v>
      </c>
      <c r="D76" s="335" t="s">
        <v>47</v>
      </c>
      <c r="E76" s="337" t="str">
        <f t="shared" si="1"/>
        <v>大鉄　堺:豊通</v>
      </c>
      <c r="F76" s="338" t="s">
        <v>131</v>
      </c>
      <c r="G76" s="339" t="str">
        <f t="shared" si="2"/>
        <v>大鉄　堺:豊通新断Ｂ</v>
      </c>
      <c r="H76" s="340">
        <f t="shared" si="3"/>
        <v>25.2</v>
      </c>
      <c r="I76" s="335">
        <v>25.2</v>
      </c>
      <c r="J76" s="332" t="str">
        <f>IFERROR(__xludf.DUMMYFUNCTION("IF(IF(COUNTIF(P$2:P75, P76)=0, """", INDEX(H$2:H75,
MAX(FILTER(ROW(H$2:H75) - ROW(H$2) + 1, P$2:P75 = P76))))=""単価"","""",
IF(COUNTIF(P$2:P75, P76)=0, """", INDEX(H$2:H75,
MAX(FILTER(ROW(H$2:H75) - ROW(H$2) + 1, P$2:P75 = P76)))))"),"")</f>
        <v/>
      </c>
      <c r="N76" s="335" t="str">
        <f>IF(MAXIFS('単価履歴'!$O:$O,'単価履歴'!$E:$E,E76,'単価履歴'!$F:$F,F76)=O76,"●","")</f>
        <v/>
      </c>
      <c r="O76" s="345">
        <v>45580.459178240744</v>
      </c>
      <c r="P76" s="334" t="str">
        <f t="shared" si="4"/>
        <v>大鉄　堺:豊通新断Ｂ</v>
      </c>
    </row>
    <row r="77" ht="15.75" customHeight="1">
      <c r="A77" s="335" t="s">
        <v>1275</v>
      </c>
      <c r="B77" s="343">
        <v>45580.0</v>
      </c>
      <c r="C77" s="335" t="s">
        <v>9</v>
      </c>
      <c r="D77" s="335" t="s">
        <v>47</v>
      </c>
      <c r="E77" s="337" t="str">
        <f t="shared" si="1"/>
        <v>大鉄　堺:豊通</v>
      </c>
      <c r="F77" s="338" t="s">
        <v>575</v>
      </c>
      <c r="G77" s="339" t="str">
        <f t="shared" si="2"/>
        <v>大鉄　堺:豊通鋼ダライＡ</v>
      </c>
      <c r="H77" s="340">
        <f t="shared" si="3"/>
        <v>27.7</v>
      </c>
      <c r="I77" s="335">
        <v>27.7</v>
      </c>
      <c r="J77" s="332" t="str">
        <f>IFERROR(__xludf.DUMMYFUNCTION("IF(IF(COUNTIF(P$2:P76, P77)=0, """", INDEX(H$2:H76,
MAX(FILTER(ROW(H$2:H76) - ROW(H$2) + 1, P$2:P76 = P77))))=""単価"","""",
IF(COUNTIF(P$2:P76, P77)=0, """", INDEX(H$2:H76,
MAX(FILTER(ROW(H$2:H76) - ROW(H$2) + 1, P$2:P76 = P77)))))"),"")</f>
        <v/>
      </c>
      <c r="N77" s="335" t="str">
        <f>IF(MAXIFS('単価履歴'!$O:$O,'単価履歴'!$E:$E,E77,'単価履歴'!$F:$F,F77)=O77,"●","")</f>
        <v/>
      </c>
      <c r="O77" s="345">
        <v>45580.459178240744</v>
      </c>
      <c r="P77" s="334" t="str">
        <f t="shared" si="4"/>
        <v>大鉄　堺:豊通鋼ダライＡ</v>
      </c>
    </row>
    <row r="78" ht="15.75" customHeight="1">
      <c r="A78" s="335" t="s">
        <v>1276</v>
      </c>
      <c r="B78" s="343">
        <v>45580.0</v>
      </c>
      <c r="C78" s="335" t="s">
        <v>9</v>
      </c>
      <c r="D78" s="335" t="s">
        <v>47</v>
      </c>
      <c r="E78" s="337" t="str">
        <f t="shared" si="1"/>
        <v>大鉄　堺:豊通</v>
      </c>
      <c r="F78" s="338" t="s">
        <v>576</v>
      </c>
      <c r="G78" s="339" t="str">
        <f t="shared" si="2"/>
        <v>大鉄　堺:豊通鋼ダライＢ</v>
      </c>
      <c r="H78" s="340">
        <f t="shared" si="3"/>
        <v>27.7</v>
      </c>
      <c r="I78" s="335">
        <v>27.7</v>
      </c>
      <c r="J78" s="332" t="str">
        <f>IFERROR(__xludf.DUMMYFUNCTION("IF(IF(COUNTIF(P$2:P77, P78)=0, """", INDEX(H$2:H77,
MAX(FILTER(ROW(H$2:H77) - ROW(H$2) + 1, P$2:P77 = P78))))=""単価"","""",
IF(COUNTIF(P$2:P77, P78)=0, """", INDEX(H$2:H77,
MAX(FILTER(ROW(H$2:H77) - ROW(H$2) + 1, P$2:P77 = P78)))))"),"")</f>
        <v/>
      </c>
      <c r="N78" s="335" t="str">
        <f>IF(MAXIFS('単価履歴'!$O:$O,'単価履歴'!$E:$E,E78,'単価履歴'!$F:$F,F78)=O78,"●","")</f>
        <v/>
      </c>
      <c r="O78" s="345">
        <v>45580.459178240744</v>
      </c>
      <c r="P78" s="334" t="str">
        <f t="shared" si="4"/>
        <v>大鉄　堺:豊通鋼ダライＢ</v>
      </c>
    </row>
    <row r="79" ht="15.75" customHeight="1">
      <c r="A79" s="335" t="s">
        <v>1277</v>
      </c>
      <c r="B79" s="343">
        <v>45580.0</v>
      </c>
      <c r="C79" s="335" t="s">
        <v>9</v>
      </c>
      <c r="D79" s="335" t="s">
        <v>47</v>
      </c>
      <c r="E79" s="337" t="str">
        <f t="shared" si="1"/>
        <v>大鉄　堺:豊通</v>
      </c>
      <c r="F79" s="338" t="s">
        <v>145</v>
      </c>
      <c r="G79" s="339" t="str">
        <f t="shared" si="2"/>
        <v>大鉄　堺:豊通シュレＡ</v>
      </c>
      <c r="H79" s="340">
        <f t="shared" si="3"/>
        <v>28.7</v>
      </c>
      <c r="I79" s="335">
        <v>28.7</v>
      </c>
      <c r="J79" s="332" t="str">
        <f>IFERROR(__xludf.DUMMYFUNCTION("IF(IF(COUNTIF(P$2:P78, P79)=0, """", INDEX(H$2:H78,
MAX(FILTER(ROW(H$2:H78) - ROW(H$2) + 1, P$2:P78 = P79))))=""単価"","""",
IF(COUNTIF(P$2:P78, P79)=0, """", INDEX(H$2:H78,
MAX(FILTER(ROW(H$2:H78) - ROW(H$2) + 1, P$2:P78 = P79)))))"),"")</f>
        <v/>
      </c>
      <c r="N79" s="335" t="str">
        <f>IF(MAXIFS('単価履歴'!$O:$O,'単価履歴'!$E:$E,E79,'単価履歴'!$F:$F,F79)=O79,"●","")</f>
        <v/>
      </c>
      <c r="O79" s="345">
        <v>45580.459178240744</v>
      </c>
      <c r="P79" s="334" t="str">
        <f t="shared" si="4"/>
        <v>大鉄　堺:豊通シュレＡ</v>
      </c>
    </row>
    <row r="80" ht="15.75" customHeight="1">
      <c r="A80" s="335" t="s">
        <v>1278</v>
      </c>
      <c r="B80" s="343">
        <v>45580.0</v>
      </c>
      <c r="C80" s="335" t="s">
        <v>9</v>
      </c>
      <c r="D80" s="335" t="s">
        <v>47</v>
      </c>
      <c r="E80" s="337" t="str">
        <f t="shared" si="1"/>
        <v>大鉄　堺:豊通</v>
      </c>
      <c r="F80" s="338" t="s">
        <v>149</v>
      </c>
      <c r="G80" s="339" t="str">
        <f t="shared" si="2"/>
        <v>大鉄　堺:豊通シュレＢ</v>
      </c>
      <c r="H80" s="340">
        <f t="shared" si="3"/>
        <v>28</v>
      </c>
      <c r="I80" s="335">
        <v>28.0</v>
      </c>
      <c r="J80" s="332" t="str">
        <f>IFERROR(__xludf.DUMMYFUNCTION("IF(IF(COUNTIF(P$2:P79, P80)=0, """", INDEX(H$2:H79,
MAX(FILTER(ROW(H$2:H79) - ROW(H$2) + 1, P$2:P79 = P80))))=""単価"","""",
IF(COUNTIF(P$2:P79, P80)=0, """", INDEX(H$2:H79,
MAX(FILTER(ROW(H$2:H79) - ROW(H$2) + 1, P$2:P79 = P80)))))"),"")</f>
        <v/>
      </c>
      <c r="N80" s="335" t="str">
        <f>IF(MAXIFS('単価履歴'!$O:$O,'単価履歴'!$E:$E,E80,'単価履歴'!$F:$F,F80)=O80,"●","")</f>
        <v/>
      </c>
      <c r="O80" s="345">
        <v>45580.459178240744</v>
      </c>
      <c r="P80" s="334" t="str">
        <f t="shared" si="4"/>
        <v>大鉄　堺:豊通シュレＢ</v>
      </c>
    </row>
    <row r="81" ht="15.75" customHeight="1">
      <c r="A81" s="335" t="s">
        <v>1279</v>
      </c>
      <c r="B81" s="343">
        <v>45580.0</v>
      </c>
      <c r="C81" s="335" t="s">
        <v>9</v>
      </c>
      <c r="D81" s="335" t="s">
        <v>47</v>
      </c>
      <c r="E81" s="337" t="str">
        <f t="shared" si="1"/>
        <v>大鉄　堺:豊通</v>
      </c>
      <c r="F81" s="338" t="s">
        <v>151</v>
      </c>
      <c r="G81" s="339" t="str">
        <f t="shared" si="2"/>
        <v>大鉄　堺:豊通シュレＣ</v>
      </c>
      <c r="H81" s="340">
        <f t="shared" si="3"/>
        <v>26.6</v>
      </c>
      <c r="I81" s="335">
        <v>26.6</v>
      </c>
      <c r="J81" s="332" t="str">
        <f>IFERROR(__xludf.DUMMYFUNCTION("IF(IF(COUNTIF(P$2:P80, P81)=0, """", INDEX(H$2:H80,
MAX(FILTER(ROW(H$2:H80) - ROW(H$2) + 1, P$2:P80 = P81))))=""単価"","""",
IF(COUNTIF(P$2:P80, P81)=0, """", INDEX(H$2:H80,
MAX(FILTER(ROW(H$2:H80) - ROW(H$2) + 1, P$2:P80 = P81)))))"),"")</f>
        <v/>
      </c>
      <c r="N81" s="335" t="str">
        <f>IF(MAXIFS('単価履歴'!$O:$O,'単価履歴'!$E:$E,E81,'単価履歴'!$F:$F,F81)=O81,"●","")</f>
        <v/>
      </c>
      <c r="O81" s="345">
        <v>45580.459178240744</v>
      </c>
      <c r="P81" s="334" t="str">
        <f t="shared" si="4"/>
        <v>大鉄　堺:豊通シュレＣ</v>
      </c>
    </row>
    <row r="82" ht="15.75" customHeight="1">
      <c r="A82" s="335" t="s">
        <v>1280</v>
      </c>
      <c r="B82" s="343">
        <v>45580.0</v>
      </c>
      <c r="C82" s="335" t="s">
        <v>9</v>
      </c>
      <c r="D82" s="335" t="s">
        <v>47</v>
      </c>
      <c r="E82" s="337" t="str">
        <f t="shared" si="1"/>
        <v>大鉄　堺:豊通</v>
      </c>
      <c r="F82" s="338" t="s">
        <v>154</v>
      </c>
      <c r="G82" s="339" t="str">
        <f t="shared" si="2"/>
        <v>大鉄　堺:豊通ＣＰ Ａ</v>
      </c>
      <c r="H82" s="340">
        <f t="shared" si="3"/>
        <v>35.7</v>
      </c>
      <c r="I82" s="335">
        <v>35.7</v>
      </c>
      <c r="J82" s="332" t="str">
        <f>IFERROR(__xludf.DUMMYFUNCTION("IF(IF(COUNTIF(P$2:P81, P82)=0, """", INDEX(H$2:H81,
MAX(FILTER(ROW(H$2:H81) - ROW(H$2) + 1, P$2:P81 = P82))))=""単価"","""",
IF(COUNTIF(P$2:P81, P82)=0, """", INDEX(H$2:H81,
MAX(FILTER(ROW(H$2:H81) - ROW(H$2) + 1, P$2:P81 = P82)))))"),"")</f>
        <v/>
      </c>
      <c r="N82" s="335" t="str">
        <f>IF(MAXIFS('単価履歴'!$O:$O,'単価履歴'!$E:$E,E82,'単価履歴'!$F:$F,F82)=O82,"●","")</f>
        <v/>
      </c>
      <c r="O82" s="345">
        <v>45580.459178240744</v>
      </c>
      <c r="P82" s="334" t="str">
        <f t="shared" si="4"/>
        <v>大鉄　堺:豊通ＣＰ Ａ</v>
      </c>
    </row>
    <row r="83" ht="15.75" customHeight="1">
      <c r="A83" s="335" t="s">
        <v>1281</v>
      </c>
      <c r="B83" s="343">
        <v>45580.0</v>
      </c>
      <c r="C83" s="335" t="s">
        <v>9</v>
      </c>
      <c r="D83" s="335" t="s">
        <v>47</v>
      </c>
      <c r="E83" s="337" t="str">
        <f t="shared" si="1"/>
        <v>大鉄　堺:豊通</v>
      </c>
      <c r="F83" s="338" t="s">
        <v>156</v>
      </c>
      <c r="G83" s="339" t="str">
        <f t="shared" si="2"/>
        <v>大鉄　堺:豊通ＣＰ Ｂ一斗缶</v>
      </c>
      <c r="H83" s="340">
        <f t="shared" si="3"/>
        <v>33.2</v>
      </c>
      <c r="I83" s="335">
        <v>33.2</v>
      </c>
      <c r="J83" s="332" t="str">
        <f>IFERROR(__xludf.DUMMYFUNCTION("IF(IF(COUNTIF(P$2:P82, P83)=0, """", INDEX(H$2:H82,
MAX(FILTER(ROW(H$2:H82) - ROW(H$2) + 1, P$2:P82 = P83))))=""単価"","""",
IF(COUNTIF(P$2:P82, P83)=0, """", INDEX(H$2:H82,
MAX(FILTER(ROW(H$2:H82) - ROW(H$2) + 1, P$2:P82 = P83)))))"),"")</f>
        <v/>
      </c>
      <c r="N83" s="335" t="str">
        <f>IF(MAXIFS('単価履歴'!$O:$O,'単価履歴'!$E:$E,E83,'単価履歴'!$F:$F,F83)=O83,"●","")</f>
        <v/>
      </c>
      <c r="O83" s="345">
        <v>45580.459178240744</v>
      </c>
      <c r="P83" s="334" t="str">
        <f t="shared" si="4"/>
        <v>大鉄　堺:豊通ＣＰ Ｂ一斗缶</v>
      </c>
    </row>
    <row r="84" ht="15.75" customHeight="1">
      <c r="A84" s="335" t="s">
        <v>1282</v>
      </c>
      <c r="B84" s="343">
        <v>45580.0</v>
      </c>
      <c r="C84" s="335" t="s">
        <v>9</v>
      </c>
      <c r="D84" s="335" t="s">
        <v>50</v>
      </c>
      <c r="E84" s="337" t="str">
        <f t="shared" si="1"/>
        <v>大鉄　堺:産振</v>
      </c>
      <c r="F84" s="338" t="s">
        <v>111</v>
      </c>
      <c r="G84" s="339" t="str">
        <f t="shared" si="2"/>
        <v>大鉄　堺:産振Ｈ１(特A)</v>
      </c>
      <c r="H84" s="340">
        <f t="shared" si="3"/>
        <v>43.2</v>
      </c>
      <c r="I84" s="335">
        <v>43.2</v>
      </c>
      <c r="J84" s="332" t="str">
        <f>IFERROR(__xludf.DUMMYFUNCTION("IF(IF(COUNTIF(P$2:P83, P84)=0, """", INDEX(H$2:H83,
MAX(FILTER(ROW(H$2:H83) - ROW(H$2) + 1, P$2:P83 = P84))))=""単価"","""",
IF(COUNTIF(P$2:P83, P84)=0, """", INDEX(H$2:H83,
MAX(FILTER(ROW(H$2:H83) - ROW(H$2) + 1, P$2:P83 = P84)))))"),"")</f>
        <v/>
      </c>
      <c r="N84" s="335" t="str">
        <f>IF(MAXIFS('単価履歴'!$O:$O,'単価履歴'!$E:$E,E84,'単価履歴'!$F:$F,F84)=O84,"●","")</f>
        <v/>
      </c>
      <c r="O84" s="345">
        <v>45580.459178240744</v>
      </c>
      <c r="P84" s="334" t="str">
        <f t="shared" si="4"/>
        <v>大鉄　堺:産振Ｈ１(特A)</v>
      </c>
    </row>
    <row r="85" ht="15.75" customHeight="1">
      <c r="A85" s="335" t="s">
        <v>1283</v>
      </c>
      <c r="B85" s="343">
        <v>45580.0</v>
      </c>
      <c r="C85" s="335" t="s">
        <v>9</v>
      </c>
      <c r="D85" s="335" t="s">
        <v>50</v>
      </c>
      <c r="E85" s="337" t="str">
        <f t="shared" si="1"/>
        <v>大鉄　堺:産振</v>
      </c>
      <c r="F85" s="338" t="s">
        <v>116</v>
      </c>
      <c r="G85" s="339" t="str">
        <f t="shared" si="2"/>
        <v>大鉄　堺:産振Ｈ２(特級)</v>
      </c>
      <c r="H85" s="340">
        <f t="shared" si="3"/>
        <v>39.7</v>
      </c>
      <c r="I85" s="335">
        <v>39.7</v>
      </c>
      <c r="J85" s="332" t="str">
        <f>IFERROR(__xludf.DUMMYFUNCTION("IF(IF(COUNTIF(P$2:P84, P85)=0, """", INDEX(H$2:H84,
MAX(FILTER(ROW(H$2:H84) - ROW(H$2) + 1, P$2:P84 = P85))))=""単価"","""",
IF(COUNTIF(P$2:P84, P85)=0, """", INDEX(H$2:H84,
MAX(FILTER(ROW(H$2:H84) - ROW(H$2) + 1, P$2:P84 = P85)))))"),"")</f>
        <v/>
      </c>
      <c r="N85" s="335" t="str">
        <f>IF(MAXIFS('単価履歴'!$O:$O,'単価履歴'!$E:$E,E85,'単価履歴'!$F:$F,F85)=O85,"●","")</f>
        <v/>
      </c>
      <c r="O85" s="345">
        <v>45580.459178240744</v>
      </c>
      <c r="P85" s="334" t="str">
        <f t="shared" si="4"/>
        <v>大鉄　堺:産振Ｈ２(特級)</v>
      </c>
    </row>
    <row r="86" ht="15.75" customHeight="1">
      <c r="A86" s="335" t="s">
        <v>1284</v>
      </c>
      <c r="B86" s="343">
        <v>45580.0</v>
      </c>
      <c r="C86" s="335" t="s">
        <v>9</v>
      </c>
      <c r="D86" s="335" t="s">
        <v>50</v>
      </c>
      <c r="E86" s="337" t="str">
        <f t="shared" si="1"/>
        <v>大鉄　堺:産振</v>
      </c>
      <c r="F86" s="338" t="s">
        <v>154</v>
      </c>
      <c r="G86" s="339" t="str">
        <f t="shared" si="2"/>
        <v>大鉄　堺:産振ＣＰ Ａ</v>
      </c>
      <c r="H86" s="340">
        <f t="shared" si="3"/>
        <v>42.2</v>
      </c>
      <c r="I86" s="335">
        <v>42.2</v>
      </c>
      <c r="J86" s="332" t="str">
        <f>IFERROR(__xludf.DUMMYFUNCTION("IF(IF(COUNTIF(P$2:P85, P86)=0, """", INDEX(H$2:H85,
MAX(FILTER(ROW(H$2:H85) - ROW(H$2) + 1, P$2:P85 = P86))))=""単価"","""",
IF(COUNTIF(P$2:P85, P86)=0, """", INDEX(H$2:H85,
MAX(FILTER(ROW(H$2:H85) - ROW(H$2) + 1, P$2:P85 = P86)))))"),"")</f>
        <v/>
      </c>
      <c r="N86" s="335" t="str">
        <f>IF(MAXIFS('単価履歴'!$O:$O,'単価履歴'!$E:$E,E86,'単価履歴'!$F:$F,F86)=O86,"●","")</f>
        <v/>
      </c>
      <c r="O86" s="345">
        <v>45580.459178240744</v>
      </c>
      <c r="P86" s="334" t="str">
        <f t="shared" si="4"/>
        <v>大鉄　堺:産振ＣＰ Ａ</v>
      </c>
    </row>
    <row r="87" ht="15.75" customHeight="1">
      <c r="A87" s="335" t="s">
        <v>1285</v>
      </c>
      <c r="B87" s="343">
        <v>45580.0</v>
      </c>
      <c r="C87" s="335" t="s">
        <v>9</v>
      </c>
      <c r="D87" s="335" t="s">
        <v>50</v>
      </c>
      <c r="E87" s="337" t="str">
        <f t="shared" si="1"/>
        <v>大鉄　堺:産振</v>
      </c>
      <c r="F87" s="338" t="s">
        <v>156</v>
      </c>
      <c r="G87" s="339" t="str">
        <f t="shared" si="2"/>
        <v>大鉄　堺:産振ＣＰ Ｂ一斗缶</v>
      </c>
      <c r="H87" s="340">
        <f t="shared" si="3"/>
        <v>36</v>
      </c>
      <c r="I87" s="335">
        <v>36.0</v>
      </c>
      <c r="J87" s="332" t="str">
        <f>IFERROR(__xludf.DUMMYFUNCTION("IF(IF(COUNTIF(P$2:P86, P87)=0, """", INDEX(H$2:H86,
MAX(FILTER(ROW(H$2:H86) - ROW(H$2) + 1, P$2:P86 = P87))))=""単価"","""",
IF(COUNTIF(P$2:P86, P87)=0, """", INDEX(H$2:H86,
MAX(FILTER(ROW(H$2:H86) - ROW(H$2) + 1, P$2:P86 = P87)))))"),"")</f>
        <v/>
      </c>
      <c r="N87" s="335" t="str">
        <f>IF(MAXIFS('単価履歴'!$O:$O,'単価履歴'!$E:$E,E87,'単価履歴'!$F:$F,F87)=O87,"●","")</f>
        <v/>
      </c>
      <c r="O87" s="345">
        <v>45580.459178240744</v>
      </c>
      <c r="P87" s="334" t="str">
        <f t="shared" si="4"/>
        <v>大鉄　堺:産振ＣＰ Ｂ一斗缶</v>
      </c>
    </row>
    <row r="88" ht="15.75" customHeight="1">
      <c r="A88" s="335" t="s">
        <v>1286</v>
      </c>
      <c r="B88" s="343">
        <v>45580.0</v>
      </c>
      <c r="C88" s="335" t="s">
        <v>9</v>
      </c>
      <c r="D88" s="335" t="s">
        <v>49</v>
      </c>
      <c r="E88" s="337" t="str">
        <f t="shared" si="1"/>
        <v>大鉄　堺:伊藤忠</v>
      </c>
      <c r="F88" s="338" t="s">
        <v>111</v>
      </c>
      <c r="G88" s="339" t="str">
        <f t="shared" si="2"/>
        <v>大鉄　堺:伊藤忠Ｈ１(特A)</v>
      </c>
      <c r="H88" s="340">
        <f t="shared" si="3"/>
        <v>28.3</v>
      </c>
      <c r="I88" s="335">
        <v>28.3</v>
      </c>
      <c r="J88" s="332" t="str">
        <f>IFERROR(__xludf.DUMMYFUNCTION("IF(IF(COUNTIF(P$2:P87, P88)=0, """", INDEX(H$2:H87,
MAX(FILTER(ROW(H$2:H87) - ROW(H$2) + 1, P$2:P87 = P88))))=""単価"","""",
IF(COUNTIF(P$2:P87, P88)=0, """", INDEX(H$2:H87,
MAX(FILTER(ROW(H$2:H87) - ROW(H$2) + 1, P$2:P87 = P88)))))"),"")</f>
        <v/>
      </c>
      <c r="N88" s="335" t="str">
        <f>IF(MAXIFS('単価履歴'!$O:$O,'単価履歴'!$E:$E,E88,'単価履歴'!$F:$F,F88)=O88,"●","")</f>
        <v/>
      </c>
      <c r="O88" s="345">
        <v>45580.459178240744</v>
      </c>
      <c r="P88" s="334" t="str">
        <f t="shared" si="4"/>
        <v>大鉄　堺:伊藤忠Ｈ１(特A)</v>
      </c>
    </row>
    <row r="89" ht="15.75" customHeight="1">
      <c r="A89" s="335" t="s">
        <v>1287</v>
      </c>
      <c r="B89" s="343">
        <v>45580.0</v>
      </c>
      <c r="C89" s="335" t="s">
        <v>9</v>
      </c>
      <c r="D89" s="335" t="s">
        <v>49</v>
      </c>
      <c r="E89" s="337" t="str">
        <f t="shared" si="1"/>
        <v>大鉄　堺:伊藤忠</v>
      </c>
      <c r="F89" s="338" t="s">
        <v>1237</v>
      </c>
      <c r="G89" s="339" t="str">
        <f t="shared" si="2"/>
        <v>大鉄　堺:伊藤忠ＪＨ１(H2T山口)鍛造ﾊﾞﾘ</v>
      </c>
      <c r="H89" s="340">
        <f t="shared" si="3"/>
        <v>35.7</v>
      </c>
      <c r="I89" s="335">
        <v>35.7</v>
      </c>
      <c r="J89" s="332" t="str">
        <f>IFERROR(__xludf.DUMMYFUNCTION("IF(IF(COUNTIF(P$2:P88, P89)=0, """", INDEX(H$2:H88,
MAX(FILTER(ROW(H$2:H88) - ROW(H$2) + 1, P$2:P88 = P89))))=""単価"","""",
IF(COUNTIF(P$2:P88, P89)=0, """", INDEX(H$2:H88,
MAX(FILTER(ROW(H$2:H88) - ROW(H$2) + 1, P$2:P88 = P89)))))"),"")</f>
        <v/>
      </c>
      <c r="N89" s="335" t="str">
        <f>IF(MAXIFS('単価履歴'!$O:$O,'単価履歴'!$E:$E,E89,'単価履歴'!$F:$F,F89)=O89,"●","")</f>
        <v/>
      </c>
      <c r="O89" s="345">
        <v>45580.459178240744</v>
      </c>
      <c r="P89" s="334" t="str">
        <f t="shared" si="4"/>
        <v>大鉄　堺:伊藤忠ＪＨ１(H2T山口)鍛造ﾊﾞﾘ</v>
      </c>
    </row>
    <row r="90" ht="15.75" customHeight="1">
      <c r="A90" s="335" t="s">
        <v>1288</v>
      </c>
      <c r="B90" s="343">
        <v>45580.0</v>
      </c>
      <c r="C90" s="335" t="s">
        <v>9</v>
      </c>
      <c r="D90" s="335" t="s">
        <v>49</v>
      </c>
      <c r="E90" s="337" t="str">
        <f t="shared" si="1"/>
        <v>大鉄　堺:伊藤忠</v>
      </c>
      <c r="F90" s="338" t="s">
        <v>116</v>
      </c>
      <c r="G90" s="339" t="str">
        <f t="shared" si="2"/>
        <v>大鉄　堺:伊藤忠Ｈ２(特級)</v>
      </c>
      <c r="H90" s="340">
        <f t="shared" si="3"/>
        <v>33</v>
      </c>
      <c r="I90" s="335">
        <v>33.0</v>
      </c>
      <c r="J90" s="332" t="str">
        <f>IFERROR(__xludf.DUMMYFUNCTION("IF(IF(COUNTIF(P$2:P89, P90)=0, """", INDEX(H$2:H89,
MAX(FILTER(ROW(H$2:H89) - ROW(H$2) + 1, P$2:P89 = P90))))=""単価"","""",
IF(COUNTIF(P$2:P89, P90)=0, """", INDEX(H$2:H89,
MAX(FILTER(ROW(H$2:H89) - ROW(H$2) + 1, P$2:P89 = P90)))))"),"")</f>
        <v/>
      </c>
      <c r="N90" s="335" t="str">
        <f>IF(MAXIFS('単価履歴'!$O:$O,'単価履歴'!$E:$E,E90,'単価履歴'!$F:$F,F90)=O90,"●","")</f>
        <v/>
      </c>
      <c r="O90" s="345">
        <v>45580.459178240744</v>
      </c>
      <c r="P90" s="334" t="str">
        <f t="shared" si="4"/>
        <v>大鉄　堺:伊藤忠Ｈ２(特級)</v>
      </c>
    </row>
    <row r="91" ht="15.75" customHeight="1">
      <c r="A91" s="335" t="s">
        <v>1289</v>
      </c>
      <c r="B91" s="343">
        <v>45580.0</v>
      </c>
      <c r="C91" s="335" t="s">
        <v>9</v>
      </c>
      <c r="D91" s="335" t="s">
        <v>49</v>
      </c>
      <c r="E91" s="337" t="str">
        <f t="shared" si="1"/>
        <v>大鉄　堺:伊藤忠</v>
      </c>
      <c r="F91" s="338" t="s">
        <v>119</v>
      </c>
      <c r="G91" s="339" t="str">
        <f t="shared" si="2"/>
        <v>大鉄　堺:伊藤忠Ｈ３(1級)</v>
      </c>
      <c r="H91" s="340">
        <f t="shared" si="3"/>
        <v>32</v>
      </c>
      <c r="I91" s="335">
        <v>32.0</v>
      </c>
      <c r="J91" s="332" t="str">
        <f>IFERROR(__xludf.DUMMYFUNCTION("IF(IF(COUNTIF(P$2:P90, P91)=0, """", INDEX(H$2:H90,
MAX(FILTER(ROW(H$2:H90) - ROW(H$2) + 1, P$2:P90 = P91))))=""単価"","""",
IF(COUNTIF(P$2:P90, P91)=0, """", INDEX(H$2:H90,
MAX(FILTER(ROW(H$2:H90) - ROW(H$2) + 1, P$2:P90 = P91)))))"),"")</f>
        <v/>
      </c>
      <c r="N91" s="335" t="str">
        <f>IF(MAXIFS('単価履歴'!$O:$O,'単価履歴'!$E:$E,E91,'単価履歴'!$F:$F,F91)=O91,"●","")</f>
        <v/>
      </c>
      <c r="O91" s="345">
        <v>45580.459178240744</v>
      </c>
      <c r="P91" s="334" t="str">
        <f t="shared" si="4"/>
        <v>大鉄　堺:伊藤忠Ｈ３(1級)</v>
      </c>
    </row>
    <row r="92" ht="15.75" customHeight="1">
      <c r="A92" s="335" t="s">
        <v>1290</v>
      </c>
      <c r="B92" s="343">
        <v>45580.0</v>
      </c>
      <c r="C92" s="335" t="s">
        <v>9</v>
      </c>
      <c r="D92" s="335" t="s">
        <v>49</v>
      </c>
      <c r="E92" s="337" t="str">
        <f t="shared" si="1"/>
        <v>大鉄　堺:伊藤忠</v>
      </c>
      <c r="F92" s="338" t="s">
        <v>122</v>
      </c>
      <c r="G92" s="339" t="str">
        <f t="shared" si="2"/>
        <v>大鉄　堺:伊藤忠Ｌ１(2級)</v>
      </c>
      <c r="H92" s="340">
        <f t="shared" si="3"/>
        <v>31</v>
      </c>
      <c r="I92" s="335">
        <v>31.0</v>
      </c>
      <c r="J92" s="332" t="str">
        <f>IFERROR(__xludf.DUMMYFUNCTION("IF(IF(COUNTIF(P$2:P91, P92)=0, """", INDEX(H$2:H91,
MAX(FILTER(ROW(H$2:H91) - ROW(H$2) + 1, P$2:P91 = P92))))=""単価"","""",
IF(COUNTIF(P$2:P91, P92)=0, """", INDEX(H$2:H91,
MAX(FILTER(ROW(H$2:H91) - ROW(H$2) + 1, P$2:P91 = P92)))))"),"")</f>
        <v/>
      </c>
      <c r="N92" s="335" t="str">
        <f>IF(MAXIFS('単価履歴'!$O:$O,'単価履歴'!$E:$E,E92,'単価履歴'!$F:$F,F92)=O92,"●","")</f>
        <v/>
      </c>
      <c r="O92" s="345">
        <v>45580.459178240744</v>
      </c>
      <c r="P92" s="334" t="str">
        <f t="shared" si="4"/>
        <v>大鉄　堺:伊藤忠Ｌ１(2級)</v>
      </c>
    </row>
    <row r="93" ht="15.75" customHeight="1">
      <c r="A93" s="335" t="s">
        <v>1291</v>
      </c>
      <c r="B93" s="343">
        <v>45580.0</v>
      </c>
      <c r="C93" s="335" t="s">
        <v>9</v>
      </c>
      <c r="D93" s="335" t="s">
        <v>49</v>
      </c>
      <c r="E93" s="337" t="str">
        <f t="shared" si="1"/>
        <v>大鉄　堺:伊藤忠</v>
      </c>
      <c r="F93" s="338" t="s">
        <v>130</v>
      </c>
      <c r="G93" s="339" t="str">
        <f t="shared" si="2"/>
        <v>大鉄　堺:伊藤忠新断Ａ</v>
      </c>
      <c r="H93" s="340">
        <f t="shared" si="3"/>
        <v>27.3</v>
      </c>
      <c r="I93" s="335">
        <v>27.3</v>
      </c>
      <c r="J93" s="332" t="str">
        <f>IFERROR(__xludf.DUMMYFUNCTION("IF(IF(COUNTIF(P$2:P92, P93)=0, """", INDEX(H$2:H92,
MAX(FILTER(ROW(H$2:H92) - ROW(H$2) + 1, P$2:P92 = P93))))=""単価"","""",
IF(COUNTIF(P$2:P92, P93)=0, """", INDEX(H$2:H92,
MAX(FILTER(ROW(H$2:H92) - ROW(H$2) + 1, P$2:P92 = P93)))))"),"")</f>
        <v/>
      </c>
      <c r="N93" s="335" t="str">
        <f>IF(MAXIFS('単価履歴'!$O:$O,'単価履歴'!$E:$E,E93,'単価履歴'!$F:$F,F93)=O93,"●","")</f>
        <v/>
      </c>
      <c r="O93" s="345">
        <v>45580.459178240744</v>
      </c>
      <c r="P93" s="334" t="str">
        <f t="shared" si="4"/>
        <v>大鉄　堺:伊藤忠新断Ａ</v>
      </c>
    </row>
    <row r="94" ht="15.75" customHeight="1">
      <c r="A94" s="335" t="s">
        <v>1292</v>
      </c>
      <c r="B94" s="343">
        <v>45580.0</v>
      </c>
      <c r="C94" s="335" t="s">
        <v>9</v>
      </c>
      <c r="D94" s="335" t="s">
        <v>49</v>
      </c>
      <c r="E94" s="337" t="str">
        <f t="shared" si="1"/>
        <v>大鉄　堺:伊藤忠</v>
      </c>
      <c r="F94" s="338" t="s">
        <v>131</v>
      </c>
      <c r="G94" s="339" t="str">
        <f t="shared" si="2"/>
        <v>大鉄　堺:伊藤忠新断Ｂ</v>
      </c>
      <c r="H94" s="340">
        <f t="shared" si="3"/>
        <v>26.8</v>
      </c>
      <c r="I94" s="335">
        <v>26.8</v>
      </c>
      <c r="J94" s="332" t="str">
        <f>IFERROR(__xludf.DUMMYFUNCTION("IF(IF(COUNTIF(P$2:P93, P94)=0, """", INDEX(H$2:H93,
MAX(FILTER(ROW(H$2:H93) - ROW(H$2) + 1, P$2:P93 = P94))))=""単価"","""",
IF(COUNTIF(P$2:P93, P94)=0, """", INDEX(H$2:H93,
MAX(FILTER(ROW(H$2:H93) - ROW(H$2) + 1, P$2:P93 = P94)))))"),"")</f>
        <v/>
      </c>
      <c r="N94" s="335" t="str">
        <f>IF(MAXIFS('単価履歴'!$O:$O,'単価履歴'!$E:$E,E94,'単価履歴'!$F:$F,F94)=O94,"●","")</f>
        <v/>
      </c>
      <c r="O94" s="345">
        <v>45580.459178240744</v>
      </c>
      <c r="P94" s="334" t="str">
        <f t="shared" si="4"/>
        <v>大鉄　堺:伊藤忠新断Ｂ</v>
      </c>
    </row>
    <row r="95" ht="15.75" customHeight="1">
      <c r="A95" s="335" t="s">
        <v>1293</v>
      </c>
      <c r="B95" s="343">
        <v>45580.0</v>
      </c>
      <c r="C95" s="335" t="s">
        <v>10</v>
      </c>
      <c r="D95" s="335" t="s">
        <v>47</v>
      </c>
      <c r="E95" s="337" t="str">
        <f t="shared" si="1"/>
        <v>岸和田:豊通</v>
      </c>
      <c r="F95" s="338" t="s">
        <v>111</v>
      </c>
      <c r="G95" s="339" t="str">
        <f t="shared" si="2"/>
        <v>岸和田:豊通Ｈ１(特A)</v>
      </c>
      <c r="H95" s="340">
        <f t="shared" si="3"/>
        <v>42.5</v>
      </c>
      <c r="I95" s="335">
        <v>42.5</v>
      </c>
      <c r="J95" s="332" t="str">
        <f>IFERROR(__xludf.DUMMYFUNCTION("IF(IF(COUNTIF(P$2:P94, P95)=0, """", INDEX(H$2:H94,
MAX(FILTER(ROW(H$2:H94) - ROW(H$2) + 1, P$2:P94 = P95))))=""単価"","""",
IF(COUNTIF(P$2:P94, P95)=0, """", INDEX(H$2:H94,
MAX(FILTER(ROW(H$2:H94) - ROW(H$2) + 1, P$2:P94 = P95)))))"),"")</f>
        <v/>
      </c>
      <c r="N95" s="335" t="str">
        <f>IF(MAXIFS('単価履歴'!$O:$O,'単価履歴'!$E:$E,E95,'単価履歴'!$F:$F,F95)=O95,"●","")</f>
        <v/>
      </c>
      <c r="O95" s="345">
        <v>45580.459178240744</v>
      </c>
      <c r="P95" s="334" t="str">
        <f t="shared" si="4"/>
        <v>岸和田:豊通Ｈ１(特A)</v>
      </c>
    </row>
    <row r="96" ht="15.75" customHeight="1">
      <c r="A96" s="335" t="s">
        <v>1294</v>
      </c>
      <c r="B96" s="343">
        <v>45580.0</v>
      </c>
      <c r="C96" s="335" t="s">
        <v>10</v>
      </c>
      <c r="D96" s="335" t="s">
        <v>47</v>
      </c>
      <c r="E96" s="337" t="str">
        <f t="shared" si="1"/>
        <v>岸和田:豊通</v>
      </c>
      <c r="F96" s="338" t="s">
        <v>116</v>
      </c>
      <c r="G96" s="339" t="str">
        <f t="shared" si="2"/>
        <v>岸和田:豊通Ｈ２(特級)</v>
      </c>
      <c r="H96" s="340">
        <f t="shared" si="3"/>
        <v>41</v>
      </c>
      <c r="I96" s="335">
        <v>41.0</v>
      </c>
      <c r="J96" s="332" t="str">
        <f>IFERROR(__xludf.DUMMYFUNCTION("IF(IF(COUNTIF(P$2:P95, P96)=0, """", INDEX(H$2:H95,
MAX(FILTER(ROW(H$2:H95) - ROW(H$2) + 1, P$2:P95 = P96))))=""単価"","""",
IF(COUNTIF(P$2:P95, P96)=0, """", INDEX(H$2:H95,
MAX(FILTER(ROW(H$2:H95) - ROW(H$2) + 1, P$2:P95 = P96)))))"),"")</f>
        <v/>
      </c>
      <c r="N96" s="335" t="str">
        <f>IF(MAXIFS('単価履歴'!$O:$O,'単価履歴'!$E:$E,E96,'単価履歴'!$F:$F,F96)=O96,"●","")</f>
        <v/>
      </c>
      <c r="O96" s="345">
        <v>45580.459178240744</v>
      </c>
      <c r="P96" s="334" t="str">
        <f t="shared" si="4"/>
        <v>岸和田:豊通Ｈ２(特級)</v>
      </c>
    </row>
    <row r="97" ht="15.75" customHeight="1">
      <c r="A97" s="335" t="s">
        <v>1295</v>
      </c>
      <c r="B97" s="343">
        <v>45580.0</v>
      </c>
      <c r="C97" s="335" t="s">
        <v>10</v>
      </c>
      <c r="D97" s="335" t="s">
        <v>47</v>
      </c>
      <c r="E97" s="337" t="str">
        <f t="shared" si="1"/>
        <v>岸和田:豊通</v>
      </c>
      <c r="F97" s="338" t="s">
        <v>119</v>
      </c>
      <c r="G97" s="339" t="str">
        <f t="shared" si="2"/>
        <v>岸和田:豊通Ｈ３(1級)</v>
      </c>
      <c r="H97" s="340">
        <f t="shared" si="3"/>
        <v>40.5</v>
      </c>
      <c r="I97" s="335">
        <v>40.5</v>
      </c>
      <c r="J97" s="332" t="str">
        <f>IFERROR(__xludf.DUMMYFUNCTION("IF(IF(COUNTIF(P$2:P96, P97)=0, """", INDEX(H$2:H96,
MAX(FILTER(ROW(H$2:H96) - ROW(H$2) + 1, P$2:P96 = P97))))=""単価"","""",
IF(COUNTIF(P$2:P96, P97)=0, """", INDEX(H$2:H96,
MAX(FILTER(ROW(H$2:H96) - ROW(H$2) + 1, P$2:P96 = P97)))))"),"")</f>
        <v/>
      </c>
      <c r="N97" s="335" t="str">
        <f>IF(MAXIFS('単価履歴'!$O:$O,'単価履歴'!$E:$E,E97,'単価履歴'!$F:$F,F97)=O97,"●","")</f>
        <v/>
      </c>
      <c r="O97" s="345">
        <v>45580.459178240744</v>
      </c>
      <c r="P97" s="334" t="str">
        <f t="shared" si="4"/>
        <v>岸和田:豊通Ｈ３(1級)</v>
      </c>
    </row>
    <row r="98" ht="15.75" customHeight="1">
      <c r="A98" s="335" t="s">
        <v>1296</v>
      </c>
      <c r="B98" s="343">
        <v>45580.0</v>
      </c>
      <c r="C98" s="335" t="s">
        <v>10</v>
      </c>
      <c r="D98" s="335" t="s">
        <v>47</v>
      </c>
      <c r="E98" s="337" t="str">
        <f t="shared" si="1"/>
        <v>岸和田:豊通</v>
      </c>
      <c r="F98" s="338" t="s">
        <v>122</v>
      </c>
      <c r="G98" s="339" t="str">
        <f t="shared" si="2"/>
        <v>岸和田:豊通Ｌ１(2級)</v>
      </c>
      <c r="H98" s="340">
        <f t="shared" si="3"/>
        <v>40</v>
      </c>
      <c r="I98" s="335">
        <v>40.0</v>
      </c>
      <c r="J98" s="332" t="str">
        <f>IFERROR(__xludf.DUMMYFUNCTION("IF(IF(COUNTIF(P$2:P97, P98)=0, """", INDEX(H$2:H97,
MAX(FILTER(ROW(H$2:H97) - ROW(H$2) + 1, P$2:P97 = P98))))=""単価"","""",
IF(COUNTIF(P$2:P97, P98)=0, """", INDEX(H$2:H97,
MAX(FILTER(ROW(H$2:H97) - ROW(H$2) + 1, P$2:P97 = P98)))))"),"")</f>
        <v/>
      </c>
      <c r="N98" s="335" t="str">
        <f>IF(MAXIFS('単価履歴'!$O:$O,'単価履歴'!$E:$E,E98,'単価履歴'!$F:$F,F98)=O98,"●","")</f>
        <v/>
      </c>
      <c r="O98" s="345">
        <v>45580.459178240744</v>
      </c>
      <c r="P98" s="334" t="str">
        <f t="shared" si="4"/>
        <v>岸和田:豊通Ｌ１(2級)</v>
      </c>
    </row>
    <row r="99" ht="15.75" customHeight="1">
      <c r="A99" s="335" t="s">
        <v>1297</v>
      </c>
      <c r="B99" s="343">
        <v>45580.0</v>
      </c>
      <c r="C99" s="335" t="s">
        <v>10</v>
      </c>
      <c r="D99" s="335" t="s">
        <v>47</v>
      </c>
      <c r="E99" s="337" t="str">
        <f t="shared" si="1"/>
        <v>岸和田:豊通</v>
      </c>
      <c r="F99" s="338" t="s">
        <v>154</v>
      </c>
      <c r="G99" s="339" t="str">
        <f t="shared" si="2"/>
        <v>岸和田:豊通ＣＰ Ａ</v>
      </c>
      <c r="H99" s="340">
        <f t="shared" si="3"/>
        <v>43.2</v>
      </c>
      <c r="I99" s="335">
        <v>43.2</v>
      </c>
      <c r="J99" s="332" t="str">
        <f>IFERROR(__xludf.DUMMYFUNCTION("IF(IF(COUNTIF(P$2:P98, P99)=0, """", INDEX(H$2:H98,
MAX(FILTER(ROW(H$2:H98) - ROW(H$2) + 1, P$2:P98 = P99))))=""単価"","""",
IF(COUNTIF(P$2:P98, P99)=0, """", INDEX(H$2:H98,
MAX(FILTER(ROW(H$2:H98) - ROW(H$2) + 1, P$2:P98 = P99)))))"),"")</f>
        <v/>
      </c>
      <c r="N99" s="335" t="str">
        <f>IF(MAXIFS('単価履歴'!$O:$O,'単価履歴'!$E:$E,E99,'単価履歴'!$F:$F,F99)=O99,"●","")</f>
        <v/>
      </c>
      <c r="O99" s="345">
        <v>45580.459178240744</v>
      </c>
      <c r="P99" s="334" t="str">
        <f t="shared" si="4"/>
        <v>岸和田:豊通ＣＰ Ａ</v>
      </c>
    </row>
    <row r="100" ht="15.75" customHeight="1">
      <c r="A100" s="335" t="s">
        <v>1298</v>
      </c>
      <c r="B100" s="343">
        <v>45580.0</v>
      </c>
      <c r="C100" s="335" t="s">
        <v>13</v>
      </c>
      <c r="D100" s="335" t="s">
        <v>49</v>
      </c>
      <c r="E100" s="337" t="str">
        <f t="shared" si="1"/>
        <v>ｸﾎﾞﾀ:伊藤忠</v>
      </c>
      <c r="F100" s="338" t="s">
        <v>130</v>
      </c>
      <c r="G100" s="339" t="str">
        <f t="shared" si="2"/>
        <v>ｸﾎﾞﾀ:伊藤忠新断Ａ</v>
      </c>
      <c r="H100" s="340">
        <f t="shared" si="3"/>
        <v>47.7</v>
      </c>
      <c r="I100" s="348">
        <v>47.7</v>
      </c>
      <c r="J100" s="332" t="str">
        <f>IFERROR(__xludf.DUMMYFUNCTION("IF(IF(COUNTIF(P$2:P99, P100)=0, """", INDEX(H$2:H99,
MAX(FILTER(ROW(H$2:H99) - ROW(H$2) + 1, P$2:P99 = P100))))=""単価"","""",
IF(COUNTIF(P$2:P99, P100)=0, """", INDEX(H$2:H99,
MAX(FILTER(ROW(H$2:H99) - ROW(H$2) + 1, P$2:P99 = P100)))))"),"")</f>
        <v/>
      </c>
      <c r="N100" s="335" t="str">
        <f>IF(MAXIFS('単価履歴'!$O:$O,'単価履歴'!$E:$E,E100,'単価履歴'!$F:$F,F100)=O100,"●","")</f>
        <v/>
      </c>
      <c r="O100" s="345">
        <v>45580.459178240744</v>
      </c>
      <c r="P100" s="334" t="str">
        <f t="shared" si="4"/>
        <v>ｸﾎﾞﾀ:伊藤忠新断Ａ</v>
      </c>
    </row>
    <row r="101" ht="15.75" customHeight="1">
      <c r="A101" s="335" t="s">
        <v>1299</v>
      </c>
      <c r="B101" s="343">
        <v>45580.0</v>
      </c>
      <c r="C101" s="335" t="s">
        <v>22</v>
      </c>
      <c r="D101" s="335" t="s">
        <v>47</v>
      </c>
      <c r="E101" s="337" t="str">
        <f t="shared" si="1"/>
        <v>栗本鐵工:豊通</v>
      </c>
      <c r="F101" s="338" t="s">
        <v>1199</v>
      </c>
      <c r="G101" s="339" t="str">
        <f t="shared" si="2"/>
        <v>栗本鐵工:豊通ＨＳ１(単体H1/電特A/HS))</v>
      </c>
      <c r="H101" s="340">
        <f t="shared" si="3"/>
        <v>46.8</v>
      </c>
      <c r="I101" s="335">
        <v>46.8</v>
      </c>
      <c r="J101" s="332" t="str">
        <f>IFERROR(__xludf.DUMMYFUNCTION("IF(IF(COUNTIF(P$2:P100, P101)=0, """", INDEX(H$2:H100,
MAX(FILTER(ROW(H$2:H100) - ROW(H$2) + 1, P$2:P100 = P101))))=""単価"","""",
IF(COUNTIF(P$2:P100, P101)=0, """", INDEX(H$2:H100,
MAX(FILTER(ROW(H$2:H100) - ROW(H$2) + 1, P$2:P100 = P101)))))"),"")</f>
        <v/>
      </c>
      <c r="N101" s="335" t="str">
        <f>IF(MAXIFS('単価履歴'!$O:$O,'単価履歴'!$E:$E,E101,'単価履歴'!$F:$F,F101)=O101,"●","")</f>
        <v/>
      </c>
      <c r="O101" s="345">
        <v>45580.459178240744</v>
      </c>
      <c r="P101" s="334" t="str">
        <f t="shared" si="4"/>
        <v>栗本鐵工:豊通ＨＳ１(単体H1/電特A/HS))</v>
      </c>
    </row>
    <row r="102" ht="15.75" customHeight="1">
      <c r="A102" s="335" t="s">
        <v>1300</v>
      </c>
      <c r="B102" s="343">
        <v>45580.0</v>
      </c>
      <c r="C102" s="335" t="s">
        <v>22</v>
      </c>
      <c r="D102" s="335" t="s">
        <v>47</v>
      </c>
      <c r="E102" s="337" t="str">
        <f t="shared" si="1"/>
        <v>栗本鐵工:豊通</v>
      </c>
      <c r="F102" s="338" t="s">
        <v>101</v>
      </c>
      <c r="G102" s="339" t="str">
        <f t="shared" si="2"/>
        <v>栗本鐵工:豊通ＨＳ２</v>
      </c>
      <c r="H102" s="340">
        <f t="shared" si="3"/>
        <v>46.5</v>
      </c>
      <c r="I102" s="335">
        <v>46.5</v>
      </c>
      <c r="J102" s="332" t="str">
        <f>IFERROR(__xludf.DUMMYFUNCTION("IF(IF(COUNTIF(P$2:P101, P102)=0, """", INDEX(H$2:H101,
MAX(FILTER(ROW(H$2:H101) - ROW(H$2) + 1, P$2:P101 = P102))))=""単価"","""",
IF(COUNTIF(P$2:P101, P102)=0, """", INDEX(H$2:H101,
MAX(FILTER(ROW(H$2:H101) - ROW(H$2) + 1, P$2:P101 = P102)))))"),"")</f>
        <v/>
      </c>
      <c r="N102" s="335" t="str">
        <f>IF(MAXIFS('単価履歴'!$O:$O,'単価履歴'!$E:$E,E102,'単価履歴'!$F:$F,F102)=O102,"●","")</f>
        <v/>
      </c>
      <c r="O102" s="345">
        <v>45580.459178240744</v>
      </c>
      <c r="P102" s="334" t="str">
        <f t="shared" si="4"/>
        <v>栗本鐵工:豊通ＨＳ２</v>
      </c>
    </row>
    <row r="103" ht="15.75" customHeight="1">
      <c r="A103" s="335" t="s">
        <v>1301</v>
      </c>
      <c r="B103" s="343">
        <v>45580.0</v>
      </c>
      <c r="C103" s="335" t="s">
        <v>22</v>
      </c>
      <c r="D103" s="335" t="s">
        <v>47</v>
      </c>
      <c r="E103" s="337" t="str">
        <f t="shared" si="1"/>
        <v>栗本鐵工:豊通</v>
      </c>
      <c r="F103" s="338" t="s">
        <v>105</v>
      </c>
      <c r="G103" s="339" t="str">
        <f t="shared" si="2"/>
        <v>栗本鐵工:豊通ＨＳ３</v>
      </c>
      <c r="H103" s="340">
        <f t="shared" si="3"/>
        <v>45.6</v>
      </c>
      <c r="I103" s="335">
        <v>45.6</v>
      </c>
      <c r="J103" s="332" t="str">
        <f>IFERROR(__xludf.DUMMYFUNCTION("IF(IF(COUNTIF(P$2:P102, P103)=0, """", INDEX(H$2:H102,
MAX(FILTER(ROW(H$2:H102) - ROW(H$2) + 1, P$2:P102 = P103))))=""単価"","""",
IF(COUNTIF(P$2:P102, P103)=0, """", INDEX(H$2:H102,
MAX(FILTER(ROW(H$2:H102) - ROW(H$2) + 1, P$2:P102 = P103)))))"),"")</f>
        <v/>
      </c>
      <c r="N103" s="335" t="str">
        <f>IF(MAXIFS('単価履歴'!$O:$O,'単価履歴'!$E:$E,E103,'単価履歴'!$F:$F,F103)=O103,"●","")</f>
        <v/>
      </c>
      <c r="O103" s="345">
        <v>45580.459178240744</v>
      </c>
      <c r="P103" s="334" t="str">
        <f t="shared" si="4"/>
        <v>栗本鐵工:豊通ＨＳ３</v>
      </c>
    </row>
    <row r="104" ht="15.75" customHeight="1">
      <c r="A104" s="335" t="s">
        <v>1302</v>
      </c>
      <c r="B104" s="343">
        <v>45580.0</v>
      </c>
      <c r="C104" s="335" t="s">
        <v>36</v>
      </c>
      <c r="D104" s="335" t="s">
        <v>1303</v>
      </c>
      <c r="E104" s="337" t="str">
        <f t="shared" si="1"/>
        <v>共英枚方:ナベ/置場単価</v>
      </c>
      <c r="F104" s="338" t="s">
        <v>111</v>
      </c>
      <c r="G104" s="339" t="str">
        <f t="shared" si="2"/>
        <v>共英枚方:ナベ/置場単価Ｈ１(特A)</v>
      </c>
      <c r="H104" s="340">
        <f t="shared" si="3"/>
        <v>42</v>
      </c>
      <c r="I104" s="335">
        <v>42.0</v>
      </c>
      <c r="J104" s="332" t="str">
        <f>IFERROR(__xludf.DUMMYFUNCTION("IF(IF(COUNTIF(P$2:P103, P104)=0, """", INDEX(H$2:H103,
MAX(FILTER(ROW(H$2:H103) - ROW(H$2) + 1, P$2:P103 = P104))))=""単価"","""",
IF(COUNTIF(P$2:P103, P104)=0, """", INDEX(H$2:H103,
MAX(FILTER(ROW(H$2:H103) - ROW(H$2) + 1, P$2:P103 = P104)))))"),"")</f>
        <v/>
      </c>
      <c r="N104" s="335" t="str">
        <f>IF(MAXIFS('単価履歴'!$O:$O,'単価履歴'!$E:$E,E104,'単価履歴'!$F:$F,F104)=O104,"●","")</f>
        <v/>
      </c>
      <c r="O104" s="345">
        <v>45580.459178240744</v>
      </c>
      <c r="P104" s="334" t="str">
        <f t="shared" si="4"/>
        <v>共英枚方:ナベ/置場単価Ｈ１(特A)</v>
      </c>
    </row>
    <row r="105" ht="15.75" customHeight="1">
      <c r="A105" s="335" t="s">
        <v>1304</v>
      </c>
      <c r="B105" s="343">
        <v>45580.0</v>
      </c>
      <c r="C105" s="335" t="s">
        <v>36</v>
      </c>
      <c r="D105" s="335" t="s">
        <v>1303</v>
      </c>
      <c r="E105" s="337" t="str">
        <f t="shared" si="1"/>
        <v>共英枚方:ナベ/置場単価</v>
      </c>
      <c r="F105" s="338" t="s">
        <v>116</v>
      </c>
      <c r="G105" s="339" t="str">
        <f t="shared" si="2"/>
        <v>共英枚方:ナベ/置場単価Ｈ２(特級)</v>
      </c>
      <c r="H105" s="340">
        <f t="shared" si="3"/>
        <v>39.5</v>
      </c>
      <c r="I105" s="335">
        <v>39.5</v>
      </c>
      <c r="J105" s="332" t="str">
        <f>IFERROR(__xludf.DUMMYFUNCTION("IF(IF(COUNTIF(P$2:P104, P105)=0, """", INDEX(H$2:H104,
MAX(FILTER(ROW(H$2:H104) - ROW(H$2) + 1, P$2:P104 = P105))))=""単価"","""",
IF(COUNTIF(P$2:P104, P105)=0, """", INDEX(H$2:H104,
MAX(FILTER(ROW(H$2:H104) - ROW(H$2) + 1, P$2:P104 = P105)))))"),"")</f>
        <v/>
      </c>
      <c r="N105" s="335" t="str">
        <f>IF(MAXIFS('単価履歴'!$O:$O,'単価履歴'!$E:$E,E105,'単価履歴'!$F:$F,F105)=O105,"●","")</f>
        <v/>
      </c>
      <c r="O105" s="345">
        <v>45580.459178240744</v>
      </c>
      <c r="P105" s="334" t="str">
        <f t="shared" si="4"/>
        <v>共英枚方:ナベ/置場単価Ｈ２(特級)</v>
      </c>
    </row>
    <row r="106" ht="15.75" customHeight="1">
      <c r="A106" s="335" t="s">
        <v>1305</v>
      </c>
      <c r="B106" s="343">
        <v>45580.0</v>
      </c>
      <c r="C106" s="335" t="s">
        <v>36</v>
      </c>
      <c r="D106" s="335" t="s">
        <v>1303</v>
      </c>
      <c r="E106" s="337" t="str">
        <f t="shared" si="1"/>
        <v>共英枚方:ナベ/置場単価</v>
      </c>
      <c r="F106" s="338" t="s">
        <v>119</v>
      </c>
      <c r="G106" s="339" t="str">
        <f t="shared" si="2"/>
        <v>共英枚方:ナベ/置場単価Ｈ３(1級)</v>
      </c>
      <c r="H106" s="340">
        <f t="shared" si="3"/>
        <v>38.5</v>
      </c>
      <c r="I106" s="335">
        <v>38.5</v>
      </c>
      <c r="J106" s="332" t="str">
        <f>IFERROR(__xludf.DUMMYFUNCTION("IF(IF(COUNTIF(P$2:P105, P106)=0, """", INDEX(H$2:H105,
MAX(FILTER(ROW(H$2:H105) - ROW(H$2) + 1, P$2:P105 = P106))))=""単価"","""",
IF(COUNTIF(P$2:P105, P106)=0, """", INDEX(H$2:H105,
MAX(FILTER(ROW(H$2:H105) - ROW(H$2) + 1, P$2:P105 = P106)))))"),"")</f>
        <v/>
      </c>
      <c r="N106" s="335" t="str">
        <f>IF(MAXIFS('単価履歴'!$O:$O,'単価履歴'!$E:$E,E106,'単価履歴'!$F:$F,F106)=O106,"●","")</f>
        <v/>
      </c>
      <c r="O106" s="345">
        <v>45580.459178240744</v>
      </c>
      <c r="P106" s="334" t="str">
        <f t="shared" si="4"/>
        <v>共英枚方:ナベ/置場単価Ｈ３(1級)</v>
      </c>
    </row>
    <row r="107" ht="15.75" customHeight="1">
      <c r="A107" s="335" t="s">
        <v>1306</v>
      </c>
      <c r="B107" s="343">
        <v>45580.0</v>
      </c>
      <c r="C107" s="335" t="s">
        <v>36</v>
      </c>
      <c r="D107" s="335" t="s">
        <v>1303</v>
      </c>
      <c r="E107" s="337" t="str">
        <f t="shared" si="1"/>
        <v>共英枚方:ナベ/置場単価</v>
      </c>
      <c r="F107" s="338" t="s">
        <v>122</v>
      </c>
      <c r="G107" s="339" t="str">
        <f t="shared" si="2"/>
        <v>共英枚方:ナベ/置場単価Ｌ１(2級)</v>
      </c>
      <c r="H107" s="340">
        <f t="shared" si="3"/>
        <v>37.5</v>
      </c>
      <c r="I107" s="335">
        <v>37.5</v>
      </c>
      <c r="J107" s="332" t="str">
        <f>IFERROR(__xludf.DUMMYFUNCTION("IF(IF(COUNTIF(P$2:P106, P107)=0, """", INDEX(H$2:H106,
MAX(FILTER(ROW(H$2:H106) - ROW(H$2) + 1, P$2:P106 = P107))))=""単価"","""",
IF(COUNTIF(P$2:P106, P107)=0, """", INDEX(H$2:H106,
MAX(FILTER(ROW(H$2:H106) - ROW(H$2) + 1, P$2:P106 = P107)))))"),"")</f>
        <v/>
      </c>
      <c r="N107" s="335" t="str">
        <f>IF(MAXIFS('単価履歴'!$O:$O,'単価履歴'!$E:$E,E107,'単価履歴'!$F:$F,F107)=O107,"●","")</f>
        <v/>
      </c>
      <c r="O107" s="345">
        <v>45580.459178240744</v>
      </c>
      <c r="P107" s="334" t="str">
        <f t="shared" si="4"/>
        <v>共英枚方:ナベ/置場単価Ｌ１(2級)</v>
      </c>
    </row>
    <row r="108" ht="15.75" customHeight="1">
      <c r="A108" s="335" t="s">
        <v>1307</v>
      </c>
      <c r="B108" s="343">
        <v>45580.0</v>
      </c>
      <c r="C108" s="335" t="s">
        <v>36</v>
      </c>
      <c r="D108" s="335" t="s">
        <v>1303</v>
      </c>
      <c r="E108" s="337" t="str">
        <f t="shared" si="1"/>
        <v>共英枚方:ナベ/置場単価</v>
      </c>
      <c r="F108" s="338" t="s">
        <v>154</v>
      </c>
      <c r="G108" s="339" t="str">
        <f t="shared" si="2"/>
        <v>共英枚方:ナベ/置場単価ＣＰ Ａ</v>
      </c>
      <c r="H108" s="340">
        <f t="shared" si="3"/>
        <v>46</v>
      </c>
      <c r="I108" s="335">
        <v>46.0</v>
      </c>
      <c r="J108" s="332" t="str">
        <f>IFERROR(__xludf.DUMMYFUNCTION("IF(IF(COUNTIF(P$2:P107, P108)=0, """", INDEX(H$2:H107,
MAX(FILTER(ROW(H$2:H107) - ROW(H$2) + 1, P$2:P107 = P108))))=""単価"","""",
IF(COUNTIF(P$2:P107, P108)=0, """", INDEX(H$2:H107,
MAX(FILTER(ROW(H$2:H107) - ROW(H$2) + 1, P$2:P107 = P108)))))"),"")</f>
        <v/>
      </c>
      <c r="N108" s="335" t="str">
        <f>IF(MAXIFS('単価履歴'!$O:$O,'単価履歴'!$E:$E,E108,'単価履歴'!$F:$F,F108)=O108,"●","")</f>
        <v/>
      </c>
      <c r="O108" s="345">
        <v>45580.459178240744</v>
      </c>
      <c r="P108" s="334" t="str">
        <f t="shared" si="4"/>
        <v>共英枚方:ナベ/置場単価ＣＰ Ａ</v>
      </c>
    </row>
    <row r="109" ht="15.75" customHeight="1">
      <c r="A109" s="335" t="s">
        <v>1308</v>
      </c>
      <c r="B109" s="343">
        <v>45580.0</v>
      </c>
      <c r="C109" s="335" t="s">
        <v>29</v>
      </c>
      <c r="D109" s="335" t="s">
        <v>63</v>
      </c>
      <c r="E109" s="337" t="str">
        <f t="shared" si="1"/>
        <v>南港:ﾅﾝｾｲ</v>
      </c>
      <c r="F109" s="338" t="s">
        <v>1199</v>
      </c>
      <c r="G109" s="339" t="str">
        <f t="shared" si="2"/>
        <v>南港:ﾅﾝｾｲＨＳ１(単体H1/電特A/HS))</v>
      </c>
      <c r="H109" s="340">
        <f t="shared" si="3"/>
        <v>45.5</v>
      </c>
      <c r="I109" s="335">
        <v>45.5</v>
      </c>
      <c r="J109" s="332" t="str">
        <f>IFERROR(__xludf.DUMMYFUNCTION("IF(IF(COUNTIF(P$2:P108, P109)=0, """", INDEX(H$2:H108,
MAX(FILTER(ROW(H$2:H108) - ROW(H$2) + 1, P$2:P108 = P109))))=""単価"","""",
IF(COUNTIF(P$2:P108, P109)=0, """", INDEX(H$2:H108,
MAX(FILTER(ROW(H$2:H108) - ROW(H$2) + 1, P$2:P108 = P109)))))"),"")</f>
        <v/>
      </c>
      <c r="N109" s="335" t="str">
        <f>IF(MAXIFS('単価履歴'!$O:$O,'単価履歴'!$E:$E,E109,'単価履歴'!$F:$F,F109)=O109,"●","")</f>
        <v/>
      </c>
      <c r="O109" s="345">
        <v>45580.459178240744</v>
      </c>
      <c r="P109" s="334" t="str">
        <f t="shared" si="4"/>
        <v>南港:ﾅﾝｾｲＨＳ１(単体H1/電特A/HS))</v>
      </c>
    </row>
    <row r="110" ht="15.75" customHeight="1">
      <c r="A110" s="335" t="s">
        <v>1309</v>
      </c>
      <c r="B110" s="343">
        <v>45580.0</v>
      </c>
      <c r="C110" s="335" t="s">
        <v>29</v>
      </c>
      <c r="D110" s="335" t="s">
        <v>63</v>
      </c>
      <c r="E110" s="337" t="str">
        <f t="shared" si="1"/>
        <v>南港:ﾅﾝｾｲ</v>
      </c>
      <c r="F110" s="338" t="s">
        <v>116</v>
      </c>
      <c r="G110" s="339" t="str">
        <f t="shared" si="2"/>
        <v>南港:ﾅﾝｾｲＨ２(特級)</v>
      </c>
      <c r="H110" s="340">
        <f t="shared" si="3"/>
        <v>40</v>
      </c>
      <c r="I110" s="335">
        <v>40.0</v>
      </c>
      <c r="J110" s="332" t="str">
        <f>IFERROR(__xludf.DUMMYFUNCTION("IF(IF(COUNTIF(P$2:P109, P110)=0, """", INDEX(H$2:H109,
MAX(FILTER(ROW(H$2:H109) - ROW(H$2) + 1, P$2:P109 = P110))))=""単価"","""",
IF(COUNTIF(P$2:P109, P110)=0, """", INDEX(H$2:H109,
MAX(FILTER(ROW(H$2:H109) - ROW(H$2) + 1, P$2:P109 = P110)))))"),"")</f>
        <v/>
      </c>
      <c r="N110" s="335" t="str">
        <f>IF(MAXIFS('単価履歴'!$O:$O,'単価履歴'!$E:$E,E110,'単価履歴'!$F:$F,F110)=O110,"●","")</f>
        <v/>
      </c>
      <c r="O110" s="345">
        <v>45580.459178240744</v>
      </c>
      <c r="P110" s="334" t="str">
        <f t="shared" si="4"/>
        <v>南港:ﾅﾝｾｲＨ２(特級)</v>
      </c>
    </row>
    <row r="111" ht="15.75" customHeight="1">
      <c r="A111" s="335" t="s">
        <v>1310</v>
      </c>
      <c r="B111" s="343">
        <v>45580.0</v>
      </c>
      <c r="C111" s="335" t="s">
        <v>29</v>
      </c>
      <c r="D111" s="335" t="s">
        <v>63</v>
      </c>
      <c r="E111" s="337" t="str">
        <f t="shared" si="1"/>
        <v>南港:ﾅﾝｾｲ</v>
      </c>
      <c r="F111" s="338" t="s">
        <v>130</v>
      </c>
      <c r="G111" s="339" t="str">
        <f t="shared" si="2"/>
        <v>南港:ﾅﾝｾｲ新断Ａ</v>
      </c>
      <c r="H111" s="340">
        <f t="shared" si="3"/>
        <v>46</v>
      </c>
      <c r="I111" s="335">
        <v>46.0</v>
      </c>
      <c r="J111" s="332" t="str">
        <f>IFERROR(__xludf.DUMMYFUNCTION("IF(IF(COUNTIF(P$2:P110, P111)=0, """", INDEX(H$2:H110,
MAX(FILTER(ROW(H$2:H110) - ROW(H$2) + 1, P$2:P110 = P111))))=""単価"","""",
IF(COUNTIF(P$2:P110, P111)=0, """", INDEX(H$2:H110,
MAX(FILTER(ROW(H$2:H110) - ROW(H$2) + 1, P$2:P110 = P111)))))"),"")</f>
        <v/>
      </c>
      <c r="N111" s="335" t="str">
        <f>IF(MAXIFS('単価履歴'!$O:$O,'単価履歴'!$E:$E,E111,'単価履歴'!$F:$F,F111)=O111,"●","")</f>
        <v/>
      </c>
      <c r="O111" s="345">
        <v>45580.459178240744</v>
      </c>
      <c r="P111" s="334" t="str">
        <f t="shared" si="4"/>
        <v>南港:ﾅﾝｾｲ新断Ａ</v>
      </c>
    </row>
    <row r="112" ht="15.75" customHeight="1">
      <c r="A112" s="335" t="s">
        <v>1311</v>
      </c>
      <c r="B112" s="343">
        <v>45580.0</v>
      </c>
      <c r="C112" s="335" t="s">
        <v>29</v>
      </c>
      <c r="D112" s="335" t="s">
        <v>50</v>
      </c>
      <c r="E112" s="337" t="str">
        <f t="shared" si="1"/>
        <v>南港:産振</v>
      </c>
      <c r="F112" s="338" t="s">
        <v>130</v>
      </c>
      <c r="G112" s="339" t="str">
        <f t="shared" si="2"/>
        <v>南港:産振新断Ａ</v>
      </c>
      <c r="H112" s="340">
        <f t="shared" si="3"/>
        <v>45</v>
      </c>
      <c r="I112" s="335">
        <v>45.0</v>
      </c>
      <c r="J112" s="332" t="str">
        <f>IFERROR(__xludf.DUMMYFUNCTION("IF(IF(COUNTIF(P$2:P111, P112)=0, """", INDEX(H$2:H111,
MAX(FILTER(ROW(H$2:H111) - ROW(H$2) + 1, P$2:P111 = P112))))=""単価"","""",
IF(COUNTIF(P$2:P111, P112)=0, """", INDEX(H$2:H111,
MAX(FILTER(ROW(H$2:H111) - ROW(H$2) + 1, P$2:P111 = P112)))))"),"")</f>
        <v/>
      </c>
      <c r="N112" s="335" t="str">
        <f>IF(MAXIFS('単価履歴'!$O:$O,'単価履歴'!$E:$E,E112,'単価履歴'!$F:$F,F112)=O112,"●","")</f>
        <v/>
      </c>
      <c r="O112" s="345">
        <v>45580.459178240744</v>
      </c>
      <c r="P112" s="334" t="str">
        <f t="shared" si="4"/>
        <v>南港:産振新断Ａ</v>
      </c>
    </row>
    <row r="113" ht="15.75" customHeight="1">
      <c r="A113" s="335" t="s">
        <v>1312</v>
      </c>
      <c r="B113" s="343">
        <v>45580.0</v>
      </c>
      <c r="C113" s="335" t="s">
        <v>31</v>
      </c>
      <c r="D113" s="335" t="s">
        <v>50</v>
      </c>
      <c r="E113" s="337" t="str">
        <f t="shared" si="1"/>
        <v>泉北中谷:産振</v>
      </c>
      <c r="F113" s="338" t="s">
        <v>145</v>
      </c>
      <c r="G113" s="339" t="str">
        <f t="shared" si="2"/>
        <v>泉北中谷:産振シュレＡ</v>
      </c>
      <c r="H113" s="340">
        <f t="shared" si="3"/>
        <v>45</v>
      </c>
      <c r="I113" s="335">
        <v>45.0</v>
      </c>
      <c r="J113" s="332" t="str">
        <f>IFERROR(__xludf.DUMMYFUNCTION("IF(IF(COUNTIF(P$2:P112, P113)=0, """", INDEX(H$2:H112,
MAX(FILTER(ROW(H$2:H112) - ROW(H$2) + 1, P$2:P112 = P113))))=""単価"","""",
IF(COUNTIF(P$2:P112, P113)=0, """", INDEX(H$2:H112,
MAX(FILTER(ROW(H$2:H112) - ROW(H$2) + 1, P$2:P112 = P113)))))"),"")</f>
        <v/>
      </c>
      <c r="N113" s="335" t="str">
        <f>IF(MAXIFS('単価履歴'!$O:$O,'単価履歴'!$E:$E,E113,'単価履歴'!$F:$F,F113)=O113,"●","")</f>
        <v>●</v>
      </c>
      <c r="O113" s="345">
        <v>45580.459178240744</v>
      </c>
      <c r="P113" s="334" t="str">
        <f t="shared" si="4"/>
        <v>泉北中谷:産振シュレＡ</v>
      </c>
    </row>
    <row r="114" ht="15.75" customHeight="1">
      <c r="A114" s="335" t="s">
        <v>1313</v>
      </c>
      <c r="B114" s="343">
        <v>45580.0</v>
      </c>
      <c r="C114" s="335" t="s">
        <v>31</v>
      </c>
      <c r="D114" s="335" t="s">
        <v>64</v>
      </c>
      <c r="E114" s="337" t="str">
        <f t="shared" si="1"/>
        <v>泉北中谷:ナベ双葉</v>
      </c>
      <c r="F114" s="338" t="s">
        <v>1199</v>
      </c>
      <c r="G114" s="339" t="str">
        <f t="shared" si="2"/>
        <v>泉北中谷:ナベ双葉ＨＳ１(単体H1/電特A/HS))</v>
      </c>
      <c r="H114" s="340">
        <f t="shared" si="3"/>
        <v>46</v>
      </c>
      <c r="I114" s="335">
        <v>46.0</v>
      </c>
      <c r="J114" s="332" t="str">
        <f>IFERROR(__xludf.DUMMYFUNCTION("IF(IF(COUNTIF(P$2:P113, P114)=0, """", INDEX(H$2:H113,
MAX(FILTER(ROW(H$2:H113) - ROW(H$2) + 1, P$2:P113 = P114))))=""単価"","""",
IF(COUNTIF(P$2:P113, P114)=0, """", INDEX(H$2:H113,
MAX(FILTER(ROW(H$2:H113) - ROW(H$2) + 1, P$2:P113 = P114)))))"),"")</f>
        <v/>
      </c>
      <c r="N114" s="335" t="str">
        <f>IF(MAXIFS('単価履歴'!$O:$O,'単価履歴'!$E:$E,E114,'単価履歴'!$F:$F,F114)=O114,"●","")</f>
        <v/>
      </c>
      <c r="O114" s="345">
        <v>45580.459178240744</v>
      </c>
      <c r="P114" s="334" t="str">
        <f t="shared" si="4"/>
        <v>泉北中谷:ナベ双葉ＨＳ１(単体H1/電特A/HS))</v>
      </c>
    </row>
    <row r="115" ht="15.75" customHeight="1">
      <c r="A115" s="335" t="s">
        <v>1314</v>
      </c>
      <c r="B115" s="343">
        <v>45580.0</v>
      </c>
      <c r="C115" s="335" t="s">
        <v>31</v>
      </c>
      <c r="D115" s="335" t="s">
        <v>64</v>
      </c>
      <c r="E115" s="337" t="str">
        <f t="shared" si="1"/>
        <v>泉北中谷:ナベ双葉</v>
      </c>
      <c r="F115" s="338" t="s">
        <v>116</v>
      </c>
      <c r="G115" s="339" t="str">
        <f t="shared" si="2"/>
        <v>泉北中谷:ナベ双葉Ｈ２(特級)</v>
      </c>
      <c r="H115" s="340">
        <f t="shared" si="3"/>
        <v>40</v>
      </c>
      <c r="I115" s="335">
        <v>40.0</v>
      </c>
      <c r="J115" s="332" t="str">
        <f>IFERROR(__xludf.DUMMYFUNCTION("IF(IF(COUNTIF(P$2:P114, P115)=0, """", INDEX(H$2:H114,
MAX(FILTER(ROW(H$2:H114) - ROW(H$2) + 1, P$2:P114 = P115))))=""単価"","""",
IF(COUNTIF(P$2:P114, P115)=0, """", INDEX(H$2:H114,
MAX(FILTER(ROW(H$2:H114) - ROW(H$2) + 1, P$2:P114 = P115)))))"),"")</f>
        <v/>
      </c>
      <c r="N115" s="335" t="str">
        <f>IF(MAXIFS('単価履歴'!$O:$O,'単価履歴'!$E:$E,E115,'単価履歴'!$F:$F,F115)=O115,"●","")</f>
        <v/>
      </c>
      <c r="O115" s="345">
        <v>45580.459178240744</v>
      </c>
      <c r="P115" s="334" t="str">
        <f t="shared" si="4"/>
        <v>泉北中谷:ナベ双葉Ｈ２(特級)</v>
      </c>
    </row>
    <row r="116" ht="15.75" customHeight="1">
      <c r="A116" s="335" t="s">
        <v>1315</v>
      </c>
      <c r="B116" s="343">
        <v>45580.0</v>
      </c>
      <c r="C116" s="335" t="s">
        <v>31</v>
      </c>
      <c r="D116" s="335" t="s">
        <v>64</v>
      </c>
      <c r="E116" s="337" t="str">
        <f t="shared" si="1"/>
        <v>泉北中谷:ナベ双葉</v>
      </c>
      <c r="F116" s="338" t="s">
        <v>130</v>
      </c>
      <c r="G116" s="339" t="str">
        <f t="shared" si="2"/>
        <v>泉北中谷:ナベ双葉新断Ａ</v>
      </c>
      <c r="H116" s="340">
        <f t="shared" si="3"/>
        <v>42.5</v>
      </c>
      <c r="I116" s="335">
        <v>42.5</v>
      </c>
      <c r="J116" s="332" t="str">
        <f>IFERROR(__xludf.DUMMYFUNCTION("IF(IF(COUNTIF(P$2:P115, P116)=0, """", INDEX(H$2:H115,
MAX(FILTER(ROW(H$2:H115) - ROW(H$2) + 1, P$2:P115 = P116))))=""単価"","""",
IF(COUNTIF(P$2:P115, P116)=0, """", INDEX(H$2:H115,
MAX(FILTER(ROW(H$2:H115) - ROW(H$2) + 1, P$2:P115 = P116)))))"),"")</f>
        <v/>
      </c>
      <c r="N116" s="335" t="str">
        <f>IF(MAXIFS('単価履歴'!$O:$O,'単価履歴'!$E:$E,E116,'単価履歴'!$F:$F,F116)=O116,"●","")</f>
        <v/>
      </c>
      <c r="O116" s="345">
        <v>45580.459178240744</v>
      </c>
      <c r="P116" s="334" t="str">
        <f t="shared" si="4"/>
        <v>泉北中谷:ナベ双葉新断Ａ</v>
      </c>
    </row>
    <row r="117" ht="15.75" customHeight="1">
      <c r="A117" s="335" t="s">
        <v>1316</v>
      </c>
      <c r="B117" s="343">
        <v>45580.0</v>
      </c>
      <c r="C117" s="335" t="s">
        <v>32</v>
      </c>
      <c r="D117" s="335" t="s">
        <v>50</v>
      </c>
      <c r="E117" s="337" t="str">
        <f t="shared" si="1"/>
        <v>泉北大都:産振</v>
      </c>
      <c r="F117" s="338" t="s">
        <v>1199</v>
      </c>
      <c r="G117" s="339" t="str">
        <f t="shared" si="2"/>
        <v>泉北大都:産振ＨＳ１(単体H1/電特A/HS))</v>
      </c>
      <c r="H117" s="340">
        <f t="shared" si="3"/>
        <v>45</v>
      </c>
      <c r="I117" s="335">
        <v>45.0</v>
      </c>
      <c r="J117" s="332" t="str">
        <f>IFERROR(__xludf.DUMMYFUNCTION("IF(IF(COUNTIF(P$2:P116, P117)=0, """", INDEX(H$2:H116,
MAX(FILTER(ROW(H$2:H116) - ROW(H$2) + 1, P$2:P116 = P117))))=""単価"","""",
IF(COUNTIF(P$2:P116, P117)=0, """", INDEX(H$2:H116,
MAX(FILTER(ROW(H$2:H116) - ROW(H$2) + 1, P$2:P116 = P117)))))"),"")</f>
        <v/>
      </c>
      <c r="N117" s="335" t="str">
        <f>IF(MAXIFS('単価履歴'!$O:$O,'単価履歴'!$E:$E,E117,'単価履歴'!$F:$F,F117)=O117,"●","")</f>
        <v>●</v>
      </c>
      <c r="O117" s="345">
        <v>45580.459178240744</v>
      </c>
      <c r="P117" s="334" t="str">
        <f t="shared" si="4"/>
        <v>泉北大都:産振ＨＳ１(単体H1/電特A/HS))</v>
      </c>
    </row>
    <row r="118" ht="15.75" customHeight="1">
      <c r="A118" s="335" t="s">
        <v>1317</v>
      </c>
      <c r="B118" s="343">
        <v>45580.0</v>
      </c>
      <c r="C118" s="335" t="s">
        <v>26</v>
      </c>
      <c r="D118" s="335" t="s">
        <v>48</v>
      </c>
      <c r="E118" s="337" t="str">
        <f t="shared" si="1"/>
        <v>大阪鋼業:ナベ</v>
      </c>
      <c r="F118" s="338" t="s">
        <v>575</v>
      </c>
      <c r="G118" s="339" t="str">
        <f t="shared" si="2"/>
        <v>大阪鋼業:ナベ鋼ダライＡ</v>
      </c>
      <c r="H118" s="340">
        <f t="shared" si="3"/>
        <v>44</v>
      </c>
      <c r="I118" s="348">
        <v>44.0</v>
      </c>
      <c r="J118" s="332" t="str">
        <f>IFERROR(__xludf.DUMMYFUNCTION("IF(IF(COUNTIF(P$2:P117, P118)=0, """", INDEX(H$2:H117,
MAX(FILTER(ROW(H$2:H117) - ROW(H$2) + 1, P$2:P117 = P118))))=""単価"","""",
IF(COUNTIF(P$2:P117, P118)=0, """", INDEX(H$2:H117,
MAX(FILTER(ROW(H$2:H117) - ROW(H$2) + 1, P$2:P117 = P118)))))"),"")</f>
        <v/>
      </c>
      <c r="N118" s="335" t="str">
        <f>IF(MAXIFS('単価履歴'!$O:$O,'単価履歴'!$E:$E,E118,'単価履歴'!$F:$F,F118)=O118,"●","")</f>
        <v>●</v>
      </c>
      <c r="O118" s="345">
        <v>45580.459178240744</v>
      </c>
      <c r="P118" s="334" t="str">
        <f t="shared" si="4"/>
        <v>大阪鋼業:ナベ鋼ダライＡ</v>
      </c>
    </row>
    <row r="119" ht="15.75" customHeight="1">
      <c r="A119" s="335" t="s">
        <v>1318</v>
      </c>
      <c r="B119" s="343">
        <v>45580.0</v>
      </c>
      <c r="C119" s="335" t="s">
        <v>532</v>
      </c>
      <c r="D119" s="335" t="s">
        <v>77</v>
      </c>
      <c r="E119" s="337" t="str">
        <f t="shared" si="1"/>
        <v>東鐵岡山:直納</v>
      </c>
      <c r="F119" s="338" t="s">
        <v>1199</v>
      </c>
      <c r="G119" s="339" t="str">
        <f t="shared" si="2"/>
        <v>東鐵岡山:直納ＨＳ１(単体H1/電特A/HS))</v>
      </c>
      <c r="H119" s="340">
        <f t="shared" si="3"/>
        <v>43.5</v>
      </c>
      <c r="I119" s="335">
        <v>43.5</v>
      </c>
      <c r="J119" s="332" t="str">
        <f>IFERROR(__xludf.DUMMYFUNCTION("IF(IF(COUNTIF(P$2:P118, P119)=0, """", INDEX(H$2:H118,
MAX(FILTER(ROW(H$2:H118) - ROW(H$2) + 1, P$2:P118 = P119))))=""単価"","""",
IF(COUNTIF(P$2:P118, P119)=0, """", INDEX(H$2:H118,
MAX(FILTER(ROW(H$2:H118) - ROW(H$2) + 1, P$2:P118 = P119)))))"),"")</f>
        <v/>
      </c>
      <c r="N119" s="335" t="str">
        <f>IF(MAXIFS('単価履歴'!$O:$O,'単価履歴'!$E:$E,E119,'単価履歴'!$F:$F,F119)=O119,"●","")</f>
        <v/>
      </c>
      <c r="O119" s="345">
        <v>45580.459178240744</v>
      </c>
      <c r="P119" s="334" t="str">
        <f t="shared" si="4"/>
        <v>東鐵岡山:直納ＨＳ１(単体H1/電特A/HS))</v>
      </c>
    </row>
    <row r="120" ht="15.75" customHeight="1">
      <c r="A120" s="335" t="s">
        <v>1319</v>
      </c>
      <c r="B120" s="343">
        <v>45580.0</v>
      </c>
      <c r="C120" s="335" t="s">
        <v>532</v>
      </c>
      <c r="D120" s="335" t="s">
        <v>77</v>
      </c>
      <c r="E120" s="337" t="str">
        <f t="shared" si="1"/>
        <v>東鐵岡山:直納</v>
      </c>
      <c r="F120" s="338" t="s">
        <v>111</v>
      </c>
      <c r="G120" s="339" t="str">
        <f t="shared" si="2"/>
        <v>東鐵岡山:直納Ｈ１(特A)</v>
      </c>
      <c r="H120" s="340">
        <f t="shared" si="3"/>
        <v>42.2</v>
      </c>
      <c r="I120" s="335">
        <v>42.2</v>
      </c>
      <c r="J120" s="332" t="str">
        <f>IFERROR(__xludf.DUMMYFUNCTION("IF(IF(COUNTIF(P$2:P119, P120)=0, """", INDEX(H$2:H119,
MAX(FILTER(ROW(H$2:H119) - ROW(H$2) + 1, P$2:P119 = P120))))=""単価"","""",
IF(COUNTIF(P$2:P119, P120)=0, """", INDEX(H$2:H119,
MAX(FILTER(ROW(H$2:H119) - ROW(H$2) + 1, P$2:P119 = P120)))))"),"")</f>
        <v/>
      </c>
      <c r="N120" s="335" t="str">
        <f>IF(MAXIFS('単価履歴'!$O:$O,'単価履歴'!$E:$E,E120,'単価履歴'!$F:$F,F120)=O120,"●","")</f>
        <v/>
      </c>
      <c r="O120" s="345">
        <v>45580.459178240744</v>
      </c>
      <c r="P120" s="334" t="str">
        <f t="shared" si="4"/>
        <v>東鐵岡山:直納Ｈ１(特A)</v>
      </c>
    </row>
    <row r="121" ht="15.75" customHeight="1">
      <c r="A121" s="335" t="s">
        <v>1320</v>
      </c>
      <c r="B121" s="343">
        <v>45580.0</v>
      </c>
      <c r="C121" s="335" t="s">
        <v>532</v>
      </c>
      <c r="D121" s="335" t="s">
        <v>77</v>
      </c>
      <c r="E121" s="337" t="str">
        <f t="shared" si="1"/>
        <v>東鐵岡山:直納</v>
      </c>
      <c r="F121" s="338" t="s">
        <v>116</v>
      </c>
      <c r="G121" s="339" t="str">
        <f t="shared" si="2"/>
        <v>東鐵岡山:直納Ｈ２(特級)</v>
      </c>
      <c r="H121" s="340">
        <f t="shared" si="3"/>
        <v>41.5</v>
      </c>
      <c r="I121" s="335">
        <v>41.5</v>
      </c>
      <c r="J121" s="332" t="str">
        <f>IFERROR(__xludf.DUMMYFUNCTION("IF(IF(COUNTIF(P$2:P120, P121)=0, """", INDEX(H$2:H120,
MAX(FILTER(ROW(H$2:H120) - ROW(H$2) + 1, P$2:P120 = P121))))=""単価"","""",
IF(COUNTIF(P$2:P120, P121)=0, """", INDEX(H$2:H120,
MAX(FILTER(ROW(H$2:H120) - ROW(H$2) + 1, P$2:P120 = P121)))))"),"")</f>
        <v/>
      </c>
      <c r="N121" s="335" t="str">
        <f>IF(MAXIFS('単価履歴'!$O:$O,'単価履歴'!$E:$E,E121,'単価履歴'!$F:$F,F121)=O121,"●","")</f>
        <v/>
      </c>
      <c r="O121" s="345">
        <v>45580.459178240744</v>
      </c>
      <c r="P121" s="334" t="str">
        <f t="shared" si="4"/>
        <v>東鐵岡山:直納Ｈ２(特級)</v>
      </c>
    </row>
    <row r="122" ht="15.75" customHeight="1">
      <c r="A122" s="335" t="s">
        <v>1321</v>
      </c>
      <c r="B122" s="343">
        <v>45580.0</v>
      </c>
      <c r="C122" s="335" t="s">
        <v>532</v>
      </c>
      <c r="D122" s="335" t="s">
        <v>77</v>
      </c>
      <c r="E122" s="337" t="str">
        <f t="shared" si="1"/>
        <v>東鐵岡山:直納</v>
      </c>
      <c r="F122" s="338" t="s">
        <v>119</v>
      </c>
      <c r="G122" s="339" t="str">
        <f t="shared" si="2"/>
        <v>東鐵岡山:直納Ｈ３(1級)</v>
      </c>
      <c r="H122" s="340">
        <f t="shared" si="3"/>
        <v>41</v>
      </c>
      <c r="I122" s="335">
        <v>41.0</v>
      </c>
      <c r="J122" s="332" t="str">
        <f>IFERROR(__xludf.DUMMYFUNCTION("IF(IF(COUNTIF(P$2:P121, P122)=0, """", INDEX(H$2:H121,
MAX(FILTER(ROW(H$2:H121) - ROW(H$2) + 1, P$2:P121 = P122))))=""単価"","""",
IF(COUNTIF(P$2:P121, P122)=0, """", INDEX(H$2:H121,
MAX(FILTER(ROW(H$2:H121) - ROW(H$2) + 1, P$2:P121 = P122)))))"),"")</f>
        <v/>
      </c>
      <c r="N122" s="335" t="str">
        <f>IF(MAXIFS('単価履歴'!$O:$O,'単価履歴'!$E:$E,E122,'単価履歴'!$F:$F,F122)=O122,"●","")</f>
        <v/>
      </c>
      <c r="O122" s="345">
        <v>45580.459178240744</v>
      </c>
      <c r="P122" s="334" t="str">
        <f t="shared" si="4"/>
        <v>東鐵岡山:直納Ｈ３(1級)</v>
      </c>
    </row>
    <row r="123" ht="15.75" customHeight="1">
      <c r="A123" s="335" t="s">
        <v>1322</v>
      </c>
      <c r="B123" s="343">
        <v>45580.0</v>
      </c>
      <c r="C123" s="335" t="s">
        <v>532</v>
      </c>
      <c r="D123" s="335" t="s">
        <v>77</v>
      </c>
      <c r="E123" s="337" t="str">
        <f t="shared" si="1"/>
        <v>東鐵岡山:直納</v>
      </c>
      <c r="F123" s="338" t="s">
        <v>122</v>
      </c>
      <c r="G123" s="339" t="str">
        <f t="shared" si="2"/>
        <v>東鐵岡山:直納Ｌ１(2級)</v>
      </c>
      <c r="H123" s="340">
        <f t="shared" si="3"/>
        <v>39.5</v>
      </c>
      <c r="I123" s="335">
        <v>39.5</v>
      </c>
      <c r="J123" s="332" t="str">
        <f>IFERROR(__xludf.DUMMYFUNCTION("IF(IF(COUNTIF(P$2:P122, P123)=0, """", INDEX(H$2:H122,
MAX(FILTER(ROW(H$2:H122) - ROW(H$2) + 1, P$2:P122 = P123))))=""単価"","""",
IF(COUNTIF(P$2:P122, P123)=0, """", INDEX(H$2:H122,
MAX(FILTER(ROW(H$2:H122) - ROW(H$2) + 1, P$2:P122 = P123)))))"),"")</f>
        <v/>
      </c>
      <c r="N123" s="335" t="str">
        <f>IF(MAXIFS('単価履歴'!$O:$O,'単価履歴'!$E:$E,E123,'単価履歴'!$F:$F,F123)=O123,"●","")</f>
        <v/>
      </c>
      <c r="O123" s="345">
        <v>45580.459178240744</v>
      </c>
      <c r="P123" s="334" t="str">
        <f t="shared" si="4"/>
        <v>東鐵岡山:直納Ｌ１(2級)</v>
      </c>
    </row>
    <row r="124" ht="15.75" customHeight="1">
      <c r="A124" s="335" t="s">
        <v>1323</v>
      </c>
      <c r="B124" s="343">
        <v>45580.0</v>
      </c>
      <c r="C124" s="335" t="s">
        <v>532</v>
      </c>
      <c r="D124" s="335" t="s">
        <v>77</v>
      </c>
      <c r="E124" s="337" t="str">
        <f t="shared" si="1"/>
        <v>東鐵岡山:直納</v>
      </c>
      <c r="F124" s="338" t="s">
        <v>573</v>
      </c>
      <c r="G124" s="339" t="str">
        <f t="shared" si="2"/>
        <v>東鐵岡山:直納Ｌ２(H4･級外･L1ﾊﾞﾗ)</v>
      </c>
      <c r="H124" s="340">
        <f t="shared" si="3"/>
        <v>36.5</v>
      </c>
      <c r="I124" s="335">
        <v>36.5</v>
      </c>
      <c r="J124" s="332" t="str">
        <f>IFERROR(__xludf.DUMMYFUNCTION("IF(IF(COUNTIF(P$2:P123, P124)=0, """", INDEX(H$2:H123,
MAX(FILTER(ROW(H$2:H123) - ROW(H$2) + 1, P$2:P123 = P124))))=""単価"","""",
IF(COUNTIF(P$2:P123, P124)=0, """", INDEX(H$2:H123,
MAX(FILTER(ROW(H$2:H123) - ROW(H$2) + 1, P$2:P123 = P124)))))"),"")</f>
        <v/>
      </c>
      <c r="N124" s="335" t="str">
        <f>IF(MAXIFS('単価履歴'!$O:$O,'単価履歴'!$E:$E,E124,'単価履歴'!$F:$F,F124)=O124,"●","")</f>
        <v/>
      </c>
      <c r="O124" s="345">
        <v>45580.459178240744</v>
      </c>
      <c r="P124" s="334" t="str">
        <f t="shared" si="4"/>
        <v>東鐵岡山:直納Ｌ２(H4･級外･L1ﾊﾞﾗ)</v>
      </c>
    </row>
    <row r="125" ht="15.75" customHeight="1">
      <c r="A125" s="335" t="s">
        <v>1324</v>
      </c>
      <c r="B125" s="343">
        <v>45580.0</v>
      </c>
      <c r="C125" s="335" t="s">
        <v>532</v>
      </c>
      <c r="D125" s="335" t="s">
        <v>77</v>
      </c>
      <c r="E125" s="337" t="str">
        <f t="shared" si="1"/>
        <v>東鐵岡山:直納</v>
      </c>
      <c r="F125" s="338" t="s">
        <v>130</v>
      </c>
      <c r="G125" s="339" t="str">
        <f t="shared" si="2"/>
        <v>東鐵岡山:直納新断Ａ</v>
      </c>
      <c r="H125" s="340">
        <f t="shared" si="3"/>
        <v>42.5</v>
      </c>
      <c r="I125" s="335">
        <v>42.5</v>
      </c>
      <c r="J125" s="332" t="str">
        <f>IFERROR(__xludf.DUMMYFUNCTION("IF(IF(COUNTIF(P$2:P124, P125)=0, """", INDEX(H$2:H124,
MAX(FILTER(ROW(H$2:H124) - ROW(H$2) + 1, P$2:P124 = P125))))=""単価"","""",
IF(COUNTIF(P$2:P124, P125)=0, """", INDEX(H$2:H124,
MAX(FILTER(ROW(H$2:H124) - ROW(H$2) + 1, P$2:P124 = P125)))))"),"")</f>
        <v/>
      </c>
      <c r="N125" s="335" t="str">
        <f>IF(MAXIFS('単価履歴'!$O:$O,'単価履歴'!$E:$E,E125,'単価履歴'!$F:$F,F125)=O125,"●","")</f>
        <v/>
      </c>
      <c r="O125" s="345">
        <v>45580.459178240744</v>
      </c>
      <c r="P125" s="334" t="str">
        <f t="shared" si="4"/>
        <v>東鐵岡山:直納新断Ａ</v>
      </c>
    </row>
    <row r="126" ht="15.75" customHeight="1">
      <c r="A126" s="335" t="s">
        <v>1325</v>
      </c>
      <c r="B126" s="343">
        <v>45580.0</v>
      </c>
      <c r="C126" s="335" t="s">
        <v>532</v>
      </c>
      <c r="D126" s="335" t="s">
        <v>77</v>
      </c>
      <c r="E126" s="337" t="str">
        <f t="shared" si="1"/>
        <v>東鐵岡山:直納</v>
      </c>
      <c r="F126" s="338" t="s">
        <v>131</v>
      </c>
      <c r="G126" s="339" t="str">
        <f t="shared" si="2"/>
        <v>東鐵岡山:直納新断Ｂ</v>
      </c>
      <c r="H126" s="340">
        <f t="shared" si="3"/>
        <v>42.5</v>
      </c>
      <c r="I126" s="335">
        <v>42.5</v>
      </c>
      <c r="J126" s="332" t="str">
        <f>IFERROR(__xludf.DUMMYFUNCTION("IF(IF(COUNTIF(P$2:P125, P126)=0, """", INDEX(H$2:H125,
MAX(FILTER(ROW(H$2:H125) - ROW(H$2) + 1, P$2:P125 = P126))))=""単価"","""",
IF(COUNTIF(P$2:P125, P126)=0, """", INDEX(H$2:H125,
MAX(FILTER(ROW(H$2:H125) - ROW(H$2) + 1, P$2:P125 = P126)))))"),"")</f>
        <v/>
      </c>
      <c r="N126" s="335" t="str">
        <f>IF(MAXIFS('単価履歴'!$O:$O,'単価履歴'!$E:$E,E126,'単価履歴'!$F:$F,F126)=O126,"●","")</f>
        <v/>
      </c>
      <c r="O126" s="345">
        <v>45580.459178240744</v>
      </c>
      <c r="P126" s="334" t="str">
        <f t="shared" si="4"/>
        <v>東鐵岡山:直納新断Ｂ</v>
      </c>
    </row>
    <row r="127" ht="15.75" customHeight="1">
      <c r="A127" s="335" t="s">
        <v>1326</v>
      </c>
      <c r="B127" s="343">
        <v>45580.0</v>
      </c>
      <c r="C127" s="335" t="s">
        <v>532</v>
      </c>
      <c r="D127" s="335" t="s">
        <v>77</v>
      </c>
      <c r="E127" s="337" t="str">
        <f t="shared" si="1"/>
        <v>東鐵岡山:直納</v>
      </c>
      <c r="F127" s="338" t="s">
        <v>575</v>
      </c>
      <c r="G127" s="339" t="str">
        <f t="shared" si="2"/>
        <v>東鐵岡山:直納鋼ダライＡ</v>
      </c>
      <c r="H127" s="340">
        <f t="shared" si="3"/>
        <v>37.5</v>
      </c>
      <c r="I127" s="335">
        <v>37.5</v>
      </c>
      <c r="J127" s="332" t="str">
        <f>IFERROR(__xludf.DUMMYFUNCTION("IF(IF(COUNTIF(P$2:P126, P127)=0, """", INDEX(H$2:H126,
MAX(FILTER(ROW(H$2:H126) - ROW(H$2) + 1, P$2:P126 = P127))))=""単価"","""",
IF(COUNTIF(P$2:P126, P127)=0, """", INDEX(H$2:H126,
MAX(FILTER(ROW(H$2:H126) - ROW(H$2) + 1, P$2:P126 = P127)))))"),"")</f>
        <v/>
      </c>
      <c r="N127" s="335" t="str">
        <f>IF(MAXIFS('単価履歴'!$O:$O,'単価履歴'!$E:$E,E127,'単価履歴'!$F:$F,F127)=O127,"●","")</f>
        <v/>
      </c>
      <c r="O127" s="345">
        <v>45580.459178240744</v>
      </c>
      <c r="P127" s="334" t="str">
        <f t="shared" si="4"/>
        <v>東鐵岡山:直納鋼ダライＡ</v>
      </c>
    </row>
    <row r="128" ht="15.75" customHeight="1">
      <c r="A128" s="335" t="s">
        <v>1327</v>
      </c>
      <c r="B128" s="343">
        <v>45580.0</v>
      </c>
      <c r="C128" s="335" t="s">
        <v>532</v>
      </c>
      <c r="D128" s="335" t="s">
        <v>77</v>
      </c>
      <c r="E128" s="337" t="str">
        <f t="shared" si="1"/>
        <v>東鐵岡山:直納</v>
      </c>
      <c r="F128" s="338" t="s">
        <v>25</v>
      </c>
      <c r="G128" s="339" t="str">
        <f t="shared" si="2"/>
        <v>東鐵岡山:直納銑ダライ</v>
      </c>
      <c r="H128" s="340">
        <f t="shared" si="3"/>
        <v>34</v>
      </c>
      <c r="I128" s="335">
        <v>34.0</v>
      </c>
      <c r="J128" s="332" t="str">
        <f>IFERROR(__xludf.DUMMYFUNCTION("IF(IF(COUNTIF(P$2:P127, P128)=0, """", INDEX(H$2:H127,
MAX(FILTER(ROW(H$2:H127) - ROW(H$2) + 1, P$2:P127 = P128))))=""単価"","""",
IF(COUNTIF(P$2:P127, P128)=0, """", INDEX(H$2:H127,
MAX(FILTER(ROW(H$2:H127) - ROW(H$2) + 1, P$2:P127 = P128)))))"),"")</f>
        <v/>
      </c>
      <c r="N128" s="335" t="str">
        <f>IF(MAXIFS('単価履歴'!$O:$O,'単価履歴'!$E:$E,E128,'単価履歴'!$F:$F,F128)=O128,"●","")</f>
        <v/>
      </c>
      <c r="O128" s="345">
        <v>45580.459178240744</v>
      </c>
      <c r="P128" s="334" t="str">
        <f t="shared" si="4"/>
        <v>東鐵岡山:直納銑ダライ</v>
      </c>
    </row>
    <row r="129" ht="15.75" customHeight="1">
      <c r="A129" s="335" t="s">
        <v>1328</v>
      </c>
      <c r="B129" s="343">
        <v>45580.0</v>
      </c>
      <c r="C129" s="335" t="s">
        <v>532</v>
      </c>
      <c r="D129" s="335" t="s">
        <v>77</v>
      </c>
      <c r="E129" s="337" t="str">
        <f t="shared" si="1"/>
        <v>東鐵岡山:直納</v>
      </c>
      <c r="F129" s="338" t="s">
        <v>145</v>
      </c>
      <c r="G129" s="339" t="str">
        <f t="shared" si="2"/>
        <v>東鐵岡山:直納シュレＡ</v>
      </c>
      <c r="H129" s="340">
        <f t="shared" si="3"/>
        <v>42</v>
      </c>
      <c r="I129" s="335">
        <v>42.0</v>
      </c>
      <c r="J129" s="332" t="str">
        <f>IFERROR(__xludf.DUMMYFUNCTION("IF(IF(COUNTIF(P$2:P128, P129)=0, """", INDEX(H$2:H128,
MAX(FILTER(ROW(H$2:H128) - ROW(H$2) + 1, P$2:P128 = P129))))=""単価"","""",
IF(COUNTIF(P$2:P128, P129)=0, """", INDEX(H$2:H128,
MAX(FILTER(ROW(H$2:H128) - ROW(H$2) + 1, P$2:P128 = P129)))))"),"")</f>
        <v/>
      </c>
      <c r="N129" s="335" t="str">
        <f>IF(MAXIFS('単価履歴'!$O:$O,'単価履歴'!$E:$E,E129,'単価履歴'!$F:$F,F129)=O129,"●","")</f>
        <v/>
      </c>
      <c r="O129" s="345">
        <v>45580.459178240744</v>
      </c>
      <c r="P129" s="334" t="str">
        <f t="shared" si="4"/>
        <v>東鐵岡山:直納シュレＡ</v>
      </c>
    </row>
    <row r="130" ht="15.75" customHeight="1">
      <c r="A130" s="335" t="s">
        <v>1329</v>
      </c>
      <c r="B130" s="343">
        <v>45580.0</v>
      </c>
      <c r="C130" s="335" t="s">
        <v>532</v>
      </c>
      <c r="D130" s="335" t="s">
        <v>77</v>
      </c>
      <c r="E130" s="337" t="str">
        <f t="shared" si="1"/>
        <v>東鐵岡山:直納</v>
      </c>
      <c r="F130" s="338" t="s">
        <v>151</v>
      </c>
      <c r="G130" s="339" t="str">
        <f t="shared" si="2"/>
        <v>東鐵岡山:直納シュレＣ</v>
      </c>
      <c r="H130" s="340">
        <f t="shared" si="3"/>
        <v>41.5</v>
      </c>
      <c r="I130" s="335">
        <v>41.5</v>
      </c>
      <c r="J130" s="332" t="str">
        <f>IFERROR(__xludf.DUMMYFUNCTION("IF(IF(COUNTIF(P$2:P129, P130)=0, """", INDEX(H$2:H129,
MAX(FILTER(ROW(H$2:H129) - ROW(H$2) + 1, P$2:P129 = P130))))=""単価"","""",
IF(COUNTIF(P$2:P129, P130)=0, """", INDEX(H$2:H129,
MAX(FILTER(ROW(H$2:H129) - ROW(H$2) + 1, P$2:P129 = P130)))))"),"")</f>
        <v/>
      </c>
      <c r="N130" s="335" t="str">
        <f>IF(MAXIFS('単価履歴'!$O:$O,'単価履歴'!$E:$E,E130,'単価履歴'!$F:$F,F130)=O130,"●","")</f>
        <v/>
      </c>
      <c r="O130" s="345">
        <v>45580.459178240744</v>
      </c>
      <c r="P130" s="334" t="str">
        <f t="shared" si="4"/>
        <v>東鐵岡山:直納シュレＣ</v>
      </c>
    </row>
    <row r="131" ht="15.75" customHeight="1">
      <c r="A131" s="335" t="s">
        <v>1330</v>
      </c>
      <c r="B131" s="343">
        <v>45580.0</v>
      </c>
      <c r="C131" s="335" t="s">
        <v>532</v>
      </c>
      <c r="D131" s="335" t="s">
        <v>77</v>
      </c>
      <c r="E131" s="337" t="str">
        <f t="shared" si="1"/>
        <v>東鐵岡山:直納</v>
      </c>
      <c r="F131" s="338" t="s">
        <v>154</v>
      </c>
      <c r="G131" s="339" t="str">
        <f t="shared" si="2"/>
        <v>東鐵岡山:直納ＣＰ Ａ</v>
      </c>
      <c r="H131" s="340">
        <f t="shared" si="3"/>
        <v>40</v>
      </c>
      <c r="I131" s="335">
        <v>40.0</v>
      </c>
      <c r="J131" s="332" t="str">
        <f>IFERROR(__xludf.DUMMYFUNCTION("IF(IF(COUNTIF(P$2:P130, P131)=0, """", INDEX(H$2:H130,
MAX(FILTER(ROW(H$2:H130) - ROW(H$2) + 1, P$2:P130 = P131))))=""単価"","""",
IF(COUNTIF(P$2:P130, P131)=0, """", INDEX(H$2:H130,
MAX(FILTER(ROW(H$2:H130) - ROW(H$2) + 1, P$2:P130 = P131)))))"),"")</f>
        <v/>
      </c>
      <c r="N131" s="335" t="str">
        <f>IF(MAXIFS('単価履歴'!$O:$O,'単価履歴'!$E:$E,E131,'単価履歴'!$F:$F,F131)=O131,"●","")</f>
        <v/>
      </c>
      <c r="O131" s="345">
        <v>45580.459178240744</v>
      </c>
      <c r="P131" s="334" t="str">
        <f t="shared" si="4"/>
        <v>東鐵岡山:直納ＣＰ Ａ</v>
      </c>
    </row>
    <row r="132" ht="15.75" customHeight="1">
      <c r="A132" s="335" t="s">
        <v>1331</v>
      </c>
      <c r="B132" s="343">
        <v>45580.0</v>
      </c>
      <c r="C132" s="335" t="s">
        <v>11</v>
      </c>
      <c r="D132" s="335" t="s">
        <v>46</v>
      </c>
      <c r="E132" s="337" t="str">
        <f t="shared" si="1"/>
        <v>ﾔﾏﾄ:阪和</v>
      </c>
      <c r="F132" s="338" t="s">
        <v>111</v>
      </c>
      <c r="G132" s="339" t="str">
        <f t="shared" si="2"/>
        <v>ﾔﾏﾄ:阪和Ｈ１(特A)</v>
      </c>
      <c r="H132" s="340">
        <f t="shared" si="3"/>
        <v>43.6</v>
      </c>
      <c r="I132" s="335">
        <v>43.6</v>
      </c>
      <c r="J132" s="332" t="str">
        <f>IFERROR(__xludf.DUMMYFUNCTION("IF(IF(COUNTIF(P$2:P131, P132)=0, """", INDEX(H$2:H131,
MAX(FILTER(ROW(H$2:H131) - ROW(H$2) + 1, P$2:P131 = P132))))=""単価"","""",
IF(COUNTIF(P$2:P131, P132)=0, """", INDEX(H$2:H131,
MAX(FILTER(ROW(H$2:H131) - ROW(H$2) + 1, P$2:P131 = P132)))))"),"")</f>
        <v/>
      </c>
      <c r="N132" s="335" t="str">
        <f>IF(MAXIFS('単価履歴'!$O:$O,'単価履歴'!$E:$E,E132,'単価履歴'!$F:$F,F132)=O132,"●","")</f>
        <v/>
      </c>
      <c r="O132" s="345">
        <v>45580.459178240744</v>
      </c>
      <c r="P132" s="334" t="str">
        <f t="shared" si="4"/>
        <v>ﾔﾏﾄ:阪和Ｈ１(特A)</v>
      </c>
    </row>
    <row r="133" ht="15.75" customHeight="1">
      <c r="A133" s="335" t="s">
        <v>1332</v>
      </c>
      <c r="B133" s="343">
        <v>45580.0</v>
      </c>
      <c r="C133" s="335" t="s">
        <v>11</v>
      </c>
      <c r="D133" s="335" t="s">
        <v>46</v>
      </c>
      <c r="E133" s="337" t="str">
        <f t="shared" si="1"/>
        <v>ﾔﾏﾄ:阪和</v>
      </c>
      <c r="F133" s="338" t="s">
        <v>116</v>
      </c>
      <c r="G133" s="339" t="str">
        <f t="shared" si="2"/>
        <v>ﾔﾏﾄ:阪和Ｈ２(特級)</v>
      </c>
      <c r="H133" s="340">
        <f t="shared" si="3"/>
        <v>43.1</v>
      </c>
      <c r="I133" s="335">
        <v>43.1</v>
      </c>
      <c r="J133" s="332" t="str">
        <f>IFERROR(__xludf.DUMMYFUNCTION("IF(IF(COUNTIF(P$2:P132, P133)=0, """", INDEX(H$2:H132,
MAX(FILTER(ROW(H$2:H132) - ROW(H$2) + 1, P$2:P132 = P133))))=""単価"","""",
IF(COUNTIF(P$2:P132, P133)=0, """", INDEX(H$2:H132,
MAX(FILTER(ROW(H$2:H132) - ROW(H$2) + 1, P$2:P132 = P133)))))"),"")</f>
        <v/>
      </c>
      <c r="N133" s="335" t="str">
        <f>IF(MAXIFS('単価履歴'!$O:$O,'単価履歴'!$E:$E,E133,'単価履歴'!$F:$F,F133)=O133,"●","")</f>
        <v/>
      </c>
      <c r="O133" s="345">
        <v>45580.459178240744</v>
      </c>
      <c r="P133" s="334" t="str">
        <f t="shared" si="4"/>
        <v>ﾔﾏﾄ:阪和Ｈ２(特級)</v>
      </c>
    </row>
    <row r="134" ht="15.75" customHeight="1">
      <c r="A134" s="335" t="s">
        <v>1333</v>
      </c>
      <c r="B134" s="343">
        <v>45580.0</v>
      </c>
      <c r="C134" s="335" t="s">
        <v>11</v>
      </c>
      <c r="D134" s="335" t="s">
        <v>46</v>
      </c>
      <c r="E134" s="337" t="str">
        <f t="shared" si="1"/>
        <v>ﾔﾏﾄ:阪和</v>
      </c>
      <c r="F134" s="338" t="s">
        <v>119</v>
      </c>
      <c r="G134" s="339" t="str">
        <f t="shared" si="2"/>
        <v>ﾔﾏﾄ:阪和Ｈ３(1級)</v>
      </c>
      <c r="H134" s="340">
        <f t="shared" si="3"/>
        <v>42.1</v>
      </c>
      <c r="I134" s="335">
        <v>42.1</v>
      </c>
      <c r="J134" s="332" t="str">
        <f>IFERROR(__xludf.DUMMYFUNCTION("IF(IF(COUNTIF(P$2:P133, P134)=0, """", INDEX(H$2:H133,
MAX(FILTER(ROW(H$2:H133) - ROW(H$2) + 1, P$2:P133 = P134))))=""単価"","""",
IF(COUNTIF(P$2:P133, P134)=0, """", INDEX(H$2:H133,
MAX(FILTER(ROW(H$2:H133) - ROW(H$2) + 1, P$2:P133 = P134)))))"),"")</f>
        <v/>
      </c>
      <c r="N134" s="335" t="str">
        <f>IF(MAXIFS('単価履歴'!$O:$O,'単価履歴'!$E:$E,E134,'単価履歴'!$F:$F,F134)=O134,"●","")</f>
        <v/>
      </c>
      <c r="O134" s="345">
        <v>45580.459178240744</v>
      </c>
      <c r="P134" s="334" t="str">
        <f t="shared" si="4"/>
        <v>ﾔﾏﾄ:阪和Ｈ３(1級)</v>
      </c>
    </row>
    <row r="135" ht="15.75" customHeight="1">
      <c r="A135" s="335" t="s">
        <v>1334</v>
      </c>
      <c r="B135" s="343">
        <v>45580.0</v>
      </c>
      <c r="C135" s="335" t="s">
        <v>11</v>
      </c>
      <c r="D135" s="335" t="s">
        <v>46</v>
      </c>
      <c r="E135" s="337" t="str">
        <f t="shared" si="1"/>
        <v>ﾔﾏﾄ:阪和</v>
      </c>
      <c r="F135" s="338" t="s">
        <v>122</v>
      </c>
      <c r="G135" s="339" t="str">
        <f t="shared" si="2"/>
        <v>ﾔﾏﾄ:阪和Ｌ１(2級)</v>
      </c>
      <c r="H135" s="340">
        <f t="shared" si="3"/>
        <v>40.1</v>
      </c>
      <c r="I135" s="335">
        <v>40.1</v>
      </c>
      <c r="J135" s="332" t="str">
        <f>IFERROR(__xludf.DUMMYFUNCTION("IF(IF(COUNTIF(P$2:P134, P135)=0, """", INDEX(H$2:H134,
MAX(FILTER(ROW(H$2:H134) - ROW(H$2) + 1, P$2:P134 = P135))))=""単価"","""",
IF(COUNTIF(P$2:P134, P135)=0, """", INDEX(H$2:H134,
MAX(FILTER(ROW(H$2:H134) - ROW(H$2) + 1, P$2:P134 = P135)))))"),"")</f>
        <v/>
      </c>
      <c r="N135" s="335" t="str">
        <f>IF(MAXIFS('単価履歴'!$O:$O,'単価履歴'!$E:$E,E135,'単価履歴'!$F:$F,F135)=O135,"●","")</f>
        <v/>
      </c>
      <c r="O135" s="345">
        <v>45580.459178240744</v>
      </c>
      <c r="P135" s="334" t="str">
        <f t="shared" si="4"/>
        <v>ﾔﾏﾄ:阪和Ｌ１(2級)</v>
      </c>
    </row>
    <row r="136" ht="15.75" customHeight="1">
      <c r="A136" s="335" t="s">
        <v>1335</v>
      </c>
      <c r="B136" s="343">
        <v>45580.0</v>
      </c>
      <c r="C136" s="335" t="s">
        <v>11</v>
      </c>
      <c r="D136" s="335" t="s">
        <v>46</v>
      </c>
      <c r="E136" s="337" t="str">
        <f t="shared" si="1"/>
        <v>ﾔﾏﾄ:阪和</v>
      </c>
      <c r="F136" s="338" t="s">
        <v>573</v>
      </c>
      <c r="G136" s="339" t="str">
        <f t="shared" si="2"/>
        <v>ﾔﾏﾄ:阪和Ｌ２(H4･級外･L1ﾊﾞﾗ)</v>
      </c>
      <c r="H136" s="340">
        <f t="shared" si="3"/>
        <v>37.1</v>
      </c>
      <c r="I136" s="335">
        <v>37.1</v>
      </c>
      <c r="J136" s="332" t="str">
        <f>IFERROR(__xludf.DUMMYFUNCTION("IF(IF(COUNTIF(P$2:P135, P136)=0, """", INDEX(H$2:H135,
MAX(FILTER(ROW(H$2:H135) - ROW(H$2) + 1, P$2:P135 = P136))))=""単価"","""",
IF(COUNTIF(P$2:P135, P136)=0, """", INDEX(H$2:H135,
MAX(FILTER(ROW(H$2:H135) - ROW(H$2) + 1, P$2:P135 = P136)))))"),"")</f>
        <v/>
      </c>
      <c r="N136" s="335" t="str">
        <f>IF(MAXIFS('単価履歴'!$O:$O,'単価履歴'!$E:$E,E136,'単価履歴'!$F:$F,F136)=O136,"●","")</f>
        <v/>
      </c>
      <c r="O136" s="345">
        <v>45580.459178240744</v>
      </c>
      <c r="P136" s="334" t="str">
        <f t="shared" si="4"/>
        <v>ﾔﾏﾄ:阪和Ｌ２(H4･級外･L1ﾊﾞﾗ)</v>
      </c>
    </row>
    <row r="137" ht="15.75" customHeight="1">
      <c r="A137" s="335" t="s">
        <v>1336</v>
      </c>
      <c r="B137" s="343">
        <v>45580.0</v>
      </c>
      <c r="C137" s="335" t="s">
        <v>12</v>
      </c>
      <c r="D137" s="335" t="s">
        <v>50</v>
      </c>
      <c r="E137" s="337" t="str">
        <f t="shared" si="1"/>
        <v>山陽特殊:産振</v>
      </c>
      <c r="F137" s="338" t="s">
        <v>1199</v>
      </c>
      <c r="G137" s="339" t="str">
        <f t="shared" si="2"/>
        <v>山陽特殊:産振ＨＳ１(単体H1/電特A/HS))</v>
      </c>
      <c r="H137" s="340">
        <f t="shared" si="3"/>
        <v>44.6</v>
      </c>
      <c r="I137" s="335">
        <v>44.6</v>
      </c>
      <c r="J137" s="332" t="str">
        <f>IFERROR(__xludf.DUMMYFUNCTION("IF(IF(COUNTIF(P$2:P136, P137)=0, """", INDEX(H$2:H136,
MAX(FILTER(ROW(H$2:H136) - ROW(H$2) + 1, P$2:P136 = P137))))=""単価"","""",
IF(COUNTIF(P$2:P136, P137)=0, """", INDEX(H$2:H136,
MAX(FILTER(ROW(H$2:H136) - ROW(H$2) + 1, P$2:P136 = P137)))))"),"")</f>
        <v/>
      </c>
      <c r="N137" s="335" t="str">
        <f>IF(MAXIFS('単価履歴'!$O:$O,'単価履歴'!$E:$E,E137,'単価履歴'!$F:$F,F137)=O137,"●","")</f>
        <v/>
      </c>
      <c r="O137" s="345">
        <v>45580.459178240744</v>
      </c>
      <c r="P137" s="334" t="str">
        <f t="shared" si="4"/>
        <v>山陽特殊:産振ＨＳ１(単体H1/電特A/HS))</v>
      </c>
    </row>
    <row r="138" ht="15.75" customHeight="1">
      <c r="A138" s="335" t="s">
        <v>1337</v>
      </c>
      <c r="B138" s="343">
        <v>45580.0</v>
      </c>
      <c r="C138" s="335" t="s">
        <v>12</v>
      </c>
      <c r="D138" s="335" t="s">
        <v>50</v>
      </c>
      <c r="E138" s="337" t="str">
        <f t="shared" si="1"/>
        <v>山陽特殊:産振</v>
      </c>
      <c r="F138" s="338" t="s">
        <v>101</v>
      </c>
      <c r="G138" s="339" t="str">
        <f t="shared" si="2"/>
        <v>山陽特殊:産振ＨＳ２</v>
      </c>
      <c r="H138" s="340">
        <f t="shared" si="3"/>
        <v>44.4</v>
      </c>
      <c r="I138" s="335">
        <v>44.4</v>
      </c>
      <c r="J138" s="332" t="str">
        <f>IFERROR(__xludf.DUMMYFUNCTION("IF(IF(COUNTIF(P$2:P137, P138)=0, """", INDEX(H$2:H137,
MAX(FILTER(ROW(H$2:H137) - ROW(H$2) + 1, P$2:P137 = P138))))=""単価"","""",
IF(COUNTIF(P$2:P137, P138)=0, """", INDEX(H$2:H137,
MAX(FILTER(ROW(H$2:H137) - ROW(H$2) + 1, P$2:P137 = P138)))))"),"")</f>
        <v/>
      </c>
      <c r="N138" s="335" t="str">
        <f>IF(MAXIFS('単価履歴'!$O:$O,'単価履歴'!$E:$E,E138,'単価履歴'!$F:$F,F138)=O138,"●","")</f>
        <v/>
      </c>
      <c r="O138" s="345">
        <v>45580.459178240744</v>
      </c>
      <c r="P138" s="334" t="str">
        <f t="shared" si="4"/>
        <v>山陽特殊:産振ＨＳ２</v>
      </c>
    </row>
    <row r="139" ht="15.75" customHeight="1">
      <c r="A139" s="335" t="s">
        <v>1338</v>
      </c>
      <c r="B139" s="343">
        <v>45580.0</v>
      </c>
      <c r="C139" s="335" t="s">
        <v>12</v>
      </c>
      <c r="D139" s="335" t="s">
        <v>50</v>
      </c>
      <c r="E139" s="337" t="str">
        <f t="shared" si="1"/>
        <v>山陽特殊:産振</v>
      </c>
      <c r="F139" s="338" t="s">
        <v>105</v>
      </c>
      <c r="G139" s="339" t="str">
        <f t="shared" si="2"/>
        <v>山陽特殊:産振ＨＳ３</v>
      </c>
      <c r="H139" s="340">
        <f t="shared" si="3"/>
        <v>42.4</v>
      </c>
      <c r="I139" s="335">
        <v>42.4</v>
      </c>
      <c r="J139" s="332" t="str">
        <f>IFERROR(__xludf.DUMMYFUNCTION("IF(IF(COUNTIF(P$2:P138, P139)=0, """", INDEX(H$2:H138,
MAX(FILTER(ROW(H$2:H138) - ROW(H$2) + 1, P$2:P138 = P139))))=""単価"","""",
IF(COUNTIF(P$2:P138, P139)=0, """", INDEX(H$2:H138,
MAX(FILTER(ROW(H$2:H138) - ROW(H$2) + 1, P$2:P138 = P139)))))"),"")</f>
        <v/>
      </c>
      <c r="N139" s="335" t="str">
        <f>IF(MAXIFS('単価履歴'!$O:$O,'単価履歴'!$E:$E,E139,'単価履歴'!$F:$F,F139)=O139,"●","")</f>
        <v/>
      </c>
      <c r="O139" s="345">
        <v>45580.459178240744</v>
      </c>
      <c r="P139" s="334" t="str">
        <f t="shared" si="4"/>
        <v>山陽特殊:産振ＨＳ３</v>
      </c>
    </row>
    <row r="140" ht="15.75" customHeight="1">
      <c r="A140" s="335" t="s">
        <v>1339</v>
      </c>
      <c r="B140" s="343">
        <v>45580.0</v>
      </c>
      <c r="C140" s="335" t="s">
        <v>12</v>
      </c>
      <c r="D140" s="335" t="s">
        <v>53</v>
      </c>
      <c r="E140" s="337" t="str">
        <f t="shared" si="1"/>
        <v>山陽特殊:MM</v>
      </c>
      <c r="F140" s="338" t="s">
        <v>1199</v>
      </c>
      <c r="G140" s="339" t="str">
        <f t="shared" si="2"/>
        <v>山陽特殊:MMＨＳ１(単体H1/電特A/HS))</v>
      </c>
      <c r="H140" s="340">
        <f t="shared" si="3"/>
        <v>46.5</v>
      </c>
      <c r="I140" s="335">
        <v>46.5</v>
      </c>
      <c r="J140" s="332" t="str">
        <f>IFERROR(__xludf.DUMMYFUNCTION("IF(IF(COUNTIF(P$2:P139, P140)=0, """", INDEX(H$2:H139,
MAX(FILTER(ROW(H$2:H139) - ROW(H$2) + 1, P$2:P139 = P140))))=""単価"","""",
IF(COUNTIF(P$2:P139, P140)=0, """", INDEX(H$2:H139,
MAX(FILTER(ROW(H$2:H139) - ROW(H$2) + 1, P$2:P139 = P140)))))"),"")</f>
        <v/>
      </c>
      <c r="N140" s="335" t="str">
        <f>IF(MAXIFS('単価履歴'!$O:$O,'単価履歴'!$E:$E,E140,'単価履歴'!$F:$F,F140)=O140,"●","")</f>
        <v/>
      </c>
      <c r="O140" s="345">
        <v>45580.459178240744</v>
      </c>
      <c r="P140" s="334" t="str">
        <f t="shared" si="4"/>
        <v>山陽特殊:MMＨＳ１(単体H1/電特A/HS))</v>
      </c>
    </row>
    <row r="141" ht="15.75" customHeight="1">
      <c r="A141" s="335" t="s">
        <v>1340</v>
      </c>
      <c r="B141" s="343">
        <v>45580.0</v>
      </c>
      <c r="C141" s="335" t="s">
        <v>12</v>
      </c>
      <c r="D141" s="335" t="s">
        <v>53</v>
      </c>
      <c r="E141" s="337" t="str">
        <f t="shared" si="1"/>
        <v>山陽特殊:MM</v>
      </c>
      <c r="F141" s="338" t="s">
        <v>101</v>
      </c>
      <c r="G141" s="339" t="str">
        <f t="shared" si="2"/>
        <v>山陽特殊:MMＨＳ２</v>
      </c>
      <c r="H141" s="340">
        <f t="shared" si="3"/>
        <v>46.3</v>
      </c>
      <c r="I141" s="335">
        <v>46.3</v>
      </c>
      <c r="J141" s="332" t="str">
        <f>IFERROR(__xludf.DUMMYFUNCTION("IF(IF(COUNTIF(P$2:P140, P141)=0, """", INDEX(H$2:H140,
MAX(FILTER(ROW(H$2:H140) - ROW(H$2) + 1, P$2:P140 = P141))))=""単価"","""",
IF(COUNTIF(P$2:P140, P141)=0, """", INDEX(H$2:H140,
MAX(FILTER(ROW(H$2:H140) - ROW(H$2) + 1, P$2:P140 = P141)))))"),"")</f>
        <v/>
      </c>
      <c r="N141" s="335" t="str">
        <f>IF(MAXIFS('単価履歴'!$O:$O,'単価履歴'!$E:$E,E141,'単価履歴'!$F:$F,F141)=O141,"●","")</f>
        <v/>
      </c>
      <c r="O141" s="345">
        <v>45580.459178240744</v>
      </c>
      <c r="P141" s="334" t="str">
        <f t="shared" si="4"/>
        <v>山陽特殊:MMＨＳ２</v>
      </c>
    </row>
    <row r="142" ht="15.75" customHeight="1">
      <c r="A142" s="335" t="s">
        <v>1341</v>
      </c>
      <c r="B142" s="343">
        <v>45580.0</v>
      </c>
      <c r="C142" s="335" t="s">
        <v>12</v>
      </c>
      <c r="D142" s="335" t="s">
        <v>53</v>
      </c>
      <c r="E142" s="337" t="str">
        <f t="shared" si="1"/>
        <v>山陽特殊:MM</v>
      </c>
      <c r="F142" s="338" t="s">
        <v>105</v>
      </c>
      <c r="G142" s="339" t="str">
        <f t="shared" si="2"/>
        <v>山陽特殊:MMＨＳ３</v>
      </c>
      <c r="H142" s="340">
        <f t="shared" si="3"/>
        <v>44.3</v>
      </c>
      <c r="I142" s="335">
        <v>44.3</v>
      </c>
      <c r="J142" s="332" t="str">
        <f>IFERROR(__xludf.DUMMYFUNCTION("IF(IF(COUNTIF(P$2:P141, P142)=0, """", INDEX(H$2:H141,
MAX(FILTER(ROW(H$2:H141) - ROW(H$2) + 1, P$2:P141 = P142))))=""単価"","""",
IF(COUNTIF(P$2:P141, P142)=0, """", INDEX(H$2:H141,
MAX(FILTER(ROW(H$2:H141) - ROW(H$2) + 1, P$2:P141 = P142)))))"),"")</f>
        <v/>
      </c>
      <c r="N142" s="335" t="str">
        <f>IF(MAXIFS('単価履歴'!$O:$O,'単価履歴'!$E:$E,E142,'単価履歴'!$F:$F,F142)=O142,"●","")</f>
        <v/>
      </c>
      <c r="O142" s="345">
        <v>45580.459178240744</v>
      </c>
      <c r="P142" s="334" t="str">
        <f t="shared" si="4"/>
        <v>山陽特殊:MMＨＳ３</v>
      </c>
    </row>
    <row r="143" ht="15.75" customHeight="1">
      <c r="A143" s="335" t="s">
        <v>1342</v>
      </c>
      <c r="B143" s="343">
        <v>45580.0</v>
      </c>
      <c r="C143" s="335" t="s">
        <v>12</v>
      </c>
      <c r="D143" s="335" t="s">
        <v>53</v>
      </c>
      <c r="E143" s="337" t="str">
        <f t="shared" si="1"/>
        <v>山陽特殊:MM</v>
      </c>
      <c r="F143" s="338" t="s">
        <v>122</v>
      </c>
      <c r="G143" s="339" t="str">
        <f t="shared" si="2"/>
        <v>山陽特殊:MMＬ１(2級)</v>
      </c>
      <c r="H143" s="340">
        <f t="shared" si="3"/>
        <v>1</v>
      </c>
      <c r="I143" s="335">
        <v>1.0</v>
      </c>
      <c r="J143" s="332" t="str">
        <f>IFERROR(__xludf.DUMMYFUNCTION("IF(IF(COUNTIF(P$2:P142, P143)=0, """", INDEX(H$2:H142,
MAX(FILTER(ROW(H$2:H142) - ROW(H$2) + 1, P$2:P142 = P143))))=""単価"","""",
IF(COUNTIF(P$2:P142, P143)=0, """", INDEX(H$2:H142,
MAX(FILTER(ROW(H$2:H142) - ROW(H$2) + 1, P$2:P142 = P143)))))"),"")</f>
        <v/>
      </c>
      <c r="N143" s="335" t="str">
        <f>IF(MAXIFS('単価履歴'!$O:$O,'単価履歴'!$E:$E,E143,'単価履歴'!$F:$F,F143)=O143,"●","")</f>
        <v/>
      </c>
      <c r="O143" s="345">
        <v>45580.459178240744</v>
      </c>
      <c r="P143" s="334" t="str">
        <f t="shared" si="4"/>
        <v>山陽特殊:MMＬ１(2級)</v>
      </c>
    </row>
    <row r="144" ht="15.75" customHeight="1">
      <c r="A144" s="335" t="s">
        <v>1343</v>
      </c>
      <c r="B144" s="343">
        <v>45580.0</v>
      </c>
      <c r="C144" s="335" t="s">
        <v>12</v>
      </c>
      <c r="D144" s="335" t="s">
        <v>53</v>
      </c>
      <c r="E144" s="337" t="str">
        <f t="shared" si="1"/>
        <v>山陽特殊:MM</v>
      </c>
      <c r="F144" s="338" t="s">
        <v>130</v>
      </c>
      <c r="G144" s="339" t="str">
        <f t="shared" si="2"/>
        <v>山陽特殊:MM新断Ａ</v>
      </c>
      <c r="H144" s="340">
        <f t="shared" si="3"/>
        <v>44</v>
      </c>
      <c r="I144" s="335">
        <v>44.0</v>
      </c>
      <c r="J144" s="332" t="str">
        <f>IFERROR(__xludf.DUMMYFUNCTION("IF(IF(COUNTIF(P$2:P143, P144)=0, """", INDEX(H$2:H143,
MAX(FILTER(ROW(H$2:H143) - ROW(H$2) + 1, P$2:P143 = P144))))=""単価"","""",
IF(COUNTIF(P$2:P143, P144)=0, """", INDEX(H$2:H143,
MAX(FILTER(ROW(H$2:H143) - ROW(H$2) + 1, P$2:P143 = P144)))))"),"")</f>
        <v/>
      </c>
      <c r="N144" s="335" t="str">
        <f>IF(MAXIFS('単価履歴'!$O:$O,'単価履歴'!$E:$E,E144,'単価履歴'!$F:$F,F144)=O144,"●","")</f>
        <v/>
      </c>
      <c r="O144" s="345">
        <v>45580.459178240744</v>
      </c>
      <c r="P144" s="334" t="str">
        <f t="shared" si="4"/>
        <v>山陽特殊:MM新断Ａ</v>
      </c>
    </row>
    <row r="145" ht="15.75" customHeight="1">
      <c r="A145" s="335" t="s">
        <v>1344</v>
      </c>
      <c r="B145" s="343">
        <v>45580.0</v>
      </c>
      <c r="C145" s="335" t="s">
        <v>12</v>
      </c>
      <c r="D145" s="335" t="s">
        <v>53</v>
      </c>
      <c r="E145" s="337" t="str">
        <f t="shared" si="1"/>
        <v>山陽特殊:MM</v>
      </c>
      <c r="F145" s="338" t="s">
        <v>131</v>
      </c>
      <c r="G145" s="339" t="str">
        <f t="shared" si="2"/>
        <v>山陽特殊:MM新断Ｂ</v>
      </c>
      <c r="H145" s="340">
        <f t="shared" si="3"/>
        <v>43</v>
      </c>
      <c r="I145" s="335">
        <v>43.0</v>
      </c>
      <c r="J145" s="332" t="str">
        <f>IFERROR(__xludf.DUMMYFUNCTION("IF(IF(COUNTIF(P$2:P144, P145)=0, """", INDEX(H$2:H144,
MAX(FILTER(ROW(H$2:H144) - ROW(H$2) + 1, P$2:P144 = P145))))=""単価"","""",
IF(COUNTIF(P$2:P144, P145)=0, """", INDEX(H$2:H144,
MAX(FILTER(ROW(H$2:H144) - ROW(H$2) + 1, P$2:P144 = P145)))))"),"")</f>
        <v/>
      </c>
      <c r="N145" s="335" t="str">
        <f>IF(MAXIFS('単価履歴'!$O:$O,'単価履歴'!$E:$E,E145,'単価履歴'!$F:$F,F145)=O145,"●","")</f>
        <v/>
      </c>
      <c r="O145" s="345">
        <v>45580.459178240744</v>
      </c>
      <c r="P145" s="334" t="str">
        <f t="shared" si="4"/>
        <v>山陽特殊:MM新断Ｂ</v>
      </c>
    </row>
    <row r="146" ht="15.75" customHeight="1">
      <c r="A146" s="335" t="s">
        <v>1345</v>
      </c>
      <c r="B146" s="343">
        <v>45580.0</v>
      </c>
      <c r="C146" s="335" t="s">
        <v>12</v>
      </c>
      <c r="D146" s="335" t="s">
        <v>53</v>
      </c>
      <c r="E146" s="337" t="str">
        <f t="shared" si="1"/>
        <v>山陽特殊:MM</v>
      </c>
      <c r="F146" s="338" t="s">
        <v>574</v>
      </c>
      <c r="G146" s="339" t="str">
        <f t="shared" si="2"/>
        <v>山陽特殊:MM新断Ｃ</v>
      </c>
      <c r="H146" s="340">
        <f t="shared" si="3"/>
        <v>42</v>
      </c>
      <c r="I146" s="335">
        <v>42.0</v>
      </c>
      <c r="J146" s="332" t="str">
        <f>IFERROR(__xludf.DUMMYFUNCTION("IF(IF(COUNTIF(P$2:P145, P146)=0, """", INDEX(H$2:H145,
MAX(FILTER(ROW(H$2:H145) - ROW(H$2) + 1, P$2:P145 = P146))))=""単価"","""",
IF(COUNTIF(P$2:P145, P146)=0, """", INDEX(H$2:H145,
MAX(FILTER(ROW(H$2:H145) - ROW(H$2) + 1, P$2:P145 = P146)))))"),"")</f>
        <v/>
      </c>
      <c r="N146" s="335" t="str">
        <f>IF(MAXIFS('単価履歴'!$O:$O,'単価履歴'!$E:$E,E146,'単価履歴'!$F:$F,F146)=O146,"●","")</f>
        <v/>
      </c>
      <c r="O146" s="345">
        <v>45580.459178240744</v>
      </c>
      <c r="P146" s="334" t="str">
        <f t="shared" si="4"/>
        <v>山陽特殊:MM新断Ｃ</v>
      </c>
    </row>
    <row r="147" ht="15.75" customHeight="1">
      <c r="A147" s="335" t="s">
        <v>1346</v>
      </c>
      <c r="B147" s="343">
        <v>45580.0</v>
      </c>
      <c r="C147" s="335" t="s">
        <v>28</v>
      </c>
      <c r="D147" s="335" t="s">
        <v>52</v>
      </c>
      <c r="E147" s="337" t="str">
        <f t="shared" si="1"/>
        <v>ＪＦＥ条鋼:リバイブ</v>
      </c>
      <c r="F147" s="338" t="s">
        <v>111</v>
      </c>
      <c r="G147" s="339" t="str">
        <f t="shared" si="2"/>
        <v>ＪＦＥ条鋼:リバイブＨ１(特A)</v>
      </c>
      <c r="H147" s="340">
        <f t="shared" si="3"/>
        <v>41</v>
      </c>
      <c r="I147" s="335">
        <v>41.0</v>
      </c>
      <c r="J147" s="332" t="str">
        <f>IFERROR(__xludf.DUMMYFUNCTION("IF(IF(COUNTIF(P$2:P146, P147)=0, """", INDEX(H$2:H146,
MAX(FILTER(ROW(H$2:H146) - ROW(H$2) + 1, P$2:P146 = P147))))=""単価"","""",
IF(COUNTIF(P$2:P146, P147)=0, """", INDEX(H$2:H146,
MAX(FILTER(ROW(H$2:H146) - ROW(H$2) + 1, P$2:P146 = P147)))))"),"")</f>
        <v/>
      </c>
      <c r="N147" s="335" t="str">
        <f>IF(MAXIFS('単価履歴'!$O:$O,'単価履歴'!$E:$E,E147,'単価履歴'!$F:$F,F147)=O147,"●","")</f>
        <v/>
      </c>
      <c r="O147" s="345">
        <v>45580.459178240744</v>
      </c>
      <c r="P147" s="334" t="str">
        <f t="shared" si="4"/>
        <v>ＪＦＥ条鋼:リバイブＨ１(特A)</v>
      </c>
    </row>
    <row r="148" ht="15.75" customHeight="1">
      <c r="A148" s="335" t="s">
        <v>1347</v>
      </c>
      <c r="B148" s="343">
        <v>45580.0</v>
      </c>
      <c r="C148" s="335" t="s">
        <v>28</v>
      </c>
      <c r="D148" s="335" t="s">
        <v>52</v>
      </c>
      <c r="E148" s="337" t="str">
        <f t="shared" si="1"/>
        <v>ＪＦＥ条鋼:リバイブ</v>
      </c>
      <c r="F148" s="338" t="s">
        <v>116</v>
      </c>
      <c r="G148" s="339" t="str">
        <f t="shared" si="2"/>
        <v>ＪＦＥ条鋼:リバイブＨ２(特級)</v>
      </c>
      <c r="H148" s="340">
        <f t="shared" si="3"/>
        <v>40</v>
      </c>
      <c r="I148" s="335">
        <v>40.0</v>
      </c>
      <c r="J148" s="332" t="str">
        <f>IFERROR(__xludf.DUMMYFUNCTION("IF(IF(COUNTIF(P$2:P147, P148)=0, """", INDEX(H$2:H147,
MAX(FILTER(ROW(H$2:H147) - ROW(H$2) + 1, P$2:P147 = P148))))=""単価"","""",
IF(COUNTIF(P$2:P147, P148)=0, """", INDEX(H$2:H147,
MAX(FILTER(ROW(H$2:H147) - ROW(H$2) + 1, P$2:P147 = P148)))))"),"")</f>
        <v/>
      </c>
      <c r="N148" s="335" t="str">
        <f>IF(MAXIFS('単価履歴'!$O:$O,'単価履歴'!$E:$E,E148,'単価履歴'!$F:$F,F148)=O148,"●","")</f>
        <v/>
      </c>
      <c r="O148" s="345">
        <v>45580.459178240744</v>
      </c>
      <c r="P148" s="334" t="str">
        <f t="shared" si="4"/>
        <v>ＪＦＥ条鋼:リバイブＨ２(特級)</v>
      </c>
    </row>
    <row r="149" ht="15.75" customHeight="1">
      <c r="A149" s="335" t="s">
        <v>1348</v>
      </c>
      <c r="B149" s="343">
        <v>45580.0</v>
      </c>
      <c r="C149" s="335" t="s">
        <v>28</v>
      </c>
      <c r="D149" s="335" t="s">
        <v>52</v>
      </c>
      <c r="E149" s="337" t="str">
        <f t="shared" si="1"/>
        <v>ＪＦＥ条鋼:リバイブ</v>
      </c>
      <c r="F149" s="338" t="s">
        <v>119</v>
      </c>
      <c r="G149" s="339" t="str">
        <f t="shared" si="2"/>
        <v>ＪＦＥ条鋼:リバイブＨ３(1級)</v>
      </c>
      <c r="H149" s="340">
        <f t="shared" si="3"/>
        <v>39</v>
      </c>
      <c r="I149" s="335">
        <v>39.0</v>
      </c>
      <c r="J149" s="332" t="str">
        <f>IFERROR(__xludf.DUMMYFUNCTION("IF(IF(COUNTIF(P$2:P148, P149)=0, """", INDEX(H$2:H148,
MAX(FILTER(ROW(H$2:H148) - ROW(H$2) + 1, P$2:P148 = P149))))=""単価"","""",
IF(COUNTIF(P$2:P148, P149)=0, """", INDEX(H$2:H148,
MAX(FILTER(ROW(H$2:H148) - ROW(H$2) + 1, P$2:P148 = P149)))))"),"")</f>
        <v/>
      </c>
      <c r="N149" s="335" t="str">
        <f>IF(MAXIFS('単価履歴'!$O:$O,'単価履歴'!$E:$E,E149,'単価履歴'!$F:$F,F149)=O149,"●","")</f>
        <v/>
      </c>
      <c r="O149" s="345">
        <v>45580.459178240744</v>
      </c>
      <c r="P149" s="334" t="str">
        <f t="shared" si="4"/>
        <v>ＪＦＥ条鋼:リバイブＨ３(1級)</v>
      </c>
    </row>
    <row r="150" ht="15.75" customHeight="1">
      <c r="A150" s="335" t="s">
        <v>1349</v>
      </c>
      <c r="B150" s="343">
        <v>45580.0</v>
      </c>
      <c r="C150" s="335" t="s">
        <v>28</v>
      </c>
      <c r="D150" s="335" t="s">
        <v>52</v>
      </c>
      <c r="E150" s="337" t="str">
        <f t="shared" si="1"/>
        <v>ＪＦＥ条鋼:リバイブ</v>
      </c>
      <c r="F150" s="338" t="s">
        <v>122</v>
      </c>
      <c r="G150" s="339" t="str">
        <f t="shared" si="2"/>
        <v>ＪＦＥ条鋼:リバイブＬ１(2級)</v>
      </c>
      <c r="H150" s="340">
        <f t="shared" si="3"/>
        <v>35.8</v>
      </c>
      <c r="I150" s="335">
        <v>35.8</v>
      </c>
      <c r="J150" s="332" t="str">
        <f>IFERROR(__xludf.DUMMYFUNCTION("IF(IF(COUNTIF(P$2:P149, P150)=0, """", INDEX(H$2:H149,
MAX(FILTER(ROW(H$2:H149) - ROW(H$2) + 1, P$2:P149 = P150))))=""単価"","""",
IF(COUNTIF(P$2:P149, P150)=0, """", INDEX(H$2:H149,
MAX(FILTER(ROW(H$2:H149) - ROW(H$2) + 1, P$2:P149 = P150)))))"),"")</f>
        <v/>
      </c>
      <c r="N150" s="335" t="str">
        <f>IF(MAXIFS('単価履歴'!$O:$O,'単価履歴'!$E:$E,E150,'単価履歴'!$F:$F,F150)=O150,"●","")</f>
        <v/>
      </c>
      <c r="O150" s="345">
        <v>45580.459178240744</v>
      </c>
      <c r="P150" s="334" t="str">
        <f t="shared" si="4"/>
        <v>ＪＦＥ条鋼:リバイブＬ１(2級)</v>
      </c>
    </row>
    <row r="151" ht="15.75" customHeight="1">
      <c r="A151" s="335" t="s">
        <v>1350</v>
      </c>
      <c r="B151" s="343">
        <v>45580.0</v>
      </c>
      <c r="C151" s="335" t="s">
        <v>28</v>
      </c>
      <c r="D151" s="335" t="s">
        <v>52</v>
      </c>
      <c r="E151" s="337" t="str">
        <f t="shared" si="1"/>
        <v>ＪＦＥ条鋼:リバイブ</v>
      </c>
      <c r="F151" s="338" t="s">
        <v>573</v>
      </c>
      <c r="G151" s="339" t="str">
        <f t="shared" si="2"/>
        <v>ＪＦＥ条鋼:リバイブＬ２(H4･級外･L1ﾊﾞﾗ)</v>
      </c>
      <c r="H151" s="340">
        <f t="shared" si="3"/>
        <v>39.9</v>
      </c>
      <c r="I151" s="335">
        <v>39.9</v>
      </c>
      <c r="J151" s="332" t="str">
        <f>IFERROR(__xludf.DUMMYFUNCTION("IF(IF(COUNTIF(P$2:P150, P151)=0, """", INDEX(H$2:H150,
MAX(FILTER(ROW(H$2:H150) - ROW(H$2) + 1, P$2:P150 = P151))))=""単価"","""",
IF(COUNTIF(P$2:P150, P151)=0, """", INDEX(H$2:H150,
MAX(FILTER(ROW(H$2:H150) - ROW(H$2) + 1, P$2:P150 = P151)))))"),"")</f>
        <v/>
      </c>
      <c r="N151" s="335" t="str">
        <f>IF(MAXIFS('単価履歴'!$O:$O,'単価履歴'!$E:$E,E151,'単価履歴'!$F:$F,F151)=O151,"●","")</f>
        <v/>
      </c>
      <c r="O151" s="345">
        <v>45580.459178240744</v>
      </c>
      <c r="P151" s="334" t="str">
        <f t="shared" si="4"/>
        <v>ＪＦＥ条鋼:リバイブＬ２(H4･級外･L1ﾊﾞﾗ)</v>
      </c>
    </row>
    <row r="152" ht="15.75" customHeight="1">
      <c r="A152" s="335" t="s">
        <v>1351</v>
      </c>
      <c r="B152" s="343">
        <v>45580.0</v>
      </c>
      <c r="C152" s="335" t="s">
        <v>28</v>
      </c>
      <c r="D152" s="335" t="s">
        <v>52</v>
      </c>
      <c r="E152" s="337" t="str">
        <f t="shared" si="1"/>
        <v>ＪＦＥ条鋼:リバイブ</v>
      </c>
      <c r="F152" s="338" t="s">
        <v>130</v>
      </c>
      <c r="G152" s="339" t="str">
        <f t="shared" si="2"/>
        <v>ＪＦＥ条鋼:リバイブ新断Ａ</v>
      </c>
      <c r="H152" s="340">
        <f t="shared" si="3"/>
        <v>44.5</v>
      </c>
      <c r="I152" s="335">
        <v>44.5</v>
      </c>
      <c r="J152" s="332" t="str">
        <f>IFERROR(__xludf.DUMMYFUNCTION("IF(IF(COUNTIF(P$2:P151, P152)=0, """", INDEX(H$2:H151,
MAX(FILTER(ROW(H$2:H151) - ROW(H$2) + 1, P$2:P151 = P152))))=""単価"","""",
IF(COUNTIF(P$2:P151, P152)=0, """", INDEX(H$2:H151,
MAX(FILTER(ROW(H$2:H151) - ROW(H$2) + 1, P$2:P151 = P152)))))"),"")</f>
        <v/>
      </c>
      <c r="N152" s="335" t="str">
        <f>IF(MAXIFS('単価履歴'!$O:$O,'単価履歴'!$E:$E,E152,'単価履歴'!$F:$F,F152)=O152,"●","")</f>
        <v/>
      </c>
      <c r="O152" s="345">
        <v>45580.459178240744</v>
      </c>
      <c r="P152" s="334" t="str">
        <f t="shared" si="4"/>
        <v>ＪＦＥ条鋼:リバイブ新断Ａ</v>
      </c>
    </row>
    <row r="153" ht="15.75" customHeight="1">
      <c r="A153" s="335" t="s">
        <v>1352</v>
      </c>
      <c r="B153" s="343">
        <v>45580.0</v>
      </c>
      <c r="C153" s="335" t="s">
        <v>28</v>
      </c>
      <c r="D153" s="335" t="s">
        <v>52</v>
      </c>
      <c r="E153" s="337" t="str">
        <f t="shared" si="1"/>
        <v>ＪＦＥ条鋼:リバイブ</v>
      </c>
      <c r="F153" s="338" t="s">
        <v>131</v>
      </c>
      <c r="G153" s="339" t="str">
        <f t="shared" si="2"/>
        <v>ＪＦＥ条鋼:リバイブ新断Ｂ</v>
      </c>
      <c r="H153" s="340">
        <f t="shared" si="3"/>
        <v>43.5</v>
      </c>
      <c r="I153" s="335">
        <v>43.5</v>
      </c>
      <c r="J153" s="332" t="str">
        <f>IFERROR(__xludf.DUMMYFUNCTION("IF(IF(COUNTIF(P$2:P152, P153)=0, """", INDEX(H$2:H152,
MAX(FILTER(ROW(H$2:H152) - ROW(H$2) + 1, P$2:P152 = P153))))=""単価"","""",
IF(COUNTIF(P$2:P152, P153)=0, """", INDEX(H$2:H152,
MAX(FILTER(ROW(H$2:H152) - ROW(H$2) + 1, P$2:P152 = P153)))))"),"")</f>
        <v/>
      </c>
      <c r="N153" s="335" t="str">
        <f>IF(MAXIFS('単価履歴'!$O:$O,'単価履歴'!$E:$E,E153,'単価履歴'!$F:$F,F153)=O153,"●","")</f>
        <v/>
      </c>
      <c r="O153" s="345">
        <v>45580.459178240744</v>
      </c>
      <c r="P153" s="334" t="str">
        <f t="shared" si="4"/>
        <v>ＪＦＥ条鋼:リバイブ新断Ｂ</v>
      </c>
    </row>
    <row r="154" ht="15.75" customHeight="1">
      <c r="A154" s="335" t="s">
        <v>1353</v>
      </c>
      <c r="B154" s="343">
        <v>45580.0</v>
      </c>
      <c r="C154" s="335" t="s">
        <v>28</v>
      </c>
      <c r="D154" s="335" t="s">
        <v>52</v>
      </c>
      <c r="E154" s="337" t="str">
        <f t="shared" si="1"/>
        <v>ＪＦＥ条鋼:リバイブ</v>
      </c>
      <c r="F154" s="338" t="s">
        <v>575</v>
      </c>
      <c r="G154" s="339" t="str">
        <f t="shared" si="2"/>
        <v>ＪＦＥ条鋼:リバイブ鋼ダライＡ</v>
      </c>
      <c r="H154" s="340">
        <f t="shared" si="3"/>
        <v>39</v>
      </c>
      <c r="I154" s="335">
        <v>39.0</v>
      </c>
      <c r="J154" s="332" t="str">
        <f>IFERROR(__xludf.DUMMYFUNCTION("IF(IF(COUNTIF(P$2:P153, P154)=0, """", INDEX(H$2:H153,
MAX(FILTER(ROW(H$2:H153) - ROW(H$2) + 1, P$2:P153 = P154))))=""単価"","""",
IF(COUNTIF(P$2:P153, P154)=0, """", INDEX(H$2:H153,
MAX(FILTER(ROW(H$2:H153) - ROW(H$2) + 1, P$2:P153 = P154)))))"),"")</f>
        <v/>
      </c>
      <c r="N154" s="335" t="str">
        <f>IF(MAXIFS('単価履歴'!$O:$O,'単価履歴'!$E:$E,E154,'単価履歴'!$F:$F,F154)=O154,"●","")</f>
        <v/>
      </c>
      <c r="O154" s="345">
        <v>45580.459178240744</v>
      </c>
      <c r="P154" s="334" t="str">
        <f t="shared" si="4"/>
        <v>ＪＦＥ条鋼:リバイブ鋼ダライＡ</v>
      </c>
    </row>
    <row r="155" ht="15.75" customHeight="1">
      <c r="A155" s="335" t="s">
        <v>1354</v>
      </c>
      <c r="B155" s="343">
        <v>45580.0</v>
      </c>
      <c r="C155" s="335" t="s">
        <v>535</v>
      </c>
      <c r="D155" s="335" t="s">
        <v>77</v>
      </c>
      <c r="E155" s="337" t="str">
        <f t="shared" si="1"/>
        <v>東鐵名古屋:直納</v>
      </c>
      <c r="F155" s="338" t="s">
        <v>1199</v>
      </c>
      <c r="G155" s="339" t="str">
        <f t="shared" si="2"/>
        <v>東鐵名古屋:直納ＨＳ１(単体H1/電特A/HS))</v>
      </c>
      <c r="H155" s="340">
        <f t="shared" si="3"/>
        <v>42.5</v>
      </c>
      <c r="I155" s="335">
        <v>42.5</v>
      </c>
      <c r="J155" s="332" t="str">
        <f>IFERROR(__xludf.DUMMYFUNCTION("IF(IF(COUNTIF(P$2:P154, P155)=0, """", INDEX(H$2:H154,
MAX(FILTER(ROW(H$2:H154) - ROW(H$2) + 1, P$2:P154 = P155))))=""単価"","""",
IF(COUNTIF(P$2:P154, P155)=0, """", INDEX(H$2:H154,
MAX(FILTER(ROW(H$2:H154) - ROW(H$2) + 1, P$2:P154 = P155)))))"),"")</f>
        <v/>
      </c>
      <c r="N155" s="335" t="str">
        <f>IF(MAXIFS('単価履歴'!$O:$O,'単価履歴'!$E:$E,E155,'単価履歴'!$F:$F,F155)=O155,"●","")</f>
        <v/>
      </c>
      <c r="O155" s="345">
        <v>45580.459178240744</v>
      </c>
      <c r="P155" s="334" t="str">
        <f t="shared" si="4"/>
        <v>東鐵名古屋:直納ＨＳ１(単体H1/電特A/HS))</v>
      </c>
    </row>
    <row r="156" ht="15.75" customHeight="1">
      <c r="A156" s="335" t="s">
        <v>1355</v>
      </c>
      <c r="B156" s="343">
        <v>45580.0</v>
      </c>
      <c r="C156" s="335" t="s">
        <v>535</v>
      </c>
      <c r="D156" s="335" t="s">
        <v>77</v>
      </c>
      <c r="E156" s="337" t="str">
        <f t="shared" si="1"/>
        <v>東鐵名古屋:直納</v>
      </c>
      <c r="F156" s="338" t="s">
        <v>111</v>
      </c>
      <c r="G156" s="339" t="str">
        <f t="shared" si="2"/>
        <v>東鐵名古屋:直納Ｈ１(特A)</v>
      </c>
      <c r="H156" s="340">
        <f t="shared" si="3"/>
        <v>40.7</v>
      </c>
      <c r="I156" s="335">
        <v>40.7</v>
      </c>
      <c r="J156" s="332" t="str">
        <f>IFERROR(__xludf.DUMMYFUNCTION("IF(IF(COUNTIF(P$2:P155, P156)=0, """", INDEX(H$2:H155,
MAX(FILTER(ROW(H$2:H155) - ROW(H$2) + 1, P$2:P155 = P156))))=""単価"","""",
IF(COUNTIF(P$2:P155, P156)=0, """", INDEX(H$2:H155,
MAX(FILTER(ROW(H$2:H155) - ROW(H$2) + 1, P$2:P155 = P156)))))"),"")</f>
        <v/>
      </c>
      <c r="N156" s="335" t="str">
        <f>IF(MAXIFS('単価履歴'!$O:$O,'単価履歴'!$E:$E,E156,'単価履歴'!$F:$F,F156)=O156,"●","")</f>
        <v/>
      </c>
      <c r="O156" s="345">
        <v>45580.459178240744</v>
      </c>
      <c r="P156" s="334" t="str">
        <f t="shared" si="4"/>
        <v>東鐵名古屋:直納Ｈ１(特A)</v>
      </c>
    </row>
    <row r="157" ht="15.75" customHeight="1">
      <c r="A157" s="335" t="s">
        <v>1356</v>
      </c>
      <c r="B157" s="343">
        <v>45580.0</v>
      </c>
      <c r="C157" s="335" t="s">
        <v>535</v>
      </c>
      <c r="D157" s="335" t="s">
        <v>77</v>
      </c>
      <c r="E157" s="337" t="str">
        <f t="shared" si="1"/>
        <v>東鐵名古屋:直納</v>
      </c>
      <c r="F157" s="338" t="s">
        <v>116</v>
      </c>
      <c r="G157" s="339" t="str">
        <f t="shared" si="2"/>
        <v>東鐵名古屋:直納Ｈ２(特級)</v>
      </c>
      <c r="H157" s="340">
        <f t="shared" si="3"/>
        <v>40</v>
      </c>
      <c r="I157" s="335">
        <v>40.0</v>
      </c>
      <c r="J157" s="332" t="str">
        <f>IFERROR(__xludf.DUMMYFUNCTION("IF(IF(COUNTIF(P$2:P156, P157)=0, """", INDEX(H$2:H156,
MAX(FILTER(ROW(H$2:H156) - ROW(H$2) + 1, P$2:P156 = P157))))=""単価"","""",
IF(COUNTIF(P$2:P156, P157)=0, """", INDEX(H$2:H156,
MAX(FILTER(ROW(H$2:H156) - ROW(H$2) + 1, P$2:P156 = P157)))))"),"")</f>
        <v/>
      </c>
      <c r="N157" s="335" t="str">
        <f>IF(MAXIFS('単価履歴'!$O:$O,'単価履歴'!$E:$E,E157,'単価履歴'!$F:$F,F157)=O157,"●","")</f>
        <v/>
      </c>
      <c r="O157" s="345">
        <v>45580.459178240744</v>
      </c>
      <c r="P157" s="334" t="str">
        <f t="shared" si="4"/>
        <v>東鐵名古屋:直納Ｈ２(特級)</v>
      </c>
    </row>
    <row r="158" ht="15.75" customHeight="1">
      <c r="A158" s="335" t="s">
        <v>1357</v>
      </c>
      <c r="B158" s="343">
        <v>45580.0</v>
      </c>
      <c r="C158" s="335" t="s">
        <v>535</v>
      </c>
      <c r="D158" s="335" t="s">
        <v>77</v>
      </c>
      <c r="E158" s="337" t="str">
        <f t="shared" si="1"/>
        <v>東鐵名古屋:直納</v>
      </c>
      <c r="F158" s="338" t="s">
        <v>119</v>
      </c>
      <c r="G158" s="339" t="str">
        <f t="shared" si="2"/>
        <v>東鐵名古屋:直納Ｈ３(1級)</v>
      </c>
      <c r="H158" s="340">
        <f t="shared" si="3"/>
        <v>39.5</v>
      </c>
      <c r="I158" s="335">
        <v>39.5</v>
      </c>
      <c r="J158" s="332" t="str">
        <f>IFERROR(__xludf.DUMMYFUNCTION("IF(IF(COUNTIF(P$2:P157, P158)=0, """", INDEX(H$2:H157,
MAX(FILTER(ROW(H$2:H157) - ROW(H$2) + 1, P$2:P157 = P158))))=""単価"","""",
IF(COUNTIF(P$2:P157, P158)=0, """", INDEX(H$2:H157,
MAX(FILTER(ROW(H$2:H157) - ROW(H$2) + 1, P$2:P157 = P158)))))"),"")</f>
        <v/>
      </c>
      <c r="N158" s="335" t="str">
        <f>IF(MAXIFS('単価履歴'!$O:$O,'単価履歴'!$E:$E,E158,'単価履歴'!$F:$F,F158)=O158,"●","")</f>
        <v/>
      </c>
      <c r="O158" s="345">
        <v>45580.459178240744</v>
      </c>
      <c r="P158" s="334" t="str">
        <f t="shared" si="4"/>
        <v>東鐵名古屋:直納Ｈ３(1級)</v>
      </c>
    </row>
    <row r="159" ht="15.75" customHeight="1">
      <c r="A159" s="335" t="s">
        <v>1358</v>
      </c>
      <c r="B159" s="343">
        <v>45580.0</v>
      </c>
      <c r="C159" s="335" t="s">
        <v>535</v>
      </c>
      <c r="D159" s="335" t="s">
        <v>77</v>
      </c>
      <c r="E159" s="337" t="str">
        <f t="shared" si="1"/>
        <v>東鐵名古屋:直納</v>
      </c>
      <c r="F159" s="338" t="s">
        <v>122</v>
      </c>
      <c r="G159" s="339" t="str">
        <f t="shared" si="2"/>
        <v>東鐵名古屋:直納Ｌ１(2級)</v>
      </c>
      <c r="H159" s="340">
        <f t="shared" si="3"/>
        <v>38</v>
      </c>
      <c r="I159" s="335">
        <v>38.0</v>
      </c>
      <c r="J159" s="332" t="str">
        <f>IFERROR(__xludf.DUMMYFUNCTION("IF(IF(COUNTIF(P$2:P158, P159)=0, """", INDEX(H$2:H158,
MAX(FILTER(ROW(H$2:H158) - ROW(H$2) + 1, P$2:P158 = P159))))=""単価"","""",
IF(COUNTIF(P$2:P158, P159)=0, """", INDEX(H$2:H158,
MAX(FILTER(ROW(H$2:H158) - ROW(H$2) + 1, P$2:P158 = P159)))))"),"")</f>
        <v/>
      </c>
      <c r="N159" s="335" t="str">
        <f>IF(MAXIFS('単価履歴'!$O:$O,'単価履歴'!$E:$E,E159,'単価履歴'!$F:$F,F159)=O159,"●","")</f>
        <v/>
      </c>
      <c r="O159" s="345">
        <v>45580.459178240744</v>
      </c>
      <c r="P159" s="334" t="str">
        <f t="shared" si="4"/>
        <v>東鐵名古屋:直納Ｌ１(2級)</v>
      </c>
    </row>
    <row r="160" ht="15.75" customHeight="1">
      <c r="A160" s="335" t="s">
        <v>1359</v>
      </c>
      <c r="B160" s="343">
        <v>45580.0</v>
      </c>
      <c r="C160" s="335" t="s">
        <v>535</v>
      </c>
      <c r="D160" s="335" t="s">
        <v>77</v>
      </c>
      <c r="E160" s="337" t="str">
        <f t="shared" si="1"/>
        <v>東鐵名古屋:直納</v>
      </c>
      <c r="F160" s="338" t="s">
        <v>573</v>
      </c>
      <c r="G160" s="339" t="str">
        <f t="shared" si="2"/>
        <v>東鐵名古屋:直納Ｌ２(H4･級外･L1ﾊﾞﾗ)</v>
      </c>
      <c r="H160" s="340">
        <f t="shared" si="3"/>
        <v>35</v>
      </c>
      <c r="I160" s="335">
        <v>35.0</v>
      </c>
      <c r="J160" s="332" t="str">
        <f>IFERROR(__xludf.DUMMYFUNCTION("IF(IF(COUNTIF(P$2:P159, P160)=0, """", INDEX(H$2:H159,
MAX(FILTER(ROW(H$2:H159) - ROW(H$2) + 1, P$2:P159 = P160))))=""単価"","""",
IF(COUNTIF(P$2:P159, P160)=0, """", INDEX(H$2:H159,
MAX(FILTER(ROW(H$2:H159) - ROW(H$2) + 1, P$2:P159 = P160)))))"),"")</f>
        <v/>
      </c>
      <c r="N160" s="335" t="str">
        <f>IF(MAXIFS('単価履歴'!$O:$O,'単価履歴'!$E:$E,E160,'単価履歴'!$F:$F,F160)=O160,"●","")</f>
        <v/>
      </c>
      <c r="O160" s="345">
        <v>45580.459178240744</v>
      </c>
      <c r="P160" s="334" t="str">
        <f t="shared" si="4"/>
        <v>東鐵名古屋:直納Ｌ２(H4･級外･L1ﾊﾞﾗ)</v>
      </c>
    </row>
    <row r="161" ht="15.75" customHeight="1">
      <c r="A161" s="335" t="s">
        <v>1360</v>
      </c>
      <c r="B161" s="343">
        <v>45580.0</v>
      </c>
      <c r="C161" s="335" t="s">
        <v>535</v>
      </c>
      <c r="D161" s="335" t="s">
        <v>77</v>
      </c>
      <c r="E161" s="337" t="str">
        <f t="shared" si="1"/>
        <v>東鐵名古屋:直納</v>
      </c>
      <c r="F161" s="338" t="s">
        <v>145</v>
      </c>
      <c r="G161" s="339" t="str">
        <f t="shared" si="2"/>
        <v>東鐵名古屋:直納シュレＡ</v>
      </c>
      <c r="H161" s="340">
        <f t="shared" si="3"/>
        <v>41</v>
      </c>
      <c r="I161" s="335">
        <v>41.0</v>
      </c>
      <c r="J161" s="332" t="str">
        <f>IFERROR(__xludf.DUMMYFUNCTION("IF(IF(COUNTIF(P$2:P160, P161)=0, """", INDEX(H$2:H160,
MAX(FILTER(ROW(H$2:H160) - ROW(H$2) + 1, P$2:P160 = P161))))=""単価"","""",
IF(COUNTIF(P$2:P160, P161)=0, """", INDEX(H$2:H160,
MAX(FILTER(ROW(H$2:H160) - ROW(H$2) + 1, P$2:P160 = P161)))))"),"")</f>
        <v/>
      </c>
      <c r="N161" s="335" t="str">
        <f>IF(MAXIFS('単価履歴'!$O:$O,'単価履歴'!$E:$E,E161,'単価履歴'!$F:$F,F161)=O161,"●","")</f>
        <v/>
      </c>
      <c r="O161" s="345">
        <v>45580.459178240744</v>
      </c>
      <c r="P161" s="334" t="str">
        <f t="shared" si="4"/>
        <v>東鐵名古屋:直納シュレＡ</v>
      </c>
    </row>
    <row r="162" ht="15.75" customHeight="1">
      <c r="A162" s="335" t="s">
        <v>1361</v>
      </c>
      <c r="B162" s="343">
        <v>45580.0</v>
      </c>
      <c r="C162" s="335" t="s">
        <v>535</v>
      </c>
      <c r="D162" s="335" t="s">
        <v>77</v>
      </c>
      <c r="E162" s="337" t="str">
        <f t="shared" si="1"/>
        <v>東鐵名古屋:直納</v>
      </c>
      <c r="F162" s="338" t="s">
        <v>151</v>
      </c>
      <c r="G162" s="339" t="str">
        <f t="shared" si="2"/>
        <v>東鐵名古屋:直納シュレＣ</v>
      </c>
      <c r="H162" s="340">
        <f t="shared" si="3"/>
        <v>40.5</v>
      </c>
      <c r="I162" s="335">
        <v>40.5</v>
      </c>
      <c r="J162" s="332" t="str">
        <f>IFERROR(__xludf.DUMMYFUNCTION("IF(IF(COUNTIF(P$2:P161, P162)=0, """", INDEX(H$2:H161,
MAX(FILTER(ROW(H$2:H161) - ROW(H$2) + 1, P$2:P161 = P162))))=""単価"","""",
IF(COUNTIF(P$2:P161, P162)=0, """", INDEX(H$2:H161,
MAX(FILTER(ROW(H$2:H161) - ROW(H$2) + 1, P$2:P161 = P162)))))"),"")</f>
        <v/>
      </c>
      <c r="N162" s="335" t="str">
        <f>IF(MAXIFS('単価履歴'!$O:$O,'単価履歴'!$E:$E,E162,'単価履歴'!$F:$F,F162)=O162,"●","")</f>
        <v/>
      </c>
      <c r="O162" s="345">
        <v>45580.459178240744</v>
      </c>
      <c r="P162" s="334" t="str">
        <f t="shared" si="4"/>
        <v>東鐵名古屋:直納シュレＣ</v>
      </c>
    </row>
    <row r="163" ht="15.75" customHeight="1">
      <c r="A163" s="335" t="s">
        <v>1362</v>
      </c>
      <c r="B163" s="343">
        <v>45580.0</v>
      </c>
      <c r="C163" s="335" t="s">
        <v>536</v>
      </c>
      <c r="D163" s="335" t="s">
        <v>77</v>
      </c>
      <c r="E163" s="337" t="str">
        <f t="shared" si="1"/>
        <v>東鐵田原:直納</v>
      </c>
      <c r="F163" s="338" t="s">
        <v>1199</v>
      </c>
      <c r="G163" s="339" t="str">
        <f t="shared" si="2"/>
        <v>東鐵田原:直納ＨＳ１(単体H1/電特A/HS))</v>
      </c>
      <c r="H163" s="340">
        <f t="shared" si="3"/>
        <v>43.5</v>
      </c>
      <c r="I163" s="335">
        <v>43.5</v>
      </c>
      <c r="J163" s="332" t="str">
        <f>IFERROR(__xludf.DUMMYFUNCTION("IF(IF(COUNTIF(P$2:P162, P163)=0, """", INDEX(H$2:H162,
MAX(FILTER(ROW(H$2:H162) - ROW(H$2) + 1, P$2:P162 = P163))))=""単価"","""",
IF(COUNTIF(P$2:P162, P163)=0, """", INDEX(H$2:H162,
MAX(FILTER(ROW(H$2:H162) - ROW(H$2) + 1, P$2:P162 = P163)))))"),"")</f>
        <v/>
      </c>
      <c r="N163" s="335" t="str">
        <f>IF(MAXIFS('単価履歴'!$O:$O,'単価履歴'!$E:$E,E163,'単価履歴'!$F:$F,F163)=O163,"●","")</f>
        <v/>
      </c>
      <c r="O163" s="345">
        <v>45580.459178240744</v>
      </c>
      <c r="P163" s="334" t="str">
        <f t="shared" si="4"/>
        <v>東鐵田原:直納ＨＳ１(単体H1/電特A/HS))</v>
      </c>
    </row>
    <row r="164" ht="15.75" customHeight="1">
      <c r="A164" s="335" t="s">
        <v>1363</v>
      </c>
      <c r="B164" s="343">
        <v>45580.0</v>
      </c>
      <c r="C164" s="335" t="s">
        <v>536</v>
      </c>
      <c r="D164" s="335" t="s">
        <v>77</v>
      </c>
      <c r="E164" s="337" t="str">
        <f t="shared" si="1"/>
        <v>東鐵田原:直納</v>
      </c>
      <c r="F164" s="338" t="s">
        <v>111</v>
      </c>
      <c r="G164" s="339" t="str">
        <f t="shared" si="2"/>
        <v>東鐵田原:直納Ｈ１(特A)</v>
      </c>
      <c r="H164" s="340">
        <f t="shared" si="3"/>
        <v>42.7</v>
      </c>
      <c r="I164" s="335">
        <v>42.7</v>
      </c>
      <c r="J164" s="332" t="str">
        <f>IFERROR(__xludf.DUMMYFUNCTION("IF(IF(COUNTIF(P$2:P163, P164)=0, """", INDEX(H$2:H163,
MAX(FILTER(ROW(H$2:H163) - ROW(H$2) + 1, P$2:P163 = P164))))=""単価"","""",
IF(COUNTIF(P$2:P163, P164)=0, """", INDEX(H$2:H163,
MAX(FILTER(ROW(H$2:H163) - ROW(H$2) + 1, P$2:P163 = P164)))))"),"")</f>
        <v/>
      </c>
      <c r="N164" s="335" t="str">
        <f>IF(MAXIFS('単価履歴'!$O:$O,'単価履歴'!$E:$E,E164,'単価履歴'!$F:$F,F164)=O164,"●","")</f>
        <v/>
      </c>
      <c r="O164" s="345">
        <v>45580.459178240744</v>
      </c>
      <c r="P164" s="334" t="str">
        <f t="shared" si="4"/>
        <v>東鐵田原:直納Ｈ１(特A)</v>
      </c>
    </row>
    <row r="165" ht="15.75" customHeight="1">
      <c r="A165" s="335" t="s">
        <v>1364</v>
      </c>
      <c r="B165" s="343">
        <v>45580.0</v>
      </c>
      <c r="C165" s="335" t="s">
        <v>536</v>
      </c>
      <c r="D165" s="335" t="s">
        <v>77</v>
      </c>
      <c r="E165" s="337" t="str">
        <f t="shared" si="1"/>
        <v>東鐵田原:直納</v>
      </c>
      <c r="F165" s="338" t="s">
        <v>116</v>
      </c>
      <c r="G165" s="339" t="str">
        <f t="shared" si="2"/>
        <v>東鐵田原:直納Ｈ２(特級)</v>
      </c>
      <c r="H165" s="340">
        <f t="shared" si="3"/>
        <v>41</v>
      </c>
      <c r="I165" s="335">
        <v>41.0</v>
      </c>
      <c r="J165" s="332" t="str">
        <f>IFERROR(__xludf.DUMMYFUNCTION("IF(IF(COUNTIF(P$2:P164, P165)=0, """", INDEX(H$2:H164,
MAX(FILTER(ROW(H$2:H164) - ROW(H$2) + 1, P$2:P164 = P165))))=""単価"","""",
IF(COUNTIF(P$2:P164, P165)=0, """", INDEX(H$2:H164,
MAX(FILTER(ROW(H$2:H164) - ROW(H$2) + 1, P$2:P164 = P165)))))"),"")</f>
        <v/>
      </c>
      <c r="N165" s="335" t="str">
        <f>IF(MAXIFS('単価履歴'!$O:$O,'単価履歴'!$E:$E,E165,'単価履歴'!$F:$F,F165)=O165,"●","")</f>
        <v/>
      </c>
      <c r="O165" s="345">
        <v>45580.459178240744</v>
      </c>
      <c r="P165" s="334" t="str">
        <f t="shared" si="4"/>
        <v>東鐵田原:直納Ｈ２(特級)</v>
      </c>
    </row>
    <row r="166" ht="15.75" customHeight="1">
      <c r="A166" s="335" t="s">
        <v>1365</v>
      </c>
      <c r="B166" s="343">
        <v>45580.0</v>
      </c>
      <c r="C166" s="335" t="s">
        <v>536</v>
      </c>
      <c r="D166" s="335" t="s">
        <v>77</v>
      </c>
      <c r="E166" s="337" t="str">
        <f t="shared" si="1"/>
        <v>東鐵田原:直納</v>
      </c>
      <c r="F166" s="338" t="s">
        <v>119</v>
      </c>
      <c r="G166" s="339" t="str">
        <f t="shared" si="2"/>
        <v>東鐵田原:直納Ｈ３(1級)</v>
      </c>
      <c r="H166" s="340">
        <f t="shared" si="3"/>
        <v>40.5</v>
      </c>
      <c r="I166" s="335">
        <v>40.5</v>
      </c>
      <c r="J166" s="332" t="str">
        <f>IFERROR(__xludf.DUMMYFUNCTION("IF(IF(COUNTIF(P$2:P165, P166)=0, """", INDEX(H$2:H165,
MAX(FILTER(ROW(H$2:H165) - ROW(H$2) + 1, P$2:P165 = P166))))=""単価"","""",
IF(COUNTIF(P$2:P165, P166)=0, """", INDEX(H$2:H165,
MAX(FILTER(ROW(H$2:H165) - ROW(H$2) + 1, P$2:P165 = P166)))))"),"")</f>
        <v/>
      </c>
      <c r="N166" s="335" t="str">
        <f>IF(MAXIFS('単価履歴'!$O:$O,'単価履歴'!$E:$E,E166,'単価履歴'!$F:$F,F166)=O166,"●","")</f>
        <v/>
      </c>
      <c r="O166" s="345">
        <v>45580.459178240744</v>
      </c>
      <c r="P166" s="334" t="str">
        <f t="shared" si="4"/>
        <v>東鐵田原:直納Ｈ３(1級)</v>
      </c>
    </row>
    <row r="167" ht="15.75" customHeight="1">
      <c r="A167" s="335" t="s">
        <v>1366</v>
      </c>
      <c r="B167" s="343">
        <v>45580.0</v>
      </c>
      <c r="C167" s="335" t="s">
        <v>536</v>
      </c>
      <c r="D167" s="335" t="s">
        <v>77</v>
      </c>
      <c r="E167" s="337" t="str">
        <f t="shared" si="1"/>
        <v>東鐵田原:直納</v>
      </c>
      <c r="F167" s="338" t="s">
        <v>122</v>
      </c>
      <c r="G167" s="339" t="str">
        <f t="shared" si="2"/>
        <v>東鐵田原:直納Ｌ１(2級)</v>
      </c>
      <c r="H167" s="340">
        <f t="shared" si="3"/>
        <v>39</v>
      </c>
      <c r="I167" s="335">
        <v>39.0</v>
      </c>
      <c r="J167" s="332" t="str">
        <f>IFERROR(__xludf.DUMMYFUNCTION("IF(IF(COUNTIF(P$2:P166, P167)=0, """", INDEX(H$2:H166,
MAX(FILTER(ROW(H$2:H166) - ROW(H$2) + 1, P$2:P166 = P167))))=""単価"","""",
IF(COUNTIF(P$2:P166, P167)=0, """", INDEX(H$2:H166,
MAX(FILTER(ROW(H$2:H166) - ROW(H$2) + 1, P$2:P166 = P167)))))"),"")</f>
        <v/>
      </c>
      <c r="N167" s="335" t="str">
        <f>IF(MAXIFS('単価履歴'!$O:$O,'単価履歴'!$E:$E,E167,'単価履歴'!$F:$F,F167)=O167,"●","")</f>
        <v/>
      </c>
      <c r="O167" s="345">
        <v>45580.459178240744</v>
      </c>
      <c r="P167" s="334" t="str">
        <f t="shared" si="4"/>
        <v>東鐵田原:直納Ｌ１(2級)</v>
      </c>
    </row>
    <row r="168" ht="15.75" customHeight="1">
      <c r="A168" s="335" t="s">
        <v>1367</v>
      </c>
      <c r="B168" s="343">
        <v>45580.0</v>
      </c>
      <c r="C168" s="335" t="s">
        <v>536</v>
      </c>
      <c r="D168" s="335" t="s">
        <v>77</v>
      </c>
      <c r="E168" s="337" t="str">
        <f t="shared" si="1"/>
        <v>東鐵田原:直納</v>
      </c>
      <c r="F168" s="338" t="s">
        <v>573</v>
      </c>
      <c r="G168" s="339" t="str">
        <f t="shared" si="2"/>
        <v>東鐵田原:直納Ｌ２(H4･級外･L1ﾊﾞﾗ)</v>
      </c>
      <c r="H168" s="340">
        <f t="shared" si="3"/>
        <v>36</v>
      </c>
      <c r="I168" s="335">
        <v>36.0</v>
      </c>
      <c r="J168" s="332" t="str">
        <f>IFERROR(__xludf.DUMMYFUNCTION("IF(IF(COUNTIF(P$2:P167, P168)=0, """", INDEX(H$2:H167,
MAX(FILTER(ROW(H$2:H167) - ROW(H$2) + 1, P$2:P167 = P168))))=""単価"","""",
IF(COUNTIF(P$2:P167, P168)=0, """", INDEX(H$2:H167,
MAX(FILTER(ROW(H$2:H167) - ROW(H$2) + 1, P$2:P167 = P168)))))"),"")</f>
        <v/>
      </c>
      <c r="N168" s="335" t="str">
        <f>IF(MAXIFS('単価履歴'!$O:$O,'単価履歴'!$E:$E,E168,'単価履歴'!$F:$F,F168)=O168,"●","")</f>
        <v/>
      </c>
      <c r="O168" s="345">
        <v>45580.459178240744</v>
      </c>
      <c r="P168" s="334" t="str">
        <f t="shared" si="4"/>
        <v>東鐵田原:直納Ｌ２(H4･級外･L1ﾊﾞﾗ)</v>
      </c>
    </row>
    <row r="169" ht="15.75" customHeight="1">
      <c r="A169" s="335" t="s">
        <v>1368</v>
      </c>
      <c r="B169" s="343">
        <v>45580.0</v>
      </c>
      <c r="C169" s="335" t="s">
        <v>536</v>
      </c>
      <c r="D169" s="335" t="s">
        <v>77</v>
      </c>
      <c r="E169" s="337" t="str">
        <f t="shared" si="1"/>
        <v>東鐵田原:直納</v>
      </c>
      <c r="F169" s="338" t="s">
        <v>130</v>
      </c>
      <c r="G169" s="339" t="str">
        <f t="shared" si="2"/>
        <v>東鐵田原:直納新断Ａ</v>
      </c>
      <c r="H169" s="340">
        <f t="shared" si="3"/>
        <v>42</v>
      </c>
      <c r="I169" s="335">
        <v>42.0</v>
      </c>
      <c r="J169" s="332" t="str">
        <f>IFERROR(__xludf.DUMMYFUNCTION("IF(IF(COUNTIF(P$2:P168, P169)=0, """", INDEX(H$2:H168,
MAX(FILTER(ROW(H$2:H168) - ROW(H$2) + 1, P$2:P168 = P169))))=""単価"","""",
IF(COUNTIF(P$2:P168, P169)=0, """", INDEX(H$2:H168,
MAX(FILTER(ROW(H$2:H168) - ROW(H$2) + 1, P$2:P168 = P169)))))"),"")</f>
        <v/>
      </c>
      <c r="N169" s="335" t="str">
        <f>IF(MAXIFS('単価履歴'!$O:$O,'単価履歴'!$E:$E,E169,'単価履歴'!$F:$F,F169)=O169,"●","")</f>
        <v/>
      </c>
      <c r="O169" s="345">
        <v>45580.459178240744</v>
      </c>
      <c r="P169" s="334" t="str">
        <f t="shared" si="4"/>
        <v>東鐵田原:直納新断Ａ</v>
      </c>
    </row>
    <row r="170" ht="15.75" customHeight="1">
      <c r="A170" s="335" t="s">
        <v>1369</v>
      </c>
      <c r="B170" s="343">
        <v>45580.0</v>
      </c>
      <c r="C170" s="335" t="s">
        <v>536</v>
      </c>
      <c r="D170" s="335" t="s">
        <v>77</v>
      </c>
      <c r="E170" s="337" t="str">
        <f t="shared" si="1"/>
        <v>東鐵田原:直納</v>
      </c>
      <c r="F170" s="338" t="s">
        <v>131</v>
      </c>
      <c r="G170" s="339" t="str">
        <f t="shared" si="2"/>
        <v>東鐵田原:直納新断Ｂ</v>
      </c>
      <c r="H170" s="340">
        <f t="shared" si="3"/>
        <v>42</v>
      </c>
      <c r="I170" s="335">
        <v>42.0</v>
      </c>
      <c r="J170" s="332" t="str">
        <f>IFERROR(__xludf.DUMMYFUNCTION("IF(IF(COUNTIF(P$2:P169, P170)=0, """", INDEX(H$2:H169,
MAX(FILTER(ROW(H$2:H169) - ROW(H$2) + 1, P$2:P169 = P170))))=""単価"","""",
IF(COUNTIF(P$2:P169, P170)=0, """", INDEX(H$2:H169,
MAX(FILTER(ROW(H$2:H169) - ROW(H$2) + 1, P$2:P169 = P170)))))"),"")</f>
        <v/>
      </c>
      <c r="N170" s="335" t="str">
        <f>IF(MAXIFS('単価履歴'!$O:$O,'単価履歴'!$E:$E,E170,'単価履歴'!$F:$F,F170)=O170,"●","")</f>
        <v/>
      </c>
      <c r="O170" s="345">
        <v>45580.459178240744</v>
      </c>
      <c r="P170" s="334" t="str">
        <f t="shared" si="4"/>
        <v>東鐵田原:直納新断Ｂ</v>
      </c>
    </row>
    <row r="171" ht="15.75" customHeight="1">
      <c r="A171" s="335" t="s">
        <v>1370</v>
      </c>
      <c r="B171" s="343">
        <v>45580.0</v>
      </c>
      <c r="C171" s="335" t="s">
        <v>536</v>
      </c>
      <c r="D171" s="335" t="s">
        <v>77</v>
      </c>
      <c r="E171" s="337" t="str">
        <f t="shared" si="1"/>
        <v>東鐵田原:直納</v>
      </c>
      <c r="F171" s="338" t="s">
        <v>575</v>
      </c>
      <c r="G171" s="339" t="str">
        <f t="shared" si="2"/>
        <v>東鐵田原:直納鋼ダライＡ</v>
      </c>
      <c r="H171" s="340">
        <f t="shared" si="3"/>
        <v>39.5</v>
      </c>
      <c r="I171" s="335">
        <v>39.5</v>
      </c>
      <c r="J171" s="332" t="str">
        <f>IFERROR(__xludf.DUMMYFUNCTION("IF(IF(COUNTIF(P$2:P170, P171)=0, """", INDEX(H$2:H170,
MAX(FILTER(ROW(H$2:H170) - ROW(H$2) + 1, P$2:P170 = P171))))=""単価"","""",
IF(COUNTIF(P$2:P170, P171)=0, """", INDEX(H$2:H170,
MAX(FILTER(ROW(H$2:H170) - ROW(H$2) + 1, P$2:P170 = P171)))))"),"")</f>
        <v/>
      </c>
      <c r="N171" s="335" t="str">
        <f>IF(MAXIFS('単価履歴'!$O:$O,'単価履歴'!$E:$E,E171,'単価履歴'!$F:$F,F171)=O171,"●","")</f>
        <v/>
      </c>
      <c r="O171" s="345">
        <v>45580.459178240744</v>
      </c>
      <c r="P171" s="334" t="str">
        <f t="shared" si="4"/>
        <v>東鐵田原:直納鋼ダライＡ</v>
      </c>
    </row>
    <row r="172" ht="15.75" customHeight="1">
      <c r="A172" s="335" t="s">
        <v>1371</v>
      </c>
      <c r="B172" s="343">
        <v>45580.0</v>
      </c>
      <c r="C172" s="335" t="s">
        <v>536</v>
      </c>
      <c r="D172" s="335" t="s">
        <v>77</v>
      </c>
      <c r="E172" s="337" t="str">
        <f t="shared" si="1"/>
        <v>東鐵田原:直納</v>
      </c>
      <c r="F172" s="338" t="s">
        <v>145</v>
      </c>
      <c r="G172" s="339" t="str">
        <f t="shared" si="2"/>
        <v>東鐵田原:直納シュレＡ</v>
      </c>
      <c r="H172" s="340">
        <f t="shared" si="3"/>
        <v>42</v>
      </c>
      <c r="I172" s="335">
        <v>42.0</v>
      </c>
      <c r="J172" s="332" t="str">
        <f>IFERROR(__xludf.DUMMYFUNCTION("IF(IF(COUNTIF(P$2:P171, P172)=0, """", INDEX(H$2:H171,
MAX(FILTER(ROW(H$2:H171) - ROW(H$2) + 1, P$2:P171 = P172))))=""単価"","""",
IF(COUNTIF(P$2:P171, P172)=0, """", INDEX(H$2:H171,
MAX(FILTER(ROW(H$2:H171) - ROW(H$2) + 1, P$2:P171 = P172)))))"),"")</f>
        <v/>
      </c>
      <c r="N172" s="335" t="str">
        <f>IF(MAXIFS('単価履歴'!$O:$O,'単価履歴'!$E:$E,E172,'単価履歴'!$F:$F,F172)=O172,"●","")</f>
        <v/>
      </c>
      <c r="O172" s="345">
        <v>45580.459178240744</v>
      </c>
      <c r="P172" s="334" t="str">
        <f t="shared" si="4"/>
        <v>東鐵田原:直納シュレＡ</v>
      </c>
    </row>
    <row r="173" ht="15.75" customHeight="1">
      <c r="A173" s="335" t="s">
        <v>1372</v>
      </c>
      <c r="B173" s="343">
        <v>45580.0</v>
      </c>
      <c r="C173" s="335" t="s">
        <v>536</v>
      </c>
      <c r="D173" s="335" t="s">
        <v>77</v>
      </c>
      <c r="E173" s="337" t="str">
        <f t="shared" si="1"/>
        <v>東鐵田原:直納</v>
      </c>
      <c r="F173" s="338" t="s">
        <v>151</v>
      </c>
      <c r="G173" s="339" t="str">
        <f t="shared" si="2"/>
        <v>東鐵田原:直納シュレＣ</v>
      </c>
      <c r="H173" s="340">
        <f t="shared" si="3"/>
        <v>41.5</v>
      </c>
      <c r="I173" s="335">
        <v>41.5</v>
      </c>
      <c r="J173" s="332" t="str">
        <f>IFERROR(__xludf.DUMMYFUNCTION("IF(IF(COUNTIF(P$2:P172, P173)=0, """", INDEX(H$2:H172,
MAX(FILTER(ROW(H$2:H172) - ROW(H$2) + 1, P$2:P172 = P173))))=""単価"","""",
IF(COUNTIF(P$2:P172, P173)=0, """", INDEX(H$2:H172,
MAX(FILTER(ROW(H$2:H172) - ROW(H$2) + 1, P$2:P172 = P173)))))"),"")</f>
        <v/>
      </c>
      <c r="N173" s="335" t="str">
        <f>IF(MAXIFS('単価履歴'!$O:$O,'単価履歴'!$E:$E,E173,'単価履歴'!$F:$F,F173)=O173,"●","")</f>
        <v/>
      </c>
      <c r="O173" s="345">
        <v>45580.459178240744</v>
      </c>
      <c r="P173" s="334" t="str">
        <f t="shared" si="4"/>
        <v>東鐵田原:直納シュレＣ</v>
      </c>
    </row>
    <row r="174" ht="15.75" customHeight="1">
      <c r="A174" s="335" t="s">
        <v>1373</v>
      </c>
      <c r="B174" s="343">
        <v>45580.0</v>
      </c>
      <c r="C174" s="335" t="s">
        <v>536</v>
      </c>
      <c r="D174" s="335" t="s">
        <v>77</v>
      </c>
      <c r="E174" s="337" t="str">
        <f t="shared" si="1"/>
        <v>東鐵田原:直納</v>
      </c>
      <c r="F174" s="338" t="s">
        <v>154</v>
      </c>
      <c r="G174" s="339" t="str">
        <f t="shared" si="2"/>
        <v>東鐵田原:直納ＣＰ Ａ</v>
      </c>
      <c r="H174" s="340">
        <f t="shared" si="3"/>
        <v>39.5</v>
      </c>
      <c r="I174" s="335">
        <v>39.5</v>
      </c>
      <c r="J174" s="332" t="str">
        <f>IFERROR(__xludf.DUMMYFUNCTION("IF(IF(COUNTIF(P$2:P173, P174)=0, """", INDEX(H$2:H173,
MAX(FILTER(ROW(H$2:H173) - ROW(H$2) + 1, P$2:P173 = P174))))=""単価"","""",
IF(COUNTIF(P$2:P173, P174)=0, """", INDEX(H$2:H173,
MAX(FILTER(ROW(H$2:H173) - ROW(H$2) + 1, P$2:P173 = P174)))))"),"")</f>
        <v/>
      </c>
      <c r="N174" s="335" t="str">
        <f>IF(MAXIFS('単価履歴'!$O:$O,'単価履歴'!$E:$E,E174,'単価履歴'!$F:$F,F174)=O174,"●","")</f>
        <v/>
      </c>
      <c r="O174" s="345">
        <v>45580.459178240744</v>
      </c>
      <c r="P174" s="334" t="str">
        <f t="shared" si="4"/>
        <v>東鐵田原:直納ＣＰ Ａ</v>
      </c>
    </row>
    <row r="175" ht="15.75" customHeight="1">
      <c r="A175" s="335" t="s">
        <v>1374</v>
      </c>
      <c r="B175" s="343">
        <v>45580.0</v>
      </c>
      <c r="C175" s="335" t="s">
        <v>14</v>
      </c>
      <c r="D175" s="335" t="s">
        <v>46</v>
      </c>
      <c r="E175" s="337" t="str">
        <f t="shared" si="1"/>
        <v>愛知:阪和</v>
      </c>
      <c r="F175" s="338" t="s">
        <v>1199</v>
      </c>
      <c r="G175" s="339" t="str">
        <f t="shared" si="2"/>
        <v>愛知:阪和ＨＳ１(単体H1/電特A/HS))</v>
      </c>
      <c r="H175" s="340">
        <f t="shared" si="3"/>
        <v>43.2</v>
      </c>
      <c r="I175" s="335">
        <v>43.2</v>
      </c>
      <c r="J175" s="332" t="str">
        <f>IFERROR(__xludf.DUMMYFUNCTION("IF(IF(COUNTIF(P$2:P174, P175)=0, """", INDEX(H$2:H174,
MAX(FILTER(ROW(H$2:H174) - ROW(H$2) + 1, P$2:P174 = P175))))=""単価"","""",
IF(COUNTIF(P$2:P174, P175)=0, """", INDEX(H$2:H174,
MAX(FILTER(ROW(H$2:H174) - ROW(H$2) + 1, P$2:P174 = P175)))))"),"")</f>
        <v/>
      </c>
      <c r="N175" s="335" t="str">
        <f>IF(MAXIFS('単価履歴'!$O:$O,'単価履歴'!$E:$E,E175,'単価履歴'!$F:$F,F175)=O175,"●","")</f>
        <v/>
      </c>
      <c r="O175" s="345">
        <v>45580.459178240744</v>
      </c>
      <c r="P175" s="334" t="str">
        <f t="shared" si="4"/>
        <v>愛知:阪和ＨＳ１(単体H1/電特A/HS))</v>
      </c>
    </row>
    <row r="176" ht="15.75" customHeight="1">
      <c r="A176" s="335" t="s">
        <v>1375</v>
      </c>
      <c r="B176" s="343">
        <v>45580.0</v>
      </c>
      <c r="C176" s="335" t="s">
        <v>14</v>
      </c>
      <c r="D176" s="335" t="s">
        <v>46</v>
      </c>
      <c r="E176" s="337" t="str">
        <f t="shared" si="1"/>
        <v>愛知:阪和</v>
      </c>
      <c r="F176" s="338" t="s">
        <v>101</v>
      </c>
      <c r="G176" s="339" t="str">
        <f t="shared" si="2"/>
        <v>愛知:阪和ＨＳ２</v>
      </c>
      <c r="H176" s="340">
        <f t="shared" si="3"/>
        <v>42.7</v>
      </c>
      <c r="I176" s="335">
        <v>42.7</v>
      </c>
      <c r="J176" s="332" t="str">
        <f>IFERROR(__xludf.DUMMYFUNCTION("IF(IF(COUNTIF(P$2:P175, P176)=0, """", INDEX(H$2:H175,
MAX(FILTER(ROW(H$2:H175) - ROW(H$2) + 1, P$2:P175 = P176))))=""単価"","""",
IF(COUNTIF(P$2:P175, P176)=0, """", INDEX(H$2:H175,
MAX(FILTER(ROW(H$2:H175) - ROW(H$2) + 1, P$2:P175 = P176)))))"),"")</f>
        <v/>
      </c>
      <c r="N176" s="335" t="str">
        <f>IF(MAXIFS('単価履歴'!$O:$O,'単価履歴'!$E:$E,E176,'単価履歴'!$F:$F,F176)=O176,"●","")</f>
        <v/>
      </c>
      <c r="O176" s="345">
        <v>45580.459178240744</v>
      </c>
      <c r="P176" s="334" t="str">
        <f t="shared" si="4"/>
        <v>愛知:阪和ＨＳ２</v>
      </c>
    </row>
    <row r="177" ht="15.75" customHeight="1">
      <c r="A177" s="335" t="s">
        <v>1376</v>
      </c>
      <c r="B177" s="343">
        <v>45580.0</v>
      </c>
      <c r="C177" s="335" t="s">
        <v>14</v>
      </c>
      <c r="D177" s="335" t="s">
        <v>46</v>
      </c>
      <c r="E177" s="337" t="str">
        <f t="shared" si="1"/>
        <v>愛知:阪和</v>
      </c>
      <c r="F177" s="338" t="s">
        <v>111</v>
      </c>
      <c r="G177" s="339" t="str">
        <f t="shared" si="2"/>
        <v>愛知:阪和Ｈ１(特A)</v>
      </c>
      <c r="H177" s="340">
        <f t="shared" si="3"/>
        <v>38.2</v>
      </c>
      <c r="I177" s="335">
        <v>38.2</v>
      </c>
      <c r="J177" s="332" t="str">
        <f>IFERROR(__xludf.DUMMYFUNCTION("IF(IF(COUNTIF(P$2:P176, P177)=0, """", INDEX(H$2:H176,
MAX(FILTER(ROW(H$2:H176) - ROW(H$2) + 1, P$2:P176 = P177))))=""単価"","""",
IF(COUNTIF(P$2:P176, P177)=0, """", INDEX(H$2:H176,
MAX(FILTER(ROW(H$2:H176) - ROW(H$2) + 1, P$2:P176 = P177)))))"),"")</f>
        <v/>
      </c>
      <c r="N177" s="335" t="str">
        <f>IF(MAXIFS('単価履歴'!$O:$O,'単価履歴'!$E:$E,E177,'単価履歴'!$F:$F,F177)=O177,"●","")</f>
        <v/>
      </c>
      <c r="O177" s="345">
        <v>45580.459178240744</v>
      </c>
      <c r="P177" s="334" t="str">
        <f t="shared" si="4"/>
        <v>愛知:阪和Ｈ１(特A)</v>
      </c>
    </row>
    <row r="178" ht="15.75" customHeight="1">
      <c r="A178" s="335" t="s">
        <v>1377</v>
      </c>
      <c r="B178" s="343">
        <v>45580.0</v>
      </c>
      <c r="C178" s="335" t="s">
        <v>14</v>
      </c>
      <c r="D178" s="335" t="s">
        <v>46</v>
      </c>
      <c r="E178" s="337" t="str">
        <f t="shared" si="1"/>
        <v>愛知:阪和</v>
      </c>
      <c r="F178" s="338" t="s">
        <v>116</v>
      </c>
      <c r="G178" s="339" t="str">
        <f t="shared" si="2"/>
        <v>愛知:阪和Ｈ２(特級)</v>
      </c>
      <c r="H178" s="340">
        <f t="shared" si="3"/>
        <v>37.7</v>
      </c>
      <c r="I178" s="335">
        <v>37.7</v>
      </c>
      <c r="J178" s="332" t="str">
        <f>IFERROR(__xludf.DUMMYFUNCTION("IF(IF(COUNTIF(P$2:P177, P178)=0, """", INDEX(H$2:H177,
MAX(FILTER(ROW(H$2:H177) - ROW(H$2) + 1, P$2:P177 = P178))))=""単価"","""",
IF(COUNTIF(P$2:P177, P178)=0, """", INDEX(H$2:H177,
MAX(FILTER(ROW(H$2:H177) - ROW(H$2) + 1, P$2:P177 = P178)))))"),"")</f>
        <v/>
      </c>
      <c r="N178" s="335" t="str">
        <f>IF(MAXIFS('単価履歴'!$O:$O,'単価履歴'!$E:$E,E178,'単価履歴'!$F:$F,F178)=O178,"●","")</f>
        <v/>
      </c>
      <c r="O178" s="345">
        <v>45580.459178240744</v>
      </c>
      <c r="P178" s="334" t="str">
        <f t="shared" si="4"/>
        <v>愛知:阪和Ｈ２(特級)</v>
      </c>
    </row>
    <row r="179" ht="15.75" customHeight="1">
      <c r="A179" s="335" t="s">
        <v>1378</v>
      </c>
      <c r="B179" s="343">
        <v>45580.0</v>
      </c>
      <c r="C179" s="335" t="s">
        <v>14</v>
      </c>
      <c r="D179" s="335" t="s">
        <v>46</v>
      </c>
      <c r="E179" s="337" t="str">
        <f t="shared" si="1"/>
        <v>愛知:阪和</v>
      </c>
      <c r="F179" s="338" t="s">
        <v>119</v>
      </c>
      <c r="G179" s="339" t="str">
        <f t="shared" si="2"/>
        <v>愛知:阪和Ｈ３(1級)</v>
      </c>
      <c r="H179" s="340">
        <f t="shared" si="3"/>
        <v>36.7</v>
      </c>
      <c r="I179" s="335">
        <v>36.7</v>
      </c>
      <c r="J179" s="332" t="str">
        <f>IFERROR(__xludf.DUMMYFUNCTION("IF(IF(COUNTIF(P$2:P178, P179)=0, """", INDEX(H$2:H178,
MAX(FILTER(ROW(H$2:H178) - ROW(H$2) + 1, P$2:P178 = P179))))=""単価"","""",
IF(COUNTIF(P$2:P178, P179)=0, """", INDEX(H$2:H178,
MAX(FILTER(ROW(H$2:H178) - ROW(H$2) + 1, P$2:P178 = P179)))))"),"")</f>
        <v/>
      </c>
      <c r="N179" s="335" t="str">
        <f>IF(MAXIFS('単価履歴'!$O:$O,'単価履歴'!$E:$E,E179,'単価履歴'!$F:$F,F179)=O179,"●","")</f>
        <v/>
      </c>
      <c r="O179" s="345">
        <v>45580.459178240744</v>
      </c>
      <c r="P179" s="334" t="str">
        <f t="shared" si="4"/>
        <v>愛知:阪和Ｈ３(1級)</v>
      </c>
    </row>
    <row r="180" ht="15.75" customHeight="1">
      <c r="A180" s="335" t="s">
        <v>1379</v>
      </c>
      <c r="B180" s="343">
        <v>45580.0</v>
      </c>
      <c r="C180" s="335" t="s">
        <v>14</v>
      </c>
      <c r="D180" s="335" t="s">
        <v>46</v>
      </c>
      <c r="E180" s="337" t="str">
        <f t="shared" si="1"/>
        <v>愛知:阪和</v>
      </c>
      <c r="F180" s="338" t="s">
        <v>573</v>
      </c>
      <c r="G180" s="339" t="str">
        <f t="shared" si="2"/>
        <v>愛知:阪和Ｌ２(H4･級外･L1ﾊﾞﾗ)</v>
      </c>
      <c r="H180" s="340">
        <f t="shared" si="3"/>
        <v>33.3</v>
      </c>
      <c r="I180" s="335">
        <v>33.3</v>
      </c>
      <c r="J180" s="332" t="str">
        <f>IFERROR(__xludf.DUMMYFUNCTION("IF(IF(COUNTIF(P$2:P179, P180)=0, """", INDEX(H$2:H179,
MAX(FILTER(ROW(H$2:H179) - ROW(H$2) + 1, P$2:P179 = P180))))=""単価"","""",
IF(COUNTIF(P$2:P179, P180)=0, """", INDEX(H$2:H179,
MAX(FILTER(ROW(H$2:H179) - ROW(H$2) + 1, P$2:P179 = P180)))))"),"")</f>
        <v/>
      </c>
      <c r="N180" s="335" t="str">
        <f>IF(MAXIFS('単価履歴'!$O:$O,'単価履歴'!$E:$E,E180,'単価履歴'!$F:$F,F180)=O180,"●","")</f>
        <v/>
      </c>
      <c r="O180" s="345">
        <v>45580.459178240744</v>
      </c>
      <c r="P180" s="334" t="str">
        <f t="shared" si="4"/>
        <v>愛知:阪和Ｌ２(H4･級外･L1ﾊﾞﾗ)</v>
      </c>
    </row>
    <row r="181" ht="15.75" customHeight="1">
      <c r="A181" s="335" t="s">
        <v>1380</v>
      </c>
      <c r="B181" s="343">
        <v>45580.0</v>
      </c>
      <c r="C181" s="335" t="s">
        <v>14</v>
      </c>
      <c r="D181" s="335" t="s">
        <v>46</v>
      </c>
      <c r="E181" s="337" t="str">
        <f t="shared" si="1"/>
        <v>愛知:阪和</v>
      </c>
      <c r="F181" s="338" t="s">
        <v>130</v>
      </c>
      <c r="G181" s="339" t="str">
        <f t="shared" si="2"/>
        <v>愛知:阪和新断Ａ</v>
      </c>
      <c r="H181" s="340">
        <f t="shared" si="3"/>
        <v>42</v>
      </c>
      <c r="I181" s="335">
        <v>42.0</v>
      </c>
      <c r="J181" s="332" t="str">
        <f>IFERROR(__xludf.DUMMYFUNCTION("IF(IF(COUNTIF(P$2:P180, P181)=0, """", INDEX(H$2:H180,
MAX(FILTER(ROW(H$2:H180) - ROW(H$2) + 1, P$2:P180 = P181))))=""単価"","""",
IF(COUNTIF(P$2:P180, P181)=0, """", INDEX(H$2:H180,
MAX(FILTER(ROW(H$2:H180) - ROW(H$2) + 1, P$2:P180 = P181)))))"),"")</f>
        <v/>
      </c>
      <c r="N181" s="335" t="str">
        <f>IF(MAXIFS('単価履歴'!$O:$O,'単価履歴'!$E:$E,E181,'単価履歴'!$F:$F,F181)=O181,"●","")</f>
        <v/>
      </c>
      <c r="O181" s="345">
        <v>45580.459178240744</v>
      </c>
      <c r="P181" s="334" t="str">
        <f t="shared" si="4"/>
        <v>愛知:阪和新断Ａ</v>
      </c>
    </row>
    <row r="182" ht="15.75" customHeight="1">
      <c r="A182" s="335" t="s">
        <v>1381</v>
      </c>
      <c r="B182" s="343">
        <v>45580.0</v>
      </c>
      <c r="C182" s="335" t="s">
        <v>14</v>
      </c>
      <c r="D182" s="335" t="s">
        <v>46</v>
      </c>
      <c r="E182" s="337" t="str">
        <f t="shared" si="1"/>
        <v>愛知:阪和</v>
      </c>
      <c r="F182" s="338" t="s">
        <v>131</v>
      </c>
      <c r="G182" s="339" t="str">
        <f t="shared" si="2"/>
        <v>愛知:阪和新断Ｂ</v>
      </c>
      <c r="H182" s="340">
        <f t="shared" si="3"/>
        <v>41</v>
      </c>
      <c r="I182" s="335">
        <v>41.0</v>
      </c>
      <c r="J182" s="332" t="str">
        <f>IFERROR(__xludf.DUMMYFUNCTION("IF(IF(COUNTIF(P$2:P181, P182)=0, """", INDEX(H$2:H181,
MAX(FILTER(ROW(H$2:H181) - ROW(H$2) + 1, P$2:P181 = P182))))=""単価"","""",
IF(COUNTIF(P$2:P181, P182)=0, """", INDEX(H$2:H181,
MAX(FILTER(ROW(H$2:H181) - ROW(H$2) + 1, P$2:P181 = P182)))))"),"")</f>
        <v/>
      </c>
      <c r="N182" s="335" t="str">
        <f>IF(MAXIFS('単価履歴'!$O:$O,'単価履歴'!$E:$E,E182,'単価履歴'!$F:$F,F182)=O182,"●","")</f>
        <v/>
      </c>
      <c r="O182" s="345">
        <v>45580.459178240744</v>
      </c>
      <c r="P182" s="334" t="str">
        <f t="shared" si="4"/>
        <v>愛知:阪和新断Ｂ</v>
      </c>
    </row>
    <row r="183" ht="15.75" customHeight="1">
      <c r="A183" s="335" t="s">
        <v>1382</v>
      </c>
      <c r="B183" s="343">
        <v>45580.0</v>
      </c>
      <c r="C183" s="335" t="s">
        <v>14</v>
      </c>
      <c r="D183" s="335" t="s">
        <v>46</v>
      </c>
      <c r="E183" s="337" t="str">
        <f t="shared" si="1"/>
        <v>愛知:阪和</v>
      </c>
      <c r="F183" s="338" t="s">
        <v>145</v>
      </c>
      <c r="G183" s="339" t="str">
        <f t="shared" si="2"/>
        <v>愛知:阪和シュレＡ</v>
      </c>
      <c r="H183" s="340">
        <f t="shared" si="3"/>
        <v>42</v>
      </c>
      <c r="I183" s="335">
        <v>42.0</v>
      </c>
      <c r="J183" s="332" t="str">
        <f>IFERROR(__xludf.DUMMYFUNCTION("IF(IF(COUNTIF(P$2:P182, P183)=0, """", INDEX(H$2:H182,
MAX(FILTER(ROW(H$2:H182) - ROW(H$2) + 1, P$2:P182 = P183))))=""単価"","""",
IF(COUNTIF(P$2:P182, P183)=0, """", INDEX(H$2:H182,
MAX(FILTER(ROW(H$2:H182) - ROW(H$2) + 1, P$2:P182 = P183)))))"),"")</f>
        <v/>
      </c>
      <c r="N183" s="335" t="str">
        <f>IF(MAXIFS('単価履歴'!$O:$O,'単価履歴'!$E:$E,E183,'単価履歴'!$F:$F,F183)=O183,"●","")</f>
        <v/>
      </c>
      <c r="O183" s="345">
        <v>45580.459178240744</v>
      </c>
      <c r="P183" s="334" t="str">
        <f t="shared" si="4"/>
        <v>愛知:阪和シュレＡ</v>
      </c>
    </row>
    <row r="184" ht="15.75" customHeight="1">
      <c r="A184" s="335" t="s">
        <v>1383</v>
      </c>
      <c r="B184" s="343">
        <v>45580.0</v>
      </c>
      <c r="C184" s="335" t="s">
        <v>14</v>
      </c>
      <c r="D184" s="335" t="s">
        <v>48</v>
      </c>
      <c r="E184" s="337" t="str">
        <f t="shared" si="1"/>
        <v>愛知:ナベ</v>
      </c>
      <c r="F184" s="338" t="s">
        <v>1199</v>
      </c>
      <c r="G184" s="339" t="str">
        <f t="shared" si="2"/>
        <v>愛知:ナベＨＳ１(単体H1/電特A/HS))</v>
      </c>
      <c r="H184" s="340">
        <f t="shared" si="3"/>
        <v>41</v>
      </c>
      <c r="I184" s="335">
        <v>41.0</v>
      </c>
      <c r="J184" s="332" t="str">
        <f>IFERROR(__xludf.DUMMYFUNCTION("IF(IF(COUNTIF(P$2:P183, P184)=0, """", INDEX(H$2:H183,
MAX(FILTER(ROW(H$2:H183) - ROW(H$2) + 1, P$2:P183 = P184))))=""単価"","""",
IF(COUNTIF(P$2:P183, P184)=0, """", INDEX(H$2:H183,
MAX(FILTER(ROW(H$2:H183) - ROW(H$2) + 1, P$2:P183 = P184)))))"),"")</f>
        <v/>
      </c>
      <c r="N184" s="335" t="str">
        <f>IF(MAXIFS('単価履歴'!$O:$O,'単価履歴'!$E:$E,E184,'単価履歴'!$F:$F,F184)=O184,"●","")</f>
        <v/>
      </c>
      <c r="O184" s="345">
        <v>45580.459178240744</v>
      </c>
      <c r="P184" s="334" t="str">
        <f t="shared" si="4"/>
        <v>愛知:ナベＨＳ１(単体H1/電特A/HS))</v>
      </c>
    </row>
    <row r="185" ht="15.75" customHeight="1">
      <c r="A185" s="335" t="s">
        <v>1384</v>
      </c>
      <c r="B185" s="343">
        <v>45580.0</v>
      </c>
      <c r="C185" s="335" t="s">
        <v>14</v>
      </c>
      <c r="D185" s="335" t="s">
        <v>48</v>
      </c>
      <c r="E185" s="337" t="str">
        <f t="shared" si="1"/>
        <v>愛知:ナベ</v>
      </c>
      <c r="F185" s="338" t="s">
        <v>101</v>
      </c>
      <c r="G185" s="339" t="str">
        <f t="shared" si="2"/>
        <v>愛知:ナベＨＳ２</v>
      </c>
      <c r="H185" s="340">
        <f t="shared" si="3"/>
        <v>40.5</v>
      </c>
      <c r="I185" s="335">
        <v>40.5</v>
      </c>
      <c r="J185" s="332" t="str">
        <f>IFERROR(__xludf.DUMMYFUNCTION("IF(IF(COUNTIF(P$2:P184, P185)=0, """", INDEX(H$2:H184,
MAX(FILTER(ROW(H$2:H184) - ROW(H$2) + 1, P$2:P184 = P185))))=""単価"","""",
IF(COUNTIF(P$2:P184, P185)=0, """", INDEX(H$2:H184,
MAX(FILTER(ROW(H$2:H184) - ROW(H$2) + 1, P$2:P184 = P185)))))"),"")</f>
        <v/>
      </c>
      <c r="N185" s="335" t="str">
        <f>IF(MAXIFS('単価履歴'!$O:$O,'単価履歴'!$E:$E,E185,'単価履歴'!$F:$F,F185)=O185,"●","")</f>
        <v/>
      </c>
      <c r="O185" s="345">
        <v>45580.459178240744</v>
      </c>
      <c r="P185" s="334" t="str">
        <f t="shared" si="4"/>
        <v>愛知:ナベＨＳ２</v>
      </c>
    </row>
    <row r="186" ht="15.75" customHeight="1">
      <c r="A186" s="335" t="s">
        <v>1385</v>
      </c>
      <c r="B186" s="343">
        <v>45580.0</v>
      </c>
      <c r="C186" s="335" t="s">
        <v>14</v>
      </c>
      <c r="D186" s="335" t="s">
        <v>48</v>
      </c>
      <c r="E186" s="337" t="str">
        <f t="shared" si="1"/>
        <v>愛知:ナベ</v>
      </c>
      <c r="F186" s="338" t="s">
        <v>111</v>
      </c>
      <c r="G186" s="339" t="str">
        <f t="shared" si="2"/>
        <v>愛知:ナベＨ１(特A)</v>
      </c>
      <c r="H186" s="340">
        <f t="shared" si="3"/>
        <v>40</v>
      </c>
      <c r="I186" s="335">
        <v>40.0</v>
      </c>
      <c r="J186" s="332" t="str">
        <f>IFERROR(__xludf.DUMMYFUNCTION("IF(IF(COUNTIF(P$2:P185, P186)=0, """", INDEX(H$2:H185,
MAX(FILTER(ROW(H$2:H185) - ROW(H$2) + 1, P$2:P185 = P186))))=""単価"","""",
IF(COUNTIF(P$2:P185, P186)=0, """", INDEX(H$2:H185,
MAX(FILTER(ROW(H$2:H185) - ROW(H$2) + 1, P$2:P185 = P186)))))"),"")</f>
        <v/>
      </c>
      <c r="N186" s="335" t="str">
        <f>IF(MAXIFS('単価履歴'!$O:$O,'単価履歴'!$E:$E,E186,'単価履歴'!$F:$F,F186)=O186,"●","")</f>
        <v/>
      </c>
      <c r="O186" s="345">
        <v>45580.459178240744</v>
      </c>
      <c r="P186" s="334" t="str">
        <f t="shared" si="4"/>
        <v>愛知:ナベＨ１(特A)</v>
      </c>
    </row>
    <row r="187" ht="15.75" customHeight="1">
      <c r="A187" s="335" t="s">
        <v>1386</v>
      </c>
      <c r="B187" s="343">
        <v>45580.0</v>
      </c>
      <c r="C187" s="335" t="s">
        <v>14</v>
      </c>
      <c r="D187" s="335" t="s">
        <v>48</v>
      </c>
      <c r="E187" s="337" t="str">
        <f t="shared" si="1"/>
        <v>愛知:ナベ</v>
      </c>
      <c r="F187" s="338" t="s">
        <v>116</v>
      </c>
      <c r="G187" s="339" t="str">
        <f t="shared" si="2"/>
        <v>愛知:ナベＨ２(特級)</v>
      </c>
      <c r="H187" s="340">
        <f t="shared" si="3"/>
        <v>38.4</v>
      </c>
      <c r="I187" s="335">
        <v>38.4</v>
      </c>
      <c r="J187" s="332" t="str">
        <f>IFERROR(__xludf.DUMMYFUNCTION("IF(IF(COUNTIF(P$2:P186, P187)=0, """", INDEX(H$2:H186,
MAX(FILTER(ROW(H$2:H186) - ROW(H$2) + 1, P$2:P186 = P187))))=""単価"","""",
IF(COUNTIF(P$2:P186, P187)=0, """", INDEX(H$2:H186,
MAX(FILTER(ROW(H$2:H186) - ROW(H$2) + 1, P$2:P186 = P187)))))"),"")</f>
        <v/>
      </c>
      <c r="N187" s="335" t="str">
        <f>IF(MAXIFS('単価履歴'!$O:$O,'単価履歴'!$E:$E,E187,'単価履歴'!$F:$F,F187)=O187,"●","")</f>
        <v/>
      </c>
      <c r="O187" s="345">
        <v>45580.459178240744</v>
      </c>
      <c r="P187" s="334" t="str">
        <f t="shared" si="4"/>
        <v>愛知:ナベＨ２(特級)</v>
      </c>
    </row>
    <row r="188" ht="15.75" customHeight="1">
      <c r="A188" s="335" t="s">
        <v>1387</v>
      </c>
      <c r="B188" s="343">
        <v>45580.0</v>
      </c>
      <c r="C188" s="335" t="s">
        <v>14</v>
      </c>
      <c r="D188" s="335" t="s">
        <v>48</v>
      </c>
      <c r="E188" s="337" t="str">
        <f t="shared" si="1"/>
        <v>愛知:ナベ</v>
      </c>
      <c r="F188" s="338" t="s">
        <v>119</v>
      </c>
      <c r="G188" s="339" t="str">
        <f t="shared" si="2"/>
        <v>愛知:ナベＨ３(1級)</v>
      </c>
      <c r="H188" s="340">
        <f t="shared" si="3"/>
        <v>37.4</v>
      </c>
      <c r="I188" s="335">
        <v>37.4</v>
      </c>
      <c r="J188" s="332" t="str">
        <f>IFERROR(__xludf.DUMMYFUNCTION("IF(IF(COUNTIF(P$2:P187, P188)=0, """", INDEX(H$2:H187,
MAX(FILTER(ROW(H$2:H187) - ROW(H$2) + 1, P$2:P187 = P188))))=""単価"","""",
IF(COUNTIF(P$2:P187, P188)=0, """", INDEX(H$2:H187,
MAX(FILTER(ROW(H$2:H187) - ROW(H$2) + 1, P$2:P187 = P188)))))"),"")</f>
        <v/>
      </c>
      <c r="N188" s="335" t="str">
        <f>IF(MAXIFS('単価履歴'!$O:$O,'単価履歴'!$E:$E,E188,'単価履歴'!$F:$F,F188)=O188,"●","")</f>
        <v/>
      </c>
      <c r="O188" s="345">
        <v>45580.459178240744</v>
      </c>
      <c r="P188" s="334" t="str">
        <f t="shared" si="4"/>
        <v>愛知:ナベＨ３(1級)</v>
      </c>
    </row>
    <row r="189" ht="15.75" customHeight="1">
      <c r="A189" s="335" t="s">
        <v>1388</v>
      </c>
      <c r="B189" s="343">
        <v>45580.0</v>
      </c>
      <c r="C189" s="335" t="s">
        <v>14</v>
      </c>
      <c r="D189" s="335" t="s">
        <v>48</v>
      </c>
      <c r="E189" s="337" t="str">
        <f t="shared" si="1"/>
        <v>愛知:ナベ</v>
      </c>
      <c r="F189" s="338" t="s">
        <v>573</v>
      </c>
      <c r="G189" s="339" t="str">
        <f t="shared" si="2"/>
        <v>愛知:ナベＬ２(H4･級外･L1ﾊﾞﾗ)</v>
      </c>
      <c r="H189" s="340">
        <f t="shared" si="3"/>
        <v>33.4</v>
      </c>
      <c r="I189" s="335">
        <v>33.4</v>
      </c>
      <c r="J189" s="332" t="str">
        <f>IFERROR(__xludf.DUMMYFUNCTION("IF(IF(COUNTIF(P$2:P188, P189)=0, """", INDEX(H$2:H188,
MAX(FILTER(ROW(H$2:H188) - ROW(H$2) + 1, P$2:P188 = P189))))=""単価"","""",
IF(COUNTIF(P$2:P188, P189)=0, """", INDEX(H$2:H188,
MAX(FILTER(ROW(H$2:H188) - ROW(H$2) + 1, P$2:P188 = P189)))))"),"")</f>
        <v/>
      </c>
      <c r="N189" s="335" t="str">
        <f>IF(MAXIFS('単価履歴'!$O:$O,'単価履歴'!$E:$E,E189,'単価履歴'!$F:$F,F189)=O189,"●","")</f>
        <v/>
      </c>
      <c r="O189" s="345">
        <v>45580.459178240744</v>
      </c>
      <c r="P189" s="334" t="str">
        <f t="shared" si="4"/>
        <v>愛知:ナベＬ２(H4･級外･L1ﾊﾞﾗ)</v>
      </c>
    </row>
    <row r="190" ht="15.75" customHeight="1">
      <c r="A190" s="335" t="s">
        <v>1389</v>
      </c>
      <c r="B190" s="343">
        <v>45580.0</v>
      </c>
      <c r="C190" s="335" t="s">
        <v>15</v>
      </c>
      <c r="D190" s="335" t="s">
        <v>58</v>
      </c>
      <c r="E190" s="337" t="str">
        <f t="shared" si="1"/>
        <v>山口鋼業:MM建材</v>
      </c>
      <c r="F190" s="338" t="s">
        <v>1199</v>
      </c>
      <c r="G190" s="339" t="str">
        <f t="shared" si="2"/>
        <v>山口鋼業:MM建材ＨＳ１(単体H1/電特A/HS))</v>
      </c>
      <c r="H190" s="340">
        <f t="shared" si="3"/>
        <v>40</v>
      </c>
      <c r="I190" s="335">
        <v>40.0</v>
      </c>
      <c r="J190" s="332" t="str">
        <f>IFERROR(__xludf.DUMMYFUNCTION("IF(IF(COUNTIF(P$2:P189, P190)=0, """", INDEX(H$2:H189,
MAX(FILTER(ROW(H$2:H189) - ROW(H$2) + 1, P$2:P189 = P190))))=""単価"","""",
IF(COUNTIF(P$2:P189, P190)=0, """", INDEX(H$2:H189,
MAX(FILTER(ROW(H$2:H189) - ROW(H$2) + 1, P$2:P189 = P190)))))"),"")</f>
        <v/>
      </c>
      <c r="N190" s="335" t="str">
        <f>IF(MAXIFS('単価履歴'!$O:$O,'単価履歴'!$E:$E,E190,'単価履歴'!$F:$F,F190)=O190,"●","")</f>
        <v/>
      </c>
      <c r="O190" s="345">
        <v>45580.459178240744</v>
      </c>
      <c r="P190" s="334" t="str">
        <f t="shared" si="4"/>
        <v>山口鋼業:MM建材ＨＳ１(単体H1/電特A/HS))</v>
      </c>
    </row>
    <row r="191" ht="15.75" customHeight="1">
      <c r="A191" s="335" t="s">
        <v>1390</v>
      </c>
      <c r="B191" s="343">
        <v>45580.0</v>
      </c>
      <c r="C191" s="335" t="s">
        <v>15</v>
      </c>
      <c r="D191" s="335" t="s">
        <v>58</v>
      </c>
      <c r="E191" s="337" t="str">
        <f t="shared" si="1"/>
        <v>山口鋼業:MM建材</v>
      </c>
      <c r="F191" s="338" t="s">
        <v>1237</v>
      </c>
      <c r="G191" s="339" t="str">
        <f t="shared" si="2"/>
        <v>山口鋼業:MM建材ＪＨ１(H2T山口)鍛造ﾊﾞﾘ</v>
      </c>
      <c r="H191" s="340">
        <f t="shared" si="3"/>
        <v>39.5</v>
      </c>
      <c r="I191" s="335">
        <v>39.5</v>
      </c>
      <c r="J191" s="332" t="str">
        <f>IFERROR(__xludf.DUMMYFUNCTION("IF(IF(COUNTIF(P$2:P190, P191)=0, """", INDEX(H$2:H190,
MAX(FILTER(ROW(H$2:H190) - ROW(H$2) + 1, P$2:P190 = P191))))=""単価"","""",
IF(COUNTIF(P$2:P190, P191)=0, """", INDEX(H$2:H190,
MAX(FILTER(ROW(H$2:H190) - ROW(H$2) + 1, P$2:P190 = P191)))))"),"")</f>
        <v/>
      </c>
      <c r="N191" s="335" t="str">
        <f>IF(MAXIFS('単価履歴'!$O:$O,'単価履歴'!$E:$E,E191,'単価履歴'!$F:$F,F191)=O191,"●","")</f>
        <v/>
      </c>
      <c r="O191" s="345">
        <v>45580.459178240744</v>
      </c>
      <c r="P191" s="334" t="str">
        <f t="shared" si="4"/>
        <v>山口鋼業:MM建材ＪＨ１(H2T山口)鍛造ﾊﾞﾘ</v>
      </c>
    </row>
    <row r="192" ht="15.75" customHeight="1">
      <c r="A192" s="335" t="s">
        <v>1391</v>
      </c>
      <c r="B192" s="343">
        <v>45580.0</v>
      </c>
      <c r="C192" s="335" t="s">
        <v>15</v>
      </c>
      <c r="D192" s="335" t="s">
        <v>58</v>
      </c>
      <c r="E192" s="337" t="str">
        <f t="shared" si="1"/>
        <v>山口鋼業:MM建材</v>
      </c>
      <c r="F192" s="338" t="s">
        <v>116</v>
      </c>
      <c r="G192" s="339" t="str">
        <f t="shared" si="2"/>
        <v>山口鋼業:MM建材Ｈ２(特級)</v>
      </c>
      <c r="H192" s="340">
        <f t="shared" si="3"/>
        <v>38.5</v>
      </c>
      <c r="I192" s="335">
        <v>38.5</v>
      </c>
      <c r="J192" s="332" t="str">
        <f>IFERROR(__xludf.DUMMYFUNCTION("IF(IF(COUNTIF(P$2:P191, P192)=0, """", INDEX(H$2:H191,
MAX(FILTER(ROW(H$2:H191) - ROW(H$2) + 1, P$2:P191 = P192))))=""単価"","""",
IF(COUNTIF(P$2:P191, P192)=0, """", INDEX(H$2:H191,
MAX(FILTER(ROW(H$2:H191) - ROW(H$2) + 1, P$2:P191 = P192)))))"),"")</f>
        <v/>
      </c>
      <c r="N192" s="335" t="str">
        <f>IF(MAXIFS('単価履歴'!$O:$O,'単価履歴'!$E:$E,E192,'単価履歴'!$F:$F,F192)=O192,"●","")</f>
        <v/>
      </c>
      <c r="O192" s="345">
        <v>45580.459178240744</v>
      </c>
      <c r="P192" s="334" t="str">
        <f t="shared" si="4"/>
        <v>山口鋼業:MM建材Ｈ２(特級)</v>
      </c>
    </row>
    <row r="193" ht="15.75" customHeight="1">
      <c r="A193" s="335" t="s">
        <v>1392</v>
      </c>
      <c r="B193" s="343">
        <v>45580.0</v>
      </c>
      <c r="C193" s="335" t="s">
        <v>15</v>
      </c>
      <c r="D193" s="335" t="s">
        <v>58</v>
      </c>
      <c r="E193" s="337" t="str">
        <f t="shared" si="1"/>
        <v>山口鋼業:MM建材</v>
      </c>
      <c r="F193" s="338" t="s">
        <v>119</v>
      </c>
      <c r="G193" s="339" t="str">
        <f t="shared" si="2"/>
        <v>山口鋼業:MM建材Ｈ３(1級)</v>
      </c>
      <c r="H193" s="340">
        <f t="shared" si="3"/>
        <v>37.5</v>
      </c>
      <c r="I193" s="335">
        <v>37.5</v>
      </c>
      <c r="J193" s="332" t="str">
        <f>IFERROR(__xludf.DUMMYFUNCTION("IF(IF(COUNTIF(P$2:P192, P193)=0, """", INDEX(H$2:H192,
MAX(FILTER(ROW(H$2:H192) - ROW(H$2) + 1, P$2:P192 = P193))))=""単価"","""",
IF(COUNTIF(P$2:P192, P193)=0, """", INDEX(H$2:H192,
MAX(FILTER(ROW(H$2:H192) - ROW(H$2) + 1, P$2:P192 = P193)))))"),"")</f>
        <v/>
      </c>
      <c r="N193" s="335" t="str">
        <f>IF(MAXIFS('単価履歴'!$O:$O,'単価履歴'!$E:$E,E193,'単価履歴'!$F:$F,F193)=O193,"●","")</f>
        <v/>
      </c>
      <c r="O193" s="345">
        <v>45580.459178240744</v>
      </c>
      <c r="P193" s="334" t="str">
        <f t="shared" si="4"/>
        <v>山口鋼業:MM建材Ｈ３(1級)</v>
      </c>
    </row>
    <row r="194" ht="15.75" customHeight="1">
      <c r="A194" s="335" t="s">
        <v>1393</v>
      </c>
      <c r="B194" s="343">
        <v>45580.0</v>
      </c>
      <c r="C194" s="335" t="s">
        <v>15</v>
      </c>
      <c r="D194" s="335" t="s">
        <v>58</v>
      </c>
      <c r="E194" s="337" t="str">
        <f t="shared" si="1"/>
        <v>山口鋼業:MM建材</v>
      </c>
      <c r="F194" s="338" t="s">
        <v>573</v>
      </c>
      <c r="G194" s="339" t="str">
        <f t="shared" si="2"/>
        <v>山口鋼業:MM建材Ｌ２(H4･級外･L1ﾊﾞﾗ)</v>
      </c>
      <c r="H194" s="340">
        <f t="shared" si="3"/>
        <v>36</v>
      </c>
      <c r="I194" s="335">
        <v>36.0</v>
      </c>
      <c r="J194" s="332" t="str">
        <f>IFERROR(__xludf.DUMMYFUNCTION("IF(IF(COUNTIF(P$2:P193, P194)=0, """", INDEX(H$2:H193,
MAX(FILTER(ROW(H$2:H193) - ROW(H$2) + 1, P$2:P193 = P194))))=""単価"","""",
IF(COUNTIF(P$2:P193, P194)=0, """", INDEX(H$2:H193,
MAX(FILTER(ROW(H$2:H193) - ROW(H$2) + 1, P$2:P193 = P194)))))"),"")</f>
        <v/>
      </c>
      <c r="N194" s="335" t="str">
        <f>IF(MAXIFS('単価履歴'!$O:$O,'単価履歴'!$E:$E,E194,'単価履歴'!$F:$F,F194)=O194,"●","")</f>
        <v/>
      </c>
      <c r="O194" s="345">
        <v>45580.459178240744</v>
      </c>
      <c r="P194" s="334" t="str">
        <f t="shared" si="4"/>
        <v>山口鋼業:MM建材Ｌ２(H4･級外･L1ﾊﾞﾗ)</v>
      </c>
    </row>
    <row r="195" ht="15.75" customHeight="1">
      <c r="A195" s="335" t="s">
        <v>1394</v>
      </c>
      <c r="B195" s="343">
        <v>45580.0</v>
      </c>
      <c r="C195" s="335" t="s">
        <v>15</v>
      </c>
      <c r="D195" s="335" t="s">
        <v>58</v>
      </c>
      <c r="E195" s="337" t="str">
        <f t="shared" si="1"/>
        <v>山口鋼業:MM建材</v>
      </c>
      <c r="F195" s="338" t="s">
        <v>575</v>
      </c>
      <c r="G195" s="339" t="str">
        <f t="shared" si="2"/>
        <v>山口鋼業:MM建材鋼ダライＡ</v>
      </c>
      <c r="H195" s="340">
        <f t="shared" si="3"/>
        <v>36.1</v>
      </c>
      <c r="I195" s="335">
        <v>36.1</v>
      </c>
      <c r="J195" s="332" t="str">
        <f>IFERROR(__xludf.DUMMYFUNCTION("IF(IF(COUNTIF(P$2:P194, P195)=0, """", INDEX(H$2:H194,
MAX(FILTER(ROW(H$2:H194) - ROW(H$2) + 1, P$2:P194 = P195))))=""単価"","""",
IF(COUNTIF(P$2:P194, P195)=0, """", INDEX(H$2:H194,
MAX(FILTER(ROW(H$2:H194) - ROW(H$2) + 1, P$2:P194 = P195)))))"),"")</f>
        <v/>
      </c>
      <c r="N195" s="335" t="str">
        <f>IF(MAXIFS('単価履歴'!$O:$O,'単価履歴'!$E:$E,E195,'単価履歴'!$F:$F,F195)=O195,"●","")</f>
        <v/>
      </c>
      <c r="O195" s="345">
        <v>45580.459178240744</v>
      </c>
      <c r="P195" s="334" t="str">
        <f t="shared" si="4"/>
        <v>山口鋼業:MM建材鋼ダライＡ</v>
      </c>
    </row>
    <row r="196" ht="15.75" customHeight="1">
      <c r="A196" s="335" t="s">
        <v>1395</v>
      </c>
      <c r="B196" s="343">
        <v>45580.0</v>
      </c>
      <c r="C196" s="335" t="s">
        <v>15</v>
      </c>
      <c r="D196" s="335" t="s">
        <v>58</v>
      </c>
      <c r="E196" s="337" t="str">
        <f t="shared" si="1"/>
        <v>山口鋼業:MM建材</v>
      </c>
      <c r="F196" s="338" t="s">
        <v>577</v>
      </c>
      <c r="G196" s="339" t="str">
        <f t="shared" si="2"/>
        <v>山口鋼業:MM建材鋳物・ﾀﾞｸﾀｲﾙ</v>
      </c>
      <c r="H196" s="340">
        <f t="shared" si="3"/>
        <v>39</v>
      </c>
      <c r="I196" s="335">
        <v>39.0</v>
      </c>
      <c r="J196" s="332" t="str">
        <f>IFERROR(__xludf.DUMMYFUNCTION("IF(IF(COUNTIF(P$2:P195, P196)=0, """", INDEX(H$2:H195,
MAX(FILTER(ROW(H$2:H195) - ROW(H$2) + 1, P$2:P195 = P196))))=""単価"","""",
IF(COUNTIF(P$2:P195, P196)=0, """", INDEX(H$2:H195,
MAX(FILTER(ROW(H$2:H195) - ROW(H$2) + 1, P$2:P195 = P196)))))"),"")</f>
        <v/>
      </c>
      <c r="N196" s="335" t="str">
        <f>IF(MAXIFS('単価履歴'!$O:$O,'単価履歴'!$E:$E,E196,'単価履歴'!$F:$F,F196)=O196,"●","")</f>
        <v/>
      </c>
      <c r="O196" s="345">
        <v>45580.459178240744</v>
      </c>
      <c r="P196" s="334" t="str">
        <f t="shared" si="4"/>
        <v>山口鋼業:MM建材鋳物・ﾀﾞｸﾀｲﾙ</v>
      </c>
    </row>
    <row r="197" ht="15.75" customHeight="1">
      <c r="A197" s="335" t="s">
        <v>1396</v>
      </c>
      <c r="B197" s="343">
        <v>45580.0</v>
      </c>
      <c r="C197" s="335" t="s">
        <v>15</v>
      </c>
      <c r="D197" s="335" t="s">
        <v>46</v>
      </c>
      <c r="E197" s="337" t="str">
        <f t="shared" si="1"/>
        <v>山口鋼業:阪和</v>
      </c>
      <c r="F197" s="338" t="s">
        <v>1199</v>
      </c>
      <c r="G197" s="339" t="str">
        <f t="shared" si="2"/>
        <v>山口鋼業:阪和ＨＳ１(単体H1/電特A/HS))</v>
      </c>
      <c r="H197" s="340">
        <f t="shared" si="3"/>
        <v>40.5</v>
      </c>
      <c r="I197" s="335">
        <v>40.5</v>
      </c>
      <c r="J197" s="332" t="str">
        <f>IFERROR(__xludf.DUMMYFUNCTION("IF(IF(COUNTIF(P$2:P196, P197)=0, """", INDEX(H$2:H196,
MAX(FILTER(ROW(H$2:H196) - ROW(H$2) + 1, P$2:P196 = P197))))=""単価"","""",
IF(COUNTIF(P$2:P196, P197)=0, """", INDEX(H$2:H196,
MAX(FILTER(ROW(H$2:H196) - ROW(H$2) + 1, P$2:P196 = P197)))))"),"")</f>
        <v/>
      </c>
      <c r="N197" s="335" t="str">
        <f>IF(MAXIFS('単価履歴'!$O:$O,'単価履歴'!$E:$E,E197,'単価履歴'!$F:$F,F197)=O197,"●","")</f>
        <v/>
      </c>
      <c r="O197" s="345">
        <v>45580.459178240744</v>
      </c>
      <c r="P197" s="334" t="str">
        <f t="shared" si="4"/>
        <v>山口鋼業:阪和ＨＳ１(単体H1/電特A/HS))</v>
      </c>
    </row>
    <row r="198" ht="15.75" customHeight="1">
      <c r="A198" s="335" t="s">
        <v>1397</v>
      </c>
      <c r="B198" s="343">
        <v>45580.0</v>
      </c>
      <c r="C198" s="335" t="s">
        <v>15</v>
      </c>
      <c r="D198" s="335" t="s">
        <v>46</v>
      </c>
      <c r="E198" s="337" t="str">
        <f t="shared" si="1"/>
        <v>山口鋼業:阪和</v>
      </c>
      <c r="F198" s="338" t="s">
        <v>111</v>
      </c>
      <c r="G198" s="339" t="str">
        <f t="shared" si="2"/>
        <v>山口鋼業:阪和Ｈ１(特A)</v>
      </c>
      <c r="H198" s="340">
        <f t="shared" si="3"/>
        <v>39</v>
      </c>
      <c r="I198" s="335">
        <v>39.0</v>
      </c>
      <c r="J198" s="332" t="str">
        <f>IFERROR(__xludf.DUMMYFUNCTION("IF(IF(COUNTIF(P$2:P197, P198)=0, """", INDEX(H$2:H197,
MAX(FILTER(ROW(H$2:H197) - ROW(H$2) + 1, P$2:P197 = P198))))=""単価"","""",
IF(COUNTIF(P$2:P197, P198)=0, """", INDEX(H$2:H197,
MAX(FILTER(ROW(H$2:H197) - ROW(H$2) + 1, P$2:P197 = P198)))))"),"")</f>
        <v/>
      </c>
      <c r="N198" s="335" t="str">
        <f>IF(MAXIFS('単価履歴'!$O:$O,'単価履歴'!$E:$E,E198,'単価履歴'!$F:$F,F198)=O198,"●","")</f>
        <v/>
      </c>
      <c r="O198" s="345">
        <v>45580.459178240744</v>
      </c>
      <c r="P198" s="334" t="str">
        <f t="shared" si="4"/>
        <v>山口鋼業:阪和Ｈ１(特A)</v>
      </c>
    </row>
    <row r="199" ht="15.75" customHeight="1">
      <c r="A199" s="335" t="s">
        <v>1398</v>
      </c>
      <c r="B199" s="343">
        <v>45580.0</v>
      </c>
      <c r="C199" s="335" t="s">
        <v>15</v>
      </c>
      <c r="D199" s="335" t="s">
        <v>46</v>
      </c>
      <c r="E199" s="337" t="str">
        <f t="shared" si="1"/>
        <v>山口鋼業:阪和</v>
      </c>
      <c r="F199" s="338" t="s">
        <v>116</v>
      </c>
      <c r="G199" s="339" t="str">
        <f t="shared" si="2"/>
        <v>山口鋼業:阪和Ｈ２(特級)</v>
      </c>
      <c r="H199" s="340">
        <f t="shared" si="3"/>
        <v>38.5</v>
      </c>
      <c r="I199" s="335">
        <v>38.5</v>
      </c>
      <c r="J199" s="332" t="str">
        <f>IFERROR(__xludf.DUMMYFUNCTION("IF(IF(COUNTIF(P$2:P198, P199)=0, """", INDEX(H$2:H198,
MAX(FILTER(ROW(H$2:H198) - ROW(H$2) + 1, P$2:P198 = P199))))=""単価"","""",
IF(COUNTIF(P$2:P198, P199)=0, """", INDEX(H$2:H198,
MAX(FILTER(ROW(H$2:H198) - ROW(H$2) + 1, P$2:P198 = P199)))))"),"")</f>
        <v/>
      </c>
      <c r="N199" s="335" t="str">
        <f>IF(MAXIFS('単価履歴'!$O:$O,'単価履歴'!$E:$E,E199,'単価履歴'!$F:$F,F199)=O199,"●","")</f>
        <v/>
      </c>
      <c r="O199" s="345">
        <v>45580.459178240744</v>
      </c>
      <c r="P199" s="334" t="str">
        <f t="shared" si="4"/>
        <v>山口鋼業:阪和Ｈ２(特級)</v>
      </c>
    </row>
    <row r="200" ht="15.75" customHeight="1">
      <c r="A200" s="335" t="s">
        <v>1399</v>
      </c>
      <c r="B200" s="343">
        <v>45580.0</v>
      </c>
      <c r="C200" s="335" t="s">
        <v>15</v>
      </c>
      <c r="D200" s="335" t="s">
        <v>46</v>
      </c>
      <c r="E200" s="337" t="str">
        <f t="shared" si="1"/>
        <v>山口鋼業:阪和</v>
      </c>
      <c r="F200" s="338" t="s">
        <v>119</v>
      </c>
      <c r="G200" s="339" t="str">
        <f t="shared" si="2"/>
        <v>山口鋼業:阪和Ｈ３(1級)</v>
      </c>
      <c r="H200" s="340">
        <f t="shared" si="3"/>
        <v>37.5</v>
      </c>
      <c r="I200" s="335">
        <v>37.5</v>
      </c>
      <c r="J200" s="332" t="str">
        <f>IFERROR(__xludf.DUMMYFUNCTION("IF(IF(COUNTIF(P$2:P199, P200)=0, """", INDEX(H$2:H199,
MAX(FILTER(ROW(H$2:H199) - ROW(H$2) + 1, P$2:P199 = P200))))=""単価"","""",
IF(COUNTIF(P$2:P199, P200)=0, """", INDEX(H$2:H199,
MAX(FILTER(ROW(H$2:H199) - ROW(H$2) + 1, P$2:P199 = P200)))))"),"")</f>
        <v/>
      </c>
      <c r="N200" s="335" t="str">
        <f>IF(MAXIFS('単価履歴'!$O:$O,'単価履歴'!$E:$E,E200,'単価履歴'!$F:$F,F200)=O200,"●","")</f>
        <v/>
      </c>
      <c r="O200" s="345">
        <v>45580.459178240744</v>
      </c>
      <c r="P200" s="334" t="str">
        <f t="shared" si="4"/>
        <v>山口鋼業:阪和Ｈ３(1級)</v>
      </c>
    </row>
    <row r="201" ht="15.75" customHeight="1">
      <c r="A201" s="335" t="s">
        <v>1400</v>
      </c>
      <c r="B201" s="343">
        <v>45580.0</v>
      </c>
      <c r="C201" s="335" t="s">
        <v>15</v>
      </c>
      <c r="D201" s="335" t="s">
        <v>46</v>
      </c>
      <c r="E201" s="337" t="str">
        <f t="shared" si="1"/>
        <v>山口鋼業:阪和</v>
      </c>
      <c r="F201" s="338" t="s">
        <v>573</v>
      </c>
      <c r="G201" s="339" t="str">
        <f t="shared" si="2"/>
        <v>山口鋼業:阪和Ｌ２(H4･級外･L1ﾊﾞﾗ)</v>
      </c>
      <c r="H201" s="340">
        <f t="shared" si="3"/>
        <v>36</v>
      </c>
      <c r="I201" s="335">
        <v>36.0</v>
      </c>
      <c r="J201" s="332" t="str">
        <f>IFERROR(__xludf.DUMMYFUNCTION("IF(IF(COUNTIF(P$2:P200, P201)=0, """", INDEX(H$2:H200,
MAX(FILTER(ROW(H$2:H200) - ROW(H$2) + 1, P$2:P200 = P201))))=""単価"","""",
IF(COUNTIF(P$2:P200, P201)=0, """", INDEX(H$2:H200,
MAX(FILTER(ROW(H$2:H200) - ROW(H$2) + 1, P$2:P200 = P201)))))"),"")</f>
        <v/>
      </c>
      <c r="N201" s="335" t="str">
        <f>IF(MAXIFS('単価履歴'!$O:$O,'単価履歴'!$E:$E,E201,'単価履歴'!$F:$F,F201)=O201,"●","")</f>
        <v/>
      </c>
      <c r="O201" s="345">
        <v>45580.459178240744</v>
      </c>
      <c r="P201" s="334" t="str">
        <f t="shared" si="4"/>
        <v>山口鋼業:阪和Ｌ２(H4･級外･L1ﾊﾞﾗ)</v>
      </c>
    </row>
    <row r="202" ht="15.75" customHeight="1">
      <c r="A202" s="335" t="s">
        <v>1401</v>
      </c>
      <c r="B202" s="343">
        <v>45580.0</v>
      </c>
      <c r="C202" s="335" t="s">
        <v>537</v>
      </c>
      <c r="D202" s="335" t="s">
        <v>59</v>
      </c>
      <c r="E202" s="337" t="str">
        <f t="shared" si="1"/>
        <v>大同特殊鋼:大同興業</v>
      </c>
      <c r="F202" s="338" t="s">
        <v>1199</v>
      </c>
      <c r="G202" s="339" t="str">
        <f t="shared" si="2"/>
        <v>大同特殊鋼:大同興業ＨＳ１(単体H1/電特A/HS))</v>
      </c>
      <c r="H202" s="340">
        <f t="shared" si="3"/>
        <v>43.5</v>
      </c>
      <c r="I202" s="335">
        <v>43.5</v>
      </c>
      <c r="J202" s="332" t="str">
        <f>IFERROR(__xludf.DUMMYFUNCTION("IF(IF(COUNTIF(P$2:P201, P202)=0, """", INDEX(H$2:H201,
MAX(FILTER(ROW(H$2:H201) - ROW(H$2) + 1, P$2:P201 = P202))))=""単価"","""",
IF(COUNTIF(P$2:P201, P202)=0, """", INDEX(H$2:H201,
MAX(FILTER(ROW(H$2:H201) - ROW(H$2) + 1, P$2:P201 = P202)))))"),"")</f>
        <v/>
      </c>
      <c r="N202" s="335" t="str">
        <f>IF(MAXIFS('単価履歴'!$O:$O,'単価履歴'!$E:$E,E202,'単価履歴'!$F:$F,F202)=O202,"●","")</f>
        <v/>
      </c>
      <c r="O202" s="345">
        <v>45580.459178240744</v>
      </c>
      <c r="P202" s="334" t="str">
        <f t="shared" si="4"/>
        <v>大同特殊鋼:大同興業ＨＳ１(単体H1/電特A/HS))</v>
      </c>
    </row>
    <row r="203" ht="15.75" customHeight="1">
      <c r="A203" s="335" t="s">
        <v>1402</v>
      </c>
      <c r="B203" s="343">
        <v>45580.0</v>
      </c>
      <c r="C203" s="335" t="s">
        <v>537</v>
      </c>
      <c r="D203" s="335" t="s">
        <v>59</v>
      </c>
      <c r="E203" s="337" t="str">
        <f t="shared" si="1"/>
        <v>大同特殊鋼:大同興業</v>
      </c>
      <c r="F203" s="338" t="s">
        <v>575</v>
      </c>
      <c r="G203" s="339" t="str">
        <f t="shared" si="2"/>
        <v>大同特殊鋼:大同興業鋼ダライＡ</v>
      </c>
      <c r="H203" s="340">
        <f t="shared" si="3"/>
        <v>36.4</v>
      </c>
      <c r="I203" s="335">
        <v>36.4</v>
      </c>
      <c r="J203" s="332" t="str">
        <f>IFERROR(__xludf.DUMMYFUNCTION("IF(IF(COUNTIF(P$2:P202, P203)=0, """", INDEX(H$2:H202,
MAX(FILTER(ROW(H$2:H202) - ROW(H$2) + 1, P$2:P202 = P203))))=""単価"","""",
IF(COUNTIF(P$2:P202, P203)=0, """", INDEX(H$2:H202,
MAX(FILTER(ROW(H$2:H202) - ROW(H$2) + 1, P$2:P202 = P203)))))"),"")</f>
        <v/>
      </c>
      <c r="N203" s="335" t="str">
        <f>IF(MAXIFS('単価履歴'!$O:$O,'単価履歴'!$E:$E,E203,'単価履歴'!$F:$F,F203)=O203,"●","")</f>
        <v/>
      </c>
      <c r="O203" s="345">
        <v>45580.459178240744</v>
      </c>
      <c r="P203" s="334" t="str">
        <f t="shared" si="4"/>
        <v>大同特殊鋼:大同興業鋼ダライＡ</v>
      </c>
    </row>
    <row r="204" ht="15.75" customHeight="1">
      <c r="A204" s="335" t="s">
        <v>1403</v>
      </c>
      <c r="B204" s="343">
        <v>45580.0</v>
      </c>
      <c r="C204" s="335" t="s">
        <v>537</v>
      </c>
      <c r="D204" s="335" t="s">
        <v>1404</v>
      </c>
      <c r="E204" s="337" t="str">
        <f t="shared" si="1"/>
        <v>大同特殊鋼:JSE/大和ﾘﾃｯｸ</v>
      </c>
      <c r="F204" s="338" t="s">
        <v>1199</v>
      </c>
      <c r="G204" s="339" t="str">
        <f t="shared" si="2"/>
        <v>大同特殊鋼:JSE/大和ﾘﾃｯｸＨＳ１(単体H1/電特A/HS))</v>
      </c>
      <c r="H204" s="340">
        <f t="shared" si="3"/>
        <v>43</v>
      </c>
      <c r="I204" s="335">
        <v>43.0</v>
      </c>
      <c r="J204" s="332" t="str">
        <f>IFERROR(__xludf.DUMMYFUNCTION("IF(IF(COUNTIF(P$2:P203, P204)=0, """", INDEX(H$2:H203,
MAX(FILTER(ROW(H$2:H203) - ROW(H$2) + 1, P$2:P203 = P204))))=""単価"","""",
IF(COUNTIF(P$2:P203, P204)=0, """", INDEX(H$2:H203,
MAX(FILTER(ROW(H$2:H203) - ROW(H$2) + 1, P$2:P203 = P204)))))"),"")</f>
        <v/>
      </c>
      <c r="N204" s="335" t="str">
        <f>IF(MAXIFS('単価履歴'!$O:$O,'単価履歴'!$E:$E,E204,'単価履歴'!$F:$F,F204)=O204,"●","")</f>
        <v/>
      </c>
      <c r="O204" s="345">
        <v>45580.459178240744</v>
      </c>
      <c r="P204" s="334" t="str">
        <f t="shared" si="4"/>
        <v>大同特殊鋼:JSE/大和ﾘﾃｯｸＨＳ１(単体H1/電特A/HS))</v>
      </c>
    </row>
    <row r="205" ht="15.75" customHeight="1">
      <c r="A205" s="335" t="s">
        <v>1405</v>
      </c>
      <c r="B205" s="343">
        <v>45580.0</v>
      </c>
      <c r="C205" s="335" t="s">
        <v>537</v>
      </c>
      <c r="D205" s="335" t="s">
        <v>1404</v>
      </c>
      <c r="E205" s="337" t="str">
        <f t="shared" si="1"/>
        <v>大同特殊鋼:JSE/大和ﾘﾃｯｸ</v>
      </c>
      <c r="F205" s="338" t="s">
        <v>116</v>
      </c>
      <c r="G205" s="339" t="str">
        <f t="shared" si="2"/>
        <v>大同特殊鋼:JSE/大和ﾘﾃｯｸＨ２(特級)</v>
      </c>
      <c r="H205" s="340">
        <f t="shared" si="3"/>
        <v>39.5</v>
      </c>
      <c r="I205" s="335">
        <v>39.5</v>
      </c>
      <c r="J205" s="332" t="str">
        <f>IFERROR(__xludf.DUMMYFUNCTION("IF(IF(COUNTIF(P$2:P204, P205)=0, """", INDEX(H$2:H204,
MAX(FILTER(ROW(H$2:H204) - ROW(H$2) + 1, P$2:P204 = P205))))=""単価"","""",
IF(COUNTIF(P$2:P204, P205)=0, """", INDEX(H$2:H204,
MAX(FILTER(ROW(H$2:H204) - ROW(H$2) + 1, P$2:P204 = P205)))))"),"")</f>
        <v/>
      </c>
      <c r="N205" s="335" t="str">
        <f>IF(MAXIFS('単価履歴'!$O:$O,'単価履歴'!$E:$E,E205,'単価履歴'!$F:$F,F205)=O205,"●","")</f>
        <v/>
      </c>
      <c r="O205" s="345">
        <v>45580.459178240744</v>
      </c>
      <c r="P205" s="334" t="str">
        <f t="shared" si="4"/>
        <v>大同特殊鋼:JSE/大和ﾘﾃｯｸＨ２(特級)</v>
      </c>
    </row>
    <row r="206" ht="15.75" customHeight="1">
      <c r="A206" s="335" t="s">
        <v>1406</v>
      </c>
      <c r="B206" s="343">
        <v>45580.0</v>
      </c>
      <c r="C206" s="335" t="s">
        <v>537</v>
      </c>
      <c r="D206" s="335" t="s">
        <v>1407</v>
      </c>
      <c r="E206" s="337" t="str">
        <f t="shared" si="1"/>
        <v>大同特殊鋼:JSE/第二＠2.3</v>
      </c>
      <c r="F206" s="338" t="s">
        <v>1199</v>
      </c>
      <c r="G206" s="339" t="str">
        <f t="shared" si="2"/>
        <v>大同特殊鋼:JSE/第二＠2.3ＨＳ１(単体H1/電特A/HS))</v>
      </c>
      <c r="H206" s="340">
        <f t="shared" si="3"/>
        <v>40.7</v>
      </c>
      <c r="I206" s="335">
        <v>40.7</v>
      </c>
      <c r="J206" s="332" t="str">
        <f>IFERROR(__xludf.DUMMYFUNCTION("IF(IF(COUNTIF(P$2:P205, P206)=0, """", INDEX(H$2:H205,
MAX(FILTER(ROW(H$2:H205) - ROW(H$2) + 1, P$2:P205 = P206))))=""単価"","""",
IF(COUNTIF(P$2:P205, P206)=0, """", INDEX(H$2:H205,
MAX(FILTER(ROW(H$2:H205) - ROW(H$2) + 1, P$2:P205 = P206)))))"),"")</f>
        <v/>
      </c>
      <c r="N206" s="335" t="str">
        <f>IF(MAXIFS('単価履歴'!$O:$O,'単価履歴'!$E:$E,E206,'単価履歴'!$F:$F,F206)=O206,"●","")</f>
        <v/>
      </c>
      <c r="O206" s="345">
        <v>45580.459178240744</v>
      </c>
      <c r="P206" s="334" t="str">
        <f t="shared" si="4"/>
        <v>大同特殊鋼:JSE/第二＠2.3ＨＳ１(単体H1/電特A/HS))</v>
      </c>
    </row>
    <row r="207" ht="15.75" customHeight="1">
      <c r="A207" s="335" t="s">
        <v>1408</v>
      </c>
      <c r="B207" s="343">
        <v>45580.0</v>
      </c>
      <c r="C207" s="335" t="s">
        <v>537</v>
      </c>
      <c r="D207" s="335" t="s">
        <v>1407</v>
      </c>
      <c r="E207" s="337" t="str">
        <f t="shared" si="1"/>
        <v>大同特殊鋼:JSE/第二＠2.3</v>
      </c>
      <c r="F207" s="338" t="s">
        <v>116</v>
      </c>
      <c r="G207" s="339" t="str">
        <f t="shared" si="2"/>
        <v>大同特殊鋼:JSE/第二＠2.3Ｈ２(特級)</v>
      </c>
      <c r="H207" s="340">
        <f t="shared" si="3"/>
        <v>37.2</v>
      </c>
      <c r="I207" s="335">
        <v>37.2</v>
      </c>
      <c r="J207" s="332" t="str">
        <f>IFERROR(__xludf.DUMMYFUNCTION("IF(IF(COUNTIF(P$2:P206, P207)=0, """", INDEX(H$2:H206,
MAX(FILTER(ROW(H$2:H206) - ROW(H$2) + 1, P$2:P206 = P207))))=""単価"","""",
IF(COUNTIF(P$2:P206, P207)=0, """", INDEX(H$2:H206,
MAX(FILTER(ROW(H$2:H206) - ROW(H$2) + 1, P$2:P206 = P207)))))"),"")</f>
        <v/>
      </c>
      <c r="N207" s="335" t="str">
        <f>IF(MAXIFS('単価履歴'!$O:$O,'単価履歴'!$E:$E,E207,'単価履歴'!$F:$F,F207)=O207,"●","")</f>
        <v/>
      </c>
      <c r="O207" s="345">
        <v>45580.459178240744</v>
      </c>
      <c r="P207" s="334" t="str">
        <f t="shared" si="4"/>
        <v>大同特殊鋼:JSE/第二＠2.3Ｈ２(特級)</v>
      </c>
    </row>
    <row r="208" ht="15.75" customHeight="1">
      <c r="A208" s="335" t="s">
        <v>1409</v>
      </c>
      <c r="B208" s="343">
        <v>45580.0</v>
      </c>
      <c r="C208" s="335" t="s">
        <v>537</v>
      </c>
      <c r="D208" s="335" t="s">
        <v>1410</v>
      </c>
      <c r="E208" s="337" t="str">
        <f t="shared" si="1"/>
        <v>大同特殊鋼:JSE/岐阜＠1.5</v>
      </c>
      <c r="F208" s="338" t="s">
        <v>1199</v>
      </c>
      <c r="G208" s="339" t="str">
        <f t="shared" si="2"/>
        <v>大同特殊鋼:JSE/岐阜＠1.5ＨＳ１(単体H1/電特A/HS))</v>
      </c>
      <c r="H208" s="340">
        <f t="shared" si="3"/>
        <v>41.5</v>
      </c>
      <c r="I208" s="348">
        <v>41.5</v>
      </c>
      <c r="J208" s="332" t="str">
        <f>IFERROR(__xludf.DUMMYFUNCTION("IF(IF(COUNTIF(P$2:P207, P208)=0, """", INDEX(H$2:H207,
MAX(FILTER(ROW(H$2:H207) - ROW(H$2) + 1, P$2:P207 = P208))))=""単価"","""",
IF(COUNTIF(P$2:P207, P208)=0, """", INDEX(H$2:H207,
MAX(FILTER(ROW(H$2:H207) - ROW(H$2) + 1, P$2:P207 = P208)))))"),"")</f>
        <v/>
      </c>
      <c r="N208" s="335" t="str">
        <f>IF(MAXIFS('単価履歴'!$O:$O,'単価履歴'!$E:$E,E208,'単価履歴'!$F:$F,F208)=O208,"●","")</f>
        <v/>
      </c>
      <c r="O208" s="345">
        <v>45580.459178240744</v>
      </c>
      <c r="P208" s="334" t="str">
        <f t="shared" si="4"/>
        <v>大同特殊鋼:JSE/岐阜＠1.5ＨＳ１(単体H1/電特A/HS))</v>
      </c>
    </row>
    <row r="209" ht="15.75" customHeight="1">
      <c r="A209" s="335" t="s">
        <v>1411</v>
      </c>
      <c r="B209" s="343">
        <v>45580.0</v>
      </c>
      <c r="C209" s="335" t="s">
        <v>537</v>
      </c>
      <c r="D209" s="335" t="s">
        <v>1410</v>
      </c>
      <c r="E209" s="337" t="str">
        <f t="shared" si="1"/>
        <v>大同特殊鋼:JSE/岐阜＠1.5</v>
      </c>
      <c r="F209" s="338" t="s">
        <v>116</v>
      </c>
      <c r="G209" s="339" t="str">
        <f t="shared" si="2"/>
        <v>大同特殊鋼:JSE/岐阜＠1.5Ｈ２(特級)</v>
      </c>
      <c r="H209" s="340">
        <f t="shared" si="3"/>
        <v>38</v>
      </c>
      <c r="I209" s="335">
        <v>38.0</v>
      </c>
      <c r="J209" s="332" t="str">
        <f>IFERROR(__xludf.DUMMYFUNCTION("IF(IF(COUNTIF(P$2:P208, P209)=0, """", INDEX(H$2:H208,
MAX(FILTER(ROW(H$2:H208) - ROW(H$2) + 1, P$2:P208 = P209))))=""単価"","""",
IF(COUNTIF(P$2:P208, P209)=0, """", INDEX(H$2:H208,
MAX(FILTER(ROW(H$2:H208) - ROW(H$2) + 1, P$2:P208 = P209)))))"),"")</f>
        <v/>
      </c>
      <c r="N209" s="335" t="str">
        <f>IF(MAXIFS('単価履歴'!$O:$O,'単価履歴'!$E:$E,E209,'単価履歴'!$F:$F,F209)=O209,"●","")</f>
        <v/>
      </c>
      <c r="O209" s="345">
        <v>45580.459178240744</v>
      </c>
      <c r="P209" s="334" t="str">
        <f t="shared" si="4"/>
        <v>大同特殊鋼:JSE/岐阜＠1.5Ｈ２(特級)</v>
      </c>
    </row>
    <row r="210" ht="15.75" customHeight="1">
      <c r="A210" s="335" t="s">
        <v>1412</v>
      </c>
      <c r="B210" s="343">
        <v>45580.0</v>
      </c>
      <c r="C210" s="335" t="s">
        <v>19</v>
      </c>
      <c r="D210" s="335" t="s">
        <v>61</v>
      </c>
      <c r="E210" s="337" t="str">
        <f t="shared" si="1"/>
        <v>トピー工業:ＭＭ</v>
      </c>
      <c r="F210" s="338" t="s">
        <v>116</v>
      </c>
      <c r="G210" s="339" t="str">
        <f t="shared" si="2"/>
        <v>トピー工業:ＭＭＨ２(特級)</v>
      </c>
      <c r="H210" s="340">
        <f t="shared" si="3"/>
        <v>36</v>
      </c>
      <c r="I210" s="335">
        <v>36.0</v>
      </c>
      <c r="J210" s="332" t="str">
        <f>IFERROR(__xludf.DUMMYFUNCTION("IF(IF(COUNTIF(P$2:P209, P210)=0, """", INDEX(H$2:H209,
MAX(FILTER(ROW(H$2:H209) - ROW(H$2) + 1, P$2:P209 = P210))))=""単価"","""",
IF(COUNTIF(P$2:P209, P210)=0, """", INDEX(H$2:H209,
MAX(FILTER(ROW(H$2:H209) - ROW(H$2) + 1, P$2:P209 = P210)))))"),"")</f>
        <v/>
      </c>
      <c r="N210" s="335" t="str">
        <f>IF(MAXIFS('単価履歴'!$O:$O,'単価履歴'!$E:$E,E210,'単価履歴'!$F:$F,F210)=O210,"●","")</f>
        <v/>
      </c>
      <c r="O210" s="345">
        <v>45580.459178240744</v>
      </c>
      <c r="P210" s="334" t="str">
        <f t="shared" si="4"/>
        <v>トピー工業:ＭＭＨ２(特級)</v>
      </c>
    </row>
    <row r="211" ht="15.75" customHeight="1">
      <c r="A211" s="335" t="s">
        <v>1413</v>
      </c>
      <c r="B211" s="343">
        <v>45580.0</v>
      </c>
      <c r="C211" s="335" t="s">
        <v>17</v>
      </c>
      <c r="D211" s="335" t="s">
        <v>562</v>
      </c>
      <c r="E211" s="337" t="str">
        <f t="shared" si="1"/>
        <v>RTA:栗東置場単価</v>
      </c>
      <c r="F211" s="338" t="s">
        <v>575</v>
      </c>
      <c r="G211" s="339" t="str">
        <f t="shared" si="2"/>
        <v>RTA:栗東置場単価鋼ダライＡ</v>
      </c>
      <c r="H211" s="340">
        <f t="shared" si="3"/>
        <v>37.5</v>
      </c>
      <c r="I211" s="348">
        <v>37.5</v>
      </c>
      <c r="J211" s="332" t="str">
        <f>IFERROR(__xludf.DUMMYFUNCTION("IF(IF(COUNTIF(P$2:P210, P211)=0, """", INDEX(H$2:H210,
MAX(FILTER(ROW(H$2:H210) - ROW(H$2) + 1, P$2:P210 = P211))))=""単価"","""",
IF(COUNTIF(P$2:P210, P211)=0, """", INDEX(H$2:H210,
MAX(FILTER(ROW(H$2:H210) - ROW(H$2) + 1, P$2:P210 = P211)))))"),"")</f>
        <v/>
      </c>
      <c r="N211" s="335" t="str">
        <f>IF(MAXIFS('単価履歴'!$O:$O,'単価履歴'!$E:$E,E211,'単価履歴'!$F:$F,F211)=O211,"●","")</f>
        <v/>
      </c>
      <c r="O211" s="345">
        <v>45580.459178240744</v>
      </c>
      <c r="P211" s="334" t="str">
        <f t="shared" si="4"/>
        <v>RTA:栗東置場単価鋼ダライＡ</v>
      </c>
    </row>
    <row r="212" ht="15.75" customHeight="1">
      <c r="A212" s="335" t="s">
        <v>1414</v>
      </c>
      <c r="B212" s="343">
        <v>45580.0</v>
      </c>
      <c r="C212" s="335" t="s">
        <v>17</v>
      </c>
      <c r="D212" s="335" t="s">
        <v>563</v>
      </c>
      <c r="E212" s="337" t="str">
        <f t="shared" si="1"/>
        <v>RTA:第二置場単価</v>
      </c>
      <c r="F212" s="338" t="s">
        <v>575</v>
      </c>
      <c r="G212" s="339" t="str">
        <f t="shared" si="2"/>
        <v>RTA:第二置場単価鋼ダライＡ</v>
      </c>
      <c r="H212" s="340">
        <f t="shared" si="3"/>
        <v>37.5</v>
      </c>
      <c r="I212" s="348">
        <v>37.5</v>
      </c>
      <c r="J212" s="332" t="str">
        <f>IFERROR(__xludf.DUMMYFUNCTION("IF(IF(COUNTIF(P$2:P211, P212)=0, """", INDEX(H$2:H211,
MAX(FILTER(ROW(H$2:H211) - ROW(H$2) + 1, P$2:P211 = P212))))=""単価"","""",
IF(COUNTIF(P$2:P211, P212)=0, """", INDEX(H$2:H211,
MAX(FILTER(ROW(H$2:H211) - ROW(H$2) + 1, P$2:P211 = P212)))))"),"")</f>
        <v/>
      </c>
      <c r="N212" s="335" t="str">
        <f>IF(MAXIFS('単価履歴'!$O:$O,'単価履歴'!$E:$E,E212,'単価履歴'!$F:$F,F212)=O212,"●","")</f>
        <v/>
      </c>
      <c r="O212" s="345">
        <v>45580.459178240744</v>
      </c>
      <c r="P212" s="334" t="str">
        <f t="shared" si="4"/>
        <v>RTA:第二置場単価鋼ダライＡ</v>
      </c>
    </row>
    <row r="213" ht="15.75" customHeight="1">
      <c r="A213" s="335" t="s">
        <v>1415</v>
      </c>
      <c r="B213" s="343">
        <v>45580.0</v>
      </c>
      <c r="C213" s="335" t="s">
        <v>35</v>
      </c>
      <c r="D213" s="335" t="s">
        <v>48</v>
      </c>
      <c r="E213" s="337" t="str">
        <f t="shared" si="1"/>
        <v>ﾆｭｰｽｺﾝ稲永:ナベ</v>
      </c>
      <c r="F213" s="338" t="s">
        <v>130</v>
      </c>
      <c r="G213" s="339" t="str">
        <f t="shared" si="2"/>
        <v>ﾆｭｰｽｺﾝ稲永:ナベ新断Ａ</v>
      </c>
      <c r="H213" s="340">
        <f t="shared" si="3"/>
        <v>42</v>
      </c>
      <c r="I213" s="335">
        <v>42.0</v>
      </c>
      <c r="J213" s="332" t="str">
        <f>IFERROR(__xludf.DUMMYFUNCTION("IF(IF(COUNTIF(P$2:P212, P213)=0, """", INDEX(H$2:H212,
MAX(FILTER(ROW(H$2:H212) - ROW(H$2) + 1, P$2:P212 = P213))))=""単価"","""",
IF(COUNTIF(P$2:P212, P213)=0, """", INDEX(H$2:H212,
MAX(FILTER(ROW(H$2:H212) - ROW(H$2) + 1, P$2:P212 = P213)))))"),"")</f>
        <v/>
      </c>
      <c r="N213" s="335" t="str">
        <f>IF(MAXIFS('単価履歴'!$O:$O,'単価履歴'!$E:$E,E213,'単価履歴'!$F:$F,F213)=O213,"●","")</f>
        <v/>
      </c>
      <c r="O213" s="345">
        <v>45580.459178240744</v>
      </c>
      <c r="P213" s="334" t="str">
        <f t="shared" si="4"/>
        <v>ﾆｭｰｽｺﾝ稲永:ナベ新断Ａ</v>
      </c>
    </row>
    <row r="214" ht="15.75" customHeight="1">
      <c r="A214" s="335" t="s">
        <v>1416</v>
      </c>
      <c r="B214" s="343">
        <v>45580.0</v>
      </c>
      <c r="C214" s="335" t="s">
        <v>37</v>
      </c>
      <c r="D214" s="335" t="s">
        <v>48</v>
      </c>
      <c r="E214" s="337" t="str">
        <f t="shared" si="1"/>
        <v>共英名古屋:ナベ</v>
      </c>
      <c r="F214" s="338" t="s">
        <v>111</v>
      </c>
      <c r="G214" s="339" t="str">
        <f t="shared" si="2"/>
        <v>共英名古屋:ナベＨ１(特A)</v>
      </c>
      <c r="H214" s="340">
        <f t="shared" si="3"/>
        <v>42.2</v>
      </c>
      <c r="I214" s="335">
        <v>42.2</v>
      </c>
      <c r="J214" s="332" t="str">
        <f>IFERROR(__xludf.DUMMYFUNCTION("IF(IF(COUNTIF(P$2:P213, P214)=0, """", INDEX(H$2:H213,
MAX(FILTER(ROW(H$2:H213) - ROW(H$2) + 1, P$2:P213 = P214))))=""単価"","""",
IF(COUNTIF(P$2:P213, P214)=0, """", INDEX(H$2:H213,
MAX(FILTER(ROW(H$2:H213) - ROW(H$2) + 1, P$2:P213 = P214)))))"),"")</f>
        <v/>
      </c>
      <c r="N214" s="335" t="str">
        <f>IF(MAXIFS('単価履歴'!$O:$O,'単価履歴'!$E:$E,E214,'単価履歴'!$F:$F,F214)=O214,"●","")</f>
        <v/>
      </c>
      <c r="O214" s="345">
        <v>45580.459178240744</v>
      </c>
      <c r="P214" s="334" t="str">
        <f t="shared" si="4"/>
        <v>共英名古屋:ナベＨ１(特A)</v>
      </c>
    </row>
    <row r="215" ht="15.75" customHeight="1">
      <c r="A215" s="335" t="s">
        <v>1417</v>
      </c>
      <c r="B215" s="343">
        <v>45580.0</v>
      </c>
      <c r="C215" s="335" t="s">
        <v>37</v>
      </c>
      <c r="D215" s="335" t="s">
        <v>48</v>
      </c>
      <c r="E215" s="337" t="str">
        <f t="shared" si="1"/>
        <v>共英名古屋:ナベ</v>
      </c>
      <c r="F215" s="338" t="s">
        <v>116</v>
      </c>
      <c r="G215" s="339" t="str">
        <f t="shared" si="2"/>
        <v>共英名古屋:ナベＨ２(特級)</v>
      </c>
      <c r="H215" s="340">
        <f t="shared" si="3"/>
        <v>39.5</v>
      </c>
      <c r="I215" s="335">
        <v>39.5</v>
      </c>
      <c r="J215" s="332" t="str">
        <f>IFERROR(__xludf.DUMMYFUNCTION("IF(IF(COUNTIF(P$2:P214, P215)=0, """", INDEX(H$2:H214,
MAX(FILTER(ROW(H$2:H214) - ROW(H$2) + 1, P$2:P214 = P215))))=""単価"","""",
IF(COUNTIF(P$2:P214, P215)=0, """", INDEX(H$2:H214,
MAX(FILTER(ROW(H$2:H214) - ROW(H$2) + 1, P$2:P214 = P215)))))"),"")</f>
        <v/>
      </c>
      <c r="N215" s="335" t="str">
        <f>IF(MAXIFS('単価履歴'!$O:$O,'単価履歴'!$E:$E,E215,'単価履歴'!$F:$F,F215)=O215,"●","")</f>
        <v/>
      </c>
      <c r="O215" s="345">
        <v>45580.459178240744</v>
      </c>
      <c r="P215" s="334" t="str">
        <f t="shared" si="4"/>
        <v>共英名古屋:ナベＨ２(特級)</v>
      </c>
    </row>
    <row r="216" ht="15.75" customHeight="1">
      <c r="A216" s="335" t="s">
        <v>1418</v>
      </c>
      <c r="B216" s="343">
        <v>45580.0</v>
      </c>
      <c r="C216" s="335" t="s">
        <v>37</v>
      </c>
      <c r="D216" s="335" t="s">
        <v>48</v>
      </c>
      <c r="E216" s="337" t="str">
        <f t="shared" si="1"/>
        <v>共英名古屋:ナベ</v>
      </c>
      <c r="F216" s="338" t="s">
        <v>119</v>
      </c>
      <c r="G216" s="339" t="str">
        <f t="shared" si="2"/>
        <v>共英名古屋:ナベＨ３(1級)</v>
      </c>
      <c r="H216" s="340">
        <f t="shared" si="3"/>
        <v>38.5</v>
      </c>
      <c r="I216" s="335">
        <v>38.5</v>
      </c>
      <c r="J216" s="332" t="str">
        <f>IFERROR(__xludf.DUMMYFUNCTION("IF(IF(COUNTIF(P$2:P215, P216)=0, """", INDEX(H$2:H215,
MAX(FILTER(ROW(H$2:H215) - ROW(H$2) + 1, P$2:P215 = P216))))=""単価"","""",
IF(COUNTIF(P$2:P215, P216)=0, """", INDEX(H$2:H215,
MAX(FILTER(ROW(H$2:H215) - ROW(H$2) + 1, P$2:P215 = P216)))))"),"")</f>
        <v/>
      </c>
      <c r="N216" s="335" t="str">
        <f>IF(MAXIFS('単価履歴'!$O:$O,'単価履歴'!$E:$E,E216,'単価履歴'!$F:$F,F216)=O216,"●","")</f>
        <v/>
      </c>
      <c r="O216" s="345">
        <v>45580.459178240744</v>
      </c>
      <c r="P216" s="334" t="str">
        <f t="shared" si="4"/>
        <v>共英名古屋:ナベＨ３(1級)</v>
      </c>
    </row>
    <row r="217" ht="15.75" customHeight="1">
      <c r="A217" s="335" t="s">
        <v>1419</v>
      </c>
      <c r="B217" s="343">
        <v>45580.0</v>
      </c>
      <c r="C217" s="335" t="s">
        <v>37</v>
      </c>
      <c r="D217" s="335" t="s">
        <v>48</v>
      </c>
      <c r="E217" s="337" t="str">
        <f t="shared" si="1"/>
        <v>共英名古屋:ナベ</v>
      </c>
      <c r="F217" s="338" t="s">
        <v>122</v>
      </c>
      <c r="G217" s="339" t="str">
        <f t="shared" si="2"/>
        <v>共英名古屋:ナベＬ１(2級)</v>
      </c>
      <c r="H217" s="340">
        <f t="shared" si="3"/>
        <v>35.5</v>
      </c>
      <c r="I217" s="335">
        <v>35.5</v>
      </c>
      <c r="J217" s="332" t="str">
        <f>IFERROR(__xludf.DUMMYFUNCTION("IF(IF(COUNTIF(P$2:P216, P217)=0, """", INDEX(H$2:H216,
MAX(FILTER(ROW(H$2:H216) - ROW(H$2) + 1, P$2:P216 = P217))))=""単価"","""",
IF(COUNTIF(P$2:P216, P217)=0, """", INDEX(H$2:H216,
MAX(FILTER(ROW(H$2:H216) - ROW(H$2) + 1, P$2:P216 = P217)))))"),"")</f>
        <v/>
      </c>
      <c r="N217" s="335" t="str">
        <f>IF(MAXIFS('単価履歴'!$O:$O,'単価履歴'!$E:$E,E217,'単価履歴'!$F:$F,F217)=O217,"●","")</f>
        <v/>
      </c>
      <c r="O217" s="345">
        <v>45580.459178240744</v>
      </c>
      <c r="P217" s="334" t="str">
        <f t="shared" si="4"/>
        <v>共英名古屋:ナベＬ１(2級)</v>
      </c>
    </row>
    <row r="218" ht="15.75" customHeight="1">
      <c r="A218" s="335" t="s">
        <v>1420</v>
      </c>
      <c r="B218" s="343">
        <v>45580.0</v>
      </c>
      <c r="C218" s="335" t="s">
        <v>24</v>
      </c>
      <c r="D218" s="335" t="s">
        <v>48</v>
      </c>
      <c r="E218" s="337" t="str">
        <f t="shared" si="1"/>
        <v>大谷製鉄:ナベ</v>
      </c>
      <c r="F218" s="338" t="s">
        <v>1199</v>
      </c>
      <c r="G218" s="339" t="str">
        <f t="shared" si="2"/>
        <v>大谷製鉄:ナベＨＳ１(単体H1/電特A/HS))</v>
      </c>
      <c r="H218" s="340">
        <f t="shared" si="3"/>
        <v>39</v>
      </c>
      <c r="I218" s="348">
        <v>39.0</v>
      </c>
      <c r="J218" s="332" t="str">
        <f>IFERROR(__xludf.DUMMYFUNCTION("IF(IF(COUNTIF(P$2:P217, P218)=0, """", INDEX(H$2:H217,
MAX(FILTER(ROW(H$2:H217) - ROW(H$2) + 1, P$2:P217 = P218))))=""単価"","""",
IF(COUNTIF(P$2:P217, P218)=0, """", INDEX(H$2:H217,
MAX(FILTER(ROW(H$2:H217) - ROW(H$2) + 1, P$2:P217 = P218)))))"),"")</f>
        <v/>
      </c>
      <c r="N218" s="335" t="str">
        <f>IF(MAXIFS('単価履歴'!$O:$O,'単価履歴'!$E:$E,E218,'単価履歴'!$F:$F,F218)=O218,"●","")</f>
        <v>●</v>
      </c>
      <c r="O218" s="345">
        <v>45580.459178240744</v>
      </c>
      <c r="P218" s="334" t="str">
        <f t="shared" si="4"/>
        <v>大谷製鉄:ナベＨＳ１(単体H1/電特A/HS))</v>
      </c>
    </row>
    <row r="219" ht="15.75" customHeight="1">
      <c r="A219" s="335" t="s">
        <v>1421</v>
      </c>
      <c r="B219" s="343">
        <v>45580.0</v>
      </c>
      <c r="C219" s="335" t="s">
        <v>25</v>
      </c>
      <c r="D219" s="335" t="s">
        <v>48</v>
      </c>
      <c r="E219" s="337" t="str">
        <f t="shared" si="1"/>
        <v>銑ダライ:ナベ</v>
      </c>
      <c r="F219" s="338" t="s">
        <v>25</v>
      </c>
      <c r="G219" s="339" t="str">
        <f t="shared" si="2"/>
        <v>銑ダライ:ナベ銑ダライ</v>
      </c>
      <c r="H219" s="340">
        <f t="shared" si="3"/>
        <v>36</v>
      </c>
      <c r="I219" s="335">
        <v>36.0</v>
      </c>
      <c r="J219" s="332" t="str">
        <f>IFERROR(__xludf.DUMMYFUNCTION("IF(IF(COUNTIF(P$2:P218, P219)=0, """", INDEX(H$2:H218,
MAX(FILTER(ROW(H$2:H218) - ROW(H$2) + 1, P$2:P218 = P219))))=""単価"","""",
IF(COUNTIF(P$2:P218, P219)=0, """", INDEX(H$2:H218,
MAX(FILTER(ROW(H$2:H218) - ROW(H$2) + 1, P$2:P218 = P219)))))"),"")</f>
        <v/>
      </c>
      <c r="N219" s="335" t="str">
        <f>IF(MAXIFS('単価履歴'!$O:$O,'単価履歴'!$E:$E,E219,'単価履歴'!$F:$F,F219)=O219,"●","")</f>
        <v>●</v>
      </c>
      <c r="O219" s="345">
        <v>45580.459178240744</v>
      </c>
      <c r="P219" s="334" t="str">
        <f t="shared" si="4"/>
        <v>銑ダライ:ナベ銑ダライ</v>
      </c>
    </row>
    <row r="220" ht="15.75" customHeight="1">
      <c r="A220" s="335" t="s">
        <v>1422</v>
      </c>
      <c r="B220" s="343">
        <v>45580.0</v>
      </c>
      <c r="C220" s="335" t="s">
        <v>38</v>
      </c>
      <c r="D220" s="335" t="s">
        <v>49</v>
      </c>
      <c r="E220" s="337" t="str">
        <f t="shared" si="1"/>
        <v>新日鉄住金和歌山:伊藤忠</v>
      </c>
      <c r="F220" s="338" t="s">
        <v>111</v>
      </c>
      <c r="G220" s="339" t="str">
        <f t="shared" si="2"/>
        <v>新日鉄住金和歌山:伊藤忠Ｈ１(特A)</v>
      </c>
      <c r="H220" s="340">
        <f t="shared" si="3"/>
        <v>51</v>
      </c>
      <c r="I220" s="335">
        <v>51.0</v>
      </c>
      <c r="J220" s="332" t="str">
        <f>IFERROR(__xludf.DUMMYFUNCTION("IF(IF(COUNTIF(P$2:P219, P220)=0, """", INDEX(H$2:H219,
MAX(FILTER(ROW(H$2:H219) - ROW(H$2) + 1, P$2:P219 = P220))))=""単価"","""",
IF(COUNTIF(P$2:P219, P220)=0, """", INDEX(H$2:H219,
MAX(FILTER(ROW(H$2:H219) - ROW(H$2) + 1, P$2:P219 = P220)))))"),"")</f>
        <v/>
      </c>
      <c r="N220" s="335" t="str">
        <f>IF(MAXIFS('単価履歴'!$O:$O,'単価履歴'!$E:$E,E220,'単価履歴'!$F:$F,F220)=O220,"●","")</f>
        <v>●</v>
      </c>
      <c r="O220" s="345">
        <v>45580.459178240744</v>
      </c>
      <c r="P220" s="334" t="str">
        <f t="shared" si="4"/>
        <v>新日鉄住金和歌山:伊藤忠Ｈ１(特A)</v>
      </c>
    </row>
    <row r="221" ht="15.75" customHeight="1">
      <c r="A221" s="335" t="s">
        <v>1423</v>
      </c>
      <c r="B221" s="343">
        <v>45580.0</v>
      </c>
      <c r="C221" s="335" t="s">
        <v>38</v>
      </c>
      <c r="D221" s="335" t="s">
        <v>49</v>
      </c>
      <c r="E221" s="337" t="str">
        <f t="shared" si="1"/>
        <v>新日鉄住金和歌山:伊藤忠</v>
      </c>
      <c r="F221" s="338" t="s">
        <v>116</v>
      </c>
      <c r="G221" s="339" t="str">
        <f t="shared" si="2"/>
        <v>新日鉄住金和歌山:伊藤忠Ｈ２(特級)</v>
      </c>
      <c r="H221" s="340">
        <f t="shared" si="3"/>
        <v>46</v>
      </c>
      <c r="I221" s="335">
        <v>46.0</v>
      </c>
      <c r="J221" s="332" t="str">
        <f>IFERROR(__xludf.DUMMYFUNCTION("IF(IF(COUNTIF(P$2:P220, P221)=0, """", INDEX(H$2:H220,
MAX(FILTER(ROW(H$2:H220) - ROW(H$2) + 1, P$2:P220 = P221))))=""単価"","""",
IF(COUNTIF(P$2:P220, P221)=0, """", INDEX(H$2:H220,
MAX(FILTER(ROW(H$2:H220) - ROW(H$2) + 1, P$2:P220 = P221)))))"),"")</f>
        <v/>
      </c>
      <c r="N221" s="335" t="str">
        <f>IF(MAXIFS('単価履歴'!$O:$O,'単価履歴'!$E:$E,E221,'単価履歴'!$F:$F,F221)=O221,"●","")</f>
        <v>●</v>
      </c>
      <c r="O221" s="345">
        <v>45580.459178240744</v>
      </c>
      <c r="P221" s="334" t="str">
        <f t="shared" si="4"/>
        <v>新日鉄住金和歌山:伊藤忠Ｈ２(特級)</v>
      </c>
    </row>
    <row r="222" ht="15.75" customHeight="1">
      <c r="A222" s="335" t="s">
        <v>1424</v>
      </c>
      <c r="B222" s="343">
        <v>45580.0</v>
      </c>
      <c r="C222" s="335" t="s">
        <v>23</v>
      </c>
      <c r="D222" s="335" t="s">
        <v>62</v>
      </c>
      <c r="E222" s="337" t="str">
        <f t="shared" si="1"/>
        <v>韓国輸出:豊通大都</v>
      </c>
      <c r="F222" s="338" t="s">
        <v>1199</v>
      </c>
      <c r="G222" s="339" t="str">
        <f t="shared" si="2"/>
        <v>韓国輸出:豊通大都ＨＳ１(単体H1/電特A/HS))</v>
      </c>
      <c r="H222" s="340">
        <f t="shared" si="3"/>
        <v>28.8</v>
      </c>
      <c r="I222" s="335">
        <v>28.8</v>
      </c>
      <c r="J222" s="332" t="str">
        <f>IFERROR(__xludf.DUMMYFUNCTION("IF(IF(COUNTIF(P$2:P221, P222)=0, """", INDEX(H$2:H221,
MAX(FILTER(ROW(H$2:H221) - ROW(H$2) + 1, P$2:P221 = P222))))=""単価"","""",
IF(COUNTIF(P$2:P221, P222)=0, """", INDEX(H$2:H221,
MAX(FILTER(ROW(H$2:H221) - ROW(H$2) + 1, P$2:P221 = P222)))))"),"")</f>
        <v/>
      </c>
      <c r="N222" s="335" t="str">
        <f>IF(MAXIFS('単価履歴'!$O:$O,'単価履歴'!$E:$E,E222,'単価履歴'!$F:$F,F222)=O222,"●","")</f>
        <v>●</v>
      </c>
      <c r="O222" s="345">
        <v>45580.459178240744</v>
      </c>
      <c r="P222" s="334" t="str">
        <f t="shared" si="4"/>
        <v>韓国輸出:豊通大都ＨＳ１(単体H1/電特A/HS))</v>
      </c>
    </row>
    <row r="223" ht="15.75" customHeight="1">
      <c r="A223" s="335" t="s">
        <v>1425</v>
      </c>
      <c r="B223" s="343">
        <v>45580.0</v>
      </c>
      <c r="C223" s="335" t="s">
        <v>23</v>
      </c>
      <c r="D223" s="335" t="s">
        <v>62</v>
      </c>
      <c r="E223" s="337" t="str">
        <f t="shared" si="1"/>
        <v>韓国輸出:豊通大都</v>
      </c>
      <c r="F223" s="338" t="s">
        <v>111</v>
      </c>
      <c r="G223" s="339" t="str">
        <f t="shared" si="2"/>
        <v>韓国輸出:豊通大都Ｈ１(特A)</v>
      </c>
      <c r="H223" s="340">
        <f t="shared" si="3"/>
        <v>26.8</v>
      </c>
      <c r="I223" s="335">
        <v>26.8</v>
      </c>
      <c r="J223" s="332" t="str">
        <f>IFERROR(__xludf.DUMMYFUNCTION("IF(IF(COUNTIF(P$2:P222, P223)=0, """", INDEX(H$2:H222,
MAX(FILTER(ROW(H$2:H222) - ROW(H$2) + 1, P$2:P222 = P223))))=""単価"","""",
IF(COUNTIF(P$2:P222, P223)=0, """", INDEX(H$2:H222,
MAX(FILTER(ROW(H$2:H222) - ROW(H$2) + 1, P$2:P222 = P223)))))"),"")</f>
        <v/>
      </c>
      <c r="N223" s="335" t="str">
        <f>IF(MAXIFS('単価履歴'!$O:$O,'単価履歴'!$E:$E,E223,'単価履歴'!$F:$F,F223)=O223,"●","")</f>
        <v>●</v>
      </c>
      <c r="O223" s="345">
        <v>45580.459178240744</v>
      </c>
      <c r="P223" s="334" t="str">
        <f t="shared" si="4"/>
        <v>韓国輸出:豊通大都Ｈ１(特A)</v>
      </c>
    </row>
    <row r="224" ht="15.75" customHeight="1">
      <c r="A224" s="349" t="s">
        <v>1426</v>
      </c>
      <c r="B224" s="350">
        <v>45580.0</v>
      </c>
      <c r="C224" s="349" t="s">
        <v>23</v>
      </c>
      <c r="D224" s="349" t="s">
        <v>62</v>
      </c>
      <c r="E224" s="337" t="str">
        <f t="shared" si="1"/>
        <v>韓国輸出:豊通大都</v>
      </c>
      <c r="F224" s="351" t="s">
        <v>116</v>
      </c>
      <c r="G224" s="339" t="str">
        <f t="shared" si="2"/>
        <v>韓国輸出:豊通大都Ｈ２(特級)</v>
      </c>
      <c r="H224" s="340">
        <f t="shared" si="3"/>
        <v>25.5</v>
      </c>
      <c r="I224" s="349">
        <v>25.5</v>
      </c>
      <c r="J224" s="332" t="str">
        <f>IFERROR(__xludf.DUMMYFUNCTION("IF(IF(COUNTIF(P$2:P223, P224)=0, """", INDEX(H$2:H223,
MAX(FILTER(ROW(H$2:H223) - ROW(H$2) + 1, P$2:P223 = P224))))=""単価"","""",
IF(COUNTIF(P$2:P223, P224)=0, """", INDEX(H$2:H223,
MAX(FILTER(ROW(H$2:H223) - ROW(H$2) + 1, P$2:P223 = P224)))))"),"")</f>
        <v/>
      </c>
      <c r="K224" s="352"/>
      <c r="L224" s="352"/>
      <c r="M224" s="352"/>
      <c r="N224" s="335" t="str">
        <f>IF(MAXIFS('単価履歴'!$O:$O,'単価履歴'!$E:$E,E224,'単価履歴'!$F:$F,F224)=O224,"●","")</f>
        <v>●</v>
      </c>
      <c r="O224" s="353">
        <v>45580.459178240744</v>
      </c>
      <c r="P224" s="334" t="str">
        <f t="shared" si="4"/>
        <v>韓国輸出:豊通大都Ｈ２(特級)</v>
      </c>
      <c r="Q224" s="352"/>
      <c r="R224" s="352"/>
      <c r="S224" s="352"/>
      <c r="T224" s="352"/>
      <c r="U224" s="352"/>
      <c r="V224" s="352"/>
      <c r="W224" s="352"/>
      <c r="X224" s="352"/>
      <c r="Y224" s="352"/>
      <c r="Z224" s="352"/>
      <c r="AA224" s="352"/>
      <c r="AB224" s="352"/>
      <c r="AC224" s="352"/>
      <c r="AD224" s="352"/>
      <c r="AE224" s="352"/>
      <c r="AF224" s="352"/>
    </row>
    <row r="225" ht="15.75" customHeight="1">
      <c r="A225" s="335" t="s">
        <v>1427</v>
      </c>
      <c r="B225" s="336">
        <v>45610.0</v>
      </c>
      <c r="C225" s="335" t="s">
        <v>5</v>
      </c>
      <c r="D225" s="335" t="s">
        <v>46</v>
      </c>
      <c r="E225" s="337" t="str">
        <f t="shared" si="1"/>
        <v>中山製鋼:阪和</v>
      </c>
      <c r="F225" s="338" t="s">
        <v>1199</v>
      </c>
      <c r="G225" s="339" t="str">
        <f t="shared" si="2"/>
        <v>中山製鋼:阪和ＨＳ１(単体H1/電特A/HS))</v>
      </c>
      <c r="H225" s="340">
        <f t="shared" si="3"/>
        <v>0</v>
      </c>
      <c r="I225" s="341">
        <v>-42.9</v>
      </c>
      <c r="J225" s="332">
        <f>IFERROR(__xludf.DUMMYFUNCTION("IF(IF(COUNTIF(P$2:P224, P225)=0, """", INDEX(H$2:H224,
MAX(FILTER(ROW(H$2:H224) - ROW(H$2) + 1, P$2:P224 = P225))))=""単価"","""",
IF(COUNTIF(P$2:P224, P225)=0, """", INDEX(H$2:H224,
MAX(FILTER(ROW(H$2:H224) - ROW(H$2) + 1, P$2:P224 = P225)))))"),42.9)</f>
        <v>42.9</v>
      </c>
      <c r="N225" s="335" t="str">
        <f>IF(MAXIFS('単価履歴'!$O:$O,'単価履歴'!$E:$E,E225,'単価履歴'!$F:$F,F225)=O225,"●","")</f>
        <v/>
      </c>
      <c r="O225" s="346">
        <v>45610.68481481481</v>
      </c>
      <c r="P225" s="334" t="str">
        <f t="shared" si="4"/>
        <v>中山製鋼:阪和ＨＳ１(単体H1/電特A/HS))</v>
      </c>
    </row>
    <row r="226" ht="15.75" customHeight="1">
      <c r="A226" s="335" t="s">
        <v>1428</v>
      </c>
      <c r="B226" s="336">
        <v>45610.0</v>
      </c>
      <c r="C226" s="335" t="s">
        <v>5</v>
      </c>
      <c r="D226" s="335" t="s">
        <v>46</v>
      </c>
      <c r="E226" s="337" t="str">
        <f t="shared" si="1"/>
        <v>中山製鋼:阪和</v>
      </c>
      <c r="F226" s="338" t="s">
        <v>101</v>
      </c>
      <c r="G226" s="339" t="str">
        <f t="shared" si="2"/>
        <v>中山製鋼:阪和ＨＳ２</v>
      </c>
      <c r="H226" s="340">
        <f t="shared" si="3"/>
        <v>40.9</v>
      </c>
      <c r="I226" s="341">
        <v>-44.9</v>
      </c>
      <c r="J226" s="332">
        <f>IFERROR(__xludf.DUMMYFUNCTION("IF(IF(COUNTIF(P$2:P225, P226)=0, """", INDEX(H$2:H225,
MAX(FILTER(ROW(H$2:H225) - ROW(H$2) + 1, P$2:P225 = P226))))=""単価"","""",
IF(COUNTIF(P$2:P225, P226)=0, """", INDEX(H$2:H225,
MAX(FILTER(ROW(H$2:H225) - ROW(H$2) + 1, P$2:P225 = P226)))))"),85.8)</f>
        <v>85.8</v>
      </c>
      <c r="N226" s="335" t="str">
        <f>IF(MAXIFS('単価履歴'!$O:$O,'単価履歴'!$E:$E,E226,'単価履歴'!$F:$F,F226)=O226,"●","")</f>
        <v/>
      </c>
      <c r="O226" s="346">
        <v>45610.686944444446</v>
      </c>
      <c r="P226" s="334" t="str">
        <f t="shared" si="4"/>
        <v>中山製鋼:阪和ＨＳ２</v>
      </c>
    </row>
    <row r="227" ht="15.75" customHeight="1">
      <c r="A227" s="335" t="s">
        <v>1429</v>
      </c>
      <c r="B227" s="336">
        <v>45610.0</v>
      </c>
      <c r="C227" s="335" t="s">
        <v>5</v>
      </c>
      <c r="D227" s="335" t="s">
        <v>46</v>
      </c>
      <c r="E227" s="337" t="str">
        <f t="shared" si="1"/>
        <v>中山製鋼:阪和</v>
      </c>
      <c r="F227" s="338" t="s">
        <v>101</v>
      </c>
      <c r="G227" s="339" t="str">
        <f t="shared" si="2"/>
        <v>中山製鋼:阪和ＨＳ２</v>
      </c>
      <c r="H227" s="340">
        <f t="shared" si="3"/>
        <v>43.9</v>
      </c>
      <c r="I227" s="341">
        <v>3.0</v>
      </c>
      <c r="J227" s="332">
        <f>IFERROR(__xludf.DUMMYFUNCTION("IF(IF(COUNTIF(P$2:P226, P227)=0, """", INDEX(H$2:H226,
MAX(FILTER(ROW(H$2:H226) - ROW(H$2) + 1, P$2:P226 = P227))))=""単価"","""",
IF(COUNTIF(P$2:P226, P227)=0, """", INDEX(H$2:H226,
MAX(FILTER(ROW(H$2:H226) - ROW(H$2) + 1, P$2:P226 = P227)))))"),40.9)</f>
        <v>40.9</v>
      </c>
      <c r="N227" s="335" t="str">
        <f>IF(MAXIFS('単価履歴'!$O:$O,'単価履歴'!$E:$E,E227,'単価履歴'!$F:$F,F227)=O227,"●","")</f>
        <v/>
      </c>
      <c r="O227" s="346">
        <v>45610.68755787037</v>
      </c>
      <c r="P227" s="334" t="str">
        <f t="shared" si="4"/>
        <v>中山製鋼:阪和ＨＳ２</v>
      </c>
    </row>
    <row r="228" ht="15.75" customHeight="1">
      <c r="A228" s="335" t="s">
        <v>1430</v>
      </c>
      <c r="B228" s="336">
        <v>45610.0</v>
      </c>
      <c r="C228" s="335" t="s">
        <v>5</v>
      </c>
      <c r="D228" s="335" t="s">
        <v>47</v>
      </c>
      <c r="E228" s="337" t="str">
        <f t="shared" si="1"/>
        <v>中山製鋼:豊通</v>
      </c>
      <c r="F228" s="338" t="s">
        <v>1199</v>
      </c>
      <c r="G228" s="339" t="str">
        <f t="shared" si="2"/>
        <v>中山製鋼:豊通ＨＳ１(単体H1/電特A/HS))</v>
      </c>
      <c r="H228" s="340">
        <f t="shared" si="3"/>
        <v>43.8</v>
      </c>
      <c r="I228" s="341">
        <v>43.8</v>
      </c>
      <c r="J228" s="332" t="str">
        <f>IFERROR(__xludf.DUMMYFUNCTION("IF(IF(COUNTIF(P$2:P227, P228)=0, """", INDEX(H$2:H227,
MAX(FILTER(ROW(H$2:H227) - ROW(H$2) + 1, P$2:P227 = P228))))=""単価"","""",
IF(COUNTIF(P$2:P227, P228)=0, """", INDEX(H$2:H227,
MAX(FILTER(ROW(H$2:H227) - ROW(H$2) + 1, P$2:P227 = P228)))))"),"")</f>
        <v/>
      </c>
      <c r="N228" s="335" t="str">
        <f>IF(MAXIFS('単価履歴'!$O:$O,'単価履歴'!$E:$E,E228,'単価履歴'!$F:$F,F228)=O228,"●","")</f>
        <v/>
      </c>
      <c r="O228" s="346">
        <v>45610.69119212963</v>
      </c>
      <c r="P228" s="334" t="str">
        <f t="shared" si="4"/>
        <v>中山製鋼:豊通ＨＳ１(単体H1/電特A/HS))</v>
      </c>
    </row>
    <row r="229" ht="15.75" customHeight="1">
      <c r="A229" s="335" t="s">
        <v>1431</v>
      </c>
      <c r="B229" s="336">
        <v>45610.0</v>
      </c>
      <c r="C229" s="335" t="s">
        <v>5</v>
      </c>
      <c r="D229" s="335" t="s">
        <v>47</v>
      </c>
      <c r="E229" s="337" t="str">
        <f t="shared" si="1"/>
        <v>中山製鋼:豊通</v>
      </c>
      <c r="F229" s="338" t="s">
        <v>101</v>
      </c>
      <c r="G229" s="339" t="str">
        <f t="shared" si="2"/>
        <v>中山製鋼:豊通ＨＳ２</v>
      </c>
      <c r="H229" s="340">
        <f t="shared" si="3"/>
        <v>43.8</v>
      </c>
      <c r="I229" s="341">
        <v>43.8</v>
      </c>
      <c r="J229" s="332" t="str">
        <f>IFERROR(__xludf.DUMMYFUNCTION("IF(IF(COUNTIF(P$2:P228, P229)=0, """", INDEX(H$2:H228,
MAX(FILTER(ROW(H$2:H228) - ROW(H$2) + 1, P$2:P228 = P229))))=""単価"","""",
IF(COUNTIF(P$2:P228, P229)=0, """", INDEX(H$2:H228,
MAX(FILTER(ROW(H$2:H228) - ROW(H$2) + 1, P$2:P228 = P229)))))"),"")</f>
        <v/>
      </c>
      <c r="N229" s="335" t="str">
        <f>IF(MAXIFS('単価履歴'!$O:$O,'単価履歴'!$E:$E,E229,'単価履歴'!$F:$F,F229)=O229,"●","")</f>
        <v/>
      </c>
      <c r="O229" s="346">
        <v>45610.69119212963</v>
      </c>
      <c r="P229" s="334" t="str">
        <f t="shared" si="4"/>
        <v>中山製鋼:豊通ＨＳ２</v>
      </c>
    </row>
    <row r="230" ht="15.75" customHeight="1">
      <c r="A230" s="335" t="s">
        <v>1432</v>
      </c>
      <c r="B230" s="336">
        <v>45649.0</v>
      </c>
      <c r="C230" s="335" t="s">
        <v>5</v>
      </c>
      <c r="D230" s="335" t="s">
        <v>46</v>
      </c>
      <c r="E230" s="337" t="str">
        <f t="shared" si="1"/>
        <v>中山製鋼:阪和</v>
      </c>
      <c r="F230" s="338" t="s">
        <v>1199</v>
      </c>
      <c r="G230" s="339" t="str">
        <f t="shared" si="2"/>
        <v>中山製鋼:阪和ＨＳ１(単体H1/電特A/HS))</v>
      </c>
      <c r="H230" s="340">
        <f t="shared" si="3"/>
        <v>10</v>
      </c>
      <c r="I230" s="341">
        <v>10.0</v>
      </c>
      <c r="J230" s="332">
        <f>IFERROR(__xludf.DUMMYFUNCTION("IF(IF(COUNTIF(P$2:P229, P230)=0, """", INDEX(H$2:H229,
MAX(FILTER(ROW(H$2:H229) - ROW(H$2) + 1, P$2:P229 = P230))))=""単価"","""",
IF(COUNTIF(P$2:P229, P230)=0, """", INDEX(H$2:H229,
MAX(FILTER(ROW(H$2:H229) - ROW(H$2) + 1, P$2:P229 = P230)))))"),0.0)</f>
        <v>0</v>
      </c>
      <c r="N230" s="335" t="str">
        <f>IF(MAXIFS('単価履歴'!$O:$O,'単価履歴'!$E:$E,E230,'単価履歴'!$F:$F,F230)=O230,"●","")</f>
        <v/>
      </c>
      <c r="O230" s="346">
        <v>45649.34642361111</v>
      </c>
      <c r="P230" s="334" t="str">
        <f t="shared" si="4"/>
        <v>中山製鋼:阪和ＨＳ１(単体H1/電特A/HS))</v>
      </c>
    </row>
    <row r="231" ht="15.75" customHeight="1">
      <c r="A231" s="335" t="s">
        <v>1433</v>
      </c>
      <c r="B231" s="336">
        <v>45649.0</v>
      </c>
      <c r="C231" s="335" t="s">
        <v>5</v>
      </c>
      <c r="D231" s="335" t="s">
        <v>46</v>
      </c>
      <c r="E231" s="337" t="str">
        <f t="shared" si="1"/>
        <v>中山製鋼:阪和</v>
      </c>
      <c r="F231" s="338" t="s">
        <v>101</v>
      </c>
      <c r="G231" s="339" t="str">
        <f t="shared" si="2"/>
        <v>中山製鋼:阪和ＨＳ２</v>
      </c>
      <c r="H231" s="340">
        <f t="shared" si="3"/>
        <v>53.9</v>
      </c>
      <c r="I231" s="341">
        <v>10.0</v>
      </c>
      <c r="J231" s="332">
        <f>IFERROR(__xludf.DUMMYFUNCTION("IF(IF(COUNTIF(P$2:P230, P231)=0, """", INDEX(H$2:H230,
MAX(FILTER(ROW(H$2:H230) - ROW(H$2) + 1, P$2:P230 = P231))))=""単価"","""",
IF(COUNTIF(P$2:P230, P231)=0, """", INDEX(H$2:H230,
MAX(FILTER(ROW(H$2:H230) - ROW(H$2) + 1, P$2:P230 = P231)))))"),43.9)</f>
        <v>43.9</v>
      </c>
      <c r="N231" s="335" t="str">
        <f>IF(MAXIFS('単価履歴'!$O:$O,'単価履歴'!$E:$E,E231,'単価履歴'!$F:$F,F231)=O231,"●","")</f>
        <v/>
      </c>
      <c r="O231" s="346">
        <v>45649.34642361111</v>
      </c>
      <c r="P231" s="334" t="str">
        <f t="shared" si="4"/>
        <v>中山製鋼:阪和ＨＳ２</v>
      </c>
    </row>
    <row r="232" ht="15.75" customHeight="1">
      <c r="A232" s="335" t="s">
        <v>1434</v>
      </c>
      <c r="B232" s="336">
        <v>45649.0</v>
      </c>
      <c r="C232" s="335" t="s">
        <v>5</v>
      </c>
      <c r="D232" s="335" t="s">
        <v>47</v>
      </c>
      <c r="E232" s="337" t="str">
        <f t="shared" si="1"/>
        <v>中山製鋼:豊通</v>
      </c>
      <c r="F232" s="338" t="s">
        <v>1199</v>
      </c>
      <c r="G232" s="339" t="str">
        <f t="shared" si="2"/>
        <v>中山製鋼:豊通ＨＳ１(単体H1/電特A/HS))</v>
      </c>
      <c r="H232" s="340">
        <f t="shared" si="3"/>
        <v>53.8</v>
      </c>
      <c r="I232" s="341">
        <v>10.0</v>
      </c>
      <c r="J232" s="332">
        <f>IFERROR(__xludf.DUMMYFUNCTION("IF(IF(COUNTIF(P$2:P231, P232)=0, """", INDEX(H$2:H231,
MAX(FILTER(ROW(H$2:H231) - ROW(H$2) + 1, P$2:P231 = P232))))=""単価"","""",
IF(COUNTIF(P$2:P231, P232)=0, """", INDEX(H$2:H231,
MAX(FILTER(ROW(H$2:H231) - ROW(H$2) + 1, P$2:P231 = P232)))))"),43.8)</f>
        <v>43.8</v>
      </c>
      <c r="N232" s="335" t="str">
        <f>IF(MAXIFS('単価履歴'!$O:$O,'単価履歴'!$E:$E,E232,'単価履歴'!$F:$F,F232)=O232,"●","")</f>
        <v/>
      </c>
      <c r="O232" s="346">
        <v>45649.34642361111</v>
      </c>
      <c r="P232" s="334" t="str">
        <f t="shared" si="4"/>
        <v>中山製鋼:豊通ＨＳ１(単体H1/電特A/HS))</v>
      </c>
    </row>
    <row r="233" ht="15.75" customHeight="1">
      <c r="A233" s="335" t="s">
        <v>1435</v>
      </c>
      <c r="B233" s="336">
        <v>45649.0</v>
      </c>
      <c r="C233" s="335" t="s">
        <v>5</v>
      </c>
      <c r="D233" s="335" t="s">
        <v>47</v>
      </c>
      <c r="E233" s="337" t="str">
        <f t="shared" si="1"/>
        <v>中山製鋼:豊通</v>
      </c>
      <c r="F233" s="338" t="s">
        <v>101</v>
      </c>
      <c r="G233" s="339" t="str">
        <f t="shared" si="2"/>
        <v>中山製鋼:豊通ＨＳ２</v>
      </c>
      <c r="H233" s="340">
        <f t="shared" si="3"/>
        <v>53.8</v>
      </c>
      <c r="I233" s="341">
        <v>10.0</v>
      </c>
      <c r="J233" s="332">
        <f>IFERROR(__xludf.DUMMYFUNCTION("IF(IF(COUNTIF(P$2:P232, P233)=0, """", INDEX(H$2:H232,
MAX(FILTER(ROW(H$2:H232) - ROW(H$2) + 1, P$2:P232 = P233))))=""単価"","""",
IF(COUNTIF(P$2:P232, P233)=0, """", INDEX(H$2:H232,
MAX(FILTER(ROW(H$2:H232) - ROW(H$2) + 1, P$2:P232 = P233)))))"),43.8)</f>
        <v>43.8</v>
      </c>
      <c r="N233" s="335" t="str">
        <f>IF(MAXIFS('単価履歴'!$O:$O,'単価履歴'!$E:$E,E233,'単価履歴'!$F:$F,F233)=O233,"●","")</f>
        <v/>
      </c>
      <c r="O233" s="346">
        <v>45649.34642361111</v>
      </c>
      <c r="P233" s="334" t="str">
        <f t="shared" si="4"/>
        <v>中山製鋼:豊通ＨＳ２</v>
      </c>
    </row>
    <row r="234" ht="15.75" customHeight="1">
      <c r="A234" s="335" t="s">
        <v>1436</v>
      </c>
      <c r="B234" s="336">
        <v>45649.0</v>
      </c>
      <c r="C234" s="335" t="s">
        <v>5</v>
      </c>
      <c r="D234" s="335" t="s">
        <v>46</v>
      </c>
      <c r="E234" s="337" t="str">
        <f t="shared" si="1"/>
        <v>中山製鋼:阪和</v>
      </c>
      <c r="F234" s="338" t="s">
        <v>1199</v>
      </c>
      <c r="G234" s="339" t="str">
        <f t="shared" si="2"/>
        <v>中山製鋼:阪和ＨＳ１(単体H1/電特A/HS))</v>
      </c>
      <c r="H234" s="340">
        <f t="shared" si="3"/>
        <v>0</v>
      </c>
      <c r="I234" s="341">
        <v>-10.0</v>
      </c>
      <c r="J234" s="332">
        <f>IFERROR(__xludf.DUMMYFUNCTION("IF(IF(COUNTIF(P$2:P233, P234)=0, """", INDEX(H$2:H233,
MAX(FILTER(ROW(H$2:H233) - ROW(H$2) + 1, P$2:P233 = P234))))=""単価"","""",
IF(COUNTIF(P$2:P233, P234)=0, """", INDEX(H$2:H233,
MAX(FILTER(ROW(H$2:H233) - ROW(H$2) + 1, P$2:P233 = P234)))))"),10.0)</f>
        <v>10</v>
      </c>
      <c r="N234" s="335" t="str">
        <f>IF(MAXIFS('単価履歴'!$O:$O,'単価履歴'!$E:$E,E234,'単価履歴'!$F:$F,F234)=O234,"●","")</f>
        <v/>
      </c>
      <c r="O234" s="346">
        <v>45649.34674768518</v>
      </c>
      <c r="P234" s="334" t="str">
        <f t="shared" si="4"/>
        <v>中山製鋼:阪和ＨＳ１(単体H1/電特A/HS))</v>
      </c>
    </row>
    <row r="235" ht="15.75" customHeight="1">
      <c r="A235" s="335" t="s">
        <v>1437</v>
      </c>
      <c r="B235" s="336">
        <v>45649.0</v>
      </c>
      <c r="C235" s="335" t="s">
        <v>5</v>
      </c>
      <c r="D235" s="335" t="s">
        <v>46</v>
      </c>
      <c r="E235" s="337" t="str">
        <f t="shared" si="1"/>
        <v>中山製鋼:阪和</v>
      </c>
      <c r="F235" s="338" t="s">
        <v>101</v>
      </c>
      <c r="G235" s="339" t="str">
        <f t="shared" si="2"/>
        <v>中山製鋼:阪和ＨＳ２</v>
      </c>
      <c r="H235" s="340">
        <f t="shared" si="3"/>
        <v>43.9</v>
      </c>
      <c r="I235" s="341">
        <v>-10.0</v>
      </c>
      <c r="J235" s="332">
        <f>IFERROR(__xludf.DUMMYFUNCTION("IF(IF(COUNTIF(P$2:P234, P235)=0, """", INDEX(H$2:H234,
MAX(FILTER(ROW(H$2:H234) - ROW(H$2) + 1, P$2:P234 = P235))))=""単価"","""",
IF(COUNTIF(P$2:P234, P235)=0, """", INDEX(H$2:H234,
MAX(FILTER(ROW(H$2:H234) - ROW(H$2) + 1, P$2:P234 = P235)))))"),53.9)</f>
        <v>53.9</v>
      </c>
      <c r="N235" s="335" t="str">
        <f>IF(MAXIFS('単価履歴'!$O:$O,'単価履歴'!$E:$E,E235,'単価履歴'!$F:$F,F235)=O235,"●","")</f>
        <v/>
      </c>
      <c r="O235" s="346">
        <v>45649.34674768518</v>
      </c>
      <c r="P235" s="334" t="str">
        <f t="shared" si="4"/>
        <v>中山製鋼:阪和ＨＳ２</v>
      </c>
    </row>
    <row r="236" ht="15.75" customHeight="1">
      <c r="A236" s="335" t="s">
        <v>1438</v>
      </c>
      <c r="B236" s="336">
        <v>45649.0</v>
      </c>
      <c r="C236" s="335" t="s">
        <v>5</v>
      </c>
      <c r="D236" s="335" t="s">
        <v>47</v>
      </c>
      <c r="E236" s="337" t="str">
        <f t="shared" si="1"/>
        <v>中山製鋼:豊通</v>
      </c>
      <c r="F236" s="338" t="s">
        <v>1199</v>
      </c>
      <c r="G236" s="339" t="str">
        <f t="shared" si="2"/>
        <v>中山製鋼:豊通ＨＳ１(単体H1/電特A/HS))</v>
      </c>
      <c r="H236" s="340">
        <f t="shared" si="3"/>
        <v>43.8</v>
      </c>
      <c r="I236" s="341">
        <v>-10.0</v>
      </c>
      <c r="J236" s="332">
        <f>IFERROR(__xludf.DUMMYFUNCTION("IF(IF(COUNTIF(P$2:P235, P236)=0, """", INDEX(H$2:H235,
MAX(FILTER(ROW(H$2:H235) - ROW(H$2) + 1, P$2:P235 = P236))))=""単価"","""",
IF(COUNTIF(P$2:P235, P236)=0, """", INDEX(H$2:H235,
MAX(FILTER(ROW(H$2:H235) - ROW(H$2) + 1, P$2:P235 = P236)))))"),53.8)</f>
        <v>53.8</v>
      </c>
      <c r="N236" s="335" t="str">
        <f>IF(MAXIFS('単価履歴'!$O:$O,'単価履歴'!$E:$E,E236,'単価履歴'!$F:$F,F236)=O236,"●","")</f>
        <v/>
      </c>
      <c r="O236" s="346">
        <v>45649.34674768518</v>
      </c>
      <c r="P236" s="334" t="str">
        <f t="shared" si="4"/>
        <v>中山製鋼:豊通ＨＳ１(単体H1/電特A/HS))</v>
      </c>
    </row>
    <row r="237" ht="15.75" customHeight="1">
      <c r="A237" s="335" t="s">
        <v>1439</v>
      </c>
      <c r="B237" s="336">
        <v>45649.0</v>
      </c>
      <c r="C237" s="335" t="s">
        <v>5</v>
      </c>
      <c r="D237" s="335" t="s">
        <v>47</v>
      </c>
      <c r="E237" s="337" t="str">
        <f t="shared" si="1"/>
        <v>中山製鋼:豊通</v>
      </c>
      <c r="F237" s="338" t="s">
        <v>101</v>
      </c>
      <c r="G237" s="339" t="str">
        <f t="shared" si="2"/>
        <v>中山製鋼:豊通ＨＳ２</v>
      </c>
      <c r="H237" s="340">
        <f t="shared" si="3"/>
        <v>43.8</v>
      </c>
      <c r="I237" s="341">
        <v>-10.0</v>
      </c>
      <c r="J237" s="332">
        <f>IFERROR(__xludf.DUMMYFUNCTION("IF(IF(COUNTIF(P$2:P236, P237)=0, """", INDEX(H$2:H236,
MAX(FILTER(ROW(H$2:H236) - ROW(H$2) + 1, P$2:P236 = P237))))=""単価"","""",
IF(COUNTIF(P$2:P236, P237)=0, """", INDEX(H$2:H236,
MAX(FILTER(ROW(H$2:H236) - ROW(H$2) + 1, P$2:P236 = P237)))))"),53.8)</f>
        <v>53.8</v>
      </c>
      <c r="N237" s="335" t="str">
        <f>IF(MAXIFS('単価履歴'!$O:$O,'単価履歴'!$E:$E,E237,'単価履歴'!$F:$F,F237)=O237,"●","")</f>
        <v/>
      </c>
      <c r="O237" s="346">
        <v>45649.34674768518</v>
      </c>
      <c r="P237" s="334" t="str">
        <f t="shared" si="4"/>
        <v>中山製鋼:豊通ＨＳ２</v>
      </c>
    </row>
    <row r="238" ht="15.75" customHeight="1">
      <c r="A238" s="335" t="s">
        <v>1440</v>
      </c>
      <c r="B238" s="336">
        <v>45649.0</v>
      </c>
      <c r="C238" s="335" t="s">
        <v>5</v>
      </c>
      <c r="D238" s="335" t="s">
        <v>46</v>
      </c>
      <c r="E238" s="337" t="str">
        <f t="shared" si="1"/>
        <v>中山製鋼:阪和</v>
      </c>
      <c r="F238" s="338" t="s">
        <v>111</v>
      </c>
      <c r="G238" s="339" t="str">
        <f t="shared" si="2"/>
        <v>中山製鋼:阪和Ｈ１(特A)</v>
      </c>
      <c r="H238" s="340">
        <f t="shared" si="3"/>
        <v>41.5</v>
      </c>
      <c r="I238" s="341">
        <v>-39.5</v>
      </c>
      <c r="J238" s="332">
        <f>IFERROR(__xludf.DUMMYFUNCTION("IF(IF(COUNTIF(P$2:P237, P238)=0, """", INDEX(H$2:H237,
MAX(FILTER(ROW(H$2:H237) - ROW(H$2) + 1, P$2:P237 = P238))))=""単価"","""",
IF(COUNTIF(P$2:P237, P238)=0, """", INDEX(H$2:H237,
MAX(FILTER(ROW(H$2:H237) - ROW(H$2) + 1, P$2:P237 = P238)))))"),81.0)</f>
        <v>81</v>
      </c>
      <c r="N238" s="335" t="str">
        <f>IF(MAXIFS('単価履歴'!$O:$O,'単価履歴'!$E:$E,E238,'単価履歴'!$F:$F,F238)=O238,"●","")</f>
        <v/>
      </c>
      <c r="O238" s="346">
        <v>45649.44791666667</v>
      </c>
      <c r="P238" s="334" t="str">
        <f t="shared" si="4"/>
        <v>中山製鋼:阪和Ｈ１(特A)</v>
      </c>
    </row>
    <row r="239" ht="15.75" customHeight="1">
      <c r="A239" s="335" t="s">
        <v>1441</v>
      </c>
      <c r="B239" s="336">
        <v>45649.0</v>
      </c>
      <c r="C239" s="335" t="s">
        <v>5</v>
      </c>
      <c r="D239" s="335" t="s">
        <v>47</v>
      </c>
      <c r="E239" s="337" t="str">
        <f t="shared" si="1"/>
        <v>中山製鋼:豊通</v>
      </c>
      <c r="F239" s="338" t="s">
        <v>111</v>
      </c>
      <c r="G239" s="339" t="str">
        <f t="shared" si="2"/>
        <v>中山製鋼:豊通Ｈ１(特A)</v>
      </c>
      <c r="H239" s="340">
        <f t="shared" si="3"/>
        <v>42.8</v>
      </c>
      <c r="I239" s="341">
        <v>-38.2</v>
      </c>
      <c r="J239" s="332">
        <f>IFERROR(__xludf.DUMMYFUNCTION("IF(IF(COUNTIF(P$2:P238, P239)=0, """", INDEX(H$2:H238,
MAX(FILTER(ROW(H$2:H238) - ROW(H$2) + 1, P$2:P238 = P239))))=""単価"","""",
IF(COUNTIF(P$2:P238, P239)=0, """", INDEX(H$2:H238,
MAX(FILTER(ROW(H$2:H238) - ROW(H$2) + 1, P$2:P238 = P239)))))"),81.0)</f>
        <v>81</v>
      </c>
      <c r="N239" s="335" t="str">
        <f>IF(MAXIFS('単価履歴'!$O:$O,'単価履歴'!$E:$E,E239,'単価履歴'!$F:$F,F239)=O239,"●","")</f>
        <v/>
      </c>
      <c r="O239" s="346">
        <v>45649.45381944445</v>
      </c>
      <c r="P239" s="334" t="str">
        <f t="shared" si="4"/>
        <v>中山製鋼:豊通Ｈ１(特A)</v>
      </c>
    </row>
    <row r="240" ht="15.75" customHeight="1">
      <c r="A240" s="335" t="s">
        <v>1442</v>
      </c>
      <c r="B240" s="336">
        <v>45649.0</v>
      </c>
      <c r="C240" s="335" t="s">
        <v>5</v>
      </c>
      <c r="D240" s="335" t="s">
        <v>46</v>
      </c>
      <c r="E240" s="337" t="str">
        <f t="shared" si="1"/>
        <v>中山製鋼:阪和</v>
      </c>
      <c r="F240" s="338" t="s">
        <v>116</v>
      </c>
      <c r="G240" s="339" t="str">
        <f t="shared" si="2"/>
        <v>中山製鋼:阪和Ｈ２(特級)</v>
      </c>
      <c r="H240" s="340">
        <f t="shared" si="3"/>
        <v>31.8</v>
      </c>
      <c r="I240" s="341">
        <v>-34.8</v>
      </c>
      <c r="J240" s="332">
        <f>IFERROR(__xludf.DUMMYFUNCTION("IF(IF(COUNTIF(P$2:P239, P240)=0, """", INDEX(H$2:H239,
MAX(FILTER(ROW(H$2:H239) - ROW(H$2) + 1, P$2:P239 = P240))))=""単価"","""",
IF(COUNTIF(P$2:P239, P240)=0, """", INDEX(H$2:H239,
MAX(FILTER(ROW(H$2:H239) - ROW(H$2) + 1, P$2:P239 = P240)))))"),66.6)</f>
        <v>66.6</v>
      </c>
      <c r="N240" s="335" t="str">
        <f>IF(MAXIFS('単価履歴'!$O:$O,'単価履歴'!$E:$E,E240,'単価履歴'!$F:$F,F240)=O240,"●","")</f>
        <v/>
      </c>
      <c r="O240" s="346">
        <v>45649.45453703703</v>
      </c>
      <c r="P240" s="334" t="str">
        <f t="shared" si="4"/>
        <v>中山製鋼:阪和Ｈ２(特級)</v>
      </c>
    </row>
    <row r="241" ht="15.75" customHeight="1">
      <c r="A241" s="335" t="s">
        <v>1443</v>
      </c>
      <c r="B241" s="336">
        <v>45649.0</v>
      </c>
      <c r="C241" s="335" t="s">
        <v>5</v>
      </c>
      <c r="D241" s="335" t="s">
        <v>47</v>
      </c>
      <c r="E241" s="337" t="str">
        <f t="shared" si="1"/>
        <v>中山製鋼:豊通</v>
      </c>
      <c r="F241" s="338" t="s">
        <v>116</v>
      </c>
      <c r="G241" s="339" t="str">
        <f t="shared" si="2"/>
        <v>中山製鋼:豊通Ｈ２(特級)</v>
      </c>
      <c r="H241" s="340">
        <f t="shared" si="3"/>
        <v>36.8</v>
      </c>
      <c r="I241" s="341">
        <v>-34.8</v>
      </c>
      <c r="J241" s="332">
        <f>IFERROR(__xludf.DUMMYFUNCTION("IF(IF(COUNTIF(P$2:P240, P241)=0, """", INDEX(H$2:H240,
MAX(FILTER(ROW(H$2:H240) - ROW(H$2) + 1, P$2:P240 = P241))))=""単価"","""",
IF(COUNTIF(P$2:P240, P241)=0, """", INDEX(H$2:H240,
MAX(FILTER(ROW(H$2:H240) - ROW(H$2) + 1, P$2:P240 = P241)))))"),71.6)</f>
        <v>71.6</v>
      </c>
      <c r="N241" s="335" t="str">
        <f>IF(MAXIFS('単価履歴'!$O:$O,'単価履歴'!$E:$E,E241,'単価履歴'!$F:$F,F241)=O241,"●","")</f>
        <v/>
      </c>
      <c r="O241" s="346">
        <v>45649.45453703703</v>
      </c>
      <c r="P241" s="334" t="str">
        <f t="shared" si="4"/>
        <v>中山製鋼:豊通Ｈ２(特級)</v>
      </c>
    </row>
    <row r="242" ht="15.75" customHeight="1">
      <c r="A242" s="335" t="s">
        <v>1444</v>
      </c>
      <c r="B242" s="336">
        <v>45649.0</v>
      </c>
      <c r="C242" s="335" t="s">
        <v>5</v>
      </c>
      <c r="D242" s="335" t="s">
        <v>46</v>
      </c>
      <c r="E242" s="337" t="str">
        <f t="shared" si="1"/>
        <v>中山製鋼:阪和</v>
      </c>
      <c r="F242" s="338" t="s">
        <v>119</v>
      </c>
      <c r="G242" s="339" t="str">
        <f t="shared" si="2"/>
        <v>中山製鋼:阪和Ｈ３(1級)</v>
      </c>
      <c r="H242" s="340">
        <f t="shared" si="3"/>
        <v>32.8</v>
      </c>
      <c r="I242" s="341">
        <v>-30.8</v>
      </c>
      <c r="J242" s="332">
        <f>IFERROR(__xludf.DUMMYFUNCTION("IF(IF(COUNTIF(P$2:P241, P242)=0, """", INDEX(H$2:H241,
MAX(FILTER(ROW(H$2:H241) - ROW(H$2) + 1, P$2:P241 = P242))))=""単価"","""",
IF(COUNTIF(P$2:P241, P242)=0, """", INDEX(H$2:H241,
MAX(FILTER(ROW(H$2:H241) - ROW(H$2) + 1, P$2:P241 = P242)))))"),63.6)</f>
        <v>63.6</v>
      </c>
      <c r="N242" s="335" t="str">
        <f>IF(MAXIFS('単価履歴'!$O:$O,'単価履歴'!$E:$E,E242,'単価履歴'!$F:$F,F242)=O242,"●","")</f>
        <v/>
      </c>
      <c r="O242" s="346">
        <v>45649.45527777778</v>
      </c>
      <c r="P242" s="334" t="str">
        <f t="shared" si="4"/>
        <v>中山製鋼:阪和Ｈ３(1級)</v>
      </c>
    </row>
    <row r="243" ht="15.75" customHeight="1">
      <c r="A243" s="335" t="s">
        <v>1445</v>
      </c>
      <c r="B243" s="336">
        <v>45649.0</v>
      </c>
      <c r="C243" s="335" t="s">
        <v>5</v>
      </c>
      <c r="D243" s="335" t="s">
        <v>46</v>
      </c>
      <c r="E243" s="337" t="str">
        <f t="shared" si="1"/>
        <v>中山製鋼:阪和</v>
      </c>
      <c r="F243" s="338" t="s">
        <v>122</v>
      </c>
      <c r="G243" s="339" t="str">
        <f t="shared" si="2"/>
        <v>中山製鋼:阪和Ｌ１(2級)</v>
      </c>
      <c r="H243" s="340">
        <f t="shared" si="3"/>
        <v>26.3</v>
      </c>
      <c r="I243" s="341">
        <v>-24.3</v>
      </c>
      <c r="J243" s="332">
        <f>IFERROR(__xludf.DUMMYFUNCTION("IF(IF(COUNTIF(P$2:P242, P243)=0, """", INDEX(H$2:H242,
MAX(FILTER(ROW(H$2:H242) - ROW(H$2) + 1, P$2:P242 = P243))))=""単価"","""",
IF(COUNTIF(P$2:P242, P243)=0, """", INDEX(H$2:H242,
MAX(FILTER(ROW(H$2:H242) - ROW(H$2) + 1, P$2:P242 = P243)))))"),50.6)</f>
        <v>50.6</v>
      </c>
      <c r="N243" s="335" t="str">
        <f>IF(MAXIFS('単価履歴'!$O:$O,'単価履歴'!$E:$E,E243,'単価履歴'!$F:$F,F243)=O243,"●","")</f>
        <v/>
      </c>
      <c r="O243" s="346">
        <v>45649.456284722226</v>
      </c>
      <c r="P243" s="334" t="str">
        <f t="shared" si="4"/>
        <v>中山製鋼:阪和Ｌ１(2級)</v>
      </c>
    </row>
    <row r="244" ht="15.75" customHeight="1">
      <c r="A244" s="335" t="s">
        <v>1446</v>
      </c>
      <c r="B244" s="336">
        <v>45649.0</v>
      </c>
      <c r="C244" s="335" t="s">
        <v>5</v>
      </c>
      <c r="D244" s="335" t="s">
        <v>46</v>
      </c>
      <c r="E244" s="337" t="str">
        <f t="shared" si="1"/>
        <v>中山製鋼:阪和</v>
      </c>
      <c r="F244" s="338" t="s">
        <v>130</v>
      </c>
      <c r="G244" s="339" t="str">
        <f t="shared" si="2"/>
        <v>中山製鋼:阪和新断Ａ</v>
      </c>
      <c r="H244" s="340">
        <f t="shared" si="3"/>
        <v>44.8</v>
      </c>
      <c r="I244" s="341">
        <v>-42.8</v>
      </c>
      <c r="J244" s="332">
        <f>IFERROR(__xludf.DUMMYFUNCTION("IF(IF(COUNTIF(P$2:P243, P244)=0, """", INDEX(H$2:H243,
MAX(FILTER(ROW(H$2:H243) - ROW(H$2) + 1, P$2:P243 = P244))))=""単価"","""",
IF(COUNTIF(P$2:P243, P244)=0, """", INDEX(H$2:H243,
MAX(FILTER(ROW(H$2:H243) - ROW(H$2) + 1, P$2:P243 = P244)))))"),87.6)</f>
        <v>87.6</v>
      </c>
      <c r="N244" s="335" t="str">
        <f>IF(MAXIFS('単価履歴'!$O:$O,'単価履歴'!$E:$E,E244,'単価履歴'!$F:$F,F244)=O244,"●","")</f>
        <v/>
      </c>
      <c r="O244" s="346">
        <v>45649.45700231481</v>
      </c>
      <c r="P244" s="334" t="str">
        <f t="shared" si="4"/>
        <v>中山製鋼:阪和新断Ａ</v>
      </c>
    </row>
    <row r="245" ht="15.75" customHeight="1">
      <c r="A245" s="335" t="s">
        <v>1447</v>
      </c>
      <c r="B245" s="336">
        <v>45649.0</v>
      </c>
      <c r="C245" s="335" t="s">
        <v>5</v>
      </c>
      <c r="D245" s="335" t="s">
        <v>1232</v>
      </c>
      <c r="E245" s="337" t="str">
        <f t="shared" si="1"/>
        <v>中山製鋼:豊通/出張商店</v>
      </c>
      <c r="F245" s="338" t="s">
        <v>130</v>
      </c>
      <c r="G245" s="339" t="str">
        <f t="shared" si="2"/>
        <v>中山製鋼:豊通/出張商店新断Ａ</v>
      </c>
      <c r="H245" s="340">
        <f t="shared" si="3"/>
        <v>43.8</v>
      </c>
      <c r="I245" s="341">
        <v>1.0</v>
      </c>
      <c r="J245" s="332">
        <f>IFERROR(__xludf.DUMMYFUNCTION("IF(IF(COUNTIF(P$2:P244, P245)=0, """", INDEX(H$2:H244,
MAX(FILTER(ROW(H$2:H244) - ROW(H$2) + 1, P$2:P244 = P245))))=""単価"","""",
IF(COUNTIF(P$2:P244, P245)=0, """", INDEX(H$2:H244,
MAX(FILTER(ROW(H$2:H244) - ROW(H$2) + 1, P$2:P244 = P245)))))"),42.8)</f>
        <v>42.8</v>
      </c>
      <c r="N245" s="335" t="str">
        <f>IF(MAXIFS('単価履歴'!$O:$O,'単価履歴'!$E:$E,E245,'単価履歴'!$F:$F,F245)=O245,"●","")</f>
        <v/>
      </c>
      <c r="O245" s="346">
        <v>45649.45746527778</v>
      </c>
      <c r="P245" s="334" t="str">
        <f t="shared" si="4"/>
        <v>中山製鋼:豊通/出張商店新断Ａ</v>
      </c>
    </row>
    <row r="246" ht="15.75" customHeight="1">
      <c r="A246" s="335" t="s">
        <v>1448</v>
      </c>
      <c r="B246" s="336">
        <v>45649.0</v>
      </c>
      <c r="C246" s="335" t="s">
        <v>5</v>
      </c>
      <c r="D246" s="335" t="s">
        <v>1234</v>
      </c>
      <c r="E246" s="337" t="str">
        <f t="shared" si="1"/>
        <v>中山製鋼:豊通/中川嘉弘商店</v>
      </c>
      <c r="F246" s="338" t="s">
        <v>130</v>
      </c>
      <c r="G246" s="339" t="str">
        <f t="shared" si="2"/>
        <v>中山製鋼:豊通/中川嘉弘商店新断Ａ</v>
      </c>
      <c r="H246" s="340">
        <f t="shared" si="3"/>
        <v>41.8</v>
      </c>
      <c r="I246" s="341">
        <v>1.0</v>
      </c>
      <c r="J246" s="332">
        <f>IFERROR(__xludf.DUMMYFUNCTION("IF(IF(COUNTIF(P$2:P245, P246)=0, """", INDEX(H$2:H245,
MAX(FILTER(ROW(H$2:H245) - ROW(H$2) + 1, P$2:P245 = P246))))=""単価"","""",
IF(COUNTIF(P$2:P245, P246)=0, """", INDEX(H$2:H245,
MAX(FILTER(ROW(H$2:H245) - ROW(H$2) + 1, P$2:P245 = P246)))))"),40.8)</f>
        <v>40.8</v>
      </c>
      <c r="N246" s="335" t="str">
        <f>IF(MAXIFS('単価履歴'!$O:$O,'単価履歴'!$E:$E,E246,'単価履歴'!$F:$F,F246)=O246,"●","")</f>
        <v/>
      </c>
      <c r="O246" s="346">
        <v>45649.45746527778</v>
      </c>
      <c r="P246" s="334" t="str">
        <f t="shared" si="4"/>
        <v>中山製鋼:豊通/中川嘉弘商店新断Ａ</v>
      </c>
    </row>
    <row r="247" ht="15.75" customHeight="1">
      <c r="A247" s="335" t="s">
        <v>1449</v>
      </c>
      <c r="B247" s="336">
        <v>45649.0</v>
      </c>
      <c r="C247" s="335" t="s">
        <v>5</v>
      </c>
      <c r="D247" s="335" t="s">
        <v>46</v>
      </c>
      <c r="E247" s="337" t="str">
        <f t="shared" si="1"/>
        <v>中山製鋼:阪和</v>
      </c>
      <c r="F247" s="338" t="s">
        <v>131</v>
      </c>
      <c r="G247" s="339" t="str">
        <f t="shared" si="2"/>
        <v>中山製鋼:阪和新断Ｂ</v>
      </c>
      <c r="H247" s="340">
        <f t="shared" si="3"/>
        <v>43.8</v>
      </c>
      <c r="I247" s="341">
        <v>-41.8</v>
      </c>
      <c r="J247" s="332">
        <f>IFERROR(__xludf.DUMMYFUNCTION("IF(IF(COUNTIF(P$2:P246, P247)=0, """", INDEX(H$2:H246,
MAX(FILTER(ROW(H$2:H246) - ROW(H$2) + 1, P$2:P246 = P247))))=""単価"","""",
IF(COUNTIF(P$2:P246, P247)=0, """", INDEX(H$2:H246,
MAX(FILTER(ROW(H$2:H246) - ROW(H$2) + 1, P$2:P246 = P247)))))"),85.6)</f>
        <v>85.6</v>
      </c>
      <c r="N247" s="335" t="str">
        <f>IF(MAXIFS('単価履歴'!$O:$O,'単価履歴'!$E:$E,E247,'単価履歴'!$F:$F,F247)=O247,"●","")</f>
        <v/>
      </c>
      <c r="O247" s="346">
        <v>45649.458495370374</v>
      </c>
      <c r="P247" s="334" t="str">
        <f t="shared" si="4"/>
        <v>中山製鋼:阪和新断Ｂ</v>
      </c>
    </row>
    <row r="248" ht="15.75" customHeight="1">
      <c r="A248" s="335" t="s">
        <v>1450</v>
      </c>
      <c r="B248" s="336">
        <v>45663.0</v>
      </c>
      <c r="C248" s="335" t="s">
        <v>5</v>
      </c>
      <c r="D248" s="335" t="s">
        <v>46</v>
      </c>
      <c r="E248" s="337" t="str">
        <f t="shared" si="1"/>
        <v>中山製鋼:阪和</v>
      </c>
      <c r="F248" s="338" t="s">
        <v>574</v>
      </c>
      <c r="G248" s="339" t="str">
        <f t="shared" si="2"/>
        <v>中山製鋼:阪和新断Ｃ</v>
      </c>
      <c r="H248" s="340">
        <f t="shared" si="3"/>
        <v>42.8</v>
      </c>
      <c r="I248" s="341">
        <v>42.8</v>
      </c>
      <c r="J248" s="332" t="str">
        <f>IFERROR(__xludf.DUMMYFUNCTION("IF(IF(COUNTIF(P$2:P247, P248)=0, """", INDEX(H$2:H247,
MAX(FILTER(ROW(H$2:H247) - ROW(H$2) + 1, P$2:P247 = P248))))=""単価"","""",
IF(COUNTIF(P$2:P247, P248)=0, """", INDEX(H$2:H247,
MAX(FILTER(ROW(H$2:H247) - ROW(H$2) + 1, P$2:P247 = P248)))))"),"")</f>
        <v/>
      </c>
      <c r="N248" s="335" t="str">
        <f>IF(MAXIFS('単価履歴'!$O:$O,'単価履歴'!$E:$E,E248,'単価履歴'!$F:$F,F248)=O248,"●","")</f>
        <v/>
      </c>
      <c r="O248" s="346">
        <v>45663.37341435185</v>
      </c>
      <c r="P248" s="334" t="str">
        <f t="shared" si="4"/>
        <v>中山製鋼:阪和新断Ｃ</v>
      </c>
    </row>
    <row r="249" ht="15.75" customHeight="1">
      <c r="A249" s="335" t="s">
        <v>1451</v>
      </c>
      <c r="B249" s="336">
        <v>45663.0</v>
      </c>
      <c r="C249" s="335" t="s">
        <v>5</v>
      </c>
      <c r="D249" s="335" t="s">
        <v>47</v>
      </c>
      <c r="E249" s="337" t="str">
        <f t="shared" si="1"/>
        <v>中山製鋼:豊通</v>
      </c>
      <c r="F249" s="338" t="s">
        <v>574</v>
      </c>
      <c r="G249" s="339" t="str">
        <f t="shared" si="2"/>
        <v>中山製鋼:豊通新断Ｃ</v>
      </c>
      <c r="H249" s="340">
        <f t="shared" si="3"/>
        <v>42.8</v>
      </c>
      <c r="I249" s="341">
        <v>42.8</v>
      </c>
      <c r="J249" s="332" t="str">
        <f>IFERROR(__xludf.DUMMYFUNCTION("IF(IF(COUNTIF(P$2:P248, P249)=0, """", INDEX(H$2:H248,
MAX(FILTER(ROW(H$2:H248) - ROW(H$2) + 1, P$2:P248 = P249))))=""単価"","""",
IF(COUNTIF(P$2:P248, P249)=0, """", INDEX(H$2:H248,
MAX(FILTER(ROW(H$2:H248) - ROW(H$2) + 1, P$2:P248 = P249)))))"),"")</f>
        <v/>
      </c>
      <c r="N249" s="335" t="str">
        <f>IF(MAXIFS('単価履歴'!$O:$O,'単価履歴'!$E:$E,E249,'単価履歴'!$F:$F,F249)=O249,"●","")</f>
        <v/>
      </c>
      <c r="O249" s="346">
        <v>45663.37341435185</v>
      </c>
      <c r="P249" s="334" t="str">
        <f t="shared" si="4"/>
        <v>中山製鋼:豊通新断Ｃ</v>
      </c>
    </row>
    <row r="250" ht="15.75" customHeight="1">
      <c r="A250" s="335" t="s">
        <v>1452</v>
      </c>
      <c r="B250" s="336">
        <v>45663.0</v>
      </c>
      <c r="C250" s="335" t="s">
        <v>6</v>
      </c>
      <c r="D250" s="335" t="s">
        <v>48</v>
      </c>
      <c r="E250" s="337" t="str">
        <f t="shared" si="1"/>
        <v>中山鋼業:ナベ</v>
      </c>
      <c r="F250" s="338" t="s">
        <v>111</v>
      </c>
      <c r="G250" s="339" t="str">
        <f t="shared" si="2"/>
        <v>中山鋼業:ナベＨ１(特A)</v>
      </c>
      <c r="H250" s="340">
        <f t="shared" si="3"/>
        <v>43.5</v>
      </c>
      <c r="I250" s="341">
        <v>1.0</v>
      </c>
      <c r="J250" s="332">
        <f>IFERROR(__xludf.DUMMYFUNCTION("IF(IF(COUNTIF(P$2:P249, P250)=0, """", INDEX(H$2:H249,
MAX(FILTER(ROW(H$2:H249) - ROW(H$2) + 1, P$2:P249 = P250))))=""単価"","""",
IF(COUNTIF(P$2:P249, P250)=0, """", INDEX(H$2:H249,
MAX(FILTER(ROW(H$2:H249) - ROW(H$2) + 1, P$2:P249 = P250)))))"),42.5)</f>
        <v>42.5</v>
      </c>
      <c r="N250" s="335" t="str">
        <f>IF(MAXIFS('単価履歴'!$O:$O,'単価履歴'!$E:$E,E250,'単価履歴'!$F:$F,F250)=O250,"●","")</f>
        <v/>
      </c>
      <c r="O250" s="346">
        <v>45663.3740625</v>
      </c>
      <c r="P250" s="334" t="str">
        <f t="shared" si="4"/>
        <v>中山鋼業:ナベＨ１(特A)</v>
      </c>
    </row>
    <row r="251" ht="15.75" customHeight="1">
      <c r="A251" s="335" t="s">
        <v>1453</v>
      </c>
      <c r="B251" s="336">
        <v>45663.0</v>
      </c>
      <c r="C251" s="335" t="s">
        <v>6</v>
      </c>
      <c r="D251" s="335" t="s">
        <v>48</v>
      </c>
      <c r="E251" s="337" t="str">
        <f t="shared" si="1"/>
        <v>中山鋼業:ナベ</v>
      </c>
      <c r="F251" s="338" t="s">
        <v>1237</v>
      </c>
      <c r="G251" s="339" t="str">
        <f t="shared" si="2"/>
        <v>中山鋼業:ナベＪＨ１(H2T山口)鍛造ﾊﾞﾘ</v>
      </c>
      <c r="H251" s="340">
        <f t="shared" si="3"/>
        <v>42.7</v>
      </c>
      <c r="I251" s="341">
        <v>1.0</v>
      </c>
      <c r="J251" s="332">
        <f>IFERROR(__xludf.DUMMYFUNCTION("IF(IF(COUNTIF(P$2:P250, P251)=0, """", INDEX(H$2:H250,
MAX(FILTER(ROW(H$2:H250) - ROW(H$2) + 1, P$2:P250 = P251))))=""単価"","""",
IF(COUNTIF(P$2:P250, P251)=0, """", INDEX(H$2:H250,
MAX(FILTER(ROW(H$2:H250) - ROW(H$2) + 1, P$2:P250 = P251)))))"),41.7)</f>
        <v>41.7</v>
      </c>
      <c r="N251" s="335" t="str">
        <f>IF(MAXIFS('単価履歴'!$O:$O,'単価履歴'!$E:$E,E251,'単価履歴'!$F:$F,F251)=O251,"●","")</f>
        <v/>
      </c>
      <c r="O251" s="346">
        <v>45663.37462962963</v>
      </c>
      <c r="P251" s="334" t="str">
        <f t="shared" si="4"/>
        <v>中山鋼業:ナベＪＨ１(H2T山口)鍛造ﾊﾞﾘ</v>
      </c>
    </row>
    <row r="252" ht="15.75" customHeight="1">
      <c r="A252" s="335" t="s">
        <v>1454</v>
      </c>
      <c r="B252" s="336">
        <v>45663.0</v>
      </c>
      <c r="C252" s="335" t="s">
        <v>6</v>
      </c>
      <c r="D252" s="335" t="s">
        <v>48</v>
      </c>
      <c r="E252" s="337" t="str">
        <f t="shared" si="1"/>
        <v>中山鋼業:ナベ</v>
      </c>
      <c r="F252" s="338" t="s">
        <v>116</v>
      </c>
      <c r="G252" s="339" t="str">
        <f t="shared" si="2"/>
        <v>中山鋼業:ナベＨ２(特級)</v>
      </c>
      <c r="H252" s="340">
        <f t="shared" si="3"/>
        <v>41.5</v>
      </c>
      <c r="I252" s="341">
        <v>1.0</v>
      </c>
      <c r="J252" s="332">
        <f>IFERROR(__xludf.DUMMYFUNCTION("IF(IF(COUNTIF(P$2:P251, P252)=0, """", INDEX(H$2:H251,
MAX(FILTER(ROW(H$2:H251) - ROW(H$2) + 1, P$2:P251 = P252))))=""単価"","""",
IF(COUNTIF(P$2:P251, P252)=0, """", INDEX(H$2:H251,
MAX(FILTER(ROW(H$2:H251) - ROW(H$2) + 1, P$2:P251 = P252)))))"),40.5)</f>
        <v>40.5</v>
      </c>
      <c r="N252" s="335" t="str">
        <f>IF(MAXIFS('単価履歴'!$O:$O,'単価履歴'!$E:$E,E252,'単価履歴'!$F:$F,F252)=O252,"●","")</f>
        <v/>
      </c>
      <c r="O252" s="346">
        <v>45663.37462962963</v>
      </c>
      <c r="P252" s="334" t="str">
        <f t="shared" si="4"/>
        <v>中山鋼業:ナベＨ２(特級)</v>
      </c>
    </row>
    <row r="253" ht="15.75" customHeight="1">
      <c r="A253" s="335" t="s">
        <v>1455</v>
      </c>
      <c r="B253" s="336">
        <v>45663.0</v>
      </c>
      <c r="C253" s="335" t="s">
        <v>6</v>
      </c>
      <c r="D253" s="335" t="s">
        <v>48</v>
      </c>
      <c r="E253" s="337" t="str">
        <f t="shared" si="1"/>
        <v>中山鋼業:ナベ</v>
      </c>
      <c r="F253" s="338" t="s">
        <v>119</v>
      </c>
      <c r="G253" s="339" t="str">
        <f t="shared" si="2"/>
        <v>中山鋼業:ナベＨ３(1級)</v>
      </c>
      <c r="H253" s="340">
        <f t="shared" si="3"/>
        <v>39</v>
      </c>
      <c r="I253" s="341">
        <v>1.0</v>
      </c>
      <c r="J253" s="332">
        <f>IFERROR(__xludf.DUMMYFUNCTION("IF(IF(COUNTIF(P$2:P252, P253)=0, """", INDEX(H$2:H252,
MAX(FILTER(ROW(H$2:H252) - ROW(H$2) + 1, P$2:P252 = P253))))=""単価"","""",
IF(COUNTIF(P$2:P252, P253)=0, """", INDEX(H$2:H252,
MAX(FILTER(ROW(H$2:H252) - ROW(H$2) + 1, P$2:P252 = P253)))))"),38.0)</f>
        <v>38</v>
      </c>
      <c r="N253" s="335" t="str">
        <f>IF(MAXIFS('単価履歴'!$O:$O,'単価履歴'!$E:$E,E253,'単価履歴'!$F:$F,F253)=O253,"●","")</f>
        <v/>
      </c>
      <c r="O253" s="346">
        <v>45663.37462962963</v>
      </c>
      <c r="P253" s="334" t="str">
        <f t="shared" si="4"/>
        <v>中山鋼業:ナベＨ３(1級)</v>
      </c>
    </row>
    <row r="254" ht="15.75" customHeight="1">
      <c r="A254" s="335" t="s">
        <v>1456</v>
      </c>
      <c r="B254" s="336">
        <v>45663.0</v>
      </c>
      <c r="C254" s="335" t="s">
        <v>6</v>
      </c>
      <c r="D254" s="335" t="s">
        <v>48</v>
      </c>
      <c r="E254" s="337" t="str">
        <f t="shared" si="1"/>
        <v>中山鋼業:ナベ</v>
      </c>
      <c r="F254" s="338" t="s">
        <v>122</v>
      </c>
      <c r="G254" s="339" t="str">
        <f t="shared" si="2"/>
        <v>中山鋼業:ナベＬ１(2級)</v>
      </c>
      <c r="H254" s="340">
        <f t="shared" si="3"/>
        <v>38.5</v>
      </c>
      <c r="I254" s="341">
        <v>1.0</v>
      </c>
      <c r="J254" s="332">
        <f>IFERROR(__xludf.DUMMYFUNCTION("IF(IF(COUNTIF(P$2:P253, P254)=0, """", INDEX(H$2:H253,
MAX(FILTER(ROW(H$2:H253) - ROW(H$2) + 1, P$2:P253 = P254))))=""単価"","""",
IF(COUNTIF(P$2:P253, P254)=0, """", INDEX(H$2:H253,
MAX(FILTER(ROW(H$2:H253) - ROW(H$2) + 1, P$2:P253 = P254)))))"),37.5)</f>
        <v>37.5</v>
      </c>
      <c r="N254" s="335" t="str">
        <f>IF(MAXIFS('単価履歴'!$O:$O,'単価履歴'!$E:$E,E254,'単価履歴'!$F:$F,F254)=O254,"●","")</f>
        <v/>
      </c>
      <c r="O254" s="346">
        <v>45663.37462962963</v>
      </c>
      <c r="P254" s="334" t="str">
        <f t="shared" si="4"/>
        <v>中山鋼業:ナベＬ１(2級)</v>
      </c>
    </row>
    <row r="255" ht="15.75" customHeight="1">
      <c r="A255" s="335" t="s">
        <v>1457</v>
      </c>
      <c r="B255" s="336">
        <v>45663.0</v>
      </c>
      <c r="C255" s="335" t="s">
        <v>6</v>
      </c>
      <c r="D255" s="335" t="s">
        <v>48</v>
      </c>
      <c r="E255" s="337" t="str">
        <f t="shared" si="1"/>
        <v>中山鋼業:ナベ</v>
      </c>
      <c r="F255" s="338" t="s">
        <v>573</v>
      </c>
      <c r="G255" s="339" t="str">
        <f t="shared" si="2"/>
        <v>中山鋼業:ナベＬ２(H4･級外･L1ﾊﾞﾗ)</v>
      </c>
      <c r="H255" s="340">
        <f t="shared" si="3"/>
        <v>35</v>
      </c>
      <c r="I255" s="341">
        <v>7.5</v>
      </c>
      <c r="J255" s="332">
        <f>IFERROR(__xludf.DUMMYFUNCTION("IF(IF(COUNTIF(P$2:P254, P255)=0, """", INDEX(H$2:H254,
MAX(FILTER(ROW(H$2:H254) - ROW(H$2) + 1, P$2:P254 = P255))))=""単価"","""",
IF(COUNTIF(P$2:P254, P255)=0, """", INDEX(H$2:H254,
MAX(FILTER(ROW(H$2:H254) - ROW(H$2) + 1, P$2:P254 = P255)))))"),27.5)</f>
        <v>27.5</v>
      </c>
      <c r="N255" s="335" t="str">
        <f>IF(MAXIFS('単価履歴'!$O:$O,'単価履歴'!$E:$E,E255,'単価履歴'!$F:$F,F255)=O255,"●","")</f>
        <v/>
      </c>
      <c r="O255" s="346">
        <v>45663.375497685185</v>
      </c>
      <c r="P255" s="334" t="str">
        <f t="shared" si="4"/>
        <v>中山鋼業:ナベＬ２(H4･級外･L1ﾊﾞﾗ)</v>
      </c>
    </row>
    <row r="256" ht="15.75" customHeight="1">
      <c r="A256" s="335" t="s">
        <v>1458</v>
      </c>
      <c r="B256" s="336">
        <v>45663.0</v>
      </c>
      <c r="C256" s="335" t="s">
        <v>6</v>
      </c>
      <c r="D256" s="335" t="s">
        <v>48</v>
      </c>
      <c r="E256" s="337" t="str">
        <f t="shared" si="1"/>
        <v>中山鋼業:ナベ</v>
      </c>
      <c r="F256" s="338" t="s">
        <v>575</v>
      </c>
      <c r="G256" s="339" t="str">
        <f t="shared" si="2"/>
        <v>中山鋼業:ナベ鋼ダライＡ</v>
      </c>
      <c r="H256" s="340">
        <f t="shared" si="3"/>
        <v>34.7</v>
      </c>
      <c r="I256" s="335">
        <v>-0.5</v>
      </c>
      <c r="J256" s="332">
        <f>IFERROR(__xludf.DUMMYFUNCTION("IF(IF(COUNTIF(P$2:P255, P256)=0, """", INDEX(H$2:H255,
MAX(FILTER(ROW(H$2:H255) - ROW(H$2) + 1, P$2:P255 = P256))))=""単価"","""",
IF(COUNTIF(P$2:P255, P256)=0, """", INDEX(H$2:H255,
MAX(FILTER(ROW(H$2:H255) - ROW(H$2) + 1, P$2:P255 = P256)))))"),35.2)</f>
        <v>35.2</v>
      </c>
      <c r="N256" s="335" t="str">
        <f>IF(MAXIFS('単価履歴'!$O:$O,'単価履歴'!$E:$E,E256,'単価履歴'!$F:$F,F256)=O256,"●","")</f>
        <v/>
      </c>
      <c r="O256" s="346">
        <v>45663.376018518524</v>
      </c>
      <c r="P256" s="334" t="str">
        <f t="shared" si="4"/>
        <v>中山鋼業:ナベ鋼ダライＡ</v>
      </c>
    </row>
    <row r="257" ht="15.75" customHeight="1">
      <c r="A257" s="335" t="s">
        <v>1459</v>
      </c>
      <c r="B257" s="336">
        <v>45663.0</v>
      </c>
      <c r="C257" s="335" t="s">
        <v>7</v>
      </c>
      <c r="D257" s="335" t="s">
        <v>49</v>
      </c>
      <c r="E257" s="337" t="str">
        <f t="shared" si="1"/>
        <v>合同大阪:伊藤忠</v>
      </c>
      <c r="F257" s="338" t="s">
        <v>575</v>
      </c>
      <c r="G257" s="339" t="str">
        <f t="shared" si="2"/>
        <v>合同大阪:伊藤忠鋼ダライＡ</v>
      </c>
      <c r="H257" s="340">
        <f t="shared" si="3"/>
        <v>32.8</v>
      </c>
      <c r="I257" s="341">
        <v>32.8</v>
      </c>
      <c r="J257" s="332" t="str">
        <f>IFERROR(__xludf.DUMMYFUNCTION("IF(IF(COUNTIF(P$2:P256, P257)=0, """", INDEX(H$2:H256,
MAX(FILTER(ROW(H$2:H256) - ROW(H$2) + 1, P$2:P256 = P257))))=""単価"","""",
IF(COUNTIF(P$2:P256, P257)=0, """", INDEX(H$2:H256,
MAX(FILTER(ROW(H$2:H256) - ROW(H$2) + 1, P$2:P256 = P257)))))"),"")</f>
        <v/>
      </c>
      <c r="N257" s="335" t="str">
        <f>IF(MAXIFS('単価履歴'!$O:$O,'単価履歴'!$E:$E,E257,'単価履歴'!$F:$F,F257)=O257,"●","")</f>
        <v/>
      </c>
      <c r="O257" s="346">
        <v>45663.381793981476</v>
      </c>
      <c r="P257" s="334" t="str">
        <f t="shared" si="4"/>
        <v>合同大阪:伊藤忠鋼ダライＡ</v>
      </c>
    </row>
    <row r="258" ht="15.75" customHeight="1">
      <c r="A258" s="335" t="s">
        <v>1460</v>
      </c>
      <c r="B258" s="336">
        <v>45663.0</v>
      </c>
      <c r="C258" s="335" t="s">
        <v>7</v>
      </c>
      <c r="D258" s="335" t="s">
        <v>49</v>
      </c>
      <c r="E258" s="337" t="str">
        <f t="shared" si="1"/>
        <v>合同大阪:伊藤忠</v>
      </c>
      <c r="F258" s="338" t="s">
        <v>576</v>
      </c>
      <c r="G258" s="339" t="str">
        <f t="shared" si="2"/>
        <v>合同大阪:伊藤忠鋼ダライＢ</v>
      </c>
      <c r="H258" s="340">
        <f t="shared" si="3"/>
        <v>32.3</v>
      </c>
      <c r="I258" s="341">
        <v>32.3</v>
      </c>
      <c r="J258" s="332" t="str">
        <f>IFERROR(__xludf.DUMMYFUNCTION("IF(IF(COUNTIF(P$2:P257, P258)=0, """", INDEX(H$2:H257,
MAX(FILTER(ROW(H$2:H257) - ROW(H$2) + 1, P$2:P257 = P258))))=""単価"","""",
IF(COUNTIF(P$2:P257, P258)=0, """", INDEX(H$2:H257,
MAX(FILTER(ROW(H$2:H257) - ROW(H$2) + 1, P$2:P257 = P258)))))"),"")</f>
        <v/>
      </c>
      <c r="N258" s="335" t="str">
        <f>IF(MAXIFS('単価履歴'!$O:$O,'単価履歴'!$E:$E,E258,'単価履歴'!$F:$F,F258)=O258,"●","")</f>
        <v/>
      </c>
      <c r="O258" s="346">
        <v>45663.381990740745</v>
      </c>
      <c r="P258" s="334" t="str">
        <f t="shared" si="4"/>
        <v>合同大阪:伊藤忠鋼ダライＢ</v>
      </c>
    </row>
    <row r="259" ht="15.75" customHeight="1">
      <c r="A259" s="335" t="s">
        <v>1461</v>
      </c>
      <c r="B259" s="336">
        <v>45663.0</v>
      </c>
      <c r="C259" s="335" t="s">
        <v>537</v>
      </c>
      <c r="D259" s="335" t="s">
        <v>1404</v>
      </c>
      <c r="E259" s="337" t="str">
        <f t="shared" si="1"/>
        <v>大同特殊鋼:JSE/大和ﾘﾃｯｸ</v>
      </c>
      <c r="F259" s="338" t="s">
        <v>575</v>
      </c>
      <c r="G259" s="339" t="str">
        <f t="shared" si="2"/>
        <v>大同特殊鋼:JSE/大和ﾘﾃｯｸ鋼ダライＡ</v>
      </c>
      <c r="H259" s="340">
        <f t="shared" si="3"/>
        <v>38.3</v>
      </c>
      <c r="I259" s="341">
        <v>38.3</v>
      </c>
      <c r="J259" s="332" t="str">
        <f>IFERROR(__xludf.DUMMYFUNCTION("IF(IF(COUNTIF(P$2:P258, P259)=0, """", INDEX(H$2:H258,
MAX(FILTER(ROW(H$2:H258) - ROW(H$2) + 1, P$2:P258 = P259))))=""単価"","""",
IF(COUNTIF(P$2:P258, P259)=0, """", INDEX(H$2:H258,
MAX(FILTER(ROW(H$2:H258) - ROW(H$2) + 1, P$2:P258 = P259)))))"),"")</f>
        <v/>
      </c>
      <c r="N259" s="335" t="str">
        <f>IF(MAXIFS('単価履歴'!$O:$O,'単価履歴'!$E:$E,E259,'単価履歴'!$F:$F,F259)=O259,"●","")</f>
        <v/>
      </c>
      <c r="O259" s="346">
        <v>45663.39538194444</v>
      </c>
      <c r="P259" s="334" t="str">
        <f t="shared" si="4"/>
        <v>大同特殊鋼:JSE/大和ﾘﾃｯｸ鋼ダライＡ</v>
      </c>
    </row>
    <row r="260" ht="15.75" customHeight="1">
      <c r="A260" s="335" t="s">
        <v>1462</v>
      </c>
      <c r="B260" s="336">
        <v>45663.0</v>
      </c>
      <c r="C260" s="335" t="s">
        <v>537</v>
      </c>
      <c r="D260" s="335" t="s">
        <v>1407</v>
      </c>
      <c r="E260" s="337" t="str">
        <f t="shared" si="1"/>
        <v>大同特殊鋼:JSE/第二＠2.3</v>
      </c>
      <c r="F260" s="338" t="s">
        <v>575</v>
      </c>
      <c r="G260" s="339" t="str">
        <f t="shared" si="2"/>
        <v>大同特殊鋼:JSE/第二＠2.3鋼ダライＡ</v>
      </c>
      <c r="H260" s="340">
        <f t="shared" si="3"/>
        <v>36</v>
      </c>
      <c r="I260" s="341">
        <v>36.0</v>
      </c>
      <c r="J260" s="332" t="str">
        <f>IFERROR(__xludf.DUMMYFUNCTION("IF(IF(COUNTIF(P$2:P259, P260)=0, """", INDEX(H$2:H259,
MAX(FILTER(ROW(H$2:H259) - ROW(H$2) + 1, P$2:P259 = P260))))=""単価"","""",
IF(COUNTIF(P$2:P259, P260)=0, """", INDEX(H$2:H259,
MAX(FILTER(ROW(H$2:H259) - ROW(H$2) + 1, P$2:P259 = P260)))))"),"")</f>
        <v/>
      </c>
      <c r="N260" s="335" t="str">
        <f>IF(MAXIFS('単価履歴'!$O:$O,'単価履歴'!$E:$E,E260,'単価履歴'!$F:$F,F260)=O260,"●","")</f>
        <v/>
      </c>
      <c r="O260" s="346">
        <v>45663.395625000005</v>
      </c>
      <c r="P260" s="334" t="str">
        <f t="shared" si="4"/>
        <v>大同特殊鋼:JSE/第二＠2.3鋼ダライＡ</v>
      </c>
    </row>
    <row r="261" ht="15.75" customHeight="1">
      <c r="A261" s="335" t="s">
        <v>1463</v>
      </c>
      <c r="B261" s="336">
        <v>45663.0</v>
      </c>
      <c r="C261" s="335" t="s">
        <v>537</v>
      </c>
      <c r="D261" s="335" t="s">
        <v>1410</v>
      </c>
      <c r="E261" s="337" t="str">
        <f t="shared" si="1"/>
        <v>大同特殊鋼:JSE/岐阜＠1.5</v>
      </c>
      <c r="F261" s="338" t="s">
        <v>575</v>
      </c>
      <c r="G261" s="339" t="str">
        <f t="shared" si="2"/>
        <v>大同特殊鋼:JSE/岐阜＠1.5鋼ダライＡ</v>
      </c>
      <c r="H261" s="340">
        <f t="shared" si="3"/>
        <v>36.8</v>
      </c>
      <c r="I261" s="341">
        <v>36.8</v>
      </c>
      <c r="J261" s="332" t="str">
        <f>IFERROR(__xludf.DUMMYFUNCTION("IF(IF(COUNTIF(P$2:P260, P261)=0, """", INDEX(H$2:H260,
MAX(FILTER(ROW(H$2:H260) - ROW(H$2) + 1, P$2:P260 = P261))))=""単価"","""",
IF(COUNTIF(P$2:P260, P261)=0, """", INDEX(H$2:H260,
MAX(FILTER(ROW(H$2:H260) - ROW(H$2) + 1, P$2:P260 = P261)))))"),"")</f>
        <v/>
      </c>
      <c r="N261" s="335" t="str">
        <f>IF(MAXIFS('単価履歴'!$O:$O,'単価履歴'!$E:$E,E261,'単価履歴'!$F:$F,F261)=O261,"●","")</f>
        <v/>
      </c>
      <c r="O261" s="346">
        <v>45663.39581018519</v>
      </c>
      <c r="P261" s="334" t="str">
        <f t="shared" si="4"/>
        <v>大同特殊鋼:JSE/岐阜＠1.5鋼ダライＡ</v>
      </c>
    </row>
    <row r="262" ht="15.75" customHeight="1">
      <c r="A262" s="335" t="s">
        <v>1464</v>
      </c>
      <c r="B262" s="336">
        <v>45666.0</v>
      </c>
      <c r="C262" s="335" t="s">
        <v>28</v>
      </c>
      <c r="D262" s="335" t="s">
        <v>52</v>
      </c>
      <c r="E262" s="337" t="str">
        <f t="shared" si="1"/>
        <v>ＪＦＥ条鋼:リバイブ</v>
      </c>
      <c r="F262" s="338" t="s">
        <v>116</v>
      </c>
      <c r="G262" s="339" t="str">
        <f t="shared" si="2"/>
        <v>ＪＦＥ条鋼:リバイブＨ２(特級)</v>
      </c>
      <c r="H262" s="340">
        <f t="shared" si="3"/>
        <v>40</v>
      </c>
      <c r="I262" s="335">
        <v>0.0</v>
      </c>
      <c r="J262" s="332">
        <f>IFERROR(__xludf.DUMMYFUNCTION("IF(IF(COUNTIF(P$2:P261, P262)=0, """", INDEX(H$2:H261,
MAX(FILTER(ROW(H$2:H261) - ROW(H$2) + 1, P$2:P261 = P262))))=""単価"","""",
IF(COUNTIF(P$2:P261, P262)=0, """", INDEX(H$2:H261,
MAX(FILTER(ROW(H$2:H261) - ROW(H$2) + 1, P$2:P261 = P262)))))"),40.0)</f>
        <v>40</v>
      </c>
      <c r="N262" s="335" t="str">
        <f>IF(MAXIFS('単価履歴'!$O:$O,'単価履歴'!$E:$E,E262,'単価履歴'!$F:$F,F262)=O262,"●","")</f>
        <v/>
      </c>
      <c r="O262" s="346">
        <v>45666.50755787037</v>
      </c>
      <c r="P262" s="334" t="str">
        <f t="shared" si="4"/>
        <v>ＪＦＥ条鋼:リバイブＨ２(特級)</v>
      </c>
    </row>
    <row r="263" ht="15.75" customHeight="1">
      <c r="A263" s="335" t="s">
        <v>1465</v>
      </c>
      <c r="B263" s="336">
        <v>45666.0</v>
      </c>
      <c r="C263" s="335" t="s">
        <v>28</v>
      </c>
      <c r="D263" s="335" t="s">
        <v>52</v>
      </c>
      <c r="E263" s="337" t="str">
        <f t="shared" si="1"/>
        <v>ＪＦＥ条鋼:リバイブ</v>
      </c>
      <c r="F263" s="338" t="s">
        <v>122</v>
      </c>
      <c r="G263" s="339" t="str">
        <f t="shared" si="2"/>
        <v>ＪＦＥ条鋼:リバイブＬ１(2級)</v>
      </c>
      <c r="H263" s="340">
        <f t="shared" si="3"/>
        <v>35.3</v>
      </c>
      <c r="I263" s="341">
        <v>-0.5</v>
      </c>
      <c r="J263" s="332">
        <f>IFERROR(__xludf.DUMMYFUNCTION("IF(IF(COUNTIF(P$2:P262, P263)=0, """", INDEX(H$2:H262,
MAX(FILTER(ROW(H$2:H262) - ROW(H$2) + 1, P$2:P262 = P263))))=""単価"","""",
IF(COUNTIF(P$2:P262, P263)=0, """", INDEX(H$2:H262,
MAX(FILTER(ROW(H$2:H262) - ROW(H$2) + 1, P$2:P262 = P263)))))"),35.8)</f>
        <v>35.8</v>
      </c>
      <c r="N263" s="335" t="str">
        <f>IF(MAXIFS('単価履歴'!$O:$O,'単価履歴'!$E:$E,E263,'単価履歴'!$F:$F,F263)=O263,"●","")</f>
        <v/>
      </c>
      <c r="O263" s="346">
        <v>45666.50755787037</v>
      </c>
      <c r="P263" s="334" t="str">
        <f t="shared" si="4"/>
        <v>ＪＦＥ条鋼:リバイブＬ１(2級)</v>
      </c>
    </row>
    <row r="264" ht="15.75" customHeight="1">
      <c r="A264" s="335" t="s">
        <v>1466</v>
      </c>
      <c r="B264" s="336">
        <v>45666.0</v>
      </c>
      <c r="C264" s="335" t="s">
        <v>28</v>
      </c>
      <c r="D264" s="335" t="s">
        <v>52</v>
      </c>
      <c r="E264" s="337" t="str">
        <f t="shared" si="1"/>
        <v>ＪＦＥ条鋼:リバイブ</v>
      </c>
      <c r="F264" s="338" t="s">
        <v>119</v>
      </c>
      <c r="G264" s="339" t="str">
        <f t="shared" si="2"/>
        <v>ＪＦＥ条鋼:リバイブＨ３(1級)</v>
      </c>
      <c r="H264" s="340">
        <f t="shared" si="3"/>
        <v>39</v>
      </c>
      <c r="I264" s="335">
        <v>0.0</v>
      </c>
      <c r="J264" s="332">
        <f>IFERROR(__xludf.DUMMYFUNCTION("IF(IF(COUNTIF(P$2:P263, P264)=0, """", INDEX(H$2:H263,
MAX(FILTER(ROW(H$2:H263) - ROW(H$2) + 1, P$2:P263 = P264))))=""単価"","""",
IF(COUNTIF(P$2:P263, P264)=0, """", INDEX(H$2:H263,
MAX(FILTER(ROW(H$2:H263) - ROW(H$2) + 1, P$2:P263 = P264)))))"),39.0)</f>
        <v>39</v>
      </c>
      <c r="N264" s="335" t="str">
        <f>IF(MAXIFS('単価履歴'!$O:$O,'単価履歴'!$E:$E,E264,'単価履歴'!$F:$F,F264)=O264,"●","")</f>
        <v/>
      </c>
      <c r="O264" s="346">
        <v>45666.50755787037</v>
      </c>
      <c r="P264" s="334" t="str">
        <f t="shared" si="4"/>
        <v>ＪＦＥ条鋼:リバイブＨ３(1級)</v>
      </c>
    </row>
    <row r="265" ht="15.75" customHeight="1">
      <c r="A265" s="335" t="s">
        <v>1467</v>
      </c>
      <c r="B265" s="336">
        <v>45666.0</v>
      </c>
      <c r="C265" s="335" t="s">
        <v>28</v>
      </c>
      <c r="D265" s="335" t="s">
        <v>52</v>
      </c>
      <c r="E265" s="337" t="str">
        <f t="shared" si="1"/>
        <v>ＪＦＥ条鋼:リバイブ</v>
      </c>
      <c r="F265" s="338" t="s">
        <v>111</v>
      </c>
      <c r="G265" s="339" t="str">
        <f t="shared" si="2"/>
        <v>ＪＦＥ条鋼:リバイブＨ１(特A)</v>
      </c>
      <c r="H265" s="340">
        <f t="shared" si="3"/>
        <v>41</v>
      </c>
      <c r="I265" s="335">
        <v>0.0</v>
      </c>
      <c r="J265" s="332">
        <f>IFERROR(__xludf.DUMMYFUNCTION("IF(IF(COUNTIF(P$2:P264, P265)=0, """", INDEX(H$2:H264,
MAX(FILTER(ROW(H$2:H264) - ROW(H$2) + 1, P$2:P264 = P265))))=""単価"","""",
IF(COUNTIF(P$2:P264, P265)=0, """", INDEX(H$2:H264,
MAX(FILTER(ROW(H$2:H264) - ROW(H$2) + 1, P$2:P264 = P265)))))"),41.0)</f>
        <v>41</v>
      </c>
      <c r="N265" s="335" t="str">
        <f>IF(MAXIFS('単価履歴'!$O:$O,'単価履歴'!$E:$E,E265,'単価履歴'!$F:$F,F265)=O265,"●","")</f>
        <v/>
      </c>
      <c r="O265" s="346">
        <v>45666.50755787037</v>
      </c>
      <c r="P265" s="334" t="str">
        <f t="shared" si="4"/>
        <v>ＪＦＥ条鋼:リバイブＨ１(特A)</v>
      </c>
    </row>
    <row r="266" ht="15.75" customHeight="1">
      <c r="A266" s="335" t="s">
        <v>1468</v>
      </c>
      <c r="B266" s="336">
        <v>45679.0</v>
      </c>
      <c r="C266" s="335" t="s">
        <v>35</v>
      </c>
      <c r="D266" s="335" t="s">
        <v>48</v>
      </c>
      <c r="E266" s="337" t="str">
        <f t="shared" si="1"/>
        <v>ﾆｭｰｽｺﾝ稲永:ナベ</v>
      </c>
      <c r="F266" s="338" t="s">
        <v>130</v>
      </c>
      <c r="G266" s="339" t="str">
        <f t="shared" si="2"/>
        <v>ﾆｭｰｽｺﾝ稲永:ナベ新断Ａ</v>
      </c>
      <c r="H266" s="340">
        <f t="shared" si="3"/>
        <v>42.5</v>
      </c>
      <c r="I266" s="341">
        <v>0.5</v>
      </c>
      <c r="J266" s="332">
        <f>IFERROR(__xludf.DUMMYFUNCTION("IF(IF(COUNTIF(P$2:P265, P266)=0, """", INDEX(H$2:H265,
MAX(FILTER(ROW(H$2:H265) - ROW(H$2) + 1, P$2:P265 = P266))))=""単価"","""",
IF(COUNTIF(P$2:P265, P266)=0, """", INDEX(H$2:H265,
MAX(FILTER(ROW(H$2:H265) - ROW(H$2) + 1, P$2:P265 = P266)))))"),42.0)</f>
        <v>42</v>
      </c>
      <c r="N266" s="335" t="str">
        <f>IF(MAXIFS('単価履歴'!$O:$O,'単価履歴'!$E:$E,E266,'単価履歴'!$F:$F,F266)=O266,"●","")</f>
        <v/>
      </c>
      <c r="O266" s="346">
        <v>45678.698379629626</v>
      </c>
      <c r="P266" s="334" t="str">
        <f t="shared" si="4"/>
        <v>ﾆｭｰｽｺﾝ稲永:ナベ新断Ａ</v>
      </c>
    </row>
    <row r="267" ht="15.75" customHeight="1">
      <c r="A267" s="335" t="s">
        <v>1469</v>
      </c>
      <c r="B267" s="336">
        <v>45678.0</v>
      </c>
      <c r="C267" s="335" t="s">
        <v>31</v>
      </c>
      <c r="D267" s="335" t="s">
        <v>64</v>
      </c>
      <c r="E267" s="337" t="str">
        <f t="shared" si="1"/>
        <v>泉北中谷:ナベ双葉</v>
      </c>
      <c r="F267" s="338" t="s">
        <v>130</v>
      </c>
      <c r="G267" s="339" t="str">
        <f t="shared" si="2"/>
        <v>泉北中谷:ナベ双葉新断Ａ</v>
      </c>
      <c r="H267" s="340">
        <f t="shared" si="3"/>
        <v>43.5</v>
      </c>
      <c r="I267" s="341">
        <v>1.0</v>
      </c>
      <c r="J267" s="332">
        <f>IFERROR(__xludf.DUMMYFUNCTION("IF(IF(COUNTIF(P$2:P266, P267)=0, """", INDEX(H$2:H266,
MAX(FILTER(ROW(H$2:H266) - ROW(H$2) + 1, P$2:P266 = P267))))=""単価"","""",
IF(COUNTIF(P$2:P266, P267)=0, """", INDEX(H$2:H266,
MAX(FILTER(ROW(H$2:H266) - ROW(H$2) + 1, P$2:P266 = P267)))))"),42.5)</f>
        <v>42.5</v>
      </c>
      <c r="N267" s="335" t="str">
        <f>IF(MAXIFS('単価履歴'!$O:$O,'単価履歴'!$E:$E,E267,'単価履歴'!$F:$F,F267)=O267,"●","")</f>
        <v/>
      </c>
      <c r="O267" s="346">
        <v>45679.481354166666</v>
      </c>
      <c r="P267" s="334" t="str">
        <f t="shared" si="4"/>
        <v>泉北中谷:ナベ双葉新断Ａ</v>
      </c>
    </row>
    <row r="268" ht="15.75" customHeight="1">
      <c r="A268" s="335" t="s">
        <v>1470</v>
      </c>
      <c r="B268" s="336">
        <v>45681.0</v>
      </c>
      <c r="C268" s="335" t="s">
        <v>535</v>
      </c>
      <c r="D268" s="335" t="s">
        <v>77</v>
      </c>
      <c r="E268" s="337" t="str">
        <f t="shared" si="1"/>
        <v>東鐵名古屋:直納</v>
      </c>
      <c r="F268" s="338" t="s">
        <v>1199</v>
      </c>
      <c r="G268" s="339" t="str">
        <f t="shared" si="2"/>
        <v>東鐵名古屋:直納ＨＳ１(単体H1/電特A/HS))</v>
      </c>
      <c r="H268" s="340">
        <f t="shared" si="3"/>
        <v>42</v>
      </c>
      <c r="I268" s="341">
        <v>-0.5</v>
      </c>
      <c r="J268" s="332">
        <f>IFERROR(__xludf.DUMMYFUNCTION("IF(IF(COUNTIF(P$2:P267, P268)=0, """", INDEX(H$2:H267,
MAX(FILTER(ROW(H$2:H267) - ROW(H$2) + 1, P$2:P267 = P268))))=""単価"","""",
IF(COUNTIF(P$2:P267, P268)=0, """", INDEX(H$2:H267,
MAX(FILTER(ROW(H$2:H267) - ROW(H$2) + 1, P$2:P267 = P268)))))"),42.5)</f>
        <v>42.5</v>
      </c>
      <c r="N268" s="335" t="str">
        <f>IF(MAXIFS('単価履歴'!$O:$O,'単価履歴'!$E:$E,E268,'単価履歴'!$F:$F,F268)=O268,"●","")</f>
        <v/>
      </c>
      <c r="O268" s="346">
        <v>45680.73761574074</v>
      </c>
      <c r="P268" s="334" t="str">
        <f t="shared" si="4"/>
        <v>東鐵名古屋:直納ＨＳ１(単体H1/電特A/HS))</v>
      </c>
    </row>
    <row r="269" ht="15.75" customHeight="1">
      <c r="A269" s="335" t="s">
        <v>1471</v>
      </c>
      <c r="B269" s="336">
        <v>45681.0</v>
      </c>
      <c r="C269" s="335" t="s">
        <v>535</v>
      </c>
      <c r="D269" s="335" t="s">
        <v>77</v>
      </c>
      <c r="E269" s="337" t="str">
        <f t="shared" si="1"/>
        <v>東鐵名古屋:直納</v>
      </c>
      <c r="F269" s="338" t="s">
        <v>122</v>
      </c>
      <c r="G269" s="339" t="str">
        <f t="shared" si="2"/>
        <v>東鐵名古屋:直納Ｌ１(2級)</v>
      </c>
      <c r="H269" s="340">
        <f t="shared" si="3"/>
        <v>37.5</v>
      </c>
      <c r="I269" s="341">
        <v>-0.5</v>
      </c>
      <c r="J269" s="332">
        <f>IFERROR(__xludf.DUMMYFUNCTION("IF(IF(COUNTIF(P$2:P268, P269)=0, """", INDEX(H$2:H268,
MAX(FILTER(ROW(H$2:H268) - ROW(H$2) + 1, P$2:P268 = P269))))=""単価"","""",
IF(COUNTIF(P$2:P268, P269)=0, """", INDEX(H$2:H268,
MAX(FILTER(ROW(H$2:H268) - ROW(H$2) + 1, P$2:P268 = P269)))))"),38.0)</f>
        <v>38</v>
      </c>
      <c r="N269" s="335" t="str">
        <f>IF(MAXIFS('単価履歴'!$O:$O,'単価履歴'!$E:$E,E269,'単価履歴'!$F:$F,F269)=O269,"●","")</f>
        <v/>
      </c>
      <c r="O269" s="346">
        <v>45680.73761574074</v>
      </c>
      <c r="P269" s="334" t="str">
        <f t="shared" si="4"/>
        <v>東鐵名古屋:直納Ｌ１(2級)</v>
      </c>
    </row>
    <row r="270" ht="15.75" customHeight="1">
      <c r="A270" s="335" t="s">
        <v>1472</v>
      </c>
      <c r="B270" s="336">
        <v>45681.0</v>
      </c>
      <c r="C270" s="335" t="s">
        <v>535</v>
      </c>
      <c r="D270" s="335" t="s">
        <v>77</v>
      </c>
      <c r="E270" s="337" t="str">
        <f t="shared" si="1"/>
        <v>東鐵名古屋:直納</v>
      </c>
      <c r="F270" s="338" t="s">
        <v>151</v>
      </c>
      <c r="G270" s="339" t="str">
        <f t="shared" si="2"/>
        <v>東鐵名古屋:直納シュレＣ</v>
      </c>
      <c r="H270" s="340">
        <f t="shared" si="3"/>
        <v>40</v>
      </c>
      <c r="I270" s="341">
        <v>-0.5</v>
      </c>
      <c r="J270" s="332">
        <f>IFERROR(__xludf.DUMMYFUNCTION("IF(IF(COUNTIF(P$2:P269, P270)=0, """", INDEX(H$2:H269,
MAX(FILTER(ROW(H$2:H269) - ROW(H$2) + 1, P$2:P269 = P270))))=""単価"","""",
IF(COUNTIF(P$2:P269, P270)=0, """", INDEX(H$2:H269,
MAX(FILTER(ROW(H$2:H269) - ROW(H$2) + 1, P$2:P269 = P270)))))"),40.5)</f>
        <v>40.5</v>
      </c>
      <c r="N270" s="335" t="str">
        <f>IF(MAXIFS('単価履歴'!$O:$O,'単価履歴'!$E:$E,E270,'単価履歴'!$F:$F,F270)=O270,"●","")</f>
        <v/>
      </c>
      <c r="O270" s="346">
        <v>45680.73761574074</v>
      </c>
      <c r="P270" s="334" t="str">
        <f t="shared" si="4"/>
        <v>東鐵名古屋:直納シュレＣ</v>
      </c>
    </row>
    <row r="271" ht="15.75" customHeight="1">
      <c r="A271" s="335" t="s">
        <v>1473</v>
      </c>
      <c r="B271" s="336">
        <v>45681.0</v>
      </c>
      <c r="C271" s="335" t="s">
        <v>535</v>
      </c>
      <c r="D271" s="335" t="s">
        <v>77</v>
      </c>
      <c r="E271" s="337" t="str">
        <f t="shared" si="1"/>
        <v>東鐵名古屋:直納</v>
      </c>
      <c r="F271" s="338" t="s">
        <v>111</v>
      </c>
      <c r="G271" s="339" t="str">
        <f t="shared" si="2"/>
        <v>東鐵名古屋:直納Ｈ１(特A)</v>
      </c>
      <c r="H271" s="340">
        <f t="shared" si="3"/>
        <v>40.2</v>
      </c>
      <c r="I271" s="341">
        <v>-0.5</v>
      </c>
      <c r="J271" s="332">
        <f>IFERROR(__xludf.DUMMYFUNCTION("IF(IF(COUNTIF(P$2:P270, P271)=0, """", INDEX(H$2:H270,
MAX(FILTER(ROW(H$2:H270) - ROW(H$2) + 1, P$2:P270 = P271))))=""単価"","""",
IF(COUNTIF(P$2:P270, P271)=0, """", INDEX(H$2:H270,
MAX(FILTER(ROW(H$2:H270) - ROW(H$2) + 1, P$2:P270 = P271)))))"),40.7)</f>
        <v>40.7</v>
      </c>
      <c r="N271" s="335" t="str">
        <f>IF(MAXIFS('単価履歴'!$O:$O,'単価履歴'!$E:$E,E271,'単価履歴'!$F:$F,F271)=O271,"●","")</f>
        <v/>
      </c>
      <c r="O271" s="346">
        <v>45680.73761574074</v>
      </c>
      <c r="P271" s="334" t="str">
        <f t="shared" si="4"/>
        <v>東鐵名古屋:直納Ｈ１(特A)</v>
      </c>
    </row>
    <row r="272" ht="15.75" customHeight="1">
      <c r="A272" s="335" t="s">
        <v>1474</v>
      </c>
      <c r="B272" s="336">
        <v>45681.0</v>
      </c>
      <c r="C272" s="335" t="s">
        <v>535</v>
      </c>
      <c r="D272" s="335" t="s">
        <v>77</v>
      </c>
      <c r="E272" s="337" t="str">
        <f t="shared" si="1"/>
        <v>東鐵名古屋:直納</v>
      </c>
      <c r="F272" s="338" t="s">
        <v>116</v>
      </c>
      <c r="G272" s="339" t="str">
        <f t="shared" si="2"/>
        <v>東鐵名古屋:直納Ｈ２(特級)</v>
      </c>
      <c r="H272" s="340">
        <f t="shared" si="3"/>
        <v>39.5</v>
      </c>
      <c r="I272" s="341">
        <v>-0.5</v>
      </c>
      <c r="J272" s="332">
        <f>IFERROR(__xludf.DUMMYFUNCTION("IF(IF(COUNTIF(P$2:P271, P272)=0, """", INDEX(H$2:H271,
MAX(FILTER(ROW(H$2:H271) - ROW(H$2) + 1, P$2:P271 = P272))))=""単価"","""",
IF(COUNTIF(P$2:P271, P272)=0, """", INDEX(H$2:H271,
MAX(FILTER(ROW(H$2:H271) - ROW(H$2) + 1, P$2:P271 = P272)))))"),40.0)</f>
        <v>40</v>
      </c>
      <c r="N272" s="335" t="str">
        <f>IF(MAXIFS('単価履歴'!$O:$O,'単価履歴'!$E:$E,E272,'単価履歴'!$F:$F,F272)=O272,"●","")</f>
        <v/>
      </c>
      <c r="O272" s="346">
        <v>45680.73761574074</v>
      </c>
      <c r="P272" s="334" t="str">
        <f t="shared" si="4"/>
        <v>東鐵名古屋:直納Ｈ２(特級)</v>
      </c>
    </row>
    <row r="273" ht="15.75" customHeight="1">
      <c r="A273" s="335" t="s">
        <v>1475</v>
      </c>
      <c r="B273" s="336">
        <v>45681.0</v>
      </c>
      <c r="C273" s="335" t="s">
        <v>535</v>
      </c>
      <c r="D273" s="335" t="s">
        <v>77</v>
      </c>
      <c r="E273" s="337" t="str">
        <f t="shared" si="1"/>
        <v>東鐵名古屋:直納</v>
      </c>
      <c r="F273" s="338" t="s">
        <v>573</v>
      </c>
      <c r="G273" s="339" t="str">
        <f t="shared" si="2"/>
        <v>東鐵名古屋:直納Ｌ２(H4･級外･L1ﾊﾞﾗ)</v>
      </c>
      <c r="H273" s="340">
        <f t="shared" si="3"/>
        <v>34.5</v>
      </c>
      <c r="I273" s="341">
        <v>-0.5</v>
      </c>
      <c r="J273" s="332">
        <f>IFERROR(__xludf.DUMMYFUNCTION("IF(IF(COUNTIF(P$2:P272, P273)=0, """", INDEX(H$2:H272,
MAX(FILTER(ROW(H$2:H272) - ROW(H$2) + 1, P$2:P272 = P273))))=""単価"","""",
IF(COUNTIF(P$2:P272, P273)=0, """", INDEX(H$2:H272,
MAX(FILTER(ROW(H$2:H272) - ROW(H$2) + 1, P$2:P272 = P273)))))"),35.0)</f>
        <v>35</v>
      </c>
      <c r="N273" s="335" t="str">
        <f>IF(MAXIFS('単価履歴'!$O:$O,'単価履歴'!$E:$E,E273,'単価履歴'!$F:$F,F273)=O273,"●","")</f>
        <v/>
      </c>
      <c r="O273" s="346">
        <v>45680.73761574074</v>
      </c>
      <c r="P273" s="334" t="str">
        <f t="shared" si="4"/>
        <v>東鐵名古屋:直納Ｌ２(H4･級外･L1ﾊﾞﾗ)</v>
      </c>
    </row>
    <row r="274" ht="15.75" customHeight="1">
      <c r="A274" s="335" t="s">
        <v>1476</v>
      </c>
      <c r="B274" s="336">
        <v>45681.0</v>
      </c>
      <c r="C274" s="335" t="s">
        <v>535</v>
      </c>
      <c r="D274" s="335" t="s">
        <v>77</v>
      </c>
      <c r="E274" s="337" t="str">
        <f t="shared" si="1"/>
        <v>東鐵名古屋:直納</v>
      </c>
      <c r="F274" s="338" t="s">
        <v>119</v>
      </c>
      <c r="G274" s="339" t="str">
        <f t="shared" si="2"/>
        <v>東鐵名古屋:直納Ｈ３(1級)</v>
      </c>
      <c r="H274" s="340">
        <f t="shared" si="3"/>
        <v>39</v>
      </c>
      <c r="I274" s="341">
        <v>-0.5</v>
      </c>
      <c r="J274" s="332">
        <f>IFERROR(__xludf.DUMMYFUNCTION("IF(IF(COUNTIF(P$2:P273, P274)=0, """", INDEX(H$2:H273,
MAX(FILTER(ROW(H$2:H273) - ROW(H$2) + 1, P$2:P273 = P274))))=""単価"","""",
IF(COUNTIF(P$2:P273, P274)=0, """", INDEX(H$2:H273,
MAX(FILTER(ROW(H$2:H273) - ROW(H$2) + 1, P$2:P273 = P274)))))"),39.5)</f>
        <v>39.5</v>
      </c>
      <c r="N274" s="335" t="str">
        <f>IF(MAXIFS('単価履歴'!$O:$O,'単価履歴'!$E:$E,E274,'単価履歴'!$F:$F,F274)=O274,"●","")</f>
        <v/>
      </c>
      <c r="O274" s="346">
        <v>45680.73761574074</v>
      </c>
      <c r="P274" s="334" t="str">
        <f t="shared" si="4"/>
        <v>東鐵名古屋:直納Ｈ３(1級)</v>
      </c>
    </row>
    <row r="275" ht="15.75" customHeight="1">
      <c r="A275" s="335" t="s">
        <v>1477</v>
      </c>
      <c r="B275" s="336">
        <v>45681.0</v>
      </c>
      <c r="C275" s="335" t="s">
        <v>535</v>
      </c>
      <c r="D275" s="335" t="s">
        <v>77</v>
      </c>
      <c r="E275" s="337" t="str">
        <f t="shared" si="1"/>
        <v>東鐵名古屋:直納</v>
      </c>
      <c r="F275" s="338" t="s">
        <v>145</v>
      </c>
      <c r="G275" s="339" t="str">
        <f t="shared" si="2"/>
        <v>東鐵名古屋:直納シュレＡ</v>
      </c>
      <c r="H275" s="340">
        <f t="shared" si="3"/>
        <v>40.5</v>
      </c>
      <c r="I275" s="341">
        <v>-0.5</v>
      </c>
      <c r="J275" s="332">
        <f>IFERROR(__xludf.DUMMYFUNCTION("IF(IF(COUNTIF(P$2:P274, P275)=0, """", INDEX(H$2:H274,
MAX(FILTER(ROW(H$2:H274) - ROW(H$2) + 1, P$2:P274 = P275))))=""単価"","""",
IF(COUNTIF(P$2:P274, P275)=0, """", INDEX(H$2:H274,
MAX(FILTER(ROW(H$2:H274) - ROW(H$2) + 1, P$2:P274 = P275)))))"),41.0)</f>
        <v>41</v>
      </c>
      <c r="N275" s="335" t="str">
        <f>IF(MAXIFS('単価履歴'!$O:$O,'単価履歴'!$E:$E,E275,'単価履歴'!$F:$F,F275)=O275,"●","")</f>
        <v/>
      </c>
      <c r="O275" s="346">
        <v>45680.73761574074</v>
      </c>
      <c r="P275" s="334" t="str">
        <f t="shared" si="4"/>
        <v>東鐵名古屋:直納シュレＡ</v>
      </c>
    </row>
    <row r="276" ht="15.75" customHeight="1">
      <c r="A276" s="335" t="s">
        <v>1478</v>
      </c>
      <c r="B276" s="336">
        <v>45681.0</v>
      </c>
      <c r="C276" s="335" t="s">
        <v>19</v>
      </c>
      <c r="D276" s="335" t="s">
        <v>61</v>
      </c>
      <c r="E276" s="337" t="str">
        <f t="shared" si="1"/>
        <v>トピー工業:ＭＭ</v>
      </c>
      <c r="F276" s="338" t="s">
        <v>116</v>
      </c>
      <c r="G276" s="339" t="str">
        <f t="shared" si="2"/>
        <v>トピー工業:ＭＭＨ２(特級)</v>
      </c>
      <c r="H276" s="340">
        <f t="shared" si="3"/>
        <v>35.9</v>
      </c>
      <c r="I276" s="341">
        <v>-0.1</v>
      </c>
      <c r="J276" s="332">
        <f>IFERROR(__xludf.DUMMYFUNCTION("IF(IF(COUNTIF(P$2:P275, P276)=0, """", INDEX(H$2:H275,
MAX(FILTER(ROW(H$2:H275) - ROW(H$2) + 1, P$2:P275 = P276))))=""単価"","""",
IF(COUNTIF(P$2:P275, P276)=0, """", INDEX(H$2:H275,
MAX(FILTER(ROW(H$2:H275) - ROW(H$2) + 1, P$2:P275 = P276)))))"),36.0)</f>
        <v>36</v>
      </c>
      <c r="N276" s="335" t="str">
        <f>IF(MAXIFS('単価履歴'!$O:$O,'単価履歴'!$E:$E,E276,'単価履歴'!$F:$F,F276)=O276,"●","")</f>
        <v/>
      </c>
      <c r="O276" s="346">
        <v>45680.73935185185</v>
      </c>
      <c r="P276" s="334" t="str">
        <f t="shared" si="4"/>
        <v>トピー工業:ＭＭＨ２(特級)</v>
      </c>
    </row>
    <row r="277" ht="15.75" customHeight="1">
      <c r="A277" s="335" t="s">
        <v>1479</v>
      </c>
      <c r="B277" s="336">
        <v>45681.0</v>
      </c>
      <c r="C277" s="335" t="s">
        <v>19</v>
      </c>
      <c r="D277" s="335" t="s">
        <v>61</v>
      </c>
      <c r="E277" s="337" t="str">
        <f t="shared" si="1"/>
        <v>トピー工業:ＭＭ</v>
      </c>
      <c r="F277" s="338" t="s">
        <v>116</v>
      </c>
      <c r="G277" s="339" t="str">
        <f t="shared" si="2"/>
        <v>トピー工業:ＭＭＨ２(特級)</v>
      </c>
      <c r="H277" s="340">
        <f t="shared" si="3"/>
        <v>35</v>
      </c>
      <c r="I277" s="341">
        <v>-0.9</v>
      </c>
      <c r="J277" s="332">
        <f>IFERROR(__xludf.DUMMYFUNCTION("IF(IF(COUNTIF(P$2:P276, P277)=0, """", INDEX(H$2:H276,
MAX(FILTER(ROW(H$2:H276) - ROW(H$2) + 1, P$2:P276 = P277))))=""単価"","""",
IF(COUNTIF(P$2:P276, P277)=0, """", INDEX(H$2:H276,
MAX(FILTER(ROW(H$2:H276) - ROW(H$2) + 1, P$2:P276 = P277)))))"),35.9)</f>
        <v>35.9</v>
      </c>
      <c r="N277" s="335" t="str">
        <f>IF(MAXIFS('単価履歴'!$O:$O,'単価履歴'!$E:$E,E277,'単価履歴'!$F:$F,F277)=O277,"●","")</f>
        <v/>
      </c>
      <c r="O277" s="346">
        <v>45680.740277777775</v>
      </c>
      <c r="P277" s="334" t="str">
        <f t="shared" si="4"/>
        <v>トピー工業:ＭＭＨ２(特級)</v>
      </c>
    </row>
    <row r="278" ht="15.75" customHeight="1">
      <c r="A278" s="335" t="s">
        <v>1480</v>
      </c>
      <c r="B278" s="336">
        <v>45685.0</v>
      </c>
      <c r="C278" s="335" t="s">
        <v>532</v>
      </c>
      <c r="D278" s="335" t="s">
        <v>77</v>
      </c>
      <c r="E278" s="337" t="str">
        <f t="shared" si="1"/>
        <v>東鐵岡山:直納</v>
      </c>
      <c r="F278" s="338" t="s">
        <v>1199</v>
      </c>
      <c r="G278" s="339" t="str">
        <f t="shared" si="2"/>
        <v>東鐵岡山:直納ＨＳ１(単体H1/電特A/HS))</v>
      </c>
      <c r="H278" s="340">
        <f t="shared" si="3"/>
        <v>43</v>
      </c>
      <c r="I278" s="341">
        <v>-0.5</v>
      </c>
      <c r="J278" s="332">
        <f>IFERROR(__xludf.DUMMYFUNCTION("IF(IF(COUNTIF(P$2:P277, P278)=0, """", INDEX(H$2:H277,
MAX(FILTER(ROW(H$2:H277) - ROW(H$2) + 1, P$2:P277 = P278))))=""単価"","""",
IF(COUNTIF(P$2:P277, P278)=0, """", INDEX(H$2:H277,
MAX(FILTER(ROW(H$2:H277) - ROW(H$2) + 1, P$2:P277 = P278)))))"),43.5)</f>
        <v>43.5</v>
      </c>
      <c r="N278" s="335" t="str">
        <f>IF(MAXIFS('単価履歴'!$O:$O,'単価履歴'!$E:$E,E278,'単価履歴'!$F:$F,F278)=O278,"●","")</f>
        <v/>
      </c>
      <c r="O278" s="346">
        <v>45685.279456018514</v>
      </c>
      <c r="P278" s="334" t="str">
        <f t="shared" si="4"/>
        <v>東鐵岡山:直納ＨＳ１(単体H1/電特A/HS))</v>
      </c>
    </row>
    <row r="279" ht="15.75" customHeight="1">
      <c r="A279" s="335" t="s">
        <v>1481</v>
      </c>
      <c r="B279" s="336">
        <v>45685.0</v>
      </c>
      <c r="C279" s="335" t="s">
        <v>532</v>
      </c>
      <c r="D279" s="335" t="s">
        <v>77</v>
      </c>
      <c r="E279" s="337" t="str">
        <f t="shared" si="1"/>
        <v>東鐵岡山:直納</v>
      </c>
      <c r="F279" s="338" t="s">
        <v>111</v>
      </c>
      <c r="G279" s="339" t="str">
        <f t="shared" si="2"/>
        <v>東鐵岡山:直納Ｈ１(特A)</v>
      </c>
      <c r="H279" s="340">
        <f t="shared" si="3"/>
        <v>41.7</v>
      </c>
      <c r="I279" s="341">
        <v>-0.5</v>
      </c>
      <c r="J279" s="332">
        <f>IFERROR(__xludf.DUMMYFUNCTION("IF(IF(COUNTIF(P$2:P278, P279)=0, """", INDEX(H$2:H278,
MAX(FILTER(ROW(H$2:H278) - ROW(H$2) + 1, P$2:P278 = P279))))=""単価"","""",
IF(COUNTIF(P$2:P278, P279)=0, """", INDEX(H$2:H278,
MAX(FILTER(ROW(H$2:H278) - ROW(H$2) + 1, P$2:P278 = P279)))))"),42.2)</f>
        <v>42.2</v>
      </c>
      <c r="N279" s="335" t="str">
        <f>IF(MAXIFS('単価履歴'!$O:$O,'単価履歴'!$E:$E,E279,'単価履歴'!$F:$F,F279)=O279,"●","")</f>
        <v/>
      </c>
      <c r="O279" s="346">
        <v>45685.279456018514</v>
      </c>
      <c r="P279" s="334" t="str">
        <f t="shared" si="4"/>
        <v>東鐵岡山:直納Ｈ１(特A)</v>
      </c>
    </row>
    <row r="280" ht="15.75" customHeight="1">
      <c r="A280" s="335" t="s">
        <v>1482</v>
      </c>
      <c r="B280" s="336">
        <v>45685.0</v>
      </c>
      <c r="C280" s="335" t="s">
        <v>532</v>
      </c>
      <c r="D280" s="335" t="s">
        <v>77</v>
      </c>
      <c r="E280" s="337" t="str">
        <f t="shared" si="1"/>
        <v>東鐵岡山:直納</v>
      </c>
      <c r="F280" s="338" t="s">
        <v>116</v>
      </c>
      <c r="G280" s="339" t="str">
        <f t="shared" si="2"/>
        <v>東鐵岡山:直納Ｈ２(特級)</v>
      </c>
      <c r="H280" s="340">
        <f t="shared" si="3"/>
        <v>41</v>
      </c>
      <c r="I280" s="341">
        <v>-0.5</v>
      </c>
      <c r="J280" s="332">
        <f>IFERROR(__xludf.DUMMYFUNCTION("IF(IF(COUNTIF(P$2:P279, P280)=0, """", INDEX(H$2:H279,
MAX(FILTER(ROW(H$2:H279) - ROW(H$2) + 1, P$2:P279 = P280))))=""単価"","""",
IF(COUNTIF(P$2:P279, P280)=0, """", INDEX(H$2:H279,
MAX(FILTER(ROW(H$2:H279) - ROW(H$2) + 1, P$2:P279 = P280)))))"),41.5)</f>
        <v>41.5</v>
      </c>
      <c r="N280" s="335" t="str">
        <f>IF(MAXIFS('単価履歴'!$O:$O,'単価履歴'!$E:$E,E280,'単価履歴'!$F:$F,F280)=O280,"●","")</f>
        <v/>
      </c>
      <c r="O280" s="346">
        <v>45685.279456018514</v>
      </c>
      <c r="P280" s="334" t="str">
        <f t="shared" si="4"/>
        <v>東鐵岡山:直納Ｈ２(特級)</v>
      </c>
    </row>
    <row r="281" ht="15.75" customHeight="1">
      <c r="A281" s="335" t="s">
        <v>1483</v>
      </c>
      <c r="B281" s="336">
        <v>45685.0</v>
      </c>
      <c r="C281" s="335" t="s">
        <v>532</v>
      </c>
      <c r="D281" s="335" t="s">
        <v>77</v>
      </c>
      <c r="E281" s="337" t="str">
        <f t="shared" si="1"/>
        <v>東鐵岡山:直納</v>
      </c>
      <c r="F281" s="338" t="s">
        <v>119</v>
      </c>
      <c r="G281" s="339" t="str">
        <f t="shared" si="2"/>
        <v>東鐵岡山:直納Ｈ３(1級)</v>
      </c>
      <c r="H281" s="340">
        <f t="shared" si="3"/>
        <v>40.5</v>
      </c>
      <c r="I281" s="341">
        <v>-0.5</v>
      </c>
      <c r="J281" s="332">
        <f>IFERROR(__xludf.DUMMYFUNCTION("IF(IF(COUNTIF(P$2:P280, P281)=0, """", INDEX(H$2:H280,
MAX(FILTER(ROW(H$2:H280) - ROW(H$2) + 1, P$2:P280 = P281))))=""単価"","""",
IF(COUNTIF(P$2:P280, P281)=0, """", INDEX(H$2:H280,
MAX(FILTER(ROW(H$2:H280) - ROW(H$2) + 1, P$2:P280 = P281)))))"),41.0)</f>
        <v>41</v>
      </c>
      <c r="N281" s="335" t="str">
        <f>IF(MAXIFS('単価履歴'!$O:$O,'単価履歴'!$E:$E,E281,'単価履歴'!$F:$F,F281)=O281,"●","")</f>
        <v/>
      </c>
      <c r="O281" s="346">
        <v>45685.279456018514</v>
      </c>
      <c r="P281" s="334" t="str">
        <f t="shared" si="4"/>
        <v>東鐵岡山:直納Ｈ３(1級)</v>
      </c>
    </row>
    <row r="282" ht="15.75" customHeight="1">
      <c r="A282" s="335" t="s">
        <v>1484</v>
      </c>
      <c r="B282" s="336">
        <v>45685.0</v>
      </c>
      <c r="C282" s="335" t="s">
        <v>532</v>
      </c>
      <c r="D282" s="335" t="s">
        <v>77</v>
      </c>
      <c r="E282" s="337" t="str">
        <f t="shared" si="1"/>
        <v>東鐵岡山:直納</v>
      </c>
      <c r="F282" s="338" t="s">
        <v>122</v>
      </c>
      <c r="G282" s="339" t="str">
        <f t="shared" si="2"/>
        <v>東鐵岡山:直納Ｌ１(2級)</v>
      </c>
      <c r="H282" s="340">
        <f t="shared" si="3"/>
        <v>39</v>
      </c>
      <c r="I282" s="341">
        <v>-0.5</v>
      </c>
      <c r="J282" s="332">
        <f>IFERROR(__xludf.DUMMYFUNCTION("IF(IF(COUNTIF(P$2:P281, P282)=0, """", INDEX(H$2:H281,
MAX(FILTER(ROW(H$2:H281) - ROW(H$2) + 1, P$2:P281 = P282))))=""単価"","""",
IF(COUNTIF(P$2:P281, P282)=0, """", INDEX(H$2:H281,
MAX(FILTER(ROW(H$2:H281) - ROW(H$2) + 1, P$2:P281 = P282)))))"),39.5)</f>
        <v>39.5</v>
      </c>
      <c r="N282" s="335" t="str">
        <f>IF(MAXIFS('単価履歴'!$O:$O,'単価履歴'!$E:$E,E282,'単価履歴'!$F:$F,F282)=O282,"●","")</f>
        <v/>
      </c>
      <c r="O282" s="346">
        <v>45685.279456018514</v>
      </c>
      <c r="P282" s="334" t="str">
        <f t="shared" si="4"/>
        <v>東鐵岡山:直納Ｌ１(2級)</v>
      </c>
    </row>
    <row r="283" ht="15.75" customHeight="1">
      <c r="A283" s="335" t="s">
        <v>1485</v>
      </c>
      <c r="B283" s="336">
        <v>45685.0</v>
      </c>
      <c r="C283" s="335" t="s">
        <v>532</v>
      </c>
      <c r="D283" s="335" t="s">
        <v>77</v>
      </c>
      <c r="E283" s="337" t="str">
        <f t="shared" si="1"/>
        <v>東鐵岡山:直納</v>
      </c>
      <c r="F283" s="338" t="s">
        <v>573</v>
      </c>
      <c r="G283" s="339" t="str">
        <f t="shared" si="2"/>
        <v>東鐵岡山:直納Ｌ２(H4･級外･L1ﾊﾞﾗ)</v>
      </c>
      <c r="H283" s="340">
        <f t="shared" si="3"/>
        <v>36</v>
      </c>
      <c r="I283" s="341">
        <v>-0.5</v>
      </c>
      <c r="J283" s="332">
        <f>IFERROR(__xludf.DUMMYFUNCTION("IF(IF(COUNTIF(P$2:P282, P283)=0, """", INDEX(H$2:H282,
MAX(FILTER(ROW(H$2:H282) - ROW(H$2) + 1, P$2:P282 = P283))))=""単価"","""",
IF(COUNTIF(P$2:P282, P283)=0, """", INDEX(H$2:H282,
MAX(FILTER(ROW(H$2:H282) - ROW(H$2) + 1, P$2:P282 = P283)))))"),36.5)</f>
        <v>36.5</v>
      </c>
      <c r="N283" s="335" t="str">
        <f>IF(MAXIFS('単価履歴'!$O:$O,'単価履歴'!$E:$E,E283,'単価履歴'!$F:$F,F283)=O283,"●","")</f>
        <v/>
      </c>
      <c r="O283" s="346">
        <v>45685.279456018514</v>
      </c>
      <c r="P283" s="334" t="str">
        <f t="shared" si="4"/>
        <v>東鐵岡山:直納Ｌ２(H4･級外･L1ﾊﾞﾗ)</v>
      </c>
    </row>
    <row r="284" ht="15.75" customHeight="1">
      <c r="A284" s="335" t="s">
        <v>1486</v>
      </c>
      <c r="B284" s="336">
        <v>45685.0</v>
      </c>
      <c r="C284" s="335" t="s">
        <v>532</v>
      </c>
      <c r="D284" s="335" t="s">
        <v>77</v>
      </c>
      <c r="E284" s="337" t="str">
        <f t="shared" si="1"/>
        <v>東鐵岡山:直納</v>
      </c>
      <c r="F284" s="338" t="s">
        <v>145</v>
      </c>
      <c r="G284" s="339" t="str">
        <f t="shared" si="2"/>
        <v>東鐵岡山:直納シュレＡ</v>
      </c>
      <c r="H284" s="340">
        <f t="shared" si="3"/>
        <v>41.5</v>
      </c>
      <c r="I284" s="341">
        <v>-0.5</v>
      </c>
      <c r="J284" s="332">
        <f>IFERROR(__xludf.DUMMYFUNCTION("IF(IF(COUNTIF(P$2:P283, P284)=0, """", INDEX(H$2:H283,
MAX(FILTER(ROW(H$2:H283) - ROW(H$2) + 1, P$2:P283 = P284))))=""単価"","""",
IF(COUNTIF(P$2:P283, P284)=0, """", INDEX(H$2:H283,
MAX(FILTER(ROW(H$2:H283) - ROW(H$2) + 1, P$2:P283 = P284)))))"),42.0)</f>
        <v>42</v>
      </c>
      <c r="N284" s="335" t="str">
        <f>IF(MAXIFS('単価履歴'!$O:$O,'単価履歴'!$E:$E,E284,'単価履歴'!$F:$F,F284)=O284,"●","")</f>
        <v/>
      </c>
      <c r="O284" s="346">
        <v>45685.279456018514</v>
      </c>
      <c r="P284" s="334" t="str">
        <f t="shared" si="4"/>
        <v>東鐵岡山:直納シュレＡ</v>
      </c>
    </row>
    <row r="285" ht="15.75" customHeight="1">
      <c r="A285" s="335" t="s">
        <v>1487</v>
      </c>
      <c r="B285" s="336">
        <v>45685.0</v>
      </c>
      <c r="C285" s="335" t="s">
        <v>532</v>
      </c>
      <c r="D285" s="335" t="s">
        <v>77</v>
      </c>
      <c r="E285" s="337" t="str">
        <f t="shared" si="1"/>
        <v>東鐵岡山:直納</v>
      </c>
      <c r="F285" s="338" t="s">
        <v>151</v>
      </c>
      <c r="G285" s="339" t="str">
        <f t="shared" si="2"/>
        <v>東鐵岡山:直納シュレＣ</v>
      </c>
      <c r="H285" s="340">
        <f t="shared" si="3"/>
        <v>41</v>
      </c>
      <c r="I285" s="341">
        <v>-0.5</v>
      </c>
      <c r="J285" s="332">
        <f>IFERROR(__xludf.DUMMYFUNCTION("IF(IF(COUNTIF(P$2:P284, P285)=0, """", INDEX(H$2:H284,
MAX(FILTER(ROW(H$2:H284) - ROW(H$2) + 1, P$2:P284 = P285))))=""単価"","""",
IF(COUNTIF(P$2:P284, P285)=0, """", INDEX(H$2:H284,
MAX(FILTER(ROW(H$2:H284) - ROW(H$2) + 1, P$2:P284 = P285)))))"),41.5)</f>
        <v>41.5</v>
      </c>
      <c r="N285" s="335" t="str">
        <f>IF(MAXIFS('単価履歴'!$O:$O,'単価履歴'!$E:$E,E285,'単価履歴'!$F:$F,F285)=O285,"●","")</f>
        <v/>
      </c>
      <c r="O285" s="346">
        <v>45685.279456018514</v>
      </c>
      <c r="P285" s="334" t="str">
        <f t="shared" si="4"/>
        <v>東鐵岡山:直納シュレＣ</v>
      </c>
    </row>
    <row r="286" ht="15.75" customHeight="1">
      <c r="A286" s="335" t="s">
        <v>1488</v>
      </c>
      <c r="B286" s="354">
        <v>45685.0</v>
      </c>
      <c r="C286" s="355" t="s">
        <v>532</v>
      </c>
      <c r="D286" s="355" t="s">
        <v>77</v>
      </c>
      <c r="E286" s="337" t="str">
        <f t="shared" si="1"/>
        <v>東鐵岡山:直納</v>
      </c>
      <c r="F286" s="338" t="s">
        <v>130</v>
      </c>
      <c r="G286" s="339" t="str">
        <f t="shared" si="2"/>
        <v>東鐵岡山:直納新断Ａ</v>
      </c>
      <c r="H286" s="340">
        <f t="shared" si="3"/>
        <v>42</v>
      </c>
      <c r="I286" s="356">
        <v>-0.5</v>
      </c>
      <c r="J286" s="332">
        <f>IFERROR(__xludf.DUMMYFUNCTION("IF(IF(COUNTIF(P$2:P285, P286)=0, """", INDEX(H$2:H285,
MAX(FILTER(ROW(H$2:H285) - ROW(H$2) + 1, P$2:P285 = P286))))=""単価"","""",
IF(COUNTIF(P$2:P285, P286)=0, """", INDEX(H$2:H285,
MAX(FILTER(ROW(H$2:H285) - ROW(H$2) + 1, P$2:P285 = P286)))))"),42.5)</f>
        <v>42.5</v>
      </c>
      <c r="K286" s="357"/>
      <c r="L286" s="357"/>
      <c r="M286" s="357"/>
      <c r="N286" s="335" t="str">
        <f>IF(MAXIFS('単価履歴'!$O:$O,'単価履歴'!$E:$E,E286,'単価履歴'!$F:$F,F286)=O286,"●","")</f>
        <v/>
      </c>
      <c r="O286" s="358">
        <v>45685.279456018514</v>
      </c>
      <c r="P286" s="334" t="str">
        <f t="shared" si="4"/>
        <v>東鐵岡山:直納新断Ａ</v>
      </c>
      <c r="Q286" s="357"/>
    </row>
    <row r="287" ht="15.75" customHeight="1">
      <c r="A287" s="335" t="s">
        <v>1489</v>
      </c>
      <c r="B287" s="354">
        <v>45685.0</v>
      </c>
      <c r="C287" s="355" t="s">
        <v>532</v>
      </c>
      <c r="D287" s="355" t="s">
        <v>77</v>
      </c>
      <c r="E287" s="337" t="str">
        <f t="shared" si="1"/>
        <v>東鐵岡山:直納</v>
      </c>
      <c r="F287" s="338" t="s">
        <v>131</v>
      </c>
      <c r="G287" s="339" t="str">
        <f t="shared" si="2"/>
        <v>東鐵岡山:直納新断Ｂ</v>
      </c>
      <c r="H287" s="340">
        <f t="shared" si="3"/>
        <v>42</v>
      </c>
      <c r="I287" s="356">
        <v>-0.5</v>
      </c>
      <c r="J287" s="332">
        <f>IFERROR(__xludf.DUMMYFUNCTION("IF(IF(COUNTIF(P$2:P286, P287)=0, """", INDEX(H$2:H286,
MAX(FILTER(ROW(H$2:H286) - ROW(H$2) + 1, P$2:P286 = P287))))=""単価"","""",
IF(COUNTIF(P$2:P286, P287)=0, """", INDEX(H$2:H286,
MAX(FILTER(ROW(H$2:H286) - ROW(H$2) + 1, P$2:P286 = P287)))))"),42.5)</f>
        <v>42.5</v>
      </c>
      <c r="K287" s="357"/>
      <c r="L287" s="357"/>
      <c r="M287" s="357"/>
      <c r="N287" s="335" t="str">
        <f>IF(MAXIFS('単価履歴'!$O:$O,'単価履歴'!$E:$E,E287,'単価履歴'!$F:$F,F287)=O287,"●","")</f>
        <v/>
      </c>
      <c r="O287" s="358">
        <v>45685.279456018514</v>
      </c>
      <c r="P287" s="334" t="str">
        <f t="shared" si="4"/>
        <v>東鐵岡山:直納新断Ｂ</v>
      </c>
      <c r="Q287" s="357"/>
    </row>
    <row r="288" ht="15.75" customHeight="1">
      <c r="A288" s="335" t="s">
        <v>1489</v>
      </c>
      <c r="B288" s="359">
        <v>45685.0</v>
      </c>
      <c r="C288" s="360" t="s">
        <v>532</v>
      </c>
      <c r="D288" s="360" t="s">
        <v>77</v>
      </c>
      <c r="E288" s="337" t="str">
        <f t="shared" si="1"/>
        <v>東鐵岡山:直納</v>
      </c>
      <c r="F288" s="357" t="s">
        <v>575</v>
      </c>
      <c r="G288" s="339" t="str">
        <f t="shared" si="2"/>
        <v>東鐵岡山:直納鋼ダライＡ</v>
      </c>
      <c r="H288" s="340">
        <f t="shared" si="3"/>
        <v>37</v>
      </c>
      <c r="I288" s="332">
        <v>-0.5</v>
      </c>
      <c r="J288" s="332">
        <f>IFERROR(__xludf.DUMMYFUNCTION("IF(IF(COUNTIF(P$2:P287, P288)=0, """", INDEX(H$2:H287,
MAX(FILTER(ROW(H$2:H287) - ROW(H$2) + 1, P$2:P287 = P288))))=""単価"","""",
IF(COUNTIF(P$2:P287, P288)=0, """", INDEX(H$2:H287,
MAX(FILTER(ROW(H$2:H287) - ROW(H$2) + 1, P$2:P287 = P288)))))"),37.5)</f>
        <v>37.5</v>
      </c>
      <c r="N288" s="335" t="str">
        <f>IF(MAXIFS('単価履歴'!$O:$O,'単価履歴'!$E:$E,E288,'単価履歴'!$F:$F,F288)=O288,"●","")</f>
        <v/>
      </c>
      <c r="O288" s="361">
        <v>45685.279456018514</v>
      </c>
      <c r="P288" s="334" t="str">
        <f t="shared" si="4"/>
        <v>東鐵岡山:直納鋼ダライＡ</v>
      </c>
    </row>
    <row r="289" ht="15.75" customHeight="1">
      <c r="A289" s="335" t="s">
        <v>1489</v>
      </c>
      <c r="B289" s="359">
        <v>45685.0</v>
      </c>
      <c r="C289" s="360" t="s">
        <v>532</v>
      </c>
      <c r="D289" s="360" t="s">
        <v>77</v>
      </c>
      <c r="E289" s="337" t="str">
        <f t="shared" si="1"/>
        <v>東鐵岡山:直納</v>
      </c>
      <c r="F289" s="357" t="s">
        <v>25</v>
      </c>
      <c r="G289" s="339" t="str">
        <f t="shared" si="2"/>
        <v>東鐵岡山:直納銑ダライ</v>
      </c>
      <c r="H289" s="340">
        <f t="shared" si="3"/>
        <v>33.5</v>
      </c>
      <c r="I289" s="332">
        <v>-0.5</v>
      </c>
      <c r="J289" s="332">
        <f>IFERROR(__xludf.DUMMYFUNCTION("IF(IF(COUNTIF(P$2:P288, P289)=0, """", INDEX(H$2:H288,
MAX(FILTER(ROW(H$2:H288) - ROW(H$2) + 1, P$2:P288 = P289))))=""単価"","""",
IF(COUNTIF(P$2:P288, P289)=0, """", INDEX(H$2:H288,
MAX(FILTER(ROW(H$2:H288) - ROW(H$2) + 1, P$2:P288 = P289)))))"),34.0)</f>
        <v>34</v>
      </c>
      <c r="N289" s="335" t="str">
        <f>IF(MAXIFS('単価履歴'!$O:$O,'単価履歴'!$E:$E,E289,'単価履歴'!$F:$F,F289)=O289,"●","")</f>
        <v/>
      </c>
      <c r="O289" s="361">
        <v>45685.279456018514</v>
      </c>
      <c r="P289" s="334" t="str">
        <f t="shared" si="4"/>
        <v>東鐵岡山:直納銑ダライ</v>
      </c>
    </row>
    <row r="290" ht="15.75" customHeight="1">
      <c r="A290" s="335" t="s">
        <v>1489</v>
      </c>
      <c r="B290" s="359">
        <v>45685.0</v>
      </c>
      <c r="C290" s="360" t="s">
        <v>532</v>
      </c>
      <c r="D290" s="360" t="s">
        <v>77</v>
      </c>
      <c r="E290" s="337" t="str">
        <f t="shared" si="1"/>
        <v>東鐵岡山:直納</v>
      </c>
      <c r="F290" s="357" t="s">
        <v>154</v>
      </c>
      <c r="G290" s="339" t="str">
        <f t="shared" si="2"/>
        <v>東鐵岡山:直納ＣＰ Ａ</v>
      </c>
      <c r="H290" s="340">
        <f t="shared" si="3"/>
        <v>39.5</v>
      </c>
      <c r="I290" s="332">
        <v>-0.5</v>
      </c>
      <c r="J290" s="332">
        <f>IFERROR(__xludf.DUMMYFUNCTION("IF(IF(COUNTIF(P$2:P289, P290)=0, """", INDEX(H$2:H289,
MAX(FILTER(ROW(H$2:H289) - ROW(H$2) + 1, P$2:P289 = P290))))=""単価"","""",
IF(COUNTIF(P$2:P289, P290)=0, """", INDEX(H$2:H289,
MAX(FILTER(ROW(H$2:H289) - ROW(H$2) + 1, P$2:P289 = P290)))))"),40.0)</f>
        <v>40</v>
      </c>
      <c r="N290" s="335" t="str">
        <f>IF(MAXIFS('単価履歴'!$O:$O,'単価履歴'!$E:$E,E290,'単価履歴'!$F:$F,F290)=O290,"●","")</f>
        <v/>
      </c>
      <c r="O290" s="361">
        <v>45685.279456018514</v>
      </c>
      <c r="P290" s="334" t="str">
        <f t="shared" si="4"/>
        <v>東鐵岡山:直納ＣＰ Ａ</v>
      </c>
    </row>
    <row r="291" ht="15.75" customHeight="1">
      <c r="A291" s="335" t="s">
        <v>1490</v>
      </c>
      <c r="B291" s="336">
        <v>45685.0</v>
      </c>
      <c r="C291" s="335" t="s">
        <v>535</v>
      </c>
      <c r="D291" s="335" t="s">
        <v>77</v>
      </c>
      <c r="E291" s="337" t="str">
        <f t="shared" si="1"/>
        <v>東鐵名古屋:直納</v>
      </c>
      <c r="F291" s="338" t="s">
        <v>1199</v>
      </c>
      <c r="G291" s="339" t="str">
        <f t="shared" si="2"/>
        <v>東鐵名古屋:直納ＨＳ１(単体H1/電特A/HS))</v>
      </c>
      <c r="H291" s="340">
        <f t="shared" si="3"/>
        <v>41.5</v>
      </c>
      <c r="I291" s="341">
        <v>-0.5</v>
      </c>
      <c r="J291" s="332">
        <f>IFERROR(__xludf.DUMMYFUNCTION("IF(IF(COUNTIF(P$2:P290, P291)=0, """", INDEX(H$2:H290,
MAX(FILTER(ROW(H$2:H290) - ROW(H$2) + 1, P$2:P290 = P291))))=""単価"","""",
IF(COUNTIF(P$2:P290, P291)=0, """", INDEX(H$2:H290,
MAX(FILTER(ROW(H$2:H290) - ROW(H$2) + 1, P$2:P290 = P291)))))"),42.0)</f>
        <v>42</v>
      </c>
      <c r="N291" s="335" t="str">
        <f>IF(MAXIFS('単価履歴'!$O:$O,'単価履歴'!$E:$E,E291,'単価履歴'!$F:$F,F291)=O291,"●","")</f>
        <v/>
      </c>
      <c r="O291" s="346">
        <v>45685.28030092592</v>
      </c>
      <c r="P291" s="334" t="str">
        <f t="shared" si="4"/>
        <v>東鐵名古屋:直納ＨＳ１(単体H1/電特A/HS))</v>
      </c>
    </row>
    <row r="292" ht="15.75" customHeight="1">
      <c r="A292" s="335" t="s">
        <v>1491</v>
      </c>
      <c r="B292" s="336">
        <v>45685.0</v>
      </c>
      <c r="C292" s="335" t="s">
        <v>535</v>
      </c>
      <c r="D292" s="335" t="s">
        <v>77</v>
      </c>
      <c r="E292" s="337" t="str">
        <f t="shared" si="1"/>
        <v>東鐵名古屋:直納</v>
      </c>
      <c r="F292" s="338" t="s">
        <v>111</v>
      </c>
      <c r="G292" s="339" t="str">
        <f t="shared" si="2"/>
        <v>東鐵名古屋:直納Ｈ１(特A)</v>
      </c>
      <c r="H292" s="340">
        <f t="shared" si="3"/>
        <v>39.7</v>
      </c>
      <c r="I292" s="341">
        <v>-0.5</v>
      </c>
      <c r="J292" s="332">
        <f>IFERROR(__xludf.DUMMYFUNCTION("IF(IF(COUNTIF(P$2:P291, P292)=0, """", INDEX(H$2:H291,
MAX(FILTER(ROW(H$2:H291) - ROW(H$2) + 1, P$2:P291 = P292))))=""単価"","""",
IF(COUNTIF(P$2:P291, P292)=0, """", INDEX(H$2:H291,
MAX(FILTER(ROW(H$2:H291) - ROW(H$2) + 1, P$2:P291 = P292)))))"),40.2)</f>
        <v>40.2</v>
      </c>
      <c r="N292" s="335" t="str">
        <f>IF(MAXIFS('単価履歴'!$O:$O,'単価履歴'!$E:$E,E292,'単価履歴'!$F:$F,F292)=O292,"●","")</f>
        <v/>
      </c>
      <c r="O292" s="346">
        <v>45685.28030092592</v>
      </c>
      <c r="P292" s="334" t="str">
        <f t="shared" si="4"/>
        <v>東鐵名古屋:直納Ｈ１(特A)</v>
      </c>
    </row>
    <row r="293" ht="15.75" customHeight="1">
      <c r="A293" s="335" t="s">
        <v>1492</v>
      </c>
      <c r="B293" s="336">
        <v>45685.0</v>
      </c>
      <c r="C293" s="335" t="s">
        <v>535</v>
      </c>
      <c r="D293" s="335" t="s">
        <v>77</v>
      </c>
      <c r="E293" s="337" t="str">
        <f t="shared" si="1"/>
        <v>東鐵名古屋:直納</v>
      </c>
      <c r="F293" s="338" t="s">
        <v>116</v>
      </c>
      <c r="G293" s="339" t="str">
        <f t="shared" si="2"/>
        <v>東鐵名古屋:直納Ｈ２(特級)</v>
      </c>
      <c r="H293" s="340">
        <f t="shared" si="3"/>
        <v>39</v>
      </c>
      <c r="I293" s="341">
        <v>-0.5</v>
      </c>
      <c r="J293" s="332">
        <f>IFERROR(__xludf.DUMMYFUNCTION("IF(IF(COUNTIF(P$2:P292, P293)=0, """", INDEX(H$2:H292,
MAX(FILTER(ROW(H$2:H292) - ROW(H$2) + 1, P$2:P292 = P293))))=""単価"","""",
IF(COUNTIF(P$2:P292, P293)=0, """", INDEX(H$2:H292,
MAX(FILTER(ROW(H$2:H292) - ROW(H$2) + 1, P$2:P292 = P293)))))"),39.5)</f>
        <v>39.5</v>
      </c>
      <c r="N293" s="335" t="str">
        <f>IF(MAXIFS('単価履歴'!$O:$O,'単価履歴'!$E:$E,E293,'単価履歴'!$F:$F,F293)=O293,"●","")</f>
        <v/>
      </c>
      <c r="O293" s="346">
        <v>45685.28030092592</v>
      </c>
      <c r="P293" s="334" t="str">
        <f t="shared" si="4"/>
        <v>東鐵名古屋:直納Ｈ２(特級)</v>
      </c>
    </row>
    <row r="294" ht="15.75" customHeight="1">
      <c r="A294" s="335" t="s">
        <v>1493</v>
      </c>
      <c r="B294" s="336">
        <v>45685.0</v>
      </c>
      <c r="C294" s="335" t="s">
        <v>535</v>
      </c>
      <c r="D294" s="335" t="s">
        <v>77</v>
      </c>
      <c r="E294" s="337" t="str">
        <f t="shared" si="1"/>
        <v>東鐵名古屋:直納</v>
      </c>
      <c r="F294" s="338" t="s">
        <v>119</v>
      </c>
      <c r="G294" s="339" t="str">
        <f t="shared" si="2"/>
        <v>東鐵名古屋:直納Ｈ３(1級)</v>
      </c>
      <c r="H294" s="340">
        <f t="shared" si="3"/>
        <v>38.5</v>
      </c>
      <c r="I294" s="341">
        <v>-0.5</v>
      </c>
      <c r="J294" s="332">
        <f>IFERROR(__xludf.DUMMYFUNCTION("IF(IF(COUNTIF(P$2:P293, P294)=0, """", INDEX(H$2:H293,
MAX(FILTER(ROW(H$2:H293) - ROW(H$2) + 1, P$2:P293 = P294))))=""単価"","""",
IF(COUNTIF(P$2:P293, P294)=0, """", INDEX(H$2:H293,
MAX(FILTER(ROW(H$2:H293) - ROW(H$2) + 1, P$2:P293 = P294)))))"),39.0)</f>
        <v>39</v>
      </c>
      <c r="N294" s="335" t="str">
        <f>IF(MAXIFS('単価履歴'!$O:$O,'単価履歴'!$E:$E,E294,'単価履歴'!$F:$F,F294)=O294,"●","")</f>
        <v/>
      </c>
      <c r="O294" s="346">
        <v>45685.28030092592</v>
      </c>
      <c r="P294" s="334" t="str">
        <f t="shared" si="4"/>
        <v>東鐵名古屋:直納Ｈ３(1級)</v>
      </c>
    </row>
    <row r="295" ht="15.75" customHeight="1">
      <c r="A295" s="335" t="s">
        <v>1494</v>
      </c>
      <c r="B295" s="336">
        <v>45685.0</v>
      </c>
      <c r="C295" s="335" t="s">
        <v>535</v>
      </c>
      <c r="D295" s="335" t="s">
        <v>77</v>
      </c>
      <c r="E295" s="337" t="str">
        <f t="shared" si="1"/>
        <v>東鐵名古屋:直納</v>
      </c>
      <c r="F295" s="338" t="s">
        <v>122</v>
      </c>
      <c r="G295" s="339" t="str">
        <f t="shared" si="2"/>
        <v>東鐵名古屋:直納Ｌ１(2級)</v>
      </c>
      <c r="H295" s="340">
        <f t="shared" si="3"/>
        <v>37</v>
      </c>
      <c r="I295" s="341">
        <v>-0.5</v>
      </c>
      <c r="J295" s="332">
        <f>IFERROR(__xludf.DUMMYFUNCTION("IF(IF(COUNTIF(P$2:P294, P295)=0, """", INDEX(H$2:H294,
MAX(FILTER(ROW(H$2:H294) - ROW(H$2) + 1, P$2:P294 = P295))))=""単価"","""",
IF(COUNTIF(P$2:P294, P295)=0, """", INDEX(H$2:H294,
MAX(FILTER(ROW(H$2:H294) - ROW(H$2) + 1, P$2:P294 = P295)))))"),37.5)</f>
        <v>37.5</v>
      </c>
      <c r="N295" s="335" t="str">
        <f>IF(MAXIFS('単価履歴'!$O:$O,'単価履歴'!$E:$E,E295,'単価履歴'!$F:$F,F295)=O295,"●","")</f>
        <v/>
      </c>
      <c r="O295" s="346">
        <v>45685.28030092592</v>
      </c>
      <c r="P295" s="334" t="str">
        <f t="shared" si="4"/>
        <v>東鐵名古屋:直納Ｌ１(2級)</v>
      </c>
    </row>
    <row r="296" ht="15.75" customHeight="1">
      <c r="A296" s="335" t="s">
        <v>1495</v>
      </c>
      <c r="B296" s="336">
        <v>45685.0</v>
      </c>
      <c r="C296" s="335" t="s">
        <v>535</v>
      </c>
      <c r="D296" s="335" t="s">
        <v>77</v>
      </c>
      <c r="E296" s="337" t="str">
        <f t="shared" si="1"/>
        <v>東鐵名古屋:直納</v>
      </c>
      <c r="F296" s="338" t="s">
        <v>573</v>
      </c>
      <c r="G296" s="339" t="str">
        <f t="shared" si="2"/>
        <v>東鐵名古屋:直納Ｌ２(H4･級外･L1ﾊﾞﾗ)</v>
      </c>
      <c r="H296" s="340">
        <f t="shared" si="3"/>
        <v>34</v>
      </c>
      <c r="I296" s="341">
        <v>-0.5</v>
      </c>
      <c r="J296" s="332">
        <f>IFERROR(__xludf.DUMMYFUNCTION("IF(IF(COUNTIF(P$2:P295, P296)=0, """", INDEX(H$2:H295,
MAX(FILTER(ROW(H$2:H295) - ROW(H$2) + 1, P$2:P295 = P296))))=""単価"","""",
IF(COUNTIF(P$2:P295, P296)=0, """", INDEX(H$2:H295,
MAX(FILTER(ROW(H$2:H295) - ROW(H$2) + 1, P$2:P295 = P296)))))"),34.5)</f>
        <v>34.5</v>
      </c>
      <c r="N296" s="335" t="str">
        <f>IF(MAXIFS('単価履歴'!$O:$O,'単価履歴'!$E:$E,E296,'単価履歴'!$F:$F,F296)=O296,"●","")</f>
        <v/>
      </c>
      <c r="O296" s="346">
        <v>45685.28030092592</v>
      </c>
      <c r="P296" s="334" t="str">
        <f t="shared" si="4"/>
        <v>東鐵名古屋:直納Ｌ２(H4･級外･L1ﾊﾞﾗ)</v>
      </c>
    </row>
    <row r="297" ht="15.75" customHeight="1">
      <c r="A297" s="335" t="s">
        <v>1496</v>
      </c>
      <c r="B297" s="336">
        <v>45685.0</v>
      </c>
      <c r="C297" s="335" t="s">
        <v>535</v>
      </c>
      <c r="D297" s="335" t="s">
        <v>77</v>
      </c>
      <c r="E297" s="337" t="str">
        <f t="shared" si="1"/>
        <v>東鐵名古屋:直納</v>
      </c>
      <c r="F297" s="338" t="s">
        <v>145</v>
      </c>
      <c r="G297" s="339" t="str">
        <f t="shared" si="2"/>
        <v>東鐵名古屋:直納シュレＡ</v>
      </c>
      <c r="H297" s="340">
        <f t="shared" si="3"/>
        <v>40</v>
      </c>
      <c r="I297" s="341">
        <v>-0.5</v>
      </c>
      <c r="J297" s="332">
        <f>IFERROR(__xludf.DUMMYFUNCTION("IF(IF(COUNTIF(P$2:P296, P297)=0, """", INDEX(H$2:H296,
MAX(FILTER(ROW(H$2:H296) - ROW(H$2) + 1, P$2:P296 = P297))))=""単価"","""",
IF(COUNTIF(P$2:P296, P297)=0, """", INDEX(H$2:H296,
MAX(FILTER(ROW(H$2:H296) - ROW(H$2) + 1, P$2:P296 = P297)))))"),40.5)</f>
        <v>40.5</v>
      </c>
      <c r="N297" s="335" t="str">
        <f>IF(MAXIFS('単価履歴'!$O:$O,'単価履歴'!$E:$E,E297,'単価履歴'!$F:$F,F297)=O297,"●","")</f>
        <v/>
      </c>
      <c r="O297" s="346">
        <v>45685.28030092592</v>
      </c>
      <c r="P297" s="334" t="str">
        <f t="shared" si="4"/>
        <v>東鐵名古屋:直納シュレＡ</v>
      </c>
    </row>
    <row r="298" ht="15.75" customHeight="1">
      <c r="A298" s="335" t="s">
        <v>1497</v>
      </c>
      <c r="B298" s="336">
        <v>45685.0</v>
      </c>
      <c r="C298" s="335" t="s">
        <v>535</v>
      </c>
      <c r="D298" s="335" t="s">
        <v>77</v>
      </c>
      <c r="E298" s="337" t="str">
        <f t="shared" si="1"/>
        <v>東鐵名古屋:直納</v>
      </c>
      <c r="F298" s="338" t="s">
        <v>151</v>
      </c>
      <c r="G298" s="339" t="str">
        <f t="shared" si="2"/>
        <v>東鐵名古屋:直納シュレＣ</v>
      </c>
      <c r="H298" s="340">
        <f t="shared" si="3"/>
        <v>39.5</v>
      </c>
      <c r="I298" s="341">
        <v>-0.5</v>
      </c>
      <c r="J298" s="332">
        <f>IFERROR(__xludf.DUMMYFUNCTION("IF(IF(COUNTIF(P$2:P297, P298)=0, """", INDEX(H$2:H297,
MAX(FILTER(ROW(H$2:H297) - ROW(H$2) + 1, P$2:P297 = P298))))=""単価"","""",
IF(COUNTIF(P$2:P297, P298)=0, """", INDEX(H$2:H297,
MAX(FILTER(ROW(H$2:H297) - ROW(H$2) + 1, P$2:P297 = P298)))))"),40.0)</f>
        <v>40</v>
      </c>
      <c r="N298" s="335" t="str">
        <f>IF(MAXIFS('単価履歴'!$O:$O,'単価履歴'!$E:$E,E298,'単価履歴'!$F:$F,F298)=O298,"●","")</f>
        <v/>
      </c>
      <c r="O298" s="346">
        <v>45685.28030092592</v>
      </c>
      <c r="P298" s="334" t="str">
        <f t="shared" si="4"/>
        <v>東鐵名古屋:直納シュレＣ</v>
      </c>
    </row>
    <row r="299" ht="15.75" customHeight="1">
      <c r="A299" s="335" t="s">
        <v>1498</v>
      </c>
      <c r="B299" s="336">
        <v>45685.0</v>
      </c>
      <c r="C299" s="335" t="s">
        <v>536</v>
      </c>
      <c r="D299" s="335" t="s">
        <v>77</v>
      </c>
      <c r="E299" s="337" t="str">
        <f t="shared" si="1"/>
        <v>東鐵田原:直納</v>
      </c>
      <c r="F299" s="338" t="s">
        <v>1199</v>
      </c>
      <c r="G299" s="339" t="str">
        <f t="shared" si="2"/>
        <v>東鐵田原:直納ＨＳ１(単体H1/電特A/HS))</v>
      </c>
      <c r="H299" s="340">
        <f t="shared" si="3"/>
        <v>43</v>
      </c>
      <c r="I299" s="341">
        <v>-0.5</v>
      </c>
      <c r="J299" s="332">
        <f>IFERROR(__xludf.DUMMYFUNCTION("IF(IF(COUNTIF(P$2:P298, P299)=0, """", INDEX(H$2:H298,
MAX(FILTER(ROW(H$2:H298) - ROW(H$2) + 1, P$2:P298 = P299))))=""単価"","""",
IF(COUNTIF(P$2:P298, P299)=0, """", INDEX(H$2:H298,
MAX(FILTER(ROW(H$2:H298) - ROW(H$2) + 1, P$2:P298 = P299)))))"),43.5)</f>
        <v>43.5</v>
      </c>
      <c r="N299" s="335" t="str">
        <f>IF(MAXIFS('単価履歴'!$O:$O,'単価履歴'!$E:$E,E299,'単価履歴'!$F:$F,F299)=O299,"●","")</f>
        <v/>
      </c>
      <c r="O299" s="346">
        <v>45685.280694444446</v>
      </c>
      <c r="P299" s="334" t="str">
        <f t="shared" si="4"/>
        <v>東鐵田原:直納ＨＳ１(単体H1/電特A/HS))</v>
      </c>
    </row>
    <row r="300" ht="15.75" customHeight="1">
      <c r="A300" s="335" t="s">
        <v>1499</v>
      </c>
      <c r="B300" s="336">
        <v>45685.0</v>
      </c>
      <c r="C300" s="335" t="s">
        <v>536</v>
      </c>
      <c r="D300" s="335" t="s">
        <v>77</v>
      </c>
      <c r="E300" s="337" t="str">
        <f t="shared" si="1"/>
        <v>東鐵田原:直納</v>
      </c>
      <c r="F300" s="338" t="s">
        <v>111</v>
      </c>
      <c r="G300" s="339" t="str">
        <f t="shared" si="2"/>
        <v>東鐵田原:直納Ｈ１(特A)</v>
      </c>
      <c r="H300" s="340">
        <f t="shared" si="3"/>
        <v>42.2</v>
      </c>
      <c r="I300" s="341">
        <v>-0.5</v>
      </c>
      <c r="J300" s="332">
        <f>IFERROR(__xludf.DUMMYFUNCTION("IF(IF(COUNTIF(P$2:P299, P300)=0, """", INDEX(H$2:H299,
MAX(FILTER(ROW(H$2:H299) - ROW(H$2) + 1, P$2:P299 = P300))))=""単価"","""",
IF(COUNTIF(P$2:P299, P300)=0, """", INDEX(H$2:H299,
MAX(FILTER(ROW(H$2:H299) - ROW(H$2) + 1, P$2:P299 = P300)))))"),42.7)</f>
        <v>42.7</v>
      </c>
      <c r="N300" s="335" t="str">
        <f>IF(MAXIFS('単価履歴'!$O:$O,'単価履歴'!$E:$E,E300,'単価履歴'!$F:$F,F300)=O300,"●","")</f>
        <v/>
      </c>
      <c r="O300" s="346">
        <v>45685.280694444446</v>
      </c>
      <c r="P300" s="334" t="str">
        <f t="shared" si="4"/>
        <v>東鐵田原:直納Ｈ１(特A)</v>
      </c>
    </row>
    <row r="301" ht="15.75" customHeight="1">
      <c r="A301" s="335" t="s">
        <v>1500</v>
      </c>
      <c r="B301" s="336">
        <v>45685.0</v>
      </c>
      <c r="C301" s="335" t="s">
        <v>536</v>
      </c>
      <c r="D301" s="335" t="s">
        <v>77</v>
      </c>
      <c r="E301" s="337" t="str">
        <f t="shared" si="1"/>
        <v>東鐵田原:直納</v>
      </c>
      <c r="F301" s="338" t="s">
        <v>116</v>
      </c>
      <c r="G301" s="339" t="str">
        <f t="shared" si="2"/>
        <v>東鐵田原:直納Ｈ２(特級)</v>
      </c>
      <c r="H301" s="340">
        <f t="shared" si="3"/>
        <v>40.5</v>
      </c>
      <c r="I301" s="341">
        <v>-0.5</v>
      </c>
      <c r="J301" s="332">
        <f>IFERROR(__xludf.DUMMYFUNCTION("IF(IF(COUNTIF(P$2:P300, P301)=0, """", INDEX(H$2:H300,
MAX(FILTER(ROW(H$2:H300) - ROW(H$2) + 1, P$2:P300 = P301))))=""単価"","""",
IF(COUNTIF(P$2:P300, P301)=0, """", INDEX(H$2:H300,
MAX(FILTER(ROW(H$2:H300) - ROW(H$2) + 1, P$2:P300 = P301)))))"),41.0)</f>
        <v>41</v>
      </c>
      <c r="N301" s="335" t="str">
        <f>IF(MAXIFS('単価履歴'!$O:$O,'単価履歴'!$E:$E,E301,'単価履歴'!$F:$F,F301)=O301,"●","")</f>
        <v/>
      </c>
      <c r="O301" s="346">
        <v>45685.280694444446</v>
      </c>
      <c r="P301" s="334" t="str">
        <f t="shared" si="4"/>
        <v>東鐵田原:直納Ｈ２(特級)</v>
      </c>
    </row>
    <row r="302" ht="15.75" customHeight="1">
      <c r="A302" s="335" t="s">
        <v>1501</v>
      </c>
      <c r="B302" s="336">
        <v>45685.0</v>
      </c>
      <c r="C302" s="335" t="s">
        <v>536</v>
      </c>
      <c r="D302" s="335" t="s">
        <v>77</v>
      </c>
      <c r="E302" s="337" t="str">
        <f t="shared" si="1"/>
        <v>東鐵田原:直納</v>
      </c>
      <c r="F302" s="338" t="s">
        <v>119</v>
      </c>
      <c r="G302" s="339" t="str">
        <f t="shared" si="2"/>
        <v>東鐵田原:直納Ｈ３(1級)</v>
      </c>
      <c r="H302" s="340">
        <f t="shared" si="3"/>
        <v>40</v>
      </c>
      <c r="I302" s="341">
        <v>-0.5</v>
      </c>
      <c r="J302" s="332">
        <f>IFERROR(__xludf.DUMMYFUNCTION("IF(IF(COUNTIF(P$2:P301, P302)=0, """", INDEX(H$2:H301,
MAX(FILTER(ROW(H$2:H301) - ROW(H$2) + 1, P$2:P301 = P302))))=""単価"","""",
IF(COUNTIF(P$2:P301, P302)=0, """", INDEX(H$2:H301,
MAX(FILTER(ROW(H$2:H301) - ROW(H$2) + 1, P$2:P301 = P302)))))"),40.5)</f>
        <v>40.5</v>
      </c>
      <c r="N302" s="335" t="str">
        <f>IF(MAXIFS('単価履歴'!$O:$O,'単価履歴'!$E:$E,E302,'単価履歴'!$F:$F,F302)=O302,"●","")</f>
        <v/>
      </c>
      <c r="O302" s="346">
        <v>45685.280694444446</v>
      </c>
      <c r="P302" s="334" t="str">
        <f t="shared" si="4"/>
        <v>東鐵田原:直納Ｈ３(1級)</v>
      </c>
    </row>
    <row r="303" ht="15.75" customHeight="1">
      <c r="A303" s="335" t="s">
        <v>1502</v>
      </c>
      <c r="B303" s="336">
        <v>45685.0</v>
      </c>
      <c r="C303" s="335" t="s">
        <v>536</v>
      </c>
      <c r="D303" s="335" t="s">
        <v>77</v>
      </c>
      <c r="E303" s="337" t="str">
        <f t="shared" si="1"/>
        <v>東鐵田原:直納</v>
      </c>
      <c r="F303" s="338" t="s">
        <v>122</v>
      </c>
      <c r="G303" s="339" t="str">
        <f t="shared" si="2"/>
        <v>東鐵田原:直納Ｌ１(2級)</v>
      </c>
      <c r="H303" s="340">
        <f t="shared" si="3"/>
        <v>38.5</v>
      </c>
      <c r="I303" s="341">
        <v>-0.5</v>
      </c>
      <c r="J303" s="332">
        <f>IFERROR(__xludf.DUMMYFUNCTION("IF(IF(COUNTIF(P$2:P302, P303)=0, """", INDEX(H$2:H302,
MAX(FILTER(ROW(H$2:H302) - ROW(H$2) + 1, P$2:P302 = P303))))=""単価"","""",
IF(COUNTIF(P$2:P302, P303)=0, """", INDEX(H$2:H302,
MAX(FILTER(ROW(H$2:H302) - ROW(H$2) + 1, P$2:P302 = P303)))))"),39.0)</f>
        <v>39</v>
      </c>
      <c r="N303" s="335" t="str">
        <f>IF(MAXIFS('単価履歴'!$O:$O,'単価履歴'!$E:$E,E303,'単価履歴'!$F:$F,F303)=O303,"●","")</f>
        <v/>
      </c>
      <c r="O303" s="346">
        <v>45685.280694444446</v>
      </c>
      <c r="P303" s="334" t="str">
        <f t="shared" si="4"/>
        <v>東鐵田原:直納Ｌ１(2級)</v>
      </c>
    </row>
    <row r="304" ht="15.75" customHeight="1">
      <c r="A304" s="335" t="s">
        <v>1503</v>
      </c>
      <c r="B304" s="336">
        <v>45685.0</v>
      </c>
      <c r="C304" s="335" t="s">
        <v>536</v>
      </c>
      <c r="D304" s="335" t="s">
        <v>77</v>
      </c>
      <c r="E304" s="337" t="str">
        <f t="shared" si="1"/>
        <v>東鐵田原:直納</v>
      </c>
      <c r="F304" s="338" t="s">
        <v>573</v>
      </c>
      <c r="G304" s="339" t="str">
        <f t="shared" si="2"/>
        <v>東鐵田原:直納Ｌ２(H4･級外･L1ﾊﾞﾗ)</v>
      </c>
      <c r="H304" s="340">
        <f t="shared" si="3"/>
        <v>35.5</v>
      </c>
      <c r="I304" s="341">
        <v>-0.5</v>
      </c>
      <c r="J304" s="332">
        <f>IFERROR(__xludf.DUMMYFUNCTION("IF(IF(COUNTIF(P$2:P303, P304)=0, """", INDEX(H$2:H303,
MAX(FILTER(ROW(H$2:H303) - ROW(H$2) + 1, P$2:P303 = P304))))=""単価"","""",
IF(COUNTIF(P$2:P303, P304)=0, """", INDEX(H$2:H303,
MAX(FILTER(ROW(H$2:H303) - ROW(H$2) + 1, P$2:P303 = P304)))))"),36.0)</f>
        <v>36</v>
      </c>
      <c r="N304" s="335" t="str">
        <f>IF(MAXIFS('単価履歴'!$O:$O,'単価履歴'!$E:$E,E304,'単価履歴'!$F:$F,F304)=O304,"●","")</f>
        <v/>
      </c>
      <c r="O304" s="346">
        <v>45685.280694444446</v>
      </c>
      <c r="P304" s="334" t="str">
        <f t="shared" si="4"/>
        <v>東鐵田原:直納Ｌ２(H4･級外･L1ﾊﾞﾗ)</v>
      </c>
    </row>
    <row r="305" ht="15.75" customHeight="1">
      <c r="A305" s="335" t="s">
        <v>1504</v>
      </c>
      <c r="B305" s="336">
        <v>45685.0</v>
      </c>
      <c r="C305" s="335" t="s">
        <v>536</v>
      </c>
      <c r="D305" s="335" t="s">
        <v>77</v>
      </c>
      <c r="E305" s="337" t="str">
        <f t="shared" si="1"/>
        <v>東鐵田原:直納</v>
      </c>
      <c r="F305" s="338" t="s">
        <v>130</v>
      </c>
      <c r="G305" s="339" t="str">
        <f t="shared" si="2"/>
        <v>東鐵田原:直納新断Ａ</v>
      </c>
      <c r="H305" s="340">
        <f t="shared" si="3"/>
        <v>41.5</v>
      </c>
      <c r="I305" s="341">
        <v>-0.5</v>
      </c>
      <c r="J305" s="332">
        <f>IFERROR(__xludf.DUMMYFUNCTION("IF(IF(COUNTIF(P$2:P304, P305)=0, """", INDEX(H$2:H304,
MAX(FILTER(ROW(H$2:H304) - ROW(H$2) + 1, P$2:P304 = P305))))=""単価"","""",
IF(COUNTIF(P$2:P304, P305)=0, """", INDEX(H$2:H304,
MAX(FILTER(ROW(H$2:H304) - ROW(H$2) + 1, P$2:P304 = P305)))))"),42.0)</f>
        <v>42</v>
      </c>
      <c r="N305" s="335" t="str">
        <f>IF(MAXIFS('単価履歴'!$O:$O,'単価履歴'!$E:$E,E305,'単価履歴'!$F:$F,F305)=O305,"●","")</f>
        <v/>
      </c>
      <c r="O305" s="346">
        <v>45685.280694444446</v>
      </c>
      <c r="P305" s="334" t="str">
        <f t="shared" si="4"/>
        <v>東鐵田原:直納新断Ａ</v>
      </c>
    </row>
    <row r="306" ht="15.75" customHeight="1">
      <c r="A306" s="335" t="s">
        <v>1505</v>
      </c>
      <c r="B306" s="336">
        <v>45685.0</v>
      </c>
      <c r="C306" s="335" t="s">
        <v>536</v>
      </c>
      <c r="D306" s="335" t="s">
        <v>77</v>
      </c>
      <c r="E306" s="337" t="str">
        <f t="shared" si="1"/>
        <v>東鐵田原:直納</v>
      </c>
      <c r="F306" s="338" t="s">
        <v>131</v>
      </c>
      <c r="G306" s="339" t="str">
        <f t="shared" si="2"/>
        <v>東鐵田原:直納新断Ｂ</v>
      </c>
      <c r="H306" s="340">
        <f t="shared" si="3"/>
        <v>41.5</v>
      </c>
      <c r="I306" s="341">
        <v>-0.5</v>
      </c>
      <c r="J306" s="332">
        <f>IFERROR(__xludf.DUMMYFUNCTION("IF(IF(COUNTIF(P$2:P305, P306)=0, """", INDEX(H$2:H305,
MAX(FILTER(ROW(H$2:H305) - ROW(H$2) + 1, P$2:P305 = P306))))=""単価"","""",
IF(COUNTIF(P$2:P305, P306)=0, """", INDEX(H$2:H305,
MAX(FILTER(ROW(H$2:H305) - ROW(H$2) + 1, P$2:P305 = P306)))))"),42.0)</f>
        <v>42</v>
      </c>
      <c r="N306" s="335" t="str">
        <f>IF(MAXIFS('単価履歴'!$O:$O,'単価履歴'!$E:$E,E306,'単価履歴'!$F:$F,F306)=O306,"●","")</f>
        <v/>
      </c>
      <c r="O306" s="346">
        <v>45685.280694444446</v>
      </c>
      <c r="P306" s="334" t="str">
        <f t="shared" si="4"/>
        <v>東鐵田原:直納新断Ｂ</v>
      </c>
    </row>
    <row r="307" ht="15.75" customHeight="1">
      <c r="A307" s="335" t="s">
        <v>1506</v>
      </c>
      <c r="B307" s="336">
        <v>45685.0</v>
      </c>
      <c r="C307" s="335" t="s">
        <v>536</v>
      </c>
      <c r="D307" s="335" t="s">
        <v>77</v>
      </c>
      <c r="E307" s="337" t="str">
        <f t="shared" si="1"/>
        <v>東鐵田原:直納</v>
      </c>
      <c r="F307" s="338" t="s">
        <v>575</v>
      </c>
      <c r="G307" s="339" t="str">
        <f t="shared" si="2"/>
        <v>東鐵田原:直納鋼ダライＡ</v>
      </c>
      <c r="H307" s="340">
        <f t="shared" si="3"/>
        <v>39</v>
      </c>
      <c r="I307" s="341">
        <v>-0.5</v>
      </c>
      <c r="J307" s="332">
        <f>IFERROR(__xludf.DUMMYFUNCTION("IF(IF(COUNTIF(P$2:P306, P307)=0, """", INDEX(H$2:H306,
MAX(FILTER(ROW(H$2:H306) - ROW(H$2) + 1, P$2:P306 = P307))))=""単価"","""",
IF(COUNTIF(P$2:P306, P307)=0, """", INDEX(H$2:H306,
MAX(FILTER(ROW(H$2:H306) - ROW(H$2) + 1, P$2:P306 = P307)))))"),39.5)</f>
        <v>39.5</v>
      </c>
      <c r="N307" s="335" t="str">
        <f>IF(MAXIFS('単価履歴'!$O:$O,'単価履歴'!$E:$E,E307,'単価履歴'!$F:$F,F307)=O307,"●","")</f>
        <v/>
      </c>
      <c r="O307" s="346">
        <v>45685.280694444446</v>
      </c>
      <c r="P307" s="334" t="str">
        <f t="shared" si="4"/>
        <v>東鐵田原:直納鋼ダライＡ</v>
      </c>
    </row>
    <row r="308" ht="15.75" customHeight="1">
      <c r="A308" s="335" t="s">
        <v>1507</v>
      </c>
      <c r="B308" s="336">
        <v>45685.0</v>
      </c>
      <c r="C308" s="335" t="s">
        <v>536</v>
      </c>
      <c r="D308" s="335" t="s">
        <v>77</v>
      </c>
      <c r="E308" s="337" t="str">
        <f t="shared" si="1"/>
        <v>東鐵田原:直納</v>
      </c>
      <c r="F308" s="338" t="s">
        <v>145</v>
      </c>
      <c r="G308" s="339" t="str">
        <f t="shared" si="2"/>
        <v>東鐵田原:直納シュレＡ</v>
      </c>
      <c r="H308" s="340">
        <f t="shared" si="3"/>
        <v>41.5</v>
      </c>
      <c r="I308" s="341">
        <v>-0.5</v>
      </c>
      <c r="J308" s="332">
        <f>IFERROR(__xludf.DUMMYFUNCTION("IF(IF(COUNTIF(P$2:P307, P308)=0, """", INDEX(H$2:H307,
MAX(FILTER(ROW(H$2:H307) - ROW(H$2) + 1, P$2:P307 = P308))))=""単価"","""",
IF(COUNTIF(P$2:P307, P308)=0, """", INDEX(H$2:H307,
MAX(FILTER(ROW(H$2:H307) - ROW(H$2) + 1, P$2:P307 = P308)))))"),42.0)</f>
        <v>42</v>
      </c>
      <c r="N308" s="335" t="str">
        <f>IF(MAXIFS('単価履歴'!$O:$O,'単価履歴'!$E:$E,E308,'単価履歴'!$F:$F,F308)=O308,"●","")</f>
        <v/>
      </c>
      <c r="O308" s="346">
        <v>45685.280694444446</v>
      </c>
      <c r="P308" s="334" t="str">
        <f t="shared" si="4"/>
        <v>東鐵田原:直納シュレＡ</v>
      </c>
    </row>
    <row r="309" ht="15.75" customHeight="1">
      <c r="A309" s="335" t="s">
        <v>1508</v>
      </c>
      <c r="B309" s="336">
        <v>45685.0</v>
      </c>
      <c r="C309" s="335" t="s">
        <v>536</v>
      </c>
      <c r="D309" s="335" t="s">
        <v>77</v>
      </c>
      <c r="E309" s="337" t="str">
        <f t="shared" si="1"/>
        <v>東鐵田原:直納</v>
      </c>
      <c r="F309" s="338" t="s">
        <v>151</v>
      </c>
      <c r="G309" s="339" t="str">
        <f t="shared" si="2"/>
        <v>東鐵田原:直納シュレＣ</v>
      </c>
      <c r="H309" s="340">
        <f t="shared" si="3"/>
        <v>41</v>
      </c>
      <c r="I309" s="341">
        <v>-0.5</v>
      </c>
      <c r="J309" s="332">
        <f>IFERROR(__xludf.DUMMYFUNCTION("IF(IF(COUNTIF(P$2:P308, P309)=0, """", INDEX(H$2:H308,
MAX(FILTER(ROW(H$2:H308) - ROW(H$2) + 1, P$2:P308 = P309))))=""単価"","""",
IF(COUNTIF(P$2:P308, P309)=0, """", INDEX(H$2:H308,
MAX(FILTER(ROW(H$2:H308) - ROW(H$2) + 1, P$2:P308 = P309)))))"),41.5)</f>
        <v>41.5</v>
      </c>
      <c r="N309" s="335" t="str">
        <f>IF(MAXIFS('単価履歴'!$O:$O,'単価履歴'!$E:$E,E309,'単価履歴'!$F:$F,F309)=O309,"●","")</f>
        <v/>
      </c>
      <c r="O309" s="346">
        <v>45685.280694444446</v>
      </c>
      <c r="P309" s="334" t="str">
        <f t="shared" si="4"/>
        <v>東鐵田原:直納シュレＣ</v>
      </c>
    </row>
    <row r="310" ht="15.75" customHeight="1">
      <c r="A310" s="335" t="s">
        <v>1509</v>
      </c>
      <c r="B310" s="336">
        <v>45685.0</v>
      </c>
      <c r="C310" s="335" t="s">
        <v>536</v>
      </c>
      <c r="D310" s="335" t="s">
        <v>77</v>
      </c>
      <c r="E310" s="337" t="str">
        <f t="shared" si="1"/>
        <v>東鐵田原:直納</v>
      </c>
      <c r="F310" s="338" t="s">
        <v>154</v>
      </c>
      <c r="G310" s="339" t="str">
        <f t="shared" si="2"/>
        <v>東鐵田原:直納ＣＰ Ａ</v>
      </c>
      <c r="H310" s="340">
        <f t="shared" si="3"/>
        <v>39</v>
      </c>
      <c r="I310" s="341">
        <v>-0.5</v>
      </c>
      <c r="J310" s="332">
        <f>IFERROR(__xludf.DUMMYFUNCTION("IF(IF(COUNTIF(P$2:P309, P310)=0, """", INDEX(H$2:H309,
MAX(FILTER(ROW(H$2:H309) - ROW(H$2) + 1, P$2:P309 = P310))))=""単価"","""",
IF(COUNTIF(P$2:P309, P310)=0, """", INDEX(H$2:H309,
MAX(FILTER(ROW(H$2:H309) - ROW(H$2) + 1, P$2:P309 = P310)))))"),39.5)</f>
        <v>39.5</v>
      </c>
      <c r="N310" s="335" t="str">
        <f>IF(MAXIFS('単価履歴'!$O:$O,'単価履歴'!$E:$E,E310,'単価履歴'!$F:$F,F310)=O310,"●","")</f>
        <v/>
      </c>
      <c r="O310" s="346">
        <v>45685.280694444446</v>
      </c>
      <c r="P310" s="334" t="str">
        <f t="shared" si="4"/>
        <v>東鐵田原:直納ＣＰ Ａ</v>
      </c>
    </row>
    <row r="311" ht="15.75" customHeight="1">
      <c r="A311" s="335" t="s">
        <v>1510</v>
      </c>
      <c r="B311" s="336">
        <v>45685.0</v>
      </c>
      <c r="C311" s="335" t="s">
        <v>9</v>
      </c>
      <c r="D311" s="335" t="s">
        <v>51</v>
      </c>
      <c r="E311" s="337" t="str">
        <f t="shared" si="1"/>
        <v>大鉄　堺:大鉄堺</v>
      </c>
      <c r="F311" s="338" t="s">
        <v>111</v>
      </c>
      <c r="G311" s="339" t="str">
        <f t="shared" si="2"/>
        <v>大鉄　堺:大鉄堺Ｈ１(特A)</v>
      </c>
      <c r="H311" s="340">
        <f t="shared" si="3"/>
        <v>44</v>
      </c>
      <c r="I311" s="341">
        <v>-0.5</v>
      </c>
      <c r="J311" s="332">
        <f>IFERROR(__xludf.DUMMYFUNCTION("IF(IF(COUNTIF(P$2:P310, P311)=0, """", INDEX(H$2:H310,
MAX(FILTER(ROW(H$2:H310) - ROW(H$2) + 1, P$2:P310 = P311))))=""単価"","""",
IF(COUNTIF(P$2:P310, P311)=0, """", INDEX(H$2:H310,
MAX(FILTER(ROW(H$2:H310) - ROW(H$2) + 1, P$2:P310 = P311)))))"),44.5)</f>
        <v>44.5</v>
      </c>
      <c r="N311" s="335" t="str">
        <f>IF(MAXIFS('単価履歴'!$O:$O,'単価履歴'!$E:$E,E311,'単価履歴'!$F:$F,F311)=O311,"●","")</f>
        <v/>
      </c>
      <c r="O311" s="346">
        <v>45685.284895833334</v>
      </c>
      <c r="P311" s="334" t="str">
        <f t="shared" si="4"/>
        <v>大鉄　堺:大鉄堺Ｈ１(特A)</v>
      </c>
    </row>
    <row r="312" ht="15.75" customHeight="1">
      <c r="A312" s="335" t="s">
        <v>1511</v>
      </c>
      <c r="B312" s="336">
        <v>45685.0</v>
      </c>
      <c r="C312" s="335" t="s">
        <v>9</v>
      </c>
      <c r="D312" s="335" t="s">
        <v>51</v>
      </c>
      <c r="E312" s="337" t="str">
        <f t="shared" si="1"/>
        <v>大鉄　堺:大鉄堺</v>
      </c>
      <c r="F312" s="338" t="s">
        <v>116</v>
      </c>
      <c r="G312" s="339" t="str">
        <f t="shared" si="2"/>
        <v>大鉄　堺:大鉄堺Ｈ２(特級)</v>
      </c>
      <c r="H312" s="340">
        <f t="shared" si="3"/>
        <v>40.5</v>
      </c>
      <c r="I312" s="341">
        <v>-0.5</v>
      </c>
      <c r="J312" s="332">
        <f>IFERROR(__xludf.DUMMYFUNCTION("IF(IF(COUNTIF(P$2:P311, P312)=0, """", INDEX(H$2:H311,
MAX(FILTER(ROW(H$2:H311) - ROW(H$2) + 1, P$2:P311 = P312))))=""単価"","""",
IF(COUNTIF(P$2:P311, P312)=0, """", INDEX(H$2:H311,
MAX(FILTER(ROW(H$2:H311) - ROW(H$2) + 1, P$2:P311 = P312)))))"),41.0)</f>
        <v>41</v>
      </c>
      <c r="N312" s="335" t="str">
        <f>IF(MAXIFS('単価履歴'!$O:$O,'単価履歴'!$E:$E,E312,'単価履歴'!$F:$F,F312)=O312,"●","")</f>
        <v/>
      </c>
      <c r="O312" s="346">
        <v>45685.284895833334</v>
      </c>
      <c r="P312" s="334" t="str">
        <f t="shared" si="4"/>
        <v>大鉄　堺:大鉄堺Ｈ２(特級)</v>
      </c>
    </row>
    <row r="313" ht="15.75" customHeight="1">
      <c r="A313" s="335" t="s">
        <v>1512</v>
      </c>
      <c r="B313" s="336">
        <v>45685.0</v>
      </c>
      <c r="C313" s="335" t="s">
        <v>9</v>
      </c>
      <c r="D313" s="335" t="s">
        <v>51</v>
      </c>
      <c r="E313" s="337" t="str">
        <f t="shared" si="1"/>
        <v>大鉄　堺:大鉄堺</v>
      </c>
      <c r="F313" s="338" t="s">
        <v>1237</v>
      </c>
      <c r="G313" s="339" t="str">
        <f t="shared" si="2"/>
        <v>大鉄　堺:大鉄堺ＪＨ１(H2T山口)鍛造ﾊﾞﾘ</v>
      </c>
      <c r="H313" s="340">
        <f t="shared" si="3"/>
        <v>43</v>
      </c>
      <c r="I313" s="341">
        <v>-0.5</v>
      </c>
      <c r="J313" s="332">
        <f>IFERROR(__xludf.DUMMYFUNCTION("IF(IF(COUNTIF(P$2:P312, P313)=0, """", INDEX(H$2:H312,
MAX(FILTER(ROW(H$2:H312) - ROW(H$2) + 1, P$2:P312 = P313))))=""単価"","""",
IF(COUNTIF(P$2:P312, P313)=0, """", INDEX(H$2:H312,
MAX(FILTER(ROW(H$2:H312) - ROW(H$2) + 1, P$2:P312 = P313)))))"),43.5)</f>
        <v>43.5</v>
      </c>
      <c r="N313" s="335" t="str">
        <f>IF(MAXIFS('単価履歴'!$O:$O,'単価履歴'!$E:$E,E313,'単価履歴'!$F:$F,F313)=O313,"●","")</f>
        <v/>
      </c>
      <c r="O313" s="346">
        <v>45685.284895833334</v>
      </c>
      <c r="P313" s="334" t="str">
        <f t="shared" si="4"/>
        <v>大鉄　堺:大鉄堺ＪＨ１(H2T山口)鍛造ﾊﾞﾘ</v>
      </c>
    </row>
    <row r="314" ht="15.75" customHeight="1">
      <c r="A314" s="335" t="s">
        <v>1513</v>
      </c>
      <c r="B314" s="336">
        <v>45685.0</v>
      </c>
      <c r="C314" s="335" t="s">
        <v>9</v>
      </c>
      <c r="D314" s="335" t="s">
        <v>51</v>
      </c>
      <c r="E314" s="337" t="str">
        <f t="shared" si="1"/>
        <v>大鉄　堺:大鉄堺</v>
      </c>
      <c r="F314" s="338" t="s">
        <v>119</v>
      </c>
      <c r="G314" s="339" t="str">
        <f t="shared" si="2"/>
        <v>大鉄　堺:大鉄堺Ｈ３(1級)</v>
      </c>
      <c r="H314" s="340">
        <f t="shared" si="3"/>
        <v>40</v>
      </c>
      <c r="I314" s="341">
        <v>-0.5</v>
      </c>
      <c r="J314" s="332">
        <f>IFERROR(__xludf.DUMMYFUNCTION("IF(IF(COUNTIF(P$2:P313, P314)=0, """", INDEX(H$2:H313,
MAX(FILTER(ROW(H$2:H313) - ROW(H$2) + 1, P$2:P313 = P314))))=""単価"","""",
IF(COUNTIF(P$2:P313, P314)=0, """", INDEX(H$2:H313,
MAX(FILTER(ROW(H$2:H313) - ROW(H$2) + 1, P$2:P313 = P314)))))"),40.5)</f>
        <v>40.5</v>
      </c>
      <c r="N314" s="335" t="str">
        <f>IF(MAXIFS('単価履歴'!$O:$O,'単価履歴'!$E:$E,E314,'単価履歴'!$F:$F,F314)=O314,"●","")</f>
        <v/>
      </c>
      <c r="O314" s="346">
        <v>45685.284895833334</v>
      </c>
      <c r="P314" s="334" t="str">
        <f t="shared" si="4"/>
        <v>大鉄　堺:大鉄堺Ｈ３(1級)</v>
      </c>
    </row>
    <row r="315" ht="15.75" customHeight="1">
      <c r="A315" s="335" t="s">
        <v>1514</v>
      </c>
      <c r="B315" s="336">
        <v>45685.0</v>
      </c>
      <c r="C315" s="335" t="s">
        <v>9</v>
      </c>
      <c r="D315" s="335" t="s">
        <v>51</v>
      </c>
      <c r="E315" s="337" t="str">
        <f t="shared" si="1"/>
        <v>大鉄　堺:大鉄堺</v>
      </c>
      <c r="F315" s="338" t="s">
        <v>122</v>
      </c>
      <c r="G315" s="339" t="str">
        <f t="shared" si="2"/>
        <v>大鉄　堺:大鉄堺Ｌ１(2級)</v>
      </c>
      <c r="H315" s="340">
        <f t="shared" si="3"/>
        <v>39.5</v>
      </c>
      <c r="I315" s="341">
        <v>-0.5</v>
      </c>
      <c r="J315" s="332">
        <f>IFERROR(__xludf.DUMMYFUNCTION("IF(IF(COUNTIF(P$2:P314, P315)=0, """", INDEX(H$2:H314,
MAX(FILTER(ROW(H$2:H314) - ROW(H$2) + 1, P$2:P314 = P315))))=""単価"","""",
IF(COUNTIF(P$2:P314, P315)=0, """", INDEX(H$2:H314,
MAX(FILTER(ROW(H$2:H314) - ROW(H$2) + 1, P$2:P314 = P315)))))"),40.0)</f>
        <v>40</v>
      </c>
      <c r="N315" s="335" t="str">
        <f>IF(MAXIFS('単価履歴'!$O:$O,'単価履歴'!$E:$E,E315,'単価履歴'!$F:$F,F315)=O315,"●","")</f>
        <v/>
      </c>
      <c r="O315" s="346">
        <v>45685.284895833334</v>
      </c>
      <c r="P315" s="334" t="str">
        <f t="shared" si="4"/>
        <v>大鉄　堺:大鉄堺Ｌ１(2級)</v>
      </c>
    </row>
    <row r="316" ht="15.75" customHeight="1">
      <c r="A316" s="335" t="s">
        <v>1515</v>
      </c>
      <c r="B316" s="336">
        <v>45685.0</v>
      </c>
      <c r="C316" s="335" t="s">
        <v>9</v>
      </c>
      <c r="D316" s="335" t="s">
        <v>51</v>
      </c>
      <c r="E316" s="337" t="str">
        <f t="shared" si="1"/>
        <v>大鉄　堺:大鉄堺</v>
      </c>
      <c r="F316" s="338" t="s">
        <v>130</v>
      </c>
      <c r="G316" s="339" t="str">
        <f t="shared" si="2"/>
        <v>大鉄　堺:大鉄堺新断Ａ</v>
      </c>
      <c r="H316" s="340">
        <f t="shared" si="3"/>
        <v>27</v>
      </c>
      <c r="I316" s="341">
        <v>-0.5</v>
      </c>
      <c r="J316" s="332">
        <f>IFERROR(__xludf.DUMMYFUNCTION("IF(IF(COUNTIF(P$2:P315, P316)=0, """", INDEX(H$2:H315,
MAX(FILTER(ROW(H$2:H315) - ROW(H$2) + 1, P$2:P315 = P316))))=""単価"","""",
IF(COUNTIF(P$2:P315, P316)=0, """", INDEX(H$2:H315,
MAX(FILTER(ROW(H$2:H315) - ROW(H$2) + 1, P$2:P315 = P316)))))"),27.5)</f>
        <v>27.5</v>
      </c>
      <c r="N316" s="335" t="str">
        <f>IF(MAXIFS('単価履歴'!$O:$O,'単価履歴'!$E:$E,E316,'単価履歴'!$F:$F,F316)=O316,"●","")</f>
        <v/>
      </c>
      <c r="O316" s="346">
        <v>45685.284895833334</v>
      </c>
      <c r="P316" s="334" t="str">
        <f t="shared" si="4"/>
        <v>大鉄　堺:大鉄堺新断Ａ</v>
      </c>
    </row>
    <row r="317" ht="15.75" customHeight="1">
      <c r="A317" s="335" t="s">
        <v>1516</v>
      </c>
      <c r="B317" s="336">
        <v>45685.0</v>
      </c>
      <c r="C317" s="335" t="s">
        <v>9</v>
      </c>
      <c r="D317" s="335" t="s">
        <v>51</v>
      </c>
      <c r="E317" s="337" t="str">
        <f t="shared" si="1"/>
        <v>大鉄　堺:大鉄堺</v>
      </c>
      <c r="F317" s="338" t="s">
        <v>131</v>
      </c>
      <c r="G317" s="339" t="str">
        <f t="shared" si="2"/>
        <v>大鉄　堺:大鉄堺新断Ｂ</v>
      </c>
      <c r="H317" s="340">
        <f t="shared" si="3"/>
        <v>26.5</v>
      </c>
      <c r="I317" s="341">
        <v>-0.5</v>
      </c>
      <c r="J317" s="332">
        <f>IFERROR(__xludf.DUMMYFUNCTION("IF(IF(COUNTIF(P$2:P316, P317)=0, """", INDEX(H$2:H316,
MAX(FILTER(ROW(H$2:H316) - ROW(H$2) + 1, P$2:P316 = P317))))=""単価"","""",
IF(COUNTIF(P$2:P316, P317)=0, """", INDEX(H$2:H316,
MAX(FILTER(ROW(H$2:H316) - ROW(H$2) + 1, P$2:P316 = P317)))))"),27.0)</f>
        <v>27</v>
      </c>
      <c r="N317" s="335" t="str">
        <f>IF(MAXIFS('単価履歴'!$O:$O,'単価履歴'!$E:$E,E317,'単価履歴'!$F:$F,F317)=O317,"●","")</f>
        <v/>
      </c>
      <c r="O317" s="346">
        <v>45685.284895833334</v>
      </c>
      <c r="P317" s="334" t="str">
        <f t="shared" si="4"/>
        <v>大鉄　堺:大鉄堺新断Ｂ</v>
      </c>
    </row>
    <row r="318" ht="15.75" customHeight="1">
      <c r="A318" s="335" t="s">
        <v>1517</v>
      </c>
      <c r="B318" s="336">
        <v>45685.0</v>
      </c>
      <c r="C318" s="335" t="s">
        <v>9</v>
      </c>
      <c r="D318" s="335" t="s">
        <v>51</v>
      </c>
      <c r="E318" s="337" t="str">
        <f t="shared" si="1"/>
        <v>大鉄　堺:大鉄堺</v>
      </c>
      <c r="F318" s="338" t="s">
        <v>145</v>
      </c>
      <c r="G318" s="339" t="str">
        <f t="shared" si="2"/>
        <v>大鉄　堺:大鉄堺シュレＡ</v>
      </c>
      <c r="H318" s="340">
        <f t="shared" si="3"/>
        <v>29</v>
      </c>
      <c r="I318" s="341">
        <v>-0.5</v>
      </c>
      <c r="J318" s="332">
        <f>IFERROR(__xludf.DUMMYFUNCTION("IF(IF(COUNTIF(P$2:P317, P318)=0, """", INDEX(H$2:H317,
MAX(FILTER(ROW(H$2:H317) - ROW(H$2) + 1, P$2:P317 = P318))))=""単価"","""",
IF(COUNTIF(P$2:P317, P318)=0, """", INDEX(H$2:H317,
MAX(FILTER(ROW(H$2:H317) - ROW(H$2) + 1, P$2:P317 = P318)))))"),29.5)</f>
        <v>29.5</v>
      </c>
      <c r="N318" s="335" t="str">
        <f>IF(MAXIFS('単価履歴'!$O:$O,'単価履歴'!$E:$E,E318,'単価履歴'!$F:$F,F318)=O318,"●","")</f>
        <v/>
      </c>
      <c r="O318" s="346">
        <v>45685.284895833334</v>
      </c>
      <c r="P318" s="334" t="str">
        <f t="shared" si="4"/>
        <v>大鉄　堺:大鉄堺シュレＡ</v>
      </c>
    </row>
    <row r="319" ht="15.75" customHeight="1">
      <c r="A319" s="335" t="s">
        <v>1518</v>
      </c>
      <c r="B319" s="336">
        <v>45685.0</v>
      </c>
      <c r="C319" s="335" t="s">
        <v>9</v>
      </c>
      <c r="D319" s="335" t="s">
        <v>51</v>
      </c>
      <c r="E319" s="337" t="str">
        <f t="shared" si="1"/>
        <v>大鉄　堺:大鉄堺</v>
      </c>
      <c r="F319" s="338" t="s">
        <v>149</v>
      </c>
      <c r="G319" s="339" t="str">
        <f t="shared" si="2"/>
        <v>大鉄　堺:大鉄堺シュレＢ</v>
      </c>
      <c r="H319" s="340">
        <f t="shared" si="3"/>
        <v>28.3</v>
      </c>
      <c r="I319" s="341">
        <v>-0.5</v>
      </c>
      <c r="J319" s="332">
        <f>IFERROR(__xludf.DUMMYFUNCTION("IF(IF(COUNTIF(P$2:P318, P319)=0, """", INDEX(H$2:H318,
MAX(FILTER(ROW(H$2:H318) - ROW(H$2) + 1, P$2:P318 = P319))))=""単価"","""",
IF(COUNTIF(P$2:P318, P319)=0, """", INDEX(H$2:H318,
MAX(FILTER(ROW(H$2:H318) - ROW(H$2) + 1, P$2:P318 = P319)))))"),28.8)</f>
        <v>28.8</v>
      </c>
      <c r="N319" s="335" t="str">
        <f>IF(MAXIFS('単価履歴'!$O:$O,'単価履歴'!$E:$E,E319,'単価履歴'!$F:$F,F319)=O319,"●","")</f>
        <v/>
      </c>
      <c r="O319" s="346">
        <v>45685.284895833334</v>
      </c>
      <c r="P319" s="334" t="str">
        <f t="shared" si="4"/>
        <v>大鉄　堺:大鉄堺シュレＢ</v>
      </c>
    </row>
    <row r="320" ht="15.75" customHeight="1">
      <c r="A320" s="335" t="s">
        <v>1519</v>
      </c>
      <c r="B320" s="336">
        <v>45685.0</v>
      </c>
      <c r="C320" s="335" t="s">
        <v>9</v>
      </c>
      <c r="D320" s="335" t="s">
        <v>51</v>
      </c>
      <c r="E320" s="337" t="str">
        <f t="shared" si="1"/>
        <v>大鉄　堺:大鉄堺</v>
      </c>
      <c r="F320" s="338" t="s">
        <v>151</v>
      </c>
      <c r="G320" s="339" t="str">
        <f t="shared" si="2"/>
        <v>大鉄　堺:大鉄堺シュレＣ</v>
      </c>
      <c r="H320" s="340">
        <f t="shared" si="3"/>
        <v>26.9</v>
      </c>
      <c r="I320" s="341">
        <v>-0.5</v>
      </c>
      <c r="J320" s="332">
        <f>IFERROR(__xludf.DUMMYFUNCTION("IF(IF(COUNTIF(P$2:P319, P320)=0, """", INDEX(H$2:H319,
MAX(FILTER(ROW(H$2:H319) - ROW(H$2) + 1, P$2:P319 = P320))))=""単価"","""",
IF(COUNTIF(P$2:P319, P320)=0, """", INDEX(H$2:H319,
MAX(FILTER(ROW(H$2:H319) - ROW(H$2) + 1, P$2:P319 = P320)))))"),27.4)</f>
        <v>27.4</v>
      </c>
      <c r="N320" s="335" t="str">
        <f>IF(MAXIFS('単価履歴'!$O:$O,'単価履歴'!$E:$E,E320,'単価履歴'!$F:$F,F320)=O320,"●","")</f>
        <v/>
      </c>
      <c r="O320" s="346">
        <v>45685.284895833334</v>
      </c>
      <c r="P320" s="334" t="str">
        <f t="shared" si="4"/>
        <v>大鉄　堺:大鉄堺シュレＣ</v>
      </c>
    </row>
    <row r="321" ht="15.75" customHeight="1">
      <c r="A321" s="335" t="s">
        <v>1520</v>
      </c>
      <c r="B321" s="336">
        <v>45685.0</v>
      </c>
      <c r="C321" s="335" t="s">
        <v>9</v>
      </c>
      <c r="D321" s="335" t="s">
        <v>51</v>
      </c>
      <c r="E321" s="337" t="str">
        <f t="shared" si="1"/>
        <v>大鉄　堺:大鉄堺</v>
      </c>
      <c r="F321" s="338" t="s">
        <v>156</v>
      </c>
      <c r="G321" s="339" t="str">
        <f t="shared" si="2"/>
        <v>大鉄　堺:大鉄堺ＣＰ Ｂ一斗缶</v>
      </c>
      <c r="H321" s="340">
        <f t="shared" si="3"/>
        <v>28.5</v>
      </c>
      <c r="I321" s="341">
        <v>-0.5</v>
      </c>
      <c r="J321" s="332">
        <f>IFERROR(__xludf.DUMMYFUNCTION("IF(IF(COUNTIF(P$2:P320, P321)=0, """", INDEX(H$2:H320,
MAX(FILTER(ROW(H$2:H320) - ROW(H$2) + 1, P$2:P320 = P321))))=""単価"","""",
IF(COUNTIF(P$2:P320, P321)=0, """", INDEX(H$2:H320,
MAX(FILTER(ROW(H$2:H320) - ROW(H$2) + 1, P$2:P320 = P321)))))"),29.0)</f>
        <v>29</v>
      </c>
      <c r="N321" s="335" t="str">
        <f>IF(MAXIFS('単価履歴'!$O:$O,'単価履歴'!$E:$E,E321,'単価履歴'!$F:$F,F321)=O321,"●","")</f>
        <v/>
      </c>
      <c r="O321" s="346">
        <v>45685.284895833334</v>
      </c>
      <c r="P321" s="334" t="str">
        <f t="shared" si="4"/>
        <v>大鉄　堺:大鉄堺ＣＰ Ｂ一斗缶</v>
      </c>
    </row>
    <row r="322" ht="15.75" customHeight="1">
      <c r="A322" s="335" t="s">
        <v>1521</v>
      </c>
      <c r="B322" s="336">
        <v>45685.0</v>
      </c>
      <c r="C322" s="335" t="s">
        <v>9</v>
      </c>
      <c r="D322" s="335" t="s">
        <v>47</v>
      </c>
      <c r="E322" s="337" t="str">
        <f t="shared" si="1"/>
        <v>大鉄　堺:豊通</v>
      </c>
      <c r="F322" s="338" t="s">
        <v>111</v>
      </c>
      <c r="G322" s="339" t="str">
        <f t="shared" si="2"/>
        <v>大鉄　堺:豊通Ｈ１(特A)</v>
      </c>
      <c r="H322" s="340">
        <f t="shared" si="3"/>
        <v>28.9</v>
      </c>
      <c r="I322" s="341">
        <v>-0.5</v>
      </c>
      <c r="J322" s="332">
        <f>IFERROR(__xludf.DUMMYFUNCTION("IF(IF(COUNTIF(P$2:P321, P322)=0, """", INDEX(H$2:H321,
MAX(FILTER(ROW(H$2:H321) - ROW(H$2) + 1, P$2:P321 = P322))))=""単価"","""",
IF(COUNTIF(P$2:P321, P322)=0, """", INDEX(H$2:H321,
MAX(FILTER(ROW(H$2:H321) - ROW(H$2) + 1, P$2:P321 = P322)))))"),29.4)</f>
        <v>29.4</v>
      </c>
      <c r="N322" s="335" t="str">
        <f>IF(MAXIFS('単価履歴'!$O:$O,'単価履歴'!$E:$E,E322,'単価履歴'!$F:$F,F322)=O322,"●","")</f>
        <v/>
      </c>
      <c r="O322" s="346">
        <v>45685.284895833334</v>
      </c>
      <c r="P322" s="334" t="str">
        <f t="shared" si="4"/>
        <v>大鉄　堺:豊通Ｈ１(特A)</v>
      </c>
    </row>
    <row r="323" ht="15.75" customHeight="1">
      <c r="A323" s="335" t="s">
        <v>1522</v>
      </c>
      <c r="B323" s="336">
        <v>45685.0</v>
      </c>
      <c r="C323" s="335" t="s">
        <v>9</v>
      </c>
      <c r="D323" s="335" t="s">
        <v>47</v>
      </c>
      <c r="E323" s="337" t="str">
        <f t="shared" si="1"/>
        <v>大鉄　堺:豊通</v>
      </c>
      <c r="F323" s="338" t="s">
        <v>116</v>
      </c>
      <c r="G323" s="339" t="str">
        <f t="shared" si="2"/>
        <v>大鉄　堺:豊通Ｈ２(特級)</v>
      </c>
      <c r="H323" s="340">
        <f t="shared" si="3"/>
        <v>24.2</v>
      </c>
      <c r="I323" s="341">
        <v>-0.5</v>
      </c>
      <c r="J323" s="332">
        <f>IFERROR(__xludf.DUMMYFUNCTION("IF(IF(COUNTIF(P$2:P322, P323)=0, """", INDEX(H$2:H322,
MAX(FILTER(ROW(H$2:H322) - ROW(H$2) + 1, P$2:P322 = P323))))=""単価"","""",
IF(COUNTIF(P$2:P322, P323)=0, """", INDEX(H$2:H322,
MAX(FILTER(ROW(H$2:H322) - ROW(H$2) + 1, P$2:P322 = P323)))))"),24.7)</f>
        <v>24.7</v>
      </c>
      <c r="N323" s="335" t="str">
        <f>IF(MAXIFS('単価履歴'!$O:$O,'単価履歴'!$E:$E,E323,'単価履歴'!$F:$F,F323)=O323,"●","")</f>
        <v/>
      </c>
      <c r="O323" s="346">
        <v>45685.284895833334</v>
      </c>
      <c r="P323" s="334" t="str">
        <f t="shared" si="4"/>
        <v>大鉄　堺:豊通Ｈ２(特級)</v>
      </c>
    </row>
    <row r="324" ht="15.75" customHeight="1">
      <c r="A324" s="335" t="s">
        <v>1523</v>
      </c>
      <c r="B324" s="336">
        <v>45685.0</v>
      </c>
      <c r="C324" s="335" t="s">
        <v>9</v>
      </c>
      <c r="D324" s="335" t="s">
        <v>47</v>
      </c>
      <c r="E324" s="337" t="str">
        <f t="shared" si="1"/>
        <v>大鉄　堺:豊通</v>
      </c>
      <c r="F324" s="338" t="s">
        <v>1237</v>
      </c>
      <c r="G324" s="339" t="str">
        <f t="shared" si="2"/>
        <v>大鉄　堺:豊通ＪＨ１(H2T山口)鍛造ﾊﾞﾘ</v>
      </c>
      <c r="H324" s="340">
        <f t="shared" si="3"/>
        <v>27.9</v>
      </c>
      <c r="I324" s="341">
        <v>-0.5</v>
      </c>
      <c r="J324" s="332">
        <f>IFERROR(__xludf.DUMMYFUNCTION("IF(IF(COUNTIF(P$2:P323, P324)=0, """", INDEX(H$2:H323,
MAX(FILTER(ROW(H$2:H323) - ROW(H$2) + 1, P$2:P323 = P324))))=""単価"","""",
IF(COUNTIF(P$2:P323, P324)=0, """", INDEX(H$2:H323,
MAX(FILTER(ROW(H$2:H323) - ROW(H$2) + 1, P$2:P323 = P324)))))"),28.4)</f>
        <v>28.4</v>
      </c>
      <c r="N324" s="335" t="str">
        <f>IF(MAXIFS('単価履歴'!$O:$O,'単価履歴'!$E:$E,E324,'単価履歴'!$F:$F,F324)=O324,"●","")</f>
        <v/>
      </c>
      <c r="O324" s="346">
        <v>45685.284895833334</v>
      </c>
      <c r="P324" s="334" t="str">
        <f t="shared" si="4"/>
        <v>大鉄　堺:豊通ＪＨ１(H2T山口)鍛造ﾊﾞﾘ</v>
      </c>
    </row>
    <row r="325" ht="15.75" customHeight="1">
      <c r="A325" s="335" t="s">
        <v>1524</v>
      </c>
      <c r="B325" s="336">
        <v>45685.0</v>
      </c>
      <c r="C325" s="335" t="s">
        <v>9</v>
      </c>
      <c r="D325" s="335" t="s">
        <v>47</v>
      </c>
      <c r="E325" s="337" t="str">
        <f t="shared" si="1"/>
        <v>大鉄　堺:豊通</v>
      </c>
      <c r="F325" s="338" t="s">
        <v>122</v>
      </c>
      <c r="G325" s="339" t="str">
        <f t="shared" si="2"/>
        <v>大鉄　堺:豊通Ｌ１(2級)</v>
      </c>
      <c r="H325" s="340">
        <f t="shared" si="3"/>
        <v>21.7</v>
      </c>
      <c r="I325" s="341">
        <v>-0.5</v>
      </c>
      <c r="J325" s="332">
        <f>IFERROR(__xludf.DUMMYFUNCTION("IF(IF(COUNTIF(P$2:P324, P325)=0, """", INDEX(H$2:H324,
MAX(FILTER(ROW(H$2:H324) - ROW(H$2) + 1, P$2:P324 = P325))))=""単価"","""",
IF(COUNTIF(P$2:P324, P325)=0, """", INDEX(H$2:H324,
MAX(FILTER(ROW(H$2:H324) - ROW(H$2) + 1, P$2:P324 = P325)))))"),22.2)</f>
        <v>22.2</v>
      </c>
      <c r="N325" s="335" t="str">
        <f>IF(MAXIFS('単価履歴'!$O:$O,'単価履歴'!$E:$E,E325,'単価履歴'!$F:$F,F325)=O325,"●","")</f>
        <v/>
      </c>
      <c r="O325" s="346">
        <v>45685.284895833334</v>
      </c>
      <c r="P325" s="334" t="str">
        <f t="shared" si="4"/>
        <v>大鉄　堺:豊通Ｌ１(2級)</v>
      </c>
    </row>
    <row r="326" ht="15.75" customHeight="1">
      <c r="A326" s="335" t="s">
        <v>1525</v>
      </c>
      <c r="B326" s="336">
        <v>45685.0</v>
      </c>
      <c r="C326" s="335" t="s">
        <v>9</v>
      </c>
      <c r="D326" s="335" t="s">
        <v>47</v>
      </c>
      <c r="E326" s="337" t="str">
        <f t="shared" si="1"/>
        <v>大鉄　堺:豊通</v>
      </c>
      <c r="F326" s="338" t="s">
        <v>130</v>
      </c>
      <c r="G326" s="339" t="str">
        <f t="shared" si="2"/>
        <v>大鉄　堺:豊通新断Ａ</v>
      </c>
      <c r="H326" s="340">
        <f t="shared" si="3"/>
        <v>25.2</v>
      </c>
      <c r="I326" s="341">
        <v>-0.5</v>
      </c>
      <c r="J326" s="332">
        <f>IFERROR(__xludf.DUMMYFUNCTION("IF(IF(COUNTIF(P$2:P325, P326)=0, """", INDEX(H$2:H325,
MAX(FILTER(ROW(H$2:H325) - ROW(H$2) + 1, P$2:P325 = P326))))=""単価"","""",
IF(COUNTIF(P$2:P325, P326)=0, """", INDEX(H$2:H325,
MAX(FILTER(ROW(H$2:H325) - ROW(H$2) + 1, P$2:P325 = P326)))))"),25.7)</f>
        <v>25.7</v>
      </c>
      <c r="N326" s="335" t="str">
        <f>IF(MAXIFS('単価履歴'!$O:$O,'単価履歴'!$E:$E,E326,'単価履歴'!$F:$F,F326)=O326,"●","")</f>
        <v/>
      </c>
      <c r="O326" s="346">
        <v>45685.284895833334</v>
      </c>
      <c r="P326" s="334" t="str">
        <f t="shared" si="4"/>
        <v>大鉄　堺:豊通新断Ａ</v>
      </c>
    </row>
    <row r="327" ht="15.75" customHeight="1">
      <c r="A327" s="335" t="s">
        <v>1526</v>
      </c>
      <c r="B327" s="336">
        <v>45685.0</v>
      </c>
      <c r="C327" s="335" t="s">
        <v>9</v>
      </c>
      <c r="D327" s="335" t="s">
        <v>51</v>
      </c>
      <c r="E327" s="337" t="str">
        <f t="shared" si="1"/>
        <v>大鉄　堺:大鉄堺</v>
      </c>
      <c r="F327" s="338" t="s">
        <v>154</v>
      </c>
      <c r="G327" s="339" t="str">
        <f t="shared" si="2"/>
        <v>大鉄　堺:大鉄堺ＣＰ Ａ</v>
      </c>
      <c r="H327" s="340">
        <f t="shared" si="3"/>
        <v>31</v>
      </c>
      <c r="I327" s="341">
        <v>-0.5</v>
      </c>
      <c r="J327" s="332">
        <f>IFERROR(__xludf.DUMMYFUNCTION("IF(IF(COUNTIF(P$2:P326, P327)=0, """", INDEX(H$2:H326,
MAX(FILTER(ROW(H$2:H326) - ROW(H$2) + 1, P$2:P326 = P327))))=""単価"","""",
IF(COUNTIF(P$2:P326, P327)=0, """", INDEX(H$2:H326,
MAX(FILTER(ROW(H$2:H326) - ROW(H$2) + 1, P$2:P326 = P327)))))"),31.5)</f>
        <v>31.5</v>
      </c>
      <c r="N327" s="335" t="str">
        <f>IF(MAXIFS('単価履歴'!$O:$O,'単価履歴'!$E:$E,E327,'単価履歴'!$F:$F,F327)=O327,"●","")</f>
        <v/>
      </c>
      <c r="O327" s="346">
        <v>45685.284895833334</v>
      </c>
      <c r="P327" s="334" t="str">
        <f t="shared" si="4"/>
        <v>大鉄　堺:大鉄堺ＣＰ Ａ</v>
      </c>
    </row>
    <row r="328" ht="15.75" customHeight="1">
      <c r="A328" s="335" t="s">
        <v>1527</v>
      </c>
      <c r="B328" s="336">
        <v>45685.0</v>
      </c>
      <c r="C328" s="335" t="s">
        <v>9</v>
      </c>
      <c r="D328" s="335" t="s">
        <v>47</v>
      </c>
      <c r="E328" s="337" t="str">
        <f t="shared" si="1"/>
        <v>大鉄　堺:豊通</v>
      </c>
      <c r="F328" s="338" t="s">
        <v>131</v>
      </c>
      <c r="G328" s="339" t="str">
        <f t="shared" si="2"/>
        <v>大鉄　堺:豊通新断Ｂ</v>
      </c>
      <c r="H328" s="340">
        <f t="shared" si="3"/>
        <v>24.7</v>
      </c>
      <c r="I328" s="341">
        <v>-0.5</v>
      </c>
      <c r="J328" s="332">
        <f>IFERROR(__xludf.DUMMYFUNCTION("IF(IF(COUNTIF(P$2:P327, P328)=0, """", INDEX(H$2:H327,
MAX(FILTER(ROW(H$2:H327) - ROW(H$2) + 1, P$2:P327 = P328))))=""単価"","""",
IF(COUNTIF(P$2:P327, P328)=0, """", INDEX(H$2:H327,
MAX(FILTER(ROW(H$2:H327) - ROW(H$2) + 1, P$2:P327 = P328)))))"),25.2)</f>
        <v>25.2</v>
      </c>
      <c r="N328" s="335" t="str">
        <f>IF(MAXIFS('単価履歴'!$O:$O,'単価履歴'!$E:$E,E328,'単価履歴'!$F:$F,F328)=O328,"●","")</f>
        <v/>
      </c>
      <c r="O328" s="346">
        <v>45685.284895833334</v>
      </c>
      <c r="P328" s="334" t="str">
        <f t="shared" si="4"/>
        <v>大鉄　堺:豊通新断Ｂ</v>
      </c>
    </row>
    <row r="329" ht="15.75" customHeight="1">
      <c r="A329" s="335" t="s">
        <v>1528</v>
      </c>
      <c r="B329" s="336">
        <v>45685.0</v>
      </c>
      <c r="C329" s="335" t="s">
        <v>9</v>
      </c>
      <c r="D329" s="335" t="s">
        <v>47</v>
      </c>
      <c r="E329" s="337" t="str">
        <f t="shared" si="1"/>
        <v>大鉄　堺:豊通</v>
      </c>
      <c r="F329" s="338" t="s">
        <v>145</v>
      </c>
      <c r="G329" s="339" t="str">
        <f t="shared" si="2"/>
        <v>大鉄　堺:豊通シュレＡ</v>
      </c>
      <c r="H329" s="340">
        <f t="shared" si="3"/>
        <v>28.2</v>
      </c>
      <c r="I329" s="341">
        <v>-0.5</v>
      </c>
      <c r="J329" s="332">
        <f>IFERROR(__xludf.DUMMYFUNCTION("IF(IF(COUNTIF(P$2:P328, P329)=0, """", INDEX(H$2:H328,
MAX(FILTER(ROW(H$2:H328) - ROW(H$2) + 1, P$2:P328 = P329))))=""単価"","""",
IF(COUNTIF(P$2:P328, P329)=0, """", INDEX(H$2:H328,
MAX(FILTER(ROW(H$2:H328) - ROW(H$2) + 1, P$2:P328 = P329)))))"),28.7)</f>
        <v>28.7</v>
      </c>
      <c r="N329" s="335" t="str">
        <f>IF(MAXIFS('単価履歴'!$O:$O,'単価履歴'!$E:$E,E329,'単価履歴'!$F:$F,F329)=O329,"●","")</f>
        <v/>
      </c>
      <c r="O329" s="346">
        <v>45685.284895833334</v>
      </c>
      <c r="P329" s="334" t="str">
        <f t="shared" si="4"/>
        <v>大鉄　堺:豊通シュレＡ</v>
      </c>
    </row>
    <row r="330" ht="15.75" customHeight="1">
      <c r="A330" s="335" t="s">
        <v>1529</v>
      </c>
      <c r="B330" s="336">
        <v>45685.0</v>
      </c>
      <c r="C330" s="335" t="s">
        <v>9</v>
      </c>
      <c r="D330" s="335" t="s">
        <v>47</v>
      </c>
      <c r="E330" s="337" t="str">
        <f t="shared" si="1"/>
        <v>大鉄　堺:豊通</v>
      </c>
      <c r="F330" s="338" t="s">
        <v>154</v>
      </c>
      <c r="G330" s="339" t="str">
        <f t="shared" si="2"/>
        <v>大鉄　堺:豊通ＣＰ Ａ</v>
      </c>
      <c r="H330" s="340">
        <f t="shared" si="3"/>
        <v>35.2</v>
      </c>
      <c r="I330" s="341">
        <v>-0.5</v>
      </c>
      <c r="J330" s="332">
        <f>IFERROR(__xludf.DUMMYFUNCTION("IF(IF(COUNTIF(P$2:P329, P330)=0, """", INDEX(H$2:H329,
MAX(FILTER(ROW(H$2:H329) - ROW(H$2) + 1, P$2:P329 = P330))))=""単価"","""",
IF(COUNTIF(P$2:P329, P330)=0, """", INDEX(H$2:H329,
MAX(FILTER(ROW(H$2:H329) - ROW(H$2) + 1, P$2:P329 = P330)))))"),35.7)</f>
        <v>35.7</v>
      </c>
      <c r="N330" s="335" t="str">
        <f>IF(MAXIFS('単価履歴'!$O:$O,'単価履歴'!$E:$E,E330,'単価履歴'!$F:$F,F330)=O330,"●","")</f>
        <v/>
      </c>
      <c r="O330" s="346">
        <v>45685.284895833334</v>
      </c>
      <c r="P330" s="334" t="str">
        <f t="shared" si="4"/>
        <v>大鉄　堺:豊通ＣＰ Ａ</v>
      </c>
    </row>
    <row r="331" ht="15.75" customHeight="1">
      <c r="A331" s="335" t="s">
        <v>1530</v>
      </c>
      <c r="B331" s="336">
        <v>45685.0</v>
      </c>
      <c r="C331" s="335" t="s">
        <v>9</v>
      </c>
      <c r="D331" s="335" t="s">
        <v>47</v>
      </c>
      <c r="E331" s="337" t="str">
        <f t="shared" si="1"/>
        <v>大鉄　堺:豊通</v>
      </c>
      <c r="F331" s="338" t="s">
        <v>156</v>
      </c>
      <c r="G331" s="339" t="str">
        <f t="shared" si="2"/>
        <v>大鉄　堺:豊通ＣＰ Ｂ一斗缶</v>
      </c>
      <c r="H331" s="340">
        <f t="shared" si="3"/>
        <v>32.7</v>
      </c>
      <c r="I331" s="341">
        <v>-0.5</v>
      </c>
      <c r="J331" s="332">
        <f>IFERROR(__xludf.DUMMYFUNCTION("IF(IF(COUNTIF(P$2:P330, P331)=0, """", INDEX(H$2:H330,
MAX(FILTER(ROW(H$2:H330) - ROW(H$2) + 1, P$2:P330 = P331))))=""単価"","""",
IF(COUNTIF(P$2:P330, P331)=0, """", INDEX(H$2:H330,
MAX(FILTER(ROW(H$2:H330) - ROW(H$2) + 1, P$2:P330 = P331)))))"),33.2)</f>
        <v>33.2</v>
      </c>
      <c r="N331" s="335" t="str">
        <f>IF(MAXIFS('単価履歴'!$O:$O,'単価履歴'!$E:$E,E331,'単価履歴'!$F:$F,F331)=O331,"●","")</f>
        <v/>
      </c>
      <c r="O331" s="346">
        <v>45685.284895833334</v>
      </c>
      <c r="P331" s="334" t="str">
        <f t="shared" si="4"/>
        <v>大鉄　堺:豊通ＣＰ Ｂ一斗缶</v>
      </c>
    </row>
    <row r="332" ht="15.75" customHeight="1">
      <c r="A332" s="335" t="s">
        <v>1531</v>
      </c>
      <c r="B332" s="336">
        <v>45685.0</v>
      </c>
      <c r="C332" s="335" t="s">
        <v>9</v>
      </c>
      <c r="D332" s="335" t="s">
        <v>47</v>
      </c>
      <c r="E332" s="337" t="str">
        <f t="shared" si="1"/>
        <v>大鉄　堺:豊通</v>
      </c>
      <c r="F332" s="338" t="s">
        <v>119</v>
      </c>
      <c r="G332" s="339" t="str">
        <f t="shared" si="2"/>
        <v>大鉄　堺:豊通Ｈ３(1級)</v>
      </c>
      <c r="H332" s="340">
        <f t="shared" si="3"/>
        <v>23.2</v>
      </c>
      <c r="I332" s="341">
        <v>-0.5</v>
      </c>
      <c r="J332" s="332">
        <f>IFERROR(__xludf.DUMMYFUNCTION("IF(IF(COUNTIF(P$2:P331, P332)=0, """", INDEX(H$2:H331,
MAX(FILTER(ROW(H$2:H331) - ROW(H$2) + 1, P$2:P331 = P332))))=""単価"","""",
IF(COUNTIF(P$2:P331, P332)=0, """", INDEX(H$2:H331,
MAX(FILTER(ROW(H$2:H331) - ROW(H$2) + 1, P$2:P331 = P332)))))"),23.7)</f>
        <v>23.7</v>
      </c>
      <c r="N332" s="335" t="str">
        <f>IF(MAXIFS('単価履歴'!$O:$O,'単価履歴'!$E:$E,E332,'単価履歴'!$F:$F,F332)=O332,"●","")</f>
        <v/>
      </c>
      <c r="O332" s="346">
        <v>45685.284895833334</v>
      </c>
      <c r="P332" s="334" t="str">
        <f t="shared" si="4"/>
        <v>大鉄　堺:豊通Ｈ３(1級)</v>
      </c>
    </row>
    <row r="333" ht="15.75" customHeight="1">
      <c r="A333" s="335" t="s">
        <v>1532</v>
      </c>
      <c r="B333" s="336">
        <v>45685.0</v>
      </c>
      <c r="C333" s="335" t="s">
        <v>9</v>
      </c>
      <c r="D333" s="335" t="s">
        <v>50</v>
      </c>
      <c r="E333" s="337" t="str">
        <f t="shared" si="1"/>
        <v>大鉄　堺:産振</v>
      </c>
      <c r="F333" s="338" t="s">
        <v>111</v>
      </c>
      <c r="G333" s="339" t="str">
        <f t="shared" si="2"/>
        <v>大鉄　堺:産振Ｈ１(特A)</v>
      </c>
      <c r="H333" s="340">
        <f t="shared" si="3"/>
        <v>42.7</v>
      </c>
      <c r="I333" s="341">
        <v>-0.5</v>
      </c>
      <c r="J333" s="332">
        <f>IFERROR(__xludf.DUMMYFUNCTION("IF(IF(COUNTIF(P$2:P332, P333)=0, """", INDEX(H$2:H332,
MAX(FILTER(ROW(H$2:H332) - ROW(H$2) + 1, P$2:P332 = P333))))=""単価"","""",
IF(COUNTIF(P$2:P332, P333)=0, """", INDEX(H$2:H332,
MAX(FILTER(ROW(H$2:H332) - ROW(H$2) + 1, P$2:P332 = P333)))))"),43.2)</f>
        <v>43.2</v>
      </c>
      <c r="N333" s="335" t="str">
        <f>IF(MAXIFS('単価履歴'!$O:$O,'単価履歴'!$E:$E,E333,'単価履歴'!$F:$F,F333)=O333,"●","")</f>
        <v/>
      </c>
      <c r="O333" s="346">
        <v>45685.284895833334</v>
      </c>
      <c r="P333" s="334" t="str">
        <f t="shared" si="4"/>
        <v>大鉄　堺:産振Ｈ１(特A)</v>
      </c>
    </row>
    <row r="334" ht="15.75" customHeight="1">
      <c r="A334" s="335" t="s">
        <v>1533</v>
      </c>
      <c r="B334" s="336">
        <v>45685.0</v>
      </c>
      <c r="C334" s="335" t="s">
        <v>9</v>
      </c>
      <c r="D334" s="335" t="s">
        <v>50</v>
      </c>
      <c r="E334" s="337" t="str">
        <f t="shared" si="1"/>
        <v>大鉄　堺:産振</v>
      </c>
      <c r="F334" s="338" t="s">
        <v>116</v>
      </c>
      <c r="G334" s="339" t="str">
        <f t="shared" si="2"/>
        <v>大鉄　堺:産振Ｈ２(特級)</v>
      </c>
      <c r="H334" s="340">
        <f t="shared" si="3"/>
        <v>39.2</v>
      </c>
      <c r="I334" s="341">
        <v>-0.5</v>
      </c>
      <c r="J334" s="332">
        <f>IFERROR(__xludf.DUMMYFUNCTION("IF(IF(COUNTIF(P$2:P333, P334)=0, """", INDEX(H$2:H333,
MAX(FILTER(ROW(H$2:H333) - ROW(H$2) + 1, P$2:P333 = P334))))=""単価"","""",
IF(COUNTIF(P$2:P333, P334)=0, """", INDEX(H$2:H333,
MAX(FILTER(ROW(H$2:H333) - ROW(H$2) + 1, P$2:P333 = P334)))))"),39.7)</f>
        <v>39.7</v>
      </c>
      <c r="N334" s="335" t="str">
        <f>IF(MAXIFS('単価履歴'!$O:$O,'単価履歴'!$E:$E,E334,'単価履歴'!$F:$F,F334)=O334,"●","")</f>
        <v/>
      </c>
      <c r="O334" s="346">
        <v>45685.284895833334</v>
      </c>
      <c r="P334" s="334" t="str">
        <f t="shared" si="4"/>
        <v>大鉄　堺:産振Ｈ２(特級)</v>
      </c>
    </row>
    <row r="335" ht="15.75" customHeight="1">
      <c r="A335" s="335" t="s">
        <v>1534</v>
      </c>
      <c r="B335" s="336">
        <v>45685.0</v>
      </c>
      <c r="C335" s="335" t="s">
        <v>9</v>
      </c>
      <c r="D335" s="335" t="s">
        <v>47</v>
      </c>
      <c r="E335" s="337" t="str">
        <f t="shared" si="1"/>
        <v>大鉄　堺:豊通</v>
      </c>
      <c r="F335" s="338" t="s">
        <v>149</v>
      </c>
      <c r="G335" s="339" t="str">
        <f t="shared" si="2"/>
        <v>大鉄　堺:豊通シュレＢ</v>
      </c>
      <c r="H335" s="340">
        <f t="shared" si="3"/>
        <v>27.5</v>
      </c>
      <c r="I335" s="341">
        <v>-0.5</v>
      </c>
      <c r="J335" s="332">
        <f>IFERROR(__xludf.DUMMYFUNCTION("IF(IF(COUNTIF(P$2:P334, P335)=0, """", INDEX(H$2:H334,
MAX(FILTER(ROW(H$2:H334) - ROW(H$2) + 1, P$2:P334 = P335))))=""単価"","""",
IF(COUNTIF(P$2:P334, P335)=0, """", INDEX(H$2:H334,
MAX(FILTER(ROW(H$2:H334) - ROW(H$2) + 1, P$2:P334 = P335)))))"),28.0)</f>
        <v>28</v>
      </c>
      <c r="N335" s="335" t="str">
        <f>IF(MAXIFS('単価履歴'!$O:$O,'単価履歴'!$E:$E,E335,'単価履歴'!$F:$F,F335)=O335,"●","")</f>
        <v/>
      </c>
      <c r="O335" s="346">
        <v>45685.284895833334</v>
      </c>
      <c r="P335" s="334" t="str">
        <f t="shared" si="4"/>
        <v>大鉄　堺:豊通シュレＢ</v>
      </c>
    </row>
    <row r="336" ht="15.75" customHeight="1">
      <c r="A336" s="335" t="s">
        <v>1535</v>
      </c>
      <c r="B336" s="336">
        <v>45685.0</v>
      </c>
      <c r="C336" s="335" t="s">
        <v>9</v>
      </c>
      <c r="D336" s="335" t="s">
        <v>47</v>
      </c>
      <c r="E336" s="337" t="str">
        <f t="shared" si="1"/>
        <v>大鉄　堺:豊通</v>
      </c>
      <c r="F336" s="338" t="s">
        <v>151</v>
      </c>
      <c r="G336" s="339" t="str">
        <f t="shared" si="2"/>
        <v>大鉄　堺:豊通シュレＣ</v>
      </c>
      <c r="H336" s="340">
        <f t="shared" si="3"/>
        <v>26.1</v>
      </c>
      <c r="I336" s="341">
        <v>-0.5</v>
      </c>
      <c r="J336" s="332">
        <f>IFERROR(__xludf.DUMMYFUNCTION("IF(IF(COUNTIF(P$2:P335, P336)=0, """", INDEX(H$2:H335,
MAX(FILTER(ROW(H$2:H335) - ROW(H$2) + 1, P$2:P335 = P336))))=""単価"","""",
IF(COUNTIF(P$2:P335, P336)=0, """", INDEX(H$2:H335,
MAX(FILTER(ROW(H$2:H335) - ROW(H$2) + 1, P$2:P335 = P336)))))"),26.6)</f>
        <v>26.6</v>
      </c>
      <c r="N336" s="335" t="str">
        <f>IF(MAXIFS('単価履歴'!$O:$O,'単価履歴'!$E:$E,E336,'単価履歴'!$F:$F,F336)=O336,"●","")</f>
        <v/>
      </c>
      <c r="O336" s="346">
        <v>45685.284895833334</v>
      </c>
      <c r="P336" s="334" t="str">
        <f t="shared" si="4"/>
        <v>大鉄　堺:豊通シュレＣ</v>
      </c>
    </row>
    <row r="337" ht="15.75" customHeight="1">
      <c r="A337" s="335" t="s">
        <v>1536</v>
      </c>
      <c r="B337" s="336">
        <v>45685.0</v>
      </c>
      <c r="C337" s="335" t="s">
        <v>9</v>
      </c>
      <c r="D337" s="335" t="s">
        <v>50</v>
      </c>
      <c r="E337" s="337" t="str">
        <f t="shared" si="1"/>
        <v>大鉄　堺:産振</v>
      </c>
      <c r="F337" s="338" t="s">
        <v>154</v>
      </c>
      <c r="G337" s="339" t="str">
        <f t="shared" si="2"/>
        <v>大鉄　堺:産振ＣＰ Ａ</v>
      </c>
      <c r="H337" s="340">
        <f t="shared" si="3"/>
        <v>41.7</v>
      </c>
      <c r="I337" s="341">
        <v>-0.5</v>
      </c>
      <c r="J337" s="332">
        <f>IFERROR(__xludf.DUMMYFUNCTION("IF(IF(COUNTIF(P$2:P336, P337)=0, """", INDEX(H$2:H336,
MAX(FILTER(ROW(H$2:H336) - ROW(H$2) + 1, P$2:P336 = P337))))=""単価"","""",
IF(COUNTIF(P$2:P336, P337)=0, """", INDEX(H$2:H336,
MAX(FILTER(ROW(H$2:H336) - ROW(H$2) + 1, P$2:P336 = P337)))))"),42.2)</f>
        <v>42.2</v>
      </c>
      <c r="N337" s="335" t="str">
        <f>IF(MAXIFS('単価履歴'!$O:$O,'単価履歴'!$E:$E,E337,'単価履歴'!$F:$F,F337)=O337,"●","")</f>
        <v/>
      </c>
      <c r="O337" s="346">
        <v>45685.284895833334</v>
      </c>
      <c r="P337" s="334" t="str">
        <f t="shared" si="4"/>
        <v>大鉄　堺:産振ＣＰ Ａ</v>
      </c>
    </row>
    <row r="338" ht="15.75" customHeight="1">
      <c r="A338" s="335" t="s">
        <v>1537</v>
      </c>
      <c r="B338" s="336">
        <v>45685.0</v>
      </c>
      <c r="C338" s="335" t="s">
        <v>9</v>
      </c>
      <c r="D338" s="335" t="s">
        <v>50</v>
      </c>
      <c r="E338" s="337" t="str">
        <f t="shared" si="1"/>
        <v>大鉄　堺:産振</v>
      </c>
      <c r="F338" s="338" t="s">
        <v>156</v>
      </c>
      <c r="G338" s="339" t="str">
        <f t="shared" si="2"/>
        <v>大鉄　堺:産振ＣＰ Ｂ一斗缶</v>
      </c>
      <c r="H338" s="340">
        <f t="shared" si="3"/>
        <v>35.5</v>
      </c>
      <c r="I338" s="341">
        <v>-0.5</v>
      </c>
      <c r="J338" s="332">
        <f>IFERROR(__xludf.DUMMYFUNCTION("IF(IF(COUNTIF(P$2:P337, P338)=0, """", INDEX(H$2:H337,
MAX(FILTER(ROW(H$2:H337) - ROW(H$2) + 1, P$2:P337 = P338))))=""単価"","""",
IF(COUNTIF(P$2:P337, P338)=0, """", INDEX(H$2:H337,
MAX(FILTER(ROW(H$2:H337) - ROW(H$2) + 1, P$2:P337 = P338)))))"),36.0)</f>
        <v>36</v>
      </c>
      <c r="N338" s="335" t="str">
        <f>IF(MAXIFS('単価履歴'!$O:$O,'単価履歴'!$E:$E,E338,'単価履歴'!$F:$F,F338)=O338,"●","")</f>
        <v/>
      </c>
      <c r="O338" s="346">
        <v>45685.284895833334</v>
      </c>
      <c r="P338" s="334" t="str">
        <f t="shared" si="4"/>
        <v>大鉄　堺:産振ＣＰ Ｂ一斗缶</v>
      </c>
    </row>
    <row r="339" ht="15.75" customHeight="1">
      <c r="A339" s="335" t="s">
        <v>1538</v>
      </c>
      <c r="B339" s="336">
        <v>45685.0</v>
      </c>
      <c r="C339" s="335" t="s">
        <v>9</v>
      </c>
      <c r="D339" s="335" t="s">
        <v>49</v>
      </c>
      <c r="E339" s="337" t="str">
        <f t="shared" si="1"/>
        <v>大鉄　堺:伊藤忠</v>
      </c>
      <c r="F339" s="338" t="s">
        <v>111</v>
      </c>
      <c r="G339" s="339" t="str">
        <f t="shared" si="2"/>
        <v>大鉄　堺:伊藤忠Ｈ１(特A)</v>
      </c>
      <c r="H339" s="340">
        <f t="shared" si="3"/>
        <v>27.8</v>
      </c>
      <c r="I339" s="341">
        <v>-0.5</v>
      </c>
      <c r="J339" s="332">
        <f>IFERROR(__xludf.DUMMYFUNCTION("IF(IF(COUNTIF(P$2:P338, P339)=0, """", INDEX(H$2:H338,
MAX(FILTER(ROW(H$2:H338) - ROW(H$2) + 1, P$2:P338 = P339))))=""単価"","""",
IF(COUNTIF(P$2:P338, P339)=0, """", INDEX(H$2:H338,
MAX(FILTER(ROW(H$2:H338) - ROW(H$2) + 1, P$2:P338 = P339)))))"),28.3)</f>
        <v>28.3</v>
      </c>
      <c r="N339" s="335" t="str">
        <f>IF(MAXIFS('単価履歴'!$O:$O,'単価履歴'!$E:$E,E339,'単価履歴'!$F:$F,F339)=O339,"●","")</f>
        <v/>
      </c>
      <c r="O339" s="346">
        <v>45685.284895833334</v>
      </c>
      <c r="P339" s="334" t="str">
        <f t="shared" si="4"/>
        <v>大鉄　堺:伊藤忠Ｈ１(特A)</v>
      </c>
    </row>
    <row r="340" ht="15.75" customHeight="1">
      <c r="A340" s="335" t="s">
        <v>1539</v>
      </c>
      <c r="B340" s="336">
        <v>45685.0</v>
      </c>
      <c r="C340" s="335" t="s">
        <v>9</v>
      </c>
      <c r="D340" s="335" t="s">
        <v>49</v>
      </c>
      <c r="E340" s="337" t="str">
        <f t="shared" si="1"/>
        <v>大鉄　堺:伊藤忠</v>
      </c>
      <c r="F340" s="338" t="s">
        <v>1237</v>
      </c>
      <c r="G340" s="339" t="str">
        <f t="shared" si="2"/>
        <v>大鉄　堺:伊藤忠ＪＨ１(H2T山口)鍛造ﾊﾞﾘ</v>
      </c>
      <c r="H340" s="340">
        <f t="shared" si="3"/>
        <v>35.2</v>
      </c>
      <c r="I340" s="341">
        <v>-0.5</v>
      </c>
      <c r="J340" s="332">
        <f>IFERROR(__xludf.DUMMYFUNCTION("IF(IF(COUNTIF(P$2:P339, P340)=0, """", INDEX(H$2:H339,
MAX(FILTER(ROW(H$2:H339) - ROW(H$2) + 1, P$2:P339 = P340))))=""単価"","""",
IF(COUNTIF(P$2:P339, P340)=0, """", INDEX(H$2:H339,
MAX(FILTER(ROW(H$2:H339) - ROW(H$2) + 1, P$2:P339 = P340)))))"),35.7)</f>
        <v>35.7</v>
      </c>
      <c r="N340" s="335" t="str">
        <f>IF(MAXIFS('単価履歴'!$O:$O,'単価履歴'!$E:$E,E340,'単価履歴'!$F:$F,F340)=O340,"●","")</f>
        <v/>
      </c>
      <c r="O340" s="346">
        <v>45685.284895833334</v>
      </c>
      <c r="P340" s="334" t="str">
        <f t="shared" si="4"/>
        <v>大鉄　堺:伊藤忠ＪＨ１(H2T山口)鍛造ﾊﾞﾘ</v>
      </c>
    </row>
    <row r="341" ht="15.75" customHeight="1">
      <c r="A341" s="335" t="s">
        <v>1540</v>
      </c>
      <c r="B341" s="336">
        <v>45685.0</v>
      </c>
      <c r="C341" s="335" t="s">
        <v>9</v>
      </c>
      <c r="D341" s="335" t="s">
        <v>49</v>
      </c>
      <c r="E341" s="337" t="str">
        <f t="shared" si="1"/>
        <v>大鉄　堺:伊藤忠</v>
      </c>
      <c r="F341" s="338" t="s">
        <v>119</v>
      </c>
      <c r="G341" s="339" t="str">
        <f t="shared" si="2"/>
        <v>大鉄　堺:伊藤忠Ｈ３(1級)</v>
      </c>
      <c r="H341" s="340">
        <f t="shared" si="3"/>
        <v>31.5</v>
      </c>
      <c r="I341" s="341">
        <v>-0.5</v>
      </c>
      <c r="J341" s="332">
        <f>IFERROR(__xludf.DUMMYFUNCTION("IF(IF(COUNTIF(P$2:P340, P341)=0, """", INDEX(H$2:H340,
MAX(FILTER(ROW(H$2:H340) - ROW(H$2) + 1, P$2:P340 = P341))))=""単価"","""",
IF(COUNTIF(P$2:P340, P341)=0, """", INDEX(H$2:H340,
MAX(FILTER(ROW(H$2:H340) - ROW(H$2) + 1, P$2:P340 = P341)))))"),32.0)</f>
        <v>32</v>
      </c>
      <c r="N341" s="335" t="str">
        <f>IF(MAXIFS('単価履歴'!$O:$O,'単価履歴'!$E:$E,E341,'単価履歴'!$F:$F,F341)=O341,"●","")</f>
        <v/>
      </c>
      <c r="O341" s="346">
        <v>45685.284895833334</v>
      </c>
      <c r="P341" s="334" t="str">
        <f t="shared" si="4"/>
        <v>大鉄　堺:伊藤忠Ｈ３(1級)</v>
      </c>
    </row>
    <row r="342" ht="15.75" customHeight="1">
      <c r="A342" s="335" t="s">
        <v>1541</v>
      </c>
      <c r="B342" s="336">
        <v>45685.0</v>
      </c>
      <c r="C342" s="335" t="s">
        <v>9</v>
      </c>
      <c r="D342" s="335" t="s">
        <v>49</v>
      </c>
      <c r="E342" s="337" t="str">
        <f t="shared" si="1"/>
        <v>大鉄　堺:伊藤忠</v>
      </c>
      <c r="F342" s="338" t="s">
        <v>122</v>
      </c>
      <c r="G342" s="339" t="str">
        <f t="shared" si="2"/>
        <v>大鉄　堺:伊藤忠Ｌ１(2級)</v>
      </c>
      <c r="H342" s="340">
        <f t="shared" si="3"/>
        <v>30.5</v>
      </c>
      <c r="I342" s="341">
        <v>-0.5</v>
      </c>
      <c r="J342" s="332">
        <f>IFERROR(__xludf.DUMMYFUNCTION("IF(IF(COUNTIF(P$2:P341, P342)=0, """", INDEX(H$2:H341,
MAX(FILTER(ROW(H$2:H341) - ROW(H$2) + 1, P$2:P341 = P342))))=""単価"","""",
IF(COUNTIF(P$2:P341, P342)=0, """", INDEX(H$2:H341,
MAX(FILTER(ROW(H$2:H341) - ROW(H$2) + 1, P$2:P341 = P342)))))"),31.0)</f>
        <v>31</v>
      </c>
      <c r="N342" s="335" t="str">
        <f>IF(MAXIFS('単価履歴'!$O:$O,'単価履歴'!$E:$E,E342,'単価履歴'!$F:$F,F342)=O342,"●","")</f>
        <v/>
      </c>
      <c r="O342" s="346">
        <v>45685.284895833334</v>
      </c>
      <c r="P342" s="334" t="str">
        <f t="shared" si="4"/>
        <v>大鉄　堺:伊藤忠Ｌ１(2級)</v>
      </c>
    </row>
    <row r="343" ht="15.75" customHeight="1">
      <c r="A343" s="335" t="s">
        <v>1542</v>
      </c>
      <c r="B343" s="336">
        <v>45685.0</v>
      </c>
      <c r="C343" s="335" t="s">
        <v>9</v>
      </c>
      <c r="D343" s="335" t="s">
        <v>49</v>
      </c>
      <c r="E343" s="337" t="str">
        <f t="shared" si="1"/>
        <v>大鉄　堺:伊藤忠</v>
      </c>
      <c r="F343" s="338" t="s">
        <v>131</v>
      </c>
      <c r="G343" s="339" t="str">
        <f t="shared" si="2"/>
        <v>大鉄　堺:伊藤忠新断Ｂ</v>
      </c>
      <c r="H343" s="340">
        <f t="shared" si="3"/>
        <v>26.3</v>
      </c>
      <c r="I343" s="341">
        <v>-0.5</v>
      </c>
      <c r="J343" s="332">
        <f>IFERROR(__xludf.DUMMYFUNCTION("IF(IF(COUNTIF(P$2:P342, P343)=0, """", INDEX(H$2:H342,
MAX(FILTER(ROW(H$2:H342) - ROW(H$2) + 1, P$2:P342 = P343))))=""単価"","""",
IF(COUNTIF(P$2:P342, P343)=0, """", INDEX(H$2:H342,
MAX(FILTER(ROW(H$2:H342) - ROW(H$2) + 1, P$2:P342 = P343)))))"),26.8)</f>
        <v>26.8</v>
      </c>
      <c r="N343" s="335" t="str">
        <f>IF(MAXIFS('単価履歴'!$O:$O,'単価履歴'!$E:$E,E343,'単価履歴'!$F:$F,F343)=O343,"●","")</f>
        <v/>
      </c>
      <c r="O343" s="346">
        <v>45685.284895833334</v>
      </c>
      <c r="P343" s="334" t="str">
        <f t="shared" si="4"/>
        <v>大鉄　堺:伊藤忠新断Ｂ</v>
      </c>
    </row>
    <row r="344" ht="15.75" customHeight="1">
      <c r="A344" s="335" t="s">
        <v>1543</v>
      </c>
      <c r="B344" s="336">
        <v>45685.0</v>
      </c>
      <c r="C344" s="335" t="s">
        <v>9</v>
      </c>
      <c r="D344" s="335" t="s">
        <v>49</v>
      </c>
      <c r="E344" s="337" t="str">
        <f t="shared" si="1"/>
        <v>大鉄　堺:伊藤忠</v>
      </c>
      <c r="F344" s="338" t="s">
        <v>116</v>
      </c>
      <c r="G344" s="339" t="str">
        <f t="shared" si="2"/>
        <v>大鉄　堺:伊藤忠Ｈ２(特級)</v>
      </c>
      <c r="H344" s="340">
        <f t="shared" si="3"/>
        <v>32.5</v>
      </c>
      <c r="I344" s="341">
        <v>-0.5</v>
      </c>
      <c r="J344" s="332">
        <f>IFERROR(__xludf.DUMMYFUNCTION("IF(IF(COUNTIF(P$2:P343, P344)=0, """", INDEX(H$2:H343,
MAX(FILTER(ROW(H$2:H343) - ROW(H$2) + 1, P$2:P343 = P344))))=""単価"","""",
IF(COUNTIF(P$2:P343, P344)=0, """", INDEX(H$2:H343,
MAX(FILTER(ROW(H$2:H343) - ROW(H$2) + 1, P$2:P343 = P344)))))"),33.0)</f>
        <v>33</v>
      </c>
      <c r="N344" s="335" t="str">
        <f>IF(MAXIFS('単価履歴'!$O:$O,'単価履歴'!$E:$E,E344,'単価履歴'!$F:$F,F344)=O344,"●","")</f>
        <v/>
      </c>
      <c r="O344" s="346">
        <v>45685.284895833334</v>
      </c>
      <c r="P344" s="334" t="str">
        <f t="shared" si="4"/>
        <v>大鉄　堺:伊藤忠Ｈ２(特級)</v>
      </c>
    </row>
    <row r="345" ht="15.75" customHeight="1">
      <c r="A345" s="335" t="s">
        <v>1544</v>
      </c>
      <c r="B345" s="336">
        <v>45685.0</v>
      </c>
      <c r="C345" s="335" t="s">
        <v>9</v>
      </c>
      <c r="D345" s="335" t="s">
        <v>49</v>
      </c>
      <c r="E345" s="337" t="str">
        <f t="shared" si="1"/>
        <v>大鉄　堺:伊藤忠</v>
      </c>
      <c r="F345" s="338" t="s">
        <v>130</v>
      </c>
      <c r="G345" s="339" t="str">
        <f t="shared" si="2"/>
        <v>大鉄　堺:伊藤忠新断Ａ</v>
      </c>
      <c r="H345" s="340">
        <f t="shared" si="3"/>
        <v>26.8</v>
      </c>
      <c r="I345" s="341">
        <v>-0.5</v>
      </c>
      <c r="J345" s="332">
        <f>IFERROR(__xludf.DUMMYFUNCTION("IF(IF(COUNTIF(P$2:P344, P345)=0, """", INDEX(H$2:H344,
MAX(FILTER(ROW(H$2:H344) - ROW(H$2) + 1, P$2:P344 = P345))))=""単価"","""",
IF(COUNTIF(P$2:P344, P345)=0, """", INDEX(H$2:H344,
MAX(FILTER(ROW(H$2:H344) - ROW(H$2) + 1, P$2:P344 = P345)))))"),27.3)</f>
        <v>27.3</v>
      </c>
      <c r="N345" s="335" t="str">
        <f>IF(MAXIFS('単価履歴'!$O:$O,'単価履歴'!$E:$E,E345,'単価履歴'!$F:$F,F345)=O345,"●","")</f>
        <v/>
      </c>
      <c r="O345" s="346">
        <v>45685.284895833334</v>
      </c>
      <c r="P345" s="334" t="str">
        <f t="shared" si="4"/>
        <v>大鉄　堺:伊藤忠新断Ａ</v>
      </c>
    </row>
    <row r="346" ht="15.75" customHeight="1">
      <c r="A346" s="335" t="s">
        <v>1545</v>
      </c>
      <c r="B346" s="336">
        <v>45685.0</v>
      </c>
      <c r="C346" s="335" t="s">
        <v>10</v>
      </c>
      <c r="D346" s="335" t="s">
        <v>47</v>
      </c>
      <c r="E346" s="337" t="str">
        <f t="shared" si="1"/>
        <v>岸和田:豊通</v>
      </c>
      <c r="F346" s="338" t="s">
        <v>111</v>
      </c>
      <c r="G346" s="339" t="str">
        <f t="shared" si="2"/>
        <v>岸和田:豊通Ｈ１(特A)</v>
      </c>
      <c r="H346" s="340">
        <f t="shared" si="3"/>
        <v>42</v>
      </c>
      <c r="I346" s="341">
        <v>-0.5</v>
      </c>
      <c r="J346" s="332">
        <f>IFERROR(__xludf.DUMMYFUNCTION("IF(IF(COUNTIF(P$2:P345, P346)=0, """", INDEX(H$2:H345,
MAX(FILTER(ROW(H$2:H345) - ROW(H$2) + 1, P$2:P345 = P346))))=""単価"","""",
IF(COUNTIF(P$2:P345, P346)=0, """", INDEX(H$2:H345,
MAX(FILTER(ROW(H$2:H345) - ROW(H$2) + 1, P$2:P345 = P346)))))"),42.5)</f>
        <v>42.5</v>
      </c>
      <c r="N346" s="335" t="str">
        <f>IF(MAXIFS('単価履歴'!$O:$O,'単価履歴'!$E:$E,E346,'単価履歴'!$F:$F,F346)=O346,"●","")</f>
        <v/>
      </c>
      <c r="O346" s="346">
        <v>45685.28884259259</v>
      </c>
      <c r="P346" s="334" t="str">
        <f t="shared" si="4"/>
        <v>岸和田:豊通Ｈ１(特A)</v>
      </c>
    </row>
    <row r="347" ht="15.75" customHeight="1">
      <c r="A347" s="335" t="s">
        <v>1546</v>
      </c>
      <c r="B347" s="336">
        <v>45685.0</v>
      </c>
      <c r="C347" s="335" t="s">
        <v>10</v>
      </c>
      <c r="D347" s="335" t="s">
        <v>47</v>
      </c>
      <c r="E347" s="337" t="str">
        <f t="shared" si="1"/>
        <v>岸和田:豊通</v>
      </c>
      <c r="F347" s="338" t="s">
        <v>116</v>
      </c>
      <c r="G347" s="339" t="str">
        <f t="shared" si="2"/>
        <v>岸和田:豊通Ｈ２(特級)</v>
      </c>
      <c r="H347" s="340">
        <f t="shared" si="3"/>
        <v>40.5</v>
      </c>
      <c r="I347" s="341">
        <v>-0.5</v>
      </c>
      <c r="J347" s="332">
        <f>IFERROR(__xludf.DUMMYFUNCTION("IF(IF(COUNTIF(P$2:P346, P347)=0, """", INDEX(H$2:H346,
MAX(FILTER(ROW(H$2:H346) - ROW(H$2) + 1, P$2:P346 = P347))))=""単価"","""",
IF(COUNTIF(P$2:P346, P347)=0, """", INDEX(H$2:H346,
MAX(FILTER(ROW(H$2:H346) - ROW(H$2) + 1, P$2:P346 = P347)))))"),41.0)</f>
        <v>41</v>
      </c>
      <c r="N347" s="335" t="str">
        <f>IF(MAXIFS('単価履歴'!$O:$O,'単価履歴'!$E:$E,E347,'単価履歴'!$F:$F,F347)=O347,"●","")</f>
        <v/>
      </c>
      <c r="O347" s="346">
        <v>45685.28884259259</v>
      </c>
      <c r="P347" s="334" t="str">
        <f t="shared" si="4"/>
        <v>岸和田:豊通Ｈ２(特級)</v>
      </c>
    </row>
    <row r="348" ht="15.75" customHeight="1">
      <c r="A348" s="335" t="s">
        <v>1547</v>
      </c>
      <c r="B348" s="336">
        <v>45685.0</v>
      </c>
      <c r="C348" s="335" t="s">
        <v>10</v>
      </c>
      <c r="D348" s="335" t="s">
        <v>47</v>
      </c>
      <c r="E348" s="337" t="str">
        <f t="shared" si="1"/>
        <v>岸和田:豊通</v>
      </c>
      <c r="F348" s="338" t="s">
        <v>119</v>
      </c>
      <c r="G348" s="339" t="str">
        <f t="shared" si="2"/>
        <v>岸和田:豊通Ｈ３(1級)</v>
      </c>
      <c r="H348" s="340">
        <f t="shared" si="3"/>
        <v>40</v>
      </c>
      <c r="I348" s="341">
        <v>-0.5</v>
      </c>
      <c r="J348" s="332">
        <f>IFERROR(__xludf.DUMMYFUNCTION("IF(IF(COUNTIF(P$2:P347, P348)=0, """", INDEX(H$2:H347,
MAX(FILTER(ROW(H$2:H347) - ROW(H$2) + 1, P$2:P347 = P348))))=""単価"","""",
IF(COUNTIF(P$2:P347, P348)=0, """", INDEX(H$2:H347,
MAX(FILTER(ROW(H$2:H347) - ROW(H$2) + 1, P$2:P347 = P348)))))"),40.5)</f>
        <v>40.5</v>
      </c>
      <c r="N348" s="335" t="str">
        <f>IF(MAXIFS('単価履歴'!$O:$O,'単価履歴'!$E:$E,E348,'単価履歴'!$F:$F,F348)=O348,"●","")</f>
        <v/>
      </c>
      <c r="O348" s="346">
        <v>45685.28884259259</v>
      </c>
      <c r="P348" s="334" t="str">
        <f t="shared" si="4"/>
        <v>岸和田:豊通Ｈ３(1級)</v>
      </c>
    </row>
    <row r="349" ht="15.75" customHeight="1">
      <c r="A349" s="335" t="s">
        <v>1548</v>
      </c>
      <c r="B349" s="336">
        <v>45685.0</v>
      </c>
      <c r="C349" s="335" t="s">
        <v>10</v>
      </c>
      <c r="D349" s="335" t="s">
        <v>47</v>
      </c>
      <c r="E349" s="337" t="str">
        <f t="shared" si="1"/>
        <v>岸和田:豊通</v>
      </c>
      <c r="F349" s="338" t="s">
        <v>122</v>
      </c>
      <c r="G349" s="339" t="str">
        <f t="shared" si="2"/>
        <v>岸和田:豊通Ｌ１(2級)</v>
      </c>
      <c r="H349" s="340">
        <f t="shared" si="3"/>
        <v>39.5</v>
      </c>
      <c r="I349" s="341">
        <v>-0.5</v>
      </c>
      <c r="J349" s="332">
        <f>IFERROR(__xludf.DUMMYFUNCTION("IF(IF(COUNTIF(P$2:P348, P349)=0, """", INDEX(H$2:H348,
MAX(FILTER(ROW(H$2:H348) - ROW(H$2) + 1, P$2:P348 = P349))))=""単価"","""",
IF(COUNTIF(P$2:P348, P349)=0, """", INDEX(H$2:H348,
MAX(FILTER(ROW(H$2:H348) - ROW(H$2) + 1, P$2:P348 = P349)))))"),40.0)</f>
        <v>40</v>
      </c>
      <c r="N349" s="335" t="str">
        <f>IF(MAXIFS('単価履歴'!$O:$O,'単価履歴'!$E:$E,E349,'単価履歴'!$F:$F,F349)=O349,"●","")</f>
        <v/>
      </c>
      <c r="O349" s="346">
        <v>45685.28884259259</v>
      </c>
      <c r="P349" s="334" t="str">
        <f t="shared" si="4"/>
        <v>岸和田:豊通Ｌ１(2級)</v>
      </c>
    </row>
    <row r="350" ht="15.75" customHeight="1">
      <c r="A350" s="335" t="s">
        <v>1549</v>
      </c>
      <c r="B350" s="336">
        <v>45685.0</v>
      </c>
      <c r="C350" s="335" t="s">
        <v>10</v>
      </c>
      <c r="D350" s="335" t="s">
        <v>47</v>
      </c>
      <c r="E350" s="337" t="str">
        <f t="shared" si="1"/>
        <v>岸和田:豊通</v>
      </c>
      <c r="F350" s="338" t="s">
        <v>154</v>
      </c>
      <c r="G350" s="339" t="str">
        <f t="shared" si="2"/>
        <v>岸和田:豊通ＣＰ Ａ</v>
      </c>
      <c r="H350" s="340">
        <f t="shared" si="3"/>
        <v>42.7</v>
      </c>
      <c r="I350" s="341">
        <v>-0.5</v>
      </c>
      <c r="J350" s="332">
        <f>IFERROR(__xludf.DUMMYFUNCTION("IF(IF(COUNTIF(P$2:P349, P350)=0, """", INDEX(H$2:H349,
MAX(FILTER(ROW(H$2:H349) - ROW(H$2) + 1, P$2:P349 = P350))))=""単価"","""",
IF(COUNTIF(P$2:P349, P350)=0, """", INDEX(H$2:H349,
MAX(FILTER(ROW(H$2:H349) - ROW(H$2) + 1, P$2:P349 = P350)))))"),43.2)</f>
        <v>43.2</v>
      </c>
      <c r="N350" s="335" t="str">
        <f>IF(MAXIFS('単価履歴'!$O:$O,'単価履歴'!$E:$E,E350,'単価履歴'!$F:$F,F350)=O350,"●","")</f>
        <v/>
      </c>
      <c r="O350" s="346">
        <v>45685.28884259259</v>
      </c>
      <c r="P350" s="334" t="str">
        <f t="shared" si="4"/>
        <v>岸和田:豊通ＣＰ Ａ</v>
      </c>
    </row>
    <row r="351" ht="15.75" customHeight="1">
      <c r="A351" s="335" t="s">
        <v>1550</v>
      </c>
      <c r="B351" s="336">
        <v>45685.0</v>
      </c>
      <c r="C351" s="335" t="s">
        <v>7</v>
      </c>
      <c r="D351" s="335" t="s">
        <v>49</v>
      </c>
      <c r="E351" s="337" t="str">
        <f t="shared" si="1"/>
        <v>合同大阪:伊藤忠</v>
      </c>
      <c r="F351" s="338" t="s">
        <v>130</v>
      </c>
      <c r="G351" s="339" t="str">
        <f t="shared" si="2"/>
        <v>合同大阪:伊藤忠新断Ａ</v>
      </c>
      <c r="H351" s="340">
        <f t="shared" si="3"/>
        <v>44.3</v>
      </c>
      <c r="I351" s="341">
        <v>1.0</v>
      </c>
      <c r="J351" s="332">
        <f>IFERROR(__xludf.DUMMYFUNCTION("IF(IF(COUNTIF(P$2:P350, P351)=0, """", INDEX(H$2:H350,
MAX(FILTER(ROW(H$2:H350) - ROW(H$2) + 1, P$2:P350 = P351))))=""単価"","""",
IF(COUNTIF(P$2:P350, P351)=0, """", INDEX(H$2:H350,
MAX(FILTER(ROW(H$2:H350) - ROW(H$2) + 1, P$2:P350 = P351)))))"),43.3)</f>
        <v>43.3</v>
      </c>
      <c r="N351" s="335" t="str">
        <f>IF(MAXIFS('単価履歴'!$O:$O,'単価履歴'!$E:$E,E351,'単価履歴'!$F:$F,F351)=O351,"●","")</f>
        <v/>
      </c>
      <c r="O351" s="346">
        <v>45685.29</v>
      </c>
      <c r="P351" s="334" t="str">
        <f t="shared" si="4"/>
        <v>合同大阪:伊藤忠新断Ａ</v>
      </c>
    </row>
    <row r="352" ht="15.75" customHeight="1">
      <c r="A352" s="335" t="s">
        <v>1551</v>
      </c>
      <c r="B352" s="336">
        <v>45685.0</v>
      </c>
      <c r="C352" s="335" t="s">
        <v>7</v>
      </c>
      <c r="D352" s="335" t="s">
        <v>49</v>
      </c>
      <c r="E352" s="337" t="str">
        <f t="shared" si="1"/>
        <v>合同大阪:伊藤忠</v>
      </c>
      <c r="F352" s="338" t="s">
        <v>131</v>
      </c>
      <c r="G352" s="339" t="str">
        <f t="shared" si="2"/>
        <v>合同大阪:伊藤忠新断Ｂ</v>
      </c>
      <c r="H352" s="340">
        <f t="shared" si="3"/>
        <v>43.8</v>
      </c>
      <c r="I352" s="341">
        <v>1.0</v>
      </c>
      <c r="J352" s="332">
        <f>IFERROR(__xludf.DUMMYFUNCTION("IF(IF(COUNTIF(P$2:P351, P352)=0, """", INDEX(H$2:H351,
MAX(FILTER(ROW(H$2:H351) - ROW(H$2) + 1, P$2:P351 = P352))))=""単価"","""",
IF(COUNTIF(P$2:P351, P352)=0, """", INDEX(H$2:H351,
MAX(FILTER(ROW(H$2:H351) - ROW(H$2) + 1, P$2:P351 = P352)))))"),42.8)</f>
        <v>42.8</v>
      </c>
      <c r="N352" s="335" t="str">
        <f>IF(MAXIFS('単価履歴'!$O:$O,'単価履歴'!$E:$E,E352,'単価履歴'!$F:$F,F352)=O352,"●","")</f>
        <v/>
      </c>
      <c r="O352" s="346">
        <v>45685.29</v>
      </c>
      <c r="P352" s="334" t="str">
        <f t="shared" si="4"/>
        <v>合同大阪:伊藤忠新断Ｂ</v>
      </c>
    </row>
    <row r="353" ht="15.75" customHeight="1">
      <c r="A353" s="335" t="s">
        <v>1552</v>
      </c>
      <c r="B353" s="336">
        <v>45685.0</v>
      </c>
      <c r="C353" s="335" t="s">
        <v>36</v>
      </c>
      <c r="D353" s="335" t="s">
        <v>1303</v>
      </c>
      <c r="E353" s="337" t="str">
        <f t="shared" si="1"/>
        <v>共英枚方:ナベ/置場単価</v>
      </c>
      <c r="F353" s="338" t="s">
        <v>111</v>
      </c>
      <c r="G353" s="339" t="str">
        <f t="shared" si="2"/>
        <v>共英枚方:ナベ/置場単価Ｈ１(特A)</v>
      </c>
      <c r="H353" s="340">
        <f t="shared" si="3"/>
        <v>41.5</v>
      </c>
      <c r="I353" s="341">
        <v>-0.5</v>
      </c>
      <c r="J353" s="332">
        <f>IFERROR(__xludf.DUMMYFUNCTION("IF(IF(COUNTIF(P$2:P352, P353)=0, """", INDEX(H$2:H352,
MAX(FILTER(ROW(H$2:H352) - ROW(H$2) + 1, P$2:P352 = P353))))=""単価"","""",
IF(COUNTIF(P$2:P352, P353)=0, """", INDEX(H$2:H352,
MAX(FILTER(ROW(H$2:H352) - ROW(H$2) + 1, P$2:P352 = P353)))))"),42.0)</f>
        <v>42</v>
      </c>
      <c r="N353" s="335" t="str">
        <f>IF(MAXIFS('単価履歴'!$O:$O,'単価履歴'!$E:$E,E353,'単価履歴'!$F:$F,F353)=O353,"●","")</f>
        <v/>
      </c>
      <c r="O353" s="346">
        <v>45685.29111111111</v>
      </c>
      <c r="P353" s="334" t="str">
        <f t="shared" si="4"/>
        <v>共英枚方:ナベ/置場単価Ｈ１(特A)</v>
      </c>
    </row>
    <row r="354" ht="15.75" customHeight="1">
      <c r="A354" s="335" t="s">
        <v>1553</v>
      </c>
      <c r="B354" s="336">
        <v>45685.0</v>
      </c>
      <c r="C354" s="335" t="s">
        <v>36</v>
      </c>
      <c r="D354" s="335" t="s">
        <v>1303</v>
      </c>
      <c r="E354" s="337" t="str">
        <f t="shared" si="1"/>
        <v>共英枚方:ナベ/置場単価</v>
      </c>
      <c r="F354" s="338" t="s">
        <v>116</v>
      </c>
      <c r="G354" s="339" t="str">
        <f t="shared" si="2"/>
        <v>共英枚方:ナベ/置場単価Ｈ２(特級)</v>
      </c>
      <c r="H354" s="340">
        <f t="shared" si="3"/>
        <v>39</v>
      </c>
      <c r="I354" s="341">
        <v>-0.5</v>
      </c>
      <c r="J354" s="332">
        <f>IFERROR(__xludf.DUMMYFUNCTION("IF(IF(COUNTIF(P$2:P353, P354)=0, """", INDEX(H$2:H353,
MAX(FILTER(ROW(H$2:H353) - ROW(H$2) + 1, P$2:P353 = P354))))=""単価"","""",
IF(COUNTIF(P$2:P353, P354)=0, """", INDEX(H$2:H353,
MAX(FILTER(ROW(H$2:H353) - ROW(H$2) + 1, P$2:P353 = P354)))))"),39.5)</f>
        <v>39.5</v>
      </c>
      <c r="N354" s="335" t="str">
        <f>IF(MAXIFS('単価履歴'!$O:$O,'単価履歴'!$E:$E,E354,'単価履歴'!$F:$F,F354)=O354,"●","")</f>
        <v/>
      </c>
      <c r="O354" s="346">
        <v>45685.29111111111</v>
      </c>
      <c r="P354" s="334" t="str">
        <f t="shared" si="4"/>
        <v>共英枚方:ナベ/置場単価Ｈ２(特級)</v>
      </c>
    </row>
    <row r="355" ht="15.75" customHeight="1">
      <c r="A355" s="335" t="s">
        <v>1554</v>
      </c>
      <c r="B355" s="336">
        <v>45685.0</v>
      </c>
      <c r="C355" s="335" t="s">
        <v>36</v>
      </c>
      <c r="D355" s="335" t="s">
        <v>1303</v>
      </c>
      <c r="E355" s="337" t="str">
        <f t="shared" si="1"/>
        <v>共英枚方:ナベ/置場単価</v>
      </c>
      <c r="F355" s="338" t="s">
        <v>119</v>
      </c>
      <c r="G355" s="339" t="str">
        <f t="shared" si="2"/>
        <v>共英枚方:ナベ/置場単価Ｈ３(1級)</v>
      </c>
      <c r="H355" s="340">
        <f t="shared" si="3"/>
        <v>38</v>
      </c>
      <c r="I355" s="341">
        <v>-0.5</v>
      </c>
      <c r="J355" s="332">
        <f>IFERROR(__xludf.DUMMYFUNCTION("IF(IF(COUNTIF(P$2:P354, P355)=0, """", INDEX(H$2:H354,
MAX(FILTER(ROW(H$2:H354) - ROW(H$2) + 1, P$2:P354 = P355))))=""単価"","""",
IF(COUNTIF(P$2:P354, P355)=0, """", INDEX(H$2:H354,
MAX(FILTER(ROW(H$2:H354) - ROW(H$2) + 1, P$2:P354 = P355)))))"),38.5)</f>
        <v>38.5</v>
      </c>
      <c r="N355" s="335" t="str">
        <f>IF(MAXIFS('単価履歴'!$O:$O,'単価履歴'!$E:$E,E355,'単価履歴'!$F:$F,F355)=O355,"●","")</f>
        <v/>
      </c>
      <c r="O355" s="346">
        <v>45685.29111111111</v>
      </c>
      <c r="P355" s="334" t="str">
        <f t="shared" si="4"/>
        <v>共英枚方:ナベ/置場単価Ｈ３(1級)</v>
      </c>
    </row>
    <row r="356" ht="15.75" customHeight="1">
      <c r="A356" s="335" t="s">
        <v>1555</v>
      </c>
      <c r="B356" s="336">
        <v>45685.0</v>
      </c>
      <c r="C356" s="335" t="s">
        <v>36</v>
      </c>
      <c r="D356" s="335" t="s">
        <v>1303</v>
      </c>
      <c r="E356" s="337" t="str">
        <f t="shared" si="1"/>
        <v>共英枚方:ナベ/置場単価</v>
      </c>
      <c r="F356" s="338" t="s">
        <v>122</v>
      </c>
      <c r="G356" s="339" t="str">
        <f t="shared" si="2"/>
        <v>共英枚方:ナベ/置場単価Ｌ１(2級)</v>
      </c>
      <c r="H356" s="340">
        <f t="shared" si="3"/>
        <v>37</v>
      </c>
      <c r="I356" s="341">
        <v>-0.5</v>
      </c>
      <c r="J356" s="332">
        <f>IFERROR(__xludf.DUMMYFUNCTION("IF(IF(COUNTIF(P$2:P355, P356)=0, """", INDEX(H$2:H355,
MAX(FILTER(ROW(H$2:H355) - ROW(H$2) + 1, P$2:P355 = P356))))=""単価"","""",
IF(COUNTIF(P$2:P355, P356)=0, """", INDEX(H$2:H355,
MAX(FILTER(ROW(H$2:H355) - ROW(H$2) + 1, P$2:P355 = P356)))))"),37.5)</f>
        <v>37.5</v>
      </c>
      <c r="N356" s="335" t="str">
        <f>IF(MAXIFS('単価履歴'!$O:$O,'単価履歴'!$E:$E,E356,'単価履歴'!$F:$F,F356)=O356,"●","")</f>
        <v/>
      </c>
      <c r="O356" s="346">
        <v>45685.29111111111</v>
      </c>
      <c r="P356" s="334" t="str">
        <f t="shared" si="4"/>
        <v>共英枚方:ナベ/置場単価Ｌ１(2級)</v>
      </c>
    </row>
    <row r="357" ht="15.75" customHeight="1">
      <c r="A357" s="335" t="s">
        <v>1556</v>
      </c>
      <c r="B357" s="336">
        <v>45685.0</v>
      </c>
      <c r="C357" s="335" t="s">
        <v>36</v>
      </c>
      <c r="D357" s="335" t="s">
        <v>1303</v>
      </c>
      <c r="E357" s="337" t="str">
        <f t="shared" si="1"/>
        <v>共英枚方:ナベ/置場単価</v>
      </c>
      <c r="F357" s="338" t="s">
        <v>154</v>
      </c>
      <c r="G357" s="339" t="str">
        <f t="shared" si="2"/>
        <v>共英枚方:ナベ/置場単価ＣＰ Ａ</v>
      </c>
      <c r="H357" s="340">
        <f t="shared" si="3"/>
        <v>45.5</v>
      </c>
      <c r="I357" s="341">
        <v>-0.5</v>
      </c>
      <c r="J357" s="332">
        <f>IFERROR(__xludf.DUMMYFUNCTION("IF(IF(COUNTIF(P$2:P356, P357)=0, """", INDEX(H$2:H356,
MAX(FILTER(ROW(H$2:H356) - ROW(H$2) + 1, P$2:P356 = P357))))=""単価"","""",
IF(COUNTIF(P$2:P356, P357)=0, """", INDEX(H$2:H356,
MAX(FILTER(ROW(H$2:H356) - ROW(H$2) + 1, P$2:P356 = P357)))))"),46.0)</f>
        <v>46</v>
      </c>
      <c r="N357" s="335" t="str">
        <f>IF(MAXIFS('単価履歴'!$O:$O,'単価履歴'!$E:$E,E357,'単価履歴'!$F:$F,F357)=O357,"●","")</f>
        <v/>
      </c>
      <c r="O357" s="346">
        <v>45685.29111111111</v>
      </c>
      <c r="P357" s="334" t="str">
        <f t="shared" si="4"/>
        <v>共英枚方:ナベ/置場単価ＣＰ Ａ</v>
      </c>
    </row>
    <row r="358" ht="15.75" customHeight="1">
      <c r="A358" s="335" t="s">
        <v>1557</v>
      </c>
      <c r="B358" s="336">
        <v>45685.0</v>
      </c>
      <c r="C358" s="335" t="s">
        <v>11</v>
      </c>
      <c r="D358" s="335" t="s">
        <v>46</v>
      </c>
      <c r="E358" s="337" t="str">
        <f t="shared" si="1"/>
        <v>ﾔﾏﾄ:阪和</v>
      </c>
      <c r="F358" s="338"/>
      <c r="G358" s="339" t="str">
        <f t="shared" si="2"/>
        <v>ﾔﾏﾄ:阪和</v>
      </c>
      <c r="H358" s="340">
        <f t="shared" si="3"/>
        <v>-0.5</v>
      </c>
      <c r="I358" s="341">
        <v>-0.5</v>
      </c>
      <c r="J358" s="332" t="str">
        <f>IFERROR(__xludf.DUMMYFUNCTION("IF(IF(COUNTIF(P$2:P357, P358)=0, """", INDEX(H$2:H357,
MAX(FILTER(ROW(H$2:H357) - ROW(H$2) + 1, P$2:P357 = P358))))=""単価"","""",
IF(COUNTIF(P$2:P357, P358)=0, """", INDEX(H$2:H357,
MAX(FILTER(ROW(H$2:H357) - ROW(H$2) + 1, P$2:P357 = P358)))))"),"")</f>
        <v/>
      </c>
      <c r="N358" s="335" t="str">
        <f>IF(MAXIFS('単価履歴'!$O:$O,'単価履歴'!$E:$E,E358,'単価履歴'!$F:$F,F358)=O358,"●","")</f>
        <v/>
      </c>
      <c r="O358" s="346">
        <v>45685.29195601852</v>
      </c>
      <c r="P358" s="334" t="str">
        <f t="shared" si="4"/>
        <v>ﾔﾏﾄ:阪和</v>
      </c>
    </row>
    <row r="359" ht="15.75" customHeight="1">
      <c r="A359" s="335" t="s">
        <v>1558</v>
      </c>
      <c r="B359" s="336">
        <v>45685.0</v>
      </c>
      <c r="C359" s="335" t="s">
        <v>11</v>
      </c>
      <c r="D359" s="335" t="s">
        <v>46</v>
      </c>
      <c r="E359" s="337" t="str">
        <f t="shared" si="1"/>
        <v>ﾔﾏﾄ:阪和</v>
      </c>
      <c r="F359" s="338" t="s">
        <v>116</v>
      </c>
      <c r="G359" s="339" t="str">
        <f t="shared" si="2"/>
        <v>ﾔﾏﾄ:阪和Ｈ２(特級)</v>
      </c>
      <c r="H359" s="340">
        <f t="shared" si="3"/>
        <v>42.6</v>
      </c>
      <c r="I359" s="341">
        <v>-0.5</v>
      </c>
      <c r="J359" s="332">
        <f>IFERROR(__xludf.DUMMYFUNCTION("IF(IF(COUNTIF(P$2:P358, P359)=0, """", INDEX(H$2:H358,
MAX(FILTER(ROW(H$2:H358) - ROW(H$2) + 1, P$2:P358 = P359))))=""単価"","""",
IF(COUNTIF(P$2:P358, P359)=0, """", INDEX(H$2:H358,
MAX(FILTER(ROW(H$2:H358) - ROW(H$2) + 1, P$2:P358 = P359)))))"),43.1)</f>
        <v>43.1</v>
      </c>
      <c r="N359" s="335" t="str">
        <f>IF(MAXIFS('単価履歴'!$O:$O,'単価履歴'!$E:$E,E359,'単価履歴'!$F:$F,F359)=O359,"●","")</f>
        <v/>
      </c>
      <c r="O359" s="346">
        <v>45685.29331018518</v>
      </c>
      <c r="P359" s="334" t="str">
        <f t="shared" si="4"/>
        <v>ﾔﾏﾄ:阪和Ｈ２(特級)</v>
      </c>
    </row>
    <row r="360" ht="15.75" customHeight="1">
      <c r="A360" s="335" t="s">
        <v>1559</v>
      </c>
      <c r="B360" s="336">
        <v>45685.0</v>
      </c>
      <c r="C360" s="335" t="s">
        <v>11</v>
      </c>
      <c r="D360" s="335" t="s">
        <v>46</v>
      </c>
      <c r="E360" s="337" t="str">
        <f t="shared" si="1"/>
        <v>ﾔﾏﾄ:阪和</v>
      </c>
      <c r="F360" s="338" t="s">
        <v>119</v>
      </c>
      <c r="G360" s="339" t="str">
        <f t="shared" si="2"/>
        <v>ﾔﾏﾄ:阪和Ｈ３(1級)</v>
      </c>
      <c r="H360" s="340">
        <f t="shared" si="3"/>
        <v>41.6</v>
      </c>
      <c r="I360" s="341">
        <v>-0.5</v>
      </c>
      <c r="J360" s="332">
        <f>IFERROR(__xludf.DUMMYFUNCTION("IF(IF(COUNTIF(P$2:P359, P360)=0, """", INDEX(H$2:H359,
MAX(FILTER(ROW(H$2:H359) - ROW(H$2) + 1, P$2:P359 = P360))))=""単価"","""",
IF(COUNTIF(P$2:P359, P360)=0, """", INDEX(H$2:H359,
MAX(FILTER(ROW(H$2:H359) - ROW(H$2) + 1, P$2:P359 = P360)))))"),42.1)</f>
        <v>42.1</v>
      </c>
      <c r="N360" s="335" t="str">
        <f>IF(MAXIFS('単価履歴'!$O:$O,'単価履歴'!$E:$E,E360,'単価履歴'!$F:$F,F360)=O360,"●","")</f>
        <v/>
      </c>
      <c r="O360" s="346">
        <v>45685.29331018518</v>
      </c>
      <c r="P360" s="334" t="str">
        <f t="shared" si="4"/>
        <v>ﾔﾏﾄ:阪和Ｈ３(1級)</v>
      </c>
    </row>
    <row r="361" ht="15.75" customHeight="1">
      <c r="A361" s="335" t="s">
        <v>1560</v>
      </c>
      <c r="B361" s="336">
        <v>45685.0</v>
      </c>
      <c r="C361" s="335" t="s">
        <v>11</v>
      </c>
      <c r="D361" s="335" t="s">
        <v>46</v>
      </c>
      <c r="E361" s="337" t="str">
        <f t="shared" si="1"/>
        <v>ﾔﾏﾄ:阪和</v>
      </c>
      <c r="F361" s="338" t="s">
        <v>122</v>
      </c>
      <c r="G361" s="339" t="str">
        <f t="shared" si="2"/>
        <v>ﾔﾏﾄ:阪和Ｌ１(2級)</v>
      </c>
      <c r="H361" s="340">
        <f t="shared" si="3"/>
        <v>39.6</v>
      </c>
      <c r="I361" s="341">
        <v>-0.5</v>
      </c>
      <c r="J361" s="332">
        <f>IFERROR(__xludf.DUMMYFUNCTION("IF(IF(COUNTIF(P$2:P360, P361)=0, """", INDEX(H$2:H360,
MAX(FILTER(ROW(H$2:H360) - ROW(H$2) + 1, P$2:P360 = P361))))=""単価"","""",
IF(COUNTIF(P$2:P360, P361)=0, """", INDEX(H$2:H360,
MAX(FILTER(ROW(H$2:H360) - ROW(H$2) + 1, P$2:P360 = P361)))))"),40.1)</f>
        <v>40.1</v>
      </c>
      <c r="N361" s="335" t="str">
        <f>IF(MAXIFS('単価履歴'!$O:$O,'単価履歴'!$E:$E,E361,'単価履歴'!$F:$F,F361)=O361,"●","")</f>
        <v/>
      </c>
      <c r="O361" s="346">
        <v>45685.29331018518</v>
      </c>
      <c r="P361" s="334" t="str">
        <f t="shared" si="4"/>
        <v>ﾔﾏﾄ:阪和Ｌ１(2級)</v>
      </c>
    </row>
    <row r="362" ht="15.75" customHeight="1">
      <c r="A362" s="335" t="s">
        <v>1561</v>
      </c>
      <c r="B362" s="336">
        <v>45685.0</v>
      </c>
      <c r="C362" s="335" t="s">
        <v>11</v>
      </c>
      <c r="D362" s="335" t="s">
        <v>46</v>
      </c>
      <c r="E362" s="337" t="str">
        <f t="shared" si="1"/>
        <v>ﾔﾏﾄ:阪和</v>
      </c>
      <c r="F362" s="338" t="s">
        <v>154</v>
      </c>
      <c r="G362" s="339" t="str">
        <f t="shared" si="2"/>
        <v>ﾔﾏﾄ:阪和ＣＰ Ａ</v>
      </c>
      <c r="H362" s="340">
        <f t="shared" si="3"/>
        <v>-0.5</v>
      </c>
      <c r="I362" s="341">
        <v>-0.5</v>
      </c>
      <c r="J362" s="332" t="str">
        <f>IFERROR(__xludf.DUMMYFUNCTION("IF(IF(COUNTIF(P$2:P361, P362)=0, """", INDEX(H$2:H361,
MAX(FILTER(ROW(H$2:H361) - ROW(H$2) + 1, P$2:P361 = P362))))=""単価"","""",
IF(COUNTIF(P$2:P361, P362)=0, """", INDEX(H$2:H361,
MAX(FILTER(ROW(H$2:H361) - ROW(H$2) + 1, P$2:P361 = P362)))))"),"")</f>
        <v/>
      </c>
      <c r="N362" s="335" t="str">
        <f>IF(MAXIFS('単価履歴'!$O:$O,'単価履歴'!$E:$E,E362,'単価履歴'!$F:$F,F362)=O362,"●","")</f>
        <v>●</v>
      </c>
      <c r="O362" s="346">
        <v>45685.29331018518</v>
      </c>
      <c r="P362" s="334" t="str">
        <f t="shared" si="4"/>
        <v>ﾔﾏﾄ:阪和ＣＰ Ａ</v>
      </c>
    </row>
    <row r="363" ht="15.75" customHeight="1">
      <c r="A363" s="335" t="s">
        <v>1562</v>
      </c>
      <c r="B363" s="336">
        <v>45685.0</v>
      </c>
      <c r="C363" s="335" t="s">
        <v>28</v>
      </c>
      <c r="D363" s="335" t="s">
        <v>52</v>
      </c>
      <c r="E363" s="337" t="str">
        <f t="shared" si="1"/>
        <v>ＪＦＥ条鋼:リバイブ</v>
      </c>
      <c r="F363" s="338" t="s">
        <v>111</v>
      </c>
      <c r="G363" s="339" t="str">
        <f t="shared" si="2"/>
        <v>ＪＦＥ条鋼:リバイブＨ１(特A)</v>
      </c>
      <c r="H363" s="340">
        <f t="shared" si="3"/>
        <v>40</v>
      </c>
      <c r="I363" s="335">
        <v>-1.0</v>
      </c>
      <c r="J363" s="332">
        <f>IFERROR(__xludf.DUMMYFUNCTION("IF(IF(COUNTIF(P$2:P362, P363)=0, """", INDEX(H$2:H362,
MAX(FILTER(ROW(H$2:H362) - ROW(H$2) + 1, P$2:P362 = P363))))=""単価"","""",
IF(COUNTIF(P$2:P362, P363)=0, """", INDEX(H$2:H362,
MAX(FILTER(ROW(H$2:H362) - ROW(H$2) + 1, P$2:P362 = P363)))))"),41.0)</f>
        <v>41</v>
      </c>
      <c r="N363" s="335" t="str">
        <f>IF(MAXIFS('単価履歴'!$O:$O,'単価履歴'!$E:$E,E363,'単価履歴'!$F:$F,F363)=O363,"●","")</f>
        <v/>
      </c>
      <c r="O363" s="346">
        <v>45685.29483796297</v>
      </c>
      <c r="P363" s="334" t="str">
        <f t="shared" si="4"/>
        <v>ＪＦＥ条鋼:リバイブＨ１(特A)</v>
      </c>
    </row>
    <row r="364" ht="15.75" customHeight="1">
      <c r="A364" s="335" t="s">
        <v>1563</v>
      </c>
      <c r="B364" s="336">
        <v>45685.0</v>
      </c>
      <c r="C364" s="335" t="s">
        <v>28</v>
      </c>
      <c r="D364" s="335" t="s">
        <v>52</v>
      </c>
      <c r="E364" s="337" t="str">
        <f t="shared" si="1"/>
        <v>ＪＦＥ条鋼:リバイブ</v>
      </c>
      <c r="F364" s="338" t="s">
        <v>116</v>
      </c>
      <c r="G364" s="339" t="str">
        <f t="shared" si="2"/>
        <v>ＪＦＥ条鋼:リバイブＨ２(特級)</v>
      </c>
      <c r="H364" s="340">
        <f t="shared" si="3"/>
        <v>39</v>
      </c>
      <c r="I364" s="335">
        <v>-1.0</v>
      </c>
      <c r="J364" s="332">
        <f>IFERROR(__xludf.DUMMYFUNCTION("IF(IF(COUNTIF(P$2:P363, P364)=0, """", INDEX(H$2:H363,
MAX(FILTER(ROW(H$2:H363) - ROW(H$2) + 1, P$2:P363 = P364))))=""単価"","""",
IF(COUNTIF(P$2:P363, P364)=0, """", INDEX(H$2:H363,
MAX(FILTER(ROW(H$2:H363) - ROW(H$2) + 1, P$2:P363 = P364)))))"),40.0)</f>
        <v>40</v>
      </c>
      <c r="N364" s="335" t="str">
        <f>IF(MAXIFS('単価履歴'!$O:$O,'単価履歴'!$E:$E,E364,'単価履歴'!$F:$F,F364)=O364,"●","")</f>
        <v/>
      </c>
      <c r="O364" s="346">
        <v>45685.29483796297</v>
      </c>
      <c r="P364" s="334" t="str">
        <f t="shared" si="4"/>
        <v>ＪＦＥ条鋼:リバイブＨ２(特級)</v>
      </c>
    </row>
    <row r="365" ht="15.75" customHeight="1">
      <c r="A365" s="335" t="s">
        <v>1564</v>
      </c>
      <c r="B365" s="336">
        <v>45685.0</v>
      </c>
      <c r="C365" s="335" t="s">
        <v>28</v>
      </c>
      <c r="D365" s="335" t="s">
        <v>52</v>
      </c>
      <c r="E365" s="337" t="str">
        <f t="shared" si="1"/>
        <v>ＪＦＥ条鋼:リバイブ</v>
      </c>
      <c r="F365" s="338" t="s">
        <v>119</v>
      </c>
      <c r="G365" s="339" t="str">
        <f t="shared" si="2"/>
        <v>ＪＦＥ条鋼:リバイブＨ３(1級)</v>
      </c>
      <c r="H365" s="340">
        <f t="shared" si="3"/>
        <v>38</v>
      </c>
      <c r="I365" s="335">
        <v>-1.0</v>
      </c>
      <c r="J365" s="332">
        <f>IFERROR(__xludf.DUMMYFUNCTION("IF(IF(COUNTIF(P$2:P364, P365)=0, """", INDEX(H$2:H364,
MAX(FILTER(ROW(H$2:H364) - ROW(H$2) + 1, P$2:P364 = P365))))=""単価"","""",
IF(COUNTIF(P$2:P364, P365)=0, """", INDEX(H$2:H364,
MAX(FILTER(ROW(H$2:H364) - ROW(H$2) + 1, P$2:P364 = P365)))))"),39.0)</f>
        <v>39</v>
      </c>
      <c r="N365" s="335" t="str">
        <f>IF(MAXIFS('単価履歴'!$O:$O,'単価履歴'!$E:$E,E365,'単価履歴'!$F:$F,F365)=O365,"●","")</f>
        <v/>
      </c>
      <c r="O365" s="346">
        <v>45685.29483796297</v>
      </c>
      <c r="P365" s="334" t="str">
        <f t="shared" si="4"/>
        <v>ＪＦＥ条鋼:リバイブＨ３(1級)</v>
      </c>
    </row>
    <row r="366" ht="15.75" customHeight="1">
      <c r="A366" s="335" t="s">
        <v>1565</v>
      </c>
      <c r="B366" s="336">
        <v>45685.0</v>
      </c>
      <c r="C366" s="335" t="s">
        <v>28</v>
      </c>
      <c r="D366" s="335" t="s">
        <v>52</v>
      </c>
      <c r="E366" s="337" t="str">
        <f t="shared" si="1"/>
        <v>ＪＦＥ条鋼:リバイブ</v>
      </c>
      <c r="F366" s="338" t="s">
        <v>122</v>
      </c>
      <c r="G366" s="339" t="str">
        <f t="shared" si="2"/>
        <v>ＪＦＥ条鋼:リバイブＬ１(2級)</v>
      </c>
      <c r="H366" s="340">
        <f t="shared" si="3"/>
        <v>34.8</v>
      </c>
      <c r="I366" s="341">
        <v>-0.5</v>
      </c>
      <c r="J366" s="332">
        <f>IFERROR(__xludf.DUMMYFUNCTION("IF(IF(COUNTIF(P$2:P365, P366)=0, """", INDEX(H$2:H365,
MAX(FILTER(ROW(H$2:H365) - ROW(H$2) + 1, P$2:P365 = P366))))=""単価"","""",
IF(COUNTIF(P$2:P365, P366)=0, """", INDEX(H$2:H365,
MAX(FILTER(ROW(H$2:H365) - ROW(H$2) + 1, P$2:P365 = P366)))))"),35.3)</f>
        <v>35.3</v>
      </c>
      <c r="N366" s="335" t="str">
        <f>IF(MAXIFS('単価履歴'!$O:$O,'単価履歴'!$E:$E,E366,'単価履歴'!$F:$F,F366)=O366,"●","")</f>
        <v/>
      </c>
      <c r="O366" s="346">
        <v>45685.29483796297</v>
      </c>
      <c r="P366" s="334" t="str">
        <f t="shared" si="4"/>
        <v>ＪＦＥ条鋼:リバイブＬ１(2級)</v>
      </c>
    </row>
    <row r="367" ht="15.75" customHeight="1">
      <c r="A367" s="335" t="s">
        <v>1566</v>
      </c>
      <c r="B367" s="336">
        <v>45685.0</v>
      </c>
      <c r="C367" s="335" t="s">
        <v>28</v>
      </c>
      <c r="D367" s="335" t="s">
        <v>52</v>
      </c>
      <c r="E367" s="337" t="str">
        <f t="shared" si="1"/>
        <v>ＪＦＥ条鋼:リバイブ</v>
      </c>
      <c r="F367" s="338" t="s">
        <v>573</v>
      </c>
      <c r="G367" s="339" t="str">
        <f t="shared" si="2"/>
        <v>ＪＦＥ条鋼:リバイブＬ２(H4･級外･L1ﾊﾞﾗ)</v>
      </c>
      <c r="H367" s="340">
        <f t="shared" si="3"/>
        <v>38.9</v>
      </c>
      <c r="I367" s="335">
        <v>-1.0</v>
      </c>
      <c r="J367" s="332">
        <f>IFERROR(__xludf.DUMMYFUNCTION("IF(IF(COUNTIF(P$2:P366, P367)=0, """", INDEX(H$2:H366,
MAX(FILTER(ROW(H$2:H366) - ROW(H$2) + 1, P$2:P366 = P367))))=""単価"","""",
IF(COUNTIF(P$2:P366, P367)=0, """", INDEX(H$2:H366,
MAX(FILTER(ROW(H$2:H366) - ROW(H$2) + 1, P$2:P366 = P367)))))"),39.9)</f>
        <v>39.9</v>
      </c>
      <c r="N367" s="335" t="str">
        <f>IF(MAXIFS('単価履歴'!$O:$O,'単価履歴'!$E:$E,E367,'単価履歴'!$F:$F,F367)=O367,"●","")</f>
        <v/>
      </c>
      <c r="O367" s="346">
        <v>45685.29483796297</v>
      </c>
      <c r="P367" s="334" t="str">
        <f t="shared" si="4"/>
        <v>ＪＦＥ条鋼:リバイブＬ２(H4･級外･L1ﾊﾞﾗ)</v>
      </c>
    </row>
    <row r="368" ht="15.75" customHeight="1">
      <c r="A368" s="335" t="s">
        <v>1567</v>
      </c>
      <c r="B368" s="336">
        <v>45685.0</v>
      </c>
      <c r="C368" s="335" t="s">
        <v>28</v>
      </c>
      <c r="D368" s="335" t="s">
        <v>52</v>
      </c>
      <c r="E368" s="337" t="str">
        <f t="shared" si="1"/>
        <v>ＪＦＥ条鋼:リバイブ</v>
      </c>
      <c r="F368" s="338" t="s">
        <v>130</v>
      </c>
      <c r="G368" s="339" t="str">
        <f t="shared" si="2"/>
        <v>ＪＦＥ条鋼:リバイブ新断Ａ</v>
      </c>
      <c r="H368" s="340">
        <f t="shared" si="3"/>
        <v>42.5</v>
      </c>
      <c r="I368" s="335">
        <v>-2.0</v>
      </c>
      <c r="J368" s="332">
        <f>IFERROR(__xludf.DUMMYFUNCTION("IF(IF(COUNTIF(P$2:P367, P368)=0, """", INDEX(H$2:H367,
MAX(FILTER(ROW(H$2:H367) - ROW(H$2) + 1, P$2:P367 = P368))))=""単価"","""",
IF(COUNTIF(P$2:P367, P368)=0, """", INDEX(H$2:H367,
MAX(FILTER(ROW(H$2:H367) - ROW(H$2) + 1, P$2:P367 = P368)))))"),44.5)</f>
        <v>44.5</v>
      </c>
      <c r="N368" s="335" t="str">
        <f>IF(MAXIFS('単価履歴'!$O:$O,'単価履歴'!$E:$E,E368,'単価履歴'!$F:$F,F368)=O368,"●","")</f>
        <v/>
      </c>
      <c r="O368" s="346">
        <v>45685.29483796297</v>
      </c>
      <c r="P368" s="334" t="str">
        <f t="shared" si="4"/>
        <v>ＪＦＥ条鋼:リバイブ新断Ａ</v>
      </c>
    </row>
    <row r="369" ht="15.75" customHeight="1">
      <c r="A369" s="335" t="s">
        <v>1568</v>
      </c>
      <c r="B369" s="336">
        <v>45685.0</v>
      </c>
      <c r="C369" s="335" t="s">
        <v>28</v>
      </c>
      <c r="D369" s="335" t="s">
        <v>52</v>
      </c>
      <c r="E369" s="337" t="str">
        <f t="shared" si="1"/>
        <v>ＪＦＥ条鋼:リバイブ</v>
      </c>
      <c r="F369" s="338" t="s">
        <v>131</v>
      </c>
      <c r="G369" s="339" t="str">
        <f t="shared" si="2"/>
        <v>ＪＦＥ条鋼:リバイブ新断Ｂ</v>
      </c>
      <c r="H369" s="340">
        <f t="shared" si="3"/>
        <v>41.5</v>
      </c>
      <c r="I369" s="335">
        <v>-2.0</v>
      </c>
      <c r="J369" s="332">
        <f>IFERROR(__xludf.DUMMYFUNCTION("IF(IF(COUNTIF(P$2:P368, P369)=0, """", INDEX(H$2:H368,
MAX(FILTER(ROW(H$2:H368) - ROW(H$2) + 1, P$2:P368 = P369))))=""単価"","""",
IF(COUNTIF(P$2:P368, P369)=0, """", INDEX(H$2:H368,
MAX(FILTER(ROW(H$2:H368) - ROW(H$2) + 1, P$2:P368 = P369)))))"),43.5)</f>
        <v>43.5</v>
      </c>
      <c r="N369" s="335" t="str">
        <f>IF(MAXIFS('単価履歴'!$O:$O,'単価履歴'!$E:$E,E369,'単価履歴'!$F:$F,F369)=O369,"●","")</f>
        <v/>
      </c>
      <c r="O369" s="346">
        <v>45685.29483796297</v>
      </c>
      <c r="P369" s="334" t="str">
        <f t="shared" si="4"/>
        <v>ＪＦＥ条鋼:リバイブ新断Ｂ</v>
      </c>
    </row>
    <row r="370" ht="15.75" customHeight="1">
      <c r="A370" s="335" t="s">
        <v>1569</v>
      </c>
      <c r="B370" s="336">
        <v>45685.0</v>
      </c>
      <c r="C370" s="335" t="s">
        <v>28</v>
      </c>
      <c r="D370" s="335" t="s">
        <v>52</v>
      </c>
      <c r="E370" s="337" t="str">
        <f t="shared" si="1"/>
        <v>ＪＦＥ条鋼:リバイブ</v>
      </c>
      <c r="F370" s="338" t="s">
        <v>575</v>
      </c>
      <c r="G370" s="339" t="str">
        <f t="shared" si="2"/>
        <v>ＪＦＥ条鋼:リバイブ鋼ダライＡ</v>
      </c>
      <c r="H370" s="340">
        <f t="shared" si="3"/>
        <v>38.5</v>
      </c>
      <c r="I370" s="341">
        <v>-0.5</v>
      </c>
      <c r="J370" s="332">
        <f>IFERROR(__xludf.DUMMYFUNCTION("IF(IF(COUNTIF(P$2:P369, P370)=0, """", INDEX(H$2:H369,
MAX(FILTER(ROW(H$2:H369) - ROW(H$2) + 1, P$2:P369 = P370))))=""単価"","""",
IF(COUNTIF(P$2:P369, P370)=0, """", INDEX(H$2:H369,
MAX(FILTER(ROW(H$2:H369) - ROW(H$2) + 1, P$2:P369 = P370)))))"),39.0)</f>
        <v>39</v>
      </c>
      <c r="N370" s="335" t="str">
        <f>IF(MAXIFS('単価履歴'!$O:$O,'単価履歴'!$E:$E,E370,'単価履歴'!$F:$F,F370)=O370,"●","")</f>
        <v/>
      </c>
      <c r="O370" s="346">
        <v>45685.29483796297</v>
      </c>
      <c r="P370" s="334" t="str">
        <f t="shared" si="4"/>
        <v>ＪＦＥ条鋼:リバイブ鋼ダライＡ</v>
      </c>
    </row>
    <row r="371" ht="15.75" customHeight="1">
      <c r="A371" s="335" t="s">
        <v>1570</v>
      </c>
      <c r="B371" s="336">
        <v>45685.0</v>
      </c>
      <c r="C371" s="335" t="s">
        <v>28</v>
      </c>
      <c r="D371" s="335" t="s">
        <v>52</v>
      </c>
      <c r="E371" s="337" t="str">
        <f t="shared" si="1"/>
        <v>ＪＦＥ条鋼:リバイブ</v>
      </c>
      <c r="F371" s="338" t="s">
        <v>154</v>
      </c>
      <c r="G371" s="339" t="str">
        <f t="shared" si="2"/>
        <v>ＪＦＥ条鋼:リバイブＣＰ Ａ</v>
      </c>
      <c r="H371" s="340">
        <f t="shared" si="3"/>
        <v>43.5</v>
      </c>
      <c r="I371" s="335">
        <v>43.5</v>
      </c>
      <c r="J371" s="332" t="str">
        <f>IFERROR(__xludf.DUMMYFUNCTION("IF(IF(COUNTIF(P$2:P370, P371)=0, """", INDEX(H$2:H370,
MAX(FILTER(ROW(H$2:H370) - ROW(H$2) + 1, P$2:P370 = P371))))=""単価"","""",
IF(COUNTIF(P$2:P370, P371)=0, """", INDEX(H$2:H370,
MAX(FILTER(ROW(H$2:H370) - ROW(H$2) + 1, P$2:P370 = P371)))))"),"")</f>
        <v/>
      </c>
      <c r="N371" s="335" t="str">
        <f>IF(MAXIFS('単価履歴'!$O:$O,'単価履歴'!$E:$E,E371,'単価履歴'!$F:$F,F371)=O371,"●","")</f>
        <v/>
      </c>
      <c r="O371" s="346">
        <v>45685.29483796297</v>
      </c>
      <c r="P371" s="334" t="str">
        <f t="shared" si="4"/>
        <v>ＪＦＥ条鋼:リバイブＣＰ Ａ</v>
      </c>
    </row>
    <row r="372" ht="15.75" customHeight="1">
      <c r="A372" s="335" t="s">
        <v>1571</v>
      </c>
      <c r="B372" s="336">
        <v>45685.0</v>
      </c>
      <c r="C372" s="335" t="s">
        <v>12</v>
      </c>
      <c r="D372" s="335" t="s">
        <v>50</v>
      </c>
      <c r="E372" s="337" t="str">
        <f t="shared" si="1"/>
        <v>山陽特殊:産振</v>
      </c>
      <c r="F372" s="338" t="s">
        <v>1199</v>
      </c>
      <c r="G372" s="339" t="str">
        <f t="shared" si="2"/>
        <v>山陽特殊:産振ＨＳ１(単体H1/電特A/HS))</v>
      </c>
      <c r="H372" s="340">
        <f t="shared" si="3"/>
        <v>44.1</v>
      </c>
      <c r="I372" s="341">
        <v>-0.5</v>
      </c>
      <c r="J372" s="332">
        <f>IFERROR(__xludf.DUMMYFUNCTION("IF(IF(COUNTIF(P$2:P371, P372)=0, """", INDEX(H$2:H371,
MAX(FILTER(ROW(H$2:H371) - ROW(H$2) + 1, P$2:P371 = P372))))=""単価"","""",
IF(COUNTIF(P$2:P371, P372)=0, """", INDEX(H$2:H371,
MAX(FILTER(ROW(H$2:H371) - ROW(H$2) + 1, P$2:P371 = P372)))))"),44.6)</f>
        <v>44.6</v>
      </c>
      <c r="N372" s="335" t="str">
        <f>IF(MAXIFS('単価履歴'!$O:$O,'単価履歴'!$E:$E,E372,'単価履歴'!$F:$F,F372)=O372,"●","")</f>
        <v/>
      </c>
      <c r="O372" s="346">
        <v>45685.365266203706</v>
      </c>
      <c r="P372" s="334" t="str">
        <f t="shared" si="4"/>
        <v>山陽特殊:産振ＨＳ１(単体H1/電特A/HS))</v>
      </c>
    </row>
    <row r="373" ht="15.75" customHeight="1">
      <c r="A373" s="335" t="s">
        <v>1572</v>
      </c>
      <c r="B373" s="336">
        <v>45685.0</v>
      </c>
      <c r="C373" s="335" t="s">
        <v>12</v>
      </c>
      <c r="D373" s="335" t="s">
        <v>50</v>
      </c>
      <c r="E373" s="337" t="str">
        <f t="shared" si="1"/>
        <v>山陽特殊:産振</v>
      </c>
      <c r="F373" s="338" t="s">
        <v>101</v>
      </c>
      <c r="G373" s="339" t="str">
        <f t="shared" si="2"/>
        <v>山陽特殊:産振ＨＳ２</v>
      </c>
      <c r="H373" s="340">
        <f t="shared" si="3"/>
        <v>43.9</v>
      </c>
      <c r="I373" s="341">
        <v>-0.5</v>
      </c>
      <c r="J373" s="332">
        <f>IFERROR(__xludf.DUMMYFUNCTION("IF(IF(COUNTIF(P$2:P372, P373)=0, """", INDEX(H$2:H372,
MAX(FILTER(ROW(H$2:H372) - ROW(H$2) + 1, P$2:P372 = P373))))=""単価"","""",
IF(COUNTIF(P$2:P372, P373)=0, """", INDEX(H$2:H372,
MAX(FILTER(ROW(H$2:H372) - ROW(H$2) + 1, P$2:P372 = P373)))))"),44.4)</f>
        <v>44.4</v>
      </c>
      <c r="N373" s="335" t="str">
        <f>IF(MAXIFS('単価履歴'!$O:$O,'単価履歴'!$E:$E,E373,'単価履歴'!$F:$F,F373)=O373,"●","")</f>
        <v/>
      </c>
      <c r="O373" s="346">
        <v>45685.365266203706</v>
      </c>
      <c r="P373" s="334" t="str">
        <f t="shared" si="4"/>
        <v>山陽特殊:産振ＨＳ２</v>
      </c>
    </row>
    <row r="374" ht="15.75" customHeight="1">
      <c r="A374" s="335" t="s">
        <v>1573</v>
      </c>
      <c r="B374" s="336">
        <v>45685.0</v>
      </c>
      <c r="C374" s="335" t="s">
        <v>12</v>
      </c>
      <c r="D374" s="335" t="s">
        <v>50</v>
      </c>
      <c r="E374" s="337" t="str">
        <f t="shared" si="1"/>
        <v>山陽特殊:産振</v>
      </c>
      <c r="F374" s="338" t="s">
        <v>105</v>
      </c>
      <c r="G374" s="339" t="str">
        <f t="shared" si="2"/>
        <v>山陽特殊:産振ＨＳ３</v>
      </c>
      <c r="H374" s="340">
        <f t="shared" si="3"/>
        <v>41.9</v>
      </c>
      <c r="I374" s="341">
        <v>-0.5</v>
      </c>
      <c r="J374" s="332">
        <f>IFERROR(__xludf.DUMMYFUNCTION("IF(IF(COUNTIF(P$2:P373, P374)=0, """", INDEX(H$2:H373,
MAX(FILTER(ROW(H$2:H373) - ROW(H$2) + 1, P$2:P373 = P374))))=""単価"","""",
IF(COUNTIF(P$2:P373, P374)=0, """", INDEX(H$2:H373,
MAX(FILTER(ROW(H$2:H373) - ROW(H$2) + 1, P$2:P373 = P374)))))"),42.4)</f>
        <v>42.4</v>
      </c>
      <c r="N374" s="335" t="str">
        <f>IF(MAXIFS('単価履歴'!$O:$O,'単価履歴'!$E:$E,E374,'単価履歴'!$F:$F,F374)=O374,"●","")</f>
        <v/>
      </c>
      <c r="O374" s="346">
        <v>45685.365266203706</v>
      </c>
      <c r="P374" s="334" t="str">
        <f t="shared" si="4"/>
        <v>山陽特殊:産振ＨＳ３</v>
      </c>
    </row>
    <row r="375" ht="15.75" customHeight="1">
      <c r="A375" s="335" t="s">
        <v>1574</v>
      </c>
      <c r="B375" s="336">
        <v>45685.0</v>
      </c>
      <c r="C375" s="335" t="s">
        <v>12</v>
      </c>
      <c r="D375" s="335" t="s">
        <v>53</v>
      </c>
      <c r="E375" s="337" t="str">
        <f t="shared" si="1"/>
        <v>山陽特殊:MM</v>
      </c>
      <c r="F375" s="338" t="s">
        <v>1199</v>
      </c>
      <c r="G375" s="339" t="str">
        <f t="shared" si="2"/>
        <v>山陽特殊:MMＨＳ１(単体H1/電特A/HS))</v>
      </c>
      <c r="H375" s="340">
        <f t="shared" si="3"/>
        <v>46</v>
      </c>
      <c r="I375" s="341">
        <v>-0.5</v>
      </c>
      <c r="J375" s="332">
        <f>IFERROR(__xludf.DUMMYFUNCTION("IF(IF(COUNTIF(P$2:P374, P375)=0, """", INDEX(H$2:H374,
MAX(FILTER(ROW(H$2:H374) - ROW(H$2) + 1, P$2:P374 = P375))))=""単価"","""",
IF(COUNTIF(P$2:P374, P375)=0, """", INDEX(H$2:H374,
MAX(FILTER(ROW(H$2:H374) - ROW(H$2) + 1, P$2:P374 = P375)))))"),46.5)</f>
        <v>46.5</v>
      </c>
      <c r="N375" s="335" t="str">
        <f>IF(MAXIFS('単価履歴'!$O:$O,'単価履歴'!$E:$E,E375,'単価履歴'!$F:$F,F375)=O375,"●","")</f>
        <v/>
      </c>
      <c r="O375" s="346">
        <v>45685.36605324074</v>
      </c>
      <c r="P375" s="334" t="str">
        <f t="shared" si="4"/>
        <v>山陽特殊:MMＨＳ１(単体H1/電特A/HS))</v>
      </c>
    </row>
    <row r="376" ht="15.75" customHeight="1">
      <c r="A376" s="335" t="s">
        <v>1575</v>
      </c>
      <c r="B376" s="336">
        <v>45685.0</v>
      </c>
      <c r="C376" s="335" t="s">
        <v>12</v>
      </c>
      <c r="D376" s="335" t="s">
        <v>53</v>
      </c>
      <c r="E376" s="337" t="str">
        <f t="shared" si="1"/>
        <v>山陽特殊:MM</v>
      </c>
      <c r="F376" s="338" t="s">
        <v>101</v>
      </c>
      <c r="G376" s="339" t="str">
        <f t="shared" si="2"/>
        <v>山陽特殊:MMＨＳ２</v>
      </c>
      <c r="H376" s="340">
        <f t="shared" si="3"/>
        <v>45.8</v>
      </c>
      <c r="I376" s="341">
        <v>-0.5</v>
      </c>
      <c r="J376" s="332">
        <f>IFERROR(__xludf.DUMMYFUNCTION("IF(IF(COUNTIF(P$2:P375, P376)=0, """", INDEX(H$2:H375,
MAX(FILTER(ROW(H$2:H375) - ROW(H$2) + 1, P$2:P375 = P376))))=""単価"","""",
IF(COUNTIF(P$2:P375, P376)=0, """", INDEX(H$2:H375,
MAX(FILTER(ROW(H$2:H375) - ROW(H$2) + 1, P$2:P375 = P376)))))"),46.3)</f>
        <v>46.3</v>
      </c>
      <c r="N376" s="335" t="str">
        <f>IF(MAXIFS('単価履歴'!$O:$O,'単価履歴'!$E:$E,E376,'単価履歴'!$F:$F,F376)=O376,"●","")</f>
        <v/>
      </c>
      <c r="O376" s="346">
        <v>45685.36605324074</v>
      </c>
      <c r="P376" s="334" t="str">
        <f t="shared" si="4"/>
        <v>山陽特殊:MMＨＳ２</v>
      </c>
    </row>
    <row r="377" ht="15.75" customHeight="1">
      <c r="A377" s="335" t="s">
        <v>1576</v>
      </c>
      <c r="B377" s="336">
        <v>45685.0</v>
      </c>
      <c r="C377" s="335" t="s">
        <v>12</v>
      </c>
      <c r="D377" s="335" t="s">
        <v>53</v>
      </c>
      <c r="E377" s="337" t="str">
        <f t="shared" si="1"/>
        <v>山陽特殊:MM</v>
      </c>
      <c r="F377" s="338" t="s">
        <v>105</v>
      </c>
      <c r="G377" s="339" t="str">
        <f t="shared" si="2"/>
        <v>山陽特殊:MMＨＳ３</v>
      </c>
      <c r="H377" s="340">
        <f t="shared" si="3"/>
        <v>43.8</v>
      </c>
      <c r="I377" s="341">
        <v>-0.5</v>
      </c>
      <c r="J377" s="332">
        <f>IFERROR(__xludf.DUMMYFUNCTION("IF(IF(COUNTIF(P$2:P376, P377)=0, """", INDEX(H$2:H376,
MAX(FILTER(ROW(H$2:H376) - ROW(H$2) + 1, P$2:P376 = P377))))=""単価"","""",
IF(COUNTIF(P$2:P376, P377)=0, """", INDEX(H$2:H376,
MAX(FILTER(ROW(H$2:H376) - ROW(H$2) + 1, P$2:P376 = P377)))))"),44.3)</f>
        <v>44.3</v>
      </c>
      <c r="N377" s="335" t="str">
        <f>IF(MAXIFS('単価履歴'!$O:$O,'単価履歴'!$E:$E,E377,'単価履歴'!$F:$F,F377)=O377,"●","")</f>
        <v/>
      </c>
      <c r="O377" s="346">
        <v>45685.36605324074</v>
      </c>
      <c r="P377" s="334" t="str">
        <f t="shared" si="4"/>
        <v>山陽特殊:MMＨＳ３</v>
      </c>
    </row>
    <row r="378" ht="15.75" customHeight="1">
      <c r="A378" s="335" t="s">
        <v>1577</v>
      </c>
      <c r="B378" s="336">
        <v>45685.0</v>
      </c>
      <c r="C378" s="335" t="s">
        <v>14</v>
      </c>
      <c r="D378" s="335" t="s">
        <v>46</v>
      </c>
      <c r="E378" s="337" t="str">
        <f t="shared" si="1"/>
        <v>愛知:阪和</v>
      </c>
      <c r="F378" s="338" t="s">
        <v>1199</v>
      </c>
      <c r="G378" s="339" t="str">
        <f t="shared" si="2"/>
        <v>愛知:阪和ＨＳ１(単体H1/電特A/HS))</v>
      </c>
      <c r="H378" s="340">
        <f t="shared" si="3"/>
        <v>42.7</v>
      </c>
      <c r="I378" s="341">
        <v>-0.5</v>
      </c>
      <c r="J378" s="332">
        <f>IFERROR(__xludf.DUMMYFUNCTION("IF(IF(COUNTIF(P$2:P377, P378)=0, """", INDEX(H$2:H377,
MAX(FILTER(ROW(H$2:H377) - ROW(H$2) + 1, P$2:P377 = P378))))=""単価"","""",
IF(COUNTIF(P$2:P377, P378)=0, """", INDEX(H$2:H377,
MAX(FILTER(ROW(H$2:H377) - ROW(H$2) + 1, P$2:P377 = P378)))))"),43.2)</f>
        <v>43.2</v>
      </c>
      <c r="N378" s="335" t="str">
        <f>IF(MAXIFS('単価履歴'!$O:$O,'単価履歴'!$E:$E,E378,'単価履歴'!$F:$F,F378)=O378,"●","")</f>
        <v/>
      </c>
      <c r="O378" s="346">
        <v>45685.366990740746</v>
      </c>
      <c r="P378" s="334" t="str">
        <f t="shared" si="4"/>
        <v>愛知:阪和ＨＳ１(単体H1/電特A/HS))</v>
      </c>
    </row>
    <row r="379" ht="15.75" customHeight="1">
      <c r="A379" s="335" t="s">
        <v>1578</v>
      </c>
      <c r="B379" s="336">
        <v>45685.0</v>
      </c>
      <c r="C379" s="335" t="s">
        <v>14</v>
      </c>
      <c r="D379" s="335" t="s">
        <v>46</v>
      </c>
      <c r="E379" s="337" t="str">
        <f t="shared" si="1"/>
        <v>愛知:阪和</v>
      </c>
      <c r="F379" s="338" t="s">
        <v>101</v>
      </c>
      <c r="G379" s="339" t="str">
        <f t="shared" si="2"/>
        <v>愛知:阪和ＨＳ２</v>
      </c>
      <c r="H379" s="340">
        <f t="shared" si="3"/>
        <v>42.2</v>
      </c>
      <c r="I379" s="341">
        <v>-0.5</v>
      </c>
      <c r="J379" s="332">
        <f>IFERROR(__xludf.DUMMYFUNCTION("IF(IF(COUNTIF(P$2:P378, P379)=0, """", INDEX(H$2:H378,
MAX(FILTER(ROW(H$2:H378) - ROW(H$2) + 1, P$2:P378 = P379))))=""単価"","""",
IF(COUNTIF(P$2:P378, P379)=0, """", INDEX(H$2:H378,
MAX(FILTER(ROW(H$2:H378) - ROW(H$2) + 1, P$2:P378 = P379)))))"),42.7)</f>
        <v>42.7</v>
      </c>
      <c r="N379" s="335" t="str">
        <f>IF(MAXIFS('単価履歴'!$O:$O,'単価履歴'!$E:$E,E379,'単価履歴'!$F:$F,F379)=O379,"●","")</f>
        <v/>
      </c>
      <c r="O379" s="346">
        <v>45685.366990740746</v>
      </c>
      <c r="P379" s="334" t="str">
        <f t="shared" si="4"/>
        <v>愛知:阪和ＨＳ２</v>
      </c>
    </row>
    <row r="380" ht="15.75" customHeight="1">
      <c r="A380" s="335" t="s">
        <v>1579</v>
      </c>
      <c r="B380" s="336">
        <v>45685.0</v>
      </c>
      <c r="C380" s="335" t="s">
        <v>14</v>
      </c>
      <c r="D380" s="335" t="s">
        <v>46</v>
      </c>
      <c r="E380" s="337" t="str">
        <f t="shared" si="1"/>
        <v>愛知:阪和</v>
      </c>
      <c r="F380" s="338" t="s">
        <v>111</v>
      </c>
      <c r="G380" s="339" t="str">
        <f t="shared" si="2"/>
        <v>愛知:阪和Ｈ１(特A)</v>
      </c>
      <c r="H380" s="340">
        <f t="shared" si="3"/>
        <v>37.7</v>
      </c>
      <c r="I380" s="341">
        <v>-0.5</v>
      </c>
      <c r="J380" s="332">
        <f>IFERROR(__xludf.DUMMYFUNCTION("IF(IF(COUNTIF(P$2:P379, P380)=0, """", INDEX(H$2:H379,
MAX(FILTER(ROW(H$2:H379) - ROW(H$2) + 1, P$2:P379 = P380))))=""単価"","""",
IF(COUNTIF(P$2:P379, P380)=0, """", INDEX(H$2:H379,
MAX(FILTER(ROW(H$2:H379) - ROW(H$2) + 1, P$2:P379 = P380)))))"),38.2)</f>
        <v>38.2</v>
      </c>
      <c r="N380" s="335" t="str">
        <f>IF(MAXIFS('単価履歴'!$O:$O,'単価履歴'!$E:$E,E380,'単価履歴'!$F:$F,F380)=O380,"●","")</f>
        <v/>
      </c>
      <c r="O380" s="346">
        <v>45685.366990740746</v>
      </c>
      <c r="P380" s="334" t="str">
        <f t="shared" si="4"/>
        <v>愛知:阪和Ｈ１(特A)</v>
      </c>
    </row>
    <row r="381" ht="15.75" customHeight="1">
      <c r="A381" s="335" t="s">
        <v>1580</v>
      </c>
      <c r="B381" s="336">
        <v>45685.0</v>
      </c>
      <c r="C381" s="335" t="s">
        <v>14</v>
      </c>
      <c r="D381" s="335" t="s">
        <v>46</v>
      </c>
      <c r="E381" s="337" t="str">
        <f t="shared" si="1"/>
        <v>愛知:阪和</v>
      </c>
      <c r="F381" s="338" t="s">
        <v>116</v>
      </c>
      <c r="G381" s="339" t="str">
        <f t="shared" si="2"/>
        <v>愛知:阪和Ｈ２(特級)</v>
      </c>
      <c r="H381" s="340">
        <f t="shared" si="3"/>
        <v>37.2</v>
      </c>
      <c r="I381" s="341">
        <v>-0.5</v>
      </c>
      <c r="J381" s="332">
        <f>IFERROR(__xludf.DUMMYFUNCTION("IF(IF(COUNTIF(P$2:P380, P381)=0, """", INDEX(H$2:H380,
MAX(FILTER(ROW(H$2:H380) - ROW(H$2) + 1, P$2:P380 = P381))))=""単価"","""",
IF(COUNTIF(P$2:P380, P381)=0, """", INDEX(H$2:H380,
MAX(FILTER(ROW(H$2:H380) - ROW(H$2) + 1, P$2:P380 = P381)))))"),37.7)</f>
        <v>37.7</v>
      </c>
      <c r="N381" s="335" t="str">
        <f>IF(MAXIFS('単価履歴'!$O:$O,'単価履歴'!$E:$E,E381,'単価履歴'!$F:$F,F381)=O381,"●","")</f>
        <v/>
      </c>
      <c r="O381" s="346">
        <v>45685.366990740746</v>
      </c>
      <c r="P381" s="334" t="str">
        <f t="shared" si="4"/>
        <v>愛知:阪和Ｈ２(特級)</v>
      </c>
    </row>
    <row r="382" ht="15.75" customHeight="1">
      <c r="A382" s="335" t="s">
        <v>1581</v>
      </c>
      <c r="B382" s="336">
        <v>45685.0</v>
      </c>
      <c r="C382" s="335" t="s">
        <v>14</v>
      </c>
      <c r="D382" s="335" t="s">
        <v>46</v>
      </c>
      <c r="E382" s="337" t="str">
        <f t="shared" si="1"/>
        <v>愛知:阪和</v>
      </c>
      <c r="F382" s="338" t="s">
        <v>119</v>
      </c>
      <c r="G382" s="339" t="str">
        <f t="shared" si="2"/>
        <v>愛知:阪和Ｈ３(1級)</v>
      </c>
      <c r="H382" s="340">
        <f t="shared" si="3"/>
        <v>36.2</v>
      </c>
      <c r="I382" s="341">
        <v>-0.5</v>
      </c>
      <c r="J382" s="332">
        <f>IFERROR(__xludf.DUMMYFUNCTION("IF(IF(COUNTIF(P$2:P381, P382)=0, """", INDEX(H$2:H381,
MAX(FILTER(ROW(H$2:H381) - ROW(H$2) + 1, P$2:P381 = P382))))=""単価"","""",
IF(COUNTIF(P$2:P381, P382)=0, """", INDEX(H$2:H381,
MAX(FILTER(ROW(H$2:H381) - ROW(H$2) + 1, P$2:P381 = P382)))))"),36.7)</f>
        <v>36.7</v>
      </c>
      <c r="N382" s="335" t="str">
        <f>IF(MAXIFS('単価履歴'!$O:$O,'単価履歴'!$E:$E,E382,'単価履歴'!$F:$F,F382)=O382,"●","")</f>
        <v/>
      </c>
      <c r="O382" s="346">
        <v>45685.366990740746</v>
      </c>
      <c r="P382" s="334" t="str">
        <f t="shared" si="4"/>
        <v>愛知:阪和Ｈ３(1級)</v>
      </c>
    </row>
    <row r="383" ht="15.75" customHeight="1">
      <c r="A383" s="335" t="s">
        <v>1582</v>
      </c>
      <c r="B383" s="336">
        <v>45685.0</v>
      </c>
      <c r="C383" s="335" t="s">
        <v>14</v>
      </c>
      <c r="D383" s="335" t="s">
        <v>46</v>
      </c>
      <c r="E383" s="337" t="str">
        <f t="shared" si="1"/>
        <v>愛知:阪和</v>
      </c>
      <c r="F383" s="338" t="s">
        <v>573</v>
      </c>
      <c r="G383" s="339" t="str">
        <f t="shared" si="2"/>
        <v>愛知:阪和Ｌ２(H4･級外･L1ﾊﾞﾗ)</v>
      </c>
      <c r="H383" s="340">
        <f t="shared" si="3"/>
        <v>32.8</v>
      </c>
      <c r="I383" s="341">
        <v>-0.5</v>
      </c>
      <c r="J383" s="332">
        <f>IFERROR(__xludf.DUMMYFUNCTION("IF(IF(COUNTIF(P$2:P382, P383)=0, """", INDEX(H$2:H382,
MAX(FILTER(ROW(H$2:H382) - ROW(H$2) + 1, P$2:P382 = P383))))=""単価"","""",
IF(COUNTIF(P$2:P382, P383)=0, """", INDEX(H$2:H382,
MAX(FILTER(ROW(H$2:H382) - ROW(H$2) + 1, P$2:P382 = P383)))))"),33.3)</f>
        <v>33.3</v>
      </c>
      <c r="N383" s="335" t="str">
        <f>IF(MAXIFS('単価履歴'!$O:$O,'単価履歴'!$E:$E,E383,'単価履歴'!$F:$F,F383)=O383,"●","")</f>
        <v/>
      </c>
      <c r="O383" s="346">
        <v>45685.366990740746</v>
      </c>
      <c r="P383" s="334" t="str">
        <f t="shared" si="4"/>
        <v>愛知:阪和Ｌ２(H4･級外･L1ﾊﾞﾗ)</v>
      </c>
    </row>
    <row r="384" ht="15.75" customHeight="1">
      <c r="A384" s="335" t="s">
        <v>1583</v>
      </c>
      <c r="B384" s="336">
        <v>45685.0</v>
      </c>
      <c r="C384" s="335" t="s">
        <v>14</v>
      </c>
      <c r="D384" s="335" t="s">
        <v>48</v>
      </c>
      <c r="E384" s="337" t="str">
        <f t="shared" si="1"/>
        <v>愛知:ナベ</v>
      </c>
      <c r="F384" s="338" t="s">
        <v>1199</v>
      </c>
      <c r="G384" s="339" t="str">
        <f t="shared" si="2"/>
        <v>愛知:ナベＨＳ１(単体H1/電特A/HS))</v>
      </c>
      <c r="H384" s="340">
        <f t="shared" si="3"/>
        <v>40.5</v>
      </c>
      <c r="I384" s="341">
        <v>-0.5</v>
      </c>
      <c r="J384" s="332">
        <f>IFERROR(__xludf.DUMMYFUNCTION("IF(IF(COUNTIF(P$2:P383, P384)=0, """", INDEX(H$2:H383,
MAX(FILTER(ROW(H$2:H383) - ROW(H$2) + 1, P$2:P383 = P384))))=""単価"","""",
IF(COUNTIF(P$2:P383, P384)=0, """", INDEX(H$2:H383,
MAX(FILTER(ROW(H$2:H383) - ROW(H$2) + 1, P$2:P383 = P384)))))"),41.0)</f>
        <v>41</v>
      </c>
      <c r="N384" s="335" t="str">
        <f>IF(MAXIFS('単価履歴'!$O:$O,'単価履歴'!$E:$E,E384,'単価履歴'!$F:$F,F384)=O384,"●","")</f>
        <v/>
      </c>
      <c r="O384" s="346">
        <v>45685.367997685185</v>
      </c>
      <c r="P384" s="334" t="str">
        <f t="shared" si="4"/>
        <v>愛知:ナベＨＳ１(単体H1/電特A/HS))</v>
      </c>
    </row>
    <row r="385" ht="15.75" customHeight="1">
      <c r="A385" s="335" t="s">
        <v>1584</v>
      </c>
      <c r="B385" s="336">
        <v>45685.0</v>
      </c>
      <c r="C385" s="335" t="s">
        <v>14</v>
      </c>
      <c r="D385" s="335" t="s">
        <v>48</v>
      </c>
      <c r="E385" s="337" t="str">
        <f t="shared" si="1"/>
        <v>愛知:ナベ</v>
      </c>
      <c r="F385" s="338" t="s">
        <v>101</v>
      </c>
      <c r="G385" s="339" t="str">
        <f t="shared" si="2"/>
        <v>愛知:ナベＨＳ２</v>
      </c>
      <c r="H385" s="340">
        <f t="shared" si="3"/>
        <v>40</v>
      </c>
      <c r="I385" s="341">
        <v>-0.5</v>
      </c>
      <c r="J385" s="332">
        <f>IFERROR(__xludf.DUMMYFUNCTION("IF(IF(COUNTIF(P$2:P384, P385)=0, """", INDEX(H$2:H384,
MAX(FILTER(ROW(H$2:H384) - ROW(H$2) + 1, P$2:P384 = P385))))=""単価"","""",
IF(COUNTIF(P$2:P384, P385)=0, """", INDEX(H$2:H384,
MAX(FILTER(ROW(H$2:H384) - ROW(H$2) + 1, P$2:P384 = P385)))))"),40.5)</f>
        <v>40.5</v>
      </c>
      <c r="N385" s="335" t="str">
        <f>IF(MAXIFS('単価履歴'!$O:$O,'単価履歴'!$E:$E,E385,'単価履歴'!$F:$F,F385)=O385,"●","")</f>
        <v/>
      </c>
      <c r="O385" s="346">
        <v>45685.367997685185</v>
      </c>
      <c r="P385" s="334" t="str">
        <f t="shared" si="4"/>
        <v>愛知:ナベＨＳ２</v>
      </c>
    </row>
    <row r="386" ht="15.75" customHeight="1">
      <c r="A386" s="335" t="s">
        <v>1585</v>
      </c>
      <c r="B386" s="336">
        <v>45685.0</v>
      </c>
      <c r="C386" s="335" t="s">
        <v>14</v>
      </c>
      <c r="D386" s="335" t="s">
        <v>48</v>
      </c>
      <c r="E386" s="337" t="str">
        <f t="shared" si="1"/>
        <v>愛知:ナベ</v>
      </c>
      <c r="F386" s="338" t="s">
        <v>111</v>
      </c>
      <c r="G386" s="339" t="str">
        <f t="shared" si="2"/>
        <v>愛知:ナベＨ１(特A)</v>
      </c>
      <c r="H386" s="340">
        <f t="shared" si="3"/>
        <v>39.5</v>
      </c>
      <c r="I386" s="341">
        <v>-0.5</v>
      </c>
      <c r="J386" s="332">
        <f>IFERROR(__xludf.DUMMYFUNCTION("IF(IF(COUNTIF(P$2:P385, P386)=0, """", INDEX(H$2:H385,
MAX(FILTER(ROW(H$2:H385) - ROW(H$2) + 1, P$2:P385 = P386))))=""単価"","""",
IF(COUNTIF(P$2:P385, P386)=0, """", INDEX(H$2:H385,
MAX(FILTER(ROW(H$2:H385) - ROW(H$2) + 1, P$2:P385 = P386)))))"),40.0)</f>
        <v>40</v>
      </c>
      <c r="N386" s="335" t="str">
        <f>IF(MAXIFS('単価履歴'!$O:$O,'単価履歴'!$E:$E,E386,'単価履歴'!$F:$F,F386)=O386,"●","")</f>
        <v/>
      </c>
      <c r="O386" s="346">
        <v>45685.367997685185</v>
      </c>
      <c r="P386" s="334" t="str">
        <f t="shared" si="4"/>
        <v>愛知:ナベＨ１(特A)</v>
      </c>
    </row>
    <row r="387" ht="15.75" customHeight="1">
      <c r="A387" s="335" t="s">
        <v>1586</v>
      </c>
      <c r="B387" s="336">
        <v>45685.0</v>
      </c>
      <c r="C387" s="335" t="s">
        <v>14</v>
      </c>
      <c r="D387" s="335" t="s">
        <v>48</v>
      </c>
      <c r="E387" s="337" t="str">
        <f t="shared" si="1"/>
        <v>愛知:ナベ</v>
      </c>
      <c r="F387" s="338" t="s">
        <v>116</v>
      </c>
      <c r="G387" s="339" t="str">
        <f t="shared" si="2"/>
        <v>愛知:ナベＨ２(特級)</v>
      </c>
      <c r="H387" s="340">
        <f t="shared" si="3"/>
        <v>37.9</v>
      </c>
      <c r="I387" s="341">
        <v>-0.5</v>
      </c>
      <c r="J387" s="332">
        <f>IFERROR(__xludf.DUMMYFUNCTION("IF(IF(COUNTIF(P$2:P386, P387)=0, """", INDEX(H$2:H386,
MAX(FILTER(ROW(H$2:H386) - ROW(H$2) + 1, P$2:P386 = P387))))=""単価"","""",
IF(COUNTIF(P$2:P386, P387)=0, """", INDEX(H$2:H386,
MAX(FILTER(ROW(H$2:H386) - ROW(H$2) + 1, P$2:P386 = P387)))))"),38.4)</f>
        <v>38.4</v>
      </c>
      <c r="N387" s="335" t="str">
        <f>IF(MAXIFS('単価履歴'!$O:$O,'単価履歴'!$E:$E,E387,'単価履歴'!$F:$F,F387)=O387,"●","")</f>
        <v/>
      </c>
      <c r="O387" s="346">
        <v>45685.367997685185</v>
      </c>
      <c r="P387" s="334" t="str">
        <f t="shared" si="4"/>
        <v>愛知:ナベＨ２(特級)</v>
      </c>
    </row>
    <row r="388" ht="15.75" customHeight="1">
      <c r="A388" s="335" t="s">
        <v>1587</v>
      </c>
      <c r="B388" s="336">
        <v>45685.0</v>
      </c>
      <c r="C388" s="335" t="s">
        <v>14</v>
      </c>
      <c r="D388" s="335" t="s">
        <v>48</v>
      </c>
      <c r="E388" s="337" t="str">
        <f t="shared" si="1"/>
        <v>愛知:ナベ</v>
      </c>
      <c r="F388" s="338" t="s">
        <v>119</v>
      </c>
      <c r="G388" s="339" t="str">
        <f t="shared" si="2"/>
        <v>愛知:ナベＨ３(1級)</v>
      </c>
      <c r="H388" s="340">
        <f t="shared" si="3"/>
        <v>36.9</v>
      </c>
      <c r="I388" s="341">
        <v>-0.5</v>
      </c>
      <c r="J388" s="332">
        <f>IFERROR(__xludf.DUMMYFUNCTION("IF(IF(COUNTIF(P$2:P387, P388)=0, """", INDEX(H$2:H387,
MAX(FILTER(ROW(H$2:H387) - ROW(H$2) + 1, P$2:P387 = P388))))=""単価"","""",
IF(COUNTIF(P$2:P387, P388)=0, """", INDEX(H$2:H387,
MAX(FILTER(ROW(H$2:H387) - ROW(H$2) + 1, P$2:P387 = P388)))))"),37.4)</f>
        <v>37.4</v>
      </c>
      <c r="N388" s="335" t="str">
        <f>IF(MAXIFS('単価履歴'!$O:$O,'単価履歴'!$E:$E,E388,'単価履歴'!$F:$F,F388)=O388,"●","")</f>
        <v/>
      </c>
      <c r="O388" s="346">
        <v>45685.367997685185</v>
      </c>
      <c r="P388" s="334" t="str">
        <f t="shared" si="4"/>
        <v>愛知:ナベＨ３(1級)</v>
      </c>
    </row>
    <row r="389" ht="15.75" customHeight="1">
      <c r="A389" s="335" t="s">
        <v>1588</v>
      </c>
      <c r="B389" s="336">
        <v>45685.0</v>
      </c>
      <c r="C389" s="335" t="s">
        <v>14</v>
      </c>
      <c r="D389" s="335" t="s">
        <v>48</v>
      </c>
      <c r="E389" s="337" t="str">
        <f t="shared" si="1"/>
        <v>愛知:ナベ</v>
      </c>
      <c r="F389" s="338" t="s">
        <v>573</v>
      </c>
      <c r="G389" s="339" t="str">
        <f t="shared" si="2"/>
        <v>愛知:ナベＬ２(H4･級外･L1ﾊﾞﾗ)</v>
      </c>
      <c r="H389" s="340">
        <f t="shared" si="3"/>
        <v>32.9</v>
      </c>
      <c r="I389" s="341">
        <v>-0.5</v>
      </c>
      <c r="J389" s="332">
        <f>IFERROR(__xludf.DUMMYFUNCTION("IF(IF(COUNTIF(P$2:P388, P389)=0, """", INDEX(H$2:H388,
MAX(FILTER(ROW(H$2:H388) - ROW(H$2) + 1, P$2:P388 = P389))))=""単価"","""",
IF(COUNTIF(P$2:P388, P389)=0, """", INDEX(H$2:H388,
MAX(FILTER(ROW(H$2:H388) - ROW(H$2) + 1, P$2:P388 = P389)))))"),33.4)</f>
        <v>33.4</v>
      </c>
      <c r="N389" s="335" t="str">
        <f>IF(MAXIFS('単価履歴'!$O:$O,'単価履歴'!$E:$E,E389,'単価履歴'!$F:$F,F389)=O389,"●","")</f>
        <v/>
      </c>
      <c r="O389" s="346">
        <v>45685.367997685185</v>
      </c>
      <c r="P389" s="334" t="str">
        <f t="shared" si="4"/>
        <v>愛知:ナベＬ２(H4･級外･L1ﾊﾞﾗ)</v>
      </c>
    </row>
    <row r="390" ht="15.75" customHeight="1">
      <c r="A390" s="335" t="s">
        <v>1589</v>
      </c>
      <c r="B390" s="336">
        <v>45685.0</v>
      </c>
      <c r="C390" s="335" t="s">
        <v>14</v>
      </c>
      <c r="D390" s="335" t="s">
        <v>48</v>
      </c>
      <c r="E390" s="337" t="str">
        <f t="shared" si="1"/>
        <v>愛知:ナベ</v>
      </c>
      <c r="F390" s="338" t="s">
        <v>575</v>
      </c>
      <c r="G390" s="339" t="str">
        <f t="shared" si="2"/>
        <v>愛知:ナベ鋼ダライＡ</v>
      </c>
      <c r="H390" s="340">
        <f t="shared" si="3"/>
        <v>-0.5</v>
      </c>
      <c r="I390" s="341">
        <v>-0.5</v>
      </c>
      <c r="J390" s="332" t="str">
        <f>IFERROR(__xludf.DUMMYFUNCTION("IF(IF(COUNTIF(P$2:P389, P390)=0, """", INDEX(H$2:H389,
MAX(FILTER(ROW(H$2:H389) - ROW(H$2) + 1, P$2:P389 = P390))))=""単価"","""",
IF(COUNTIF(P$2:P389, P390)=0, """", INDEX(H$2:H389,
MAX(FILTER(ROW(H$2:H389) - ROW(H$2) + 1, P$2:P389 = P390)))))"),"")</f>
        <v/>
      </c>
      <c r="N390" s="335" t="str">
        <f>IF(MAXIFS('単価履歴'!$O:$O,'単価履歴'!$E:$E,E390,'単価履歴'!$F:$F,F390)=O390,"●","")</f>
        <v/>
      </c>
      <c r="O390" s="346">
        <v>45685.367997685185</v>
      </c>
      <c r="P390" s="334" t="str">
        <f t="shared" si="4"/>
        <v>愛知:ナベ鋼ダライＡ</v>
      </c>
    </row>
    <row r="391" ht="15.75" customHeight="1">
      <c r="A391" s="335" t="s">
        <v>1590</v>
      </c>
      <c r="B391" s="336">
        <v>45685.0</v>
      </c>
      <c r="C391" s="335" t="s">
        <v>15</v>
      </c>
      <c r="D391" s="335" t="s">
        <v>58</v>
      </c>
      <c r="E391" s="337" t="str">
        <f t="shared" si="1"/>
        <v>山口鋼業:MM建材</v>
      </c>
      <c r="F391" s="338" t="s">
        <v>1199</v>
      </c>
      <c r="G391" s="339" t="str">
        <f t="shared" si="2"/>
        <v>山口鋼業:MM建材ＨＳ１(単体H1/電特A/HS))</v>
      </c>
      <c r="H391" s="340">
        <f t="shared" si="3"/>
        <v>39.5</v>
      </c>
      <c r="I391" s="341">
        <v>-0.5</v>
      </c>
      <c r="J391" s="332">
        <f>IFERROR(__xludf.DUMMYFUNCTION("IF(IF(COUNTIF(P$2:P390, P391)=0, """", INDEX(H$2:H390,
MAX(FILTER(ROW(H$2:H390) - ROW(H$2) + 1, P$2:P390 = P391))))=""単価"","""",
IF(COUNTIF(P$2:P390, P391)=0, """", INDEX(H$2:H390,
MAX(FILTER(ROW(H$2:H390) - ROW(H$2) + 1, P$2:P390 = P391)))))"),40.0)</f>
        <v>40</v>
      </c>
      <c r="N391" s="335" t="str">
        <f>IF(MAXIFS('単価履歴'!$O:$O,'単価履歴'!$E:$E,E391,'単価履歴'!$F:$F,F391)=O391,"●","")</f>
        <v/>
      </c>
      <c r="O391" s="346">
        <v>45685.369050925925</v>
      </c>
      <c r="P391" s="334" t="str">
        <f t="shared" si="4"/>
        <v>山口鋼業:MM建材ＨＳ１(単体H1/電特A/HS))</v>
      </c>
    </row>
    <row r="392" ht="15.75" customHeight="1">
      <c r="A392" s="335" t="s">
        <v>1591</v>
      </c>
      <c r="B392" s="336">
        <v>45685.0</v>
      </c>
      <c r="C392" s="335" t="s">
        <v>15</v>
      </c>
      <c r="D392" s="335" t="s">
        <v>58</v>
      </c>
      <c r="E392" s="337" t="str">
        <f t="shared" si="1"/>
        <v>山口鋼業:MM建材</v>
      </c>
      <c r="F392" s="338" t="s">
        <v>1237</v>
      </c>
      <c r="G392" s="339" t="str">
        <f t="shared" si="2"/>
        <v>山口鋼業:MM建材ＪＨ１(H2T山口)鍛造ﾊﾞﾘ</v>
      </c>
      <c r="H392" s="340">
        <f t="shared" si="3"/>
        <v>39</v>
      </c>
      <c r="I392" s="341">
        <v>-0.5</v>
      </c>
      <c r="J392" s="332">
        <f>IFERROR(__xludf.DUMMYFUNCTION("IF(IF(COUNTIF(P$2:P391, P392)=0, """", INDEX(H$2:H391,
MAX(FILTER(ROW(H$2:H391) - ROW(H$2) + 1, P$2:P391 = P392))))=""単価"","""",
IF(COUNTIF(P$2:P391, P392)=0, """", INDEX(H$2:H391,
MAX(FILTER(ROW(H$2:H391) - ROW(H$2) + 1, P$2:P391 = P392)))))"),39.5)</f>
        <v>39.5</v>
      </c>
      <c r="N392" s="335" t="str">
        <f>IF(MAXIFS('単価履歴'!$O:$O,'単価履歴'!$E:$E,E392,'単価履歴'!$F:$F,F392)=O392,"●","")</f>
        <v/>
      </c>
      <c r="O392" s="346">
        <v>45685.369050925925</v>
      </c>
      <c r="P392" s="334" t="str">
        <f t="shared" si="4"/>
        <v>山口鋼業:MM建材ＪＨ１(H2T山口)鍛造ﾊﾞﾘ</v>
      </c>
    </row>
    <row r="393" ht="15.75" customHeight="1">
      <c r="A393" s="335" t="s">
        <v>1592</v>
      </c>
      <c r="B393" s="336">
        <v>45685.0</v>
      </c>
      <c r="C393" s="335" t="s">
        <v>15</v>
      </c>
      <c r="D393" s="335" t="s">
        <v>58</v>
      </c>
      <c r="E393" s="337" t="str">
        <f t="shared" si="1"/>
        <v>山口鋼業:MM建材</v>
      </c>
      <c r="F393" s="338" t="s">
        <v>116</v>
      </c>
      <c r="G393" s="339" t="str">
        <f t="shared" si="2"/>
        <v>山口鋼業:MM建材Ｈ２(特級)</v>
      </c>
      <c r="H393" s="340">
        <f t="shared" si="3"/>
        <v>38</v>
      </c>
      <c r="I393" s="341">
        <v>-0.5</v>
      </c>
      <c r="J393" s="332">
        <f>IFERROR(__xludf.DUMMYFUNCTION("IF(IF(COUNTIF(P$2:P392, P393)=0, """", INDEX(H$2:H392,
MAX(FILTER(ROW(H$2:H392) - ROW(H$2) + 1, P$2:P392 = P393))))=""単価"","""",
IF(COUNTIF(P$2:P392, P393)=0, """", INDEX(H$2:H392,
MAX(FILTER(ROW(H$2:H392) - ROW(H$2) + 1, P$2:P392 = P393)))))"),38.5)</f>
        <v>38.5</v>
      </c>
      <c r="N393" s="335" t="str">
        <f>IF(MAXIFS('単価履歴'!$O:$O,'単価履歴'!$E:$E,E393,'単価履歴'!$F:$F,F393)=O393,"●","")</f>
        <v/>
      </c>
      <c r="O393" s="346">
        <v>45685.369050925925</v>
      </c>
      <c r="P393" s="334" t="str">
        <f t="shared" si="4"/>
        <v>山口鋼業:MM建材Ｈ２(特級)</v>
      </c>
    </row>
    <row r="394" ht="15.75" customHeight="1">
      <c r="A394" s="335" t="s">
        <v>1593</v>
      </c>
      <c r="B394" s="336">
        <v>45685.0</v>
      </c>
      <c r="C394" s="335" t="s">
        <v>15</v>
      </c>
      <c r="D394" s="335" t="s">
        <v>58</v>
      </c>
      <c r="E394" s="337" t="str">
        <f t="shared" si="1"/>
        <v>山口鋼業:MM建材</v>
      </c>
      <c r="F394" s="338" t="s">
        <v>119</v>
      </c>
      <c r="G394" s="339" t="str">
        <f t="shared" si="2"/>
        <v>山口鋼業:MM建材Ｈ３(1級)</v>
      </c>
      <c r="H394" s="340">
        <f t="shared" si="3"/>
        <v>37</v>
      </c>
      <c r="I394" s="341">
        <v>-0.5</v>
      </c>
      <c r="J394" s="332">
        <f>IFERROR(__xludf.DUMMYFUNCTION("IF(IF(COUNTIF(P$2:P393, P394)=0, """", INDEX(H$2:H393,
MAX(FILTER(ROW(H$2:H393) - ROW(H$2) + 1, P$2:P393 = P394))))=""単価"","""",
IF(COUNTIF(P$2:P393, P394)=0, """", INDEX(H$2:H393,
MAX(FILTER(ROW(H$2:H393) - ROW(H$2) + 1, P$2:P393 = P394)))))"),37.5)</f>
        <v>37.5</v>
      </c>
      <c r="N394" s="335" t="str">
        <f>IF(MAXIFS('単価履歴'!$O:$O,'単価履歴'!$E:$E,E394,'単価履歴'!$F:$F,F394)=O394,"●","")</f>
        <v/>
      </c>
      <c r="O394" s="346">
        <v>45685.369050925925</v>
      </c>
      <c r="P394" s="334" t="str">
        <f t="shared" si="4"/>
        <v>山口鋼業:MM建材Ｈ３(1級)</v>
      </c>
    </row>
    <row r="395" ht="15.75" customHeight="1">
      <c r="A395" s="335" t="s">
        <v>1594</v>
      </c>
      <c r="B395" s="336">
        <v>45685.0</v>
      </c>
      <c r="C395" s="335" t="s">
        <v>15</v>
      </c>
      <c r="D395" s="335" t="s">
        <v>58</v>
      </c>
      <c r="E395" s="337" t="str">
        <f t="shared" si="1"/>
        <v>山口鋼業:MM建材</v>
      </c>
      <c r="F395" s="338" t="s">
        <v>573</v>
      </c>
      <c r="G395" s="339" t="str">
        <f t="shared" si="2"/>
        <v>山口鋼業:MM建材Ｌ２(H4･級外･L1ﾊﾞﾗ)</v>
      </c>
      <c r="H395" s="340">
        <f t="shared" si="3"/>
        <v>35.5</v>
      </c>
      <c r="I395" s="341">
        <v>-0.5</v>
      </c>
      <c r="J395" s="332">
        <f>IFERROR(__xludf.DUMMYFUNCTION("IF(IF(COUNTIF(P$2:P394, P395)=0, """", INDEX(H$2:H394,
MAX(FILTER(ROW(H$2:H394) - ROW(H$2) + 1, P$2:P394 = P395))))=""単価"","""",
IF(COUNTIF(P$2:P394, P395)=0, """", INDEX(H$2:H394,
MAX(FILTER(ROW(H$2:H394) - ROW(H$2) + 1, P$2:P394 = P395)))))"),36.0)</f>
        <v>36</v>
      </c>
      <c r="N395" s="335" t="str">
        <f>IF(MAXIFS('単価履歴'!$O:$O,'単価履歴'!$E:$E,E395,'単価履歴'!$F:$F,F395)=O395,"●","")</f>
        <v/>
      </c>
      <c r="O395" s="346">
        <v>45685.369050925925</v>
      </c>
      <c r="P395" s="334" t="str">
        <f t="shared" si="4"/>
        <v>山口鋼業:MM建材Ｌ２(H4･級外･L1ﾊﾞﾗ)</v>
      </c>
    </row>
    <row r="396" ht="15.75" customHeight="1">
      <c r="A396" s="335" t="s">
        <v>1595</v>
      </c>
      <c r="B396" s="336">
        <v>45685.0</v>
      </c>
      <c r="C396" s="335" t="s">
        <v>15</v>
      </c>
      <c r="D396" s="335" t="s">
        <v>58</v>
      </c>
      <c r="E396" s="337" t="str">
        <f t="shared" si="1"/>
        <v>山口鋼業:MM建材</v>
      </c>
      <c r="F396" s="338" t="s">
        <v>575</v>
      </c>
      <c r="G396" s="339" t="str">
        <f t="shared" si="2"/>
        <v>山口鋼業:MM建材鋼ダライＡ</v>
      </c>
      <c r="H396" s="340">
        <f t="shared" si="3"/>
        <v>35.6</v>
      </c>
      <c r="I396" s="341">
        <v>-0.5</v>
      </c>
      <c r="J396" s="332">
        <f>IFERROR(__xludf.DUMMYFUNCTION("IF(IF(COUNTIF(P$2:P395, P396)=0, """", INDEX(H$2:H395,
MAX(FILTER(ROW(H$2:H395) - ROW(H$2) + 1, P$2:P395 = P396))))=""単価"","""",
IF(COUNTIF(P$2:P395, P396)=0, """", INDEX(H$2:H395,
MAX(FILTER(ROW(H$2:H395) - ROW(H$2) + 1, P$2:P395 = P396)))))"),36.1)</f>
        <v>36.1</v>
      </c>
      <c r="N396" s="335" t="str">
        <f>IF(MAXIFS('単価履歴'!$O:$O,'単価履歴'!$E:$E,E396,'単価履歴'!$F:$F,F396)=O396,"●","")</f>
        <v/>
      </c>
      <c r="O396" s="346">
        <v>45685.369050925925</v>
      </c>
      <c r="P396" s="334" t="str">
        <f t="shared" si="4"/>
        <v>山口鋼業:MM建材鋼ダライＡ</v>
      </c>
    </row>
    <row r="397" ht="15.75" customHeight="1">
      <c r="A397" s="335" t="s">
        <v>1596</v>
      </c>
      <c r="B397" s="336">
        <v>45685.0</v>
      </c>
      <c r="C397" s="335" t="s">
        <v>15</v>
      </c>
      <c r="D397" s="335" t="s">
        <v>58</v>
      </c>
      <c r="E397" s="337" t="str">
        <f t="shared" si="1"/>
        <v>山口鋼業:MM建材</v>
      </c>
      <c r="F397" s="338" t="s">
        <v>139</v>
      </c>
      <c r="G397" s="339" t="str">
        <f t="shared" si="2"/>
        <v>山口鋼業:MM建材鋳物</v>
      </c>
      <c r="H397" s="340">
        <f t="shared" si="3"/>
        <v>-0.5</v>
      </c>
      <c r="I397" s="341">
        <v>-0.5</v>
      </c>
      <c r="J397" s="332" t="str">
        <f>IFERROR(__xludf.DUMMYFUNCTION("IF(IF(COUNTIF(P$2:P396, P397)=0, """", INDEX(H$2:H396,
MAX(FILTER(ROW(H$2:H396) - ROW(H$2) + 1, P$2:P396 = P397))))=""単価"","""",
IF(COUNTIF(P$2:P396, P397)=0, """", INDEX(H$2:H396,
MAX(FILTER(ROW(H$2:H396) - ROW(H$2) + 1, P$2:P396 = P397)))))"),"")</f>
        <v/>
      </c>
      <c r="N397" s="335" t="str">
        <f>IF(MAXIFS('単価履歴'!$O:$O,'単価履歴'!$E:$E,E397,'単価履歴'!$F:$F,F397)=O397,"●","")</f>
        <v/>
      </c>
      <c r="O397" s="346">
        <v>45685.369050925925</v>
      </c>
      <c r="P397" s="334" t="str">
        <f t="shared" si="4"/>
        <v>山口鋼業:MM建材鋳物</v>
      </c>
    </row>
    <row r="398" ht="15.75" customHeight="1">
      <c r="A398" s="335" t="s">
        <v>1597</v>
      </c>
      <c r="B398" s="336">
        <v>45685.0</v>
      </c>
      <c r="C398" s="335" t="s">
        <v>15</v>
      </c>
      <c r="D398" s="335" t="s">
        <v>46</v>
      </c>
      <c r="E398" s="337" t="str">
        <f t="shared" si="1"/>
        <v>山口鋼業:阪和</v>
      </c>
      <c r="F398" s="338" t="s">
        <v>1199</v>
      </c>
      <c r="G398" s="339" t="str">
        <f t="shared" si="2"/>
        <v>山口鋼業:阪和ＨＳ１(単体H1/電特A/HS))</v>
      </c>
      <c r="H398" s="340">
        <f t="shared" si="3"/>
        <v>40</v>
      </c>
      <c r="I398" s="341">
        <v>-0.5</v>
      </c>
      <c r="J398" s="332">
        <f>IFERROR(__xludf.DUMMYFUNCTION("IF(IF(COUNTIF(P$2:P397, P398)=0, """", INDEX(H$2:H397,
MAX(FILTER(ROW(H$2:H397) - ROW(H$2) + 1, P$2:P397 = P398))))=""単価"","""",
IF(COUNTIF(P$2:P397, P398)=0, """", INDEX(H$2:H397,
MAX(FILTER(ROW(H$2:H397) - ROW(H$2) + 1, P$2:P397 = P398)))))"),40.5)</f>
        <v>40.5</v>
      </c>
      <c r="N398" s="335" t="str">
        <f>IF(MAXIFS('単価履歴'!$O:$O,'単価履歴'!$E:$E,E398,'単価履歴'!$F:$F,F398)=O398,"●","")</f>
        <v/>
      </c>
      <c r="O398" s="346">
        <v>45685.37190972222</v>
      </c>
      <c r="P398" s="334" t="str">
        <f t="shared" si="4"/>
        <v>山口鋼業:阪和ＨＳ１(単体H1/電特A/HS))</v>
      </c>
    </row>
    <row r="399" ht="15.75" customHeight="1">
      <c r="A399" s="335" t="s">
        <v>1598</v>
      </c>
      <c r="B399" s="336">
        <v>45685.0</v>
      </c>
      <c r="C399" s="335" t="s">
        <v>15</v>
      </c>
      <c r="D399" s="335" t="s">
        <v>46</v>
      </c>
      <c r="E399" s="337" t="str">
        <f t="shared" si="1"/>
        <v>山口鋼業:阪和</v>
      </c>
      <c r="F399" s="338" t="s">
        <v>111</v>
      </c>
      <c r="G399" s="339" t="str">
        <f t="shared" si="2"/>
        <v>山口鋼業:阪和Ｈ１(特A)</v>
      </c>
      <c r="H399" s="340">
        <f t="shared" si="3"/>
        <v>38.5</v>
      </c>
      <c r="I399" s="341">
        <v>-0.5</v>
      </c>
      <c r="J399" s="332">
        <f>IFERROR(__xludf.DUMMYFUNCTION("IF(IF(COUNTIF(P$2:P398, P399)=0, """", INDEX(H$2:H398,
MAX(FILTER(ROW(H$2:H398) - ROW(H$2) + 1, P$2:P398 = P399))))=""単価"","""",
IF(COUNTIF(P$2:P398, P399)=0, """", INDEX(H$2:H398,
MAX(FILTER(ROW(H$2:H398) - ROW(H$2) + 1, P$2:P398 = P399)))))"),39.0)</f>
        <v>39</v>
      </c>
      <c r="N399" s="335" t="str">
        <f>IF(MAXIFS('単価履歴'!$O:$O,'単価履歴'!$E:$E,E399,'単価履歴'!$F:$F,F399)=O399,"●","")</f>
        <v/>
      </c>
      <c r="O399" s="346">
        <v>45685.37190972222</v>
      </c>
      <c r="P399" s="334" t="str">
        <f t="shared" si="4"/>
        <v>山口鋼業:阪和Ｈ１(特A)</v>
      </c>
    </row>
    <row r="400" ht="15.75" customHeight="1">
      <c r="A400" s="335" t="s">
        <v>1599</v>
      </c>
      <c r="B400" s="336">
        <v>45685.0</v>
      </c>
      <c r="C400" s="335" t="s">
        <v>15</v>
      </c>
      <c r="D400" s="335" t="s">
        <v>46</v>
      </c>
      <c r="E400" s="337" t="str">
        <f t="shared" si="1"/>
        <v>山口鋼業:阪和</v>
      </c>
      <c r="F400" s="338" t="s">
        <v>116</v>
      </c>
      <c r="G400" s="339" t="str">
        <f t="shared" si="2"/>
        <v>山口鋼業:阪和Ｈ２(特級)</v>
      </c>
      <c r="H400" s="340">
        <f t="shared" si="3"/>
        <v>38</v>
      </c>
      <c r="I400" s="341">
        <v>-0.5</v>
      </c>
      <c r="J400" s="332">
        <f>IFERROR(__xludf.DUMMYFUNCTION("IF(IF(COUNTIF(P$2:P399, P400)=0, """", INDEX(H$2:H399,
MAX(FILTER(ROW(H$2:H399) - ROW(H$2) + 1, P$2:P399 = P400))))=""単価"","""",
IF(COUNTIF(P$2:P399, P400)=0, """", INDEX(H$2:H399,
MAX(FILTER(ROW(H$2:H399) - ROW(H$2) + 1, P$2:P399 = P400)))))"),38.5)</f>
        <v>38.5</v>
      </c>
      <c r="N400" s="335" t="str">
        <f>IF(MAXIFS('単価履歴'!$O:$O,'単価履歴'!$E:$E,E400,'単価履歴'!$F:$F,F400)=O400,"●","")</f>
        <v/>
      </c>
      <c r="O400" s="346">
        <v>45685.37190972222</v>
      </c>
      <c r="P400" s="334" t="str">
        <f t="shared" si="4"/>
        <v>山口鋼業:阪和Ｈ２(特級)</v>
      </c>
    </row>
    <row r="401" ht="15.75" customHeight="1">
      <c r="A401" s="335" t="s">
        <v>1600</v>
      </c>
      <c r="B401" s="336">
        <v>45685.0</v>
      </c>
      <c r="C401" s="335" t="s">
        <v>15</v>
      </c>
      <c r="D401" s="335" t="s">
        <v>46</v>
      </c>
      <c r="E401" s="337" t="str">
        <f t="shared" si="1"/>
        <v>山口鋼業:阪和</v>
      </c>
      <c r="F401" s="338" t="s">
        <v>119</v>
      </c>
      <c r="G401" s="339" t="str">
        <f t="shared" si="2"/>
        <v>山口鋼業:阪和Ｈ３(1級)</v>
      </c>
      <c r="H401" s="340">
        <f t="shared" si="3"/>
        <v>37</v>
      </c>
      <c r="I401" s="341">
        <v>-0.5</v>
      </c>
      <c r="J401" s="332">
        <f>IFERROR(__xludf.DUMMYFUNCTION("IF(IF(COUNTIF(P$2:P400, P401)=0, """", INDEX(H$2:H400,
MAX(FILTER(ROW(H$2:H400) - ROW(H$2) + 1, P$2:P400 = P401))))=""単価"","""",
IF(COUNTIF(P$2:P400, P401)=0, """", INDEX(H$2:H400,
MAX(FILTER(ROW(H$2:H400) - ROW(H$2) + 1, P$2:P400 = P401)))))"),37.5)</f>
        <v>37.5</v>
      </c>
      <c r="N401" s="335" t="str">
        <f>IF(MAXIFS('単価履歴'!$O:$O,'単価履歴'!$E:$E,E401,'単価履歴'!$F:$F,F401)=O401,"●","")</f>
        <v/>
      </c>
      <c r="O401" s="346">
        <v>45685.37190972222</v>
      </c>
      <c r="P401" s="334" t="str">
        <f t="shared" si="4"/>
        <v>山口鋼業:阪和Ｈ３(1級)</v>
      </c>
    </row>
    <row r="402" ht="15.75" customHeight="1">
      <c r="A402" s="335" t="s">
        <v>1601</v>
      </c>
      <c r="B402" s="336">
        <v>45685.0</v>
      </c>
      <c r="C402" s="335" t="s">
        <v>15</v>
      </c>
      <c r="D402" s="335" t="s">
        <v>46</v>
      </c>
      <c r="E402" s="337" t="str">
        <f t="shared" si="1"/>
        <v>山口鋼業:阪和</v>
      </c>
      <c r="F402" s="338" t="s">
        <v>573</v>
      </c>
      <c r="G402" s="339" t="str">
        <f t="shared" si="2"/>
        <v>山口鋼業:阪和Ｌ２(H4･級外･L1ﾊﾞﾗ)</v>
      </c>
      <c r="H402" s="340">
        <f t="shared" si="3"/>
        <v>35.5</v>
      </c>
      <c r="I402" s="341">
        <v>-0.5</v>
      </c>
      <c r="J402" s="332">
        <f>IFERROR(__xludf.DUMMYFUNCTION("IF(IF(COUNTIF(P$2:P401, P402)=0, """", INDEX(H$2:H401,
MAX(FILTER(ROW(H$2:H401) - ROW(H$2) + 1, P$2:P401 = P402))))=""単価"","""",
IF(COUNTIF(P$2:P401, P402)=0, """", INDEX(H$2:H401,
MAX(FILTER(ROW(H$2:H401) - ROW(H$2) + 1, P$2:P401 = P402)))))"),36.0)</f>
        <v>36</v>
      </c>
      <c r="N402" s="335" t="str">
        <f>IF(MAXIFS('単価履歴'!$O:$O,'単価履歴'!$E:$E,E402,'単価履歴'!$F:$F,F402)=O402,"●","")</f>
        <v/>
      </c>
      <c r="O402" s="346">
        <v>45685.37190972222</v>
      </c>
      <c r="P402" s="334" t="str">
        <f t="shared" si="4"/>
        <v>山口鋼業:阪和Ｌ２(H4･級外･L1ﾊﾞﾗ)</v>
      </c>
    </row>
    <row r="403" ht="15.75" customHeight="1">
      <c r="A403" s="335" t="s">
        <v>1602</v>
      </c>
      <c r="B403" s="336">
        <v>45685.0</v>
      </c>
      <c r="C403" s="335" t="s">
        <v>15</v>
      </c>
      <c r="D403" s="335" t="s">
        <v>46</v>
      </c>
      <c r="E403" s="337" t="str">
        <f t="shared" si="1"/>
        <v>山口鋼業:阪和</v>
      </c>
      <c r="F403" s="338" t="s">
        <v>575</v>
      </c>
      <c r="G403" s="339" t="str">
        <f t="shared" si="2"/>
        <v>山口鋼業:阪和鋼ダライＡ</v>
      </c>
      <c r="H403" s="340">
        <f t="shared" si="3"/>
        <v>-0.5</v>
      </c>
      <c r="I403" s="341">
        <v>-0.5</v>
      </c>
      <c r="J403" s="332" t="str">
        <f>IFERROR(__xludf.DUMMYFUNCTION("IF(IF(COUNTIF(P$2:P402, P403)=0, """", INDEX(H$2:H402,
MAX(FILTER(ROW(H$2:H402) - ROW(H$2) + 1, P$2:P402 = P403))))=""単価"","""",
IF(COUNTIF(P$2:P402, P403)=0, """", INDEX(H$2:H402,
MAX(FILTER(ROW(H$2:H402) - ROW(H$2) + 1, P$2:P402 = P403)))))"),"")</f>
        <v/>
      </c>
      <c r="N403" s="335" t="str">
        <f>IF(MAXIFS('単価履歴'!$O:$O,'単価履歴'!$E:$E,E403,'単価履歴'!$F:$F,F403)=O403,"●","")</f>
        <v/>
      </c>
      <c r="O403" s="346">
        <v>45685.37190972222</v>
      </c>
      <c r="P403" s="334" t="str">
        <f t="shared" si="4"/>
        <v>山口鋼業:阪和鋼ダライＡ</v>
      </c>
    </row>
    <row r="404" ht="15.75" customHeight="1">
      <c r="A404" s="335" t="s">
        <v>1603</v>
      </c>
      <c r="B404" s="336">
        <v>45685.0</v>
      </c>
      <c r="C404" s="335" t="s">
        <v>537</v>
      </c>
      <c r="D404" s="335" t="s">
        <v>59</v>
      </c>
      <c r="E404" s="337" t="str">
        <f t="shared" si="1"/>
        <v>大同特殊鋼:大同興業</v>
      </c>
      <c r="F404" s="338" t="s">
        <v>1199</v>
      </c>
      <c r="G404" s="339" t="str">
        <f t="shared" si="2"/>
        <v>大同特殊鋼:大同興業ＨＳ１(単体H1/電特A/HS))</v>
      </c>
      <c r="H404" s="340">
        <f t="shared" si="3"/>
        <v>43</v>
      </c>
      <c r="I404" s="341">
        <v>-0.5</v>
      </c>
      <c r="J404" s="332">
        <f>IFERROR(__xludf.DUMMYFUNCTION("IF(IF(COUNTIF(P$2:P403, P404)=0, """", INDEX(H$2:H403,
MAX(FILTER(ROW(H$2:H403) - ROW(H$2) + 1, P$2:P403 = P404))))=""単価"","""",
IF(COUNTIF(P$2:P403, P404)=0, """", INDEX(H$2:H403,
MAX(FILTER(ROW(H$2:H403) - ROW(H$2) + 1, P$2:P403 = P404)))))"),43.5)</f>
        <v>43.5</v>
      </c>
      <c r="N404" s="335" t="str">
        <f>IF(MAXIFS('単価履歴'!$O:$O,'単価履歴'!$E:$E,E404,'単価履歴'!$F:$F,F404)=O404,"●","")</f>
        <v/>
      </c>
      <c r="O404" s="346">
        <v>45685.37274305556</v>
      </c>
      <c r="P404" s="334" t="str">
        <f t="shared" si="4"/>
        <v>大同特殊鋼:大同興業ＨＳ１(単体H1/電特A/HS))</v>
      </c>
    </row>
    <row r="405" ht="15.75" customHeight="1">
      <c r="A405" s="335" t="s">
        <v>1604</v>
      </c>
      <c r="B405" s="336">
        <v>45685.0</v>
      </c>
      <c r="C405" s="335" t="s">
        <v>537</v>
      </c>
      <c r="D405" s="335" t="s">
        <v>59</v>
      </c>
      <c r="E405" s="337" t="str">
        <f t="shared" si="1"/>
        <v>大同特殊鋼:大同興業</v>
      </c>
      <c r="F405" s="338" t="s">
        <v>116</v>
      </c>
      <c r="G405" s="339" t="str">
        <f t="shared" si="2"/>
        <v>大同特殊鋼:大同興業Ｈ２(特級)</v>
      </c>
      <c r="H405" s="340">
        <f t="shared" si="3"/>
        <v>-0.5</v>
      </c>
      <c r="I405" s="341">
        <v>-0.5</v>
      </c>
      <c r="J405" s="332" t="str">
        <f>IFERROR(__xludf.DUMMYFUNCTION("IF(IF(COUNTIF(P$2:P404, P405)=0, """", INDEX(H$2:H404,
MAX(FILTER(ROW(H$2:H404) - ROW(H$2) + 1, P$2:P404 = P405))))=""単価"","""",
IF(COUNTIF(P$2:P404, P405)=0, """", INDEX(H$2:H404,
MAX(FILTER(ROW(H$2:H404) - ROW(H$2) + 1, P$2:P404 = P405)))))"),"")</f>
        <v/>
      </c>
      <c r="N405" s="335" t="str">
        <f>IF(MAXIFS('単価履歴'!$O:$O,'単価履歴'!$E:$E,E405,'単価履歴'!$F:$F,F405)=O405,"●","")</f>
        <v/>
      </c>
      <c r="O405" s="346">
        <v>45685.37274305556</v>
      </c>
      <c r="P405" s="334" t="str">
        <f t="shared" si="4"/>
        <v>大同特殊鋼:大同興業Ｈ２(特級)</v>
      </c>
    </row>
    <row r="406" ht="15.75" customHeight="1">
      <c r="A406" s="335" t="s">
        <v>1605</v>
      </c>
      <c r="B406" s="336">
        <v>45685.0</v>
      </c>
      <c r="C406" s="335" t="s">
        <v>537</v>
      </c>
      <c r="D406" s="335" t="s">
        <v>59</v>
      </c>
      <c r="E406" s="337" t="str">
        <f t="shared" si="1"/>
        <v>大同特殊鋼:大同興業</v>
      </c>
      <c r="F406" s="338" t="s">
        <v>119</v>
      </c>
      <c r="G406" s="339" t="str">
        <f t="shared" si="2"/>
        <v>大同特殊鋼:大同興業Ｈ３(1級)</v>
      </c>
      <c r="H406" s="340">
        <f t="shared" si="3"/>
        <v>-0.5</v>
      </c>
      <c r="I406" s="341">
        <v>-0.5</v>
      </c>
      <c r="J406" s="332" t="str">
        <f>IFERROR(__xludf.DUMMYFUNCTION("IF(IF(COUNTIF(P$2:P405, P406)=0, """", INDEX(H$2:H405,
MAX(FILTER(ROW(H$2:H405) - ROW(H$2) + 1, P$2:P405 = P406))))=""単価"","""",
IF(COUNTIF(P$2:P405, P406)=0, """", INDEX(H$2:H405,
MAX(FILTER(ROW(H$2:H405) - ROW(H$2) + 1, P$2:P405 = P406)))))"),"")</f>
        <v/>
      </c>
      <c r="N406" s="335" t="str">
        <f>IF(MAXIFS('単価履歴'!$O:$O,'単価履歴'!$E:$E,E406,'単価履歴'!$F:$F,F406)=O406,"●","")</f>
        <v>●</v>
      </c>
      <c r="O406" s="346">
        <v>45685.37274305556</v>
      </c>
      <c r="P406" s="334" t="str">
        <f t="shared" si="4"/>
        <v>大同特殊鋼:大同興業Ｈ３(1級)</v>
      </c>
    </row>
    <row r="407" ht="15.75" customHeight="1">
      <c r="A407" s="335" t="s">
        <v>1606</v>
      </c>
      <c r="B407" s="336">
        <v>45685.0</v>
      </c>
      <c r="C407" s="335" t="s">
        <v>537</v>
      </c>
      <c r="D407" s="335" t="s">
        <v>59</v>
      </c>
      <c r="E407" s="337" t="str">
        <f t="shared" si="1"/>
        <v>大同特殊鋼:大同興業</v>
      </c>
      <c r="F407" s="338" t="s">
        <v>573</v>
      </c>
      <c r="G407" s="339" t="str">
        <f t="shared" si="2"/>
        <v>大同特殊鋼:大同興業Ｌ２(H4･級外･L1ﾊﾞﾗ)</v>
      </c>
      <c r="H407" s="340">
        <f t="shared" si="3"/>
        <v>-0.5</v>
      </c>
      <c r="I407" s="341">
        <v>-0.5</v>
      </c>
      <c r="J407" s="332" t="str">
        <f>IFERROR(__xludf.DUMMYFUNCTION("IF(IF(COUNTIF(P$2:P406, P407)=0, """", INDEX(H$2:H406,
MAX(FILTER(ROW(H$2:H406) - ROW(H$2) + 1, P$2:P406 = P407))))=""単価"","""",
IF(COUNTIF(P$2:P406, P407)=0, """", INDEX(H$2:H406,
MAX(FILTER(ROW(H$2:H406) - ROW(H$2) + 1, P$2:P406 = P407)))))"),"")</f>
        <v/>
      </c>
      <c r="N407" s="335" t="str">
        <f>IF(MAXIFS('単価履歴'!$O:$O,'単価履歴'!$E:$E,E407,'単価履歴'!$F:$F,F407)=O407,"●","")</f>
        <v>●</v>
      </c>
      <c r="O407" s="346">
        <v>45685.37274305556</v>
      </c>
      <c r="P407" s="334" t="str">
        <f t="shared" si="4"/>
        <v>大同特殊鋼:大同興業Ｌ２(H4･級外･L1ﾊﾞﾗ)</v>
      </c>
    </row>
    <row r="408" ht="15.75" customHeight="1">
      <c r="A408" s="335" t="s">
        <v>1607</v>
      </c>
      <c r="B408" s="336">
        <v>45685.0</v>
      </c>
      <c r="C408" s="335" t="s">
        <v>537</v>
      </c>
      <c r="D408" s="335" t="s">
        <v>59</v>
      </c>
      <c r="E408" s="337" t="str">
        <f t="shared" si="1"/>
        <v>大同特殊鋼:大同興業</v>
      </c>
      <c r="F408" s="338" t="s">
        <v>575</v>
      </c>
      <c r="G408" s="339" t="str">
        <f t="shared" si="2"/>
        <v>大同特殊鋼:大同興業鋼ダライＡ</v>
      </c>
      <c r="H408" s="340">
        <f t="shared" si="3"/>
        <v>35.9</v>
      </c>
      <c r="I408" s="341">
        <v>-0.5</v>
      </c>
      <c r="J408" s="332">
        <f>IFERROR(__xludf.DUMMYFUNCTION("IF(IF(COUNTIF(P$2:P407, P408)=0, """", INDEX(H$2:H407,
MAX(FILTER(ROW(H$2:H407) - ROW(H$2) + 1, P$2:P407 = P408))))=""単価"","""",
IF(COUNTIF(P$2:P407, P408)=0, """", INDEX(H$2:H407,
MAX(FILTER(ROW(H$2:H407) - ROW(H$2) + 1, P$2:P407 = P408)))))"),36.4)</f>
        <v>36.4</v>
      </c>
      <c r="N408" s="335" t="str">
        <f>IF(MAXIFS('単価履歴'!$O:$O,'単価履歴'!$E:$E,E408,'単価履歴'!$F:$F,F408)=O408,"●","")</f>
        <v/>
      </c>
      <c r="O408" s="346">
        <v>45685.37274305556</v>
      </c>
      <c r="P408" s="334" t="str">
        <f t="shared" si="4"/>
        <v>大同特殊鋼:大同興業鋼ダライＡ</v>
      </c>
    </row>
    <row r="409" ht="15.75" customHeight="1">
      <c r="A409" s="335" t="s">
        <v>1608</v>
      </c>
      <c r="B409" s="336">
        <v>45685.0</v>
      </c>
      <c r="C409" s="335" t="s">
        <v>537</v>
      </c>
      <c r="D409" s="335" t="s">
        <v>1404</v>
      </c>
      <c r="E409" s="337" t="str">
        <f t="shared" si="1"/>
        <v>大同特殊鋼:JSE/大和ﾘﾃｯｸ</v>
      </c>
      <c r="F409" s="338" t="s">
        <v>1199</v>
      </c>
      <c r="G409" s="339" t="str">
        <f t="shared" si="2"/>
        <v>大同特殊鋼:JSE/大和ﾘﾃｯｸＨＳ１(単体H1/電特A/HS))</v>
      </c>
      <c r="H409" s="340">
        <f t="shared" si="3"/>
        <v>42.5</v>
      </c>
      <c r="I409" s="341">
        <v>-0.5</v>
      </c>
      <c r="J409" s="332">
        <f>IFERROR(__xludf.DUMMYFUNCTION("IF(IF(COUNTIF(P$2:P408, P409)=0, """", INDEX(H$2:H408,
MAX(FILTER(ROW(H$2:H408) - ROW(H$2) + 1, P$2:P408 = P409))))=""単価"","""",
IF(COUNTIF(P$2:P408, P409)=0, """", INDEX(H$2:H408,
MAX(FILTER(ROW(H$2:H408) - ROW(H$2) + 1, P$2:P408 = P409)))))"),43.0)</f>
        <v>43</v>
      </c>
      <c r="N409" s="335" t="str">
        <f>IF(MAXIFS('単価履歴'!$O:$O,'単価履歴'!$E:$E,E409,'単価履歴'!$F:$F,F409)=O409,"●","")</f>
        <v/>
      </c>
      <c r="O409" s="346">
        <v>45685.37351851852</v>
      </c>
      <c r="P409" s="334" t="str">
        <f t="shared" si="4"/>
        <v>大同特殊鋼:JSE/大和ﾘﾃｯｸＨＳ１(単体H1/電特A/HS))</v>
      </c>
    </row>
    <row r="410" ht="15.75" customHeight="1">
      <c r="A410" s="335" t="s">
        <v>1609</v>
      </c>
      <c r="B410" s="336">
        <v>45685.0</v>
      </c>
      <c r="C410" s="335" t="s">
        <v>537</v>
      </c>
      <c r="D410" s="335" t="s">
        <v>1404</v>
      </c>
      <c r="E410" s="337" t="str">
        <f t="shared" si="1"/>
        <v>大同特殊鋼:JSE/大和ﾘﾃｯｸ</v>
      </c>
      <c r="F410" s="338" t="s">
        <v>116</v>
      </c>
      <c r="G410" s="339" t="str">
        <f t="shared" si="2"/>
        <v>大同特殊鋼:JSE/大和ﾘﾃｯｸＨ２(特級)</v>
      </c>
      <c r="H410" s="340">
        <f t="shared" si="3"/>
        <v>39</v>
      </c>
      <c r="I410" s="341">
        <v>-0.5</v>
      </c>
      <c r="J410" s="332">
        <f>IFERROR(__xludf.DUMMYFUNCTION("IF(IF(COUNTIF(P$2:P409, P410)=0, """", INDEX(H$2:H409,
MAX(FILTER(ROW(H$2:H409) - ROW(H$2) + 1, P$2:P409 = P410))))=""単価"","""",
IF(COUNTIF(P$2:P409, P410)=0, """", INDEX(H$2:H409,
MAX(FILTER(ROW(H$2:H409) - ROW(H$2) + 1, P$2:P409 = P410)))))"),39.5)</f>
        <v>39.5</v>
      </c>
      <c r="N410" s="335" t="str">
        <f>IF(MAXIFS('単価履歴'!$O:$O,'単価履歴'!$E:$E,E410,'単価履歴'!$F:$F,F410)=O410,"●","")</f>
        <v/>
      </c>
      <c r="O410" s="346">
        <v>45685.37351851852</v>
      </c>
      <c r="P410" s="334" t="str">
        <f t="shared" si="4"/>
        <v>大同特殊鋼:JSE/大和ﾘﾃｯｸＨ２(特級)</v>
      </c>
    </row>
    <row r="411" ht="15.75" customHeight="1">
      <c r="A411" s="335" t="s">
        <v>1610</v>
      </c>
      <c r="B411" s="336">
        <v>45685.0</v>
      </c>
      <c r="C411" s="335" t="s">
        <v>537</v>
      </c>
      <c r="D411" s="335" t="s">
        <v>1404</v>
      </c>
      <c r="E411" s="337" t="str">
        <f t="shared" si="1"/>
        <v>大同特殊鋼:JSE/大和ﾘﾃｯｸ</v>
      </c>
      <c r="F411" s="338" t="s">
        <v>575</v>
      </c>
      <c r="G411" s="339" t="str">
        <f t="shared" si="2"/>
        <v>大同特殊鋼:JSE/大和ﾘﾃｯｸ鋼ダライＡ</v>
      </c>
      <c r="H411" s="340">
        <f t="shared" si="3"/>
        <v>37.8</v>
      </c>
      <c r="I411" s="341">
        <v>-0.5</v>
      </c>
      <c r="J411" s="332">
        <f>IFERROR(__xludf.DUMMYFUNCTION("IF(IF(COUNTIF(P$2:P410, P411)=0, """", INDEX(H$2:H410,
MAX(FILTER(ROW(H$2:H410) - ROW(H$2) + 1, P$2:P410 = P411))))=""単価"","""",
IF(COUNTIF(P$2:P410, P411)=0, """", INDEX(H$2:H410,
MAX(FILTER(ROW(H$2:H410) - ROW(H$2) + 1, P$2:P410 = P411)))))"),38.3)</f>
        <v>38.3</v>
      </c>
      <c r="N411" s="335" t="str">
        <f>IF(MAXIFS('単価履歴'!$O:$O,'単価履歴'!$E:$E,E411,'単価履歴'!$F:$F,F411)=O411,"●","")</f>
        <v/>
      </c>
      <c r="O411" s="346">
        <v>45685.37351851852</v>
      </c>
      <c r="P411" s="334" t="str">
        <f t="shared" si="4"/>
        <v>大同特殊鋼:JSE/大和ﾘﾃｯｸ鋼ダライＡ</v>
      </c>
    </row>
    <row r="412" ht="15.75" customHeight="1">
      <c r="A412" s="335" t="s">
        <v>1611</v>
      </c>
      <c r="B412" s="336">
        <v>45685.0</v>
      </c>
      <c r="C412" s="335" t="s">
        <v>537</v>
      </c>
      <c r="D412" s="335" t="s">
        <v>1407</v>
      </c>
      <c r="E412" s="337" t="str">
        <f t="shared" si="1"/>
        <v>大同特殊鋼:JSE/第二＠2.3</v>
      </c>
      <c r="F412" s="338" t="s">
        <v>1199</v>
      </c>
      <c r="G412" s="339" t="str">
        <f t="shared" si="2"/>
        <v>大同特殊鋼:JSE/第二＠2.3ＨＳ１(単体H1/電特A/HS))</v>
      </c>
      <c r="H412" s="340">
        <f t="shared" si="3"/>
        <v>40.2</v>
      </c>
      <c r="I412" s="341">
        <v>-0.5</v>
      </c>
      <c r="J412" s="332">
        <f>IFERROR(__xludf.DUMMYFUNCTION("IF(IF(COUNTIF(P$2:P411, P412)=0, """", INDEX(H$2:H411,
MAX(FILTER(ROW(H$2:H411) - ROW(H$2) + 1, P$2:P411 = P412))))=""単価"","""",
IF(COUNTIF(P$2:P411, P412)=0, """", INDEX(H$2:H411,
MAX(FILTER(ROW(H$2:H411) - ROW(H$2) + 1, P$2:P411 = P412)))))"),40.7)</f>
        <v>40.7</v>
      </c>
      <c r="N412" s="335" t="str">
        <f>IF(MAXIFS('単価履歴'!$O:$O,'単価履歴'!$E:$E,E412,'単価履歴'!$F:$F,F412)=O412,"●","")</f>
        <v/>
      </c>
      <c r="O412" s="346">
        <v>45685.37351851852</v>
      </c>
      <c r="P412" s="334" t="str">
        <f t="shared" si="4"/>
        <v>大同特殊鋼:JSE/第二＠2.3ＨＳ１(単体H1/電特A/HS))</v>
      </c>
    </row>
    <row r="413" ht="15.75" customHeight="1">
      <c r="A413" s="335" t="s">
        <v>1612</v>
      </c>
      <c r="B413" s="336">
        <v>45685.0</v>
      </c>
      <c r="C413" s="335" t="s">
        <v>537</v>
      </c>
      <c r="D413" s="335" t="s">
        <v>1407</v>
      </c>
      <c r="E413" s="337" t="str">
        <f t="shared" si="1"/>
        <v>大同特殊鋼:JSE/第二＠2.3</v>
      </c>
      <c r="F413" s="338" t="s">
        <v>116</v>
      </c>
      <c r="G413" s="339" t="str">
        <f t="shared" si="2"/>
        <v>大同特殊鋼:JSE/第二＠2.3Ｈ２(特級)</v>
      </c>
      <c r="H413" s="340">
        <f t="shared" si="3"/>
        <v>36.7</v>
      </c>
      <c r="I413" s="341">
        <v>-0.5</v>
      </c>
      <c r="J413" s="332">
        <f>IFERROR(__xludf.DUMMYFUNCTION("IF(IF(COUNTIF(P$2:P412, P413)=0, """", INDEX(H$2:H412,
MAX(FILTER(ROW(H$2:H412) - ROW(H$2) + 1, P$2:P412 = P413))))=""単価"","""",
IF(COUNTIF(P$2:P412, P413)=0, """", INDEX(H$2:H412,
MAX(FILTER(ROW(H$2:H412) - ROW(H$2) + 1, P$2:P412 = P413)))))"),37.2)</f>
        <v>37.2</v>
      </c>
      <c r="N413" s="335" t="str">
        <f>IF(MAXIFS('単価履歴'!$O:$O,'単価履歴'!$E:$E,E413,'単価履歴'!$F:$F,F413)=O413,"●","")</f>
        <v/>
      </c>
      <c r="O413" s="346">
        <v>45685.37351851852</v>
      </c>
      <c r="P413" s="334" t="str">
        <f t="shared" si="4"/>
        <v>大同特殊鋼:JSE/第二＠2.3Ｈ２(特級)</v>
      </c>
    </row>
    <row r="414" ht="15.75" customHeight="1">
      <c r="A414" s="335" t="s">
        <v>1613</v>
      </c>
      <c r="B414" s="336">
        <v>45685.0</v>
      </c>
      <c r="C414" s="335" t="s">
        <v>537</v>
      </c>
      <c r="D414" s="335" t="s">
        <v>1407</v>
      </c>
      <c r="E414" s="337" t="str">
        <f t="shared" si="1"/>
        <v>大同特殊鋼:JSE/第二＠2.3</v>
      </c>
      <c r="F414" s="338" t="s">
        <v>575</v>
      </c>
      <c r="G414" s="339" t="str">
        <f t="shared" si="2"/>
        <v>大同特殊鋼:JSE/第二＠2.3鋼ダライＡ</v>
      </c>
      <c r="H414" s="340">
        <f t="shared" si="3"/>
        <v>35.5</v>
      </c>
      <c r="I414" s="341">
        <v>-0.5</v>
      </c>
      <c r="J414" s="332">
        <f>IFERROR(__xludf.DUMMYFUNCTION("IF(IF(COUNTIF(P$2:P413, P414)=0, """", INDEX(H$2:H413,
MAX(FILTER(ROW(H$2:H413) - ROW(H$2) + 1, P$2:P413 = P414))))=""単価"","""",
IF(COUNTIF(P$2:P413, P414)=0, """", INDEX(H$2:H413,
MAX(FILTER(ROW(H$2:H413) - ROW(H$2) + 1, P$2:P413 = P414)))))"),36.0)</f>
        <v>36</v>
      </c>
      <c r="N414" s="335" t="str">
        <f>IF(MAXIFS('単価履歴'!$O:$O,'単価履歴'!$E:$E,E414,'単価履歴'!$F:$F,F414)=O414,"●","")</f>
        <v/>
      </c>
      <c r="O414" s="346">
        <v>45685.37351851852</v>
      </c>
      <c r="P414" s="334" t="str">
        <f t="shared" si="4"/>
        <v>大同特殊鋼:JSE/第二＠2.3鋼ダライＡ</v>
      </c>
    </row>
    <row r="415" ht="15.75" customHeight="1">
      <c r="A415" s="335" t="s">
        <v>1614</v>
      </c>
      <c r="B415" s="336">
        <v>45685.0</v>
      </c>
      <c r="C415" s="335" t="s">
        <v>537</v>
      </c>
      <c r="D415" s="335" t="s">
        <v>1410</v>
      </c>
      <c r="E415" s="337" t="str">
        <f t="shared" si="1"/>
        <v>大同特殊鋼:JSE/岐阜＠1.5</v>
      </c>
      <c r="F415" s="338" t="s">
        <v>1199</v>
      </c>
      <c r="G415" s="339" t="str">
        <f t="shared" si="2"/>
        <v>大同特殊鋼:JSE/岐阜＠1.5ＨＳ１(単体H1/電特A/HS))</v>
      </c>
      <c r="H415" s="340">
        <f t="shared" si="3"/>
        <v>41</v>
      </c>
      <c r="I415" s="341">
        <v>-0.5</v>
      </c>
      <c r="J415" s="332">
        <f>IFERROR(__xludf.DUMMYFUNCTION("IF(IF(COUNTIF(P$2:P414, P415)=0, """", INDEX(H$2:H414,
MAX(FILTER(ROW(H$2:H414) - ROW(H$2) + 1, P$2:P414 = P415))))=""単価"","""",
IF(COUNTIF(P$2:P414, P415)=0, """", INDEX(H$2:H414,
MAX(FILTER(ROW(H$2:H414) - ROW(H$2) + 1, P$2:P414 = P415)))))"),41.5)</f>
        <v>41.5</v>
      </c>
      <c r="N415" s="335" t="str">
        <f>IF(MAXIFS('単価履歴'!$O:$O,'単価履歴'!$E:$E,E415,'単価履歴'!$F:$F,F415)=O415,"●","")</f>
        <v/>
      </c>
      <c r="O415" s="346">
        <v>45685.37351851852</v>
      </c>
      <c r="P415" s="334" t="str">
        <f t="shared" si="4"/>
        <v>大同特殊鋼:JSE/岐阜＠1.5ＨＳ１(単体H1/電特A/HS))</v>
      </c>
    </row>
    <row r="416" ht="15.75" customHeight="1">
      <c r="A416" s="335" t="s">
        <v>1615</v>
      </c>
      <c r="B416" s="336">
        <v>45685.0</v>
      </c>
      <c r="C416" s="335" t="s">
        <v>537</v>
      </c>
      <c r="D416" s="335" t="s">
        <v>1410</v>
      </c>
      <c r="E416" s="337" t="str">
        <f t="shared" si="1"/>
        <v>大同特殊鋼:JSE/岐阜＠1.5</v>
      </c>
      <c r="F416" s="338" t="s">
        <v>116</v>
      </c>
      <c r="G416" s="339" t="str">
        <f t="shared" si="2"/>
        <v>大同特殊鋼:JSE/岐阜＠1.5Ｈ２(特級)</v>
      </c>
      <c r="H416" s="340">
        <f t="shared" si="3"/>
        <v>37.5</v>
      </c>
      <c r="I416" s="341">
        <v>-0.5</v>
      </c>
      <c r="J416" s="332">
        <f>IFERROR(__xludf.DUMMYFUNCTION("IF(IF(COUNTIF(P$2:P415, P416)=0, """", INDEX(H$2:H415,
MAX(FILTER(ROW(H$2:H415) - ROW(H$2) + 1, P$2:P415 = P416))))=""単価"","""",
IF(COUNTIF(P$2:P415, P416)=0, """", INDEX(H$2:H415,
MAX(FILTER(ROW(H$2:H415) - ROW(H$2) + 1, P$2:P415 = P416)))))"),38.0)</f>
        <v>38</v>
      </c>
      <c r="N416" s="335" t="str">
        <f>IF(MAXIFS('単価履歴'!$O:$O,'単価履歴'!$E:$E,E416,'単価履歴'!$F:$F,F416)=O416,"●","")</f>
        <v/>
      </c>
      <c r="O416" s="346">
        <v>45685.37351851852</v>
      </c>
      <c r="P416" s="334" t="str">
        <f t="shared" si="4"/>
        <v>大同特殊鋼:JSE/岐阜＠1.5Ｈ２(特級)</v>
      </c>
    </row>
    <row r="417" ht="15.75" customHeight="1">
      <c r="A417" s="335" t="s">
        <v>1616</v>
      </c>
      <c r="B417" s="336">
        <v>45685.0</v>
      </c>
      <c r="C417" s="335" t="s">
        <v>537</v>
      </c>
      <c r="D417" s="335" t="s">
        <v>1410</v>
      </c>
      <c r="E417" s="337" t="str">
        <f t="shared" si="1"/>
        <v>大同特殊鋼:JSE/岐阜＠1.5</v>
      </c>
      <c r="F417" s="338" t="s">
        <v>575</v>
      </c>
      <c r="G417" s="339" t="str">
        <f t="shared" si="2"/>
        <v>大同特殊鋼:JSE/岐阜＠1.5鋼ダライＡ</v>
      </c>
      <c r="H417" s="340">
        <f t="shared" si="3"/>
        <v>36.3</v>
      </c>
      <c r="I417" s="341">
        <v>-0.5</v>
      </c>
      <c r="J417" s="332">
        <f>IFERROR(__xludf.DUMMYFUNCTION("IF(IF(COUNTIF(P$2:P416, P417)=0, """", INDEX(H$2:H416,
MAX(FILTER(ROW(H$2:H416) - ROW(H$2) + 1, P$2:P416 = P417))))=""単価"","""",
IF(COUNTIF(P$2:P416, P417)=0, """", INDEX(H$2:H416,
MAX(FILTER(ROW(H$2:H416) - ROW(H$2) + 1, P$2:P416 = P417)))))"),36.8)</f>
        <v>36.8</v>
      </c>
      <c r="N417" s="335" t="str">
        <f>IF(MAXIFS('単価履歴'!$O:$O,'単価履歴'!$E:$E,E417,'単価履歴'!$F:$F,F417)=O417,"●","")</f>
        <v/>
      </c>
      <c r="O417" s="346">
        <v>45685.37351851852</v>
      </c>
      <c r="P417" s="334" t="str">
        <f t="shared" si="4"/>
        <v>大同特殊鋼:JSE/岐阜＠1.5鋼ダライＡ</v>
      </c>
    </row>
    <row r="418" ht="15.75" customHeight="1">
      <c r="A418" s="335" t="s">
        <v>1617</v>
      </c>
      <c r="B418" s="336">
        <v>45685.0</v>
      </c>
      <c r="C418" s="335" t="s">
        <v>19</v>
      </c>
      <c r="D418" s="335" t="s">
        <v>61</v>
      </c>
      <c r="E418" s="337" t="str">
        <f t="shared" si="1"/>
        <v>トピー工業:ＭＭ</v>
      </c>
      <c r="F418" s="338" t="s">
        <v>116</v>
      </c>
      <c r="G418" s="339" t="str">
        <f t="shared" si="2"/>
        <v>トピー工業:ＭＭＨ２(特級)</v>
      </c>
      <c r="H418" s="340">
        <f t="shared" si="3"/>
        <v>34.5</v>
      </c>
      <c r="I418" s="341">
        <v>-0.5</v>
      </c>
      <c r="J418" s="332">
        <f>IFERROR(__xludf.DUMMYFUNCTION("IF(IF(COUNTIF(P$2:P417, P418)=0, """", INDEX(H$2:H417,
MAX(FILTER(ROW(H$2:H417) - ROW(H$2) + 1, P$2:P417 = P418))))=""単価"","""",
IF(COUNTIF(P$2:P417, P418)=0, """", INDEX(H$2:H417,
MAX(FILTER(ROW(H$2:H417) - ROW(H$2) + 1, P$2:P417 = P418)))))"),35.0)</f>
        <v>35</v>
      </c>
      <c r="N418" s="335" t="str">
        <f>IF(MAXIFS('単価履歴'!$O:$O,'単価履歴'!$E:$E,E418,'単価履歴'!$F:$F,F418)=O418,"●","")</f>
        <v/>
      </c>
      <c r="O418" s="346">
        <v>45685.37465277778</v>
      </c>
      <c r="P418" s="334" t="str">
        <f t="shared" si="4"/>
        <v>トピー工業:ＭＭＨ２(特級)</v>
      </c>
    </row>
    <row r="419" ht="15.75" customHeight="1">
      <c r="A419" s="335" t="s">
        <v>1618</v>
      </c>
      <c r="B419" s="336">
        <v>45685.0</v>
      </c>
      <c r="C419" s="335" t="s">
        <v>17</v>
      </c>
      <c r="D419" s="335" t="s">
        <v>562</v>
      </c>
      <c r="E419" s="337" t="str">
        <f t="shared" si="1"/>
        <v>RTA:栗東置場単価</v>
      </c>
      <c r="F419" s="338" t="s">
        <v>575</v>
      </c>
      <c r="G419" s="339" t="str">
        <f t="shared" si="2"/>
        <v>RTA:栗東置場単価鋼ダライＡ</v>
      </c>
      <c r="H419" s="340">
        <f t="shared" si="3"/>
        <v>37</v>
      </c>
      <c r="I419" s="341">
        <v>-0.5</v>
      </c>
      <c r="J419" s="332">
        <f>IFERROR(__xludf.DUMMYFUNCTION("IF(IF(COUNTIF(P$2:P418, P419)=0, """", INDEX(H$2:H418,
MAX(FILTER(ROW(H$2:H418) - ROW(H$2) + 1, P$2:P418 = P419))))=""単価"","""",
IF(COUNTIF(P$2:P418, P419)=0, """", INDEX(H$2:H418,
MAX(FILTER(ROW(H$2:H418) - ROW(H$2) + 1, P$2:P418 = P419)))))"),37.5)</f>
        <v>37.5</v>
      </c>
      <c r="N419" s="335" t="str">
        <f>IF(MAXIFS('単価履歴'!$O:$O,'単価履歴'!$E:$E,E419,'単価履歴'!$F:$F,F419)=O419,"●","")</f>
        <v>●</v>
      </c>
      <c r="O419" s="346">
        <v>45685.37513888889</v>
      </c>
      <c r="P419" s="334" t="str">
        <f t="shared" si="4"/>
        <v>RTA:栗東置場単価鋼ダライＡ</v>
      </c>
    </row>
    <row r="420" ht="15.75" customHeight="1">
      <c r="A420" s="335" t="s">
        <v>1619</v>
      </c>
      <c r="B420" s="336">
        <v>45685.0</v>
      </c>
      <c r="C420" s="335" t="s">
        <v>17</v>
      </c>
      <c r="D420" s="335" t="s">
        <v>563</v>
      </c>
      <c r="E420" s="337" t="str">
        <f t="shared" si="1"/>
        <v>RTA:第二置場単価</v>
      </c>
      <c r="F420" s="338" t="s">
        <v>575</v>
      </c>
      <c r="G420" s="339" t="str">
        <f t="shared" si="2"/>
        <v>RTA:第二置場単価鋼ダライＡ</v>
      </c>
      <c r="H420" s="340">
        <f t="shared" si="3"/>
        <v>37</v>
      </c>
      <c r="I420" s="341">
        <v>-0.5</v>
      </c>
      <c r="J420" s="332">
        <f>IFERROR(__xludf.DUMMYFUNCTION("IF(IF(COUNTIF(P$2:P419, P420)=0, """", INDEX(H$2:H419,
MAX(FILTER(ROW(H$2:H419) - ROW(H$2) + 1, P$2:P419 = P420))))=""単価"","""",
IF(COUNTIF(P$2:P419, P420)=0, """", INDEX(H$2:H419,
MAX(FILTER(ROW(H$2:H419) - ROW(H$2) + 1, P$2:P419 = P420)))))"),37.5)</f>
        <v>37.5</v>
      </c>
      <c r="N420" s="335" t="str">
        <f>IF(MAXIFS('単価履歴'!$O:$O,'単価履歴'!$E:$E,E420,'単価履歴'!$F:$F,F420)=O420,"●","")</f>
        <v/>
      </c>
      <c r="O420" s="346">
        <v>45685.37513888889</v>
      </c>
      <c r="P420" s="334" t="str">
        <f t="shared" si="4"/>
        <v>RTA:第二置場単価鋼ダライＡ</v>
      </c>
    </row>
    <row r="421" ht="15.75" customHeight="1">
      <c r="A421" s="335" t="s">
        <v>1620</v>
      </c>
      <c r="B421" s="336">
        <v>45685.0</v>
      </c>
      <c r="C421" s="335" t="s">
        <v>37</v>
      </c>
      <c r="D421" s="335" t="s">
        <v>48</v>
      </c>
      <c r="E421" s="337" t="str">
        <f t="shared" si="1"/>
        <v>共英名古屋:ナベ</v>
      </c>
      <c r="F421" s="338" t="s">
        <v>111</v>
      </c>
      <c r="G421" s="339" t="str">
        <f t="shared" si="2"/>
        <v>共英名古屋:ナベＨ１(特A)</v>
      </c>
      <c r="H421" s="340">
        <f t="shared" si="3"/>
        <v>41.7</v>
      </c>
      <c r="I421" s="341">
        <v>-0.5</v>
      </c>
      <c r="J421" s="332">
        <f>IFERROR(__xludf.DUMMYFUNCTION("IF(IF(COUNTIF(P$2:P420, P421)=0, """", INDEX(H$2:H420,
MAX(FILTER(ROW(H$2:H420) - ROW(H$2) + 1, P$2:P420 = P421))))=""単価"","""",
IF(COUNTIF(P$2:P420, P421)=0, """", INDEX(H$2:H420,
MAX(FILTER(ROW(H$2:H420) - ROW(H$2) + 1, P$2:P420 = P421)))))"),42.2)</f>
        <v>42.2</v>
      </c>
      <c r="N421" s="335" t="str">
        <f>IF(MAXIFS('単価履歴'!$O:$O,'単価履歴'!$E:$E,E421,'単価履歴'!$F:$F,F421)=O421,"●","")</f>
        <v/>
      </c>
      <c r="O421" s="346">
        <v>45685.375706018516</v>
      </c>
      <c r="P421" s="334" t="str">
        <f t="shared" si="4"/>
        <v>共英名古屋:ナベＨ１(特A)</v>
      </c>
    </row>
    <row r="422" ht="15.75" customHeight="1">
      <c r="A422" s="335" t="s">
        <v>1621</v>
      </c>
      <c r="B422" s="336">
        <v>45685.0</v>
      </c>
      <c r="C422" s="335" t="s">
        <v>37</v>
      </c>
      <c r="D422" s="335" t="s">
        <v>48</v>
      </c>
      <c r="E422" s="337" t="str">
        <f t="shared" si="1"/>
        <v>共英名古屋:ナベ</v>
      </c>
      <c r="F422" s="338" t="s">
        <v>116</v>
      </c>
      <c r="G422" s="339" t="str">
        <f t="shared" si="2"/>
        <v>共英名古屋:ナベＨ２(特級)</v>
      </c>
      <c r="H422" s="340">
        <f t="shared" si="3"/>
        <v>39</v>
      </c>
      <c r="I422" s="341">
        <v>-0.5</v>
      </c>
      <c r="J422" s="332">
        <f>IFERROR(__xludf.DUMMYFUNCTION("IF(IF(COUNTIF(P$2:P421, P422)=0, """", INDEX(H$2:H421,
MAX(FILTER(ROW(H$2:H421) - ROW(H$2) + 1, P$2:P421 = P422))))=""単価"","""",
IF(COUNTIF(P$2:P421, P422)=0, """", INDEX(H$2:H421,
MAX(FILTER(ROW(H$2:H421) - ROW(H$2) + 1, P$2:P421 = P422)))))"),39.5)</f>
        <v>39.5</v>
      </c>
      <c r="N422" s="335" t="str">
        <f>IF(MAXIFS('単価履歴'!$O:$O,'単価履歴'!$E:$E,E422,'単価履歴'!$F:$F,F422)=O422,"●","")</f>
        <v/>
      </c>
      <c r="O422" s="346">
        <v>45685.375706018516</v>
      </c>
      <c r="P422" s="334" t="str">
        <f t="shared" si="4"/>
        <v>共英名古屋:ナベＨ２(特級)</v>
      </c>
    </row>
    <row r="423" ht="15.75" customHeight="1">
      <c r="A423" s="335" t="s">
        <v>1622</v>
      </c>
      <c r="B423" s="336">
        <v>45685.0</v>
      </c>
      <c r="C423" s="335" t="s">
        <v>37</v>
      </c>
      <c r="D423" s="335" t="s">
        <v>48</v>
      </c>
      <c r="E423" s="337" t="str">
        <f t="shared" si="1"/>
        <v>共英名古屋:ナベ</v>
      </c>
      <c r="F423" s="338" t="s">
        <v>119</v>
      </c>
      <c r="G423" s="339" t="str">
        <f t="shared" si="2"/>
        <v>共英名古屋:ナベＨ３(1級)</v>
      </c>
      <c r="H423" s="340">
        <f t="shared" si="3"/>
        <v>38</v>
      </c>
      <c r="I423" s="341">
        <v>-0.5</v>
      </c>
      <c r="J423" s="332">
        <f>IFERROR(__xludf.DUMMYFUNCTION("IF(IF(COUNTIF(P$2:P422, P423)=0, """", INDEX(H$2:H422,
MAX(FILTER(ROW(H$2:H422) - ROW(H$2) + 1, P$2:P422 = P423))))=""単価"","""",
IF(COUNTIF(P$2:P422, P423)=0, """", INDEX(H$2:H422,
MAX(FILTER(ROW(H$2:H422) - ROW(H$2) + 1, P$2:P422 = P423)))))"),38.5)</f>
        <v>38.5</v>
      </c>
      <c r="N423" s="335" t="str">
        <f>IF(MAXIFS('単価履歴'!$O:$O,'単価履歴'!$E:$E,E423,'単価履歴'!$F:$F,F423)=O423,"●","")</f>
        <v/>
      </c>
      <c r="O423" s="346">
        <v>45685.375706018516</v>
      </c>
      <c r="P423" s="334" t="str">
        <f t="shared" si="4"/>
        <v>共英名古屋:ナベＨ３(1級)</v>
      </c>
    </row>
    <row r="424" ht="15.75" customHeight="1">
      <c r="A424" s="335" t="s">
        <v>1623</v>
      </c>
      <c r="B424" s="336">
        <v>45685.0</v>
      </c>
      <c r="C424" s="335" t="s">
        <v>37</v>
      </c>
      <c r="D424" s="335" t="s">
        <v>48</v>
      </c>
      <c r="E424" s="337" t="str">
        <f t="shared" si="1"/>
        <v>共英名古屋:ナベ</v>
      </c>
      <c r="F424" s="338" t="s">
        <v>122</v>
      </c>
      <c r="G424" s="339" t="str">
        <f t="shared" si="2"/>
        <v>共英名古屋:ナベＬ１(2級)</v>
      </c>
      <c r="H424" s="340">
        <f t="shared" si="3"/>
        <v>35</v>
      </c>
      <c r="I424" s="341">
        <v>-0.5</v>
      </c>
      <c r="J424" s="332">
        <f>IFERROR(__xludf.DUMMYFUNCTION("IF(IF(COUNTIF(P$2:P423, P424)=0, """", INDEX(H$2:H423,
MAX(FILTER(ROW(H$2:H423) - ROW(H$2) + 1, P$2:P423 = P424))))=""単価"","""",
IF(COUNTIF(P$2:P423, P424)=0, """", INDEX(H$2:H423,
MAX(FILTER(ROW(H$2:H423) - ROW(H$2) + 1, P$2:P423 = P424)))))"),35.5)</f>
        <v>35.5</v>
      </c>
      <c r="N424" s="335" t="str">
        <f>IF(MAXIFS('単価履歴'!$O:$O,'単価履歴'!$E:$E,E424,'単価履歴'!$F:$F,F424)=O424,"●","")</f>
        <v/>
      </c>
      <c r="O424" s="346">
        <v>45685.375706018516</v>
      </c>
      <c r="P424" s="334" t="str">
        <f t="shared" si="4"/>
        <v>共英名古屋:ナベＬ１(2級)</v>
      </c>
    </row>
    <row r="425" ht="15.75" customHeight="1">
      <c r="A425" s="335" t="s">
        <v>1624</v>
      </c>
      <c r="B425" s="336">
        <v>45686.0</v>
      </c>
      <c r="C425" s="335" t="s">
        <v>15</v>
      </c>
      <c r="D425" s="335" t="s">
        <v>58</v>
      </c>
      <c r="E425" s="337" t="str">
        <f t="shared" si="1"/>
        <v>山口鋼業:MM建材</v>
      </c>
      <c r="F425" s="338" t="s">
        <v>139</v>
      </c>
      <c r="G425" s="339" t="str">
        <f t="shared" si="2"/>
        <v>山口鋼業:MM建材鋳物</v>
      </c>
      <c r="H425" s="340">
        <f t="shared" si="3"/>
        <v>-1</v>
      </c>
      <c r="I425" s="341">
        <v>-0.5</v>
      </c>
      <c r="J425" s="332">
        <f>IFERROR(__xludf.DUMMYFUNCTION("IF(IF(COUNTIF(P$2:P424, P425)=0, """", INDEX(H$2:H424,
MAX(FILTER(ROW(H$2:H424) - ROW(H$2) + 1, P$2:P424 = P425))))=""単価"","""",
IF(COUNTIF(P$2:P424, P425)=0, """", INDEX(H$2:H424,
MAX(FILTER(ROW(H$2:H424) - ROW(H$2) + 1, P$2:P424 = P425)))))"),-0.5)</f>
        <v>-0.5</v>
      </c>
      <c r="N425" s="335" t="str">
        <f>IF(MAXIFS('単価履歴'!$O:$O,'単価履歴'!$E:$E,E425,'単価履歴'!$F:$F,F425)=O425,"●","")</f>
        <v>●</v>
      </c>
      <c r="O425" s="346">
        <v>45686.281435185185</v>
      </c>
      <c r="P425" s="334" t="str">
        <f t="shared" si="4"/>
        <v>山口鋼業:MM建材鋳物</v>
      </c>
    </row>
    <row r="426" ht="15.75" customHeight="1">
      <c r="A426" s="335" t="s">
        <v>1625</v>
      </c>
      <c r="B426" s="336">
        <v>45686.0</v>
      </c>
      <c r="C426" s="335" t="s">
        <v>15</v>
      </c>
      <c r="D426" s="335" t="s">
        <v>58</v>
      </c>
      <c r="E426" s="337" t="str">
        <f t="shared" si="1"/>
        <v>山口鋼業:MM建材</v>
      </c>
      <c r="F426" s="338" t="s">
        <v>577</v>
      </c>
      <c r="G426" s="339" t="str">
        <f t="shared" si="2"/>
        <v>山口鋼業:MM建材鋳物・ﾀﾞｸﾀｲﾙ</v>
      </c>
      <c r="H426" s="340">
        <f t="shared" si="3"/>
        <v>38.5</v>
      </c>
      <c r="I426" s="341">
        <v>-0.5</v>
      </c>
      <c r="J426" s="332">
        <f>IFERROR(__xludf.DUMMYFUNCTION("IF(IF(COUNTIF(P$2:P425, P426)=0, """", INDEX(H$2:H425,
MAX(FILTER(ROW(H$2:H425) - ROW(H$2) + 1, P$2:P425 = P426))))=""単価"","""",
IF(COUNTIF(P$2:P425, P426)=0, """", INDEX(H$2:H425,
MAX(FILTER(ROW(H$2:H425) - ROW(H$2) + 1, P$2:P425 = P426)))))"),39.0)</f>
        <v>39</v>
      </c>
      <c r="N426" s="335" t="str">
        <f>IF(MAXIFS('単価履歴'!$O:$O,'単価履歴'!$E:$E,E426,'単価履歴'!$F:$F,F426)=O426,"●","")</f>
        <v/>
      </c>
      <c r="O426" s="346">
        <v>45686.356840277775</v>
      </c>
      <c r="P426" s="334" t="str">
        <f t="shared" si="4"/>
        <v>山口鋼業:MM建材鋳物・ﾀﾞｸﾀｲﾙ</v>
      </c>
    </row>
    <row r="427" ht="15.75" customHeight="1">
      <c r="A427" s="335" t="s">
        <v>1626</v>
      </c>
      <c r="B427" s="336">
        <v>45687.0</v>
      </c>
      <c r="C427" s="335" t="s">
        <v>5</v>
      </c>
      <c r="D427" s="335" t="s">
        <v>46</v>
      </c>
      <c r="E427" s="337" t="str">
        <f t="shared" si="1"/>
        <v>中山製鋼:阪和</v>
      </c>
      <c r="F427" s="338" t="s">
        <v>130</v>
      </c>
      <c r="G427" s="339" t="str">
        <f t="shared" si="2"/>
        <v>中山製鋼:阪和新断Ａ</v>
      </c>
      <c r="H427" s="340">
        <f t="shared" si="3"/>
        <v>45.3</v>
      </c>
      <c r="I427" s="341">
        <v>0.5</v>
      </c>
      <c r="J427" s="332">
        <f>IFERROR(__xludf.DUMMYFUNCTION("IF(IF(COUNTIF(P$2:P426, P427)=0, """", INDEX(H$2:H426,
MAX(FILTER(ROW(H$2:H426) - ROW(H$2) + 1, P$2:P426 = P427))))=""単価"","""",
IF(COUNTIF(P$2:P426, P427)=0, """", INDEX(H$2:H426,
MAX(FILTER(ROW(H$2:H426) - ROW(H$2) + 1, P$2:P426 = P427)))))"),44.8)</f>
        <v>44.8</v>
      </c>
      <c r="N427" s="335" t="str">
        <f>IF(MAXIFS('単価履歴'!$O:$O,'単価履歴'!$E:$E,E427,'単価履歴'!$F:$F,F427)=O427,"●","")</f>
        <v/>
      </c>
      <c r="O427" s="346">
        <v>45686.74884259259</v>
      </c>
      <c r="P427" s="334" t="str">
        <f t="shared" si="4"/>
        <v>中山製鋼:阪和新断Ａ</v>
      </c>
    </row>
    <row r="428" ht="15.75" customHeight="1">
      <c r="A428" s="335" t="s">
        <v>1627</v>
      </c>
      <c r="B428" s="336">
        <v>45687.0</v>
      </c>
      <c r="C428" s="335" t="s">
        <v>5</v>
      </c>
      <c r="D428" s="335" t="s">
        <v>46</v>
      </c>
      <c r="E428" s="337" t="str">
        <f t="shared" si="1"/>
        <v>中山製鋼:阪和</v>
      </c>
      <c r="F428" s="338" t="s">
        <v>131</v>
      </c>
      <c r="G428" s="339" t="str">
        <f t="shared" si="2"/>
        <v>中山製鋼:阪和新断Ｂ</v>
      </c>
      <c r="H428" s="340">
        <f t="shared" si="3"/>
        <v>44.3</v>
      </c>
      <c r="I428" s="341">
        <v>0.5</v>
      </c>
      <c r="J428" s="332">
        <f>IFERROR(__xludf.DUMMYFUNCTION("IF(IF(COUNTIF(P$2:P427, P428)=0, """", INDEX(H$2:H427,
MAX(FILTER(ROW(H$2:H427) - ROW(H$2) + 1, P$2:P427 = P428))))=""単価"","""",
IF(COUNTIF(P$2:P427, P428)=0, """", INDEX(H$2:H427,
MAX(FILTER(ROW(H$2:H427) - ROW(H$2) + 1, P$2:P427 = P428)))))"),43.8)</f>
        <v>43.8</v>
      </c>
      <c r="N428" s="335" t="str">
        <f>IF(MAXIFS('単価履歴'!$O:$O,'単価履歴'!$E:$E,E428,'単価履歴'!$F:$F,F428)=O428,"●","")</f>
        <v/>
      </c>
      <c r="O428" s="346">
        <v>45686.74884259259</v>
      </c>
      <c r="P428" s="334" t="str">
        <f t="shared" si="4"/>
        <v>中山製鋼:阪和新断Ｂ</v>
      </c>
    </row>
    <row r="429" ht="15.75" customHeight="1">
      <c r="A429" s="335" t="s">
        <v>1628</v>
      </c>
      <c r="B429" s="336">
        <v>45687.0</v>
      </c>
      <c r="C429" s="335" t="s">
        <v>5</v>
      </c>
      <c r="D429" s="335" t="s">
        <v>46</v>
      </c>
      <c r="E429" s="337" t="str">
        <f t="shared" si="1"/>
        <v>中山製鋼:阪和</v>
      </c>
      <c r="F429" s="338" t="s">
        <v>574</v>
      </c>
      <c r="G429" s="339" t="str">
        <f t="shared" si="2"/>
        <v>中山製鋼:阪和新断Ｃ</v>
      </c>
      <c r="H429" s="340">
        <f t="shared" si="3"/>
        <v>43.3</v>
      </c>
      <c r="I429" s="341">
        <v>0.5</v>
      </c>
      <c r="J429" s="332">
        <f>IFERROR(__xludf.DUMMYFUNCTION("IF(IF(COUNTIF(P$2:P428, P429)=0, """", INDEX(H$2:H428,
MAX(FILTER(ROW(H$2:H428) - ROW(H$2) + 1, P$2:P428 = P429))))=""単価"","""",
IF(COUNTIF(P$2:P428, P429)=0, """", INDEX(H$2:H428,
MAX(FILTER(ROW(H$2:H428) - ROW(H$2) + 1, P$2:P428 = P429)))))"),42.8)</f>
        <v>42.8</v>
      </c>
      <c r="N429" s="335" t="str">
        <f>IF(MAXIFS('単価履歴'!$O:$O,'単価履歴'!$E:$E,E429,'単価履歴'!$F:$F,F429)=O429,"●","")</f>
        <v/>
      </c>
      <c r="O429" s="346">
        <v>45686.74884259259</v>
      </c>
      <c r="P429" s="334" t="str">
        <f t="shared" si="4"/>
        <v>中山製鋼:阪和新断Ｃ</v>
      </c>
    </row>
    <row r="430" ht="15.75" customHeight="1">
      <c r="A430" s="335" t="s">
        <v>1629</v>
      </c>
      <c r="B430" s="336">
        <v>45687.0</v>
      </c>
      <c r="C430" s="335" t="s">
        <v>5</v>
      </c>
      <c r="D430" s="335" t="s">
        <v>47</v>
      </c>
      <c r="E430" s="337" t="str">
        <f t="shared" si="1"/>
        <v>中山製鋼:豊通</v>
      </c>
      <c r="F430" s="338" t="s">
        <v>130</v>
      </c>
      <c r="G430" s="339" t="str">
        <f t="shared" si="2"/>
        <v>中山製鋼:豊通新断Ａ</v>
      </c>
      <c r="H430" s="340">
        <f t="shared" si="3"/>
        <v>45.3</v>
      </c>
      <c r="I430" s="341">
        <v>0.5</v>
      </c>
      <c r="J430" s="332">
        <f>IFERROR(__xludf.DUMMYFUNCTION("IF(IF(COUNTIF(P$2:P429, P430)=0, """", INDEX(H$2:H429,
MAX(FILTER(ROW(H$2:H429) - ROW(H$2) + 1, P$2:P429 = P430))))=""単価"","""",
IF(COUNTIF(P$2:P429, P430)=0, """", INDEX(H$2:H429,
MAX(FILTER(ROW(H$2:H429) - ROW(H$2) + 1, P$2:P429 = P430)))))"),44.8)</f>
        <v>44.8</v>
      </c>
      <c r="N430" s="335" t="str">
        <f>IF(MAXIFS('単価履歴'!$O:$O,'単価履歴'!$E:$E,E430,'単価履歴'!$F:$F,F430)=O430,"●","")</f>
        <v/>
      </c>
      <c r="O430" s="346">
        <v>45686.74884259259</v>
      </c>
      <c r="P430" s="334" t="str">
        <f t="shared" si="4"/>
        <v>中山製鋼:豊通新断Ａ</v>
      </c>
    </row>
    <row r="431" ht="15.75" customHeight="1">
      <c r="A431" s="335" t="s">
        <v>1630</v>
      </c>
      <c r="B431" s="336">
        <v>45687.0</v>
      </c>
      <c r="C431" s="335" t="s">
        <v>5</v>
      </c>
      <c r="D431" s="335" t="s">
        <v>47</v>
      </c>
      <c r="E431" s="337" t="str">
        <f t="shared" si="1"/>
        <v>中山製鋼:豊通</v>
      </c>
      <c r="F431" s="338" t="s">
        <v>131</v>
      </c>
      <c r="G431" s="339" t="str">
        <f t="shared" si="2"/>
        <v>中山製鋼:豊通新断Ｂ</v>
      </c>
      <c r="H431" s="340">
        <f t="shared" si="3"/>
        <v>44.3</v>
      </c>
      <c r="I431" s="341">
        <v>0.5</v>
      </c>
      <c r="J431" s="332">
        <f>IFERROR(__xludf.DUMMYFUNCTION("IF(IF(COUNTIF(P$2:P430, P431)=0, """", INDEX(H$2:H430,
MAX(FILTER(ROW(H$2:H430) - ROW(H$2) + 1, P$2:P430 = P431))))=""単価"","""",
IF(COUNTIF(P$2:P430, P431)=0, """", INDEX(H$2:H430,
MAX(FILTER(ROW(H$2:H430) - ROW(H$2) + 1, P$2:P430 = P431)))))"),43.8)</f>
        <v>43.8</v>
      </c>
      <c r="N431" s="335" t="str">
        <f>IF(MAXIFS('単価履歴'!$O:$O,'単価履歴'!$E:$E,E431,'単価履歴'!$F:$F,F431)=O431,"●","")</f>
        <v/>
      </c>
      <c r="O431" s="346">
        <v>45686.74884259259</v>
      </c>
      <c r="P431" s="334" t="str">
        <f t="shared" si="4"/>
        <v>中山製鋼:豊通新断Ｂ</v>
      </c>
    </row>
    <row r="432" ht="15.75" customHeight="1">
      <c r="A432" s="335" t="s">
        <v>1631</v>
      </c>
      <c r="B432" s="336">
        <v>45687.0</v>
      </c>
      <c r="C432" s="335" t="s">
        <v>5</v>
      </c>
      <c r="D432" s="335" t="s">
        <v>47</v>
      </c>
      <c r="E432" s="337" t="str">
        <f t="shared" si="1"/>
        <v>中山製鋼:豊通</v>
      </c>
      <c r="F432" s="338" t="s">
        <v>574</v>
      </c>
      <c r="G432" s="339" t="str">
        <f t="shared" si="2"/>
        <v>中山製鋼:豊通新断Ｃ</v>
      </c>
      <c r="H432" s="340">
        <f t="shared" si="3"/>
        <v>43.3</v>
      </c>
      <c r="I432" s="341">
        <v>0.5</v>
      </c>
      <c r="J432" s="332">
        <f>IFERROR(__xludf.DUMMYFUNCTION("IF(IF(COUNTIF(P$2:P431, P432)=0, """", INDEX(H$2:H431,
MAX(FILTER(ROW(H$2:H431) - ROW(H$2) + 1, P$2:P431 = P432))))=""単価"","""",
IF(COUNTIF(P$2:P431, P432)=0, """", INDEX(H$2:H431,
MAX(FILTER(ROW(H$2:H431) - ROW(H$2) + 1, P$2:P431 = P432)))))"),42.8)</f>
        <v>42.8</v>
      </c>
      <c r="N432" s="335" t="str">
        <f>IF(MAXIFS('単価履歴'!$O:$O,'単価履歴'!$E:$E,E432,'単価履歴'!$F:$F,F432)=O432,"●","")</f>
        <v/>
      </c>
      <c r="O432" s="346">
        <v>45686.74884259259</v>
      </c>
      <c r="P432" s="334" t="str">
        <f t="shared" si="4"/>
        <v>中山製鋼:豊通新断Ｃ</v>
      </c>
    </row>
    <row r="433" ht="15.75" customHeight="1">
      <c r="A433" s="335" t="s">
        <v>1632</v>
      </c>
      <c r="B433" s="336">
        <v>45687.0</v>
      </c>
      <c r="C433" s="335" t="s">
        <v>5</v>
      </c>
      <c r="D433" s="335" t="s">
        <v>1232</v>
      </c>
      <c r="E433" s="337" t="str">
        <f t="shared" si="1"/>
        <v>中山製鋼:豊通/出張商店</v>
      </c>
      <c r="F433" s="338" t="s">
        <v>130</v>
      </c>
      <c r="G433" s="339" t="str">
        <f t="shared" si="2"/>
        <v>中山製鋼:豊通/出張商店新断Ａ</v>
      </c>
      <c r="H433" s="340">
        <f t="shared" si="3"/>
        <v>44.3</v>
      </c>
      <c r="I433" s="341">
        <v>0.5</v>
      </c>
      <c r="J433" s="332">
        <f>IFERROR(__xludf.DUMMYFUNCTION("IF(IF(COUNTIF(P$2:P432, P433)=0, """", INDEX(H$2:H432,
MAX(FILTER(ROW(H$2:H432) - ROW(H$2) + 1, P$2:P432 = P433))))=""単価"","""",
IF(COUNTIF(P$2:P432, P433)=0, """", INDEX(H$2:H432,
MAX(FILTER(ROW(H$2:H432) - ROW(H$2) + 1, P$2:P432 = P433)))))"),43.8)</f>
        <v>43.8</v>
      </c>
      <c r="N433" s="335" t="str">
        <f>IF(MAXIFS('単価履歴'!$O:$O,'単価履歴'!$E:$E,E433,'単価履歴'!$F:$F,F433)=O433,"●","")</f>
        <v/>
      </c>
      <c r="O433" s="346">
        <v>45686.75162037037</v>
      </c>
      <c r="P433" s="334" t="str">
        <f t="shared" si="4"/>
        <v>中山製鋼:豊通/出張商店新断Ａ</v>
      </c>
    </row>
    <row r="434" ht="15.75" customHeight="1">
      <c r="A434" s="335" t="s">
        <v>1633</v>
      </c>
      <c r="B434" s="336">
        <v>45687.0</v>
      </c>
      <c r="C434" s="335" t="s">
        <v>5</v>
      </c>
      <c r="D434" s="335" t="s">
        <v>1234</v>
      </c>
      <c r="E434" s="337" t="str">
        <f t="shared" si="1"/>
        <v>中山製鋼:豊通/中川嘉弘商店</v>
      </c>
      <c r="F434" s="338" t="s">
        <v>130</v>
      </c>
      <c r="G434" s="339" t="str">
        <f t="shared" si="2"/>
        <v>中山製鋼:豊通/中川嘉弘商店新断Ａ</v>
      </c>
      <c r="H434" s="340">
        <f t="shared" si="3"/>
        <v>42.3</v>
      </c>
      <c r="I434" s="341">
        <v>0.5</v>
      </c>
      <c r="J434" s="332">
        <f>IFERROR(__xludf.DUMMYFUNCTION("IF(IF(COUNTIF(P$2:P433, P434)=0, """", INDEX(H$2:H433,
MAX(FILTER(ROW(H$2:H433) - ROW(H$2) + 1, P$2:P433 = P434))))=""単価"","""",
IF(COUNTIF(P$2:P433, P434)=0, """", INDEX(H$2:H433,
MAX(FILTER(ROW(H$2:H433) - ROW(H$2) + 1, P$2:P433 = P434)))))"),41.8)</f>
        <v>41.8</v>
      </c>
      <c r="N434" s="335" t="str">
        <f>IF(MAXIFS('単価履歴'!$O:$O,'単価履歴'!$E:$E,E434,'単価履歴'!$F:$F,F434)=O434,"●","")</f>
        <v/>
      </c>
      <c r="O434" s="346">
        <v>45686.75162037037</v>
      </c>
      <c r="P434" s="334" t="str">
        <f t="shared" si="4"/>
        <v>中山製鋼:豊通/中川嘉弘商店新断Ａ</v>
      </c>
    </row>
    <row r="435" ht="15.75" customHeight="1">
      <c r="A435" s="335" t="s">
        <v>1634</v>
      </c>
      <c r="B435" s="336">
        <v>45687.0</v>
      </c>
      <c r="C435" s="335" t="s">
        <v>29</v>
      </c>
      <c r="D435" s="335" t="s">
        <v>50</v>
      </c>
      <c r="E435" s="337" t="str">
        <f t="shared" si="1"/>
        <v>南港:産振</v>
      </c>
      <c r="F435" s="338" t="s">
        <v>145</v>
      </c>
      <c r="G435" s="339" t="str">
        <f t="shared" si="2"/>
        <v>南港:産振シュレＡ</v>
      </c>
      <c r="H435" s="340">
        <f t="shared" si="3"/>
        <v>0</v>
      </c>
      <c r="I435" s="335">
        <v>0.0</v>
      </c>
      <c r="J435" s="332" t="str">
        <f>IFERROR(__xludf.DUMMYFUNCTION("IF(IF(COUNTIF(P$2:P434, P435)=0, """", INDEX(H$2:H434,
MAX(FILTER(ROW(H$2:H434) - ROW(H$2) + 1, P$2:P434 = P435))))=""単価"","""",
IF(COUNTIF(P$2:P434, P435)=0, """", INDEX(H$2:H434,
MAX(FILTER(ROW(H$2:H434) - ROW(H$2) + 1, P$2:P434 = P435)))))"),"")</f>
        <v/>
      </c>
      <c r="N435" s="335" t="str">
        <f>IF(MAXIFS('単価履歴'!$O:$O,'単価履歴'!$E:$E,E435,'単価履歴'!$F:$F,F435)=O435,"●","")</f>
        <v/>
      </c>
      <c r="O435" s="346">
        <v>45687.5399537037</v>
      </c>
      <c r="P435" s="334" t="str">
        <f t="shared" si="4"/>
        <v>南港:産振シュレＡ</v>
      </c>
    </row>
    <row r="436" ht="15.75" customHeight="1">
      <c r="A436" s="335" t="s">
        <v>1635</v>
      </c>
      <c r="B436" s="336">
        <v>45693.0</v>
      </c>
      <c r="C436" s="335" t="s">
        <v>5</v>
      </c>
      <c r="D436" s="335" t="s">
        <v>46</v>
      </c>
      <c r="E436" s="337" t="str">
        <f t="shared" si="1"/>
        <v>中山製鋼:阪和</v>
      </c>
      <c r="F436" s="338" t="s">
        <v>101</v>
      </c>
      <c r="G436" s="339" t="str">
        <f t="shared" si="2"/>
        <v>中山製鋼:阪和ＨＳ２</v>
      </c>
      <c r="H436" s="340">
        <f t="shared" si="3"/>
        <v>44.4</v>
      </c>
      <c r="I436" s="341">
        <v>0.5</v>
      </c>
      <c r="J436" s="332">
        <f>IFERROR(__xludf.DUMMYFUNCTION("IF(IF(COUNTIF(P$2:P435, P436)=0, """", INDEX(H$2:H435,
MAX(FILTER(ROW(H$2:H435) - ROW(H$2) + 1, P$2:P435 = P436))))=""単価"","""",
IF(COUNTIF(P$2:P435, P436)=0, """", INDEX(H$2:H435,
MAX(FILTER(ROW(H$2:H435) - ROW(H$2) + 1, P$2:P435 = P436)))))"),43.9)</f>
        <v>43.9</v>
      </c>
      <c r="N436" s="335" t="str">
        <f>IF(MAXIFS('単価履歴'!$O:$O,'単価履歴'!$E:$E,E436,'単価履歴'!$F:$F,F436)=O436,"●","")</f>
        <v/>
      </c>
      <c r="O436" s="346">
        <v>45692.73435185185</v>
      </c>
      <c r="P436" s="334" t="str">
        <f t="shared" si="4"/>
        <v>中山製鋼:阪和ＨＳ２</v>
      </c>
    </row>
    <row r="437" ht="15.75" customHeight="1">
      <c r="A437" s="335" t="s">
        <v>1636</v>
      </c>
      <c r="B437" s="336">
        <v>45693.0</v>
      </c>
      <c r="C437" s="335" t="s">
        <v>5</v>
      </c>
      <c r="D437" s="335" t="s">
        <v>46</v>
      </c>
      <c r="E437" s="337" t="str">
        <f t="shared" si="1"/>
        <v>中山製鋼:阪和</v>
      </c>
      <c r="F437" s="338" t="s">
        <v>108</v>
      </c>
      <c r="G437" s="339" t="str">
        <f t="shared" si="2"/>
        <v>中山製鋼:阪和Ｈ１/ｻﾑﾃｯｸ</v>
      </c>
      <c r="H437" s="340">
        <f t="shared" si="3"/>
        <v>0.5</v>
      </c>
      <c r="I437" s="341">
        <v>0.5</v>
      </c>
      <c r="J437" s="332" t="str">
        <f>IFERROR(__xludf.DUMMYFUNCTION("IF(IF(COUNTIF(P$2:P436, P437)=0, """", INDEX(H$2:H436,
MAX(FILTER(ROW(H$2:H436) - ROW(H$2) + 1, P$2:P436 = P437))))=""単価"","""",
IF(COUNTIF(P$2:P436, P437)=0, """", INDEX(H$2:H436,
MAX(FILTER(ROW(H$2:H436) - ROW(H$2) + 1, P$2:P436 = P437)))))"),"")</f>
        <v/>
      </c>
      <c r="N437" s="335" t="str">
        <f>IF(MAXIFS('単価履歴'!$O:$O,'単価履歴'!$E:$E,E437,'単価履歴'!$F:$F,F437)=O437,"●","")</f>
        <v/>
      </c>
      <c r="O437" s="346">
        <v>45692.73435185185</v>
      </c>
      <c r="P437" s="334" t="str">
        <f t="shared" si="4"/>
        <v>中山製鋼:阪和Ｈ１/ｻﾑﾃｯｸ</v>
      </c>
    </row>
    <row r="438" ht="15.75" customHeight="1">
      <c r="A438" s="335" t="s">
        <v>1637</v>
      </c>
      <c r="B438" s="336">
        <v>45693.0</v>
      </c>
      <c r="C438" s="335" t="s">
        <v>5</v>
      </c>
      <c r="D438" s="335" t="s">
        <v>46</v>
      </c>
      <c r="E438" s="337" t="str">
        <f t="shared" si="1"/>
        <v>中山製鋼:阪和</v>
      </c>
      <c r="F438" s="338" t="s">
        <v>111</v>
      </c>
      <c r="G438" s="339" t="str">
        <f t="shared" si="2"/>
        <v>中山製鋼:阪和Ｈ１(特A)</v>
      </c>
      <c r="H438" s="340">
        <f t="shared" si="3"/>
        <v>42</v>
      </c>
      <c r="I438" s="341">
        <v>0.5</v>
      </c>
      <c r="J438" s="332">
        <f>IFERROR(__xludf.DUMMYFUNCTION("IF(IF(COUNTIF(P$2:P437, P438)=0, """", INDEX(H$2:H437,
MAX(FILTER(ROW(H$2:H437) - ROW(H$2) + 1, P$2:P437 = P438))))=""単価"","""",
IF(COUNTIF(P$2:P437, P438)=0, """", INDEX(H$2:H437,
MAX(FILTER(ROW(H$2:H437) - ROW(H$2) + 1, P$2:P437 = P438)))))"),41.5)</f>
        <v>41.5</v>
      </c>
      <c r="N438" s="335" t="str">
        <f>IF(MAXIFS('単価履歴'!$O:$O,'単価履歴'!$E:$E,E438,'単価履歴'!$F:$F,F438)=O438,"●","")</f>
        <v/>
      </c>
      <c r="O438" s="346">
        <v>45692.73435185185</v>
      </c>
      <c r="P438" s="334" t="str">
        <f t="shared" si="4"/>
        <v>中山製鋼:阪和Ｈ１(特A)</v>
      </c>
    </row>
    <row r="439" ht="15.75" customHeight="1">
      <c r="A439" s="335" t="s">
        <v>1638</v>
      </c>
      <c r="B439" s="336">
        <v>45693.0</v>
      </c>
      <c r="C439" s="335" t="s">
        <v>5</v>
      </c>
      <c r="D439" s="335" t="s">
        <v>46</v>
      </c>
      <c r="E439" s="337" t="str">
        <f t="shared" si="1"/>
        <v>中山製鋼:阪和</v>
      </c>
      <c r="F439" s="338" t="s">
        <v>116</v>
      </c>
      <c r="G439" s="339" t="str">
        <f t="shared" si="2"/>
        <v>中山製鋼:阪和Ｈ２(特級)</v>
      </c>
      <c r="H439" s="340">
        <f t="shared" si="3"/>
        <v>32.3</v>
      </c>
      <c r="I439" s="341">
        <v>0.5</v>
      </c>
      <c r="J439" s="332">
        <f>IFERROR(__xludf.DUMMYFUNCTION("IF(IF(COUNTIF(P$2:P438, P439)=0, """", INDEX(H$2:H438,
MAX(FILTER(ROW(H$2:H438) - ROW(H$2) + 1, P$2:P438 = P439))))=""単価"","""",
IF(COUNTIF(P$2:P438, P439)=0, """", INDEX(H$2:H438,
MAX(FILTER(ROW(H$2:H438) - ROW(H$2) + 1, P$2:P438 = P439)))))"),31.799999999999997)</f>
        <v>31.8</v>
      </c>
      <c r="N439" s="335" t="str">
        <f>IF(MAXIFS('単価履歴'!$O:$O,'単価履歴'!$E:$E,E439,'単価履歴'!$F:$F,F439)=O439,"●","")</f>
        <v/>
      </c>
      <c r="O439" s="346">
        <v>45692.73435185185</v>
      </c>
      <c r="P439" s="334" t="str">
        <f t="shared" si="4"/>
        <v>中山製鋼:阪和Ｈ２(特級)</v>
      </c>
    </row>
    <row r="440" ht="15.75" customHeight="1">
      <c r="A440" s="335" t="s">
        <v>1639</v>
      </c>
      <c r="B440" s="336">
        <v>45693.0</v>
      </c>
      <c r="C440" s="335" t="s">
        <v>5</v>
      </c>
      <c r="D440" s="335" t="s">
        <v>46</v>
      </c>
      <c r="E440" s="337" t="str">
        <f t="shared" si="1"/>
        <v>中山製鋼:阪和</v>
      </c>
      <c r="F440" s="338" t="s">
        <v>119</v>
      </c>
      <c r="G440" s="339" t="str">
        <f t="shared" si="2"/>
        <v>中山製鋼:阪和Ｈ３(1級)</v>
      </c>
      <c r="H440" s="340">
        <f t="shared" si="3"/>
        <v>33.3</v>
      </c>
      <c r="I440" s="341">
        <v>0.5</v>
      </c>
      <c r="J440" s="332">
        <f>IFERROR(__xludf.DUMMYFUNCTION("IF(IF(COUNTIF(P$2:P439, P440)=0, """", INDEX(H$2:H439,
MAX(FILTER(ROW(H$2:H439) - ROW(H$2) + 1, P$2:P439 = P440))))=""単価"","""",
IF(COUNTIF(P$2:P439, P440)=0, """", INDEX(H$2:H439,
MAX(FILTER(ROW(H$2:H439) - ROW(H$2) + 1, P$2:P439 = P440)))))"),32.8)</f>
        <v>32.8</v>
      </c>
      <c r="N440" s="335" t="str">
        <f>IF(MAXIFS('単価履歴'!$O:$O,'単価履歴'!$E:$E,E440,'単価履歴'!$F:$F,F440)=O440,"●","")</f>
        <v/>
      </c>
      <c r="O440" s="346">
        <v>45692.73435185185</v>
      </c>
      <c r="P440" s="334" t="str">
        <f t="shared" si="4"/>
        <v>中山製鋼:阪和Ｈ３(1級)</v>
      </c>
    </row>
    <row r="441" ht="15.75" customHeight="1">
      <c r="A441" s="335" t="s">
        <v>1640</v>
      </c>
      <c r="B441" s="336">
        <v>45693.0</v>
      </c>
      <c r="C441" s="335" t="s">
        <v>5</v>
      </c>
      <c r="D441" s="335" t="s">
        <v>46</v>
      </c>
      <c r="E441" s="337" t="str">
        <f t="shared" si="1"/>
        <v>中山製鋼:阪和</v>
      </c>
      <c r="F441" s="338" t="s">
        <v>122</v>
      </c>
      <c r="G441" s="339" t="str">
        <f t="shared" si="2"/>
        <v>中山製鋼:阪和Ｌ１(2級)</v>
      </c>
      <c r="H441" s="340">
        <f t="shared" si="3"/>
        <v>26.8</v>
      </c>
      <c r="I441" s="341">
        <v>0.5</v>
      </c>
      <c r="J441" s="332">
        <f>IFERROR(__xludf.DUMMYFUNCTION("IF(IF(COUNTIF(P$2:P440, P441)=0, """", INDEX(H$2:H440,
MAX(FILTER(ROW(H$2:H440) - ROW(H$2) + 1, P$2:P440 = P441))))=""単価"","""",
IF(COUNTIF(P$2:P440, P441)=0, """", INDEX(H$2:H440,
MAX(FILTER(ROW(H$2:H440) - ROW(H$2) + 1, P$2:P440 = P441)))))"),26.3)</f>
        <v>26.3</v>
      </c>
      <c r="N441" s="335" t="str">
        <f>IF(MAXIFS('単価履歴'!$O:$O,'単価履歴'!$E:$E,E441,'単価履歴'!$F:$F,F441)=O441,"●","")</f>
        <v/>
      </c>
      <c r="O441" s="346">
        <v>45692.73435185185</v>
      </c>
      <c r="P441" s="334" t="str">
        <f t="shared" si="4"/>
        <v>中山製鋼:阪和Ｌ１(2級)</v>
      </c>
    </row>
    <row r="442" ht="15.75" customHeight="1">
      <c r="A442" s="335" t="s">
        <v>1641</v>
      </c>
      <c r="B442" s="336">
        <v>45693.0</v>
      </c>
      <c r="C442" s="335" t="s">
        <v>5</v>
      </c>
      <c r="D442" s="335" t="s">
        <v>46</v>
      </c>
      <c r="E442" s="337" t="str">
        <f t="shared" si="1"/>
        <v>中山製鋼:阪和</v>
      </c>
      <c r="F442" s="338" t="s">
        <v>130</v>
      </c>
      <c r="G442" s="339" t="str">
        <f t="shared" si="2"/>
        <v>中山製鋼:阪和新断Ａ</v>
      </c>
      <c r="H442" s="340">
        <f t="shared" si="3"/>
        <v>45.8</v>
      </c>
      <c r="I442" s="341">
        <v>0.5</v>
      </c>
      <c r="J442" s="332">
        <f>IFERROR(__xludf.DUMMYFUNCTION("IF(IF(COUNTIF(P$2:P441, P442)=0, """", INDEX(H$2:H441,
MAX(FILTER(ROW(H$2:H441) - ROW(H$2) + 1, P$2:P441 = P442))))=""単価"","""",
IF(COUNTIF(P$2:P441, P442)=0, """", INDEX(H$2:H441,
MAX(FILTER(ROW(H$2:H441) - ROW(H$2) + 1, P$2:P441 = P442)))))"),45.3)</f>
        <v>45.3</v>
      </c>
      <c r="N442" s="335" t="str">
        <f>IF(MAXIFS('単価履歴'!$O:$O,'単価履歴'!$E:$E,E442,'単価履歴'!$F:$F,F442)=O442,"●","")</f>
        <v/>
      </c>
      <c r="O442" s="346">
        <v>45692.73435185185</v>
      </c>
      <c r="P442" s="334" t="str">
        <f t="shared" si="4"/>
        <v>中山製鋼:阪和新断Ａ</v>
      </c>
    </row>
    <row r="443" ht="15.75" customHeight="1">
      <c r="A443" s="335" t="s">
        <v>1642</v>
      </c>
      <c r="B443" s="336">
        <v>45693.0</v>
      </c>
      <c r="C443" s="335" t="s">
        <v>5</v>
      </c>
      <c r="D443" s="335" t="s">
        <v>46</v>
      </c>
      <c r="E443" s="337" t="str">
        <f t="shared" si="1"/>
        <v>中山製鋼:阪和</v>
      </c>
      <c r="F443" s="338" t="s">
        <v>131</v>
      </c>
      <c r="G443" s="339" t="str">
        <f t="shared" si="2"/>
        <v>中山製鋼:阪和新断Ｂ</v>
      </c>
      <c r="H443" s="340">
        <f t="shared" si="3"/>
        <v>44.8</v>
      </c>
      <c r="I443" s="341">
        <v>0.5</v>
      </c>
      <c r="J443" s="332">
        <f>IFERROR(__xludf.DUMMYFUNCTION("IF(IF(COUNTIF(P$2:P442, P443)=0, """", INDEX(H$2:H442,
MAX(FILTER(ROW(H$2:H442) - ROW(H$2) + 1, P$2:P442 = P443))))=""単価"","""",
IF(COUNTIF(P$2:P442, P443)=0, """", INDEX(H$2:H442,
MAX(FILTER(ROW(H$2:H442) - ROW(H$2) + 1, P$2:P442 = P443)))))"),44.3)</f>
        <v>44.3</v>
      </c>
      <c r="N443" s="335" t="str">
        <f>IF(MAXIFS('単価履歴'!$O:$O,'単価履歴'!$E:$E,E443,'単価履歴'!$F:$F,F443)=O443,"●","")</f>
        <v/>
      </c>
      <c r="O443" s="346">
        <v>45692.73435185185</v>
      </c>
      <c r="P443" s="334" t="str">
        <f t="shared" si="4"/>
        <v>中山製鋼:阪和新断Ｂ</v>
      </c>
    </row>
    <row r="444" ht="15.75" customHeight="1">
      <c r="A444" s="335" t="s">
        <v>1643</v>
      </c>
      <c r="B444" s="336">
        <v>45693.0</v>
      </c>
      <c r="C444" s="335" t="s">
        <v>5</v>
      </c>
      <c r="D444" s="335" t="s">
        <v>46</v>
      </c>
      <c r="E444" s="337" t="str">
        <f t="shared" si="1"/>
        <v>中山製鋼:阪和</v>
      </c>
      <c r="F444" s="338" t="s">
        <v>574</v>
      </c>
      <c r="G444" s="339" t="str">
        <f t="shared" si="2"/>
        <v>中山製鋼:阪和新断Ｃ</v>
      </c>
      <c r="H444" s="340">
        <f t="shared" si="3"/>
        <v>43.8</v>
      </c>
      <c r="I444" s="341">
        <v>0.5</v>
      </c>
      <c r="J444" s="332">
        <f>IFERROR(__xludf.DUMMYFUNCTION("IF(IF(COUNTIF(P$2:P443, P444)=0, """", INDEX(H$2:H443,
MAX(FILTER(ROW(H$2:H443) - ROW(H$2) + 1, P$2:P443 = P444))))=""単価"","""",
IF(COUNTIF(P$2:P443, P444)=0, """", INDEX(H$2:H443,
MAX(FILTER(ROW(H$2:H443) - ROW(H$2) + 1, P$2:P443 = P444)))))"),43.3)</f>
        <v>43.3</v>
      </c>
      <c r="N444" s="335" t="str">
        <f>IF(MAXIFS('単価履歴'!$O:$O,'単価履歴'!$E:$E,E444,'単価履歴'!$F:$F,F444)=O444,"●","")</f>
        <v/>
      </c>
      <c r="O444" s="346">
        <v>45692.73435185185</v>
      </c>
      <c r="P444" s="334" t="str">
        <f t="shared" si="4"/>
        <v>中山製鋼:阪和新断Ｃ</v>
      </c>
    </row>
    <row r="445" ht="15.75" customHeight="1">
      <c r="A445" s="335" t="s">
        <v>1644</v>
      </c>
      <c r="B445" s="336">
        <v>45693.0</v>
      </c>
      <c r="C445" s="335" t="s">
        <v>5</v>
      </c>
      <c r="D445" s="335" t="s">
        <v>46</v>
      </c>
      <c r="E445" s="337" t="str">
        <f t="shared" si="1"/>
        <v>中山製鋼:阪和</v>
      </c>
      <c r="F445" s="338" t="s">
        <v>1199</v>
      </c>
      <c r="G445" s="339" t="str">
        <f t="shared" si="2"/>
        <v>中山製鋼:阪和ＨＳ１(単体H1/電特A/HS))</v>
      </c>
      <c r="H445" s="340">
        <f t="shared" si="3"/>
        <v>0.5</v>
      </c>
      <c r="I445" s="341">
        <v>0.5</v>
      </c>
      <c r="J445" s="332">
        <f>IFERROR(__xludf.DUMMYFUNCTION("IF(IF(COUNTIF(P$2:P444, P445)=0, """", INDEX(H$2:H444,
MAX(FILTER(ROW(H$2:H444) - ROW(H$2) + 1, P$2:P444 = P445))))=""単価"","""",
IF(COUNTIF(P$2:P444, P445)=0, """", INDEX(H$2:H444,
MAX(FILTER(ROW(H$2:H444) - ROW(H$2) + 1, P$2:P444 = P445)))))"),0.0)</f>
        <v>0</v>
      </c>
      <c r="N445" s="335" t="str">
        <f>IF(MAXIFS('単価履歴'!$O:$O,'単価履歴'!$E:$E,E445,'単価履歴'!$F:$F,F445)=O445,"●","")</f>
        <v/>
      </c>
      <c r="O445" s="346">
        <v>45692.73435185185</v>
      </c>
      <c r="P445" s="334" t="str">
        <f t="shared" si="4"/>
        <v>中山製鋼:阪和ＨＳ１(単体H1/電特A/HS))</v>
      </c>
    </row>
    <row r="446" ht="15.75" customHeight="1">
      <c r="A446" s="335" t="s">
        <v>1645</v>
      </c>
      <c r="B446" s="336">
        <v>45693.0</v>
      </c>
      <c r="C446" s="335" t="s">
        <v>5</v>
      </c>
      <c r="D446" s="335" t="s">
        <v>47</v>
      </c>
      <c r="E446" s="337" t="str">
        <f t="shared" si="1"/>
        <v>中山製鋼:豊通</v>
      </c>
      <c r="F446" s="338" t="s">
        <v>101</v>
      </c>
      <c r="G446" s="339" t="str">
        <f t="shared" si="2"/>
        <v>中山製鋼:豊通ＨＳ２</v>
      </c>
      <c r="H446" s="340">
        <f t="shared" si="3"/>
        <v>44.3</v>
      </c>
      <c r="I446" s="341">
        <v>0.5</v>
      </c>
      <c r="J446" s="332">
        <f>IFERROR(__xludf.DUMMYFUNCTION("IF(IF(COUNTIF(P$2:P445, P446)=0, """", INDEX(H$2:H445,
MAX(FILTER(ROW(H$2:H445) - ROW(H$2) + 1, P$2:P445 = P446))))=""単価"","""",
IF(COUNTIF(P$2:P445, P446)=0, """", INDEX(H$2:H445,
MAX(FILTER(ROW(H$2:H445) - ROW(H$2) + 1, P$2:P445 = P446)))))"),43.8)</f>
        <v>43.8</v>
      </c>
      <c r="N446" s="335" t="str">
        <f>IF(MAXIFS('単価履歴'!$O:$O,'単価履歴'!$E:$E,E446,'単価履歴'!$F:$F,F446)=O446,"●","")</f>
        <v/>
      </c>
      <c r="O446" s="346">
        <v>45692.73435185185</v>
      </c>
      <c r="P446" s="334" t="str">
        <f t="shared" si="4"/>
        <v>中山製鋼:豊通ＨＳ２</v>
      </c>
    </row>
    <row r="447" ht="15.75" customHeight="1">
      <c r="A447" s="335" t="s">
        <v>1646</v>
      </c>
      <c r="B447" s="336">
        <v>45693.0</v>
      </c>
      <c r="C447" s="335" t="s">
        <v>5</v>
      </c>
      <c r="D447" s="335" t="s">
        <v>47</v>
      </c>
      <c r="E447" s="337" t="str">
        <f t="shared" si="1"/>
        <v>中山製鋼:豊通</v>
      </c>
      <c r="F447" s="338" t="s">
        <v>108</v>
      </c>
      <c r="G447" s="339" t="str">
        <f t="shared" si="2"/>
        <v>中山製鋼:豊通Ｈ１/ｻﾑﾃｯｸ</v>
      </c>
      <c r="H447" s="340">
        <f t="shared" si="3"/>
        <v>0.5</v>
      </c>
      <c r="I447" s="341">
        <v>0.5</v>
      </c>
      <c r="J447" s="332" t="str">
        <f>IFERROR(__xludf.DUMMYFUNCTION("IF(IF(COUNTIF(P$2:P446, P447)=0, """", INDEX(H$2:H446,
MAX(FILTER(ROW(H$2:H446) - ROW(H$2) + 1, P$2:P446 = P447))))=""単価"","""",
IF(COUNTIF(P$2:P446, P447)=0, """", INDEX(H$2:H446,
MAX(FILTER(ROW(H$2:H446) - ROW(H$2) + 1, P$2:P446 = P447)))))"),"")</f>
        <v/>
      </c>
      <c r="N447" s="335" t="str">
        <f>IF(MAXIFS('単価履歴'!$O:$O,'単価履歴'!$E:$E,E447,'単価履歴'!$F:$F,F447)=O447,"●","")</f>
        <v/>
      </c>
      <c r="O447" s="346">
        <v>45692.73435185185</v>
      </c>
      <c r="P447" s="334" t="str">
        <f t="shared" si="4"/>
        <v>中山製鋼:豊通Ｈ１/ｻﾑﾃｯｸ</v>
      </c>
    </row>
    <row r="448" ht="15.75" customHeight="1">
      <c r="A448" s="335" t="s">
        <v>1647</v>
      </c>
      <c r="B448" s="336">
        <v>45693.0</v>
      </c>
      <c r="C448" s="335" t="s">
        <v>5</v>
      </c>
      <c r="D448" s="335" t="s">
        <v>47</v>
      </c>
      <c r="E448" s="337" t="str">
        <f t="shared" si="1"/>
        <v>中山製鋼:豊通</v>
      </c>
      <c r="F448" s="338" t="s">
        <v>111</v>
      </c>
      <c r="G448" s="339" t="str">
        <f t="shared" si="2"/>
        <v>中山製鋼:豊通Ｈ１(特A)</v>
      </c>
      <c r="H448" s="340">
        <f t="shared" si="3"/>
        <v>43.3</v>
      </c>
      <c r="I448" s="341">
        <v>0.5</v>
      </c>
      <c r="J448" s="332">
        <f>IFERROR(__xludf.DUMMYFUNCTION("IF(IF(COUNTIF(P$2:P447, P448)=0, """", INDEX(H$2:H447,
MAX(FILTER(ROW(H$2:H447) - ROW(H$2) + 1, P$2:P447 = P448))))=""単価"","""",
IF(COUNTIF(P$2:P447, P448)=0, """", INDEX(H$2:H447,
MAX(FILTER(ROW(H$2:H447) - ROW(H$2) + 1, P$2:P447 = P448)))))"),42.8)</f>
        <v>42.8</v>
      </c>
      <c r="N448" s="335" t="str">
        <f>IF(MAXIFS('単価履歴'!$O:$O,'単価履歴'!$E:$E,E448,'単価履歴'!$F:$F,F448)=O448,"●","")</f>
        <v/>
      </c>
      <c r="O448" s="346">
        <v>45692.73435185185</v>
      </c>
      <c r="P448" s="334" t="str">
        <f t="shared" si="4"/>
        <v>中山製鋼:豊通Ｈ１(特A)</v>
      </c>
    </row>
    <row r="449" ht="15.75" customHeight="1">
      <c r="A449" s="335" t="s">
        <v>1648</v>
      </c>
      <c r="B449" s="336">
        <v>45693.0</v>
      </c>
      <c r="C449" s="335" t="s">
        <v>5</v>
      </c>
      <c r="D449" s="335" t="s">
        <v>47</v>
      </c>
      <c r="E449" s="337" t="str">
        <f t="shared" si="1"/>
        <v>中山製鋼:豊通</v>
      </c>
      <c r="F449" s="338" t="s">
        <v>116</v>
      </c>
      <c r="G449" s="339" t="str">
        <f t="shared" si="2"/>
        <v>中山製鋼:豊通Ｈ２(特級)</v>
      </c>
      <c r="H449" s="340">
        <f t="shared" si="3"/>
        <v>37.3</v>
      </c>
      <c r="I449" s="341">
        <v>0.5</v>
      </c>
      <c r="J449" s="332">
        <f>IFERROR(__xludf.DUMMYFUNCTION("IF(IF(COUNTIF(P$2:P448, P449)=0, """", INDEX(H$2:H448,
MAX(FILTER(ROW(H$2:H448) - ROW(H$2) + 1, P$2:P448 = P449))))=""単価"","""",
IF(COUNTIF(P$2:P448, P449)=0, """", INDEX(H$2:H448,
MAX(FILTER(ROW(H$2:H448) - ROW(H$2) + 1, P$2:P448 = P449)))))"),36.8)</f>
        <v>36.8</v>
      </c>
      <c r="N449" s="335" t="str">
        <f>IF(MAXIFS('単価履歴'!$O:$O,'単価履歴'!$E:$E,E449,'単価履歴'!$F:$F,F449)=O449,"●","")</f>
        <v/>
      </c>
      <c r="O449" s="346">
        <v>45692.73435185185</v>
      </c>
      <c r="P449" s="334" t="str">
        <f t="shared" si="4"/>
        <v>中山製鋼:豊通Ｈ２(特級)</v>
      </c>
    </row>
    <row r="450" ht="15.75" customHeight="1">
      <c r="A450" s="335" t="s">
        <v>1649</v>
      </c>
      <c r="B450" s="336">
        <v>45693.0</v>
      </c>
      <c r="C450" s="335" t="s">
        <v>5</v>
      </c>
      <c r="D450" s="335" t="s">
        <v>47</v>
      </c>
      <c r="E450" s="337" t="str">
        <f t="shared" si="1"/>
        <v>中山製鋼:豊通</v>
      </c>
      <c r="F450" s="338" t="s">
        <v>119</v>
      </c>
      <c r="G450" s="339" t="str">
        <f t="shared" si="2"/>
        <v>中山製鋼:豊通Ｈ３(1級)</v>
      </c>
      <c r="H450" s="340">
        <f t="shared" si="3"/>
        <v>33.3</v>
      </c>
      <c r="I450" s="341">
        <v>0.5</v>
      </c>
      <c r="J450" s="332">
        <f>IFERROR(__xludf.DUMMYFUNCTION("IF(IF(COUNTIF(P$2:P449, P450)=0, """", INDEX(H$2:H449,
MAX(FILTER(ROW(H$2:H449) - ROW(H$2) + 1, P$2:P449 = P450))))=""単価"","""",
IF(COUNTIF(P$2:P449, P450)=0, """", INDEX(H$2:H449,
MAX(FILTER(ROW(H$2:H449) - ROW(H$2) + 1, P$2:P449 = P450)))))"),32.8)</f>
        <v>32.8</v>
      </c>
      <c r="N450" s="335" t="str">
        <f>IF(MAXIFS('単価履歴'!$O:$O,'単価履歴'!$E:$E,E450,'単価履歴'!$F:$F,F450)=O450,"●","")</f>
        <v/>
      </c>
      <c r="O450" s="346">
        <v>45692.73435185185</v>
      </c>
      <c r="P450" s="334" t="str">
        <f t="shared" si="4"/>
        <v>中山製鋼:豊通Ｈ３(1級)</v>
      </c>
    </row>
    <row r="451" ht="15.75" customHeight="1">
      <c r="A451" s="335" t="s">
        <v>1650</v>
      </c>
      <c r="B451" s="336">
        <v>45693.0</v>
      </c>
      <c r="C451" s="335" t="s">
        <v>5</v>
      </c>
      <c r="D451" s="335" t="s">
        <v>47</v>
      </c>
      <c r="E451" s="337" t="str">
        <f t="shared" si="1"/>
        <v>中山製鋼:豊通</v>
      </c>
      <c r="F451" s="338" t="s">
        <v>122</v>
      </c>
      <c r="G451" s="339" t="str">
        <f t="shared" si="2"/>
        <v>中山製鋼:豊通Ｌ１(2級)</v>
      </c>
      <c r="H451" s="340">
        <f t="shared" si="3"/>
        <v>26.8</v>
      </c>
      <c r="I451" s="341">
        <v>0.5</v>
      </c>
      <c r="J451" s="332">
        <f>IFERROR(__xludf.DUMMYFUNCTION("IF(IF(COUNTIF(P$2:P450, P451)=0, """", INDEX(H$2:H450,
MAX(FILTER(ROW(H$2:H450) - ROW(H$2) + 1, P$2:P450 = P451))))=""単価"","""",
IF(COUNTIF(P$2:P450, P451)=0, """", INDEX(H$2:H450,
MAX(FILTER(ROW(H$2:H450) - ROW(H$2) + 1, P$2:P450 = P451)))))"),26.3)</f>
        <v>26.3</v>
      </c>
      <c r="N451" s="335" t="str">
        <f>IF(MAXIFS('単価履歴'!$O:$O,'単価履歴'!$E:$E,E451,'単価履歴'!$F:$F,F451)=O451,"●","")</f>
        <v/>
      </c>
      <c r="O451" s="346">
        <v>45692.73435185185</v>
      </c>
      <c r="P451" s="334" t="str">
        <f t="shared" si="4"/>
        <v>中山製鋼:豊通Ｌ１(2級)</v>
      </c>
    </row>
    <row r="452" ht="15.75" customHeight="1">
      <c r="A452" s="335" t="s">
        <v>1651</v>
      </c>
      <c r="B452" s="336">
        <v>45693.0</v>
      </c>
      <c r="C452" s="335" t="s">
        <v>5</v>
      </c>
      <c r="D452" s="335" t="s">
        <v>47</v>
      </c>
      <c r="E452" s="337" t="str">
        <f t="shared" si="1"/>
        <v>中山製鋼:豊通</v>
      </c>
      <c r="F452" s="338" t="s">
        <v>130</v>
      </c>
      <c r="G452" s="339" t="str">
        <f t="shared" si="2"/>
        <v>中山製鋼:豊通新断Ａ</v>
      </c>
      <c r="H452" s="340">
        <f t="shared" si="3"/>
        <v>45.8</v>
      </c>
      <c r="I452" s="341">
        <v>0.5</v>
      </c>
      <c r="J452" s="332">
        <f>IFERROR(__xludf.DUMMYFUNCTION("IF(IF(COUNTIF(P$2:P451, P452)=0, """", INDEX(H$2:H451,
MAX(FILTER(ROW(H$2:H451) - ROW(H$2) + 1, P$2:P451 = P452))))=""単価"","""",
IF(COUNTIF(P$2:P451, P452)=0, """", INDEX(H$2:H451,
MAX(FILTER(ROW(H$2:H451) - ROW(H$2) + 1, P$2:P451 = P452)))))"),45.3)</f>
        <v>45.3</v>
      </c>
      <c r="N452" s="335" t="str">
        <f>IF(MAXIFS('単価履歴'!$O:$O,'単価履歴'!$E:$E,E452,'単価履歴'!$F:$F,F452)=O452,"●","")</f>
        <v/>
      </c>
      <c r="O452" s="346">
        <v>45692.73435185185</v>
      </c>
      <c r="P452" s="334" t="str">
        <f t="shared" si="4"/>
        <v>中山製鋼:豊通新断Ａ</v>
      </c>
    </row>
    <row r="453" ht="15.75" customHeight="1">
      <c r="A453" s="335" t="s">
        <v>1652</v>
      </c>
      <c r="B453" s="336">
        <v>45693.0</v>
      </c>
      <c r="C453" s="335" t="s">
        <v>5</v>
      </c>
      <c r="D453" s="335" t="s">
        <v>47</v>
      </c>
      <c r="E453" s="337" t="str">
        <f t="shared" si="1"/>
        <v>中山製鋼:豊通</v>
      </c>
      <c r="F453" s="338" t="s">
        <v>131</v>
      </c>
      <c r="G453" s="339" t="str">
        <f t="shared" si="2"/>
        <v>中山製鋼:豊通新断Ｂ</v>
      </c>
      <c r="H453" s="340">
        <f t="shared" si="3"/>
        <v>44.8</v>
      </c>
      <c r="I453" s="341">
        <v>0.5</v>
      </c>
      <c r="J453" s="332">
        <f>IFERROR(__xludf.DUMMYFUNCTION("IF(IF(COUNTIF(P$2:P452, P453)=0, """", INDEX(H$2:H452,
MAX(FILTER(ROW(H$2:H452) - ROW(H$2) + 1, P$2:P452 = P453))))=""単価"","""",
IF(COUNTIF(P$2:P452, P453)=0, """", INDEX(H$2:H452,
MAX(FILTER(ROW(H$2:H452) - ROW(H$2) + 1, P$2:P452 = P453)))))"),44.3)</f>
        <v>44.3</v>
      </c>
      <c r="N453" s="335" t="str">
        <f>IF(MAXIFS('単価履歴'!$O:$O,'単価履歴'!$E:$E,E453,'単価履歴'!$F:$F,F453)=O453,"●","")</f>
        <v/>
      </c>
      <c r="O453" s="346">
        <v>45692.73435185185</v>
      </c>
      <c r="P453" s="334" t="str">
        <f t="shared" si="4"/>
        <v>中山製鋼:豊通新断Ｂ</v>
      </c>
    </row>
    <row r="454" ht="15.75" customHeight="1">
      <c r="A454" s="335" t="s">
        <v>1653</v>
      </c>
      <c r="B454" s="336">
        <v>45693.0</v>
      </c>
      <c r="C454" s="335" t="s">
        <v>5</v>
      </c>
      <c r="D454" s="335" t="s">
        <v>47</v>
      </c>
      <c r="E454" s="337" t="str">
        <f t="shared" si="1"/>
        <v>中山製鋼:豊通</v>
      </c>
      <c r="F454" s="338" t="s">
        <v>574</v>
      </c>
      <c r="G454" s="339" t="str">
        <f t="shared" si="2"/>
        <v>中山製鋼:豊通新断Ｃ</v>
      </c>
      <c r="H454" s="340">
        <f t="shared" si="3"/>
        <v>43.8</v>
      </c>
      <c r="I454" s="341">
        <v>0.5</v>
      </c>
      <c r="J454" s="332">
        <f>IFERROR(__xludf.DUMMYFUNCTION("IF(IF(COUNTIF(P$2:P453, P454)=0, """", INDEX(H$2:H453,
MAX(FILTER(ROW(H$2:H453) - ROW(H$2) + 1, P$2:P453 = P454))))=""単価"","""",
IF(COUNTIF(P$2:P453, P454)=0, """", INDEX(H$2:H453,
MAX(FILTER(ROW(H$2:H453) - ROW(H$2) + 1, P$2:P453 = P454)))))"),43.3)</f>
        <v>43.3</v>
      </c>
      <c r="N454" s="335" t="str">
        <f>IF(MAXIFS('単価履歴'!$O:$O,'単価履歴'!$E:$E,E454,'単価履歴'!$F:$F,F454)=O454,"●","")</f>
        <v/>
      </c>
      <c r="O454" s="346">
        <v>45692.73435185185</v>
      </c>
      <c r="P454" s="334" t="str">
        <f t="shared" si="4"/>
        <v>中山製鋼:豊通新断Ｃ</v>
      </c>
    </row>
    <row r="455" ht="15.75" customHeight="1">
      <c r="A455" s="335" t="s">
        <v>1654</v>
      </c>
      <c r="B455" s="336">
        <v>45693.0</v>
      </c>
      <c r="C455" s="335" t="s">
        <v>5</v>
      </c>
      <c r="D455" s="335" t="s">
        <v>47</v>
      </c>
      <c r="E455" s="337" t="str">
        <f t="shared" si="1"/>
        <v>中山製鋼:豊通</v>
      </c>
      <c r="F455" s="338" t="s">
        <v>1199</v>
      </c>
      <c r="G455" s="339" t="str">
        <f t="shared" si="2"/>
        <v>中山製鋼:豊通ＨＳ１(単体H1/電特A/HS))</v>
      </c>
      <c r="H455" s="340">
        <f t="shared" si="3"/>
        <v>44.3</v>
      </c>
      <c r="I455" s="341">
        <v>0.5</v>
      </c>
      <c r="J455" s="332">
        <f>IFERROR(__xludf.DUMMYFUNCTION("IF(IF(COUNTIF(P$2:P454, P455)=0, """", INDEX(H$2:H454,
MAX(FILTER(ROW(H$2:H454) - ROW(H$2) + 1, P$2:P454 = P455))))=""単価"","""",
IF(COUNTIF(P$2:P454, P455)=0, """", INDEX(H$2:H454,
MAX(FILTER(ROW(H$2:H454) - ROW(H$2) + 1, P$2:P454 = P455)))))"),43.8)</f>
        <v>43.8</v>
      </c>
      <c r="N455" s="335" t="str">
        <f>IF(MAXIFS('単価履歴'!$O:$O,'単価履歴'!$E:$E,E455,'単価履歴'!$F:$F,F455)=O455,"●","")</f>
        <v/>
      </c>
      <c r="O455" s="346">
        <v>45692.73435185185</v>
      </c>
      <c r="P455" s="334" t="str">
        <f t="shared" si="4"/>
        <v>中山製鋼:豊通ＨＳ１(単体H1/電特A/HS))</v>
      </c>
    </row>
    <row r="456" ht="15.75" customHeight="1">
      <c r="A456" s="335" t="s">
        <v>1655</v>
      </c>
      <c r="B456" s="336">
        <v>45693.0</v>
      </c>
      <c r="C456" s="335" t="s">
        <v>5</v>
      </c>
      <c r="D456" s="335" t="s">
        <v>1232</v>
      </c>
      <c r="E456" s="337" t="str">
        <f t="shared" si="1"/>
        <v>中山製鋼:豊通/出張商店</v>
      </c>
      <c r="F456" s="338" t="s">
        <v>130</v>
      </c>
      <c r="G456" s="339" t="str">
        <f t="shared" si="2"/>
        <v>中山製鋼:豊通/出張商店新断Ａ</v>
      </c>
      <c r="H456" s="340">
        <f t="shared" si="3"/>
        <v>44.8</v>
      </c>
      <c r="I456" s="341">
        <v>0.5</v>
      </c>
      <c r="J456" s="332">
        <f>IFERROR(__xludf.DUMMYFUNCTION("IF(IF(COUNTIF(P$2:P455, P456)=0, """", INDEX(H$2:H455,
MAX(FILTER(ROW(H$2:H455) - ROW(H$2) + 1, P$2:P455 = P456))))=""単価"","""",
IF(COUNTIF(P$2:P455, P456)=0, """", INDEX(H$2:H455,
MAX(FILTER(ROW(H$2:H455) - ROW(H$2) + 1, P$2:P455 = P456)))))"),44.3)</f>
        <v>44.3</v>
      </c>
      <c r="N456" s="335" t="str">
        <f>IF(MAXIFS('単価履歴'!$O:$O,'単価履歴'!$E:$E,E456,'単価履歴'!$F:$F,F456)=O456,"●","")</f>
        <v/>
      </c>
      <c r="O456" s="346">
        <v>45692.73918981482</v>
      </c>
      <c r="P456" s="334" t="str">
        <f t="shared" si="4"/>
        <v>中山製鋼:豊通/出張商店新断Ａ</v>
      </c>
    </row>
    <row r="457" ht="15.75" customHeight="1">
      <c r="A457" s="335" t="s">
        <v>1656</v>
      </c>
      <c r="B457" s="336">
        <v>45693.0</v>
      </c>
      <c r="C457" s="335" t="s">
        <v>5</v>
      </c>
      <c r="D457" s="335" t="s">
        <v>1234</v>
      </c>
      <c r="E457" s="337" t="str">
        <f t="shared" si="1"/>
        <v>中山製鋼:豊通/中川嘉弘商店</v>
      </c>
      <c r="F457" s="338" t="s">
        <v>130</v>
      </c>
      <c r="G457" s="339" t="str">
        <f t="shared" si="2"/>
        <v>中山製鋼:豊通/中川嘉弘商店新断Ａ</v>
      </c>
      <c r="H457" s="340">
        <f t="shared" si="3"/>
        <v>42.8</v>
      </c>
      <c r="I457" s="341">
        <v>0.5</v>
      </c>
      <c r="J457" s="332">
        <f>IFERROR(__xludf.DUMMYFUNCTION("IF(IF(COUNTIF(P$2:P456, P457)=0, """", INDEX(H$2:H456,
MAX(FILTER(ROW(H$2:H456) - ROW(H$2) + 1, P$2:P456 = P457))))=""単価"","""",
IF(COUNTIF(P$2:P456, P457)=0, """", INDEX(H$2:H456,
MAX(FILTER(ROW(H$2:H456) - ROW(H$2) + 1, P$2:P456 = P457)))))"),42.3)</f>
        <v>42.3</v>
      </c>
      <c r="N457" s="335" t="str">
        <f>IF(MAXIFS('単価履歴'!$O:$O,'単価履歴'!$E:$E,E457,'単価履歴'!$F:$F,F457)=O457,"●","")</f>
        <v/>
      </c>
      <c r="O457" s="346">
        <v>45692.73918981482</v>
      </c>
      <c r="P457" s="334" t="str">
        <f t="shared" si="4"/>
        <v>中山製鋼:豊通/中川嘉弘商店新断Ａ</v>
      </c>
    </row>
    <row r="458" ht="15.75" customHeight="1">
      <c r="A458" s="335" t="s">
        <v>1657</v>
      </c>
      <c r="B458" s="336">
        <v>45696.0</v>
      </c>
      <c r="C458" s="335" t="s">
        <v>6</v>
      </c>
      <c r="D458" s="335" t="s">
        <v>48</v>
      </c>
      <c r="E458" s="337" t="str">
        <f t="shared" si="1"/>
        <v>中山鋼業:ナベ</v>
      </c>
      <c r="F458" s="338" t="s">
        <v>119</v>
      </c>
      <c r="G458" s="339" t="str">
        <f t="shared" si="2"/>
        <v>中山鋼業:ナベＨ３(1級)</v>
      </c>
      <c r="H458" s="340">
        <f t="shared" si="3"/>
        <v>40</v>
      </c>
      <c r="I458" s="341">
        <v>1.0</v>
      </c>
      <c r="J458" s="332">
        <f>IFERROR(__xludf.DUMMYFUNCTION("IF(IF(COUNTIF(P$2:P457, P458)=0, """", INDEX(H$2:H457,
MAX(FILTER(ROW(H$2:H457) - ROW(H$2) + 1, P$2:P457 = P458))))=""単価"","""",
IF(COUNTIF(P$2:P457, P458)=0, """", INDEX(H$2:H457,
MAX(FILTER(ROW(H$2:H457) - ROW(H$2) + 1, P$2:P457 = P458)))))"),39.0)</f>
        <v>39</v>
      </c>
      <c r="N458" s="335" t="str">
        <f>IF(MAXIFS('単価履歴'!$O:$O,'単価履歴'!$E:$E,E458,'単価履歴'!$F:$F,F458)=O458,"●","")</f>
        <v/>
      </c>
      <c r="O458" s="346">
        <v>45696.26832175926</v>
      </c>
      <c r="P458" s="334" t="str">
        <f t="shared" si="4"/>
        <v>中山鋼業:ナベＨ３(1級)</v>
      </c>
    </row>
    <row r="459" ht="15.75" customHeight="1">
      <c r="A459" s="335" t="s">
        <v>1658</v>
      </c>
      <c r="B459" s="336">
        <v>45696.0</v>
      </c>
      <c r="C459" s="335" t="s">
        <v>6</v>
      </c>
      <c r="D459" s="335" t="s">
        <v>48</v>
      </c>
      <c r="E459" s="337" t="str">
        <f t="shared" si="1"/>
        <v>中山鋼業:ナベ</v>
      </c>
      <c r="F459" s="338" t="s">
        <v>122</v>
      </c>
      <c r="G459" s="339" t="str">
        <f t="shared" si="2"/>
        <v>中山鋼業:ナベＬ１(2級)</v>
      </c>
      <c r="H459" s="340">
        <f t="shared" si="3"/>
        <v>39.5</v>
      </c>
      <c r="I459" s="341">
        <v>1.0</v>
      </c>
      <c r="J459" s="332">
        <f>IFERROR(__xludf.DUMMYFUNCTION("IF(IF(COUNTIF(P$2:P458, P459)=0, """", INDEX(H$2:H458,
MAX(FILTER(ROW(H$2:H458) - ROW(H$2) + 1, P$2:P458 = P459))))=""単価"","""",
IF(COUNTIF(P$2:P458, P459)=0, """", INDEX(H$2:H458,
MAX(FILTER(ROW(H$2:H458) - ROW(H$2) + 1, P$2:P458 = P459)))))"),38.5)</f>
        <v>38.5</v>
      </c>
      <c r="N459" s="335" t="str">
        <f>IF(MAXIFS('単価履歴'!$O:$O,'単価履歴'!$E:$E,E459,'単価履歴'!$F:$F,F459)=O459,"●","")</f>
        <v/>
      </c>
      <c r="O459" s="346">
        <v>45696.26832175926</v>
      </c>
      <c r="P459" s="334" t="str">
        <f t="shared" si="4"/>
        <v>中山鋼業:ナベＬ１(2級)</v>
      </c>
    </row>
    <row r="460" ht="15.75" customHeight="1">
      <c r="A460" s="335" t="s">
        <v>1659</v>
      </c>
      <c r="B460" s="336">
        <v>45696.0</v>
      </c>
      <c r="C460" s="335" t="s">
        <v>6</v>
      </c>
      <c r="D460" s="335" t="s">
        <v>48</v>
      </c>
      <c r="E460" s="337" t="str">
        <f t="shared" si="1"/>
        <v>中山鋼業:ナベ</v>
      </c>
      <c r="F460" s="338" t="s">
        <v>573</v>
      </c>
      <c r="G460" s="339" t="str">
        <f t="shared" si="2"/>
        <v>中山鋼業:ナベＬ２(H4･級外･L1ﾊﾞﾗ)</v>
      </c>
      <c r="H460" s="340">
        <f t="shared" si="3"/>
        <v>36</v>
      </c>
      <c r="I460" s="341">
        <v>1.0</v>
      </c>
      <c r="J460" s="332">
        <f>IFERROR(__xludf.DUMMYFUNCTION("IF(IF(COUNTIF(P$2:P459, P460)=0, """", INDEX(H$2:H459,
MAX(FILTER(ROW(H$2:H459) - ROW(H$2) + 1, P$2:P459 = P460))))=""単価"","""",
IF(COUNTIF(P$2:P459, P460)=0, """", INDEX(H$2:H459,
MAX(FILTER(ROW(H$2:H459) - ROW(H$2) + 1, P$2:P459 = P460)))))"),35.0)</f>
        <v>35</v>
      </c>
      <c r="N460" s="335" t="str">
        <f>IF(MAXIFS('単価履歴'!$O:$O,'単価履歴'!$E:$E,E460,'単価履歴'!$F:$F,F460)=O460,"●","")</f>
        <v/>
      </c>
      <c r="O460" s="346">
        <v>45696.26832175926</v>
      </c>
      <c r="P460" s="334" t="str">
        <f t="shared" si="4"/>
        <v>中山鋼業:ナベＬ２(H4･級外･L1ﾊﾞﾗ)</v>
      </c>
    </row>
    <row r="461" ht="15.75" customHeight="1">
      <c r="A461" s="335" t="s">
        <v>1660</v>
      </c>
      <c r="B461" s="336">
        <v>45701.0</v>
      </c>
      <c r="C461" s="335" t="s">
        <v>5</v>
      </c>
      <c r="D461" s="335" t="s">
        <v>46</v>
      </c>
      <c r="E461" s="337" t="str">
        <f t="shared" si="1"/>
        <v>中山製鋼:阪和</v>
      </c>
      <c r="F461" s="338" t="s">
        <v>101</v>
      </c>
      <c r="G461" s="339" t="str">
        <f t="shared" si="2"/>
        <v>中山製鋼:阪和ＨＳ２</v>
      </c>
      <c r="H461" s="340">
        <f t="shared" si="3"/>
        <v>44.9</v>
      </c>
      <c r="I461" s="341">
        <v>0.5</v>
      </c>
      <c r="J461" s="332">
        <f>IFERROR(__xludf.DUMMYFUNCTION("IF(IF(COUNTIF(P$2:P460, P461)=0, """", INDEX(H$2:H460,
MAX(FILTER(ROW(H$2:H460) - ROW(H$2) + 1, P$2:P460 = P461))))=""単価"","""",
IF(COUNTIF(P$2:P460, P461)=0, """", INDEX(H$2:H460,
MAX(FILTER(ROW(H$2:H460) - ROW(H$2) + 1, P$2:P460 = P461)))))"),44.4)</f>
        <v>44.4</v>
      </c>
      <c r="N461" s="335" t="str">
        <f>IF(MAXIFS('単価履歴'!$O:$O,'単価履歴'!$E:$E,E461,'単価履歴'!$F:$F,F461)=O461,"●","")</f>
        <v/>
      </c>
      <c r="O461" s="346">
        <v>45701.46864583333</v>
      </c>
      <c r="P461" s="334" t="str">
        <f t="shared" si="4"/>
        <v>中山製鋼:阪和ＨＳ２</v>
      </c>
    </row>
    <row r="462" ht="15.75" customHeight="1">
      <c r="A462" s="335" t="s">
        <v>1661</v>
      </c>
      <c r="B462" s="336">
        <v>45701.0</v>
      </c>
      <c r="C462" s="335" t="s">
        <v>5</v>
      </c>
      <c r="D462" s="335" t="s">
        <v>46</v>
      </c>
      <c r="E462" s="337" t="str">
        <f t="shared" si="1"/>
        <v>中山製鋼:阪和</v>
      </c>
      <c r="F462" s="338" t="s">
        <v>108</v>
      </c>
      <c r="G462" s="339" t="str">
        <f t="shared" si="2"/>
        <v>中山製鋼:阪和Ｈ１/ｻﾑﾃｯｸ</v>
      </c>
      <c r="H462" s="340">
        <f t="shared" si="3"/>
        <v>1</v>
      </c>
      <c r="I462" s="341">
        <v>0.5</v>
      </c>
      <c r="J462" s="332">
        <f>IFERROR(__xludf.DUMMYFUNCTION("IF(IF(COUNTIF(P$2:P461, P462)=0, """", INDEX(H$2:H461,
MAX(FILTER(ROW(H$2:H461) - ROW(H$2) + 1, P$2:P461 = P462))))=""単価"","""",
IF(COUNTIF(P$2:P461, P462)=0, """", INDEX(H$2:H461,
MAX(FILTER(ROW(H$2:H461) - ROW(H$2) + 1, P$2:P461 = P462)))))"),0.5)</f>
        <v>0.5</v>
      </c>
      <c r="N462" s="335" t="str">
        <f>IF(MAXIFS('単価履歴'!$O:$O,'単価履歴'!$E:$E,E462,'単価履歴'!$F:$F,F462)=O462,"●","")</f>
        <v/>
      </c>
      <c r="O462" s="346">
        <v>45701.46864583333</v>
      </c>
      <c r="P462" s="334" t="str">
        <f t="shared" si="4"/>
        <v>中山製鋼:阪和Ｈ１/ｻﾑﾃｯｸ</v>
      </c>
    </row>
    <row r="463" ht="15.75" customHeight="1">
      <c r="A463" s="335" t="s">
        <v>1662</v>
      </c>
      <c r="B463" s="336">
        <v>45701.0</v>
      </c>
      <c r="C463" s="335" t="s">
        <v>5</v>
      </c>
      <c r="D463" s="335" t="s">
        <v>46</v>
      </c>
      <c r="E463" s="337" t="str">
        <f t="shared" si="1"/>
        <v>中山製鋼:阪和</v>
      </c>
      <c r="F463" s="338" t="s">
        <v>111</v>
      </c>
      <c r="G463" s="339" t="str">
        <f t="shared" si="2"/>
        <v>中山製鋼:阪和Ｈ１(特A)</v>
      </c>
      <c r="H463" s="340">
        <f t="shared" si="3"/>
        <v>42.5</v>
      </c>
      <c r="I463" s="341">
        <v>0.5</v>
      </c>
      <c r="J463" s="332">
        <f>IFERROR(__xludf.DUMMYFUNCTION("IF(IF(COUNTIF(P$2:P462, P463)=0, """", INDEX(H$2:H462,
MAX(FILTER(ROW(H$2:H462) - ROW(H$2) + 1, P$2:P462 = P463))))=""単価"","""",
IF(COUNTIF(P$2:P462, P463)=0, """", INDEX(H$2:H462,
MAX(FILTER(ROW(H$2:H462) - ROW(H$2) + 1, P$2:P462 = P463)))))"),42.0)</f>
        <v>42</v>
      </c>
      <c r="N463" s="335" t="str">
        <f>IF(MAXIFS('単価履歴'!$O:$O,'単価履歴'!$E:$E,E463,'単価履歴'!$F:$F,F463)=O463,"●","")</f>
        <v/>
      </c>
      <c r="O463" s="346">
        <v>45701.46864583333</v>
      </c>
      <c r="P463" s="334" t="str">
        <f t="shared" si="4"/>
        <v>中山製鋼:阪和Ｈ１(特A)</v>
      </c>
    </row>
    <row r="464" ht="15.75" customHeight="1">
      <c r="A464" s="335" t="s">
        <v>1663</v>
      </c>
      <c r="B464" s="336">
        <v>45701.0</v>
      </c>
      <c r="C464" s="335" t="s">
        <v>5</v>
      </c>
      <c r="D464" s="335" t="s">
        <v>47</v>
      </c>
      <c r="E464" s="337" t="str">
        <f t="shared" si="1"/>
        <v>中山製鋼:豊通</v>
      </c>
      <c r="F464" s="338" t="s">
        <v>101</v>
      </c>
      <c r="G464" s="339" t="str">
        <f t="shared" si="2"/>
        <v>中山製鋼:豊通ＨＳ２</v>
      </c>
      <c r="H464" s="340">
        <f t="shared" si="3"/>
        <v>44.8</v>
      </c>
      <c r="I464" s="341">
        <v>0.5</v>
      </c>
      <c r="J464" s="332">
        <f>IFERROR(__xludf.DUMMYFUNCTION("IF(IF(COUNTIF(P$2:P463, P464)=0, """", INDEX(H$2:H463,
MAX(FILTER(ROW(H$2:H463) - ROW(H$2) + 1, P$2:P463 = P464))))=""単価"","""",
IF(COUNTIF(P$2:P463, P464)=0, """", INDEX(H$2:H463,
MAX(FILTER(ROW(H$2:H463) - ROW(H$2) + 1, P$2:P463 = P464)))))"),44.3)</f>
        <v>44.3</v>
      </c>
      <c r="N464" s="335" t="str">
        <f>IF(MAXIFS('単価履歴'!$O:$O,'単価履歴'!$E:$E,E464,'単価履歴'!$F:$F,F464)=O464,"●","")</f>
        <v/>
      </c>
      <c r="O464" s="346">
        <v>45701.46864583333</v>
      </c>
      <c r="P464" s="334" t="str">
        <f t="shared" si="4"/>
        <v>中山製鋼:豊通ＨＳ２</v>
      </c>
    </row>
    <row r="465" ht="15.75" customHeight="1">
      <c r="A465" s="335" t="s">
        <v>1664</v>
      </c>
      <c r="B465" s="336">
        <v>45701.0</v>
      </c>
      <c r="C465" s="335" t="s">
        <v>5</v>
      </c>
      <c r="D465" s="335" t="s">
        <v>47</v>
      </c>
      <c r="E465" s="337" t="str">
        <f t="shared" si="1"/>
        <v>中山製鋼:豊通</v>
      </c>
      <c r="F465" s="338" t="s">
        <v>108</v>
      </c>
      <c r="G465" s="339" t="str">
        <f t="shared" si="2"/>
        <v>中山製鋼:豊通Ｈ１/ｻﾑﾃｯｸ</v>
      </c>
      <c r="H465" s="340">
        <f t="shared" si="3"/>
        <v>1</v>
      </c>
      <c r="I465" s="341">
        <v>0.5</v>
      </c>
      <c r="J465" s="332">
        <f>IFERROR(__xludf.DUMMYFUNCTION("IF(IF(COUNTIF(P$2:P464, P465)=0, """", INDEX(H$2:H464,
MAX(FILTER(ROW(H$2:H464) - ROW(H$2) + 1, P$2:P464 = P465))))=""単価"","""",
IF(COUNTIF(P$2:P464, P465)=0, """", INDEX(H$2:H464,
MAX(FILTER(ROW(H$2:H464) - ROW(H$2) + 1, P$2:P464 = P465)))))"),0.5)</f>
        <v>0.5</v>
      </c>
      <c r="N465" s="335" t="str">
        <f>IF(MAXIFS('単価履歴'!$O:$O,'単価履歴'!$E:$E,E465,'単価履歴'!$F:$F,F465)=O465,"●","")</f>
        <v/>
      </c>
      <c r="O465" s="346">
        <v>45701.46864583333</v>
      </c>
      <c r="P465" s="334" t="str">
        <f t="shared" si="4"/>
        <v>中山製鋼:豊通Ｈ１/ｻﾑﾃｯｸ</v>
      </c>
    </row>
    <row r="466" ht="15.75" customHeight="1">
      <c r="A466" s="335" t="s">
        <v>1665</v>
      </c>
      <c r="B466" s="336">
        <v>45701.0</v>
      </c>
      <c r="C466" s="335" t="s">
        <v>5</v>
      </c>
      <c r="D466" s="335" t="s">
        <v>47</v>
      </c>
      <c r="E466" s="337" t="str">
        <f t="shared" si="1"/>
        <v>中山製鋼:豊通</v>
      </c>
      <c r="F466" s="338" t="s">
        <v>111</v>
      </c>
      <c r="G466" s="339" t="str">
        <f t="shared" si="2"/>
        <v>中山製鋼:豊通Ｈ１(特A)</v>
      </c>
      <c r="H466" s="340">
        <f t="shared" si="3"/>
        <v>43.8</v>
      </c>
      <c r="I466" s="341">
        <v>0.5</v>
      </c>
      <c r="J466" s="332">
        <f>IFERROR(__xludf.DUMMYFUNCTION("IF(IF(COUNTIF(P$2:P465, P466)=0, """", INDEX(H$2:H465,
MAX(FILTER(ROW(H$2:H465) - ROW(H$2) + 1, P$2:P465 = P466))))=""単価"","""",
IF(COUNTIF(P$2:P465, P466)=0, """", INDEX(H$2:H465,
MAX(FILTER(ROW(H$2:H465) - ROW(H$2) + 1, P$2:P465 = P466)))))"),43.3)</f>
        <v>43.3</v>
      </c>
      <c r="N466" s="335" t="str">
        <f>IF(MAXIFS('単価履歴'!$O:$O,'単価履歴'!$E:$E,E466,'単価履歴'!$F:$F,F466)=O466,"●","")</f>
        <v/>
      </c>
      <c r="O466" s="346">
        <v>45701.46864583333</v>
      </c>
      <c r="P466" s="334" t="str">
        <f t="shared" si="4"/>
        <v>中山製鋼:豊通Ｈ１(特A)</v>
      </c>
    </row>
    <row r="467" ht="15.75" customHeight="1">
      <c r="A467" s="335" t="s">
        <v>1666</v>
      </c>
      <c r="B467" s="336">
        <v>45701.0</v>
      </c>
      <c r="C467" s="335" t="s">
        <v>5</v>
      </c>
      <c r="D467" s="335" t="s">
        <v>46</v>
      </c>
      <c r="E467" s="337" t="str">
        <f t="shared" si="1"/>
        <v>中山製鋼:阪和</v>
      </c>
      <c r="F467" s="338" t="s">
        <v>101</v>
      </c>
      <c r="G467" s="339" t="str">
        <f t="shared" si="2"/>
        <v>中山製鋼:阪和ＨＳ２</v>
      </c>
      <c r="H467" s="340">
        <f t="shared" si="3"/>
        <v>44.4</v>
      </c>
      <c r="I467" s="341">
        <v>-0.5</v>
      </c>
      <c r="J467" s="332">
        <f>IFERROR(__xludf.DUMMYFUNCTION("IF(IF(COUNTIF(P$2:P466, P467)=0, """", INDEX(H$2:H466,
MAX(FILTER(ROW(H$2:H466) - ROW(H$2) + 1, P$2:P466 = P467))))=""単価"","""",
IF(COUNTIF(P$2:P466, P467)=0, """", INDEX(H$2:H466,
MAX(FILTER(ROW(H$2:H466) - ROW(H$2) + 1, P$2:P466 = P467)))))"),44.9)</f>
        <v>44.9</v>
      </c>
      <c r="N467" s="335" t="str">
        <f>IF(MAXIFS('単価履歴'!$O:$O,'単価履歴'!$E:$E,E467,'単価履歴'!$F:$F,F467)=O467,"●","")</f>
        <v/>
      </c>
      <c r="O467" s="346">
        <v>45701.47059027778</v>
      </c>
      <c r="P467" s="334" t="str">
        <f t="shared" si="4"/>
        <v>中山製鋼:阪和ＨＳ２</v>
      </c>
    </row>
    <row r="468" ht="15.75" customHeight="1">
      <c r="A468" s="335" t="s">
        <v>1667</v>
      </c>
      <c r="B468" s="336">
        <v>45701.0</v>
      </c>
      <c r="C468" s="335" t="s">
        <v>5</v>
      </c>
      <c r="D468" s="335" t="s">
        <v>46</v>
      </c>
      <c r="E468" s="337" t="str">
        <f t="shared" si="1"/>
        <v>中山製鋼:阪和</v>
      </c>
      <c r="F468" s="338" t="s">
        <v>108</v>
      </c>
      <c r="G468" s="339" t="str">
        <f t="shared" si="2"/>
        <v>中山製鋼:阪和Ｈ１/ｻﾑﾃｯｸ</v>
      </c>
      <c r="H468" s="340">
        <f t="shared" si="3"/>
        <v>0.5</v>
      </c>
      <c r="I468" s="341">
        <v>-0.5</v>
      </c>
      <c r="J468" s="332">
        <f>IFERROR(__xludf.DUMMYFUNCTION("IF(IF(COUNTIF(P$2:P467, P468)=0, """", INDEX(H$2:H467,
MAX(FILTER(ROW(H$2:H467) - ROW(H$2) + 1, P$2:P467 = P468))))=""単価"","""",
IF(COUNTIF(P$2:P467, P468)=0, """", INDEX(H$2:H467,
MAX(FILTER(ROW(H$2:H467) - ROW(H$2) + 1, P$2:P467 = P468)))))"),1.0)</f>
        <v>1</v>
      </c>
      <c r="N468" s="335" t="str">
        <f>IF(MAXIFS('単価履歴'!$O:$O,'単価履歴'!$E:$E,E468,'単価履歴'!$F:$F,F468)=O468,"●","")</f>
        <v/>
      </c>
      <c r="O468" s="346">
        <v>45701.47059027778</v>
      </c>
      <c r="P468" s="334" t="str">
        <f t="shared" si="4"/>
        <v>中山製鋼:阪和Ｈ１/ｻﾑﾃｯｸ</v>
      </c>
    </row>
    <row r="469" ht="15.75" customHeight="1">
      <c r="A469" s="335" t="s">
        <v>1668</v>
      </c>
      <c r="B469" s="336">
        <v>45701.0</v>
      </c>
      <c r="C469" s="335" t="s">
        <v>5</v>
      </c>
      <c r="D469" s="335" t="s">
        <v>46</v>
      </c>
      <c r="E469" s="337" t="str">
        <f t="shared" si="1"/>
        <v>中山製鋼:阪和</v>
      </c>
      <c r="F469" s="338" t="s">
        <v>111</v>
      </c>
      <c r="G469" s="339" t="str">
        <f t="shared" si="2"/>
        <v>中山製鋼:阪和Ｈ１(特A)</v>
      </c>
      <c r="H469" s="340">
        <f t="shared" si="3"/>
        <v>42</v>
      </c>
      <c r="I469" s="341">
        <v>-0.5</v>
      </c>
      <c r="J469" s="332">
        <f>IFERROR(__xludf.DUMMYFUNCTION("IF(IF(COUNTIF(P$2:P468, P469)=0, """", INDEX(H$2:H468,
MAX(FILTER(ROW(H$2:H468) - ROW(H$2) + 1, P$2:P468 = P469))))=""単価"","""",
IF(COUNTIF(P$2:P468, P469)=0, """", INDEX(H$2:H468,
MAX(FILTER(ROW(H$2:H468) - ROW(H$2) + 1, P$2:P468 = P469)))))"),42.5)</f>
        <v>42.5</v>
      </c>
      <c r="N469" s="335" t="str">
        <f>IF(MAXIFS('単価履歴'!$O:$O,'単価履歴'!$E:$E,E469,'単価履歴'!$F:$F,F469)=O469,"●","")</f>
        <v/>
      </c>
      <c r="O469" s="346">
        <v>45701.47059027778</v>
      </c>
      <c r="P469" s="334" t="str">
        <f t="shared" si="4"/>
        <v>中山製鋼:阪和Ｈ１(特A)</v>
      </c>
    </row>
    <row r="470" ht="15.75" customHeight="1">
      <c r="A470" s="335" t="s">
        <v>1669</v>
      </c>
      <c r="B470" s="336">
        <v>45701.0</v>
      </c>
      <c r="C470" s="335" t="s">
        <v>5</v>
      </c>
      <c r="D470" s="335" t="s">
        <v>47</v>
      </c>
      <c r="E470" s="337" t="str">
        <f t="shared" si="1"/>
        <v>中山製鋼:豊通</v>
      </c>
      <c r="F470" s="338" t="s">
        <v>101</v>
      </c>
      <c r="G470" s="339" t="str">
        <f t="shared" si="2"/>
        <v>中山製鋼:豊通ＨＳ２</v>
      </c>
      <c r="H470" s="340">
        <f t="shared" si="3"/>
        <v>44.3</v>
      </c>
      <c r="I470" s="341">
        <v>-0.5</v>
      </c>
      <c r="J470" s="332">
        <f>IFERROR(__xludf.DUMMYFUNCTION("IF(IF(COUNTIF(P$2:P469, P470)=0, """", INDEX(H$2:H469,
MAX(FILTER(ROW(H$2:H469) - ROW(H$2) + 1, P$2:P469 = P470))))=""単価"","""",
IF(COUNTIF(P$2:P469, P470)=0, """", INDEX(H$2:H469,
MAX(FILTER(ROW(H$2:H469) - ROW(H$2) + 1, P$2:P469 = P470)))))"),44.8)</f>
        <v>44.8</v>
      </c>
      <c r="N470" s="335" t="str">
        <f>IF(MAXIFS('単価履歴'!$O:$O,'単価履歴'!$E:$E,E470,'単価履歴'!$F:$F,F470)=O470,"●","")</f>
        <v/>
      </c>
      <c r="O470" s="346">
        <v>45701.47059027778</v>
      </c>
      <c r="P470" s="334" t="str">
        <f t="shared" si="4"/>
        <v>中山製鋼:豊通ＨＳ２</v>
      </c>
    </row>
    <row r="471" ht="15.75" customHeight="1">
      <c r="A471" s="335" t="s">
        <v>1670</v>
      </c>
      <c r="B471" s="336">
        <v>45701.0</v>
      </c>
      <c r="C471" s="335" t="s">
        <v>5</v>
      </c>
      <c r="D471" s="335" t="s">
        <v>47</v>
      </c>
      <c r="E471" s="337" t="str">
        <f t="shared" si="1"/>
        <v>中山製鋼:豊通</v>
      </c>
      <c r="F471" s="338" t="s">
        <v>108</v>
      </c>
      <c r="G471" s="339" t="str">
        <f t="shared" si="2"/>
        <v>中山製鋼:豊通Ｈ１/ｻﾑﾃｯｸ</v>
      </c>
      <c r="H471" s="340">
        <f t="shared" si="3"/>
        <v>0.5</v>
      </c>
      <c r="I471" s="341">
        <v>-0.5</v>
      </c>
      <c r="J471" s="332">
        <f>IFERROR(__xludf.DUMMYFUNCTION("IF(IF(COUNTIF(P$2:P470, P471)=0, """", INDEX(H$2:H470,
MAX(FILTER(ROW(H$2:H470) - ROW(H$2) + 1, P$2:P470 = P471))))=""単価"","""",
IF(COUNTIF(P$2:P470, P471)=0, """", INDEX(H$2:H470,
MAX(FILTER(ROW(H$2:H470) - ROW(H$2) + 1, P$2:P470 = P471)))))"),1.0)</f>
        <v>1</v>
      </c>
      <c r="N471" s="335" t="str">
        <f>IF(MAXIFS('単価履歴'!$O:$O,'単価履歴'!$E:$E,E471,'単価履歴'!$F:$F,F471)=O471,"●","")</f>
        <v/>
      </c>
      <c r="O471" s="346">
        <v>45701.47059027778</v>
      </c>
      <c r="P471" s="334" t="str">
        <f t="shared" si="4"/>
        <v>中山製鋼:豊通Ｈ１/ｻﾑﾃｯｸ</v>
      </c>
    </row>
    <row r="472" ht="15.75" customHeight="1">
      <c r="A472" s="335" t="s">
        <v>1671</v>
      </c>
      <c r="B472" s="336">
        <v>45701.0</v>
      </c>
      <c r="C472" s="335" t="s">
        <v>5</v>
      </c>
      <c r="D472" s="335" t="s">
        <v>47</v>
      </c>
      <c r="E472" s="337" t="str">
        <f t="shared" si="1"/>
        <v>中山製鋼:豊通</v>
      </c>
      <c r="F472" s="338" t="s">
        <v>111</v>
      </c>
      <c r="G472" s="339" t="str">
        <f t="shared" si="2"/>
        <v>中山製鋼:豊通Ｈ１(特A)</v>
      </c>
      <c r="H472" s="340">
        <f t="shared" si="3"/>
        <v>43.3</v>
      </c>
      <c r="I472" s="341">
        <v>-0.5</v>
      </c>
      <c r="J472" s="332">
        <f>IFERROR(__xludf.DUMMYFUNCTION("IF(IF(COUNTIF(P$2:P471, P472)=0, """", INDEX(H$2:H471,
MAX(FILTER(ROW(H$2:H471) - ROW(H$2) + 1, P$2:P471 = P472))))=""単価"","""",
IF(COUNTIF(P$2:P471, P472)=0, """", INDEX(H$2:H471,
MAX(FILTER(ROW(H$2:H471) - ROW(H$2) + 1, P$2:P471 = P472)))))"),43.8)</f>
        <v>43.8</v>
      </c>
      <c r="N472" s="335" t="str">
        <f>IF(MAXIFS('単価履歴'!$O:$O,'単価履歴'!$E:$E,E472,'単価履歴'!$F:$F,F472)=O472,"●","")</f>
        <v/>
      </c>
      <c r="O472" s="346">
        <v>45701.47059027778</v>
      </c>
      <c r="P472" s="334" t="str">
        <f t="shared" si="4"/>
        <v>中山製鋼:豊通Ｈ１(特A)</v>
      </c>
    </row>
    <row r="473" ht="15.75" customHeight="1">
      <c r="A473" s="335" t="s">
        <v>1672</v>
      </c>
      <c r="B473" s="336">
        <v>45702.0</v>
      </c>
      <c r="C473" s="335" t="s">
        <v>531</v>
      </c>
      <c r="D473" s="335" t="s">
        <v>77</v>
      </c>
      <c r="E473" s="337" t="str">
        <f t="shared" si="1"/>
        <v>東鐵関西:直納</v>
      </c>
      <c r="F473" s="338" t="s">
        <v>1199</v>
      </c>
      <c r="G473" s="339" t="str">
        <f t="shared" si="2"/>
        <v>東鐵関西:直納ＨＳ１(単体H1/電特A/HS))</v>
      </c>
      <c r="H473" s="340">
        <f t="shared" si="3"/>
        <v>43.5</v>
      </c>
      <c r="I473" s="341">
        <v>0.5</v>
      </c>
      <c r="J473" s="332">
        <f>IFERROR(__xludf.DUMMYFUNCTION("IF(IF(COUNTIF(P$2:P472, P473)=0, """", INDEX(H$2:H472,
MAX(FILTER(ROW(H$2:H472) - ROW(H$2) + 1, P$2:P472 = P473))))=""単価"","""",
IF(COUNTIF(P$2:P472, P473)=0, """", INDEX(H$2:H472,
MAX(FILTER(ROW(H$2:H472) - ROW(H$2) + 1, P$2:P472 = P473)))))"),43.0)</f>
        <v>43</v>
      </c>
      <c r="N473" s="335" t="str">
        <f>IF(MAXIFS('単価履歴'!$O:$O,'単価履歴'!$E:$E,E473,'単価履歴'!$F:$F,F473)=O473,"●","")</f>
        <v/>
      </c>
      <c r="O473" s="346">
        <v>45702.267534722225</v>
      </c>
      <c r="P473" s="334" t="str">
        <f t="shared" si="4"/>
        <v>東鐵関西:直納ＨＳ１(単体H1/電特A/HS))</v>
      </c>
    </row>
    <row r="474" ht="15.75" customHeight="1">
      <c r="A474" s="335" t="s">
        <v>1673</v>
      </c>
      <c r="B474" s="336">
        <v>45702.0</v>
      </c>
      <c r="C474" s="335" t="s">
        <v>531</v>
      </c>
      <c r="D474" s="335" t="s">
        <v>77</v>
      </c>
      <c r="E474" s="337" t="str">
        <f t="shared" si="1"/>
        <v>東鐵関西:直納</v>
      </c>
      <c r="F474" s="338" t="s">
        <v>111</v>
      </c>
      <c r="G474" s="339" t="str">
        <f t="shared" si="2"/>
        <v>東鐵関西:直納Ｈ１(特A)</v>
      </c>
      <c r="H474" s="340">
        <f t="shared" si="3"/>
        <v>43</v>
      </c>
      <c r="I474" s="341">
        <v>0.5</v>
      </c>
      <c r="J474" s="332">
        <f>IFERROR(__xludf.DUMMYFUNCTION("IF(IF(COUNTIF(P$2:P473, P474)=0, """", INDEX(H$2:H473,
MAX(FILTER(ROW(H$2:H473) - ROW(H$2) + 1, P$2:P473 = P474))))=""単価"","""",
IF(COUNTIF(P$2:P473, P474)=0, """", INDEX(H$2:H473,
MAX(FILTER(ROW(H$2:H473) - ROW(H$2) + 1, P$2:P473 = P474)))))"),42.5)</f>
        <v>42.5</v>
      </c>
      <c r="N474" s="335" t="str">
        <f>IF(MAXIFS('単価履歴'!$O:$O,'単価履歴'!$E:$E,E474,'単価履歴'!$F:$F,F474)=O474,"●","")</f>
        <v/>
      </c>
      <c r="O474" s="346">
        <v>45702.267534722225</v>
      </c>
      <c r="P474" s="334" t="str">
        <f t="shared" si="4"/>
        <v>東鐵関西:直納Ｈ１(特A)</v>
      </c>
    </row>
    <row r="475" ht="15.75" customHeight="1">
      <c r="A475" s="335" t="s">
        <v>1674</v>
      </c>
      <c r="B475" s="336">
        <v>45702.0</v>
      </c>
      <c r="C475" s="335" t="s">
        <v>531</v>
      </c>
      <c r="D475" s="335" t="s">
        <v>77</v>
      </c>
      <c r="E475" s="337" t="str">
        <f t="shared" si="1"/>
        <v>東鐵関西:直納</v>
      </c>
      <c r="F475" s="338" t="s">
        <v>116</v>
      </c>
      <c r="G475" s="339" t="str">
        <f t="shared" si="2"/>
        <v>東鐵関西:直納Ｈ２(特級)</v>
      </c>
      <c r="H475" s="340">
        <f t="shared" si="3"/>
        <v>41</v>
      </c>
      <c r="I475" s="341">
        <v>0.5</v>
      </c>
      <c r="J475" s="332">
        <f>IFERROR(__xludf.DUMMYFUNCTION("IF(IF(COUNTIF(P$2:P474, P475)=0, """", INDEX(H$2:H474,
MAX(FILTER(ROW(H$2:H474) - ROW(H$2) + 1, P$2:P474 = P475))))=""単価"","""",
IF(COUNTIF(P$2:P474, P475)=0, """", INDEX(H$2:H474,
MAX(FILTER(ROW(H$2:H474) - ROW(H$2) + 1, P$2:P474 = P475)))))"),40.5)</f>
        <v>40.5</v>
      </c>
      <c r="N475" s="335" t="str">
        <f>IF(MAXIFS('単価履歴'!$O:$O,'単価履歴'!$E:$E,E475,'単価履歴'!$F:$F,F475)=O475,"●","")</f>
        <v/>
      </c>
      <c r="O475" s="346">
        <v>45702.267534722225</v>
      </c>
      <c r="P475" s="334" t="str">
        <f t="shared" si="4"/>
        <v>東鐵関西:直納Ｈ２(特級)</v>
      </c>
    </row>
    <row r="476" ht="15.75" customHeight="1">
      <c r="A476" s="335" t="s">
        <v>1675</v>
      </c>
      <c r="B476" s="336">
        <v>45702.0</v>
      </c>
      <c r="C476" s="335" t="s">
        <v>531</v>
      </c>
      <c r="D476" s="335" t="s">
        <v>77</v>
      </c>
      <c r="E476" s="337" t="str">
        <f t="shared" si="1"/>
        <v>東鐵関西:直納</v>
      </c>
      <c r="F476" s="338" t="s">
        <v>119</v>
      </c>
      <c r="G476" s="339" t="str">
        <f t="shared" si="2"/>
        <v>東鐵関西:直納Ｈ３(1級)</v>
      </c>
      <c r="H476" s="340">
        <f t="shared" si="3"/>
        <v>41</v>
      </c>
      <c r="I476" s="341">
        <v>0.5</v>
      </c>
      <c r="J476" s="332">
        <f>IFERROR(__xludf.DUMMYFUNCTION("IF(IF(COUNTIF(P$2:P475, P476)=0, """", INDEX(H$2:H475,
MAX(FILTER(ROW(H$2:H475) - ROW(H$2) + 1, P$2:P475 = P476))))=""単価"","""",
IF(COUNTIF(P$2:P475, P476)=0, """", INDEX(H$2:H475,
MAX(FILTER(ROW(H$2:H475) - ROW(H$2) + 1, P$2:P475 = P476)))))"),40.5)</f>
        <v>40.5</v>
      </c>
      <c r="N476" s="335" t="str">
        <f>IF(MAXIFS('単価履歴'!$O:$O,'単価履歴'!$E:$E,E476,'単価履歴'!$F:$F,F476)=O476,"●","")</f>
        <v/>
      </c>
      <c r="O476" s="346">
        <v>45702.267534722225</v>
      </c>
      <c r="P476" s="334" t="str">
        <f t="shared" si="4"/>
        <v>東鐵関西:直納Ｈ３(1級)</v>
      </c>
    </row>
    <row r="477" ht="15.75" customHeight="1">
      <c r="A477" s="335" t="s">
        <v>1676</v>
      </c>
      <c r="B477" s="336">
        <v>45702.0</v>
      </c>
      <c r="C477" s="335" t="s">
        <v>531</v>
      </c>
      <c r="D477" s="335" t="s">
        <v>77</v>
      </c>
      <c r="E477" s="337" t="str">
        <f t="shared" si="1"/>
        <v>東鐵関西:直納</v>
      </c>
      <c r="F477" s="338" t="s">
        <v>122</v>
      </c>
      <c r="G477" s="339" t="str">
        <f t="shared" si="2"/>
        <v>東鐵関西:直納Ｌ１(2級)</v>
      </c>
      <c r="H477" s="340">
        <f t="shared" si="3"/>
        <v>39</v>
      </c>
      <c r="I477" s="341">
        <v>0.5</v>
      </c>
      <c r="J477" s="332">
        <f>IFERROR(__xludf.DUMMYFUNCTION("IF(IF(COUNTIF(P$2:P476, P477)=0, """", INDEX(H$2:H476,
MAX(FILTER(ROW(H$2:H476) - ROW(H$2) + 1, P$2:P476 = P477))))=""単価"","""",
IF(COUNTIF(P$2:P476, P477)=0, """", INDEX(H$2:H476,
MAX(FILTER(ROW(H$2:H476) - ROW(H$2) + 1, P$2:P476 = P477)))))"),38.5)</f>
        <v>38.5</v>
      </c>
      <c r="N477" s="335" t="str">
        <f>IF(MAXIFS('単価履歴'!$O:$O,'単価履歴'!$E:$E,E477,'単価履歴'!$F:$F,F477)=O477,"●","")</f>
        <v/>
      </c>
      <c r="O477" s="346">
        <v>45702.267534722225</v>
      </c>
      <c r="P477" s="334" t="str">
        <f t="shared" si="4"/>
        <v>東鐵関西:直納Ｌ１(2級)</v>
      </c>
    </row>
    <row r="478" ht="15.75" customHeight="1">
      <c r="A478" s="335" t="s">
        <v>1677</v>
      </c>
      <c r="B478" s="336">
        <v>45702.0</v>
      </c>
      <c r="C478" s="335" t="s">
        <v>531</v>
      </c>
      <c r="D478" s="335" t="s">
        <v>77</v>
      </c>
      <c r="E478" s="337" t="str">
        <f t="shared" si="1"/>
        <v>東鐵関西:直納</v>
      </c>
      <c r="F478" s="338" t="s">
        <v>573</v>
      </c>
      <c r="G478" s="339" t="str">
        <f t="shared" si="2"/>
        <v>東鐵関西:直納Ｌ２(H4･級外･L1ﾊﾞﾗ)</v>
      </c>
      <c r="H478" s="340">
        <f t="shared" si="3"/>
        <v>36</v>
      </c>
      <c r="I478" s="341">
        <v>0.5</v>
      </c>
      <c r="J478" s="332">
        <f>IFERROR(__xludf.DUMMYFUNCTION("IF(IF(COUNTIF(P$2:P477, P478)=0, """", INDEX(H$2:H477,
MAX(FILTER(ROW(H$2:H477) - ROW(H$2) + 1, P$2:P477 = P478))))=""単価"","""",
IF(COUNTIF(P$2:P477, P478)=0, """", INDEX(H$2:H477,
MAX(FILTER(ROW(H$2:H477) - ROW(H$2) + 1, P$2:P477 = P478)))))"),35.5)</f>
        <v>35.5</v>
      </c>
      <c r="N478" s="335" t="str">
        <f>IF(MAXIFS('単価履歴'!$O:$O,'単価履歴'!$E:$E,E478,'単価履歴'!$F:$F,F478)=O478,"●","")</f>
        <v/>
      </c>
      <c r="O478" s="346">
        <v>45702.267534722225</v>
      </c>
      <c r="P478" s="334" t="str">
        <f t="shared" si="4"/>
        <v>東鐵関西:直納Ｌ２(H4･級外･L1ﾊﾞﾗ)</v>
      </c>
    </row>
    <row r="479" ht="15.75" customHeight="1">
      <c r="A479" s="335" t="s">
        <v>1678</v>
      </c>
      <c r="B479" s="336">
        <v>45702.0</v>
      </c>
      <c r="C479" s="335" t="s">
        <v>531</v>
      </c>
      <c r="D479" s="335" t="s">
        <v>77</v>
      </c>
      <c r="E479" s="337" t="str">
        <f t="shared" si="1"/>
        <v>東鐵関西:直納</v>
      </c>
      <c r="F479" s="338" t="s">
        <v>145</v>
      </c>
      <c r="G479" s="339" t="str">
        <f t="shared" si="2"/>
        <v>東鐵関西:直納シュレＡ</v>
      </c>
      <c r="H479" s="340">
        <f t="shared" si="3"/>
        <v>43</v>
      </c>
      <c r="I479" s="341">
        <v>0.5</v>
      </c>
      <c r="J479" s="332">
        <f>IFERROR(__xludf.DUMMYFUNCTION("IF(IF(COUNTIF(P$2:P478, P479)=0, """", INDEX(H$2:H478,
MAX(FILTER(ROW(H$2:H478) - ROW(H$2) + 1, P$2:P478 = P479))))=""単価"","""",
IF(COUNTIF(P$2:P478, P479)=0, """", INDEX(H$2:H478,
MAX(FILTER(ROW(H$2:H478) - ROW(H$2) + 1, P$2:P478 = P479)))))"),42.5)</f>
        <v>42.5</v>
      </c>
      <c r="N479" s="335" t="str">
        <f>IF(MAXIFS('単価履歴'!$O:$O,'単価履歴'!$E:$E,E479,'単価履歴'!$F:$F,F479)=O479,"●","")</f>
        <v/>
      </c>
      <c r="O479" s="346">
        <v>45702.267534722225</v>
      </c>
      <c r="P479" s="334" t="str">
        <f t="shared" si="4"/>
        <v>東鐵関西:直納シュレＡ</v>
      </c>
    </row>
    <row r="480" ht="15.75" customHeight="1">
      <c r="A480" s="335" t="s">
        <v>1679</v>
      </c>
      <c r="B480" s="336">
        <v>45702.0</v>
      </c>
      <c r="C480" s="335" t="s">
        <v>531</v>
      </c>
      <c r="D480" s="335" t="s">
        <v>77</v>
      </c>
      <c r="E480" s="337" t="str">
        <f t="shared" si="1"/>
        <v>東鐵関西:直納</v>
      </c>
      <c r="F480" s="338" t="s">
        <v>151</v>
      </c>
      <c r="G480" s="339" t="str">
        <f t="shared" si="2"/>
        <v>東鐵関西:直納シュレＣ</v>
      </c>
      <c r="H480" s="340">
        <f t="shared" si="3"/>
        <v>42</v>
      </c>
      <c r="I480" s="341">
        <v>0.5</v>
      </c>
      <c r="J480" s="332">
        <f>IFERROR(__xludf.DUMMYFUNCTION("IF(IF(COUNTIF(P$2:P479, P480)=0, """", INDEX(H$2:H479,
MAX(FILTER(ROW(H$2:H479) - ROW(H$2) + 1, P$2:P479 = P480))))=""単価"","""",
IF(COUNTIF(P$2:P479, P480)=0, """", INDEX(H$2:H479,
MAX(FILTER(ROW(H$2:H479) - ROW(H$2) + 1, P$2:P479 = P480)))))"),41.5)</f>
        <v>41.5</v>
      </c>
      <c r="N480" s="335" t="str">
        <f>IF(MAXIFS('単価履歴'!$O:$O,'単価履歴'!$E:$E,E480,'単価履歴'!$F:$F,F480)=O480,"●","")</f>
        <v/>
      </c>
      <c r="O480" s="346">
        <v>45702.267534722225</v>
      </c>
      <c r="P480" s="334" t="str">
        <f t="shared" si="4"/>
        <v>東鐵関西:直納シュレＣ</v>
      </c>
    </row>
    <row r="481" ht="15.75" customHeight="1">
      <c r="A481" s="335" t="s">
        <v>1680</v>
      </c>
      <c r="B481" s="336">
        <v>45702.0</v>
      </c>
      <c r="C481" s="335" t="s">
        <v>5</v>
      </c>
      <c r="D481" s="335" t="s">
        <v>46</v>
      </c>
      <c r="E481" s="337" t="str">
        <f t="shared" si="1"/>
        <v>中山製鋼:阪和</v>
      </c>
      <c r="F481" s="338" t="s">
        <v>101</v>
      </c>
      <c r="G481" s="339" t="str">
        <f t="shared" si="2"/>
        <v>中山製鋼:阪和ＨＳ２</v>
      </c>
      <c r="H481" s="340">
        <f t="shared" si="3"/>
        <v>45.4</v>
      </c>
      <c r="I481" s="341">
        <v>1.0</v>
      </c>
      <c r="J481" s="332">
        <f>IFERROR(__xludf.DUMMYFUNCTION("IF(IF(COUNTIF(P$2:P480, P481)=0, """", INDEX(H$2:H480,
MAX(FILTER(ROW(H$2:H480) - ROW(H$2) + 1, P$2:P480 = P481))))=""単価"","""",
IF(COUNTIF(P$2:P480, P481)=0, """", INDEX(H$2:H480,
MAX(FILTER(ROW(H$2:H480) - ROW(H$2) + 1, P$2:P480 = P481)))))"),44.4)</f>
        <v>44.4</v>
      </c>
      <c r="N481" s="335" t="str">
        <f>IF(MAXIFS('単価履歴'!$O:$O,'単価履歴'!$E:$E,E481,'単価履歴'!$F:$F,F481)=O481,"●","")</f>
        <v/>
      </c>
      <c r="O481" s="346">
        <v>45702.26861111111</v>
      </c>
      <c r="P481" s="334" t="str">
        <f t="shared" si="4"/>
        <v>中山製鋼:阪和ＨＳ２</v>
      </c>
    </row>
    <row r="482" ht="15.75" customHeight="1">
      <c r="A482" s="335" t="s">
        <v>1681</v>
      </c>
      <c r="B482" s="336">
        <v>45702.0</v>
      </c>
      <c r="C482" s="335" t="s">
        <v>5</v>
      </c>
      <c r="D482" s="335" t="s">
        <v>46</v>
      </c>
      <c r="E482" s="337" t="str">
        <f t="shared" si="1"/>
        <v>中山製鋼:阪和</v>
      </c>
      <c r="F482" s="338" t="s">
        <v>108</v>
      </c>
      <c r="G482" s="339" t="str">
        <f t="shared" si="2"/>
        <v>中山製鋼:阪和Ｈ１/ｻﾑﾃｯｸ</v>
      </c>
      <c r="H482" s="340">
        <f t="shared" si="3"/>
        <v>1.5</v>
      </c>
      <c r="I482" s="341">
        <v>1.0</v>
      </c>
      <c r="J482" s="332">
        <f>IFERROR(__xludf.DUMMYFUNCTION("IF(IF(COUNTIF(P$2:P481, P482)=0, """", INDEX(H$2:H481,
MAX(FILTER(ROW(H$2:H481) - ROW(H$2) + 1, P$2:P481 = P482))))=""単価"","""",
IF(COUNTIF(P$2:P481, P482)=0, """", INDEX(H$2:H481,
MAX(FILTER(ROW(H$2:H481) - ROW(H$2) + 1, P$2:P481 = P482)))))"),0.5)</f>
        <v>0.5</v>
      </c>
      <c r="N482" s="335" t="str">
        <f>IF(MAXIFS('単価履歴'!$O:$O,'単価履歴'!$E:$E,E482,'単価履歴'!$F:$F,F482)=O482,"●","")</f>
        <v/>
      </c>
      <c r="O482" s="346">
        <v>45702.26861111111</v>
      </c>
      <c r="P482" s="334" t="str">
        <f t="shared" si="4"/>
        <v>中山製鋼:阪和Ｈ１/ｻﾑﾃｯｸ</v>
      </c>
    </row>
    <row r="483" ht="15.75" customHeight="1">
      <c r="A483" s="335" t="s">
        <v>1682</v>
      </c>
      <c r="B483" s="336">
        <v>45702.0</v>
      </c>
      <c r="C483" s="335" t="s">
        <v>5</v>
      </c>
      <c r="D483" s="335" t="s">
        <v>46</v>
      </c>
      <c r="E483" s="337" t="str">
        <f t="shared" si="1"/>
        <v>中山製鋼:阪和</v>
      </c>
      <c r="F483" s="338" t="s">
        <v>111</v>
      </c>
      <c r="G483" s="339" t="str">
        <f t="shared" si="2"/>
        <v>中山製鋼:阪和Ｈ１(特A)</v>
      </c>
      <c r="H483" s="340">
        <f t="shared" si="3"/>
        <v>43</v>
      </c>
      <c r="I483" s="341">
        <v>1.0</v>
      </c>
      <c r="J483" s="332">
        <f>IFERROR(__xludf.DUMMYFUNCTION("IF(IF(COUNTIF(P$2:P482, P483)=0, """", INDEX(H$2:H482,
MAX(FILTER(ROW(H$2:H482) - ROW(H$2) + 1, P$2:P482 = P483))))=""単価"","""",
IF(COUNTIF(P$2:P482, P483)=0, """", INDEX(H$2:H482,
MAX(FILTER(ROW(H$2:H482) - ROW(H$2) + 1, P$2:P482 = P483)))))"),42.0)</f>
        <v>42</v>
      </c>
      <c r="N483" s="335" t="str">
        <f>IF(MAXIFS('単価履歴'!$O:$O,'単価履歴'!$E:$E,E483,'単価履歴'!$F:$F,F483)=O483,"●","")</f>
        <v/>
      </c>
      <c r="O483" s="346">
        <v>45702.26861111111</v>
      </c>
      <c r="P483" s="334" t="str">
        <f t="shared" si="4"/>
        <v>中山製鋼:阪和Ｈ１(特A)</v>
      </c>
    </row>
    <row r="484" ht="15.75" customHeight="1">
      <c r="A484" s="335" t="s">
        <v>1683</v>
      </c>
      <c r="B484" s="336">
        <v>45702.0</v>
      </c>
      <c r="C484" s="335" t="s">
        <v>5</v>
      </c>
      <c r="D484" s="335" t="s">
        <v>46</v>
      </c>
      <c r="E484" s="337" t="str">
        <f t="shared" si="1"/>
        <v>中山製鋼:阪和</v>
      </c>
      <c r="F484" s="338" t="s">
        <v>116</v>
      </c>
      <c r="G484" s="339" t="str">
        <f t="shared" si="2"/>
        <v>中山製鋼:阪和Ｈ２(特級)</v>
      </c>
      <c r="H484" s="340">
        <f t="shared" si="3"/>
        <v>33.3</v>
      </c>
      <c r="I484" s="341">
        <v>1.0</v>
      </c>
      <c r="J484" s="332">
        <f>IFERROR(__xludf.DUMMYFUNCTION("IF(IF(COUNTIF(P$2:P483, P484)=0, """", INDEX(H$2:H483,
MAX(FILTER(ROW(H$2:H483) - ROW(H$2) + 1, P$2:P483 = P484))))=""単価"","""",
IF(COUNTIF(P$2:P483, P484)=0, """", INDEX(H$2:H483,
MAX(FILTER(ROW(H$2:H483) - ROW(H$2) + 1, P$2:P483 = P484)))))"),32.3)</f>
        <v>32.3</v>
      </c>
      <c r="N484" s="335" t="str">
        <f>IF(MAXIFS('単価履歴'!$O:$O,'単価履歴'!$E:$E,E484,'単価履歴'!$F:$F,F484)=O484,"●","")</f>
        <v/>
      </c>
      <c r="O484" s="346">
        <v>45702.26861111111</v>
      </c>
      <c r="P484" s="334" t="str">
        <f t="shared" si="4"/>
        <v>中山製鋼:阪和Ｈ２(特級)</v>
      </c>
    </row>
    <row r="485" ht="15.75" customHeight="1">
      <c r="A485" s="335" t="s">
        <v>1684</v>
      </c>
      <c r="B485" s="336">
        <v>45702.0</v>
      </c>
      <c r="C485" s="335" t="s">
        <v>5</v>
      </c>
      <c r="D485" s="335" t="s">
        <v>46</v>
      </c>
      <c r="E485" s="337" t="str">
        <f t="shared" si="1"/>
        <v>中山製鋼:阪和</v>
      </c>
      <c r="F485" s="338" t="s">
        <v>119</v>
      </c>
      <c r="G485" s="339" t="str">
        <f t="shared" si="2"/>
        <v>中山製鋼:阪和Ｈ３(1級)</v>
      </c>
      <c r="H485" s="340">
        <f t="shared" si="3"/>
        <v>34.3</v>
      </c>
      <c r="I485" s="341">
        <v>1.0</v>
      </c>
      <c r="J485" s="332">
        <f>IFERROR(__xludf.DUMMYFUNCTION("IF(IF(COUNTIF(P$2:P484, P485)=0, """", INDEX(H$2:H484,
MAX(FILTER(ROW(H$2:H484) - ROW(H$2) + 1, P$2:P484 = P485))))=""単価"","""",
IF(COUNTIF(P$2:P484, P485)=0, """", INDEX(H$2:H484,
MAX(FILTER(ROW(H$2:H484) - ROW(H$2) + 1, P$2:P484 = P485)))))"),33.3)</f>
        <v>33.3</v>
      </c>
      <c r="N485" s="335" t="str">
        <f>IF(MAXIFS('単価履歴'!$O:$O,'単価履歴'!$E:$E,E485,'単価履歴'!$F:$F,F485)=O485,"●","")</f>
        <v/>
      </c>
      <c r="O485" s="346">
        <v>45702.26861111111</v>
      </c>
      <c r="P485" s="334" t="str">
        <f t="shared" si="4"/>
        <v>中山製鋼:阪和Ｈ３(1級)</v>
      </c>
    </row>
    <row r="486" ht="15.75" customHeight="1">
      <c r="A486" s="335" t="s">
        <v>1685</v>
      </c>
      <c r="B486" s="336">
        <v>45702.0</v>
      </c>
      <c r="C486" s="335" t="s">
        <v>5</v>
      </c>
      <c r="D486" s="335" t="s">
        <v>46</v>
      </c>
      <c r="E486" s="337" t="str">
        <f t="shared" si="1"/>
        <v>中山製鋼:阪和</v>
      </c>
      <c r="F486" s="338" t="s">
        <v>122</v>
      </c>
      <c r="G486" s="339" t="str">
        <f t="shared" si="2"/>
        <v>中山製鋼:阪和Ｌ１(2級)</v>
      </c>
      <c r="H486" s="340">
        <f t="shared" si="3"/>
        <v>27.8</v>
      </c>
      <c r="I486" s="341">
        <v>1.0</v>
      </c>
      <c r="J486" s="332">
        <f>IFERROR(__xludf.DUMMYFUNCTION("IF(IF(COUNTIF(P$2:P485, P486)=0, """", INDEX(H$2:H485,
MAX(FILTER(ROW(H$2:H485) - ROW(H$2) + 1, P$2:P485 = P486))))=""単価"","""",
IF(COUNTIF(P$2:P485, P486)=0, """", INDEX(H$2:H485,
MAX(FILTER(ROW(H$2:H485) - ROW(H$2) + 1, P$2:P485 = P486)))))"),26.8)</f>
        <v>26.8</v>
      </c>
      <c r="N486" s="335" t="str">
        <f>IF(MAXIFS('単価履歴'!$O:$O,'単価履歴'!$E:$E,E486,'単価履歴'!$F:$F,F486)=O486,"●","")</f>
        <v/>
      </c>
      <c r="O486" s="346">
        <v>45702.26861111111</v>
      </c>
      <c r="P486" s="334" t="str">
        <f t="shared" si="4"/>
        <v>中山製鋼:阪和Ｌ１(2級)</v>
      </c>
    </row>
    <row r="487" ht="15.75" customHeight="1">
      <c r="A487" s="335" t="s">
        <v>1686</v>
      </c>
      <c r="B487" s="336">
        <v>45702.0</v>
      </c>
      <c r="C487" s="335" t="s">
        <v>5</v>
      </c>
      <c r="D487" s="335" t="s">
        <v>46</v>
      </c>
      <c r="E487" s="337" t="str">
        <f t="shared" si="1"/>
        <v>中山製鋼:阪和</v>
      </c>
      <c r="F487" s="338" t="s">
        <v>130</v>
      </c>
      <c r="G487" s="339" t="str">
        <f t="shared" si="2"/>
        <v>中山製鋼:阪和新断Ａ</v>
      </c>
      <c r="H487" s="340">
        <f t="shared" si="3"/>
        <v>46.8</v>
      </c>
      <c r="I487" s="341">
        <v>1.0</v>
      </c>
      <c r="J487" s="332">
        <f>IFERROR(__xludf.DUMMYFUNCTION("IF(IF(COUNTIF(P$2:P486, P487)=0, """", INDEX(H$2:H486,
MAX(FILTER(ROW(H$2:H486) - ROW(H$2) + 1, P$2:P486 = P487))))=""単価"","""",
IF(COUNTIF(P$2:P486, P487)=0, """", INDEX(H$2:H486,
MAX(FILTER(ROW(H$2:H486) - ROW(H$2) + 1, P$2:P486 = P487)))))"),45.8)</f>
        <v>45.8</v>
      </c>
      <c r="N487" s="335" t="str">
        <f>IF(MAXIFS('単価履歴'!$O:$O,'単価履歴'!$E:$E,E487,'単価履歴'!$F:$F,F487)=O487,"●","")</f>
        <v/>
      </c>
      <c r="O487" s="346">
        <v>45702.26861111111</v>
      </c>
      <c r="P487" s="334" t="str">
        <f t="shared" si="4"/>
        <v>中山製鋼:阪和新断Ａ</v>
      </c>
    </row>
    <row r="488" ht="15.75" customHeight="1">
      <c r="A488" s="335" t="s">
        <v>1687</v>
      </c>
      <c r="B488" s="336">
        <v>45702.0</v>
      </c>
      <c r="C488" s="335" t="s">
        <v>5</v>
      </c>
      <c r="D488" s="335" t="s">
        <v>46</v>
      </c>
      <c r="E488" s="337" t="str">
        <f t="shared" si="1"/>
        <v>中山製鋼:阪和</v>
      </c>
      <c r="F488" s="338" t="s">
        <v>131</v>
      </c>
      <c r="G488" s="339" t="str">
        <f t="shared" si="2"/>
        <v>中山製鋼:阪和新断Ｂ</v>
      </c>
      <c r="H488" s="340">
        <f t="shared" si="3"/>
        <v>45.8</v>
      </c>
      <c r="I488" s="341">
        <v>1.0</v>
      </c>
      <c r="J488" s="332">
        <f>IFERROR(__xludf.DUMMYFUNCTION("IF(IF(COUNTIF(P$2:P487, P488)=0, """", INDEX(H$2:H487,
MAX(FILTER(ROW(H$2:H487) - ROW(H$2) + 1, P$2:P487 = P488))))=""単価"","""",
IF(COUNTIF(P$2:P487, P488)=0, """", INDEX(H$2:H487,
MAX(FILTER(ROW(H$2:H487) - ROW(H$2) + 1, P$2:P487 = P488)))))"),44.8)</f>
        <v>44.8</v>
      </c>
      <c r="N488" s="335" t="str">
        <f>IF(MAXIFS('単価履歴'!$O:$O,'単価履歴'!$E:$E,E488,'単価履歴'!$F:$F,F488)=O488,"●","")</f>
        <v/>
      </c>
      <c r="O488" s="346">
        <v>45702.26861111111</v>
      </c>
      <c r="P488" s="334" t="str">
        <f t="shared" si="4"/>
        <v>中山製鋼:阪和新断Ｂ</v>
      </c>
    </row>
    <row r="489" ht="15.75" customHeight="1">
      <c r="A489" s="335" t="s">
        <v>1688</v>
      </c>
      <c r="B489" s="336">
        <v>45702.0</v>
      </c>
      <c r="C489" s="335" t="s">
        <v>5</v>
      </c>
      <c r="D489" s="335" t="s">
        <v>46</v>
      </c>
      <c r="E489" s="337" t="str">
        <f t="shared" si="1"/>
        <v>中山製鋼:阪和</v>
      </c>
      <c r="F489" s="338" t="s">
        <v>574</v>
      </c>
      <c r="G489" s="339" t="str">
        <f t="shared" si="2"/>
        <v>中山製鋼:阪和新断Ｃ</v>
      </c>
      <c r="H489" s="340">
        <f t="shared" si="3"/>
        <v>44.8</v>
      </c>
      <c r="I489" s="341">
        <v>1.0</v>
      </c>
      <c r="J489" s="332">
        <f>IFERROR(__xludf.DUMMYFUNCTION("IF(IF(COUNTIF(P$2:P488, P489)=0, """", INDEX(H$2:H488,
MAX(FILTER(ROW(H$2:H488) - ROW(H$2) + 1, P$2:P488 = P489))))=""単価"","""",
IF(COUNTIF(P$2:P488, P489)=0, """", INDEX(H$2:H488,
MAX(FILTER(ROW(H$2:H488) - ROW(H$2) + 1, P$2:P488 = P489)))))"),43.8)</f>
        <v>43.8</v>
      </c>
      <c r="N489" s="335" t="str">
        <f>IF(MAXIFS('単価履歴'!$O:$O,'単価履歴'!$E:$E,E489,'単価履歴'!$F:$F,F489)=O489,"●","")</f>
        <v/>
      </c>
      <c r="O489" s="346">
        <v>45702.26861111111</v>
      </c>
      <c r="P489" s="334" t="str">
        <f t="shared" si="4"/>
        <v>中山製鋼:阪和新断Ｃ</v>
      </c>
    </row>
    <row r="490" ht="15.75" customHeight="1">
      <c r="A490" s="335" t="s">
        <v>1689</v>
      </c>
      <c r="B490" s="336">
        <v>45702.0</v>
      </c>
      <c r="C490" s="335" t="s">
        <v>5</v>
      </c>
      <c r="D490" s="335" t="s">
        <v>46</v>
      </c>
      <c r="E490" s="337" t="str">
        <f t="shared" si="1"/>
        <v>中山製鋼:阪和</v>
      </c>
      <c r="F490" s="338" t="s">
        <v>1199</v>
      </c>
      <c r="G490" s="339" t="str">
        <f t="shared" si="2"/>
        <v>中山製鋼:阪和ＨＳ１(単体H1/電特A/HS))</v>
      </c>
      <c r="H490" s="340">
        <f t="shared" si="3"/>
        <v>1.5</v>
      </c>
      <c r="I490" s="341">
        <v>1.0</v>
      </c>
      <c r="J490" s="332">
        <f>IFERROR(__xludf.DUMMYFUNCTION("IF(IF(COUNTIF(P$2:P489, P490)=0, """", INDEX(H$2:H489,
MAX(FILTER(ROW(H$2:H489) - ROW(H$2) + 1, P$2:P489 = P490))))=""単価"","""",
IF(COUNTIF(P$2:P489, P490)=0, """", INDEX(H$2:H489,
MAX(FILTER(ROW(H$2:H489) - ROW(H$2) + 1, P$2:P489 = P490)))))"),0.5)</f>
        <v>0.5</v>
      </c>
      <c r="N490" s="335" t="str">
        <f>IF(MAXIFS('単価履歴'!$O:$O,'単価履歴'!$E:$E,E490,'単価履歴'!$F:$F,F490)=O490,"●","")</f>
        <v/>
      </c>
      <c r="O490" s="346">
        <v>45702.26861111111</v>
      </c>
      <c r="P490" s="334" t="str">
        <f t="shared" si="4"/>
        <v>中山製鋼:阪和ＨＳ１(単体H1/電特A/HS))</v>
      </c>
    </row>
    <row r="491" ht="15.75" customHeight="1">
      <c r="A491" s="335" t="s">
        <v>1690</v>
      </c>
      <c r="B491" s="336">
        <v>45702.0</v>
      </c>
      <c r="C491" s="335" t="s">
        <v>5</v>
      </c>
      <c r="D491" s="335" t="s">
        <v>47</v>
      </c>
      <c r="E491" s="337" t="str">
        <f t="shared" si="1"/>
        <v>中山製鋼:豊通</v>
      </c>
      <c r="F491" s="338" t="s">
        <v>101</v>
      </c>
      <c r="G491" s="339" t="str">
        <f t="shared" si="2"/>
        <v>中山製鋼:豊通ＨＳ２</v>
      </c>
      <c r="H491" s="340">
        <f t="shared" si="3"/>
        <v>45.3</v>
      </c>
      <c r="I491" s="341">
        <v>1.0</v>
      </c>
      <c r="J491" s="332">
        <f>IFERROR(__xludf.DUMMYFUNCTION("IF(IF(COUNTIF(P$2:P490, P491)=0, """", INDEX(H$2:H490,
MAX(FILTER(ROW(H$2:H490) - ROW(H$2) + 1, P$2:P490 = P491))))=""単価"","""",
IF(COUNTIF(P$2:P490, P491)=0, """", INDEX(H$2:H490,
MAX(FILTER(ROW(H$2:H490) - ROW(H$2) + 1, P$2:P490 = P491)))))"),44.3)</f>
        <v>44.3</v>
      </c>
      <c r="N491" s="335" t="str">
        <f>IF(MAXIFS('単価履歴'!$O:$O,'単価履歴'!$E:$E,E491,'単価履歴'!$F:$F,F491)=O491,"●","")</f>
        <v/>
      </c>
      <c r="O491" s="346">
        <v>45702.26861111111</v>
      </c>
      <c r="P491" s="334" t="str">
        <f t="shared" si="4"/>
        <v>中山製鋼:豊通ＨＳ２</v>
      </c>
    </row>
    <row r="492" ht="15.75" customHeight="1">
      <c r="A492" s="335" t="s">
        <v>1691</v>
      </c>
      <c r="B492" s="336">
        <v>45702.0</v>
      </c>
      <c r="C492" s="335" t="s">
        <v>5</v>
      </c>
      <c r="D492" s="335" t="s">
        <v>47</v>
      </c>
      <c r="E492" s="337" t="str">
        <f t="shared" si="1"/>
        <v>中山製鋼:豊通</v>
      </c>
      <c r="F492" s="338" t="s">
        <v>108</v>
      </c>
      <c r="G492" s="339" t="str">
        <f t="shared" si="2"/>
        <v>中山製鋼:豊通Ｈ１/ｻﾑﾃｯｸ</v>
      </c>
      <c r="H492" s="340">
        <f t="shared" si="3"/>
        <v>1.5</v>
      </c>
      <c r="I492" s="341">
        <v>1.0</v>
      </c>
      <c r="J492" s="332">
        <f>IFERROR(__xludf.DUMMYFUNCTION("IF(IF(COUNTIF(P$2:P491, P492)=0, """", INDEX(H$2:H491,
MAX(FILTER(ROW(H$2:H491) - ROW(H$2) + 1, P$2:P491 = P492))))=""単価"","""",
IF(COUNTIF(P$2:P491, P492)=0, """", INDEX(H$2:H491,
MAX(FILTER(ROW(H$2:H491) - ROW(H$2) + 1, P$2:P491 = P492)))))"),0.5)</f>
        <v>0.5</v>
      </c>
      <c r="N492" s="335" t="str">
        <f>IF(MAXIFS('単価履歴'!$O:$O,'単価履歴'!$E:$E,E492,'単価履歴'!$F:$F,F492)=O492,"●","")</f>
        <v/>
      </c>
      <c r="O492" s="346">
        <v>45702.26861111111</v>
      </c>
      <c r="P492" s="334" t="str">
        <f t="shared" si="4"/>
        <v>中山製鋼:豊通Ｈ１/ｻﾑﾃｯｸ</v>
      </c>
    </row>
    <row r="493" ht="15.75" customHeight="1">
      <c r="A493" s="335" t="s">
        <v>1692</v>
      </c>
      <c r="B493" s="336">
        <v>45702.0</v>
      </c>
      <c r="C493" s="335" t="s">
        <v>5</v>
      </c>
      <c r="D493" s="335" t="s">
        <v>47</v>
      </c>
      <c r="E493" s="337" t="str">
        <f t="shared" si="1"/>
        <v>中山製鋼:豊通</v>
      </c>
      <c r="F493" s="338" t="s">
        <v>111</v>
      </c>
      <c r="G493" s="339" t="str">
        <f t="shared" si="2"/>
        <v>中山製鋼:豊通Ｈ１(特A)</v>
      </c>
      <c r="H493" s="340">
        <f t="shared" si="3"/>
        <v>44.3</v>
      </c>
      <c r="I493" s="341">
        <v>1.0</v>
      </c>
      <c r="J493" s="332">
        <f>IFERROR(__xludf.DUMMYFUNCTION("IF(IF(COUNTIF(P$2:P492, P493)=0, """", INDEX(H$2:H492,
MAX(FILTER(ROW(H$2:H492) - ROW(H$2) + 1, P$2:P492 = P493))))=""単価"","""",
IF(COUNTIF(P$2:P492, P493)=0, """", INDEX(H$2:H492,
MAX(FILTER(ROW(H$2:H492) - ROW(H$2) + 1, P$2:P492 = P493)))))"),43.3)</f>
        <v>43.3</v>
      </c>
      <c r="N493" s="335" t="str">
        <f>IF(MAXIFS('単価履歴'!$O:$O,'単価履歴'!$E:$E,E493,'単価履歴'!$F:$F,F493)=O493,"●","")</f>
        <v/>
      </c>
      <c r="O493" s="346">
        <v>45702.26861111111</v>
      </c>
      <c r="P493" s="334" t="str">
        <f t="shared" si="4"/>
        <v>中山製鋼:豊通Ｈ１(特A)</v>
      </c>
    </row>
    <row r="494" ht="15.75" customHeight="1">
      <c r="A494" s="335" t="s">
        <v>1693</v>
      </c>
      <c r="B494" s="336">
        <v>45702.0</v>
      </c>
      <c r="C494" s="335" t="s">
        <v>5</v>
      </c>
      <c r="D494" s="335" t="s">
        <v>47</v>
      </c>
      <c r="E494" s="337" t="str">
        <f t="shared" si="1"/>
        <v>中山製鋼:豊通</v>
      </c>
      <c r="F494" s="338" t="s">
        <v>116</v>
      </c>
      <c r="G494" s="339" t="str">
        <f t="shared" si="2"/>
        <v>中山製鋼:豊通Ｈ２(特級)</v>
      </c>
      <c r="H494" s="340">
        <f t="shared" si="3"/>
        <v>38.3</v>
      </c>
      <c r="I494" s="341">
        <v>1.0</v>
      </c>
      <c r="J494" s="332">
        <f>IFERROR(__xludf.DUMMYFUNCTION("IF(IF(COUNTIF(P$2:P493, P494)=0, """", INDEX(H$2:H493,
MAX(FILTER(ROW(H$2:H493) - ROW(H$2) + 1, P$2:P493 = P494))))=""単価"","""",
IF(COUNTIF(P$2:P493, P494)=0, """", INDEX(H$2:H493,
MAX(FILTER(ROW(H$2:H493) - ROW(H$2) + 1, P$2:P493 = P494)))))"),37.3)</f>
        <v>37.3</v>
      </c>
      <c r="N494" s="335" t="str">
        <f>IF(MAXIFS('単価履歴'!$O:$O,'単価履歴'!$E:$E,E494,'単価履歴'!$F:$F,F494)=O494,"●","")</f>
        <v/>
      </c>
      <c r="O494" s="346">
        <v>45702.26861111111</v>
      </c>
      <c r="P494" s="334" t="str">
        <f t="shared" si="4"/>
        <v>中山製鋼:豊通Ｈ２(特級)</v>
      </c>
    </row>
    <row r="495" ht="15.75" customHeight="1">
      <c r="A495" s="335" t="s">
        <v>1694</v>
      </c>
      <c r="B495" s="336">
        <v>45702.0</v>
      </c>
      <c r="C495" s="335" t="s">
        <v>5</v>
      </c>
      <c r="D495" s="335" t="s">
        <v>47</v>
      </c>
      <c r="E495" s="337" t="str">
        <f t="shared" si="1"/>
        <v>中山製鋼:豊通</v>
      </c>
      <c r="F495" s="338" t="s">
        <v>119</v>
      </c>
      <c r="G495" s="339" t="str">
        <f t="shared" si="2"/>
        <v>中山製鋼:豊通Ｈ３(1級)</v>
      </c>
      <c r="H495" s="340">
        <f t="shared" si="3"/>
        <v>34.3</v>
      </c>
      <c r="I495" s="341">
        <v>1.0</v>
      </c>
      <c r="J495" s="332">
        <f>IFERROR(__xludf.DUMMYFUNCTION("IF(IF(COUNTIF(P$2:P494, P495)=0, """", INDEX(H$2:H494,
MAX(FILTER(ROW(H$2:H494) - ROW(H$2) + 1, P$2:P494 = P495))))=""単価"","""",
IF(COUNTIF(P$2:P494, P495)=0, """", INDEX(H$2:H494,
MAX(FILTER(ROW(H$2:H494) - ROW(H$2) + 1, P$2:P494 = P495)))))"),33.3)</f>
        <v>33.3</v>
      </c>
      <c r="N495" s="335" t="str">
        <f>IF(MAXIFS('単価履歴'!$O:$O,'単価履歴'!$E:$E,E495,'単価履歴'!$F:$F,F495)=O495,"●","")</f>
        <v/>
      </c>
      <c r="O495" s="346">
        <v>45702.26861111111</v>
      </c>
      <c r="P495" s="334" t="str">
        <f t="shared" si="4"/>
        <v>中山製鋼:豊通Ｈ３(1級)</v>
      </c>
    </row>
    <row r="496" ht="15.75" customHeight="1">
      <c r="A496" s="335" t="s">
        <v>1695</v>
      </c>
      <c r="B496" s="336">
        <v>45702.0</v>
      </c>
      <c r="C496" s="335" t="s">
        <v>5</v>
      </c>
      <c r="D496" s="335" t="s">
        <v>47</v>
      </c>
      <c r="E496" s="337" t="str">
        <f t="shared" si="1"/>
        <v>中山製鋼:豊通</v>
      </c>
      <c r="F496" s="338" t="s">
        <v>122</v>
      </c>
      <c r="G496" s="339" t="str">
        <f t="shared" si="2"/>
        <v>中山製鋼:豊通Ｌ１(2級)</v>
      </c>
      <c r="H496" s="340">
        <f t="shared" si="3"/>
        <v>27.8</v>
      </c>
      <c r="I496" s="341">
        <v>1.0</v>
      </c>
      <c r="J496" s="332">
        <f>IFERROR(__xludf.DUMMYFUNCTION("IF(IF(COUNTIF(P$2:P495, P496)=0, """", INDEX(H$2:H495,
MAX(FILTER(ROW(H$2:H495) - ROW(H$2) + 1, P$2:P495 = P496))))=""単価"","""",
IF(COUNTIF(P$2:P495, P496)=0, """", INDEX(H$2:H495,
MAX(FILTER(ROW(H$2:H495) - ROW(H$2) + 1, P$2:P495 = P496)))))"),26.8)</f>
        <v>26.8</v>
      </c>
      <c r="N496" s="335" t="str">
        <f>IF(MAXIFS('単価履歴'!$O:$O,'単価履歴'!$E:$E,E496,'単価履歴'!$F:$F,F496)=O496,"●","")</f>
        <v/>
      </c>
      <c r="O496" s="346">
        <v>45702.26861111111</v>
      </c>
      <c r="P496" s="334" t="str">
        <f t="shared" si="4"/>
        <v>中山製鋼:豊通Ｌ１(2級)</v>
      </c>
    </row>
    <row r="497" ht="15.75" customHeight="1">
      <c r="A497" s="335" t="s">
        <v>1696</v>
      </c>
      <c r="B497" s="336">
        <v>45702.0</v>
      </c>
      <c r="C497" s="335" t="s">
        <v>5</v>
      </c>
      <c r="D497" s="335" t="s">
        <v>47</v>
      </c>
      <c r="E497" s="337" t="str">
        <f t="shared" si="1"/>
        <v>中山製鋼:豊通</v>
      </c>
      <c r="F497" s="338" t="s">
        <v>130</v>
      </c>
      <c r="G497" s="339" t="str">
        <f t="shared" si="2"/>
        <v>中山製鋼:豊通新断Ａ</v>
      </c>
      <c r="H497" s="340">
        <f t="shared" si="3"/>
        <v>46.8</v>
      </c>
      <c r="I497" s="341">
        <v>1.0</v>
      </c>
      <c r="J497" s="332">
        <f>IFERROR(__xludf.DUMMYFUNCTION("IF(IF(COUNTIF(P$2:P496, P497)=0, """", INDEX(H$2:H496,
MAX(FILTER(ROW(H$2:H496) - ROW(H$2) + 1, P$2:P496 = P497))))=""単価"","""",
IF(COUNTIF(P$2:P496, P497)=0, """", INDEX(H$2:H496,
MAX(FILTER(ROW(H$2:H496) - ROW(H$2) + 1, P$2:P496 = P497)))))"),45.8)</f>
        <v>45.8</v>
      </c>
      <c r="N497" s="335" t="str">
        <f>IF(MAXIFS('単価履歴'!$O:$O,'単価履歴'!$E:$E,E497,'単価履歴'!$F:$F,F497)=O497,"●","")</f>
        <v/>
      </c>
      <c r="O497" s="346">
        <v>45702.26861111111</v>
      </c>
      <c r="P497" s="334" t="str">
        <f t="shared" si="4"/>
        <v>中山製鋼:豊通新断Ａ</v>
      </c>
    </row>
    <row r="498" ht="15.75" customHeight="1">
      <c r="A498" s="335" t="s">
        <v>1697</v>
      </c>
      <c r="B498" s="336">
        <v>45702.0</v>
      </c>
      <c r="C498" s="335" t="s">
        <v>5</v>
      </c>
      <c r="D498" s="335" t="s">
        <v>47</v>
      </c>
      <c r="E498" s="337" t="str">
        <f t="shared" si="1"/>
        <v>中山製鋼:豊通</v>
      </c>
      <c r="F498" s="338" t="s">
        <v>131</v>
      </c>
      <c r="G498" s="339" t="str">
        <f t="shared" si="2"/>
        <v>中山製鋼:豊通新断Ｂ</v>
      </c>
      <c r="H498" s="340">
        <f t="shared" si="3"/>
        <v>45.8</v>
      </c>
      <c r="I498" s="341">
        <v>1.0</v>
      </c>
      <c r="J498" s="332">
        <f>IFERROR(__xludf.DUMMYFUNCTION("IF(IF(COUNTIF(P$2:P497, P498)=0, """", INDEX(H$2:H497,
MAX(FILTER(ROW(H$2:H497) - ROW(H$2) + 1, P$2:P497 = P498))))=""単価"","""",
IF(COUNTIF(P$2:P497, P498)=0, """", INDEX(H$2:H497,
MAX(FILTER(ROW(H$2:H497) - ROW(H$2) + 1, P$2:P497 = P498)))))"),44.8)</f>
        <v>44.8</v>
      </c>
      <c r="N498" s="335" t="str">
        <f>IF(MAXIFS('単価履歴'!$O:$O,'単価履歴'!$E:$E,E498,'単価履歴'!$F:$F,F498)=O498,"●","")</f>
        <v/>
      </c>
      <c r="O498" s="346">
        <v>45702.26861111111</v>
      </c>
      <c r="P498" s="334" t="str">
        <f t="shared" si="4"/>
        <v>中山製鋼:豊通新断Ｂ</v>
      </c>
    </row>
    <row r="499" ht="15.75" customHeight="1">
      <c r="A499" s="335" t="s">
        <v>1698</v>
      </c>
      <c r="B499" s="336">
        <v>45702.0</v>
      </c>
      <c r="C499" s="335" t="s">
        <v>5</v>
      </c>
      <c r="D499" s="335" t="s">
        <v>47</v>
      </c>
      <c r="E499" s="337" t="str">
        <f t="shared" si="1"/>
        <v>中山製鋼:豊通</v>
      </c>
      <c r="F499" s="338" t="s">
        <v>574</v>
      </c>
      <c r="G499" s="339" t="str">
        <f t="shared" si="2"/>
        <v>中山製鋼:豊通新断Ｃ</v>
      </c>
      <c r="H499" s="340">
        <f t="shared" si="3"/>
        <v>44.8</v>
      </c>
      <c r="I499" s="341">
        <v>1.0</v>
      </c>
      <c r="J499" s="332">
        <f>IFERROR(__xludf.DUMMYFUNCTION("IF(IF(COUNTIF(P$2:P498, P499)=0, """", INDEX(H$2:H498,
MAX(FILTER(ROW(H$2:H498) - ROW(H$2) + 1, P$2:P498 = P499))))=""単価"","""",
IF(COUNTIF(P$2:P498, P499)=0, """", INDEX(H$2:H498,
MAX(FILTER(ROW(H$2:H498) - ROW(H$2) + 1, P$2:P498 = P499)))))"),43.8)</f>
        <v>43.8</v>
      </c>
      <c r="N499" s="335" t="str">
        <f>IF(MAXIFS('単価履歴'!$O:$O,'単価履歴'!$E:$E,E499,'単価履歴'!$F:$F,F499)=O499,"●","")</f>
        <v/>
      </c>
      <c r="O499" s="346">
        <v>45702.26861111111</v>
      </c>
      <c r="P499" s="334" t="str">
        <f t="shared" si="4"/>
        <v>中山製鋼:豊通新断Ｃ</v>
      </c>
    </row>
    <row r="500" ht="15.75" customHeight="1">
      <c r="A500" s="335" t="s">
        <v>1699</v>
      </c>
      <c r="B500" s="336">
        <v>45702.0</v>
      </c>
      <c r="C500" s="335" t="s">
        <v>5</v>
      </c>
      <c r="D500" s="335" t="s">
        <v>47</v>
      </c>
      <c r="E500" s="337" t="str">
        <f t="shared" si="1"/>
        <v>中山製鋼:豊通</v>
      </c>
      <c r="F500" s="338" t="s">
        <v>1199</v>
      </c>
      <c r="G500" s="339" t="str">
        <f t="shared" si="2"/>
        <v>中山製鋼:豊通ＨＳ１(単体H1/電特A/HS))</v>
      </c>
      <c r="H500" s="340">
        <f t="shared" si="3"/>
        <v>45.3</v>
      </c>
      <c r="I500" s="341">
        <v>1.0</v>
      </c>
      <c r="J500" s="332">
        <f>IFERROR(__xludf.DUMMYFUNCTION("IF(IF(COUNTIF(P$2:P499, P500)=0, """", INDEX(H$2:H499,
MAX(FILTER(ROW(H$2:H499) - ROW(H$2) + 1, P$2:P499 = P500))))=""単価"","""",
IF(COUNTIF(P$2:P499, P500)=0, """", INDEX(H$2:H499,
MAX(FILTER(ROW(H$2:H499) - ROW(H$2) + 1, P$2:P499 = P500)))))"),44.3)</f>
        <v>44.3</v>
      </c>
      <c r="N500" s="335" t="str">
        <f>IF(MAXIFS('単価履歴'!$O:$O,'単価履歴'!$E:$E,E500,'単価履歴'!$F:$F,F500)=O500,"●","")</f>
        <v/>
      </c>
      <c r="O500" s="346">
        <v>45702.26861111111</v>
      </c>
      <c r="P500" s="334" t="str">
        <f t="shared" si="4"/>
        <v>中山製鋼:豊通ＨＳ１(単体H1/電特A/HS))</v>
      </c>
    </row>
    <row r="501" ht="15.75" customHeight="1">
      <c r="A501" s="335" t="s">
        <v>1700</v>
      </c>
      <c r="B501" s="336">
        <v>45702.0</v>
      </c>
      <c r="C501" s="335" t="s">
        <v>5</v>
      </c>
      <c r="D501" s="335" t="s">
        <v>1232</v>
      </c>
      <c r="E501" s="337" t="str">
        <f t="shared" si="1"/>
        <v>中山製鋼:豊通/出張商店</v>
      </c>
      <c r="F501" s="338" t="s">
        <v>101</v>
      </c>
      <c r="G501" s="339" t="str">
        <f t="shared" si="2"/>
        <v>中山製鋼:豊通/出張商店ＨＳ２</v>
      </c>
      <c r="H501" s="340">
        <f t="shared" si="3"/>
        <v>1</v>
      </c>
      <c r="I501" s="341">
        <v>1.0</v>
      </c>
      <c r="J501" s="332" t="str">
        <f>IFERROR(__xludf.DUMMYFUNCTION("IF(IF(COUNTIF(P$2:P500, P501)=0, """", INDEX(H$2:H500,
MAX(FILTER(ROW(H$2:H500) - ROW(H$2) + 1, P$2:P500 = P501))))=""単価"","""",
IF(COUNTIF(P$2:P500, P501)=0, """", INDEX(H$2:H500,
MAX(FILTER(ROW(H$2:H500) - ROW(H$2) + 1, P$2:P500 = P501)))))"),"")</f>
        <v/>
      </c>
      <c r="N501" s="335" t="str">
        <f>IF(MAXIFS('単価履歴'!$O:$O,'単価履歴'!$E:$E,E501,'単価履歴'!$F:$F,F501)=O501,"●","")</f>
        <v/>
      </c>
      <c r="O501" s="346">
        <v>45702.26861111111</v>
      </c>
      <c r="P501" s="334" t="str">
        <f t="shared" si="4"/>
        <v>中山製鋼:豊通/出張商店ＨＳ２</v>
      </c>
    </row>
    <row r="502" ht="15.75" customHeight="1">
      <c r="A502" s="335" t="s">
        <v>1701</v>
      </c>
      <c r="B502" s="336">
        <v>45702.0</v>
      </c>
      <c r="C502" s="335" t="s">
        <v>5</v>
      </c>
      <c r="D502" s="335" t="s">
        <v>1232</v>
      </c>
      <c r="E502" s="337" t="str">
        <f t="shared" si="1"/>
        <v>中山製鋼:豊通/出張商店</v>
      </c>
      <c r="F502" s="338" t="s">
        <v>108</v>
      </c>
      <c r="G502" s="339" t="str">
        <f t="shared" si="2"/>
        <v>中山製鋼:豊通/出張商店Ｈ１/ｻﾑﾃｯｸ</v>
      </c>
      <c r="H502" s="340">
        <f t="shared" si="3"/>
        <v>1</v>
      </c>
      <c r="I502" s="341">
        <v>1.0</v>
      </c>
      <c r="J502" s="332" t="str">
        <f>IFERROR(__xludf.DUMMYFUNCTION("IF(IF(COUNTIF(P$2:P501, P502)=0, """", INDEX(H$2:H501,
MAX(FILTER(ROW(H$2:H501) - ROW(H$2) + 1, P$2:P501 = P502))))=""単価"","""",
IF(COUNTIF(P$2:P501, P502)=0, """", INDEX(H$2:H501,
MAX(FILTER(ROW(H$2:H501) - ROW(H$2) + 1, P$2:P501 = P502)))))"),"")</f>
        <v/>
      </c>
      <c r="N502" s="335" t="str">
        <f>IF(MAXIFS('単価履歴'!$O:$O,'単価履歴'!$E:$E,E502,'単価履歴'!$F:$F,F502)=O502,"●","")</f>
        <v/>
      </c>
      <c r="O502" s="346">
        <v>45702.26861111111</v>
      </c>
      <c r="P502" s="334" t="str">
        <f t="shared" si="4"/>
        <v>中山製鋼:豊通/出張商店Ｈ１/ｻﾑﾃｯｸ</v>
      </c>
    </row>
    <row r="503" ht="15.75" customHeight="1">
      <c r="A503" s="335" t="s">
        <v>1702</v>
      </c>
      <c r="B503" s="336">
        <v>45702.0</v>
      </c>
      <c r="C503" s="335" t="s">
        <v>5</v>
      </c>
      <c r="D503" s="335" t="s">
        <v>1232</v>
      </c>
      <c r="E503" s="337" t="str">
        <f t="shared" si="1"/>
        <v>中山製鋼:豊通/出張商店</v>
      </c>
      <c r="F503" s="338" t="s">
        <v>111</v>
      </c>
      <c r="G503" s="339" t="str">
        <f t="shared" si="2"/>
        <v>中山製鋼:豊通/出張商店Ｈ１(特A)</v>
      </c>
      <c r="H503" s="340">
        <f t="shared" si="3"/>
        <v>1</v>
      </c>
      <c r="I503" s="341">
        <v>1.0</v>
      </c>
      <c r="J503" s="332" t="str">
        <f>IFERROR(__xludf.DUMMYFUNCTION("IF(IF(COUNTIF(P$2:P502, P503)=0, """", INDEX(H$2:H502,
MAX(FILTER(ROW(H$2:H502) - ROW(H$2) + 1, P$2:P502 = P503))))=""単価"","""",
IF(COUNTIF(P$2:P502, P503)=0, """", INDEX(H$2:H502,
MAX(FILTER(ROW(H$2:H502) - ROW(H$2) + 1, P$2:P502 = P503)))))"),"")</f>
        <v/>
      </c>
      <c r="N503" s="335" t="str">
        <f>IF(MAXIFS('単価履歴'!$O:$O,'単価履歴'!$E:$E,E503,'単価履歴'!$F:$F,F503)=O503,"●","")</f>
        <v/>
      </c>
      <c r="O503" s="346">
        <v>45702.26861111111</v>
      </c>
      <c r="P503" s="334" t="str">
        <f t="shared" si="4"/>
        <v>中山製鋼:豊通/出張商店Ｈ１(特A)</v>
      </c>
    </row>
    <row r="504" ht="15.75" customHeight="1">
      <c r="A504" s="335" t="s">
        <v>1703</v>
      </c>
      <c r="B504" s="336">
        <v>45702.0</v>
      </c>
      <c r="C504" s="335" t="s">
        <v>5</v>
      </c>
      <c r="D504" s="335" t="s">
        <v>1232</v>
      </c>
      <c r="E504" s="337" t="str">
        <f t="shared" si="1"/>
        <v>中山製鋼:豊通/出張商店</v>
      </c>
      <c r="F504" s="338" t="s">
        <v>116</v>
      </c>
      <c r="G504" s="339" t="str">
        <f t="shared" si="2"/>
        <v>中山製鋼:豊通/出張商店Ｈ２(特級)</v>
      </c>
      <c r="H504" s="340">
        <f t="shared" si="3"/>
        <v>1</v>
      </c>
      <c r="I504" s="341">
        <v>1.0</v>
      </c>
      <c r="J504" s="332" t="str">
        <f>IFERROR(__xludf.DUMMYFUNCTION("IF(IF(COUNTIF(P$2:P503, P504)=0, """", INDEX(H$2:H503,
MAX(FILTER(ROW(H$2:H503) - ROW(H$2) + 1, P$2:P503 = P504))))=""単価"","""",
IF(COUNTIF(P$2:P503, P504)=0, """", INDEX(H$2:H503,
MAX(FILTER(ROW(H$2:H503) - ROW(H$2) + 1, P$2:P503 = P504)))))"),"")</f>
        <v/>
      </c>
      <c r="N504" s="335" t="str">
        <f>IF(MAXIFS('単価履歴'!$O:$O,'単価履歴'!$E:$E,E504,'単価履歴'!$F:$F,F504)=O504,"●","")</f>
        <v/>
      </c>
      <c r="O504" s="346">
        <v>45702.26861111111</v>
      </c>
      <c r="P504" s="334" t="str">
        <f t="shared" si="4"/>
        <v>中山製鋼:豊通/出張商店Ｈ２(特級)</v>
      </c>
    </row>
    <row r="505" ht="15.75" customHeight="1">
      <c r="A505" s="335" t="s">
        <v>1704</v>
      </c>
      <c r="B505" s="336">
        <v>45702.0</v>
      </c>
      <c r="C505" s="335" t="s">
        <v>5</v>
      </c>
      <c r="D505" s="335" t="s">
        <v>1232</v>
      </c>
      <c r="E505" s="337" t="str">
        <f t="shared" si="1"/>
        <v>中山製鋼:豊通/出張商店</v>
      </c>
      <c r="F505" s="338" t="s">
        <v>119</v>
      </c>
      <c r="G505" s="339" t="str">
        <f t="shared" si="2"/>
        <v>中山製鋼:豊通/出張商店Ｈ３(1級)</v>
      </c>
      <c r="H505" s="340">
        <f t="shared" si="3"/>
        <v>1</v>
      </c>
      <c r="I505" s="341">
        <v>1.0</v>
      </c>
      <c r="J505" s="332" t="str">
        <f>IFERROR(__xludf.DUMMYFUNCTION("IF(IF(COUNTIF(P$2:P504, P505)=0, """", INDEX(H$2:H504,
MAX(FILTER(ROW(H$2:H504) - ROW(H$2) + 1, P$2:P504 = P505))))=""単価"","""",
IF(COUNTIF(P$2:P504, P505)=0, """", INDEX(H$2:H504,
MAX(FILTER(ROW(H$2:H504) - ROW(H$2) + 1, P$2:P504 = P505)))))"),"")</f>
        <v/>
      </c>
      <c r="N505" s="335" t="str">
        <f>IF(MAXIFS('単価履歴'!$O:$O,'単価履歴'!$E:$E,E505,'単価履歴'!$F:$F,F505)=O505,"●","")</f>
        <v/>
      </c>
      <c r="O505" s="346">
        <v>45702.26861111111</v>
      </c>
      <c r="P505" s="334" t="str">
        <f t="shared" si="4"/>
        <v>中山製鋼:豊通/出張商店Ｈ３(1級)</v>
      </c>
    </row>
    <row r="506" ht="15.75" customHeight="1">
      <c r="A506" s="335" t="s">
        <v>1705</v>
      </c>
      <c r="B506" s="336">
        <v>45702.0</v>
      </c>
      <c r="C506" s="335" t="s">
        <v>5</v>
      </c>
      <c r="D506" s="335" t="s">
        <v>1232</v>
      </c>
      <c r="E506" s="337" t="str">
        <f t="shared" si="1"/>
        <v>中山製鋼:豊通/出張商店</v>
      </c>
      <c r="F506" s="338" t="s">
        <v>122</v>
      </c>
      <c r="G506" s="339" t="str">
        <f t="shared" si="2"/>
        <v>中山製鋼:豊通/出張商店Ｌ１(2級)</v>
      </c>
      <c r="H506" s="340">
        <f t="shared" si="3"/>
        <v>1</v>
      </c>
      <c r="I506" s="341">
        <v>1.0</v>
      </c>
      <c r="J506" s="332" t="str">
        <f>IFERROR(__xludf.DUMMYFUNCTION("IF(IF(COUNTIF(P$2:P505, P506)=0, """", INDEX(H$2:H505,
MAX(FILTER(ROW(H$2:H505) - ROW(H$2) + 1, P$2:P505 = P506))))=""単価"","""",
IF(COUNTIF(P$2:P505, P506)=0, """", INDEX(H$2:H505,
MAX(FILTER(ROW(H$2:H505) - ROW(H$2) + 1, P$2:P505 = P506)))))"),"")</f>
        <v/>
      </c>
      <c r="N506" s="335" t="str">
        <f>IF(MAXIFS('単価履歴'!$O:$O,'単価履歴'!$E:$E,E506,'単価履歴'!$F:$F,F506)=O506,"●","")</f>
        <v/>
      </c>
      <c r="O506" s="346">
        <v>45702.26861111111</v>
      </c>
      <c r="P506" s="334" t="str">
        <f t="shared" si="4"/>
        <v>中山製鋼:豊通/出張商店Ｌ１(2級)</v>
      </c>
    </row>
    <row r="507" ht="15.75" customHeight="1">
      <c r="A507" s="335" t="s">
        <v>1706</v>
      </c>
      <c r="B507" s="336">
        <v>45702.0</v>
      </c>
      <c r="C507" s="335" t="s">
        <v>5</v>
      </c>
      <c r="D507" s="335" t="s">
        <v>1232</v>
      </c>
      <c r="E507" s="337" t="str">
        <f t="shared" si="1"/>
        <v>中山製鋼:豊通/出張商店</v>
      </c>
      <c r="F507" s="338" t="s">
        <v>130</v>
      </c>
      <c r="G507" s="339" t="str">
        <f t="shared" si="2"/>
        <v>中山製鋼:豊通/出張商店新断Ａ</v>
      </c>
      <c r="H507" s="340">
        <f t="shared" si="3"/>
        <v>45.8</v>
      </c>
      <c r="I507" s="341">
        <v>1.0</v>
      </c>
      <c r="J507" s="332">
        <f>IFERROR(__xludf.DUMMYFUNCTION("IF(IF(COUNTIF(P$2:P506, P507)=0, """", INDEX(H$2:H506,
MAX(FILTER(ROW(H$2:H506) - ROW(H$2) + 1, P$2:P506 = P507))))=""単価"","""",
IF(COUNTIF(P$2:P506, P507)=0, """", INDEX(H$2:H506,
MAX(FILTER(ROW(H$2:H506) - ROW(H$2) + 1, P$2:P506 = P507)))))"),44.8)</f>
        <v>44.8</v>
      </c>
      <c r="N507" s="335" t="str">
        <f>IF(MAXIFS('単価履歴'!$O:$O,'単価履歴'!$E:$E,E507,'単価履歴'!$F:$F,F507)=O507,"●","")</f>
        <v/>
      </c>
      <c r="O507" s="346">
        <v>45702.26861111111</v>
      </c>
      <c r="P507" s="334" t="str">
        <f t="shared" si="4"/>
        <v>中山製鋼:豊通/出張商店新断Ａ</v>
      </c>
    </row>
    <row r="508" ht="15.75" customHeight="1">
      <c r="A508" s="335" t="s">
        <v>1707</v>
      </c>
      <c r="B508" s="336">
        <v>45702.0</v>
      </c>
      <c r="C508" s="335" t="s">
        <v>5</v>
      </c>
      <c r="D508" s="335" t="s">
        <v>1232</v>
      </c>
      <c r="E508" s="337" t="str">
        <f t="shared" si="1"/>
        <v>中山製鋼:豊通/出張商店</v>
      </c>
      <c r="F508" s="338" t="s">
        <v>131</v>
      </c>
      <c r="G508" s="339" t="str">
        <f t="shared" si="2"/>
        <v>中山製鋼:豊通/出張商店新断Ｂ</v>
      </c>
      <c r="H508" s="340">
        <f t="shared" si="3"/>
        <v>1</v>
      </c>
      <c r="I508" s="341">
        <v>1.0</v>
      </c>
      <c r="J508" s="332" t="str">
        <f>IFERROR(__xludf.DUMMYFUNCTION("IF(IF(COUNTIF(P$2:P507, P508)=0, """", INDEX(H$2:H507,
MAX(FILTER(ROW(H$2:H507) - ROW(H$2) + 1, P$2:P507 = P508))))=""単価"","""",
IF(COUNTIF(P$2:P507, P508)=0, """", INDEX(H$2:H507,
MAX(FILTER(ROW(H$2:H507) - ROW(H$2) + 1, P$2:P507 = P508)))))"),"")</f>
        <v/>
      </c>
      <c r="N508" s="335" t="str">
        <f>IF(MAXIFS('単価履歴'!$O:$O,'単価履歴'!$E:$E,E508,'単価履歴'!$F:$F,F508)=O508,"●","")</f>
        <v/>
      </c>
      <c r="O508" s="346">
        <v>45702.26861111111</v>
      </c>
      <c r="P508" s="334" t="str">
        <f t="shared" si="4"/>
        <v>中山製鋼:豊通/出張商店新断Ｂ</v>
      </c>
    </row>
    <row r="509" ht="15.75" customHeight="1">
      <c r="A509" s="335" t="s">
        <v>1708</v>
      </c>
      <c r="B509" s="336">
        <v>45702.0</v>
      </c>
      <c r="C509" s="335" t="s">
        <v>5</v>
      </c>
      <c r="D509" s="335" t="s">
        <v>1232</v>
      </c>
      <c r="E509" s="337" t="str">
        <f t="shared" si="1"/>
        <v>中山製鋼:豊通/出張商店</v>
      </c>
      <c r="F509" s="338" t="s">
        <v>574</v>
      </c>
      <c r="G509" s="339" t="str">
        <f t="shared" si="2"/>
        <v>中山製鋼:豊通/出張商店新断Ｃ</v>
      </c>
      <c r="H509" s="340">
        <f t="shared" si="3"/>
        <v>1</v>
      </c>
      <c r="I509" s="341">
        <v>1.0</v>
      </c>
      <c r="J509" s="332" t="str">
        <f>IFERROR(__xludf.DUMMYFUNCTION("IF(IF(COUNTIF(P$2:P508, P509)=0, """", INDEX(H$2:H508,
MAX(FILTER(ROW(H$2:H508) - ROW(H$2) + 1, P$2:P508 = P509))))=""単価"","""",
IF(COUNTIF(P$2:P508, P509)=0, """", INDEX(H$2:H508,
MAX(FILTER(ROW(H$2:H508) - ROW(H$2) + 1, P$2:P508 = P509)))))"),"")</f>
        <v/>
      </c>
      <c r="N509" s="335" t="str">
        <f>IF(MAXIFS('単価履歴'!$O:$O,'単価履歴'!$E:$E,E509,'単価履歴'!$F:$F,F509)=O509,"●","")</f>
        <v/>
      </c>
      <c r="O509" s="346">
        <v>45702.26861111111</v>
      </c>
      <c r="P509" s="334" t="str">
        <f t="shared" si="4"/>
        <v>中山製鋼:豊通/出張商店新断Ｃ</v>
      </c>
    </row>
    <row r="510" ht="15.75" customHeight="1">
      <c r="A510" s="335" t="s">
        <v>1709</v>
      </c>
      <c r="B510" s="336">
        <v>45702.0</v>
      </c>
      <c r="C510" s="335" t="s">
        <v>5</v>
      </c>
      <c r="D510" s="335" t="s">
        <v>1232</v>
      </c>
      <c r="E510" s="337" t="str">
        <f t="shared" si="1"/>
        <v>中山製鋼:豊通/出張商店</v>
      </c>
      <c r="F510" s="338" t="s">
        <v>1199</v>
      </c>
      <c r="G510" s="339" t="str">
        <f t="shared" si="2"/>
        <v>中山製鋼:豊通/出張商店ＨＳ１(単体H1/電特A/HS))</v>
      </c>
      <c r="H510" s="340">
        <f t="shared" si="3"/>
        <v>1</v>
      </c>
      <c r="I510" s="341">
        <v>1.0</v>
      </c>
      <c r="J510" s="332" t="str">
        <f>IFERROR(__xludf.DUMMYFUNCTION("IF(IF(COUNTIF(P$2:P509, P510)=0, """", INDEX(H$2:H509,
MAX(FILTER(ROW(H$2:H509) - ROW(H$2) + 1, P$2:P509 = P510))))=""単価"","""",
IF(COUNTIF(P$2:P509, P510)=0, """", INDEX(H$2:H509,
MAX(FILTER(ROW(H$2:H509) - ROW(H$2) + 1, P$2:P509 = P510)))))"),"")</f>
        <v/>
      </c>
      <c r="N510" s="335" t="str">
        <f>IF(MAXIFS('単価履歴'!$O:$O,'単価履歴'!$E:$E,E510,'単価履歴'!$F:$F,F510)=O510,"●","")</f>
        <v/>
      </c>
      <c r="O510" s="346">
        <v>45702.26861111111</v>
      </c>
      <c r="P510" s="334" t="str">
        <f t="shared" si="4"/>
        <v>中山製鋼:豊通/出張商店ＨＳ１(単体H1/電特A/HS))</v>
      </c>
    </row>
    <row r="511" ht="15.75" customHeight="1">
      <c r="A511" s="335" t="s">
        <v>1710</v>
      </c>
      <c r="B511" s="336">
        <v>45702.0</v>
      </c>
      <c r="C511" s="335" t="s">
        <v>5</v>
      </c>
      <c r="D511" s="335" t="s">
        <v>1234</v>
      </c>
      <c r="E511" s="337" t="str">
        <f t="shared" si="1"/>
        <v>中山製鋼:豊通/中川嘉弘商店</v>
      </c>
      <c r="F511" s="338" t="s">
        <v>130</v>
      </c>
      <c r="G511" s="339" t="str">
        <f t="shared" si="2"/>
        <v>中山製鋼:豊通/中川嘉弘商店新断Ａ</v>
      </c>
      <c r="H511" s="340">
        <f t="shared" si="3"/>
        <v>43.8</v>
      </c>
      <c r="I511" s="341">
        <v>1.0</v>
      </c>
      <c r="J511" s="332">
        <f>IFERROR(__xludf.DUMMYFUNCTION("IF(IF(COUNTIF(P$2:P510, P511)=0, """", INDEX(H$2:H510,
MAX(FILTER(ROW(H$2:H510) - ROW(H$2) + 1, P$2:P510 = P511))))=""単価"","""",
IF(COUNTIF(P$2:P510, P511)=0, """", INDEX(H$2:H510,
MAX(FILTER(ROW(H$2:H510) - ROW(H$2) + 1, P$2:P510 = P511)))))"),42.8)</f>
        <v>42.8</v>
      </c>
      <c r="N511" s="335" t="str">
        <f>IF(MAXIFS('単価履歴'!$O:$O,'単価履歴'!$E:$E,E511,'単価履歴'!$F:$F,F511)=O511,"●","")</f>
        <v/>
      </c>
      <c r="O511" s="346">
        <v>45702.26861111111</v>
      </c>
      <c r="P511" s="334" t="str">
        <f t="shared" si="4"/>
        <v>中山製鋼:豊通/中川嘉弘商店新断Ａ</v>
      </c>
    </row>
    <row r="512" ht="15.75" customHeight="1">
      <c r="A512" s="335" t="s">
        <v>1711</v>
      </c>
      <c r="B512" s="336">
        <v>45702.0</v>
      </c>
      <c r="C512" s="335" t="s">
        <v>6</v>
      </c>
      <c r="D512" s="335" t="s">
        <v>48</v>
      </c>
      <c r="E512" s="337" t="str">
        <f t="shared" si="1"/>
        <v>中山鋼業:ナベ</v>
      </c>
      <c r="F512" s="338" t="s">
        <v>111</v>
      </c>
      <c r="G512" s="339" t="str">
        <f t="shared" si="2"/>
        <v>中山鋼業:ナベＨ１(特A)</v>
      </c>
      <c r="H512" s="340">
        <f t="shared" si="3"/>
        <v>44.5</v>
      </c>
      <c r="I512" s="341">
        <v>1.0</v>
      </c>
      <c r="J512" s="332">
        <f>IFERROR(__xludf.DUMMYFUNCTION("IF(IF(COUNTIF(P$2:P511, P512)=0, """", INDEX(H$2:H511,
MAX(FILTER(ROW(H$2:H511) - ROW(H$2) + 1, P$2:P511 = P512))))=""単価"","""",
IF(COUNTIF(P$2:P511, P512)=0, """", INDEX(H$2:H511,
MAX(FILTER(ROW(H$2:H511) - ROW(H$2) + 1, P$2:P511 = P512)))))"),43.5)</f>
        <v>43.5</v>
      </c>
      <c r="N512" s="335" t="str">
        <f>IF(MAXIFS('単価履歴'!$O:$O,'単価履歴'!$E:$E,E512,'単価履歴'!$F:$F,F512)=O512,"●","")</f>
        <v/>
      </c>
      <c r="O512" s="346">
        <v>45702.27012731481</v>
      </c>
      <c r="P512" s="334" t="str">
        <f t="shared" si="4"/>
        <v>中山鋼業:ナベＨ１(特A)</v>
      </c>
    </row>
    <row r="513" ht="15.75" customHeight="1">
      <c r="A513" s="335" t="s">
        <v>1712</v>
      </c>
      <c r="B513" s="336">
        <v>45702.0</v>
      </c>
      <c r="C513" s="335" t="s">
        <v>6</v>
      </c>
      <c r="D513" s="335" t="s">
        <v>48</v>
      </c>
      <c r="E513" s="337" t="str">
        <f t="shared" si="1"/>
        <v>中山鋼業:ナベ</v>
      </c>
      <c r="F513" s="338" t="s">
        <v>1237</v>
      </c>
      <c r="G513" s="339" t="str">
        <f t="shared" si="2"/>
        <v>中山鋼業:ナベＪＨ１(H2T山口)鍛造ﾊﾞﾘ</v>
      </c>
      <c r="H513" s="340">
        <f t="shared" si="3"/>
        <v>43.7</v>
      </c>
      <c r="I513" s="341">
        <v>1.0</v>
      </c>
      <c r="J513" s="332">
        <f>IFERROR(__xludf.DUMMYFUNCTION("IF(IF(COUNTIF(P$2:P512, P513)=0, """", INDEX(H$2:H512,
MAX(FILTER(ROW(H$2:H512) - ROW(H$2) + 1, P$2:P512 = P513))))=""単価"","""",
IF(COUNTIF(P$2:P512, P513)=0, """", INDEX(H$2:H512,
MAX(FILTER(ROW(H$2:H512) - ROW(H$2) + 1, P$2:P512 = P513)))))"),42.7)</f>
        <v>42.7</v>
      </c>
      <c r="N513" s="335" t="str">
        <f>IF(MAXIFS('単価履歴'!$O:$O,'単価履歴'!$E:$E,E513,'単価履歴'!$F:$F,F513)=O513,"●","")</f>
        <v/>
      </c>
      <c r="O513" s="346">
        <v>45702.27012731481</v>
      </c>
      <c r="P513" s="334" t="str">
        <f t="shared" si="4"/>
        <v>中山鋼業:ナベＪＨ１(H2T山口)鍛造ﾊﾞﾘ</v>
      </c>
    </row>
    <row r="514" ht="15.75" customHeight="1">
      <c r="A514" s="335" t="s">
        <v>1713</v>
      </c>
      <c r="B514" s="336">
        <v>45702.0</v>
      </c>
      <c r="C514" s="335" t="s">
        <v>6</v>
      </c>
      <c r="D514" s="335" t="s">
        <v>48</v>
      </c>
      <c r="E514" s="337" t="str">
        <f t="shared" si="1"/>
        <v>中山鋼業:ナベ</v>
      </c>
      <c r="F514" s="338" t="s">
        <v>116</v>
      </c>
      <c r="G514" s="339" t="str">
        <f t="shared" si="2"/>
        <v>中山鋼業:ナベＨ２(特級)</v>
      </c>
      <c r="H514" s="340">
        <f t="shared" si="3"/>
        <v>42.5</v>
      </c>
      <c r="I514" s="341">
        <v>1.0</v>
      </c>
      <c r="J514" s="332">
        <f>IFERROR(__xludf.DUMMYFUNCTION("IF(IF(COUNTIF(P$2:P513, P514)=0, """", INDEX(H$2:H513,
MAX(FILTER(ROW(H$2:H513) - ROW(H$2) + 1, P$2:P513 = P514))))=""単価"","""",
IF(COUNTIF(P$2:P513, P514)=0, """", INDEX(H$2:H513,
MAX(FILTER(ROW(H$2:H513) - ROW(H$2) + 1, P$2:P513 = P514)))))"),41.5)</f>
        <v>41.5</v>
      </c>
      <c r="N514" s="335" t="str">
        <f>IF(MAXIFS('単価履歴'!$O:$O,'単価履歴'!$E:$E,E514,'単価履歴'!$F:$F,F514)=O514,"●","")</f>
        <v/>
      </c>
      <c r="O514" s="346">
        <v>45702.27012731481</v>
      </c>
      <c r="P514" s="334" t="str">
        <f t="shared" si="4"/>
        <v>中山鋼業:ナベＨ２(特級)</v>
      </c>
    </row>
    <row r="515" ht="15.75" customHeight="1">
      <c r="A515" s="335" t="s">
        <v>1714</v>
      </c>
      <c r="B515" s="336">
        <v>45702.0</v>
      </c>
      <c r="C515" s="335" t="s">
        <v>6</v>
      </c>
      <c r="D515" s="335" t="s">
        <v>48</v>
      </c>
      <c r="E515" s="337" t="str">
        <f t="shared" si="1"/>
        <v>中山鋼業:ナベ</v>
      </c>
      <c r="F515" s="338" t="s">
        <v>119</v>
      </c>
      <c r="G515" s="339" t="str">
        <f t="shared" si="2"/>
        <v>中山鋼業:ナベＨ３(1級)</v>
      </c>
      <c r="H515" s="340">
        <f t="shared" si="3"/>
        <v>41</v>
      </c>
      <c r="I515" s="341">
        <v>1.0</v>
      </c>
      <c r="J515" s="332">
        <f>IFERROR(__xludf.DUMMYFUNCTION("IF(IF(COUNTIF(P$2:P514, P515)=0, """", INDEX(H$2:H514,
MAX(FILTER(ROW(H$2:H514) - ROW(H$2) + 1, P$2:P514 = P515))))=""単価"","""",
IF(COUNTIF(P$2:P514, P515)=0, """", INDEX(H$2:H514,
MAX(FILTER(ROW(H$2:H514) - ROW(H$2) + 1, P$2:P514 = P515)))))"),40.0)</f>
        <v>40</v>
      </c>
      <c r="N515" s="335" t="str">
        <f>IF(MAXIFS('単価履歴'!$O:$O,'単価履歴'!$E:$E,E515,'単価履歴'!$F:$F,F515)=O515,"●","")</f>
        <v/>
      </c>
      <c r="O515" s="346">
        <v>45702.27012731481</v>
      </c>
      <c r="P515" s="334" t="str">
        <f t="shared" si="4"/>
        <v>中山鋼業:ナベＨ３(1級)</v>
      </c>
    </row>
    <row r="516" ht="15.75" customHeight="1">
      <c r="A516" s="335" t="s">
        <v>1715</v>
      </c>
      <c r="B516" s="336">
        <v>45702.0</v>
      </c>
      <c r="C516" s="335" t="s">
        <v>6</v>
      </c>
      <c r="D516" s="335" t="s">
        <v>48</v>
      </c>
      <c r="E516" s="337" t="str">
        <f t="shared" si="1"/>
        <v>中山鋼業:ナベ</v>
      </c>
      <c r="F516" s="338" t="s">
        <v>122</v>
      </c>
      <c r="G516" s="339" t="str">
        <f t="shared" si="2"/>
        <v>中山鋼業:ナベＬ１(2級)</v>
      </c>
      <c r="H516" s="340">
        <f t="shared" si="3"/>
        <v>40.5</v>
      </c>
      <c r="I516" s="341">
        <v>1.0</v>
      </c>
      <c r="J516" s="332">
        <f>IFERROR(__xludf.DUMMYFUNCTION("IF(IF(COUNTIF(P$2:P515, P516)=0, """", INDEX(H$2:H515,
MAX(FILTER(ROW(H$2:H515) - ROW(H$2) + 1, P$2:P515 = P516))))=""単価"","""",
IF(COUNTIF(P$2:P515, P516)=0, """", INDEX(H$2:H515,
MAX(FILTER(ROW(H$2:H515) - ROW(H$2) + 1, P$2:P515 = P516)))))"),39.5)</f>
        <v>39.5</v>
      </c>
      <c r="N516" s="335" t="str">
        <f>IF(MAXIFS('単価履歴'!$O:$O,'単価履歴'!$E:$E,E516,'単価履歴'!$F:$F,F516)=O516,"●","")</f>
        <v/>
      </c>
      <c r="O516" s="346">
        <v>45702.27012731481</v>
      </c>
      <c r="P516" s="334" t="str">
        <f t="shared" si="4"/>
        <v>中山鋼業:ナベＬ１(2級)</v>
      </c>
    </row>
    <row r="517" ht="15.75" customHeight="1">
      <c r="A517" s="335" t="s">
        <v>1716</v>
      </c>
      <c r="B517" s="336">
        <v>45702.0</v>
      </c>
      <c r="C517" s="335" t="s">
        <v>6</v>
      </c>
      <c r="D517" s="335" t="s">
        <v>48</v>
      </c>
      <c r="E517" s="337" t="str">
        <f t="shared" si="1"/>
        <v>中山鋼業:ナベ</v>
      </c>
      <c r="F517" s="338" t="s">
        <v>573</v>
      </c>
      <c r="G517" s="339" t="str">
        <f t="shared" si="2"/>
        <v>中山鋼業:ナベＬ２(H4･級外･L1ﾊﾞﾗ)</v>
      </c>
      <c r="H517" s="340">
        <f t="shared" si="3"/>
        <v>37</v>
      </c>
      <c r="I517" s="341">
        <v>1.0</v>
      </c>
      <c r="J517" s="332">
        <f>IFERROR(__xludf.DUMMYFUNCTION("IF(IF(COUNTIF(P$2:P516, P517)=0, """", INDEX(H$2:H516,
MAX(FILTER(ROW(H$2:H516) - ROW(H$2) + 1, P$2:P516 = P517))))=""単価"","""",
IF(COUNTIF(P$2:P516, P517)=0, """", INDEX(H$2:H516,
MAX(FILTER(ROW(H$2:H516) - ROW(H$2) + 1, P$2:P516 = P517)))))"),36.0)</f>
        <v>36</v>
      </c>
      <c r="N517" s="335" t="str">
        <f>IF(MAXIFS('単価履歴'!$O:$O,'単価履歴'!$E:$E,E517,'単価履歴'!$F:$F,F517)=O517,"●","")</f>
        <v/>
      </c>
      <c r="O517" s="346">
        <v>45702.27012731481</v>
      </c>
      <c r="P517" s="334" t="str">
        <f t="shared" si="4"/>
        <v>中山鋼業:ナベＬ２(H4･級外･L1ﾊﾞﾗ)</v>
      </c>
    </row>
    <row r="518" ht="15.75" customHeight="1">
      <c r="A518" s="335" t="s">
        <v>1717</v>
      </c>
      <c r="B518" s="336">
        <v>45702.0</v>
      </c>
      <c r="C518" s="335" t="s">
        <v>6</v>
      </c>
      <c r="D518" s="335" t="s">
        <v>48</v>
      </c>
      <c r="E518" s="337" t="str">
        <f t="shared" si="1"/>
        <v>中山鋼業:ナベ</v>
      </c>
      <c r="F518" s="338" t="s">
        <v>130</v>
      </c>
      <c r="G518" s="339" t="str">
        <f t="shared" si="2"/>
        <v>中山鋼業:ナベ新断Ａ</v>
      </c>
      <c r="H518" s="340">
        <f t="shared" si="3"/>
        <v>1</v>
      </c>
      <c r="I518" s="341">
        <v>1.0</v>
      </c>
      <c r="J518" s="332" t="str">
        <f>IFERROR(__xludf.DUMMYFUNCTION("IF(IF(COUNTIF(P$2:P517, P518)=0, """", INDEX(H$2:H517,
MAX(FILTER(ROW(H$2:H517) - ROW(H$2) + 1, P$2:P517 = P518))))=""単価"","""",
IF(COUNTIF(P$2:P517, P518)=0, """", INDEX(H$2:H517,
MAX(FILTER(ROW(H$2:H517) - ROW(H$2) + 1, P$2:P517 = P518)))))"),"")</f>
        <v/>
      </c>
      <c r="N518" s="335" t="str">
        <f>IF(MAXIFS('単価履歴'!$O:$O,'単価履歴'!$E:$E,E518,'単価履歴'!$F:$F,F518)=O518,"●","")</f>
        <v/>
      </c>
      <c r="O518" s="346">
        <v>45702.27012731481</v>
      </c>
      <c r="P518" s="334" t="str">
        <f t="shared" si="4"/>
        <v>中山鋼業:ナベ新断Ａ</v>
      </c>
    </row>
    <row r="519" ht="15.75" customHeight="1">
      <c r="A519" s="335" t="s">
        <v>1718</v>
      </c>
      <c r="B519" s="336">
        <v>45702.0</v>
      </c>
      <c r="C519" s="335" t="s">
        <v>6</v>
      </c>
      <c r="D519" s="335" t="s">
        <v>48</v>
      </c>
      <c r="E519" s="337" t="str">
        <f t="shared" si="1"/>
        <v>中山鋼業:ナベ</v>
      </c>
      <c r="F519" s="338" t="s">
        <v>575</v>
      </c>
      <c r="G519" s="339" t="str">
        <f t="shared" si="2"/>
        <v>中山鋼業:ナベ鋼ダライＡ</v>
      </c>
      <c r="H519" s="340">
        <f t="shared" si="3"/>
        <v>35.7</v>
      </c>
      <c r="I519" s="341">
        <v>1.0</v>
      </c>
      <c r="J519" s="332">
        <f>IFERROR(__xludf.DUMMYFUNCTION("IF(IF(COUNTIF(P$2:P518, P519)=0, """", INDEX(H$2:H518,
MAX(FILTER(ROW(H$2:H518) - ROW(H$2) + 1, P$2:P518 = P519))))=""単価"","""",
IF(COUNTIF(P$2:P518, P519)=0, """", INDEX(H$2:H518,
MAX(FILTER(ROW(H$2:H518) - ROW(H$2) + 1, P$2:P518 = P519)))))"),34.7)</f>
        <v>34.7</v>
      </c>
      <c r="N519" s="335" t="str">
        <f>IF(MAXIFS('単価履歴'!$O:$O,'単価履歴'!$E:$E,E519,'単価履歴'!$F:$F,F519)=O519,"●","")</f>
        <v/>
      </c>
      <c r="O519" s="346">
        <v>45702.27012731481</v>
      </c>
      <c r="P519" s="334" t="str">
        <f t="shared" si="4"/>
        <v>中山鋼業:ナベ鋼ダライＡ</v>
      </c>
    </row>
    <row r="520" ht="15.75" customHeight="1">
      <c r="A520" s="335" t="s">
        <v>1719</v>
      </c>
      <c r="B520" s="336">
        <v>45702.0</v>
      </c>
      <c r="C520" s="335" t="s">
        <v>7</v>
      </c>
      <c r="D520" s="335" t="s">
        <v>49</v>
      </c>
      <c r="E520" s="337" t="str">
        <f t="shared" si="1"/>
        <v>合同大阪:伊藤忠</v>
      </c>
      <c r="F520" s="338" t="s">
        <v>1199</v>
      </c>
      <c r="G520" s="339" t="str">
        <f t="shared" si="2"/>
        <v>合同大阪:伊藤忠ＨＳ１(単体H1/電特A/HS))</v>
      </c>
      <c r="H520" s="340">
        <f t="shared" si="3"/>
        <v>44.8</v>
      </c>
      <c r="I520" s="341">
        <v>1.0</v>
      </c>
      <c r="J520" s="332">
        <f>IFERROR(__xludf.DUMMYFUNCTION("IF(IF(COUNTIF(P$2:P519, P520)=0, """", INDEX(H$2:H519,
MAX(FILTER(ROW(H$2:H519) - ROW(H$2) + 1, P$2:P519 = P520))))=""単価"","""",
IF(COUNTIF(P$2:P519, P520)=0, """", INDEX(H$2:H519,
MAX(FILTER(ROW(H$2:H519) - ROW(H$2) + 1, P$2:P519 = P520)))))"),43.8)</f>
        <v>43.8</v>
      </c>
      <c r="N520" s="335" t="str">
        <f>IF(MAXIFS('単価履歴'!$O:$O,'単価履歴'!$E:$E,E520,'単価履歴'!$F:$F,F520)=O520,"●","")</f>
        <v/>
      </c>
      <c r="O520" s="346">
        <v>45702.2703587963</v>
      </c>
      <c r="P520" s="334" t="str">
        <f t="shared" si="4"/>
        <v>合同大阪:伊藤忠ＨＳ１(単体H1/電特A/HS))</v>
      </c>
    </row>
    <row r="521" ht="15.75" customHeight="1">
      <c r="A521" s="335" t="s">
        <v>1720</v>
      </c>
      <c r="B521" s="336">
        <v>45702.0</v>
      </c>
      <c r="C521" s="335" t="s">
        <v>7</v>
      </c>
      <c r="D521" s="335" t="s">
        <v>49</v>
      </c>
      <c r="E521" s="337" t="str">
        <f t="shared" si="1"/>
        <v>合同大阪:伊藤忠</v>
      </c>
      <c r="F521" s="338" t="s">
        <v>101</v>
      </c>
      <c r="G521" s="339" t="str">
        <f t="shared" si="2"/>
        <v>合同大阪:伊藤忠ＨＳ２</v>
      </c>
      <c r="H521" s="340">
        <f t="shared" si="3"/>
        <v>44.3</v>
      </c>
      <c r="I521" s="341">
        <v>1.0</v>
      </c>
      <c r="J521" s="332">
        <f>IFERROR(__xludf.DUMMYFUNCTION("IF(IF(COUNTIF(P$2:P520, P521)=0, """", INDEX(H$2:H520,
MAX(FILTER(ROW(H$2:H520) - ROW(H$2) + 1, P$2:P520 = P521))))=""単価"","""",
IF(COUNTIF(P$2:P520, P521)=0, """", INDEX(H$2:H520,
MAX(FILTER(ROW(H$2:H520) - ROW(H$2) + 1, P$2:P520 = P521)))))"),43.3)</f>
        <v>43.3</v>
      </c>
      <c r="N521" s="335" t="str">
        <f>IF(MAXIFS('単価履歴'!$O:$O,'単価履歴'!$E:$E,E521,'単価履歴'!$F:$F,F521)=O521,"●","")</f>
        <v/>
      </c>
      <c r="O521" s="346">
        <v>45702.2703587963</v>
      </c>
      <c r="P521" s="334" t="str">
        <f t="shared" si="4"/>
        <v>合同大阪:伊藤忠ＨＳ２</v>
      </c>
    </row>
    <row r="522" ht="15.75" customHeight="1">
      <c r="A522" s="335" t="s">
        <v>1721</v>
      </c>
      <c r="B522" s="336">
        <v>45702.0</v>
      </c>
      <c r="C522" s="335" t="s">
        <v>7</v>
      </c>
      <c r="D522" s="335" t="s">
        <v>49</v>
      </c>
      <c r="E522" s="337" t="str">
        <f t="shared" si="1"/>
        <v>合同大阪:伊藤忠</v>
      </c>
      <c r="F522" s="338" t="s">
        <v>111</v>
      </c>
      <c r="G522" s="339" t="str">
        <f t="shared" si="2"/>
        <v>合同大阪:伊藤忠Ｈ１(特A)</v>
      </c>
      <c r="H522" s="340">
        <f t="shared" si="3"/>
        <v>44.3</v>
      </c>
      <c r="I522" s="341">
        <v>1.0</v>
      </c>
      <c r="J522" s="332">
        <f>IFERROR(__xludf.DUMMYFUNCTION("IF(IF(COUNTIF(P$2:P521, P522)=0, """", INDEX(H$2:H521,
MAX(FILTER(ROW(H$2:H521) - ROW(H$2) + 1, P$2:P521 = P522))))=""単価"","""",
IF(COUNTIF(P$2:P521, P522)=0, """", INDEX(H$2:H521,
MAX(FILTER(ROW(H$2:H521) - ROW(H$2) + 1, P$2:P521 = P522)))))"),43.3)</f>
        <v>43.3</v>
      </c>
      <c r="N522" s="335" t="str">
        <f>IF(MAXIFS('単価履歴'!$O:$O,'単価履歴'!$E:$E,E522,'単価履歴'!$F:$F,F522)=O522,"●","")</f>
        <v/>
      </c>
      <c r="O522" s="346">
        <v>45702.2703587963</v>
      </c>
      <c r="P522" s="334" t="str">
        <f t="shared" si="4"/>
        <v>合同大阪:伊藤忠Ｈ１(特A)</v>
      </c>
    </row>
    <row r="523" ht="15.75" customHeight="1">
      <c r="A523" s="335" t="s">
        <v>1722</v>
      </c>
      <c r="B523" s="336">
        <v>45702.0</v>
      </c>
      <c r="C523" s="335" t="s">
        <v>7</v>
      </c>
      <c r="D523" s="335" t="s">
        <v>49</v>
      </c>
      <c r="E523" s="337" t="str">
        <f t="shared" si="1"/>
        <v>合同大阪:伊藤忠</v>
      </c>
      <c r="F523" s="338" t="s">
        <v>116</v>
      </c>
      <c r="G523" s="339" t="str">
        <f t="shared" si="2"/>
        <v>合同大阪:伊藤忠Ｈ２(特級)</v>
      </c>
      <c r="H523" s="340">
        <f t="shared" si="3"/>
        <v>42.8</v>
      </c>
      <c r="I523" s="341">
        <v>1.0</v>
      </c>
      <c r="J523" s="332">
        <f>IFERROR(__xludf.DUMMYFUNCTION("IF(IF(COUNTIF(P$2:P522, P523)=0, """", INDEX(H$2:H522,
MAX(FILTER(ROW(H$2:H522) - ROW(H$2) + 1, P$2:P522 = P523))))=""単価"","""",
IF(COUNTIF(P$2:P522, P523)=0, """", INDEX(H$2:H522,
MAX(FILTER(ROW(H$2:H522) - ROW(H$2) + 1, P$2:P522 = P523)))))"),41.8)</f>
        <v>41.8</v>
      </c>
      <c r="N523" s="335" t="str">
        <f>IF(MAXIFS('単価履歴'!$O:$O,'単価履歴'!$E:$E,E523,'単価履歴'!$F:$F,F523)=O523,"●","")</f>
        <v/>
      </c>
      <c r="O523" s="346">
        <v>45702.2703587963</v>
      </c>
      <c r="P523" s="334" t="str">
        <f t="shared" si="4"/>
        <v>合同大阪:伊藤忠Ｈ２(特級)</v>
      </c>
    </row>
    <row r="524" ht="15.75" customHeight="1">
      <c r="A524" s="335" t="s">
        <v>1723</v>
      </c>
      <c r="B524" s="336">
        <v>45702.0</v>
      </c>
      <c r="C524" s="335" t="s">
        <v>7</v>
      </c>
      <c r="D524" s="335" t="s">
        <v>49</v>
      </c>
      <c r="E524" s="337" t="str">
        <f t="shared" si="1"/>
        <v>合同大阪:伊藤忠</v>
      </c>
      <c r="F524" s="338" t="s">
        <v>119</v>
      </c>
      <c r="G524" s="339" t="str">
        <f t="shared" si="2"/>
        <v>合同大阪:伊藤忠Ｈ３(1級)</v>
      </c>
      <c r="H524" s="340">
        <f t="shared" si="3"/>
        <v>42.3</v>
      </c>
      <c r="I524" s="341">
        <v>1.0</v>
      </c>
      <c r="J524" s="332">
        <f>IFERROR(__xludf.DUMMYFUNCTION("IF(IF(COUNTIF(P$2:P523, P524)=0, """", INDEX(H$2:H523,
MAX(FILTER(ROW(H$2:H523) - ROW(H$2) + 1, P$2:P523 = P524))))=""単価"","""",
IF(COUNTIF(P$2:P523, P524)=0, """", INDEX(H$2:H523,
MAX(FILTER(ROW(H$2:H523) - ROW(H$2) + 1, P$2:P523 = P524)))))"),41.3)</f>
        <v>41.3</v>
      </c>
      <c r="N524" s="335" t="str">
        <f>IF(MAXIFS('単価履歴'!$O:$O,'単価履歴'!$E:$E,E524,'単価履歴'!$F:$F,F524)=O524,"●","")</f>
        <v/>
      </c>
      <c r="O524" s="346">
        <v>45702.2703587963</v>
      </c>
      <c r="P524" s="334" t="str">
        <f t="shared" si="4"/>
        <v>合同大阪:伊藤忠Ｈ３(1級)</v>
      </c>
    </row>
    <row r="525" ht="15.75" customHeight="1">
      <c r="A525" s="335" t="s">
        <v>1724</v>
      </c>
      <c r="B525" s="336">
        <v>45702.0</v>
      </c>
      <c r="C525" s="335" t="s">
        <v>7</v>
      </c>
      <c r="D525" s="335" t="s">
        <v>49</v>
      </c>
      <c r="E525" s="337" t="str">
        <f t="shared" si="1"/>
        <v>合同大阪:伊藤忠</v>
      </c>
      <c r="F525" s="338" t="s">
        <v>122</v>
      </c>
      <c r="G525" s="339" t="str">
        <f t="shared" si="2"/>
        <v>合同大阪:伊藤忠Ｌ１(2級)</v>
      </c>
      <c r="H525" s="340">
        <f t="shared" si="3"/>
        <v>41.3</v>
      </c>
      <c r="I525" s="341">
        <v>1.0</v>
      </c>
      <c r="J525" s="332">
        <f>IFERROR(__xludf.DUMMYFUNCTION("IF(IF(COUNTIF(P$2:P524, P525)=0, """", INDEX(H$2:H524,
MAX(FILTER(ROW(H$2:H524) - ROW(H$2) + 1, P$2:P524 = P525))))=""単価"","""",
IF(COUNTIF(P$2:P524, P525)=0, """", INDEX(H$2:H524,
MAX(FILTER(ROW(H$2:H524) - ROW(H$2) + 1, P$2:P524 = P525)))))"),40.3)</f>
        <v>40.3</v>
      </c>
      <c r="N525" s="335" t="str">
        <f>IF(MAXIFS('単価履歴'!$O:$O,'単価履歴'!$E:$E,E525,'単価履歴'!$F:$F,F525)=O525,"●","")</f>
        <v/>
      </c>
      <c r="O525" s="346">
        <v>45702.2703587963</v>
      </c>
      <c r="P525" s="334" t="str">
        <f t="shared" si="4"/>
        <v>合同大阪:伊藤忠Ｌ１(2級)</v>
      </c>
    </row>
    <row r="526" ht="15.75" customHeight="1">
      <c r="A526" s="335" t="s">
        <v>1725</v>
      </c>
      <c r="B526" s="336">
        <v>45702.0</v>
      </c>
      <c r="C526" s="335" t="s">
        <v>7</v>
      </c>
      <c r="D526" s="335" t="s">
        <v>49</v>
      </c>
      <c r="E526" s="337" t="str">
        <f t="shared" si="1"/>
        <v>合同大阪:伊藤忠</v>
      </c>
      <c r="F526" s="338" t="s">
        <v>130</v>
      </c>
      <c r="G526" s="339" t="str">
        <f t="shared" si="2"/>
        <v>合同大阪:伊藤忠新断Ａ</v>
      </c>
      <c r="H526" s="340">
        <f t="shared" si="3"/>
        <v>45.3</v>
      </c>
      <c r="I526" s="341">
        <v>1.0</v>
      </c>
      <c r="J526" s="332">
        <f>IFERROR(__xludf.DUMMYFUNCTION("IF(IF(COUNTIF(P$2:P525, P526)=0, """", INDEX(H$2:H525,
MAX(FILTER(ROW(H$2:H525) - ROW(H$2) + 1, P$2:P525 = P526))))=""単価"","""",
IF(COUNTIF(P$2:P525, P526)=0, """", INDEX(H$2:H525,
MAX(FILTER(ROW(H$2:H525) - ROW(H$2) + 1, P$2:P525 = P526)))))"),44.3)</f>
        <v>44.3</v>
      </c>
      <c r="N526" s="335" t="str">
        <f>IF(MAXIFS('単価履歴'!$O:$O,'単価履歴'!$E:$E,E526,'単価履歴'!$F:$F,F526)=O526,"●","")</f>
        <v/>
      </c>
      <c r="O526" s="346">
        <v>45702.2703587963</v>
      </c>
      <c r="P526" s="334" t="str">
        <f t="shared" si="4"/>
        <v>合同大阪:伊藤忠新断Ａ</v>
      </c>
    </row>
    <row r="527" ht="15.75" customHeight="1">
      <c r="A527" s="335" t="s">
        <v>1726</v>
      </c>
      <c r="B527" s="336">
        <v>45702.0</v>
      </c>
      <c r="C527" s="335" t="s">
        <v>7</v>
      </c>
      <c r="D527" s="335" t="s">
        <v>49</v>
      </c>
      <c r="E527" s="337" t="str">
        <f t="shared" si="1"/>
        <v>合同大阪:伊藤忠</v>
      </c>
      <c r="F527" s="338" t="s">
        <v>131</v>
      </c>
      <c r="G527" s="339" t="str">
        <f t="shared" si="2"/>
        <v>合同大阪:伊藤忠新断Ｂ</v>
      </c>
      <c r="H527" s="340">
        <f t="shared" si="3"/>
        <v>44.8</v>
      </c>
      <c r="I527" s="341">
        <v>1.0</v>
      </c>
      <c r="J527" s="332">
        <f>IFERROR(__xludf.DUMMYFUNCTION("IF(IF(COUNTIF(P$2:P526, P527)=0, """", INDEX(H$2:H526,
MAX(FILTER(ROW(H$2:H526) - ROW(H$2) + 1, P$2:P526 = P527))))=""単価"","""",
IF(COUNTIF(P$2:P526, P527)=0, """", INDEX(H$2:H526,
MAX(FILTER(ROW(H$2:H526) - ROW(H$2) + 1, P$2:P526 = P527)))))"),43.8)</f>
        <v>43.8</v>
      </c>
      <c r="N527" s="335" t="str">
        <f>IF(MAXIFS('単価履歴'!$O:$O,'単価履歴'!$E:$E,E527,'単価履歴'!$F:$F,F527)=O527,"●","")</f>
        <v/>
      </c>
      <c r="O527" s="346">
        <v>45702.2703587963</v>
      </c>
      <c r="P527" s="334" t="str">
        <f t="shared" si="4"/>
        <v>合同大阪:伊藤忠新断Ｂ</v>
      </c>
    </row>
    <row r="528" ht="15.75" customHeight="1">
      <c r="A528" s="335" t="s">
        <v>1727</v>
      </c>
      <c r="B528" s="336">
        <v>45702.0</v>
      </c>
      <c r="C528" s="335" t="s">
        <v>7</v>
      </c>
      <c r="D528" s="335" t="s">
        <v>49</v>
      </c>
      <c r="E528" s="337" t="str">
        <f t="shared" si="1"/>
        <v>合同大阪:伊藤忠</v>
      </c>
      <c r="F528" s="338" t="s">
        <v>575</v>
      </c>
      <c r="G528" s="339" t="str">
        <f t="shared" si="2"/>
        <v>合同大阪:伊藤忠鋼ダライＡ</v>
      </c>
      <c r="H528" s="340">
        <f t="shared" si="3"/>
        <v>33.8</v>
      </c>
      <c r="I528" s="341">
        <v>1.0</v>
      </c>
      <c r="J528" s="332">
        <f>IFERROR(__xludf.DUMMYFUNCTION("IF(IF(COUNTIF(P$2:P527, P528)=0, """", INDEX(H$2:H527,
MAX(FILTER(ROW(H$2:H527) - ROW(H$2) + 1, P$2:P527 = P528))))=""単価"","""",
IF(COUNTIF(P$2:P527, P528)=0, """", INDEX(H$2:H527,
MAX(FILTER(ROW(H$2:H527) - ROW(H$2) + 1, P$2:P527 = P528)))))"),32.8)</f>
        <v>32.8</v>
      </c>
      <c r="N528" s="335" t="str">
        <f>IF(MAXIFS('単価履歴'!$O:$O,'単価履歴'!$E:$E,E528,'単価履歴'!$F:$F,F528)=O528,"●","")</f>
        <v/>
      </c>
      <c r="O528" s="346">
        <v>45702.2703587963</v>
      </c>
      <c r="P528" s="334" t="str">
        <f t="shared" si="4"/>
        <v>合同大阪:伊藤忠鋼ダライＡ</v>
      </c>
    </row>
    <row r="529" ht="15.75" customHeight="1">
      <c r="A529" s="335" t="s">
        <v>1728</v>
      </c>
      <c r="B529" s="336">
        <v>45702.0</v>
      </c>
      <c r="C529" s="335" t="s">
        <v>7</v>
      </c>
      <c r="D529" s="335" t="s">
        <v>49</v>
      </c>
      <c r="E529" s="337" t="str">
        <f t="shared" si="1"/>
        <v>合同大阪:伊藤忠</v>
      </c>
      <c r="F529" s="338" t="s">
        <v>576</v>
      </c>
      <c r="G529" s="339" t="str">
        <f t="shared" si="2"/>
        <v>合同大阪:伊藤忠鋼ダライＢ</v>
      </c>
      <c r="H529" s="340">
        <f t="shared" si="3"/>
        <v>33.3</v>
      </c>
      <c r="I529" s="341">
        <v>1.0</v>
      </c>
      <c r="J529" s="332">
        <f>IFERROR(__xludf.DUMMYFUNCTION("IF(IF(COUNTIF(P$2:P528, P529)=0, """", INDEX(H$2:H528,
MAX(FILTER(ROW(H$2:H528) - ROW(H$2) + 1, P$2:P528 = P529))))=""単価"","""",
IF(COUNTIF(P$2:P528, P529)=0, """", INDEX(H$2:H528,
MAX(FILTER(ROW(H$2:H528) - ROW(H$2) + 1, P$2:P528 = P529)))))"),32.3)</f>
        <v>32.3</v>
      </c>
      <c r="N529" s="335" t="str">
        <f>IF(MAXIFS('単価履歴'!$O:$O,'単価履歴'!$E:$E,E529,'単価履歴'!$F:$F,F529)=O529,"●","")</f>
        <v/>
      </c>
      <c r="O529" s="346">
        <v>45702.2703587963</v>
      </c>
      <c r="P529" s="334" t="str">
        <f t="shared" si="4"/>
        <v>合同大阪:伊藤忠鋼ダライＢ</v>
      </c>
    </row>
    <row r="530" ht="15.75" customHeight="1">
      <c r="A530" s="335" t="s">
        <v>1729</v>
      </c>
      <c r="B530" s="336">
        <v>45702.0</v>
      </c>
      <c r="C530" s="335" t="s">
        <v>10</v>
      </c>
      <c r="D530" s="335" t="s">
        <v>47</v>
      </c>
      <c r="E530" s="337" t="str">
        <f t="shared" si="1"/>
        <v>岸和田:豊通</v>
      </c>
      <c r="F530" s="338" t="s">
        <v>111</v>
      </c>
      <c r="G530" s="339" t="str">
        <f t="shared" si="2"/>
        <v>岸和田:豊通Ｈ１(特A)</v>
      </c>
      <c r="H530" s="340">
        <f t="shared" si="3"/>
        <v>43</v>
      </c>
      <c r="I530" s="341">
        <v>1.0</v>
      </c>
      <c r="J530" s="332">
        <f>IFERROR(__xludf.DUMMYFUNCTION("IF(IF(COUNTIF(P$2:P529, P530)=0, """", INDEX(H$2:H529,
MAX(FILTER(ROW(H$2:H529) - ROW(H$2) + 1, P$2:P529 = P530))))=""単価"","""",
IF(COUNTIF(P$2:P529, P530)=0, """", INDEX(H$2:H529,
MAX(FILTER(ROW(H$2:H529) - ROW(H$2) + 1, P$2:P529 = P530)))))"),42.0)</f>
        <v>42</v>
      </c>
      <c r="N530" s="335" t="str">
        <f>IF(MAXIFS('単価履歴'!$O:$O,'単価履歴'!$E:$E,E530,'単価履歴'!$F:$F,F530)=O530,"●","")</f>
        <v/>
      </c>
      <c r="O530" s="346">
        <v>45702.28025462963</v>
      </c>
      <c r="P530" s="334" t="str">
        <f t="shared" si="4"/>
        <v>岸和田:豊通Ｈ１(特A)</v>
      </c>
    </row>
    <row r="531" ht="15.75" customHeight="1">
      <c r="A531" s="335" t="s">
        <v>1730</v>
      </c>
      <c r="B531" s="336">
        <v>45702.0</v>
      </c>
      <c r="C531" s="335" t="s">
        <v>10</v>
      </c>
      <c r="D531" s="335" t="s">
        <v>47</v>
      </c>
      <c r="E531" s="337" t="str">
        <f t="shared" si="1"/>
        <v>岸和田:豊通</v>
      </c>
      <c r="F531" s="338" t="s">
        <v>116</v>
      </c>
      <c r="G531" s="339" t="str">
        <f t="shared" si="2"/>
        <v>岸和田:豊通Ｈ２(特級)</v>
      </c>
      <c r="H531" s="340">
        <f t="shared" si="3"/>
        <v>41.5</v>
      </c>
      <c r="I531" s="341">
        <v>1.0</v>
      </c>
      <c r="J531" s="332">
        <f>IFERROR(__xludf.DUMMYFUNCTION("IF(IF(COUNTIF(P$2:P530, P531)=0, """", INDEX(H$2:H530,
MAX(FILTER(ROW(H$2:H530) - ROW(H$2) + 1, P$2:P530 = P531))))=""単価"","""",
IF(COUNTIF(P$2:P530, P531)=0, """", INDEX(H$2:H530,
MAX(FILTER(ROW(H$2:H530) - ROW(H$2) + 1, P$2:P530 = P531)))))"),40.5)</f>
        <v>40.5</v>
      </c>
      <c r="N531" s="335" t="str">
        <f>IF(MAXIFS('単価履歴'!$O:$O,'単価履歴'!$E:$E,E531,'単価履歴'!$F:$F,F531)=O531,"●","")</f>
        <v/>
      </c>
      <c r="O531" s="346">
        <v>45702.28025462963</v>
      </c>
      <c r="P531" s="334" t="str">
        <f t="shared" si="4"/>
        <v>岸和田:豊通Ｈ２(特級)</v>
      </c>
    </row>
    <row r="532" ht="15.75" customHeight="1">
      <c r="A532" s="335" t="s">
        <v>1731</v>
      </c>
      <c r="B532" s="336">
        <v>45702.0</v>
      </c>
      <c r="C532" s="335" t="s">
        <v>10</v>
      </c>
      <c r="D532" s="335" t="s">
        <v>47</v>
      </c>
      <c r="E532" s="337" t="str">
        <f t="shared" si="1"/>
        <v>岸和田:豊通</v>
      </c>
      <c r="F532" s="338" t="s">
        <v>119</v>
      </c>
      <c r="G532" s="339" t="str">
        <f t="shared" si="2"/>
        <v>岸和田:豊通Ｈ３(1級)</v>
      </c>
      <c r="H532" s="340">
        <f t="shared" si="3"/>
        <v>41</v>
      </c>
      <c r="I532" s="341">
        <v>1.0</v>
      </c>
      <c r="J532" s="332">
        <f>IFERROR(__xludf.DUMMYFUNCTION("IF(IF(COUNTIF(P$2:P531, P532)=0, """", INDEX(H$2:H531,
MAX(FILTER(ROW(H$2:H531) - ROW(H$2) + 1, P$2:P531 = P532))))=""単価"","""",
IF(COUNTIF(P$2:P531, P532)=0, """", INDEX(H$2:H531,
MAX(FILTER(ROW(H$2:H531) - ROW(H$2) + 1, P$2:P531 = P532)))))"),40.0)</f>
        <v>40</v>
      </c>
      <c r="N532" s="335" t="str">
        <f>IF(MAXIFS('単価履歴'!$O:$O,'単価履歴'!$E:$E,E532,'単価履歴'!$F:$F,F532)=O532,"●","")</f>
        <v/>
      </c>
      <c r="O532" s="346">
        <v>45702.28025462963</v>
      </c>
      <c r="P532" s="334" t="str">
        <f t="shared" si="4"/>
        <v>岸和田:豊通Ｈ３(1級)</v>
      </c>
    </row>
    <row r="533" ht="15.75" customHeight="1">
      <c r="A533" s="335" t="s">
        <v>1732</v>
      </c>
      <c r="B533" s="336">
        <v>45702.0</v>
      </c>
      <c r="C533" s="335" t="s">
        <v>10</v>
      </c>
      <c r="D533" s="335" t="s">
        <v>47</v>
      </c>
      <c r="E533" s="337" t="str">
        <f t="shared" si="1"/>
        <v>岸和田:豊通</v>
      </c>
      <c r="F533" s="338" t="s">
        <v>122</v>
      </c>
      <c r="G533" s="339" t="str">
        <f t="shared" si="2"/>
        <v>岸和田:豊通Ｌ１(2級)</v>
      </c>
      <c r="H533" s="340">
        <f t="shared" si="3"/>
        <v>40.5</v>
      </c>
      <c r="I533" s="341">
        <v>1.0</v>
      </c>
      <c r="J533" s="332">
        <f>IFERROR(__xludf.DUMMYFUNCTION("IF(IF(COUNTIF(P$2:P532, P533)=0, """", INDEX(H$2:H532,
MAX(FILTER(ROW(H$2:H532) - ROW(H$2) + 1, P$2:P532 = P533))))=""単価"","""",
IF(COUNTIF(P$2:P532, P533)=0, """", INDEX(H$2:H532,
MAX(FILTER(ROW(H$2:H532) - ROW(H$2) + 1, P$2:P532 = P533)))))"),39.5)</f>
        <v>39.5</v>
      </c>
      <c r="N533" s="335" t="str">
        <f>IF(MAXIFS('単価履歴'!$O:$O,'単価履歴'!$E:$E,E533,'単価履歴'!$F:$F,F533)=O533,"●","")</f>
        <v/>
      </c>
      <c r="O533" s="346">
        <v>45702.28025462963</v>
      </c>
      <c r="P533" s="334" t="str">
        <f t="shared" si="4"/>
        <v>岸和田:豊通Ｌ１(2級)</v>
      </c>
    </row>
    <row r="534" ht="15.75" customHeight="1">
      <c r="A534" s="335" t="s">
        <v>1733</v>
      </c>
      <c r="B534" s="336">
        <v>45702.0</v>
      </c>
      <c r="C534" s="335" t="s">
        <v>10</v>
      </c>
      <c r="D534" s="335" t="s">
        <v>47</v>
      </c>
      <c r="E534" s="337" t="str">
        <f t="shared" si="1"/>
        <v>岸和田:豊通</v>
      </c>
      <c r="F534" s="338" t="s">
        <v>154</v>
      </c>
      <c r="G534" s="339" t="str">
        <f t="shared" si="2"/>
        <v>岸和田:豊通ＣＰ Ａ</v>
      </c>
      <c r="H534" s="340">
        <f t="shared" si="3"/>
        <v>43.7</v>
      </c>
      <c r="I534" s="341">
        <v>1.0</v>
      </c>
      <c r="J534" s="332">
        <f>IFERROR(__xludf.DUMMYFUNCTION("IF(IF(COUNTIF(P$2:P533, P534)=0, """", INDEX(H$2:H533,
MAX(FILTER(ROW(H$2:H533) - ROW(H$2) + 1, P$2:P533 = P534))))=""単価"","""",
IF(COUNTIF(P$2:P533, P534)=0, """", INDEX(H$2:H533,
MAX(FILTER(ROW(H$2:H533) - ROW(H$2) + 1, P$2:P533 = P534)))))"),42.7)</f>
        <v>42.7</v>
      </c>
      <c r="N534" s="335" t="str">
        <f>IF(MAXIFS('単価履歴'!$O:$O,'単価履歴'!$E:$E,E534,'単価履歴'!$F:$F,F534)=O534,"●","")</f>
        <v/>
      </c>
      <c r="O534" s="346">
        <v>45702.28025462963</v>
      </c>
      <c r="P534" s="334" t="str">
        <f t="shared" si="4"/>
        <v>岸和田:豊通ＣＰ Ａ</v>
      </c>
    </row>
    <row r="535" ht="15.75" customHeight="1">
      <c r="A535" s="335" t="s">
        <v>1734</v>
      </c>
      <c r="B535" s="336">
        <v>45702.0</v>
      </c>
      <c r="C535" s="335" t="s">
        <v>532</v>
      </c>
      <c r="D535" s="335" t="s">
        <v>77</v>
      </c>
      <c r="E535" s="337" t="str">
        <f t="shared" si="1"/>
        <v>東鐵岡山:直納</v>
      </c>
      <c r="F535" s="338" t="s">
        <v>1199</v>
      </c>
      <c r="G535" s="339" t="str">
        <f t="shared" si="2"/>
        <v>東鐵岡山:直納ＨＳ１(単体H1/電特A/HS))</v>
      </c>
      <c r="H535" s="340">
        <f t="shared" si="3"/>
        <v>44</v>
      </c>
      <c r="I535" s="341">
        <v>1.0</v>
      </c>
      <c r="J535" s="332">
        <f>IFERROR(__xludf.DUMMYFUNCTION("IF(IF(COUNTIF(P$2:P534, P535)=0, """", INDEX(H$2:H534,
MAX(FILTER(ROW(H$2:H534) - ROW(H$2) + 1, P$2:P534 = P535))))=""単価"","""",
IF(COUNTIF(P$2:P534, P535)=0, """", INDEX(H$2:H534,
MAX(FILTER(ROW(H$2:H534) - ROW(H$2) + 1, P$2:P534 = P535)))))"),43.0)</f>
        <v>43</v>
      </c>
      <c r="N535" s="335" t="str">
        <f>IF(MAXIFS('単価履歴'!$O:$O,'単価履歴'!$E:$E,E535,'単価履歴'!$F:$F,F535)=O535,"●","")</f>
        <v/>
      </c>
      <c r="O535" s="346">
        <v>45702.28162037037</v>
      </c>
      <c r="P535" s="334" t="str">
        <f t="shared" si="4"/>
        <v>東鐵岡山:直納ＨＳ１(単体H1/電特A/HS))</v>
      </c>
    </row>
    <row r="536" ht="15.75" customHeight="1">
      <c r="A536" s="335" t="s">
        <v>1735</v>
      </c>
      <c r="B536" s="336">
        <v>45702.0</v>
      </c>
      <c r="C536" s="335" t="s">
        <v>532</v>
      </c>
      <c r="D536" s="335" t="s">
        <v>77</v>
      </c>
      <c r="E536" s="337" t="str">
        <f t="shared" si="1"/>
        <v>東鐵岡山:直納</v>
      </c>
      <c r="F536" s="338" t="s">
        <v>111</v>
      </c>
      <c r="G536" s="339" t="str">
        <f t="shared" si="2"/>
        <v>東鐵岡山:直納Ｈ１(特A)</v>
      </c>
      <c r="H536" s="340">
        <f t="shared" si="3"/>
        <v>42.7</v>
      </c>
      <c r="I536" s="341">
        <v>1.0</v>
      </c>
      <c r="J536" s="332">
        <f>IFERROR(__xludf.DUMMYFUNCTION("IF(IF(COUNTIF(P$2:P535, P536)=0, """", INDEX(H$2:H535,
MAX(FILTER(ROW(H$2:H535) - ROW(H$2) + 1, P$2:P535 = P536))))=""単価"","""",
IF(COUNTIF(P$2:P535, P536)=0, """", INDEX(H$2:H535,
MAX(FILTER(ROW(H$2:H535) - ROW(H$2) + 1, P$2:P535 = P536)))))"),41.7)</f>
        <v>41.7</v>
      </c>
      <c r="N536" s="335" t="str">
        <f>IF(MAXIFS('単価履歴'!$O:$O,'単価履歴'!$E:$E,E536,'単価履歴'!$F:$F,F536)=O536,"●","")</f>
        <v/>
      </c>
      <c r="O536" s="346">
        <v>45702.28162037037</v>
      </c>
      <c r="P536" s="334" t="str">
        <f t="shared" si="4"/>
        <v>東鐵岡山:直納Ｈ１(特A)</v>
      </c>
    </row>
    <row r="537" ht="15.75" customHeight="1">
      <c r="A537" s="335" t="s">
        <v>1736</v>
      </c>
      <c r="B537" s="336">
        <v>45702.0</v>
      </c>
      <c r="C537" s="335" t="s">
        <v>532</v>
      </c>
      <c r="D537" s="335" t="s">
        <v>77</v>
      </c>
      <c r="E537" s="337" t="str">
        <f t="shared" si="1"/>
        <v>東鐵岡山:直納</v>
      </c>
      <c r="F537" s="338" t="s">
        <v>116</v>
      </c>
      <c r="G537" s="339" t="str">
        <f t="shared" si="2"/>
        <v>東鐵岡山:直納Ｈ２(特級)</v>
      </c>
      <c r="H537" s="340">
        <f t="shared" si="3"/>
        <v>42</v>
      </c>
      <c r="I537" s="341">
        <v>1.0</v>
      </c>
      <c r="J537" s="332">
        <f>IFERROR(__xludf.DUMMYFUNCTION("IF(IF(COUNTIF(P$2:P536, P537)=0, """", INDEX(H$2:H536,
MAX(FILTER(ROW(H$2:H536) - ROW(H$2) + 1, P$2:P536 = P537))))=""単価"","""",
IF(COUNTIF(P$2:P536, P537)=0, """", INDEX(H$2:H536,
MAX(FILTER(ROW(H$2:H536) - ROW(H$2) + 1, P$2:P536 = P537)))))"),41.0)</f>
        <v>41</v>
      </c>
      <c r="N537" s="335" t="str">
        <f>IF(MAXIFS('単価履歴'!$O:$O,'単価履歴'!$E:$E,E537,'単価履歴'!$F:$F,F537)=O537,"●","")</f>
        <v/>
      </c>
      <c r="O537" s="346">
        <v>45702.28162037037</v>
      </c>
      <c r="P537" s="334" t="str">
        <f t="shared" si="4"/>
        <v>東鐵岡山:直納Ｈ２(特級)</v>
      </c>
    </row>
    <row r="538" ht="15.75" customHeight="1">
      <c r="A538" s="335" t="s">
        <v>1737</v>
      </c>
      <c r="B538" s="336">
        <v>45702.0</v>
      </c>
      <c r="C538" s="335" t="s">
        <v>532</v>
      </c>
      <c r="D538" s="335" t="s">
        <v>77</v>
      </c>
      <c r="E538" s="337" t="str">
        <f t="shared" si="1"/>
        <v>東鐵岡山:直納</v>
      </c>
      <c r="F538" s="338" t="s">
        <v>119</v>
      </c>
      <c r="G538" s="339" t="str">
        <f t="shared" si="2"/>
        <v>東鐵岡山:直納Ｈ３(1級)</v>
      </c>
      <c r="H538" s="340">
        <f t="shared" si="3"/>
        <v>41.5</v>
      </c>
      <c r="I538" s="341">
        <v>1.0</v>
      </c>
      <c r="J538" s="332">
        <f>IFERROR(__xludf.DUMMYFUNCTION("IF(IF(COUNTIF(P$2:P537, P538)=0, """", INDEX(H$2:H537,
MAX(FILTER(ROW(H$2:H537) - ROW(H$2) + 1, P$2:P537 = P538))))=""単価"","""",
IF(COUNTIF(P$2:P537, P538)=0, """", INDEX(H$2:H537,
MAX(FILTER(ROW(H$2:H537) - ROW(H$2) + 1, P$2:P537 = P538)))))"),40.5)</f>
        <v>40.5</v>
      </c>
      <c r="N538" s="335" t="str">
        <f>IF(MAXIFS('単価履歴'!$O:$O,'単価履歴'!$E:$E,E538,'単価履歴'!$F:$F,F538)=O538,"●","")</f>
        <v/>
      </c>
      <c r="O538" s="346">
        <v>45702.28162037037</v>
      </c>
      <c r="P538" s="334" t="str">
        <f t="shared" si="4"/>
        <v>東鐵岡山:直納Ｈ３(1級)</v>
      </c>
    </row>
    <row r="539" ht="15.75" customHeight="1">
      <c r="A539" s="335" t="s">
        <v>1738</v>
      </c>
      <c r="B539" s="336">
        <v>45702.0</v>
      </c>
      <c r="C539" s="335" t="s">
        <v>532</v>
      </c>
      <c r="D539" s="335" t="s">
        <v>77</v>
      </c>
      <c r="E539" s="337" t="str">
        <f t="shared" si="1"/>
        <v>東鐵岡山:直納</v>
      </c>
      <c r="F539" s="338" t="s">
        <v>122</v>
      </c>
      <c r="G539" s="339" t="str">
        <f t="shared" si="2"/>
        <v>東鐵岡山:直納Ｌ１(2級)</v>
      </c>
      <c r="H539" s="340">
        <f t="shared" si="3"/>
        <v>40</v>
      </c>
      <c r="I539" s="341">
        <v>1.0</v>
      </c>
      <c r="J539" s="332">
        <f>IFERROR(__xludf.DUMMYFUNCTION("IF(IF(COUNTIF(P$2:P538, P539)=0, """", INDEX(H$2:H538,
MAX(FILTER(ROW(H$2:H538) - ROW(H$2) + 1, P$2:P538 = P539))))=""単価"","""",
IF(COUNTIF(P$2:P538, P539)=0, """", INDEX(H$2:H538,
MAX(FILTER(ROW(H$2:H538) - ROW(H$2) + 1, P$2:P538 = P539)))))"),39.0)</f>
        <v>39</v>
      </c>
      <c r="N539" s="335" t="str">
        <f>IF(MAXIFS('単価履歴'!$O:$O,'単価履歴'!$E:$E,E539,'単価履歴'!$F:$F,F539)=O539,"●","")</f>
        <v/>
      </c>
      <c r="O539" s="346">
        <v>45702.28162037037</v>
      </c>
      <c r="P539" s="334" t="str">
        <f t="shared" si="4"/>
        <v>東鐵岡山:直納Ｌ１(2級)</v>
      </c>
    </row>
    <row r="540" ht="15.75" customHeight="1">
      <c r="A540" s="335" t="s">
        <v>1739</v>
      </c>
      <c r="B540" s="336">
        <v>45702.0</v>
      </c>
      <c r="C540" s="335" t="s">
        <v>532</v>
      </c>
      <c r="D540" s="335" t="s">
        <v>77</v>
      </c>
      <c r="E540" s="337" t="str">
        <f t="shared" si="1"/>
        <v>東鐵岡山:直納</v>
      </c>
      <c r="F540" s="338" t="s">
        <v>573</v>
      </c>
      <c r="G540" s="339" t="str">
        <f t="shared" si="2"/>
        <v>東鐵岡山:直納Ｌ２(H4･級外･L1ﾊﾞﾗ)</v>
      </c>
      <c r="H540" s="340">
        <f t="shared" si="3"/>
        <v>37</v>
      </c>
      <c r="I540" s="341">
        <v>1.0</v>
      </c>
      <c r="J540" s="332">
        <f>IFERROR(__xludf.DUMMYFUNCTION("IF(IF(COUNTIF(P$2:P539, P540)=0, """", INDEX(H$2:H539,
MAX(FILTER(ROW(H$2:H539) - ROW(H$2) + 1, P$2:P539 = P540))))=""単価"","""",
IF(COUNTIF(P$2:P539, P540)=0, """", INDEX(H$2:H539,
MAX(FILTER(ROW(H$2:H539) - ROW(H$2) + 1, P$2:P539 = P540)))))"),36.0)</f>
        <v>36</v>
      </c>
      <c r="N540" s="335" t="str">
        <f>IF(MAXIFS('単価履歴'!$O:$O,'単価履歴'!$E:$E,E540,'単価履歴'!$F:$F,F540)=O540,"●","")</f>
        <v/>
      </c>
      <c r="O540" s="346">
        <v>45702.28162037037</v>
      </c>
      <c r="P540" s="334" t="str">
        <f t="shared" si="4"/>
        <v>東鐵岡山:直納Ｌ２(H4･級外･L1ﾊﾞﾗ)</v>
      </c>
    </row>
    <row r="541" ht="15.75" customHeight="1">
      <c r="A541" s="335" t="s">
        <v>1740</v>
      </c>
      <c r="B541" s="336">
        <v>45702.0</v>
      </c>
      <c r="C541" s="335" t="s">
        <v>532</v>
      </c>
      <c r="D541" s="335" t="s">
        <v>77</v>
      </c>
      <c r="E541" s="337" t="str">
        <f t="shared" si="1"/>
        <v>東鐵岡山:直納</v>
      </c>
      <c r="F541" s="338" t="s">
        <v>145</v>
      </c>
      <c r="G541" s="339" t="str">
        <f t="shared" si="2"/>
        <v>東鐵岡山:直納シュレＡ</v>
      </c>
      <c r="H541" s="340">
        <f t="shared" si="3"/>
        <v>42.5</v>
      </c>
      <c r="I541" s="341">
        <v>1.0</v>
      </c>
      <c r="J541" s="332">
        <f>IFERROR(__xludf.DUMMYFUNCTION("IF(IF(COUNTIF(P$2:P540, P541)=0, """", INDEX(H$2:H540,
MAX(FILTER(ROW(H$2:H540) - ROW(H$2) + 1, P$2:P540 = P541))))=""単価"","""",
IF(COUNTIF(P$2:P540, P541)=0, """", INDEX(H$2:H540,
MAX(FILTER(ROW(H$2:H540) - ROW(H$2) + 1, P$2:P540 = P541)))))"),41.5)</f>
        <v>41.5</v>
      </c>
      <c r="N541" s="335" t="str">
        <f>IF(MAXIFS('単価履歴'!$O:$O,'単価履歴'!$E:$E,E541,'単価履歴'!$F:$F,F541)=O541,"●","")</f>
        <v/>
      </c>
      <c r="O541" s="346">
        <v>45702.28162037037</v>
      </c>
      <c r="P541" s="334" t="str">
        <f t="shared" si="4"/>
        <v>東鐵岡山:直納シュレＡ</v>
      </c>
    </row>
    <row r="542" ht="15.75" customHeight="1">
      <c r="A542" s="335" t="s">
        <v>1741</v>
      </c>
      <c r="B542" s="336">
        <v>45702.0</v>
      </c>
      <c r="C542" s="335" t="s">
        <v>532</v>
      </c>
      <c r="D542" s="335" t="s">
        <v>77</v>
      </c>
      <c r="E542" s="337" t="str">
        <f t="shared" si="1"/>
        <v>東鐵岡山:直納</v>
      </c>
      <c r="F542" s="338" t="s">
        <v>151</v>
      </c>
      <c r="G542" s="339" t="str">
        <f t="shared" si="2"/>
        <v>東鐵岡山:直納シュレＣ</v>
      </c>
      <c r="H542" s="340">
        <f t="shared" si="3"/>
        <v>42</v>
      </c>
      <c r="I542" s="341">
        <v>1.0</v>
      </c>
      <c r="J542" s="332">
        <f>IFERROR(__xludf.DUMMYFUNCTION("IF(IF(COUNTIF(P$2:P541, P542)=0, """", INDEX(H$2:H541,
MAX(FILTER(ROW(H$2:H541) - ROW(H$2) + 1, P$2:P541 = P542))))=""単価"","""",
IF(COUNTIF(P$2:P541, P542)=0, """", INDEX(H$2:H541,
MAX(FILTER(ROW(H$2:H541) - ROW(H$2) + 1, P$2:P541 = P542)))))"),41.0)</f>
        <v>41</v>
      </c>
      <c r="N542" s="335" t="str">
        <f>IF(MAXIFS('単価履歴'!$O:$O,'単価履歴'!$E:$E,E542,'単価履歴'!$F:$F,F542)=O542,"●","")</f>
        <v/>
      </c>
      <c r="O542" s="346">
        <v>45702.28162037037</v>
      </c>
      <c r="P542" s="334" t="str">
        <f t="shared" si="4"/>
        <v>東鐵岡山:直納シュレＣ</v>
      </c>
    </row>
    <row r="543" ht="15.75" customHeight="1">
      <c r="A543" s="335" t="s">
        <v>1742</v>
      </c>
      <c r="B543" s="336">
        <v>45702.0</v>
      </c>
      <c r="C543" s="335" t="s">
        <v>532</v>
      </c>
      <c r="D543" s="335" t="s">
        <v>77</v>
      </c>
      <c r="E543" s="337" t="str">
        <f t="shared" si="1"/>
        <v>東鐵岡山:直納</v>
      </c>
      <c r="F543" s="338" t="s">
        <v>130</v>
      </c>
      <c r="G543" s="339" t="str">
        <f t="shared" si="2"/>
        <v>東鐵岡山:直納新断Ａ</v>
      </c>
      <c r="H543" s="340">
        <f t="shared" si="3"/>
        <v>43</v>
      </c>
      <c r="I543" s="341">
        <v>1.0</v>
      </c>
      <c r="J543" s="332">
        <f>IFERROR(__xludf.DUMMYFUNCTION("IF(IF(COUNTIF(P$2:P542, P543)=0, """", INDEX(H$2:H542,
MAX(FILTER(ROW(H$2:H542) - ROW(H$2) + 1, P$2:P542 = P543))))=""単価"","""",
IF(COUNTIF(P$2:P542, P543)=0, """", INDEX(H$2:H542,
MAX(FILTER(ROW(H$2:H542) - ROW(H$2) + 1, P$2:P542 = P543)))))"),42.0)</f>
        <v>42</v>
      </c>
      <c r="N543" s="335" t="str">
        <f>IF(MAXIFS('単価履歴'!$O:$O,'単価履歴'!$E:$E,E543,'単価履歴'!$F:$F,F543)=O543,"●","")</f>
        <v/>
      </c>
      <c r="O543" s="346">
        <v>45702.28162037037</v>
      </c>
      <c r="P543" s="334" t="str">
        <f t="shared" si="4"/>
        <v>東鐵岡山:直納新断Ａ</v>
      </c>
    </row>
    <row r="544" ht="15.75" customHeight="1">
      <c r="A544" s="335" t="s">
        <v>1743</v>
      </c>
      <c r="B544" s="336">
        <v>45702.0</v>
      </c>
      <c r="C544" s="335" t="s">
        <v>532</v>
      </c>
      <c r="D544" s="335" t="s">
        <v>77</v>
      </c>
      <c r="E544" s="337" t="str">
        <f t="shared" si="1"/>
        <v>東鐵岡山:直納</v>
      </c>
      <c r="F544" s="338" t="s">
        <v>131</v>
      </c>
      <c r="G544" s="339" t="str">
        <f t="shared" si="2"/>
        <v>東鐵岡山:直納新断Ｂ</v>
      </c>
      <c r="H544" s="340">
        <f t="shared" si="3"/>
        <v>43</v>
      </c>
      <c r="I544" s="341">
        <v>1.0</v>
      </c>
      <c r="J544" s="332">
        <f>IFERROR(__xludf.DUMMYFUNCTION("IF(IF(COUNTIF(P$2:P543, P544)=0, """", INDEX(H$2:H543,
MAX(FILTER(ROW(H$2:H543) - ROW(H$2) + 1, P$2:P543 = P544))))=""単価"","""",
IF(COUNTIF(P$2:P543, P544)=0, """", INDEX(H$2:H543,
MAX(FILTER(ROW(H$2:H543) - ROW(H$2) + 1, P$2:P543 = P544)))))"),42.0)</f>
        <v>42</v>
      </c>
      <c r="N544" s="335" t="str">
        <f>IF(MAXIFS('単価履歴'!$O:$O,'単価履歴'!$E:$E,E544,'単価履歴'!$F:$F,F544)=O544,"●","")</f>
        <v/>
      </c>
      <c r="O544" s="346">
        <v>45702.28162037037</v>
      </c>
      <c r="P544" s="334" t="str">
        <f t="shared" si="4"/>
        <v>東鐵岡山:直納新断Ｂ</v>
      </c>
    </row>
    <row r="545" ht="15.75" customHeight="1">
      <c r="A545" s="335" t="s">
        <v>1744</v>
      </c>
      <c r="B545" s="336">
        <v>45702.0</v>
      </c>
      <c r="C545" s="335" t="s">
        <v>532</v>
      </c>
      <c r="D545" s="335" t="s">
        <v>77</v>
      </c>
      <c r="E545" s="337" t="str">
        <f t="shared" si="1"/>
        <v>東鐵岡山:直納</v>
      </c>
      <c r="F545" s="338" t="s">
        <v>575</v>
      </c>
      <c r="G545" s="339" t="str">
        <f t="shared" si="2"/>
        <v>東鐵岡山:直納鋼ダライＡ</v>
      </c>
      <c r="H545" s="340">
        <f t="shared" si="3"/>
        <v>38</v>
      </c>
      <c r="I545" s="341">
        <v>1.0</v>
      </c>
      <c r="J545" s="332">
        <f>IFERROR(__xludf.DUMMYFUNCTION("IF(IF(COUNTIF(P$2:P544, P545)=0, """", INDEX(H$2:H544,
MAX(FILTER(ROW(H$2:H544) - ROW(H$2) + 1, P$2:P544 = P545))))=""単価"","""",
IF(COUNTIF(P$2:P544, P545)=0, """", INDEX(H$2:H544,
MAX(FILTER(ROW(H$2:H544) - ROW(H$2) + 1, P$2:P544 = P545)))))"),37.0)</f>
        <v>37</v>
      </c>
      <c r="N545" s="335" t="str">
        <f>IF(MAXIFS('単価履歴'!$O:$O,'単価履歴'!$E:$E,E545,'単価履歴'!$F:$F,F545)=O545,"●","")</f>
        <v/>
      </c>
      <c r="O545" s="346">
        <v>45702.28162037037</v>
      </c>
      <c r="P545" s="334" t="str">
        <f t="shared" si="4"/>
        <v>東鐵岡山:直納鋼ダライＡ</v>
      </c>
    </row>
    <row r="546" ht="15.75" customHeight="1">
      <c r="A546" s="335" t="s">
        <v>1745</v>
      </c>
      <c r="B546" s="336">
        <v>45702.0</v>
      </c>
      <c r="C546" s="335" t="s">
        <v>532</v>
      </c>
      <c r="D546" s="335" t="s">
        <v>77</v>
      </c>
      <c r="E546" s="337" t="str">
        <f t="shared" si="1"/>
        <v>東鐵岡山:直納</v>
      </c>
      <c r="F546" s="338" t="s">
        <v>25</v>
      </c>
      <c r="G546" s="339" t="str">
        <f t="shared" si="2"/>
        <v>東鐵岡山:直納銑ダライ</v>
      </c>
      <c r="H546" s="340">
        <f t="shared" si="3"/>
        <v>34.5</v>
      </c>
      <c r="I546" s="341">
        <v>1.0</v>
      </c>
      <c r="J546" s="332">
        <f>IFERROR(__xludf.DUMMYFUNCTION("IF(IF(COUNTIF(P$2:P545, P546)=0, """", INDEX(H$2:H545,
MAX(FILTER(ROW(H$2:H545) - ROW(H$2) + 1, P$2:P545 = P546))))=""単価"","""",
IF(COUNTIF(P$2:P545, P546)=0, """", INDEX(H$2:H545,
MAX(FILTER(ROW(H$2:H545) - ROW(H$2) + 1, P$2:P545 = P546)))))"),33.5)</f>
        <v>33.5</v>
      </c>
      <c r="N546" s="335" t="str">
        <f>IF(MAXIFS('単価履歴'!$O:$O,'単価履歴'!$E:$E,E546,'単価履歴'!$F:$F,F546)=O546,"●","")</f>
        <v/>
      </c>
      <c r="O546" s="346">
        <v>45702.28162037037</v>
      </c>
      <c r="P546" s="334" t="str">
        <f t="shared" si="4"/>
        <v>東鐵岡山:直納銑ダライ</v>
      </c>
    </row>
    <row r="547" ht="15.75" customHeight="1">
      <c r="A547" s="335" t="s">
        <v>1746</v>
      </c>
      <c r="B547" s="336">
        <v>45702.0</v>
      </c>
      <c r="C547" s="335" t="s">
        <v>532</v>
      </c>
      <c r="D547" s="335" t="s">
        <v>77</v>
      </c>
      <c r="E547" s="337" t="str">
        <f t="shared" si="1"/>
        <v>東鐵岡山:直納</v>
      </c>
      <c r="F547" s="338" t="s">
        <v>154</v>
      </c>
      <c r="G547" s="339" t="str">
        <f t="shared" si="2"/>
        <v>東鐵岡山:直納ＣＰ Ａ</v>
      </c>
      <c r="H547" s="340">
        <f t="shared" si="3"/>
        <v>40.5</v>
      </c>
      <c r="I547" s="341">
        <v>1.0</v>
      </c>
      <c r="J547" s="332">
        <f>IFERROR(__xludf.DUMMYFUNCTION("IF(IF(COUNTIF(P$2:P546, P547)=0, """", INDEX(H$2:H546,
MAX(FILTER(ROW(H$2:H546) - ROW(H$2) + 1, P$2:P546 = P547))))=""単価"","""",
IF(COUNTIF(P$2:P546, P547)=0, """", INDEX(H$2:H546,
MAX(FILTER(ROW(H$2:H546) - ROW(H$2) + 1, P$2:P546 = P547)))))"),39.5)</f>
        <v>39.5</v>
      </c>
      <c r="N547" s="335" t="str">
        <f>IF(MAXIFS('単価履歴'!$O:$O,'単価履歴'!$E:$E,E547,'単価履歴'!$F:$F,F547)=O547,"●","")</f>
        <v/>
      </c>
      <c r="O547" s="346">
        <v>45702.28162037037</v>
      </c>
      <c r="P547" s="334" t="str">
        <f t="shared" si="4"/>
        <v>東鐵岡山:直納ＣＰ Ａ</v>
      </c>
    </row>
    <row r="548" ht="15.75" customHeight="1">
      <c r="A548" s="335" t="s">
        <v>1747</v>
      </c>
      <c r="B548" s="336">
        <v>45702.0</v>
      </c>
      <c r="C548" s="335" t="s">
        <v>36</v>
      </c>
      <c r="D548" s="335" t="s">
        <v>1303</v>
      </c>
      <c r="E548" s="337" t="str">
        <f t="shared" si="1"/>
        <v>共英枚方:ナベ/置場単価</v>
      </c>
      <c r="F548" s="338" t="s">
        <v>111</v>
      </c>
      <c r="G548" s="339" t="str">
        <f t="shared" si="2"/>
        <v>共英枚方:ナベ/置場単価Ｈ１(特A)</v>
      </c>
      <c r="H548" s="340">
        <f t="shared" si="3"/>
        <v>42.5</v>
      </c>
      <c r="I548" s="341">
        <v>1.0</v>
      </c>
      <c r="J548" s="332">
        <f>IFERROR(__xludf.DUMMYFUNCTION("IF(IF(COUNTIF(P$2:P547, P548)=0, """", INDEX(H$2:H547,
MAX(FILTER(ROW(H$2:H547) - ROW(H$2) + 1, P$2:P547 = P548))))=""単価"","""",
IF(COUNTIF(P$2:P547, P548)=0, """", INDEX(H$2:H547,
MAX(FILTER(ROW(H$2:H547) - ROW(H$2) + 1, P$2:P547 = P548)))))"),41.5)</f>
        <v>41.5</v>
      </c>
      <c r="N548" s="335" t="str">
        <f>IF(MAXIFS('単価履歴'!$O:$O,'単価履歴'!$E:$E,E548,'単価履歴'!$F:$F,F548)=O548,"●","")</f>
        <v/>
      </c>
      <c r="O548" s="346">
        <v>45702.2862962963</v>
      </c>
      <c r="P548" s="334" t="str">
        <f t="shared" si="4"/>
        <v>共英枚方:ナベ/置場単価Ｈ１(特A)</v>
      </c>
    </row>
    <row r="549" ht="15.75" customHeight="1">
      <c r="A549" s="335" t="s">
        <v>1748</v>
      </c>
      <c r="B549" s="336">
        <v>45702.0</v>
      </c>
      <c r="C549" s="335" t="s">
        <v>36</v>
      </c>
      <c r="D549" s="335" t="s">
        <v>1303</v>
      </c>
      <c r="E549" s="337" t="str">
        <f t="shared" si="1"/>
        <v>共英枚方:ナベ/置場単価</v>
      </c>
      <c r="F549" s="338" t="s">
        <v>116</v>
      </c>
      <c r="G549" s="339" t="str">
        <f t="shared" si="2"/>
        <v>共英枚方:ナベ/置場単価Ｈ２(特級)</v>
      </c>
      <c r="H549" s="340">
        <f t="shared" si="3"/>
        <v>40</v>
      </c>
      <c r="I549" s="341">
        <v>1.0</v>
      </c>
      <c r="J549" s="332">
        <f>IFERROR(__xludf.DUMMYFUNCTION("IF(IF(COUNTIF(P$2:P548, P549)=0, """", INDEX(H$2:H548,
MAX(FILTER(ROW(H$2:H548) - ROW(H$2) + 1, P$2:P548 = P549))))=""単価"","""",
IF(COUNTIF(P$2:P548, P549)=0, """", INDEX(H$2:H548,
MAX(FILTER(ROW(H$2:H548) - ROW(H$2) + 1, P$2:P548 = P549)))))"),39.0)</f>
        <v>39</v>
      </c>
      <c r="N549" s="335" t="str">
        <f>IF(MAXIFS('単価履歴'!$O:$O,'単価履歴'!$E:$E,E549,'単価履歴'!$F:$F,F549)=O549,"●","")</f>
        <v/>
      </c>
      <c r="O549" s="346">
        <v>45702.2862962963</v>
      </c>
      <c r="P549" s="334" t="str">
        <f t="shared" si="4"/>
        <v>共英枚方:ナベ/置場単価Ｈ２(特級)</v>
      </c>
    </row>
    <row r="550" ht="15.75" customHeight="1">
      <c r="A550" s="335" t="s">
        <v>1749</v>
      </c>
      <c r="B550" s="336">
        <v>45702.0</v>
      </c>
      <c r="C550" s="335" t="s">
        <v>36</v>
      </c>
      <c r="D550" s="335" t="s">
        <v>1303</v>
      </c>
      <c r="E550" s="337" t="str">
        <f t="shared" si="1"/>
        <v>共英枚方:ナベ/置場単価</v>
      </c>
      <c r="F550" s="338" t="s">
        <v>119</v>
      </c>
      <c r="G550" s="339" t="str">
        <f t="shared" si="2"/>
        <v>共英枚方:ナベ/置場単価Ｈ３(1級)</v>
      </c>
      <c r="H550" s="340">
        <f t="shared" si="3"/>
        <v>39</v>
      </c>
      <c r="I550" s="341">
        <v>1.0</v>
      </c>
      <c r="J550" s="332">
        <f>IFERROR(__xludf.DUMMYFUNCTION("IF(IF(COUNTIF(P$2:P549, P550)=0, """", INDEX(H$2:H549,
MAX(FILTER(ROW(H$2:H549) - ROW(H$2) + 1, P$2:P549 = P550))))=""単価"","""",
IF(COUNTIF(P$2:P549, P550)=0, """", INDEX(H$2:H549,
MAX(FILTER(ROW(H$2:H549) - ROW(H$2) + 1, P$2:P549 = P550)))))"),38.0)</f>
        <v>38</v>
      </c>
      <c r="N550" s="335" t="str">
        <f>IF(MAXIFS('単価履歴'!$O:$O,'単価履歴'!$E:$E,E550,'単価履歴'!$F:$F,F550)=O550,"●","")</f>
        <v/>
      </c>
      <c r="O550" s="346">
        <v>45702.2862962963</v>
      </c>
      <c r="P550" s="334" t="str">
        <f t="shared" si="4"/>
        <v>共英枚方:ナベ/置場単価Ｈ３(1級)</v>
      </c>
    </row>
    <row r="551" ht="15.75" customHeight="1">
      <c r="A551" s="335" t="s">
        <v>1750</v>
      </c>
      <c r="B551" s="336">
        <v>45702.0</v>
      </c>
      <c r="C551" s="335" t="s">
        <v>36</v>
      </c>
      <c r="D551" s="335" t="s">
        <v>1303</v>
      </c>
      <c r="E551" s="337" t="str">
        <f t="shared" si="1"/>
        <v>共英枚方:ナベ/置場単価</v>
      </c>
      <c r="F551" s="338" t="s">
        <v>122</v>
      </c>
      <c r="G551" s="339" t="str">
        <f t="shared" si="2"/>
        <v>共英枚方:ナベ/置場単価Ｌ１(2級)</v>
      </c>
      <c r="H551" s="340">
        <f t="shared" si="3"/>
        <v>38</v>
      </c>
      <c r="I551" s="341">
        <v>1.0</v>
      </c>
      <c r="J551" s="332">
        <f>IFERROR(__xludf.DUMMYFUNCTION("IF(IF(COUNTIF(P$2:P550, P551)=0, """", INDEX(H$2:H550,
MAX(FILTER(ROW(H$2:H550) - ROW(H$2) + 1, P$2:P550 = P551))))=""単価"","""",
IF(COUNTIF(P$2:P550, P551)=0, """", INDEX(H$2:H550,
MAX(FILTER(ROW(H$2:H550) - ROW(H$2) + 1, P$2:P550 = P551)))))"),37.0)</f>
        <v>37</v>
      </c>
      <c r="N551" s="335" t="str">
        <f>IF(MAXIFS('単価履歴'!$O:$O,'単価履歴'!$E:$E,E551,'単価履歴'!$F:$F,F551)=O551,"●","")</f>
        <v/>
      </c>
      <c r="O551" s="346">
        <v>45702.2862962963</v>
      </c>
      <c r="P551" s="334" t="str">
        <f t="shared" si="4"/>
        <v>共英枚方:ナベ/置場単価Ｌ１(2級)</v>
      </c>
    </row>
    <row r="552" ht="15.75" customHeight="1">
      <c r="A552" s="335" t="s">
        <v>1751</v>
      </c>
      <c r="B552" s="336">
        <v>45702.0</v>
      </c>
      <c r="C552" s="335" t="s">
        <v>36</v>
      </c>
      <c r="D552" s="335" t="s">
        <v>1303</v>
      </c>
      <c r="E552" s="337" t="str">
        <f t="shared" si="1"/>
        <v>共英枚方:ナベ/置場単価</v>
      </c>
      <c r="F552" s="338" t="s">
        <v>154</v>
      </c>
      <c r="G552" s="339" t="str">
        <f t="shared" si="2"/>
        <v>共英枚方:ナベ/置場単価ＣＰ Ａ</v>
      </c>
      <c r="H552" s="340">
        <f t="shared" si="3"/>
        <v>46.5</v>
      </c>
      <c r="I552" s="341">
        <v>1.0</v>
      </c>
      <c r="J552" s="332">
        <f>IFERROR(__xludf.DUMMYFUNCTION("IF(IF(COUNTIF(P$2:P551, P552)=0, """", INDEX(H$2:H551,
MAX(FILTER(ROW(H$2:H551) - ROW(H$2) + 1, P$2:P551 = P552))))=""単価"","""",
IF(COUNTIF(P$2:P551, P552)=0, """", INDEX(H$2:H551,
MAX(FILTER(ROW(H$2:H551) - ROW(H$2) + 1, P$2:P551 = P552)))))"),45.5)</f>
        <v>45.5</v>
      </c>
      <c r="N552" s="335" t="str">
        <f>IF(MAXIFS('単価履歴'!$O:$O,'単価履歴'!$E:$E,E552,'単価履歴'!$F:$F,F552)=O552,"●","")</f>
        <v/>
      </c>
      <c r="O552" s="346">
        <v>45702.2862962963</v>
      </c>
      <c r="P552" s="334" t="str">
        <f t="shared" si="4"/>
        <v>共英枚方:ナベ/置場単価ＣＰ Ａ</v>
      </c>
    </row>
    <row r="553" ht="15.75" customHeight="1">
      <c r="A553" s="335" t="s">
        <v>1752</v>
      </c>
      <c r="B553" s="336">
        <v>45702.0</v>
      </c>
      <c r="C553" s="335" t="s">
        <v>28</v>
      </c>
      <c r="D553" s="335" t="s">
        <v>52</v>
      </c>
      <c r="E553" s="337" t="str">
        <f t="shared" si="1"/>
        <v>ＪＦＥ条鋼:リバイブ</v>
      </c>
      <c r="F553" s="338" t="s">
        <v>111</v>
      </c>
      <c r="G553" s="339" t="str">
        <f t="shared" si="2"/>
        <v>ＪＦＥ条鋼:リバイブＨ１(特A)</v>
      </c>
      <c r="H553" s="340">
        <f t="shared" si="3"/>
        <v>41</v>
      </c>
      <c r="I553" s="341">
        <v>1.0</v>
      </c>
      <c r="J553" s="332">
        <f>IFERROR(__xludf.DUMMYFUNCTION("IF(IF(COUNTIF(P$2:P552, P553)=0, """", INDEX(H$2:H552,
MAX(FILTER(ROW(H$2:H552) - ROW(H$2) + 1, P$2:P552 = P553))))=""単価"","""",
IF(COUNTIF(P$2:P552, P553)=0, """", INDEX(H$2:H552,
MAX(FILTER(ROW(H$2:H552) - ROW(H$2) + 1, P$2:P552 = P553)))))"),40.0)</f>
        <v>40</v>
      </c>
      <c r="N553" s="335" t="str">
        <f>IF(MAXIFS('単価履歴'!$O:$O,'単価履歴'!$E:$E,E553,'単価履歴'!$F:$F,F553)=O553,"●","")</f>
        <v/>
      </c>
      <c r="O553" s="346">
        <v>45702.365740740745</v>
      </c>
      <c r="P553" s="334" t="str">
        <f t="shared" si="4"/>
        <v>ＪＦＥ条鋼:リバイブＨ１(特A)</v>
      </c>
    </row>
    <row r="554" ht="15.75" customHeight="1">
      <c r="A554" s="335" t="s">
        <v>1753</v>
      </c>
      <c r="B554" s="336">
        <v>45702.0</v>
      </c>
      <c r="C554" s="335" t="s">
        <v>28</v>
      </c>
      <c r="D554" s="335" t="s">
        <v>52</v>
      </c>
      <c r="E554" s="337" t="str">
        <f t="shared" si="1"/>
        <v>ＪＦＥ条鋼:リバイブ</v>
      </c>
      <c r="F554" s="338" t="s">
        <v>116</v>
      </c>
      <c r="G554" s="339" t="str">
        <f t="shared" si="2"/>
        <v>ＪＦＥ条鋼:リバイブＨ２(特級)</v>
      </c>
      <c r="H554" s="340">
        <f t="shared" si="3"/>
        <v>40</v>
      </c>
      <c r="I554" s="341">
        <v>1.0</v>
      </c>
      <c r="J554" s="332">
        <f>IFERROR(__xludf.DUMMYFUNCTION("IF(IF(COUNTIF(P$2:P553, P554)=0, """", INDEX(H$2:H553,
MAX(FILTER(ROW(H$2:H553) - ROW(H$2) + 1, P$2:P553 = P554))))=""単価"","""",
IF(COUNTIF(P$2:P553, P554)=0, """", INDEX(H$2:H553,
MAX(FILTER(ROW(H$2:H553) - ROW(H$2) + 1, P$2:P553 = P554)))))"),39.0)</f>
        <v>39</v>
      </c>
      <c r="N554" s="335" t="str">
        <f>IF(MAXIFS('単価履歴'!$O:$O,'単価履歴'!$E:$E,E554,'単価履歴'!$F:$F,F554)=O554,"●","")</f>
        <v/>
      </c>
      <c r="O554" s="346">
        <v>45702.365740740745</v>
      </c>
      <c r="P554" s="334" t="str">
        <f t="shared" si="4"/>
        <v>ＪＦＥ条鋼:リバイブＨ２(特級)</v>
      </c>
    </row>
    <row r="555" ht="15.75" customHeight="1">
      <c r="A555" s="335" t="s">
        <v>1754</v>
      </c>
      <c r="B555" s="336">
        <v>45702.0</v>
      </c>
      <c r="C555" s="335" t="s">
        <v>28</v>
      </c>
      <c r="D555" s="335" t="s">
        <v>52</v>
      </c>
      <c r="E555" s="337" t="str">
        <f t="shared" si="1"/>
        <v>ＪＦＥ条鋼:リバイブ</v>
      </c>
      <c r="F555" s="338" t="s">
        <v>119</v>
      </c>
      <c r="G555" s="339" t="str">
        <f t="shared" si="2"/>
        <v>ＪＦＥ条鋼:リバイブＨ３(1級)</v>
      </c>
      <c r="H555" s="340">
        <f t="shared" si="3"/>
        <v>39</v>
      </c>
      <c r="I555" s="341">
        <v>1.0</v>
      </c>
      <c r="J555" s="332">
        <f>IFERROR(__xludf.DUMMYFUNCTION("IF(IF(COUNTIF(P$2:P554, P555)=0, """", INDEX(H$2:H554,
MAX(FILTER(ROW(H$2:H554) - ROW(H$2) + 1, P$2:P554 = P555))))=""単価"","""",
IF(COUNTIF(P$2:P554, P555)=0, """", INDEX(H$2:H554,
MAX(FILTER(ROW(H$2:H554) - ROW(H$2) + 1, P$2:P554 = P555)))))"),38.0)</f>
        <v>38</v>
      </c>
      <c r="N555" s="335" t="str">
        <f>IF(MAXIFS('単価履歴'!$O:$O,'単価履歴'!$E:$E,E555,'単価履歴'!$F:$F,F555)=O555,"●","")</f>
        <v/>
      </c>
      <c r="O555" s="346">
        <v>45702.365740740745</v>
      </c>
      <c r="P555" s="334" t="str">
        <f t="shared" si="4"/>
        <v>ＪＦＥ条鋼:リバイブＨ３(1級)</v>
      </c>
    </row>
    <row r="556" ht="15.75" customHeight="1">
      <c r="A556" s="335" t="s">
        <v>1755</v>
      </c>
      <c r="B556" s="336">
        <v>45702.0</v>
      </c>
      <c r="C556" s="335" t="s">
        <v>28</v>
      </c>
      <c r="D556" s="335" t="s">
        <v>52</v>
      </c>
      <c r="E556" s="337" t="str">
        <f t="shared" si="1"/>
        <v>ＪＦＥ条鋼:リバイブ</v>
      </c>
      <c r="F556" s="338" t="s">
        <v>122</v>
      </c>
      <c r="G556" s="339" t="str">
        <f t="shared" si="2"/>
        <v>ＪＦＥ条鋼:リバイブＬ１(2級)</v>
      </c>
      <c r="H556" s="340">
        <f t="shared" si="3"/>
        <v>35.8</v>
      </c>
      <c r="I556" s="341">
        <v>1.0</v>
      </c>
      <c r="J556" s="332">
        <f>IFERROR(__xludf.DUMMYFUNCTION("IF(IF(COUNTIF(P$2:P555, P556)=0, """", INDEX(H$2:H555,
MAX(FILTER(ROW(H$2:H555) - ROW(H$2) + 1, P$2:P555 = P556))))=""単価"","""",
IF(COUNTIF(P$2:P555, P556)=0, """", INDEX(H$2:H555,
MAX(FILTER(ROW(H$2:H555) - ROW(H$2) + 1, P$2:P555 = P556)))))"),34.8)</f>
        <v>34.8</v>
      </c>
      <c r="N556" s="335" t="str">
        <f>IF(MAXIFS('単価履歴'!$O:$O,'単価履歴'!$E:$E,E556,'単価履歴'!$F:$F,F556)=O556,"●","")</f>
        <v/>
      </c>
      <c r="O556" s="346">
        <v>45702.365740740745</v>
      </c>
      <c r="P556" s="334" t="str">
        <f t="shared" si="4"/>
        <v>ＪＦＥ条鋼:リバイブＬ１(2級)</v>
      </c>
    </row>
    <row r="557" ht="15.75" customHeight="1">
      <c r="A557" s="335" t="s">
        <v>1756</v>
      </c>
      <c r="B557" s="336">
        <v>45702.0</v>
      </c>
      <c r="C557" s="335" t="s">
        <v>28</v>
      </c>
      <c r="D557" s="335" t="s">
        <v>52</v>
      </c>
      <c r="E557" s="337" t="str">
        <f t="shared" si="1"/>
        <v>ＪＦＥ条鋼:リバイブ</v>
      </c>
      <c r="F557" s="338" t="s">
        <v>573</v>
      </c>
      <c r="G557" s="339" t="str">
        <f t="shared" si="2"/>
        <v>ＪＦＥ条鋼:リバイブＬ２(H4･級外･L1ﾊﾞﾗ)</v>
      </c>
      <c r="H557" s="340">
        <f t="shared" si="3"/>
        <v>39.9</v>
      </c>
      <c r="I557" s="341">
        <v>1.0</v>
      </c>
      <c r="J557" s="332">
        <f>IFERROR(__xludf.DUMMYFUNCTION("IF(IF(COUNTIF(P$2:P556, P557)=0, """", INDEX(H$2:H556,
MAX(FILTER(ROW(H$2:H556) - ROW(H$2) + 1, P$2:P556 = P557))))=""単価"","""",
IF(COUNTIF(P$2:P556, P557)=0, """", INDEX(H$2:H556,
MAX(FILTER(ROW(H$2:H556) - ROW(H$2) + 1, P$2:P556 = P557)))))"),38.9)</f>
        <v>38.9</v>
      </c>
      <c r="N557" s="335" t="str">
        <f>IF(MAXIFS('単価履歴'!$O:$O,'単価履歴'!$E:$E,E557,'単価履歴'!$F:$F,F557)=O557,"●","")</f>
        <v/>
      </c>
      <c r="O557" s="346">
        <v>45702.365740740745</v>
      </c>
      <c r="P557" s="334" t="str">
        <f t="shared" si="4"/>
        <v>ＪＦＥ条鋼:リバイブＬ２(H4･級外･L1ﾊﾞﾗ)</v>
      </c>
    </row>
    <row r="558" ht="15.75" customHeight="1">
      <c r="A558" s="335" t="s">
        <v>1757</v>
      </c>
      <c r="B558" s="336">
        <v>45702.0</v>
      </c>
      <c r="C558" s="335" t="s">
        <v>28</v>
      </c>
      <c r="D558" s="335" t="s">
        <v>52</v>
      </c>
      <c r="E558" s="337" t="str">
        <f t="shared" si="1"/>
        <v>ＪＦＥ条鋼:リバイブ</v>
      </c>
      <c r="F558" s="338" t="s">
        <v>130</v>
      </c>
      <c r="G558" s="339" t="str">
        <f t="shared" si="2"/>
        <v>ＪＦＥ条鋼:リバイブ新断Ａ</v>
      </c>
      <c r="H558" s="340">
        <f t="shared" si="3"/>
        <v>43.5</v>
      </c>
      <c r="I558" s="341">
        <v>1.0</v>
      </c>
      <c r="J558" s="332">
        <f>IFERROR(__xludf.DUMMYFUNCTION("IF(IF(COUNTIF(P$2:P557, P558)=0, """", INDEX(H$2:H557,
MAX(FILTER(ROW(H$2:H557) - ROW(H$2) + 1, P$2:P557 = P558))))=""単価"","""",
IF(COUNTIF(P$2:P557, P558)=0, """", INDEX(H$2:H557,
MAX(FILTER(ROW(H$2:H557) - ROW(H$2) + 1, P$2:P557 = P558)))))"),42.5)</f>
        <v>42.5</v>
      </c>
      <c r="N558" s="335" t="str">
        <f>IF(MAXIFS('単価履歴'!$O:$O,'単価履歴'!$E:$E,E558,'単価履歴'!$F:$F,F558)=O558,"●","")</f>
        <v/>
      </c>
      <c r="O558" s="346">
        <v>45702.365740740745</v>
      </c>
      <c r="P558" s="334" t="str">
        <f t="shared" si="4"/>
        <v>ＪＦＥ条鋼:リバイブ新断Ａ</v>
      </c>
    </row>
    <row r="559" ht="15.75" customHeight="1">
      <c r="A559" s="335" t="s">
        <v>1758</v>
      </c>
      <c r="B559" s="336">
        <v>45702.0</v>
      </c>
      <c r="C559" s="335" t="s">
        <v>28</v>
      </c>
      <c r="D559" s="335" t="s">
        <v>52</v>
      </c>
      <c r="E559" s="337" t="str">
        <f t="shared" si="1"/>
        <v>ＪＦＥ条鋼:リバイブ</v>
      </c>
      <c r="F559" s="338" t="s">
        <v>131</v>
      </c>
      <c r="G559" s="339" t="str">
        <f t="shared" si="2"/>
        <v>ＪＦＥ条鋼:リバイブ新断Ｂ</v>
      </c>
      <c r="H559" s="340">
        <f t="shared" si="3"/>
        <v>42.5</v>
      </c>
      <c r="I559" s="341">
        <v>1.0</v>
      </c>
      <c r="J559" s="332">
        <f>IFERROR(__xludf.DUMMYFUNCTION("IF(IF(COUNTIF(P$2:P558, P559)=0, """", INDEX(H$2:H558,
MAX(FILTER(ROW(H$2:H558) - ROW(H$2) + 1, P$2:P558 = P559))))=""単価"","""",
IF(COUNTIF(P$2:P558, P559)=0, """", INDEX(H$2:H558,
MAX(FILTER(ROW(H$2:H558) - ROW(H$2) + 1, P$2:P558 = P559)))))"),41.5)</f>
        <v>41.5</v>
      </c>
      <c r="N559" s="335" t="str">
        <f>IF(MAXIFS('単価履歴'!$O:$O,'単価履歴'!$E:$E,E559,'単価履歴'!$F:$F,F559)=O559,"●","")</f>
        <v/>
      </c>
      <c r="O559" s="346">
        <v>45702.365740740745</v>
      </c>
      <c r="P559" s="334" t="str">
        <f t="shared" si="4"/>
        <v>ＪＦＥ条鋼:リバイブ新断Ｂ</v>
      </c>
    </row>
    <row r="560" ht="15.75" customHeight="1">
      <c r="A560" s="335" t="s">
        <v>1759</v>
      </c>
      <c r="B560" s="336">
        <v>45702.0</v>
      </c>
      <c r="C560" s="335" t="s">
        <v>28</v>
      </c>
      <c r="D560" s="335" t="s">
        <v>52</v>
      </c>
      <c r="E560" s="337" t="str">
        <f t="shared" si="1"/>
        <v>ＪＦＥ条鋼:リバイブ</v>
      </c>
      <c r="F560" s="338" t="s">
        <v>575</v>
      </c>
      <c r="G560" s="339" t="str">
        <f t="shared" si="2"/>
        <v>ＪＦＥ条鋼:リバイブ鋼ダライＡ</v>
      </c>
      <c r="H560" s="340">
        <f t="shared" si="3"/>
        <v>39.5</v>
      </c>
      <c r="I560" s="341">
        <v>1.0</v>
      </c>
      <c r="J560" s="332">
        <f>IFERROR(__xludf.DUMMYFUNCTION("IF(IF(COUNTIF(P$2:P559, P560)=0, """", INDEX(H$2:H559,
MAX(FILTER(ROW(H$2:H559) - ROW(H$2) + 1, P$2:P559 = P560))))=""単価"","""",
IF(COUNTIF(P$2:P559, P560)=0, """", INDEX(H$2:H559,
MAX(FILTER(ROW(H$2:H559) - ROW(H$2) + 1, P$2:P559 = P560)))))"),38.5)</f>
        <v>38.5</v>
      </c>
      <c r="N560" s="335" t="str">
        <f>IF(MAXIFS('単価履歴'!$O:$O,'単価履歴'!$E:$E,E560,'単価履歴'!$F:$F,F560)=O560,"●","")</f>
        <v/>
      </c>
      <c r="O560" s="346">
        <v>45702.365740740745</v>
      </c>
      <c r="P560" s="334" t="str">
        <f t="shared" si="4"/>
        <v>ＪＦＥ条鋼:リバイブ鋼ダライＡ</v>
      </c>
    </row>
    <row r="561" ht="15.75" customHeight="1">
      <c r="A561" s="335" t="s">
        <v>1760</v>
      </c>
      <c r="B561" s="336">
        <v>45702.0</v>
      </c>
      <c r="C561" s="335" t="s">
        <v>28</v>
      </c>
      <c r="D561" s="335" t="s">
        <v>52</v>
      </c>
      <c r="E561" s="337" t="str">
        <f t="shared" si="1"/>
        <v>ＪＦＥ条鋼:リバイブ</v>
      </c>
      <c r="F561" s="338" t="s">
        <v>154</v>
      </c>
      <c r="G561" s="339" t="str">
        <f t="shared" si="2"/>
        <v>ＪＦＥ条鋼:リバイブＣＰ Ａ</v>
      </c>
      <c r="H561" s="340">
        <f t="shared" si="3"/>
        <v>44.5</v>
      </c>
      <c r="I561" s="341">
        <v>1.0</v>
      </c>
      <c r="J561" s="332">
        <f>IFERROR(__xludf.DUMMYFUNCTION("IF(IF(COUNTIF(P$2:P560, P561)=0, """", INDEX(H$2:H560,
MAX(FILTER(ROW(H$2:H560) - ROW(H$2) + 1, P$2:P560 = P561))))=""単価"","""",
IF(COUNTIF(P$2:P560, P561)=0, """", INDEX(H$2:H560,
MAX(FILTER(ROW(H$2:H560) - ROW(H$2) + 1, P$2:P560 = P561)))))"),43.5)</f>
        <v>43.5</v>
      </c>
      <c r="N561" s="335" t="str">
        <f>IF(MAXIFS('単価履歴'!$O:$O,'単価履歴'!$E:$E,E561,'単価履歴'!$F:$F,F561)=O561,"●","")</f>
        <v/>
      </c>
      <c r="O561" s="346">
        <v>45702.365740740745</v>
      </c>
      <c r="P561" s="334" t="str">
        <f t="shared" si="4"/>
        <v>ＪＦＥ条鋼:リバイブＣＰ Ａ</v>
      </c>
    </row>
    <row r="562" ht="15.75" customHeight="1">
      <c r="A562" s="335" t="s">
        <v>1761</v>
      </c>
      <c r="B562" s="336">
        <v>45702.0</v>
      </c>
      <c r="C562" s="335" t="s">
        <v>9</v>
      </c>
      <c r="D562" s="335" t="s">
        <v>51</v>
      </c>
      <c r="E562" s="337" t="str">
        <f t="shared" si="1"/>
        <v>大鉄　堺:大鉄堺</v>
      </c>
      <c r="F562" s="338" t="s">
        <v>116</v>
      </c>
      <c r="G562" s="339" t="str">
        <f t="shared" si="2"/>
        <v>大鉄　堺:大鉄堺Ｈ２(特級)</v>
      </c>
      <c r="H562" s="340">
        <f t="shared" si="3"/>
        <v>41.5</v>
      </c>
      <c r="I562" s="335">
        <v>1.0</v>
      </c>
      <c r="J562" s="332">
        <f>IFERROR(__xludf.DUMMYFUNCTION("IF(IF(COUNTIF(P$2:P561, P562)=0, """", INDEX(H$2:H561,
MAX(FILTER(ROW(H$2:H561) - ROW(H$2) + 1, P$2:P561 = P562))))=""単価"","""",
IF(COUNTIF(P$2:P561, P562)=0, """", INDEX(H$2:H561,
MAX(FILTER(ROW(H$2:H561) - ROW(H$2) + 1, P$2:P561 = P562)))))"),40.5)</f>
        <v>40.5</v>
      </c>
      <c r="N562" s="335" t="str">
        <f>IF(MAXIFS('単価履歴'!$O:$O,'単価履歴'!$E:$E,E562,'単価履歴'!$F:$F,F562)=O562,"●","")</f>
        <v/>
      </c>
      <c r="O562" s="346">
        <v>45702.400555555556</v>
      </c>
      <c r="P562" s="334" t="str">
        <f t="shared" si="4"/>
        <v>大鉄　堺:大鉄堺Ｈ２(特級)</v>
      </c>
    </row>
    <row r="563" ht="15.75" customHeight="1">
      <c r="A563" s="335" t="s">
        <v>1762</v>
      </c>
      <c r="B563" s="336">
        <v>45702.0</v>
      </c>
      <c r="C563" s="335" t="s">
        <v>9</v>
      </c>
      <c r="D563" s="335" t="s">
        <v>51</v>
      </c>
      <c r="E563" s="337" t="str">
        <f t="shared" si="1"/>
        <v>大鉄　堺:大鉄堺</v>
      </c>
      <c r="F563" s="338" t="s">
        <v>122</v>
      </c>
      <c r="G563" s="339" t="str">
        <f t="shared" si="2"/>
        <v>大鉄　堺:大鉄堺Ｌ１(2級)</v>
      </c>
      <c r="H563" s="340">
        <f t="shared" si="3"/>
        <v>40.5</v>
      </c>
      <c r="I563" s="341">
        <v>1.0</v>
      </c>
      <c r="J563" s="332">
        <f>IFERROR(__xludf.DUMMYFUNCTION("IF(IF(COUNTIF(P$2:P562, P563)=0, """", INDEX(H$2:H562,
MAX(FILTER(ROW(H$2:H562) - ROW(H$2) + 1, P$2:P562 = P563))))=""単価"","""",
IF(COUNTIF(P$2:P562, P563)=0, """", INDEX(H$2:H562,
MAX(FILTER(ROW(H$2:H562) - ROW(H$2) + 1, P$2:P562 = P563)))))"),39.5)</f>
        <v>39.5</v>
      </c>
      <c r="N563" s="335" t="str">
        <f>IF(MAXIFS('単価履歴'!$O:$O,'単価履歴'!$E:$E,E563,'単価履歴'!$F:$F,F563)=O563,"●","")</f>
        <v/>
      </c>
      <c r="O563" s="346">
        <v>45702.400555555556</v>
      </c>
      <c r="P563" s="334" t="str">
        <f t="shared" si="4"/>
        <v>大鉄　堺:大鉄堺Ｌ１(2級)</v>
      </c>
    </row>
    <row r="564" ht="15.75" customHeight="1">
      <c r="A564" s="335" t="s">
        <v>1763</v>
      </c>
      <c r="B564" s="336">
        <v>45702.0</v>
      </c>
      <c r="C564" s="335" t="s">
        <v>9</v>
      </c>
      <c r="D564" s="335" t="s">
        <v>51</v>
      </c>
      <c r="E564" s="337" t="str">
        <f t="shared" si="1"/>
        <v>大鉄　堺:大鉄堺</v>
      </c>
      <c r="F564" s="338" t="s">
        <v>575</v>
      </c>
      <c r="G564" s="339" t="str">
        <f t="shared" si="2"/>
        <v>大鉄　堺:大鉄堺鋼ダライＡ</v>
      </c>
      <c r="H564" s="340">
        <f t="shared" si="3"/>
        <v>29</v>
      </c>
      <c r="I564" s="341">
        <v>1.0</v>
      </c>
      <c r="J564" s="332">
        <f>IFERROR(__xludf.DUMMYFUNCTION("IF(IF(COUNTIF(P$2:P563, P564)=0, """", INDEX(H$2:H563,
MAX(FILTER(ROW(H$2:H563) - ROW(H$2) + 1, P$2:P563 = P564))))=""単価"","""",
IF(COUNTIF(P$2:P563, P564)=0, """", INDEX(H$2:H563,
MAX(FILTER(ROW(H$2:H563) - ROW(H$2) + 1, P$2:P563 = P564)))))"),28.0)</f>
        <v>28</v>
      </c>
      <c r="N564" s="335" t="str">
        <f>IF(MAXIFS('単価履歴'!$O:$O,'単価履歴'!$E:$E,E564,'単価履歴'!$F:$F,F564)=O564,"●","")</f>
        <v/>
      </c>
      <c r="O564" s="346">
        <v>45702.400555555556</v>
      </c>
      <c r="P564" s="334" t="str">
        <f t="shared" si="4"/>
        <v>大鉄　堺:大鉄堺鋼ダライＡ</v>
      </c>
    </row>
    <row r="565" ht="15.75" customHeight="1">
      <c r="A565" s="335" t="s">
        <v>1764</v>
      </c>
      <c r="B565" s="336">
        <v>45702.0</v>
      </c>
      <c r="C565" s="335" t="s">
        <v>9</v>
      </c>
      <c r="D565" s="335" t="s">
        <v>51</v>
      </c>
      <c r="E565" s="337" t="str">
        <f t="shared" si="1"/>
        <v>大鉄　堺:大鉄堺</v>
      </c>
      <c r="F565" s="338" t="s">
        <v>149</v>
      </c>
      <c r="G565" s="339" t="str">
        <f t="shared" si="2"/>
        <v>大鉄　堺:大鉄堺シュレＢ</v>
      </c>
      <c r="H565" s="340">
        <f t="shared" si="3"/>
        <v>29.3</v>
      </c>
      <c r="I565" s="341">
        <v>1.0</v>
      </c>
      <c r="J565" s="332">
        <f>IFERROR(__xludf.DUMMYFUNCTION("IF(IF(COUNTIF(P$2:P564, P565)=0, """", INDEX(H$2:H564,
MAX(FILTER(ROW(H$2:H564) - ROW(H$2) + 1, P$2:P564 = P565))))=""単価"","""",
IF(COUNTIF(P$2:P564, P565)=0, """", INDEX(H$2:H564,
MAX(FILTER(ROW(H$2:H564) - ROW(H$2) + 1, P$2:P564 = P565)))))"),28.3)</f>
        <v>28.3</v>
      </c>
      <c r="N565" s="335" t="str">
        <f>IF(MAXIFS('単価履歴'!$O:$O,'単価履歴'!$E:$E,E565,'単価履歴'!$F:$F,F565)=O565,"●","")</f>
        <v/>
      </c>
      <c r="O565" s="346">
        <v>45702.400555555556</v>
      </c>
      <c r="P565" s="334" t="str">
        <f t="shared" si="4"/>
        <v>大鉄　堺:大鉄堺シュレＢ</v>
      </c>
    </row>
    <row r="566" ht="15.75" customHeight="1">
      <c r="A566" s="335" t="s">
        <v>1765</v>
      </c>
      <c r="B566" s="336">
        <v>45702.0</v>
      </c>
      <c r="C566" s="335" t="s">
        <v>9</v>
      </c>
      <c r="D566" s="335" t="s">
        <v>51</v>
      </c>
      <c r="E566" s="337" t="str">
        <f t="shared" si="1"/>
        <v>大鉄　堺:大鉄堺</v>
      </c>
      <c r="F566" s="338" t="s">
        <v>156</v>
      </c>
      <c r="G566" s="339" t="str">
        <f t="shared" si="2"/>
        <v>大鉄　堺:大鉄堺ＣＰ Ｂ一斗缶</v>
      </c>
      <c r="H566" s="340">
        <f t="shared" si="3"/>
        <v>29.5</v>
      </c>
      <c r="I566" s="341">
        <v>1.0</v>
      </c>
      <c r="J566" s="332">
        <f>IFERROR(__xludf.DUMMYFUNCTION("IF(IF(COUNTIF(P$2:P565, P566)=0, """", INDEX(H$2:H565,
MAX(FILTER(ROW(H$2:H565) - ROW(H$2) + 1, P$2:P565 = P566))))=""単価"","""",
IF(COUNTIF(P$2:P565, P566)=0, """", INDEX(H$2:H565,
MAX(FILTER(ROW(H$2:H565) - ROW(H$2) + 1, P$2:P565 = P566)))))"),28.5)</f>
        <v>28.5</v>
      </c>
      <c r="N566" s="335" t="str">
        <f>IF(MAXIFS('単価履歴'!$O:$O,'単価履歴'!$E:$E,E566,'単価履歴'!$F:$F,F566)=O566,"●","")</f>
        <v/>
      </c>
      <c r="O566" s="346">
        <v>45702.400555555556</v>
      </c>
      <c r="P566" s="334" t="str">
        <f t="shared" si="4"/>
        <v>大鉄　堺:大鉄堺ＣＰ Ｂ一斗缶</v>
      </c>
    </row>
    <row r="567" ht="15.75" customHeight="1">
      <c r="A567" s="335" t="s">
        <v>1766</v>
      </c>
      <c r="B567" s="336">
        <v>45702.0</v>
      </c>
      <c r="C567" s="335" t="s">
        <v>9</v>
      </c>
      <c r="D567" s="335" t="s">
        <v>51</v>
      </c>
      <c r="E567" s="337" t="str">
        <f t="shared" si="1"/>
        <v>大鉄　堺:大鉄堺</v>
      </c>
      <c r="F567" s="338" t="s">
        <v>130</v>
      </c>
      <c r="G567" s="339" t="str">
        <f t="shared" si="2"/>
        <v>大鉄　堺:大鉄堺新断Ａ</v>
      </c>
      <c r="H567" s="340">
        <f t="shared" si="3"/>
        <v>28</v>
      </c>
      <c r="I567" s="341">
        <v>1.0</v>
      </c>
      <c r="J567" s="332">
        <f>IFERROR(__xludf.DUMMYFUNCTION("IF(IF(COUNTIF(P$2:P566, P567)=0, """", INDEX(H$2:H566,
MAX(FILTER(ROW(H$2:H566) - ROW(H$2) + 1, P$2:P566 = P567))))=""単価"","""",
IF(COUNTIF(P$2:P566, P567)=0, """", INDEX(H$2:H566,
MAX(FILTER(ROW(H$2:H566) - ROW(H$2) + 1, P$2:P566 = P567)))))"),27.0)</f>
        <v>27</v>
      </c>
      <c r="N567" s="335" t="str">
        <f>IF(MAXIFS('単価履歴'!$O:$O,'単価履歴'!$E:$E,E567,'単価履歴'!$F:$F,F567)=O567,"●","")</f>
        <v/>
      </c>
      <c r="O567" s="346">
        <v>45702.400555555556</v>
      </c>
      <c r="P567" s="334" t="str">
        <f t="shared" si="4"/>
        <v>大鉄　堺:大鉄堺新断Ａ</v>
      </c>
    </row>
    <row r="568" ht="15.75" customHeight="1">
      <c r="A568" s="335" t="s">
        <v>1767</v>
      </c>
      <c r="B568" s="336">
        <v>45702.0</v>
      </c>
      <c r="C568" s="335" t="s">
        <v>9</v>
      </c>
      <c r="D568" s="335" t="s">
        <v>51</v>
      </c>
      <c r="E568" s="337" t="str">
        <f t="shared" si="1"/>
        <v>大鉄　堺:大鉄堺</v>
      </c>
      <c r="F568" s="338" t="s">
        <v>576</v>
      </c>
      <c r="G568" s="339" t="str">
        <f t="shared" si="2"/>
        <v>大鉄　堺:大鉄堺鋼ダライＢ</v>
      </c>
      <c r="H568" s="340">
        <f t="shared" si="3"/>
        <v>29</v>
      </c>
      <c r="I568" s="341">
        <v>1.0</v>
      </c>
      <c r="J568" s="332">
        <f>IFERROR(__xludf.DUMMYFUNCTION("IF(IF(COUNTIF(P$2:P567, P568)=0, """", INDEX(H$2:H567,
MAX(FILTER(ROW(H$2:H567) - ROW(H$2) + 1, P$2:P567 = P568))))=""単価"","""",
IF(COUNTIF(P$2:P567, P568)=0, """", INDEX(H$2:H567,
MAX(FILTER(ROW(H$2:H567) - ROW(H$2) + 1, P$2:P567 = P568)))))"),28.0)</f>
        <v>28</v>
      </c>
      <c r="N568" s="335" t="str">
        <f>IF(MAXIFS('単価履歴'!$O:$O,'単価履歴'!$E:$E,E568,'単価履歴'!$F:$F,F568)=O568,"●","")</f>
        <v/>
      </c>
      <c r="O568" s="346">
        <v>45702.400555555556</v>
      </c>
      <c r="P568" s="334" t="str">
        <f t="shared" si="4"/>
        <v>大鉄　堺:大鉄堺鋼ダライＢ</v>
      </c>
    </row>
    <row r="569" ht="15.75" customHeight="1">
      <c r="A569" s="335" t="s">
        <v>1768</v>
      </c>
      <c r="B569" s="336">
        <v>45702.0</v>
      </c>
      <c r="C569" s="335" t="s">
        <v>9</v>
      </c>
      <c r="D569" s="335" t="s">
        <v>51</v>
      </c>
      <c r="E569" s="337" t="str">
        <f t="shared" si="1"/>
        <v>大鉄　堺:大鉄堺</v>
      </c>
      <c r="F569" s="338" t="s">
        <v>151</v>
      </c>
      <c r="G569" s="339" t="str">
        <f t="shared" si="2"/>
        <v>大鉄　堺:大鉄堺シュレＣ</v>
      </c>
      <c r="H569" s="340">
        <f t="shared" si="3"/>
        <v>27.9</v>
      </c>
      <c r="I569" s="335">
        <v>1.0</v>
      </c>
      <c r="J569" s="332">
        <f>IFERROR(__xludf.DUMMYFUNCTION("IF(IF(COUNTIF(P$2:P568, P569)=0, """", INDEX(H$2:H568,
MAX(FILTER(ROW(H$2:H568) - ROW(H$2) + 1, P$2:P568 = P569))))=""単価"","""",
IF(COUNTIF(P$2:P568, P569)=0, """", INDEX(H$2:H568,
MAX(FILTER(ROW(H$2:H568) - ROW(H$2) + 1, P$2:P568 = P569)))))"),26.9)</f>
        <v>26.9</v>
      </c>
      <c r="N569" s="335" t="str">
        <f>IF(MAXIFS('単価履歴'!$O:$O,'単価履歴'!$E:$E,E569,'単価履歴'!$F:$F,F569)=O569,"●","")</f>
        <v/>
      </c>
      <c r="O569" s="346">
        <v>45702.400555555556</v>
      </c>
      <c r="P569" s="334" t="str">
        <f t="shared" si="4"/>
        <v>大鉄　堺:大鉄堺シュレＣ</v>
      </c>
    </row>
    <row r="570" ht="15.75" customHeight="1">
      <c r="A570" s="335" t="s">
        <v>1769</v>
      </c>
      <c r="B570" s="336">
        <v>45702.0</v>
      </c>
      <c r="C570" s="335" t="s">
        <v>9</v>
      </c>
      <c r="D570" s="335" t="s">
        <v>51</v>
      </c>
      <c r="E570" s="337" t="str">
        <f t="shared" si="1"/>
        <v>大鉄　堺:大鉄堺</v>
      </c>
      <c r="F570" s="338" t="s">
        <v>111</v>
      </c>
      <c r="G570" s="339" t="str">
        <f t="shared" si="2"/>
        <v>大鉄　堺:大鉄堺Ｈ１(特A)</v>
      </c>
      <c r="H570" s="340">
        <f t="shared" si="3"/>
        <v>45</v>
      </c>
      <c r="I570" s="341">
        <v>1.0</v>
      </c>
      <c r="J570" s="332">
        <f>IFERROR(__xludf.DUMMYFUNCTION("IF(IF(COUNTIF(P$2:P569, P570)=0, """", INDEX(H$2:H569,
MAX(FILTER(ROW(H$2:H569) - ROW(H$2) + 1, P$2:P569 = P570))))=""単価"","""",
IF(COUNTIF(P$2:P569, P570)=0, """", INDEX(H$2:H569,
MAX(FILTER(ROW(H$2:H569) - ROW(H$2) + 1, P$2:P569 = P570)))))"),44.0)</f>
        <v>44</v>
      </c>
      <c r="N570" s="335" t="str">
        <f>IF(MAXIFS('単価履歴'!$O:$O,'単価履歴'!$E:$E,E570,'単価履歴'!$F:$F,F570)=O570,"●","")</f>
        <v/>
      </c>
      <c r="O570" s="346">
        <v>45702.400555555556</v>
      </c>
      <c r="P570" s="334" t="str">
        <f t="shared" si="4"/>
        <v>大鉄　堺:大鉄堺Ｈ１(特A)</v>
      </c>
    </row>
    <row r="571" ht="15.75" customHeight="1">
      <c r="A571" s="335" t="s">
        <v>1770</v>
      </c>
      <c r="B571" s="336">
        <v>45702.0</v>
      </c>
      <c r="C571" s="335" t="s">
        <v>9</v>
      </c>
      <c r="D571" s="335" t="s">
        <v>51</v>
      </c>
      <c r="E571" s="337" t="str">
        <f t="shared" si="1"/>
        <v>大鉄　堺:大鉄堺</v>
      </c>
      <c r="F571" s="338" t="s">
        <v>1237</v>
      </c>
      <c r="G571" s="339" t="str">
        <f t="shared" si="2"/>
        <v>大鉄　堺:大鉄堺ＪＨ１(H2T山口)鍛造ﾊﾞﾘ</v>
      </c>
      <c r="H571" s="340">
        <f t="shared" si="3"/>
        <v>44</v>
      </c>
      <c r="I571" s="341">
        <v>1.0</v>
      </c>
      <c r="J571" s="332">
        <f>IFERROR(__xludf.DUMMYFUNCTION("IF(IF(COUNTIF(P$2:P570, P571)=0, """", INDEX(H$2:H570,
MAX(FILTER(ROW(H$2:H570) - ROW(H$2) + 1, P$2:P570 = P571))))=""単価"","""",
IF(COUNTIF(P$2:P570, P571)=0, """", INDEX(H$2:H570,
MAX(FILTER(ROW(H$2:H570) - ROW(H$2) + 1, P$2:P570 = P571)))))"),43.0)</f>
        <v>43</v>
      </c>
      <c r="N571" s="335" t="str">
        <f>IF(MAXIFS('単価履歴'!$O:$O,'単価履歴'!$E:$E,E571,'単価履歴'!$F:$F,F571)=O571,"●","")</f>
        <v/>
      </c>
      <c r="O571" s="346">
        <v>45702.400555555556</v>
      </c>
      <c r="P571" s="334" t="str">
        <f t="shared" si="4"/>
        <v>大鉄　堺:大鉄堺ＪＨ１(H2T山口)鍛造ﾊﾞﾘ</v>
      </c>
    </row>
    <row r="572" ht="15.75" customHeight="1">
      <c r="A572" s="335" t="s">
        <v>1771</v>
      </c>
      <c r="B572" s="336">
        <v>45702.0</v>
      </c>
      <c r="C572" s="335" t="s">
        <v>9</v>
      </c>
      <c r="D572" s="335" t="s">
        <v>51</v>
      </c>
      <c r="E572" s="337" t="str">
        <f t="shared" si="1"/>
        <v>大鉄　堺:大鉄堺</v>
      </c>
      <c r="F572" s="338" t="s">
        <v>119</v>
      </c>
      <c r="G572" s="339" t="str">
        <f t="shared" si="2"/>
        <v>大鉄　堺:大鉄堺Ｈ３(1級)</v>
      </c>
      <c r="H572" s="340">
        <f t="shared" si="3"/>
        <v>41</v>
      </c>
      <c r="I572" s="335">
        <v>1.0</v>
      </c>
      <c r="J572" s="332">
        <f>IFERROR(__xludf.DUMMYFUNCTION("IF(IF(COUNTIF(P$2:P571, P572)=0, """", INDEX(H$2:H571,
MAX(FILTER(ROW(H$2:H571) - ROW(H$2) + 1, P$2:P571 = P572))))=""単価"","""",
IF(COUNTIF(P$2:P571, P572)=0, """", INDEX(H$2:H571,
MAX(FILTER(ROW(H$2:H571) - ROW(H$2) + 1, P$2:P571 = P572)))))"),40.0)</f>
        <v>40</v>
      </c>
      <c r="N572" s="335" t="str">
        <f>IF(MAXIFS('単価履歴'!$O:$O,'単価履歴'!$E:$E,E572,'単価履歴'!$F:$F,F572)=O572,"●","")</f>
        <v/>
      </c>
      <c r="O572" s="346">
        <v>45702.400555555556</v>
      </c>
      <c r="P572" s="334" t="str">
        <f t="shared" si="4"/>
        <v>大鉄　堺:大鉄堺Ｈ３(1級)</v>
      </c>
    </row>
    <row r="573" ht="15.75" customHeight="1">
      <c r="A573" s="335" t="s">
        <v>1772</v>
      </c>
      <c r="B573" s="336">
        <v>45702.0</v>
      </c>
      <c r="C573" s="335" t="s">
        <v>9</v>
      </c>
      <c r="D573" s="335" t="s">
        <v>51</v>
      </c>
      <c r="E573" s="337" t="str">
        <f t="shared" si="1"/>
        <v>大鉄　堺:大鉄堺</v>
      </c>
      <c r="F573" s="338" t="s">
        <v>131</v>
      </c>
      <c r="G573" s="339" t="str">
        <f t="shared" si="2"/>
        <v>大鉄　堺:大鉄堺新断Ｂ</v>
      </c>
      <c r="H573" s="340">
        <f t="shared" si="3"/>
        <v>27.5</v>
      </c>
      <c r="I573" s="341">
        <v>1.0</v>
      </c>
      <c r="J573" s="332">
        <f>IFERROR(__xludf.DUMMYFUNCTION("IF(IF(COUNTIF(P$2:P572, P573)=0, """", INDEX(H$2:H572,
MAX(FILTER(ROW(H$2:H572) - ROW(H$2) + 1, P$2:P572 = P573))))=""単価"","""",
IF(COUNTIF(P$2:P572, P573)=0, """", INDEX(H$2:H572,
MAX(FILTER(ROW(H$2:H572) - ROW(H$2) + 1, P$2:P572 = P573)))))"),26.5)</f>
        <v>26.5</v>
      </c>
      <c r="N573" s="335" t="str">
        <f>IF(MAXIFS('単価履歴'!$O:$O,'単価履歴'!$E:$E,E573,'単価履歴'!$F:$F,F573)=O573,"●","")</f>
        <v/>
      </c>
      <c r="O573" s="346">
        <v>45702.400555555556</v>
      </c>
      <c r="P573" s="334" t="str">
        <f t="shared" si="4"/>
        <v>大鉄　堺:大鉄堺新断Ｂ</v>
      </c>
    </row>
    <row r="574" ht="15.75" customHeight="1">
      <c r="A574" s="335" t="s">
        <v>1773</v>
      </c>
      <c r="B574" s="336">
        <v>45702.0</v>
      </c>
      <c r="C574" s="335" t="s">
        <v>9</v>
      </c>
      <c r="D574" s="335" t="s">
        <v>51</v>
      </c>
      <c r="E574" s="337" t="str">
        <f t="shared" si="1"/>
        <v>大鉄　堺:大鉄堺</v>
      </c>
      <c r="F574" s="338" t="s">
        <v>145</v>
      </c>
      <c r="G574" s="339" t="str">
        <f t="shared" si="2"/>
        <v>大鉄　堺:大鉄堺シュレＡ</v>
      </c>
      <c r="H574" s="340">
        <f t="shared" si="3"/>
        <v>30</v>
      </c>
      <c r="I574" s="341">
        <v>1.0</v>
      </c>
      <c r="J574" s="332">
        <f>IFERROR(__xludf.DUMMYFUNCTION("IF(IF(COUNTIF(P$2:P573, P574)=0, """", INDEX(H$2:H573,
MAX(FILTER(ROW(H$2:H573) - ROW(H$2) + 1, P$2:P573 = P574))))=""単価"","""",
IF(COUNTIF(P$2:P573, P574)=0, """", INDEX(H$2:H573,
MAX(FILTER(ROW(H$2:H573) - ROW(H$2) + 1, P$2:P573 = P574)))))"),29.0)</f>
        <v>29</v>
      </c>
      <c r="N574" s="335" t="str">
        <f>IF(MAXIFS('単価履歴'!$O:$O,'単価履歴'!$E:$E,E574,'単価履歴'!$F:$F,F574)=O574,"●","")</f>
        <v/>
      </c>
      <c r="O574" s="346">
        <v>45702.400555555556</v>
      </c>
      <c r="P574" s="334" t="str">
        <f t="shared" si="4"/>
        <v>大鉄　堺:大鉄堺シュレＡ</v>
      </c>
    </row>
    <row r="575" ht="15.75" customHeight="1">
      <c r="A575" s="335" t="s">
        <v>1774</v>
      </c>
      <c r="B575" s="336">
        <v>45702.0</v>
      </c>
      <c r="C575" s="335" t="s">
        <v>9</v>
      </c>
      <c r="D575" s="335" t="s">
        <v>51</v>
      </c>
      <c r="E575" s="337" t="str">
        <f t="shared" si="1"/>
        <v>大鉄　堺:大鉄堺</v>
      </c>
      <c r="F575" s="338" t="s">
        <v>154</v>
      </c>
      <c r="G575" s="339" t="str">
        <f t="shared" si="2"/>
        <v>大鉄　堺:大鉄堺ＣＰ Ａ</v>
      </c>
      <c r="H575" s="340">
        <f t="shared" si="3"/>
        <v>32</v>
      </c>
      <c r="I575" s="341">
        <v>1.0</v>
      </c>
      <c r="J575" s="332">
        <f>IFERROR(__xludf.DUMMYFUNCTION("IF(IF(COUNTIF(P$2:P574, P575)=0, """", INDEX(H$2:H574,
MAX(FILTER(ROW(H$2:H574) - ROW(H$2) + 1, P$2:P574 = P575))))=""単価"","""",
IF(COUNTIF(P$2:P574, P575)=0, """", INDEX(H$2:H574,
MAX(FILTER(ROW(H$2:H574) - ROW(H$2) + 1, P$2:P574 = P575)))))"),31.0)</f>
        <v>31</v>
      </c>
      <c r="N575" s="335" t="str">
        <f>IF(MAXIFS('単価履歴'!$O:$O,'単価履歴'!$E:$E,E575,'単価履歴'!$F:$F,F575)=O575,"●","")</f>
        <v/>
      </c>
      <c r="O575" s="346">
        <v>45702.400555555556</v>
      </c>
      <c r="P575" s="334" t="str">
        <f t="shared" si="4"/>
        <v>大鉄　堺:大鉄堺ＣＰ Ａ</v>
      </c>
    </row>
    <row r="576" ht="15.75" customHeight="1">
      <c r="A576" s="335" t="s">
        <v>1775</v>
      </c>
      <c r="B576" s="336">
        <v>45702.0</v>
      </c>
      <c r="C576" s="335" t="s">
        <v>9</v>
      </c>
      <c r="D576" s="335" t="s">
        <v>47</v>
      </c>
      <c r="E576" s="337" t="str">
        <f t="shared" si="1"/>
        <v>大鉄　堺:豊通</v>
      </c>
      <c r="F576" s="338" t="s">
        <v>116</v>
      </c>
      <c r="G576" s="339" t="str">
        <f t="shared" si="2"/>
        <v>大鉄　堺:豊通Ｈ２(特級)</v>
      </c>
      <c r="H576" s="340">
        <f t="shared" si="3"/>
        <v>25.2</v>
      </c>
      <c r="I576" s="341">
        <v>1.0</v>
      </c>
      <c r="J576" s="332">
        <f>IFERROR(__xludf.DUMMYFUNCTION("IF(IF(COUNTIF(P$2:P575, P576)=0, """", INDEX(H$2:H575,
MAX(FILTER(ROW(H$2:H575) - ROW(H$2) + 1, P$2:P575 = P576))))=""単価"","""",
IF(COUNTIF(P$2:P575, P576)=0, """", INDEX(H$2:H575,
MAX(FILTER(ROW(H$2:H575) - ROW(H$2) + 1, P$2:P575 = P576)))))"),24.2)</f>
        <v>24.2</v>
      </c>
      <c r="N576" s="335" t="str">
        <f>IF(MAXIFS('単価履歴'!$O:$O,'単価履歴'!$E:$E,E576,'単価履歴'!$F:$F,F576)=O576,"●","")</f>
        <v/>
      </c>
      <c r="O576" s="346">
        <v>45702.400555555556</v>
      </c>
      <c r="P576" s="334" t="str">
        <f t="shared" si="4"/>
        <v>大鉄　堺:豊通Ｈ２(特級)</v>
      </c>
    </row>
    <row r="577" ht="15.75" customHeight="1">
      <c r="A577" s="335" t="s">
        <v>1776</v>
      </c>
      <c r="B577" s="336">
        <v>45702.0</v>
      </c>
      <c r="C577" s="335" t="s">
        <v>9</v>
      </c>
      <c r="D577" s="335" t="s">
        <v>47</v>
      </c>
      <c r="E577" s="337" t="str">
        <f t="shared" si="1"/>
        <v>大鉄　堺:豊通</v>
      </c>
      <c r="F577" s="338" t="s">
        <v>122</v>
      </c>
      <c r="G577" s="339" t="str">
        <f t="shared" si="2"/>
        <v>大鉄　堺:豊通Ｌ１(2級)</v>
      </c>
      <c r="H577" s="340">
        <f t="shared" si="3"/>
        <v>22.7</v>
      </c>
      <c r="I577" s="341">
        <v>1.0</v>
      </c>
      <c r="J577" s="332">
        <f>IFERROR(__xludf.DUMMYFUNCTION("IF(IF(COUNTIF(P$2:P576, P577)=0, """", INDEX(H$2:H576,
MAX(FILTER(ROW(H$2:H576) - ROW(H$2) + 1, P$2:P576 = P577))))=""単価"","""",
IF(COUNTIF(P$2:P576, P577)=0, """", INDEX(H$2:H576,
MAX(FILTER(ROW(H$2:H576) - ROW(H$2) + 1, P$2:P576 = P577)))))"),21.7)</f>
        <v>21.7</v>
      </c>
      <c r="N577" s="335" t="str">
        <f>IF(MAXIFS('単価履歴'!$O:$O,'単価履歴'!$E:$E,E577,'単価履歴'!$F:$F,F577)=O577,"●","")</f>
        <v/>
      </c>
      <c r="O577" s="346">
        <v>45702.400555555556</v>
      </c>
      <c r="P577" s="334" t="str">
        <f t="shared" si="4"/>
        <v>大鉄　堺:豊通Ｌ１(2級)</v>
      </c>
    </row>
    <row r="578" ht="15.75" customHeight="1">
      <c r="A578" s="335" t="s">
        <v>1777</v>
      </c>
      <c r="B578" s="336">
        <v>45702.0</v>
      </c>
      <c r="C578" s="335" t="s">
        <v>9</v>
      </c>
      <c r="D578" s="335" t="s">
        <v>47</v>
      </c>
      <c r="E578" s="337" t="str">
        <f t="shared" si="1"/>
        <v>大鉄　堺:豊通</v>
      </c>
      <c r="F578" s="338" t="s">
        <v>575</v>
      </c>
      <c r="G578" s="339" t="str">
        <f t="shared" si="2"/>
        <v>大鉄　堺:豊通鋼ダライＡ</v>
      </c>
      <c r="H578" s="340">
        <f t="shared" si="3"/>
        <v>28.7</v>
      </c>
      <c r="I578" s="341">
        <v>1.0</v>
      </c>
      <c r="J578" s="332">
        <f>IFERROR(__xludf.DUMMYFUNCTION("IF(IF(COUNTIF(P$2:P577, P578)=0, """", INDEX(H$2:H577,
MAX(FILTER(ROW(H$2:H577) - ROW(H$2) + 1, P$2:P577 = P578))))=""単価"","""",
IF(COUNTIF(P$2:P577, P578)=0, """", INDEX(H$2:H577,
MAX(FILTER(ROW(H$2:H577) - ROW(H$2) + 1, P$2:P577 = P578)))))"),27.7)</f>
        <v>27.7</v>
      </c>
      <c r="N578" s="335" t="str">
        <f>IF(MAXIFS('単価履歴'!$O:$O,'単価履歴'!$E:$E,E578,'単価履歴'!$F:$F,F578)=O578,"●","")</f>
        <v/>
      </c>
      <c r="O578" s="346">
        <v>45702.400555555556</v>
      </c>
      <c r="P578" s="334" t="str">
        <f t="shared" si="4"/>
        <v>大鉄　堺:豊通鋼ダライＡ</v>
      </c>
    </row>
    <row r="579" ht="15.75" customHeight="1">
      <c r="A579" s="335" t="s">
        <v>1778</v>
      </c>
      <c r="B579" s="336">
        <v>45702.0</v>
      </c>
      <c r="C579" s="335" t="s">
        <v>9</v>
      </c>
      <c r="D579" s="335" t="s">
        <v>47</v>
      </c>
      <c r="E579" s="337" t="str">
        <f t="shared" si="1"/>
        <v>大鉄　堺:豊通</v>
      </c>
      <c r="F579" s="338" t="s">
        <v>149</v>
      </c>
      <c r="G579" s="339" t="str">
        <f t="shared" si="2"/>
        <v>大鉄　堺:豊通シュレＢ</v>
      </c>
      <c r="H579" s="340">
        <f t="shared" si="3"/>
        <v>28.5</v>
      </c>
      <c r="I579" s="341">
        <v>1.0</v>
      </c>
      <c r="J579" s="332">
        <f>IFERROR(__xludf.DUMMYFUNCTION("IF(IF(COUNTIF(P$2:P578, P579)=0, """", INDEX(H$2:H578,
MAX(FILTER(ROW(H$2:H578) - ROW(H$2) + 1, P$2:P578 = P579))))=""単価"","""",
IF(COUNTIF(P$2:P578, P579)=0, """", INDEX(H$2:H578,
MAX(FILTER(ROW(H$2:H578) - ROW(H$2) + 1, P$2:P578 = P579)))))"),27.5)</f>
        <v>27.5</v>
      </c>
      <c r="N579" s="335" t="str">
        <f>IF(MAXIFS('単価履歴'!$O:$O,'単価履歴'!$E:$E,E579,'単価履歴'!$F:$F,F579)=O579,"●","")</f>
        <v/>
      </c>
      <c r="O579" s="346">
        <v>45702.400555555556</v>
      </c>
      <c r="P579" s="334" t="str">
        <f t="shared" si="4"/>
        <v>大鉄　堺:豊通シュレＢ</v>
      </c>
    </row>
    <row r="580" ht="15.75" customHeight="1">
      <c r="A580" s="335" t="s">
        <v>1779</v>
      </c>
      <c r="B580" s="336">
        <v>45702.0</v>
      </c>
      <c r="C580" s="335" t="s">
        <v>9</v>
      </c>
      <c r="D580" s="335" t="s">
        <v>47</v>
      </c>
      <c r="E580" s="337" t="str">
        <f t="shared" si="1"/>
        <v>大鉄　堺:豊通</v>
      </c>
      <c r="F580" s="338" t="s">
        <v>156</v>
      </c>
      <c r="G580" s="339" t="str">
        <f t="shared" si="2"/>
        <v>大鉄　堺:豊通ＣＰ Ｂ一斗缶</v>
      </c>
      <c r="H580" s="340">
        <f t="shared" si="3"/>
        <v>33.7</v>
      </c>
      <c r="I580" s="341">
        <v>1.0</v>
      </c>
      <c r="J580" s="332">
        <f>IFERROR(__xludf.DUMMYFUNCTION("IF(IF(COUNTIF(P$2:P579, P580)=0, """", INDEX(H$2:H579,
MAX(FILTER(ROW(H$2:H579) - ROW(H$2) + 1, P$2:P579 = P580))))=""単価"","""",
IF(COUNTIF(P$2:P579, P580)=0, """", INDEX(H$2:H579,
MAX(FILTER(ROW(H$2:H579) - ROW(H$2) + 1, P$2:P579 = P580)))))"),32.7)</f>
        <v>32.7</v>
      </c>
      <c r="N580" s="335" t="str">
        <f>IF(MAXIFS('単価履歴'!$O:$O,'単価履歴'!$E:$E,E580,'単価履歴'!$F:$F,F580)=O580,"●","")</f>
        <v/>
      </c>
      <c r="O580" s="346">
        <v>45702.400555555556</v>
      </c>
      <c r="P580" s="334" t="str">
        <f t="shared" si="4"/>
        <v>大鉄　堺:豊通ＣＰ Ｂ一斗缶</v>
      </c>
    </row>
    <row r="581" ht="15.75" customHeight="1">
      <c r="A581" s="335" t="s">
        <v>1780</v>
      </c>
      <c r="B581" s="336">
        <v>45702.0</v>
      </c>
      <c r="C581" s="335" t="s">
        <v>9</v>
      </c>
      <c r="D581" s="335" t="s">
        <v>47</v>
      </c>
      <c r="E581" s="337" t="str">
        <f t="shared" si="1"/>
        <v>大鉄　堺:豊通</v>
      </c>
      <c r="F581" s="338" t="s">
        <v>130</v>
      </c>
      <c r="G581" s="339" t="str">
        <f t="shared" si="2"/>
        <v>大鉄　堺:豊通新断Ａ</v>
      </c>
      <c r="H581" s="340">
        <f t="shared" si="3"/>
        <v>26.2</v>
      </c>
      <c r="I581" s="341">
        <v>1.0</v>
      </c>
      <c r="J581" s="332">
        <f>IFERROR(__xludf.DUMMYFUNCTION("IF(IF(COUNTIF(P$2:P580, P581)=0, """", INDEX(H$2:H580,
MAX(FILTER(ROW(H$2:H580) - ROW(H$2) + 1, P$2:P580 = P581))))=""単価"","""",
IF(COUNTIF(P$2:P580, P581)=0, """", INDEX(H$2:H580,
MAX(FILTER(ROW(H$2:H580) - ROW(H$2) + 1, P$2:P580 = P581)))))"),25.2)</f>
        <v>25.2</v>
      </c>
      <c r="N581" s="335" t="str">
        <f>IF(MAXIFS('単価履歴'!$O:$O,'単価履歴'!$E:$E,E581,'単価履歴'!$F:$F,F581)=O581,"●","")</f>
        <v/>
      </c>
      <c r="O581" s="346">
        <v>45702.400555555556</v>
      </c>
      <c r="P581" s="334" t="str">
        <f t="shared" si="4"/>
        <v>大鉄　堺:豊通新断Ａ</v>
      </c>
    </row>
    <row r="582" ht="15.75" customHeight="1">
      <c r="A582" s="335" t="s">
        <v>1781</v>
      </c>
      <c r="B582" s="336">
        <v>45702.0</v>
      </c>
      <c r="C582" s="335" t="s">
        <v>9</v>
      </c>
      <c r="D582" s="335" t="s">
        <v>47</v>
      </c>
      <c r="E582" s="337" t="str">
        <f t="shared" si="1"/>
        <v>大鉄　堺:豊通</v>
      </c>
      <c r="F582" s="338" t="s">
        <v>576</v>
      </c>
      <c r="G582" s="339" t="str">
        <f t="shared" si="2"/>
        <v>大鉄　堺:豊通鋼ダライＢ</v>
      </c>
      <c r="H582" s="340">
        <f t="shared" si="3"/>
        <v>28.7</v>
      </c>
      <c r="I582" s="341">
        <v>1.0</v>
      </c>
      <c r="J582" s="332">
        <f>IFERROR(__xludf.DUMMYFUNCTION("IF(IF(COUNTIF(P$2:P581, P582)=0, """", INDEX(H$2:H581,
MAX(FILTER(ROW(H$2:H581) - ROW(H$2) + 1, P$2:P581 = P582))))=""単価"","""",
IF(COUNTIF(P$2:P581, P582)=0, """", INDEX(H$2:H581,
MAX(FILTER(ROW(H$2:H581) - ROW(H$2) + 1, P$2:P581 = P582)))))"),27.7)</f>
        <v>27.7</v>
      </c>
      <c r="N582" s="335" t="str">
        <f>IF(MAXIFS('単価履歴'!$O:$O,'単価履歴'!$E:$E,E582,'単価履歴'!$F:$F,F582)=O582,"●","")</f>
        <v/>
      </c>
      <c r="O582" s="346">
        <v>45702.400555555556</v>
      </c>
      <c r="P582" s="334" t="str">
        <f t="shared" si="4"/>
        <v>大鉄　堺:豊通鋼ダライＢ</v>
      </c>
    </row>
    <row r="583" ht="15.75" customHeight="1">
      <c r="A583" s="335" t="s">
        <v>1782</v>
      </c>
      <c r="B583" s="336">
        <v>45702.0</v>
      </c>
      <c r="C583" s="335" t="s">
        <v>9</v>
      </c>
      <c r="D583" s="335" t="s">
        <v>47</v>
      </c>
      <c r="E583" s="337" t="str">
        <f t="shared" si="1"/>
        <v>大鉄　堺:豊通</v>
      </c>
      <c r="F583" s="338" t="s">
        <v>151</v>
      </c>
      <c r="G583" s="339" t="str">
        <f t="shared" si="2"/>
        <v>大鉄　堺:豊通シュレＣ</v>
      </c>
      <c r="H583" s="340">
        <f t="shared" si="3"/>
        <v>27.1</v>
      </c>
      <c r="I583" s="341">
        <v>1.0</v>
      </c>
      <c r="J583" s="332">
        <f>IFERROR(__xludf.DUMMYFUNCTION("IF(IF(COUNTIF(P$2:P582, P583)=0, """", INDEX(H$2:H582,
MAX(FILTER(ROW(H$2:H582) - ROW(H$2) + 1, P$2:P582 = P583))))=""単価"","""",
IF(COUNTIF(P$2:P582, P583)=0, """", INDEX(H$2:H582,
MAX(FILTER(ROW(H$2:H582) - ROW(H$2) + 1, P$2:P582 = P583)))))"),26.1)</f>
        <v>26.1</v>
      </c>
      <c r="N583" s="335" t="str">
        <f>IF(MAXIFS('単価履歴'!$O:$O,'単価履歴'!$E:$E,E583,'単価履歴'!$F:$F,F583)=O583,"●","")</f>
        <v/>
      </c>
      <c r="O583" s="346">
        <v>45702.400555555556</v>
      </c>
      <c r="P583" s="334" t="str">
        <f t="shared" si="4"/>
        <v>大鉄　堺:豊通シュレＣ</v>
      </c>
    </row>
    <row r="584" ht="15.75" customHeight="1">
      <c r="A584" s="335" t="s">
        <v>1783</v>
      </c>
      <c r="B584" s="336">
        <v>45702.0</v>
      </c>
      <c r="C584" s="335" t="s">
        <v>9</v>
      </c>
      <c r="D584" s="335" t="s">
        <v>47</v>
      </c>
      <c r="E584" s="337" t="str">
        <f t="shared" si="1"/>
        <v>大鉄　堺:豊通</v>
      </c>
      <c r="F584" s="338" t="s">
        <v>111</v>
      </c>
      <c r="G584" s="339" t="str">
        <f t="shared" si="2"/>
        <v>大鉄　堺:豊通Ｈ１(特A)</v>
      </c>
      <c r="H584" s="340">
        <f t="shared" si="3"/>
        <v>29.9</v>
      </c>
      <c r="I584" s="341">
        <v>1.0</v>
      </c>
      <c r="J584" s="332">
        <f>IFERROR(__xludf.DUMMYFUNCTION("IF(IF(COUNTIF(P$2:P583, P584)=0, """", INDEX(H$2:H583,
MAX(FILTER(ROW(H$2:H583) - ROW(H$2) + 1, P$2:P583 = P584))))=""単価"","""",
IF(COUNTIF(P$2:P583, P584)=0, """", INDEX(H$2:H583,
MAX(FILTER(ROW(H$2:H583) - ROW(H$2) + 1, P$2:P583 = P584)))))"),28.9)</f>
        <v>28.9</v>
      </c>
      <c r="N584" s="335" t="str">
        <f>IF(MAXIFS('単価履歴'!$O:$O,'単価履歴'!$E:$E,E584,'単価履歴'!$F:$F,F584)=O584,"●","")</f>
        <v/>
      </c>
      <c r="O584" s="346">
        <v>45702.400555555556</v>
      </c>
      <c r="P584" s="334" t="str">
        <f t="shared" si="4"/>
        <v>大鉄　堺:豊通Ｈ１(特A)</v>
      </c>
    </row>
    <row r="585" ht="15.75" customHeight="1">
      <c r="A585" s="335" t="s">
        <v>1784</v>
      </c>
      <c r="B585" s="336">
        <v>45702.0</v>
      </c>
      <c r="C585" s="335" t="s">
        <v>9</v>
      </c>
      <c r="D585" s="335" t="s">
        <v>47</v>
      </c>
      <c r="E585" s="337" t="str">
        <f t="shared" si="1"/>
        <v>大鉄　堺:豊通</v>
      </c>
      <c r="F585" s="338" t="s">
        <v>1237</v>
      </c>
      <c r="G585" s="339" t="str">
        <f t="shared" si="2"/>
        <v>大鉄　堺:豊通ＪＨ１(H2T山口)鍛造ﾊﾞﾘ</v>
      </c>
      <c r="H585" s="340">
        <f t="shared" si="3"/>
        <v>28.9</v>
      </c>
      <c r="I585" s="341">
        <v>1.0</v>
      </c>
      <c r="J585" s="332">
        <f>IFERROR(__xludf.DUMMYFUNCTION("IF(IF(COUNTIF(P$2:P584, P585)=0, """", INDEX(H$2:H584,
MAX(FILTER(ROW(H$2:H584) - ROW(H$2) + 1, P$2:P584 = P585))))=""単価"","""",
IF(COUNTIF(P$2:P584, P585)=0, """", INDEX(H$2:H584,
MAX(FILTER(ROW(H$2:H584) - ROW(H$2) + 1, P$2:P584 = P585)))))"),27.9)</f>
        <v>27.9</v>
      </c>
      <c r="N585" s="335" t="str">
        <f>IF(MAXIFS('単価履歴'!$O:$O,'単価履歴'!$E:$E,E585,'単価履歴'!$F:$F,F585)=O585,"●","")</f>
        <v/>
      </c>
      <c r="O585" s="346">
        <v>45702.400555555556</v>
      </c>
      <c r="P585" s="334" t="str">
        <f t="shared" si="4"/>
        <v>大鉄　堺:豊通ＪＨ１(H2T山口)鍛造ﾊﾞﾘ</v>
      </c>
    </row>
    <row r="586" ht="15.75" customHeight="1">
      <c r="A586" s="335" t="s">
        <v>1785</v>
      </c>
      <c r="B586" s="336">
        <v>45702.0</v>
      </c>
      <c r="C586" s="335" t="s">
        <v>9</v>
      </c>
      <c r="D586" s="335" t="s">
        <v>47</v>
      </c>
      <c r="E586" s="337" t="str">
        <f t="shared" si="1"/>
        <v>大鉄　堺:豊通</v>
      </c>
      <c r="F586" s="338" t="s">
        <v>119</v>
      </c>
      <c r="G586" s="339" t="str">
        <f t="shared" si="2"/>
        <v>大鉄　堺:豊通Ｈ３(1級)</v>
      </c>
      <c r="H586" s="340">
        <f t="shared" si="3"/>
        <v>24.2</v>
      </c>
      <c r="I586" s="341">
        <v>1.0</v>
      </c>
      <c r="J586" s="332">
        <f>IFERROR(__xludf.DUMMYFUNCTION("IF(IF(COUNTIF(P$2:P585, P586)=0, """", INDEX(H$2:H585,
MAX(FILTER(ROW(H$2:H585) - ROW(H$2) + 1, P$2:P585 = P586))))=""単価"","""",
IF(COUNTIF(P$2:P585, P586)=0, """", INDEX(H$2:H585,
MAX(FILTER(ROW(H$2:H585) - ROW(H$2) + 1, P$2:P585 = P586)))))"),23.2)</f>
        <v>23.2</v>
      </c>
      <c r="N586" s="335" t="str">
        <f>IF(MAXIFS('単価履歴'!$O:$O,'単価履歴'!$E:$E,E586,'単価履歴'!$F:$F,F586)=O586,"●","")</f>
        <v/>
      </c>
      <c r="O586" s="346">
        <v>45702.400555555556</v>
      </c>
      <c r="P586" s="334" t="str">
        <f t="shared" si="4"/>
        <v>大鉄　堺:豊通Ｈ３(1級)</v>
      </c>
    </row>
    <row r="587" ht="15.75" customHeight="1">
      <c r="A587" s="335" t="s">
        <v>1786</v>
      </c>
      <c r="B587" s="336">
        <v>45702.0</v>
      </c>
      <c r="C587" s="335" t="s">
        <v>9</v>
      </c>
      <c r="D587" s="335" t="s">
        <v>47</v>
      </c>
      <c r="E587" s="337" t="str">
        <f t="shared" si="1"/>
        <v>大鉄　堺:豊通</v>
      </c>
      <c r="F587" s="338" t="s">
        <v>131</v>
      </c>
      <c r="G587" s="339" t="str">
        <f t="shared" si="2"/>
        <v>大鉄　堺:豊通新断Ｂ</v>
      </c>
      <c r="H587" s="340">
        <f t="shared" si="3"/>
        <v>25.7</v>
      </c>
      <c r="I587" s="341">
        <v>1.0</v>
      </c>
      <c r="J587" s="332">
        <f>IFERROR(__xludf.DUMMYFUNCTION("IF(IF(COUNTIF(P$2:P586, P587)=0, """", INDEX(H$2:H586,
MAX(FILTER(ROW(H$2:H586) - ROW(H$2) + 1, P$2:P586 = P587))))=""単価"","""",
IF(COUNTIF(P$2:P586, P587)=0, """", INDEX(H$2:H586,
MAX(FILTER(ROW(H$2:H586) - ROW(H$2) + 1, P$2:P586 = P587)))))"),24.7)</f>
        <v>24.7</v>
      </c>
      <c r="N587" s="335" t="str">
        <f>IF(MAXIFS('単価履歴'!$O:$O,'単価履歴'!$E:$E,E587,'単価履歴'!$F:$F,F587)=O587,"●","")</f>
        <v/>
      </c>
      <c r="O587" s="346">
        <v>45702.400555555556</v>
      </c>
      <c r="P587" s="334" t="str">
        <f t="shared" si="4"/>
        <v>大鉄　堺:豊通新断Ｂ</v>
      </c>
    </row>
    <row r="588" ht="15.75" customHeight="1">
      <c r="A588" s="335" t="s">
        <v>1787</v>
      </c>
      <c r="B588" s="336">
        <v>45702.0</v>
      </c>
      <c r="C588" s="335" t="s">
        <v>9</v>
      </c>
      <c r="D588" s="335" t="s">
        <v>47</v>
      </c>
      <c r="E588" s="337" t="str">
        <f t="shared" si="1"/>
        <v>大鉄　堺:豊通</v>
      </c>
      <c r="F588" s="338" t="s">
        <v>145</v>
      </c>
      <c r="G588" s="339" t="str">
        <f t="shared" si="2"/>
        <v>大鉄　堺:豊通シュレＡ</v>
      </c>
      <c r="H588" s="340">
        <f t="shared" si="3"/>
        <v>29.2</v>
      </c>
      <c r="I588" s="341">
        <v>1.0</v>
      </c>
      <c r="J588" s="332">
        <f>IFERROR(__xludf.DUMMYFUNCTION("IF(IF(COUNTIF(P$2:P587, P588)=0, """", INDEX(H$2:H587,
MAX(FILTER(ROW(H$2:H587) - ROW(H$2) + 1, P$2:P587 = P588))))=""単価"","""",
IF(COUNTIF(P$2:P587, P588)=0, """", INDEX(H$2:H587,
MAX(FILTER(ROW(H$2:H587) - ROW(H$2) + 1, P$2:P587 = P588)))))"),28.2)</f>
        <v>28.2</v>
      </c>
      <c r="N588" s="335" t="str">
        <f>IF(MAXIFS('単価履歴'!$O:$O,'単価履歴'!$E:$E,E588,'単価履歴'!$F:$F,F588)=O588,"●","")</f>
        <v/>
      </c>
      <c r="O588" s="346">
        <v>45702.400555555556</v>
      </c>
      <c r="P588" s="334" t="str">
        <f t="shared" si="4"/>
        <v>大鉄　堺:豊通シュレＡ</v>
      </c>
    </row>
    <row r="589" ht="15.75" customHeight="1">
      <c r="A589" s="335" t="s">
        <v>1788</v>
      </c>
      <c r="B589" s="336">
        <v>45702.0</v>
      </c>
      <c r="C589" s="335" t="s">
        <v>9</v>
      </c>
      <c r="D589" s="335" t="s">
        <v>47</v>
      </c>
      <c r="E589" s="337" t="str">
        <f t="shared" si="1"/>
        <v>大鉄　堺:豊通</v>
      </c>
      <c r="F589" s="338" t="s">
        <v>154</v>
      </c>
      <c r="G589" s="339" t="str">
        <f t="shared" si="2"/>
        <v>大鉄　堺:豊通ＣＰ Ａ</v>
      </c>
      <c r="H589" s="340">
        <f t="shared" si="3"/>
        <v>36.2</v>
      </c>
      <c r="I589" s="341">
        <v>1.0</v>
      </c>
      <c r="J589" s="332">
        <f>IFERROR(__xludf.DUMMYFUNCTION("IF(IF(COUNTIF(P$2:P588, P589)=0, """", INDEX(H$2:H588,
MAX(FILTER(ROW(H$2:H588) - ROW(H$2) + 1, P$2:P588 = P589))))=""単価"","""",
IF(COUNTIF(P$2:P588, P589)=0, """", INDEX(H$2:H588,
MAX(FILTER(ROW(H$2:H588) - ROW(H$2) + 1, P$2:P588 = P589)))))"),35.2)</f>
        <v>35.2</v>
      </c>
      <c r="N589" s="335" t="str">
        <f>IF(MAXIFS('単価履歴'!$O:$O,'単価履歴'!$E:$E,E589,'単価履歴'!$F:$F,F589)=O589,"●","")</f>
        <v/>
      </c>
      <c r="O589" s="346">
        <v>45702.400555555556</v>
      </c>
      <c r="P589" s="334" t="str">
        <f t="shared" si="4"/>
        <v>大鉄　堺:豊通ＣＰ Ａ</v>
      </c>
    </row>
    <row r="590" ht="15.75" customHeight="1">
      <c r="A590" s="335" t="s">
        <v>1789</v>
      </c>
      <c r="B590" s="336">
        <v>45702.0</v>
      </c>
      <c r="C590" s="335" t="s">
        <v>9</v>
      </c>
      <c r="D590" s="335" t="s">
        <v>50</v>
      </c>
      <c r="E590" s="337" t="str">
        <f t="shared" si="1"/>
        <v>大鉄　堺:産振</v>
      </c>
      <c r="F590" s="338" t="s">
        <v>116</v>
      </c>
      <c r="G590" s="339" t="str">
        <f t="shared" si="2"/>
        <v>大鉄　堺:産振Ｈ２(特級)</v>
      </c>
      <c r="H590" s="340">
        <f t="shared" si="3"/>
        <v>40.2</v>
      </c>
      <c r="I590" s="341">
        <v>1.0</v>
      </c>
      <c r="J590" s="332">
        <f>IFERROR(__xludf.DUMMYFUNCTION("IF(IF(COUNTIF(P$2:P589, P590)=0, """", INDEX(H$2:H589,
MAX(FILTER(ROW(H$2:H589) - ROW(H$2) + 1, P$2:P589 = P590))))=""単価"","""",
IF(COUNTIF(P$2:P589, P590)=0, """", INDEX(H$2:H589,
MAX(FILTER(ROW(H$2:H589) - ROW(H$2) + 1, P$2:P589 = P590)))))"),39.2)</f>
        <v>39.2</v>
      </c>
      <c r="N590" s="335" t="str">
        <f>IF(MAXIFS('単価履歴'!$O:$O,'単価履歴'!$E:$E,E590,'単価履歴'!$F:$F,F590)=O590,"●","")</f>
        <v/>
      </c>
      <c r="O590" s="346">
        <v>45702.400555555556</v>
      </c>
      <c r="P590" s="334" t="str">
        <f t="shared" si="4"/>
        <v>大鉄　堺:産振Ｈ２(特級)</v>
      </c>
    </row>
    <row r="591" ht="15.75" customHeight="1">
      <c r="A591" s="335" t="s">
        <v>1790</v>
      </c>
      <c r="B591" s="336">
        <v>45702.0</v>
      </c>
      <c r="C591" s="335" t="s">
        <v>9</v>
      </c>
      <c r="D591" s="335" t="s">
        <v>50</v>
      </c>
      <c r="E591" s="337" t="str">
        <f t="shared" si="1"/>
        <v>大鉄　堺:産振</v>
      </c>
      <c r="F591" s="338" t="s">
        <v>156</v>
      </c>
      <c r="G591" s="339" t="str">
        <f t="shared" si="2"/>
        <v>大鉄　堺:産振ＣＰ Ｂ一斗缶</v>
      </c>
      <c r="H591" s="340">
        <f t="shared" si="3"/>
        <v>36.5</v>
      </c>
      <c r="I591" s="341">
        <v>1.0</v>
      </c>
      <c r="J591" s="332">
        <f>IFERROR(__xludf.DUMMYFUNCTION("IF(IF(COUNTIF(P$2:P590, P591)=0, """", INDEX(H$2:H590,
MAX(FILTER(ROW(H$2:H590) - ROW(H$2) + 1, P$2:P590 = P591))))=""単価"","""",
IF(COUNTIF(P$2:P590, P591)=0, """", INDEX(H$2:H590,
MAX(FILTER(ROW(H$2:H590) - ROW(H$2) + 1, P$2:P590 = P591)))))"),35.5)</f>
        <v>35.5</v>
      </c>
      <c r="N591" s="335" t="str">
        <f>IF(MAXIFS('単価履歴'!$O:$O,'単価履歴'!$E:$E,E591,'単価履歴'!$F:$F,F591)=O591,"●","")</f>
        <v/>
      </c>
      <c r="O591" s="346">
        <v>45702.400555555556</v>
      </c>
      <c r="P591" s="334" t="str">
        <f t="shared" si="4"/>
        <v>大鉄　堺:産振ＣＰ Ｂ一斗缶</v>
      </c>
    </row>
    <row r="592" ht="15.75" customHeight="1">
      <c r="A592" s="335" t="s">
        <v>1791</v>
      </c>
      <c r="B592" s="336">
        <v>45702.0</v>
      </c>
      <c r="C592" s="335" t="s">
        <v>9</v>
      </c>
      <c r="D592" s="335" t="s">
        <v>50</v>
      </c>
      <c r="E592" s="337" t="str">
        <f t="shared" si="1"/>
        <v>大鉄　堺:産振</v>
      </c>
      <c r="F592" s="338" t="s">
        <v>111</v>
      </c>
      <c r="G592" s="339" t="str">
        <f t="shared" si="2"/>
        <v>大鉄　堺:産振Ｈ１(特A)</v>
      </c>
      <c r="H592" s="340">
        <f t="shared" si="3"/>
        <v>43.7</v>
      </c>
      <c r="I592" s="341">
        <v>1.0</v>
      </c>
      <c r="J592" s="332">
        <f>IFERROR(__xludf.DUMMYFUNCTION("IF(IF(COUNTIF(P$2:P591, P592)=0, """", INDEX(H$2:H591,
MAX(FILTER(ROW(H$2:H591) - ROW(H$2) + 1, P$2:P591 = P592))))=""単価"","""",
IF(COUNTIF(P$2:P591, P592)=0, """", INDEX(H$2:H591,
MAX(FILTER(ROW(H$2:H591) - ROW(H$2) + 1, P$2:P591 = P592)))))"),42.7)</f>
        <v>42.7</v>
      </c>
      <c r="N592" s="335" t="str">
        <f>IF(MAXIFS('単価履歴'!$O:$O,'単価履歴'!$E:$E,E592,'単価履歴'!$F:$F,F592)=O592,"●","")</f>
        <v/>
      </c>
      <c r="O592" s="346">
        <v>45702.400555555556</v>
      </c>
      <c r="P592" s="334" t="str">
        <f t="shared" si="4"/>
        <v>大鉄　堺:産振Ｈ１(特A)</v>
      </c>
    </row>
    <row r="593" ht="15.75" customHeight="1">
      <c r="A593" s="335" t="s">
        <v>1792</v>
      </c>
      <c r="B593" s="336">
        <v>45702.0</v>
      </c>
      <c r="C593" s="335" t="s">
        <v>9</v>
      </c>
      <c r="D593" s="335" t="s">
        <v>50</v>
      </c>
      <c r="E593" s="337" t="str">
        <f t="shared" si="1"/>
        <v>大鉄　堺:産振</v>
      </c>
      <c r="F593" s="338" t="s">
        <v>154</v>
      </c>
      <c r="G593" s="339" t="str">
        <f t="shared" si="2"/>
        <v>大鉄　堺:産振ＣＰ Ａ</v>
      </c>
      <c r="H593" s="340">
        <f t="shared" si="3"/>
        <v>42.7</v>
      </c>
      <c r="I593" s="341">
        <v>1.0</v>
      </c>
      <c r="J593" s="332">
        <f>IFERROR(__xludf.DUMMYFUNCTION("IF(IF(COUNTIF(P$2:P592, P593)=0, """", INDEX(H$2:H592,
MAX(FILTER(ROW(H$2:H592) - ROW(H$2) + 1, P$2:P592 = P593))))=""単価"","""",
IF(COUNTIF(P$2:P592, P593)=0, """", INDEX(H$2:H592,
MAX(FILTER(ROW(H$2:H592) - ROW(H$2) + 1, P$2:P592 = P593)))))"),41.7)</f>
        <v>41.7</v>
      </c>
      <c r="N593" s="335" t="str">
        <f>IF(MAXIFS('単価履歴'!$O:$O,'単価履歴'!$E:$E,E593,'単価履歴'!$F:$F,F593)=O593,"●","")</f>
        <v/>
      </c>
      <c r="O593" s="346">
        <v>45702.400555555556</v>
      </c>
      <c r="P593" s="334" t="str">
        <f t="shared" si="4"/>
        <v>大鉄　堺:産振ＣＰ Ａ</v>
      </c>
    </row>
    <row r="594" ht="15.75" customHeight="1">
      <c r="A594" s="335" t="s">
        <v>1793</v>
      </c>
      <c r="B594" s="336">
        <v>45702.0</v>
      </c>
      <c r="C594" s="335" t="s">
        <v>9</v>
      </c>
      <c r="D594" s="335" t="s">
        <v>49</v>
      </c>
      <c r="E594" s="337" t="str">
        <f t="shared" si="1"/>
        <v>大鉄　堺:伊藤忠</v>
      </c>
      <c r="F594" s="338" t="s">
        <v>116</v>
      </c>
      <c r="G594" s="339" t="str">
        <f t="shared" si="2"/>
        <v>大鉄　堺:伊藤忠Ｈ２(特級)</v>
      </c>
      <c r="H594" s="340">
        <f t="shared" si="3"/>
        <v>33.5</v>
      </c>
      <c r="I594" s="341">
        <v>1.0</v>
      </c>
      <c r="J594" s="332">
        <f>IFERROR(__xludf.DUMMYFUNCTION("IF(IF(COUNTIF(P$2:P593, P594)=0, """", INDEX(H$2:H593,
MAX(FILTER(ROW(H$2:H593) - ROW(H$2) + 1, P$2:P593 = P594))))=""単価"","""",
IF(COUNTIF(P$2:P593, P594)=0, """", INDEX(H$2:H593,
MAX(FILTER(ROW(H$2:H593) - ROW(H$2) + 1, P$2:P593 = P594)))))"),32.5)</f>
        <v>32.5</v>
      </c>
      <c r="N594" s="335" t="str">
        <f>IF(MAXIFS('単価履歴'!$O:$O,'単価履歴'!$E:$E,E594,'単価履歴'!$F:$F,F594)=O594,"●","")</f>
        <v/>
      </c>
      <c r="O594" s="346">
        <v>45702.400555555556</v>
      </c>
      <c r="P594" s="334" t="str">
        <f t="shared" si="4"/>
        <v>大鉄　堺:伊藤忠Ｈ２(特級)</v>
      </c>
    </row>
    <row r="595" ht="15.75" customHeight="1">
      <c r="A595" s="335" t="s">
        <v>1794</v>
      </c>
      <c r="B595" s="336">
        <v>45702.0</v>
      </c>
      <c r="C595" s="335" t="s">
        <v>9</v>
      </c>
      <c r="D595" s="335" t="s">
        <v>49</v>
      </c>
      <c r="E595" s="337" t="str">
        <f t="shared" si="1"/>
        <v>大鉄　堺:伊藤忠</v>
      </c>
      <c r="F595" s="338" t="s">
        <v>122</v>
      </c>
      <c r="G595" s="339" t="str">
        <f t="shared" si="2"/>
        <v>大鉄　堺:伊藤忠Ｌ１(2級)</v>
      </c>
      <c r="H595" s="340">
        <f t="shared" si="3"/>
        <v>31.5</v>
      </c>
      <c r="I595" s="341">
        <v>1.0</v>
      </c>
      <c r="J595" s="332">
        <f>IFERROR(__xludf.DUMMYFUNCTION("IF(IF(COUNTIF(P$2:P594, P595)=0, """", INDEX(H$2:H594,
MAX(FILTER(ROW(H$2:H594) - ROW(H$2) + 1, P$2:P594 = P595))))=""単価"","""",
IF(COUNTIF(P$2:P594, P595)=0, """", INDEX(H$2:H594,
MAX(FILTER(ROW(H$2:H594) - ROW(H$2) + 1, P$2:P594 = P595)))))"),30.5)</f>
        <v>30.5</v>
      </c>
      <c r="N595" s="335" t="str">
        <f>IF(MAXIFS('単価履歴'!$O:$O,'単価履歴'!$E:$E,E595,'単価履歴'!$F:$F,F595)=O595,"●","")</f>
        <v/>
      </c>
      <c r="O595" s="346">
        <v>45702.400555555556</v>
      </c>
      <c r="P595" s="334" t="str">
        <f t="shared" si="4"/>
        <v>大鉄　堺:伊藤忠Ｌ１(2級)</v>
      </c>
    </row>
    <row r="596" ht="15.75" customHeight="1">
      <c r="A596" s="335" t="s">
        <v>1795</v>
      </c>
      <c r="B596" s="336">
        <v>45702.0</v>
      </c>
      <c r="C596" s="335" t="s">
        <v>9</v>
      </c>
      <c r="D596" s="335" t="s">
        <v>49</v>
      </c>
      <c r="E596" s="337" t="str">
        <f t="shared" si="1"/>
        <v>大鉄　堺:伊藤忠</v>
      </c>
      <c r="F596" s="338" t="s">
        <v>130</v>
      </c>
      <c r="G596" s="339" t="str">
        <f t="shared" si="2"/>
        <v>大鉄　堺:伊藤忠新断Ａ</v>
      </c>
      <c r="H596" s="340">
        <f t="shared" si="3"/>
        <v>27.8</v>
      </c>
      <c r="I596" s="341">
        <v>1.0</v>
      </c>
      <c r="J596" s="332">
        <f>IFERROR(__xludf.DUMMYFUNCTION("IF(IF(COUNTIF(P$2:P595, P596)=0, """", INDEX(H$2:H595,
MAX(FILTER(ROW(H$2:H595) - ROW(H$2) + 1, P$2:P595 = P596))))=""単価"","""",
IF(COUNTIF(P$2:P595, P596)=0, """", INDEX(H$2:H595,
MAX(FILTER(ROW(H$2:H595) - ROW(H$2) + 1, P$2:P595 = P596)))))"),26.8)</f>
        <v>26.8</v>
      </c>
      <c r="N596" s="335" t="str">
        <f>IF(MAXIFS('単価履歴'!$O:$O,'単価履歴'!$E:$E,E596,'単価履歴'!$F:$F,F596)=O596,"●","")</f>
        <v/>
      </c>
      <c r="O596" s="346">
        <v>45702.400555555556</v>
      </c>
      <c r="P596" s="334" t="str">
        <f t="shared" si="4"/>
        <v>大鉄　堺:伊藤忠新断Ａ</v>
      </c>
    </row>
    <row r="597" ht="15.75" customHeight="1">
      <c r="A597" s="335" t="s">
        <v>1796</v>
      </c>
      <c r="B597" s="336">
        <v>45702.0</v>
      </c>
      <c r="C597" s="335" t="s">
        <v>9</v>
      </c>
      <c r="D597" s="335" t="s">
        <v>49</v>
      </c>
      <c r="E597" s="337" t="str">
        <f t="shared" si="1"/>
        <v>大鉄　堺:伊藤忠</v>
      </c>
      <c r="F597" s="338" t="s">
        <v>111</v>
      </c>
      <c r="G597" s="339" t="str">
        <f t="shared" si="2"/>
        <v>大鉄　堺:伊藤忠Ｈ１(特A)</v>
      </c>
      <c r="H597" s="340">
        <f t="shared" si="3"/>
        <v>28.8</v>
      </c>
      <c r="I597" s="341">
        <v>1.0</v>
      </c>
      <c r="J597" s="332">
        <f>IFERROR(__xludf.DUMMYFUNCTION("IF(IF(COUNTIF(P$2:P596, P597)=0, """", INDEX(H$2:H596,
MAX(FILTER(ROW(H$2:H596) - ROW(H$2) + 1, P$2:P596 = P597))))=""単価"","""",
IF(COUNTIF(P$2:P596, P597)=0, """", INDEX(H$2:H596,
MAX(FILTER(ROW(H$2:H596) - ROW(H$2) + 1, P$2:P596 = P597)))))"),27.8)</f>
        <v>27.8</v>
      </c>
      <c r="N597" s="335" t="str">
        <f>IF(MAXIFS('単価履歴'!$O:$O,'単価履歴'!$E:$E,E597,'単価履歴'!$F:$F,F597)=O597,"●","")</f>
        <v/>
      </c>
      <c r="O597" s="346">
        <v>45702.400555555556</v>
      </c>
      <c r="P597" s="334" t="str">
        <f t="shared" si="4"/>
        <v>大鉄　堺:伊藤忠Ｈ１(特A)</v>
      </c>
    </row>
    <row r="598" ht="15.75" customHeight="1">
      <c r="A598" s="335" t="s">
        <v>1797</v>
      </c>
      <c r="B598" s="336">
        <v>45702.0</v>
      </c>
      <c r="C598" s="335" t="s">
        <v>9</v>
      </c>
      <c r="D598" s="335" t="s">
        <v>49</v>
      </c>
      <c r="E598" s="337" t="str">
        <f t="shared" si="1"/>
        <v>大鉄　堺:伊藤忠</v>
      </c>
      <c r="F598" s="338" t="s">
        <v>1237</v>
      </c>
      <c r="G598" s="339" t="str">
        <f t="shared" si="2"/>
        <v>大鉄　堺:伊藤忠ＪＨ１(H2T山口)鍛造ﾊﾞﾘ</v>
      </c>
      <c r="H598" s="340">
        <f t="shared" si="3"/>
        <v>36.2</v>
      </c>
      <c r="I598" s="341">
        <v>1.0</v>
      </c>
      <c r="J598" s="332">
        <f>IFERROR(__xludf.DUMMYFUNCTION("IF(IF(COUNTIF(P$2:P597, P598)=0, """", INDEX(H$2:H597,
MAX(FILTER(ROW(H$2:H597) - ROW(H$2) + 1, P$2:P597 = P598))))=""単価"","""",
IF(COUNTIF(P$2:P597, P598)=0, """", INDEX(H$2:H597,
MAX(FILTER(ROW(H$2:H597) - ROW(H$2) + 1, P$2:P597 = P598)))))"),35.2)</f>
        <v>35.2</v>
      </c>
      <c r="N598" s="335" t="str">
        <f>IF(MAXIFS('単価履歴'!$O:$O,'単価履歴'!$E:$E,E598,'単価履歴'!$F:$F,F598)=O598,"●","")</f>
        <v/>
      </c>
      <c r="O598" s="346">
        <v>45702.400555555556</v>
      </c>
      <c r="P598" s="334" t="str">
        <f t="shared" si="4"/>
        <v>大鉄　堺:伊藤忠ＪＨ１(H2T山口)鍛造ﾊﾞﾘ</v>
      </c>
    </row>
    <row r="599" ht="15.75" customHeight="1">
      <c r="A599" s="335" t="s">
        <v>1798</v>
      </c>
      <c r="B599" s="336">
        <v>45702.0</v>
      </c>
      <c r="C599" s="335" t="s">
        <v>9</v>
      </c>
      <c r="D599" s="335" t="s">
        <v>49</v>
      </c>
      <c r="E599" s="337" t="str">
        <f t="shared" si="1"/>
        <v>大鉄　堺:伊藤忠</v>
      </c>
      <c r="F599" s="338" t="s">
        <v>119</v>
      </c>
      <c r="G599" s="339" t="str">
        <f t="shared" si="2"/>
        <v>大鉄　堺:伊藤忠Ｈ３(1級)</v>
      </c>
      <c r="H599" s="340">
        <f t="shared" si="3"/>
        <v>32.5</v>
      </c>
      <c r="I599" s="341">
        <v>1.0</v>
      </c>
      <c r="J599" s="332">
        <f>IFERROR(__xludf.DUMMYFUNCTION("IF(IF(COUNTIF(P$2:P598, P599)=0, """", INDEX(H$2:H598,
MAX(FILTER(ROW(H$2:H598) - ROW(H$2) + 1, P$2:P598 = P599))))=""単価"","""",
IF(COUNTIF(P$2:P598, P599)=0, """", INDEX(H$2:H598,
MAX(FILTER(ROW(H$2:H598) - ROW(H$2) + 1, P$2:P598 = P599)))))"),31.5)</f>
        <v>31.5</v>
      </c>
      <c r="N599" s="335" t="str">
        <f>IF(MAXIFS('単価履歴'!$O:$O,'単価履歴'!$E:$E,E599,'単価履歴'!$F:$F,F599)=O599,"●","")</f>
        <v/>
      </c>
      <c r="O599" s="346">
        <v>45702.400555555556</v>
      </c>
      <c r="P599" s="334" t="str">
        <f t="shared" si="4"/>
        <v>大鉄　堺:伊藤忠Ｈ３(1級)</v>
      </c>
    </row>
    <row r="600" ht="15.75" customHeight="1">
      <c r="A600" s="335" t="s">
        <v>1799</v>
      </c>
      <c r="B600" s="336">
        <v>45702.0</v>
      </c>
      <c r="C600" s="335" t="s">
        <v>9</v>
      </c>
      <c r="D600" s="335" t="s">
        <v>49</v>
      </c>
      <c r="E600" s="337" t="str">
        <f t="shared" si="1"/>
        <v>大鉄　堺:伊藤忠</v>
      </c>
      <c r="F600" s="338" t="s">
        <v>131</v>
      </c>
      <c r="G600" s="339" t="str">
        <f t="shared" si="2"/>
        <v>大鉄　堺:伊藤忠新断Ｂ</v>
      </c>
      <c r="H600" s="340">
        <f t="shared" si="3"/>
        <v>27.3</v>
      </c>
      <c r="I600" s="341">
        <v>1.0</v>
      </c>
      <c r="J600" s="332">
        <f>IFERROR(__xludf.DUMMYFUNCTION("IF(IF(COUNTIF(P$2:P599, P600)=0, """", INDEX(H$2:H599,
MAX(FILTER(ROW(H$2:H599) - ROW(H$2) + 1, P$2:P599 = P600))))=""単価"","""",
IF(COUNTIF(P$2:P599, P600)=0, """", INDEX(H$2:H599,
MAX(FILTER(ROW(H$2:H599) - ROW(H$2) + 1, P$2:P599 = P600)))))"),26.3)</f>
        <v>26.3</v>
      </c>
      <c r="N600" s="335" t="str">
        <f>IF(MAXIFS('単価履歴'!$O:$O,'単価履歴'!$E:$E,E600,'単価履歴'!$F:$F,F600)=O600,"●","")</f>
        <v/>
      </c>
      <c r="O600" s="346">
        <v>45702.400555555556</v>
      </c>
      <c r="P600" s="334" t="str">
        <f t="shared" si="4"/>
        <v>大鉄　堺:伊藤忠新断Ｂ</v>
      </c>
    </row>
    <row r="601" ht="15.75" customHeight="1">
      <c r="A601" s="335" t="s">
        <v>1800</v>
      </c>
      <c r="B601" s="336">
        <v>45703.0</v>
      </c>
      <c r="C601" s="335" t="s">
        <v>13</v>
      </c>
      <c r="D601" s="335" t="s">
        <v>49</v>
      </c>
      <c r="E601" s="337" t="str">
        <f t="shared" si="1"/>
        <v>ｸﾎﾞﾀ:伊藤忠</v>
      </c>
      <c r="F601" s="338" t="s">
        <v>130</v>
      </c>
      <c r="G601" s="339" t="str">
        <f t="shared" si="2"/>
        <v>ｸﾎﾞﾀ:伊藤忠新断Ａ</v>
      </c>
      <c r="H601" s="340">
        <f t="shared" si="3"/>
        <v>48.7</v>
      </c>
      <c r="I601" s="341">
        <v>1.0</v>
      </c>
      <c r="J601" s="332">
        <f>IFERROR(__xludf.DUMMYFUNCTION("IF(IF(COUNTIF(P$2:P600, P601)=0, """", INDEX(H$2:H600,
MAX(FILTER(ROW(H$2:H600) - ROW(H$2) + 1, P$2:P600 = P601))))=""単価"","""",
IF(COUNTIF(P$2:P600, P601)=0, """", INDEX(H$2:H600,
MAX(FILTER(ROW(H$2:H600) - ROW(H$2) + 1, P$2:P600 = P601)))))"),47.7)</f>
        <v>47.7</v>
      </c>
      <c r="N601" s="335" t="str">
        <f>IF(MAXIFS('単価履歴'!$O:$O,'単価履歴'!$E:$E,E601,'単価履歴'!$F:$F,F601)=O601,"●","")</f>
        <v/>
      </c>
      <c r="O601" s="346">
        <v>45702.70228009259</v>
      </c>
      <c r="P601" s="334" t="str">
        <f t="shared" si="4"/>
        <v>ｸﾎﾞﾀ:伊藤忠新断Ａ</v>
      </c>
    </row>
    <row r="602" ht="15.75" customHeight="1">
      <c r="A602" s="335" t="s">
        <v>1801</v>
      </c>
      <c r="B602" s="336">
        <v>45703.0</v>
      </c>
      <c r="C602" s="335" t="s">
        <v>22</v>
      </c>
      <c r="D602" s="335" t="s">
        <v>47</v>
      </c>
      <c r="E602" s="337" t="str">
        <f t="shared" si="1"/>
        <v>栗本鐵工:豊通</v>
      </c>
      <c r="F602" s="338" t="s">
        <v>1199</v>
      </c>
      <c r="G602" s="339" t="str">
        <f t="shared" si="2"/>
        <v>栗本鐵工:豊通ＨＳ１(単体H1/電特A/HS))</v>
      </c>
      <c r="H602" s="340">
        <f t="shared" si="3"/>
        <v>47.8</v>
      </c>
      <c r="I602" s="341">
        <v>1.0</v>
      </c>
      <c r="J602" s="332">
        <f>IFERROR(__xludf.DUMMYFUNCTION("IF(IF(COUNTIF(P$2:P601, P602)=0, """", INDEX(H$2:H601,
MAX(FILTER(ROW(H$2:H601) - ROW(H$2) + 1, P$2:P601 = P602))))=""単価"","""",
IF(COUNTIF(P$2:P601, P602)=0, """", INDEX(H$2:H601,
MAX(FILTER(ROW(H$2:H601) - ROW(H$2) + 1, P$2:P601 = P602)))))"),46.8)</f>
        <v>46.8</v>
      </c>
      <c r="N602" s="335" t="str">
        <f>IF(MAXIFS('単価履歴'!$O:$O,'単価履歴'!$E:$E,E602,'単価履歴'!$F:$F,F602)=O602,"●","")</f>
        <v/>
      </c>
      <c r="O602" s="346">
        <v>45702.728993055556</v>
      </c>
      <c r="P602" s="334" t="str">
        <f t="shared" si="4"/>
        <v>栗本鐵工:豊通ＨＳ１(単体H1/電特A/HS))</v>
      </c>
    </row>
    <row r="603" ht="15.75" customHeight="1">
      <c r="A603" s="335" t="s">
        <v>1802</v>
      </c>
      <c r="B603" s="336">
        <v>45703.0</v>
      </c>
      <c r="C603" s="335" t="s">
        <v>22</v>
      </c>
      <c r="D603" s="335" t="s">
        <v>47</v>
      </c>
      <c r="E603" s="337" t="str">
        <f t="shared" si="1"/>
        <v>栗本鐵工:豊通</v>
      </c>
      <c r="F603" s="338" t="s">
        <v>101</v>
      </c>
      <c r="G603" s="339" t="str">
        <f t="shared" si="2"/>
        <v>栗本鐵工:豊通ＨＳ２</v>
      </c>
      <c r="H603" s="340">
        <f t="shared" si="3"/>
        <v>47.5</v>
      </c>
      <c r="I603" s="341">
        <v>1.0</v>
      </c>
      <c r="J603" s="332">
        <f>IFERROR(__xludf.DUMMYFUNCTION("IF(IF(COUNTIF(P$2:P602, P603)=0, """", INDEX(H$2:H602,
MAX(FILTER(ROW(H$2:H602) - ROW(H$2) + 1, P$2:P602 = P603))))=""単価"","""",
IF(COUNTIF(P$2:P602, P603)=0, """", INDEX(H$2:H602,
MAX(FILTER(ROW(H$2:H602) - ROW(H$2) + 1, P$2:P602 = P603)))))"),46.5)</f>
        <v>46.5</v>
      </c>
      <c r="N603" s="335" t="str">
        <f>IF(MAXIFS('単価履歴'!$O:$O,'単価履歴'!$E:$E,E603,'単価履歴'!$F:$F,F603)=O603,"●","")</f>
        <v/>
      </c>
      <c r="O603" s="346">
        <v>45702.728993055556</v>
      </c>
      <c r="P603" s="334" t="str">
        <f t="shared" si="4"/>
        <v>栗本鐵工:豊通ＨＳ２</v>
      </c>
    </row>
    <row r="604" ht="15.75" customHeight="1">
      <c r="A604" s="335" t="s">
        <v>1803</v>
      </c>
      <c r="B604" s="336">
        <v>45703.0</v>
      </c>
      <c r="C604" s="335" t="s">
        <v>22</v>
      </c>
      <c r="D604" s="335" t="s">
        <v>47</v>
      </c>
      <c r="E604" s="337" t="str">
        <f t="shared" si="1"/>
        <v>栗本鐵工:豊通</v>
      </c>
      <c r="F604" s="338" t="s">
        <v>105</v>
      </c>
      <c r="G604" s="339" t="str">
        <f t="shared" si="2"/>
        <v>栗本鐵工:豊通ＨＳ３</v>
      </c>
      <c r="H604" s="340">
        <f t="shared" si="3"/>
        <v>46.6</v>
      </c>
      <c r="I604" s="341">
        <v>1.0</v>
      </c>
      <c r="J604" s="332">
        <f>IFERROR(__xludf.DUMMYFUNCTION("IF(IF(COUNTIF(P$2:P603, P604)=0, """", INDEX(H$2:H603,
MAX(FILTER(ROW(H$2:H603) - ROW(H$2) + 1, P$2:P603 = P604))))=""単価"","""",
IF(COUNTIF(P$2:P603, P604)=0, """", INDEX(H$2:H603,
MAX(FILTER(ROW(H$2:H603) - ROW(H$2) + 1, P$2:P603 = P604)))))"),45.6)</f>
        <v>45.6</v>
      </c>
      <c r="N604" s="335" t="str">
        <f>IF(MAXIFS('単価履歴'!$O:$O,'単価履歴'!$E:$E,E604,'単価履歴'!$F:$F,F604)=O604,"●","")</f>
        <v/>
      </c>
      <c r="O604" s="346">
        <v>45702.728993055556</v>
      </c>
      <c r="P604" s="334" t="str">
        <f t="shared" si="4"/>
        <v>栗本鐵工:豊通ＨＳ３</v>
      </c>
    </row>
    <row r="605" ht="15.75" customHeight="1">
      <c r="A605" s="335" t="s">
        <v>1804</v>
      </c>
      <c r="B605" s="336">
        <v>45708.0</v>
      </c>
      <c r="C605" s="335" t="s">
        <v>9</v>
      </c>
      <c r="D605" s="335" t="s">
        <v>51</v>
      </c>
      <c r="E605" s="337" t="str">
        <f t="shared" si="1"/>
        <v>大鉄　堺:大鉄堺</v>
      </c>
      <c r="F605" s="338" t="s">
        <v>111</v>
      </c>
      <c r="G605" s="339" t="str">
        <f t="shared" si="2"/>
        <v>大鉄　堺:大鉄堺Ｈ１(特A)</v>
      </c>
      <c r="H605" s="340">
        <f t="shared" si="3"/>
        <v>46</v>
      </c>
      <c r="I605" s="341">
        <v>1.0</v>
      </c>
      <c r="J605" s="332">
        <f>IFERROR(__xludf.DUMMYFUNCTION("IF(IF(COUNTIF(P$2:P604, P605)=0, """", INDEX(H$2:H604,
MAX(FILTER(ROW(H$2:H604) - ROW(H$2) + 1, P$2:P604 = P605))))=""単価"","""",
IF(COUNTIF(P$2:P604, P605)=0, """", INDEX(H$2:H604,
MAX(FILTER(ROW(H$2:H604) - ROW(H$2) + 1, P$2:P604 = P605)))))"),45.0)</f>
        <v>45</v>
      </c>
      <c r="N605" s="335" t="str">
        <f>IF(MAXIFS('単価履歴'!$O:$O,'単価履歴'!$E:$E,E605,'単価履歴'!$F:$F,F605)=O605,"●","")</f>
        <v/>
      </c>
      <c r="O605" s="346">
        <v>45704.400555555556</v>
      </c>
      <c r="P605" s="334" t="str">
        <f t="shared" si="4"/>
        <v>大鉄　堺:大鉄堺Ｈ１(特A)</v>
      </c>
    </row>
    <row r="606" ht="15.75" customHeight="1">
      <c r="A606" s="335" t="s">
        <v>1805</v>
      </c>
      <c r="B606" s="336">
        <v>45706.0</v>
      </c>
      <c r="C606" s="335" t="s">
        <v>12</v>
      </c>
      <c r="D606" s="335" t="s">
        <v>50</v>
      </c>
      <c r="E606" s="337" t="str">
        <f t="shared" si="1"/>
        <v>山陽特殊:産振</v>
      </c>
      <c r="F606" s="338" t="s">
        <v>1199</v>
      </c>
      <c r="G606" s="339" t="str">
        <f t="shared" si="2"/>
        <v>山陽特殊:産振ＨＳ１(単体H1/電特A/HS))</v>
      </c>
      <c r="H606" s="340">
        <f t="shared" si="3"/>
        <v>45.1</v>
      </c>
      <c r="I606" s="341">
        <v>1.0</v>
      </c>
      <c r="J606" s="332">
        <f>IFERROR(__xludf.DUMMYFUNCTION("IF(IF(COUNTIF(P$2:P605, P606)=0, """", INDEX(H$2:H605,
MAX(FILTER(ROW(H$2:H605) - ROW(H$2) + 1, P$2:P605 = P606))))=""単価"","""",
IF(COUNTIF(P$2:P605, P606)=0, """", INDEX(H$2:H605,
MAX(FILTER(ROW(H$2:H605) - ROW(H$2) + 1, P$2:P605 = P606)))))"),44.1)</f>
        <v>44.1</v>
      </c>
      <c r="N606" s="335" t="str">
        <f>IF(MAXIFS('単価履歴'!$O:$O,'単価履歴'!$E:$E,E606,'単価履歴'!$F:$F,F606)=O606,"●","")</f>
        <v/>
      </c>
      <c r="O606" s="346">
        <v>45706.43789351852</v>
      </c>
      <c r="P606" s="334" t="str">
        <f t="shared" si="4"/>
        <v>山陽特殊:産振ＨＳ１(単体H1/電特A/HS))</v>
      </c>
    </row>
    <row r="607" ht="15.75" customHeight="1">
      <c r="A607" s="335" t="s">
        <v>1806</v>
      </c>
      <c r="B607" s="336">
        <v>45706.0</v>
      </c>
      <c r="C607" s="335" t="s">
        <v>12</v>
      </c>
      <c r="D607" s="335" t="s">
        <v>50</v>
      </c>
      <c r="E607" s="337" t="str">
        <f t="shared" si="1"/>
        <v>山陽特殊:産振</v>
      </c>
      <c r="F607" s="338" t="s">
        <v>101</v>
      </c>
      <c r="G607" s="339" t="str">
        <f t="shared" si="2"/>
        <v>山陽特殊:産振ＨＳ２</v>
      </c>
      <c r="H607" s="340">
        <f t="shared" si="3"/>
        <v>44.9</v>
      </c>
      <c r="I607" s="341">
        <v>1.0</v>
      </c>
      <c r="J607" s="332">
        <f>IFERROR(__xludf.DUMMYFUNCTION("IF(IF(COUNTIF(P$2:P606, P607)=0, """", INDEX(H$2:H606,
MAX(FILTER(ROW(H$2:H606) - ROW(H$2) + 1, P$2:P606 = P607))))=""単価"","""",
IF(COUNTIF(P$2:P606, P607)=0, """", INDEX(H$2:H606,
MAX(FILTER(ROW(H$2:H606) - ROW(H$2) + 1, P$2:P606 = P607)))))"),43.9)</f>
        <v>43.9</v>
      </c>
      <c r="N607" s="335" t="str">
        <f>IF(MAXIFS('単価履歴'!$O:$O,'単価履歴'!$E:$E,E607,'単価履歴'!$F:$F,F607)=O607,"●","")</f>
        <v/>
      </c>
      <c r="O607" s="346">
        <v>45706.43789351852</v>
      </c>
      <c r="P607" s="334" t="str">
        <f t="shared" si="4"/>
        <v>山陽特殊:産振ＨＳ２</v>
      </c>
    </row>
    <row r="608" ht="15.75" customHeight="1">
      <c r="A608" s="335" t="s">
        <v>1807</v>
      </c>
      <c r="B608" s="336">
        <v>45706.0</v>
      </c>
      <c r="C608" s="335" t="s">
        <v>12</v>
      </c>
      <c r="D608" s="335" t="s">
        <v>50</v>
      </c>
      <c r="E608" s="337" t="str">
        <f t="shared" si="1"/>
        <v>山陽特殊:産振</v>
      </c>
      <c r="F608" s="338" t="s">
        <v>105</v>
      </c>
      <c r="G608" s="339" t="str">
        <f t="shared" si="2"/>
        <v>山陽特殊:産振ＨＳ３</v>
      </c>
      <c r="H608" s="340">
        <f t="shared" si="3"/>
        <v>42.9</v>
      </c>
      <c r="I608" s="341">
        <v>1.0</v>
      </c>
      <c r="J608" s="332">
        <f>IFERROR(__xludf.DUMMYFUNCTION("IF(IF(COUNTIF(P$2:P607, P608)=0, """", INDEX(H$2:H607,
MAX(FILTER(ROW(H$2:H607) - ROW(H$2) + 1, P$2:P607 = P608))))=""単価"","""",
IF(COUNTIF(P$2:P607, P608)=0, """", INDEX(H$2:H607,
MAX(FILTER(ROW(H$2:H607) - ROW(H$2) + 1, P$2:P607 = P608)))))"),41.9)</f>
        <v>41.9</v>
      </c>
      <c r="N608" s="335" t="str">
        <f>IF(MAXIFS('単価履歴'!$O:$O,'単価履歴'!$E:$E,E608,'単価履歴'!$F:$F,F608)=O608,"●","")</f>
        <v/>
      </c>
      <c r="O608" s="346">
        <v>45706.43789351852</v>
      </c>
      <c r="P608" s="334" t="str">
        <f t="shared" si="4"/>
        <v>山陽特殊:産振ＨＳ３</v>
      </c>
    </row>
    <row r="609" ht="15.75" customHeight="1">
      <c r="A609" s="335" t="s">
        <v>1808</v>
      </c>
      <c r="B609" s="336">
        <v>45706.0</v>
      </c>
      <c r="C609" s="335" t="s">
        <v>19</v>
      </c>
      <c r="D609" s="335" t="s">
        <v>61</v>
      </c>
      <c r="E609" s="337" t="str">
        <f t="shared" si="1"/>
        <v>トピー工業:ＭＭ</v>
      </c>
      <c r="F609" s="338" t="s">
        <v>116</v>
      </c>
      <c r="G609" s="339" t="str">
        <f t="shared" si="2"/>
        <v>トピー工業:ＭＭＨ２(特級)</v>
      </c>
      <c r="H609" s="340">
        <f t="shared" si="3"/>
        <v>35.5</v>
      </c>
      <c r="I609" s="341">
        <v>1.0</v>
      </c>
      <c r="J609" s="332">
        <f>IFERROR(__xludf.DUMMYFUNCTION("IF(IF(COUNTIF(P$2:P608, P609)=0, """", INDEX(H$2:H608,
MAX(FILTER(ROW(H$2:H608) - ROW(H$2) + 1, P$2:P608 = P609))))=""単価"","""",
IF(COUNTIF(P$2:P608, P609)=0, """", INDEX(H$2:H608,
MAX(FILTER(ROW(H$2:H608) - ROW(H$2) + 1, P$2:P608 = P609)))))"),34.5)</f>
        <v>34.5</v>
      </c>
      <c r="N609" s="335" t="str">
        <f>IF(MAXIFS('単価履歴'!$O:$O,'単価履歴'!$E:$E,E609,'単価履歴'!$F:$F,F609)=O609,"●","")</f>
        <v/>
      </c>
      <c r="O609" s="346">
        <v>45706.439293981486</v>
      </c>
      <c r="P609" s="334" t="str">
        <f t="shared" si="4"/>
        <v>トピー工業:ＭＭＨ２(特級)</v>
      </c>
    </row>
    <row r="610" ht="15.75" customHeight="1">
      <c r="A610" s="335" t="s">
        <v>1809</v>
      </c>
      <c r="B610" s="336">
        <v>45707.0</v>
      </c>
      <c r="C610" s="335" t="s">
        <v>35</v>
      </c>
      <c r="D610" s="335" t="s">
        <v>48</v>
      </c>
      <c r="E610" s="337" t="str">
        <f t="shared" si="1"/>
        <v>ﾆｭｰｽｺﾝ稲永:ナベ</v>
      </c>
      <c r="F610" s="338" t="s">
        <v>130</v>
      </c>
      <c r="G610" s="339" t="str">
        <f t="shared" si="2"/>
        <v>ﾆｭｰｽｺﾝ稲永:ナベ新断Ａ</v>
      </c>
      <c r="H610" s="340">
        <f t="shared" si="3"/>
        <v>43</v>
      </c>
      <c r="I610" s="341">
        <v>0.5</v>
      </c>
      <c r="J610" s="332">
        <f>IFERROR(__xludf.DUMMYFUNCTION("IF(IF(COUNTIF(P$2:P609, P610)=0, """", INDEX(H$2:H609,
MAX(FILTER(ROW(H$2:H609) - ROW(H$2) + 1, P$2:P609 = P610))))=""単価"","""",
IF(COUNTIF(P$2:P609, P610)=0, """", INDEX(H$2:H609,
MAX(FILTER(ROW(H$2:H609) - ROW(H$2) + 1, P$2:P609 = P610)))))"),42.5)</f>
        <v>42.5</v>
      </c>
      <c r="N610" s="335" t="str">
        <f>IF(MAXIFS('単価履歴'!$O:$O,'単価履歴'!$E:$E,E610,'単価履歴'!$F:$F,F610)=O610,"●","")</f>
        <v/>
      </c>
      <c r="O610" s="346">
        <v>45707.26721064815</v>
      </c>
      <c r="P610" s="334" t="str">
        <f t="shared" si="4"/>
        <v>ﾆｭｰｽｺﾝ稲永:ナベ新断Ａ</v>
      </c>
    </row>
    <row r="611" ht="15.75" customHeight="1">
      <c r="A611" s="335" t="s">
        <v>1810</v>
      </c>
      <c r="B611" s="336">
        <v>45708.0</v>
      </c>
      <c r="C611" s="335" t="s">
        <v>9</v>
      </c>
      <c r="D611" s="335" t="s">
        <v>51</v>
      </c>
      <c r="E611" s="337" t="str">
        <f t="shared" si="1"/>
        <v>大鉄　堺:大鉄堺</v>
      </c>
      <c r="F611" s="338" t="s">
        <v>1237</v>
      </c>
      <c r="G611" s="339" t="str">
        <f t="shared" si="2"/>
        <v>大鉄　堺:大鉄堺ＪＨ１(H2T山口)鍛造ﾊﾞﾘ</v>
      </c>
      <c r="H611" s="340">
        <f t="shared" si="3"/>
        <v>45</v>
      </c>
      <c r="I611" s="335">
        <v>1.0</v>
      </c>
      <c r="J611" s="332">
        <f>IFERROR(__xludf.DUMMYFUNCTION("IF(IF(COUNTIF(P$2:P610, P611)=0, """", INDEX(H$2:H610,
MAX(FILTER(ROW(H$2:H610) - ROW(H$2) + 1, P$2:P610 = P611))))=""単価"","""",
IF(COUNTIF(P$2:P610, P611)=0, """", INDEX(H$2:H610,
MAX(FILTER(ROW(H$2:H610) - ROW(H$2) + 1, P$2:P610 = P611)))))"),44.0)</f>
        <v>44</v>
      </c>
      <c r="N611" s="335" t="str">
        <f>IF(MAXIFS('単価履歴'!$O:$O,'単価履歴'!$E:$E,E611,'単価履歴'!$F:$F,F611)=O611,"●","")</f>
        <v/>
      </c>
      <c r="O611" s="362">
        <v>45708.0</v>
      </c>
      <c r="P611" s="334" t="str">
        <f t="shared" si="4"/>
        <v>大鉄　堺:大鉄堺ＪＨ１(H2T山口)鍛造ﾊﾞﾘ</v>
      </c>
    </row>
    <row r="612" ht="15.75" customHeight="1">
      <c r="A612" s="335" t="s">
        <v>1811</v>
      </c>
      <c r="B612" s="336">
        <v>45708.0</v>
      </c>
      <c r="C612" s="335" t="s">
        <v>9</v>
      </c>
      <c r="D612" s="335" t="s">
        <v>51</v>
      </c>
      <c r="E612" s="337" t="str">
        <f t="shared" si="1"/>
        <v>大鉄　堺:大鉄堺</v>
      </c>
      <c r="F612" s="338" t="s">
        <v>131</v>
      </c>
      <c r="G612" s="339" t="str">
        <f t="shared" si="2"/>
        <v>大鉄　堺:大鉄堺新断Ｂ</v>
      </c>
      <c r="H612" s="340">
        <f t="shared" si="3"/>
        <v>29</v>
      </c>
      <c r="I612" s="335">
        <v>1.5</v>
      </c>
      <c r="J612" s="332">
        <f>IFERROR(__xludf.DUMMYFUNCTION("IF(IF(COUNTIF(P$2:P611, P612)=0, """", INDEX(H$2:H611,
MAX(FILTER(ROW(H$2:H611) - ROW(H$2) + 1, P$2:P611 = P612))))=""単価"","""",
IF(COUNTIF(P$2:P611, P612)=0, """", INDEX(H$2:H611,
MAX(FILTER(ROW(H$2:H611) - ROW(H$2) + 1, P$2:P611 = P612)))))"),27.5)</f>
        <v>27.5</v>
      </c>
      <c r="N612" s="335" t="str">
        <f>IF(MAXIFS('単価履歴'!$O:$O,'単価履歴'!$E:$E,E612,'単価履歴'!$F:$F,F612)=O612,"●","")</f>
        <v/>
      </c>
      <c r="O612" s="346">
        <v>45708.27049768518</v>
      </c>
      <c r="P612" s="334" t="str">
        <f t="shared" si="4"/>
        <v>大鉄　堺:大鉄堺新断Ｂ</v>
      </c>
    </row>
    <row r="613" ht="15.75" customHeight="1">
      <c r="A613" s="335" t="s">
        <v>1812</v>
      </c>
      <c r="B613" s="336">
        <v>45708.0</v>
      </c>
      <c r="C613" s="335" t="s">
        <v>9</v>
      </c>
      <c r="D613" s="335" t="s">
        <v>51</v>
      </c>
      <c r="E613" s="337" t="str">
        <f t="shared" si="1"/>
        <v>大鉄　堺:大鉄堺</v>
      </c>
      <c r="F613" s="338" t="s">
        <v>576</v>
      </c>
      <c r="G613" s="339" t="str">
        <f t="shared" si="2"/>
        <v>大鉄　堺:大鉄堺鋼ダライＢ</v>
      </c>
      <c r="H613" s="340">
        <f t="shared" si="3"/>
        <v>30</v>
      </c>
      <c r="I613" s="335">
        <v>1.0</v>
      </c>
      <c r="J613" s="332">
        <f>IFERROR(__xludf.DUMMYFUNCTION("IF(IF(COUNTIF(P$2:P612, P613)=0, """", INDEX(H$2:H612,
MAX(FILTER(ROW(H$2:H612) - ROW(H$2) + 1, P$2:P612 = P613))))=""単価"","""",
IF(COUNTIF(P$2:P612, P613)=0, """", INDEX(H$2:H612,
MAX(FILTER(ROW(H$2:H612) - ROW(H$2) + 1, P$2:P612 = P613)))))"),29.0)</f>
        <v>29</v>
      </c>
      <c r="N613" s="335" t="str">
        <f>IF(MAXIFS('単価履歴'!$O:$O,'単価履歴'!$E:$E,E613,'単価履歴'!$F:$F,F613)=O613,"●","")</f>
        <v/>
      </c>
      <c r="O613" s="346">
        <v>45708.27049768518</v>
      </c>
      <c r="P613" s="334" t="str">
        <f t="shared" si="4"/>
        <v>大鉄　堺:大鉄堺鋼ダライＢ</v>
      </c>
    </row>
    <row r="614" ht="15.75" customHeight="1">
      <c r="A614" s="335" t="s">
        <v>1813</v>
      </c>
      <c r="B614" s="336">
        <v>45708.0</v>
      </c>
      <c r="C614" s="335" t="s">
        <v>9</v>
      </c>
      <c r="D614" s="335" t="s">
        <v>51</v>
      </c>
      <c r="E614" s="337" t="str">
        <f t="shared" si="1"/>
        <v>大鉄　堺:大鉄堺</v>
      </c>
      <c r="F614" s="338" t="s">
        <v>116</v>
      </c>
      <c r="G614" s="339" t="str">
        <f t="shared" si="2"/>
        <v>大鉄　堺:大鉄堺Ｈ２(特級)</v>
      </c>
      <c r="H614" s="340">
        <f t="shared" si="3"/>
        <v>43</v>
      </c>
      <c r="I614" s="335">
        <v>1.5</v>
      </c>
      <c r="J614" s="332">
        <f>IFERROR(__xludf.DUMMYFUNCTION("IF(IF(COUNTIF(P$2:P613, P614)=0, """", INDEX(H$2:H613,
MAX(FILTER(ROW(H$2:H613) - ROW(H$2) + 1, P$2:P613 = P614))))=""単価"","""",
IF(COUNTIF(P$2:P613, P614)=0, """", INDEX(H$2:H613,
MAX(FILTER(ROW(H$2:H613) - ROW(H$2) + 1, P$2:P613 = P614)))))"),41.5)</f>
        <v>41.5</v>
      </c>
      <c r="N614" s="335" t="str">
        <f>IF(MAXIFS('単価履歴'!$O:$O,'単価履歴'!$E:$E,E614,'単価履歴'!$F:$F,F614)=O614,"●","")</f>
        <v/>
      </c>
      <c r="O614" s="346">
        <v>45708.27049768518</v>
      </c>
      <c r="P614" s="334" t="str">
        <f t="shared" si="4"/>
        <v>大鉄　堺:大鉄堺Ｈ２(特級)</v>
      </c>
    </row>
    <row r="615" ht="15.75" customHeight="1">
      <c r="A615" s="335" t="s">
        <v>1814</v>
      </c>
      <c r="B615" s="336">
        <v>45708.0</v>
      </c>
      <c r="C615" s="335" t="s">
        <v>9</v>
      </c>
      <c r="D615" s="335" t="s">
        <v>51</v>
      </c>
      <c r="E615" s="337" t="str">
        <f t="shared" si="1"/>
        <v>大鉄　堺:大鉄堺</v>
      </c>
      <c r="F615" s="338" t="s">
        <v>119</v>
      </c>
      <c r="G615" s="339" t="str">
        <f t="shared" si="2"/>
        <v>大鉄　堺:大鉄堺Ｈ３(1級)</v>
      </c>
      <c r="H615" s="340">
        <f t="shared" si="3"/>
        <v>42.5</v>
      </c>
      <c r="I615" s="335">
        <v>1.5</v>
      </c>
      <c r="J615" s="332">
        <f>IFERROR(__xludf.DUMMYFUNCTION("IF(IF(COUNTIF(P$2:P614, P615)=0, """", INDEX(H$2:H614,
MAX(FILTER(ROW(H$2:H614) - ROW(H$2) + 1, P$2:P614 = P615))))=""単価"","""",
IF(COUNTIF(P$2:P614, P615)=0, """", INDEX(H$2:H614,
MAX(FILTER(ROW(H$2:H614) - ROW(H$2) + 1, P$2:P614 = P615)))))"),41.0)</f>
        <v>41</v>
      </c>
      <c r="N615" s="335" t="str">
        <f>IF(MAXIFS('単価履歴'!$O:$O,'単価履歴'!$E:$E,E615,'単価履歴'!$F:$F,F615)=O615,"●","")</f>
        <v/>
      </c>
      <c r="O615" s="346">
        <v>45708.27049768518</v>
      </c>
      <c r="P615" s="334" t="str">
        <f t="shared" si="4"/>
        <v>大鉄　堺:大鉄堺Ｈ３(1級)</v>
      </c>
    </row>
    <row r="616" ht="15.75" customHeight="1">
      <c r="A616" s="335" t="s">
        <v>1815</v>
      </c>
      <c r="B616" s="336">
        <v>45708.0</v>
      </c>
      <c r="C616" s="335" t="s">
        <v>9</v>
      </c>
      <c r="D616" s="335" t="s">
        <v>51</v>
      </c>
      <c r="E616" s="337" t="str">
        <f t="shared" si="1"/>
        <v>大鉄　堺:大鉄堺</v>
      </c>
      <c r="F616" s="338" t="s">
        <v>122</v>
      </c>
      <c r="G616" s="339" t="str">
        <f t="shared" si="2"/>
        <v>大鉄　堺:大鉄堺Ｌ１(2級)</v>
      </c>
      <c r="H616" s="340">
        <f t="shared" si="3"/>
        <v>42</v>
      </c>
      <c r="I616" s="335">
        <v>1.5</v>
      </c>
      <c r="J616" s="332">
        <f>IFERROR(__xludf.DUMMYFUNCTION("IF(IF(COUNTIF(P$2:P615, P616)=0, """", INDEX(H$2:H615,
MAX(FILTER(ROW(H$2:H615) - ROW(H$2) + 1, P$2:P615 = P616))))=""単価"","""",
IF(COUNTIF(P$2:P615, P616)=0, """", INDEX(H$2:H615,
MAX(FILTER(ROW(H$2:H615) - ROW(H$2) + 1, P$2:P615 = P616)))))"),40.5)</f>
        <v>40.5</v>
      </c>
      <c r="N616" s="335" t="str">
        <f>IF(MAXIFS('単価履歴'!$O:$O,'単価履歴'!$E:$E,E616,'単価履歴'!$F:$F,F616)=O616,"●","")</f>
        <v/>
      </c>
      <c r="O616" s="346">
        <v>45708.27049768518</v>
      </c>
      <c r="P616" s="334" t="str">
        <f t="shared" si="4"/>
        <v>大鉄　堺:大鉄堺Ｌ１(2級)</v>
      </c>
    </row>
    <row r="617" ht="15.75" customHeight="1">
      <c r="A617" s="335" t="s">
        <v>1816</v>
      </c>
      <c r="B617" s="336">
        <v>45708.0</v>
      </c>
      <c r="C617" s="335" t="s">
        <v>9</v>
      </c>
      <c r="D617" s="335" t="s">
        <v>51</v>
      </c>
      <c r="E617" s="337" t="str">
        <f t="shared" si="1"/>
        <v>大鉄　堺:大鉄堺</v>
      </c>
      <c r="F617" s="338" t="s">
        <v>575</v>
      </c>
      <c r="G617" s="339" t="str">
        <f t="shared" si="2"/>
        <v>大鉄　堺:大鉄堺鋼ダライＡ</v>
      </c>
      <c r="H617" s="340">
        <f t="shared" si="3"/>
        <v>30</v>
      </c>
      <c r="I617" s="335">
        <v>1.0</v>
      </c>
      <c r="J617" s="332">
        <f>IFERROR(__xludf.DUMMYFUNCTION("IF(IF(COUNTIF(P$2:P616, P617)=0, """", INDEX(H$2:H616,
MAX(FILTER(ROW(H$2:H616) - ROW(H$2) + 1, P$2:P616 = P617))))=""単価"","""",
IF(COUNTIF(P$2:P616, P617)=0, """", INDEX(H$2:H616,
MAX(FILTER(ROW(H$2:H616) - ROW(H$2) + 1, P$2:P616 = P617)))))"),29.0)</f>
        <v>29</v>
      </c>
      <c r="N617" s="335" t="str">
        <f>IF(MAXIFS('単価履歴'!$O:$O,'単価履歴'!$E:$E,E617,'単価履歴'!$F:$F,F617)=O617,"●","")</f>
        <v/>
      </c>
      <c r="O617" s="346">
        <v>45708.27049768518</v>
      </c>
      <c r="P617" s="334" t="str">
        <f t="shared" si="4"/>
        <v>大鉄　堺:大鉄堺鋼ダライＡ</v>
      </c>
    </row>
    <row r="618" ht="15.75" customHeight="1">
      <c r="A618" s="335" t="s">
        <v>1817</v>
      </c>
      <c r="B618" s="336">
        <v>45708.0</v>
      </c>
      <c r="C618" s="335" t="s">
        <v>9</v>
      </c>
      <c r="D618" s="335" t="s">
        <v>51</v>
      </c>
      <c r="E618" s="337" t="str">
        <f t="shared" si="1"/>
        <v>大鉄　堺:大鉄堺</v>
      </c>
      <c r="F618" s="338" t="s">
        <v>130</v>
      </c>
      <c r="G618" s="339" t="str">
        <f t="shared" si="2"/>
        <v>大鉄　堺:大鉄堺新断Ａ</v>
      </c>
      <c r="H618" s="340">
        <f t="shared" si="3"/>
        <v>29.5</v>
      </c>
      <c r="I618" s="335">
        <v>1.5</v>
      </c>
      <c r="J618" s="332">
        <f>IFERROR(__xludf.DUMMYFUNCTION("IF(IF(COUNTIF(P$2:P617, P618)=0, """", INDEX(H$2:H617,
MAX(FILTER(ROW(H$2:H617) - ROW(H$2) + 1, P$2:P617 = P618))))=""単価"","""",
IF(COUNTIF(P$2:P617, P618)=0, """", INDEX(H$2:H617,
MAX(FILTER(ROW(H$2:H617) - ROW(H$2) + 1, P$2:P617 = P618)))))"),28.0)</f>
        <v>28</v>
      </c>
      <c r="N618" s="335" t="str">
        <f>IF(MAXIFS('単価履歴'!$O:$O,'単価履歴'!$E:$E,E618,'単価履歴'!$F:$F,F618)=O618,"●","")</f>
        <v/>
      </c>
      <c r="O618" s="346">
        <v>45708.27049768518</v>
      </c>
      <c r="P618" s="334" t="str">
        <f t="shared" si="4"/>
        <v>大鉄　堺:大鉄堺新断Ａ</v>
      </c>
    </row>
    <row r="619" ht="15.75" customHeight="1">
      <c r="A619" s="335" t="s">
        <v>1818</v>
      </c>
      <c r="B619" s="336">
        <v>45708.0</v>
      </c>
      <c r="C619" s="335" t="s">
        <v>9</v>
      </c>
      <c r="D619" s="335" t="s">
        <v>51</v>
      </c>
      <c r="E619" s="337" t="str">
        <f t="shared" si="1"/>
        <v>大鉄　堺:大鉄堺</v>
      </c>
      <c r="F619" s="338" t="s">
        <v>151</v>
      </c>
      <c r="G619" s="339" t="str">
        <f t="shared" si="2"/>
        <v>大鉄　堺:大鉄堺シュレＣ</v>
      </c>
      <c r="H619" s="340">
        <f t="shared" si="3"/>
        <v>29.9</v>
      </c>
      <c r="I619" s="335">
        <v>2.0</v>
      </c>
      <c r="J619" s="332">
        <f>IFERROR(__xludf.DUMMYFUNCTION("IF(IF(COUNTIF(P$2:P618, P619)=0, """", INDEX(H$2:H618,
MAX(FILTER(ROW(H$2:H618) - ROW(H$2) + 1, P$2:P618 = P619))))=""単価"","""",
IF(COUNTIF(P$2:P618, P619)=0, """", INDEX(H$2:H618,
MAX(FILTER(ROW(H$2:H618) - ROW(H$2) + 1, P$2:P618 = P619)))))"),27.9)</f>
        <v>27.9</v>
      </c>
      <c r="N619" s="335" t="str">
        <f>IF(MAXIFS('単価履歴'!$O:$O,'単価履歴'!$E:$E,E619,'単価履歴'!$F:$F,F619)=O619,"●","")</f>
        <v/>
      </c>
      <c r="O619" s="346">
        <v>45708.27049768518</v>
      </c>
      <c r="P619" s="334" t="str">
        <f t="shared" si="4"/>
        <v>大鉄　堺:大鉄堺シュレＣ</v>
      </c>
    </row>
    <row r="620" ht="15.75" customHeight="1">
      <c r="A620" s="335" t="s">
        <v>1819</v>
      </c>
      <c r="B620" s="336">
        <v>45708.0</v>
      </c>
      <c r="C620" s="335" t="s">
        <v>9</v>
      </c>
      <c r="D620" s="335" t="s">
        <v>51</v>
      </c>
      <c r="E620" s="337" t="str">
        <f t="shared" si="1"/>
        <v>大鉄　堺:大鉄堺</v>
      </c>
      <c r="F620" s="338" t="s">
        <v>145</v>
      </c>
      <c r="G620" s="339" t="str">
        <f t="shared" si="2"/>
        <v>大鉄　堺:大鉄堺シュレＡ</v>
      </c>
      <c r="H620" s="340">
        <f t="shared" si="3"/>
        <v>32</v>
      </c>
      <c r="I620" s="335">
        <v>2.0</v>
      </c>
      <c r="J620" s="332">
        <f>IFERROR(__xludf.DUMMYFUNCTION("IF(IF(COUNTIF(P$2:P619, P620)=0, """", INDEX(H$2:H619,
MAX(FILTER(ROW(H$2:H619) - ROW(H$2) + 1, P$2:P619 = P620))))=""単価"","""",
IF(COUNTIF(P$2:P619, P620)=0, """", INDEX(H$2:H619,
MAX(FILTER(ROW(H$2:H619) - ROW(H$2) + 1, P$2:P619 = P620)))))"),30.0)</f>
        <v>30</v>
      </c>
      <c r="N620" s="335" t="str">
        <f>IF(MAXIFS('単価履歴'!$O:$O,'単価履歴'!$E:$E,E620,'単価履歴'!$F:$F,F620)=O620,"●","")</f>
        <v/>
      </c>
      <c r="O620" s="344">
        <v>45708.27049768518</v>
      </c>
      <c r="P620" s="334" t="str">
        <f t="shared" si="4"/>
        <v>大鉄　堺:大鉄堺シュレＡ</v>
      </c>
    </row>
    <row r="621" ht="15.75" customHeight="1">
      <c r="A621" s="335" t="s">
        <v>1820</v>
      </c>
      <c r="B621" s="336">
        <v>45708.0</v>
      </c>
      <c r="C621" s="335" t="s">
        <v>9</v>
      </c>
      <c r="D621" s="335" t="s">
        <v>51</v>
      </c>
      <c r="E621" s="337" t="str">
        <f t="shared" si="1"/>
        <v>大鉄　堺:大鉄堺</v>
      </c>
      <c r="F621" s="338" t="s">
        <v>149</v>
      </c>
      <c r="G621" s="339" t="str">
        <f t="shared" si="2"/>
        <v>大鉄　堺:大鉄堺シュレＢ</v>
      </c>
      <c r="H621" s="340">
        <f t="shared" si="3"/>
        <v>31.3</v>
      </c>
      <c r="I621" s="335">
        <v>2.0</v>
      </c>
      <c r="J621" s="332">
        <f>IFERROR(__xludf.DUMMYFUNCTION("IF(IF(COUNTIF(P$2:P620, P621)=0, """", INDEX(H$2:H620,
MAX(FILTER(ROW(H$2:H620) - ROW(H$2) + 1, P$2:P620 = P621))))=""単価"","""",
IF(COUNTIF(P$2:P620, P621)=0, """", INDEX(H$2:H620,
MAX(FILTER(ROW(H$2:H620) - ROW(H$2) + 1, P$2:P620 = P621)))))"),29.3)</f>
        <v>29.3</v>
      </c>
      <c r="N621" s="335" t="str">
        <f>IF(MAXIFS('単価履歴'!$O:$O,'単価履歴'!$E:$E,E621,'単価履歴'!$F:$F,F621)=O621,"●","")</f>
        <v/>
      </c>
      <c r="O621" s="346">
        <v>45708.27049768518</v>
      </c>
      <c r="P621" s="334" t="str">
        <f t="shared" si="4"/>
        <v>大鉄　堺:大鉄堺シュレＢ</v>
      </c>
    </row>
    <row r="622" ht="15.75" customHeight="1">
      <c r="A622" s="335" t="s">
        <v>1821</v>
      </c>
      <c r="B622" s="336">
        <v>45708.0</v>
      </c>
      <c r="C622" s="335" t="s">
        <v>9</v>
      </c>
      <c r="D622" s="335" t="s">
        <v>47</v>
      </c>
      <c r="E622" s="337" t="str">
        <f t="shared" si="1"/>
        <v>大鉄　堺:豊通</v>
      </c>
      <c r="F622" s="338" t="s">
        <v>111</v>
      </c>
      <c r="G622" s="339" t="str">
        <f t="shared" si="2"/>
        <v>大鉄　堺:豊通Ｈ１(特A)</v>
      </c>
      <c r="H622" s="340">
        <f t="shared" si="3"/>
        <v>30.9</v>
      </c>
      <c r="I622" s="335">
        <v>1.0</v>
      </c>
      <c r="J622" s="332">
        <f>IFERROR(__xludf.DUMMYFUNCTION("IF(IF(COUNTIF(P$2:P621, P622)=0, """", INDEX(H$2:H621,
MAX(FILTER(ROW(H$2:H621) - ROW(H$2) + 1, P$2:P621 = P622))))=""単価"","""",
IF(COUNTIF(P$2:P621, P622)=0, """", INDEX(H$2:H621,
MAX(FILTER(ROW(H$2:H621) - ROW(H$2) + 1, P$2:P621 = P622)))))"),29.9)</f>
        <v>29.9</v>
      </c>
      <c r="N622" s="335" t="str">
        <f>IF(MAXIFS('単価履歴'!$O:$O,'単価履歴'!$E:$E,E622,'単価履歴'!$F:$F,F622)=O622,"●","")</f>
        <v/>
      </c>
      <c r="O622" s="346">
        <v>45708.27049768518</v>
      </c>
      <c r="P622" s="334" t="str">
        <f t="shared" si="4"/>
        <v>大鉄　堺:豊通Ｈ１(特A)</v>
      </c>
    </row>
    <row r="623" ht="15.75" customHeight="1">
      <c r="A623" s="335" t="s">
        <v>1822</v>
      </c>
      <c r="B623" s="336">
        <v>45708.0</v>
      </c>
      <c r="C623" s="335" t="s">
        <v>9</v>
      </c>
      <c r="D623" s="335" t="s">
        <v>51</v>
      </c>
      <c r="E623" s="337" t="str">
        <f t="shared" si="1"/>
        <v>大鉄　堺:大鉄堺</v>
      </c>
      <c r="F623" s="338" t="s">
        <v>154</v>
      </c>
      <c r="G623" s="339" t="str">
        <f t="shared" si="2"/>
        <v>大鉄　堺:大鉄堺ＣＰ Ａ</v>
      </c>
      <c r="H623" s="340">
        <f t="shared" si="3"/>
        <v>37.5</v>
      </c>
      <c r="I623" s="335">
        <v>5.5</v>
      </c>
      <c r="J623" s="332">
        <f>IFERROR(__xludf.DUMMYFUNCTION("IF(IF(COUNTIF(P$2:P622, P623)=0, """", INDEX(H$2:H622,
MAX(FILTER(ROW(H$2:H622) - ROW(H$2) + 1, P$2:P622 = P623))))=""単価"","""",
IF(COUNTIF(P$2:P622, P623)=0, """", INDEX(H$2:H622,
MAX(FILTER(ROW(H$2:H622) - ROW(H$2) + 1, P$2:P622 = P623)))))"),32.0)</f>
        <v>32</v>
      </c>
      <c r="N623" s="335" t="str">
        <f>IF(MAXIFS('単価履歴'!$O:$O,'単価履歴'!$E:$E,E623,'単価履歴'!$F:$F,F623)=O623,"●","")</f>
        <v/>
      </c>
      <c r="O623" s="346">
        <v>45708.27049768518</v>
      </c>
      <c r="P623" s="334" t="str">
        <f t="shared" si="4"/>
        <v>大鉄　堺:大鉄堺ＣＰ Ａ</v>
      </c>
    </row>
    <row r="624" ht="15.75" customHeight="1">
      <c r="A624" s="335" t="s">
        <v>1823</v>
      </c>
      <c r="B624" s="336">
        <v>45708.0</v>
      </c>
      <c r="C624" s="335" t="s">
        <v>9</v>
      </c>
      <c r="D624" s="335" t="s">
        <v>47</v>
      </c>
      <c r="E624" s="337" t="str">
        <f t="shared" si="1"/>
        <v>大鉄　堺:豊通</v>
      </c>
      <c r="F624" s="338" t="s">
        <v>1237</v>
      </c>
      <c r="G624" s="339" t="str">
        <f t="shared" si="2"/>
        <v>大鉄　堺:豊通ＪＨ１(H2T山口)鍛造ﾊﾞﾘ</v>
      </c>
      <c r="H624" s="340">
        <f t="shared" si="3"/>
        <v>29.9</v>
      </c>
      <c r="I624" s="335">
        <v>1.0</v>
      </c>
      <c r="J624" s="332">
        <f>IFERROR(__xludf.DUMMYFUNCTION("IF(IF(COUNTIF(P$2:P623, P624)=0, """", INDEX(H$2:H623,
MAX(FILTER(ROW(H$2:H623) - ROW(H$2) + 1, P$2:P623 = P624))))=""単価"","""",
IF(COUNTIF(P$2:P623, P624)=0, """", INDEX(H$2:H623,
MAX(FILTER(ROW(H$2:H623) - ROW(H$2) + 1, P$2:P623 = P624)))))"),28.9)</f>
        <v>28.9</v>
      </c>
      <c r="N624" s="335" t="str">
        <f>IF(MAXIFS('単価履歴'!$O:$O,'単価履歴'!$E:$E,E624,'単価履歴'!$F:$F,F624)=O624,"●","")</f>
        <v/>
      </c>
      <c r="O624" s="346">
        <v>45708.27049768518</v>
      </c>
      <c r="P624" s="334" t="str">
        <f t="shared" si="4"/>
        <v>大鉄　堺:豊通ＪＨ１(H2T山口)鍛造ﾊﾞﾘ</v>
      </c>
    </row>
    <row r="625" ht="15.75" customHeight="1">
      <c r="A625" s="335" t="s">
        <v>1824</v>
      </c>
      <c r="B625" s="336">
        <v>45708.0</v>
      </c>
      <c r="C625" s="335" t="s">
        <v>9</v>
      </c>
      <c r="D625" s="335" t="s">
        <v>51</v>
      </c>
      <c r="E625" s="337" t="str">
        <f t="shared" si="1"/>
        <v>大鉄　堺:大鉄堺</v>
      </c>
      <c r="F625" s="338" t="s">
        <v>156</v>
      </c>
      <c r="G625" s="339" t="str">
        <f t="shared" si="2"/>
        <v>大鉄　堺:大鉄堺ＣＰ Ｂ一斗缶</v>
      </c>
      <c r="H625" s="340">
        <f t="shared" si="3"/>
        <v>31</v>
      </c>
      <c r="I625" s="335">
        <v>1.5</v>
      </c>
      <c r="J625" s="332">
        <f>IFERROR(__xludf.DUMMYFUNCTION("IF(IF(COUNTIF(P$2:P624, P625)=0, """", INDEX(H$2:H624,
MAX(FILTER(ROW(H$2:H624) - ROW(H$2) + 1, P$2:P624 = P625))))=""単価"","""",
IF(COUNTIF(P$2:P624, P625)=0, """", INDEX(H$2:H624,
MAX(FILTER(ROW(H$2:H624) - ROW(H$2) + 1, P$2:P624 = P625)))))"),29.5)</f>
        <v>29.5</v>
      </c>
      <c r="N625" s="335" t="str">
        <f>IF(MAXIFS('単価履歴'!$O:$O,'単価履歴'!$E:$E,E625,'単価履歴'!$F:$F,F625)=O625,"●","")</f>
        <v/>
      </c>
      <c r="O625" s="346">
        <v>45708.27049768518</v>
      </c>
      <c r="P625" s="334" t="str">
        <f t="shared" si="4"/>
        <v>大鉄　堺:大鉄堺ＣＰ Ｂ一斗缶</v>
      </c>
    </row>
    <row r="626" ht="15.75" customHeight="1">
      <c r="A626" s="335" t="s">
        <v>1825</v>
      </c>
      <c r="B626" s="336">
        <v>45708.0</v>
      </c>
      <c r="C626" s="335" t="s">
        <v>9</v>
      </c>
      <c r="D626" s="335" t="s">
        <v>47</v>
      </c>
      <c r="E626" s="337" t="str">
        <f t="shared" si="1"/>
        <v>大鉄　堺:豊通</v>
      </c>
      <c r="F626" s="338" t="s">
        <v>576</v>
      </c>
      <c r="G626" s="339" t="str">
        <f t="shared" si="2"/>
        <v>大鉄　堺:豊通鋼ダライＢ</v>
      </c>
      <c r="H626" s="340">
        <f t="shared" si="3"/>
        <v>29.7</v>
      </c>
      <c r="I626" s="335">
        <v>1.0</v>
      </c>
      <c r="J626" s="332">
        <f>IFERROR(__xludf.DUMMYFUNCTION("IF(IF(COUNTIF(P$2:P625, P626)=0, """", INDEX(H$2:H625,
MAX(FILTER(ROW(H$2:H625) - ROW(H$2) + 1, P$2:P625 = P626))))=""単価"","""",
IF(COUNTIF(P$2:P625, P626)=0, """", INDEX(H$2:H625,
MAX(FILTER(ROW(H$2:H625) - ROW(H$2) + 1, P$2:P625 = P626)))))"),28.7)</f>
        <v>28.7</v>
      </c>
      <c r="N626" s="335" t="str">
        <f>IF(MAXIFS('単価履歴'!$O:$O,'単価履歴'!$E:$E,E626,'単価履歴'!$F:$F,F626)=O626,"●","")</f>
        <v/>
      </c>
      <c r="O626" s="346">
        <v>45708.27049768518</v>
      </c>
      <c r="P626" s="334" t="str">
        <f t="shared" si="4"/>
        <v>大鉄　堺:豊通鋼ダライＢ</v>
      </c>
    </row>
    <row r="627" ht="15.75" customHeight="1">
      <c r="A627" s="335" t="s">
        <v>1826</v>
      </c>
      <c r="B627" s="336">
        <v>45708.0</v>
      </c>
      <c r="C627" s="335" t="s">
        <v>9</v>
      </c>
      <c r="D627" s="335" t="s">
        <v>47</v>
      </c>
      <c r="E627" s="337" t="str">
        <f t="shared" si="1"/>
        <v>大鉄　堺:豊通</v>
      </c>
      <c r="F627" s="338" t="s">
        <v>119</v>
      </c>
      <c r="G627" s="339" t="str">
        <f t="shared" si="2"/>
        <v>大鉄　堺:豊通Ｈ３(1級)</v>
      </c>
      <c r="H627" s="340">
        <f t="shared" si="3"/>
        <v>25.7</v>
      </c>
      <c r="I627" s="335">
        <v>1.5</v>
      </c>
      <c r="J627" s="332">
        <f>IFERROR(__xludf.DUMMYFUNCTION("IF(IF(COUNTIF(P$2:P626, P627)=0, """", INDEX(H$2:H626,
MAX(FILTER(ROW(H$2:H626) - ROW(H$2) + 1, P$2:P626 = P627))))=""単価"","""",
IF(COUNTIF(P$2:P626, P627)=0, """", INDEX(H$2:H626,
MAX(FILTER(ROW(H$2:H626) - ROW(H$2) + 1, P$2:P626 = P627)))))"),24.2)</f>
        <v>24.2</v>
      </c>
      <c r="N627" s="335" t="str">
        <f>IF(MAXIFS('単価履歴'!$O:$O,'単価履歴'!$E:$E,E627,'単価履歴'!$F:$F,F627)=O627,"●","")</f>
        <v/>
      </c>
      <c r="O627" s="346">
        <v>45708.27049768518</v>
      </c>
      <c r="P627" s="334" t="str">
        <f t="shared" si="4"/>
        <v>大鉄　堺:豊通Ｈ３(1級)</v>
      </c>
    </row>
    <row r="628" ht="15.75" customHeight="1">
      <c r="A628" s="335" t="s">
        <v>1827</v>
      </c>
      <c r="B628" s="336">
        <v>45708.0</v>
      </c>
      <c r="C628" s="335" t="s">
        <v>9</v>
      </c>
      <c r="D628" s="335" t="s">
        <v>47</v>
      </c>
      <c r="E628" s="337" t="str">
        <f t="shared" si="1"/>
        <v>大鉄　堺:豊通</v>
      </c>
      <c r="F628" s="338" t="s">
        <v>116</v>
      </c>
      <c r="G628" s="339" t="str">
        <f t="shared" si="2"/>
        <v>大鉄　堺:豊通Ｈ２(特級)</v>
      </c>
      <c r="H628" s="340">
        <f t="shared" si="3"/>
        <v>26.7</v>
      </c>
      <c r="I628" s="335">
        <v>1.5</v>
      </c>
      <c r="J628" s="332">
        <f>IFERROR(__xludf.DUMMYFUNCTION("IF(IF(COUNTIF(P$2:P627, P628)=0, """", INDEX(H$2:H627,
MAX(FILTER(ROW(H$2:H627) - ROW(H$2) + 1, P$2:P627 = P628))))=""単価"","""",
IF(COUNTIF(P$2:P627, P628)=0, """", INDEX(H$2:H627,
MAX(FILTER(ROW(H$2:H627) - ROW(H$2) + 1, P$2:P627 = P628)))))"),25.2)</f>
        <v>25.2</v>
      </c>
      <c r="N628" s="335" t="str">
        <f>IF(MAXIFS('単価履歴'!$O:$O,'単価履歴'!$E:$E,E628,'単価履歴'!$F:$F,F628)=O628,"●","")</f>
        <v/>
      </c>
      <c r="O628" s="346">
        <v>45708.27049768518</v>
      </c>
      <c r="P628" s="334" t="str">
        <f t="shared" si="4"/>
        <v>大鉄　堺:豊通Ｈ２(特級)</v>
      </c>
    </row>
    <row r="629" ht="15.75" customHeight="1">
      <c r="A629" s="335" t="s">
        <v>1828</v>
      </c>
      <c r="B629" s="336">
        <v>45708.0</v>
      </c>
      <c r="C629" s="335" t="s">
        <v>9</v>
      </c>
      <c r="D629" s="335" t="s">
        <v>47</v>
      </c>
      <c r="E629" s="337" t="str">
        <f t="shared" si="1"/>
        <v>大鉄　堺:豊通</v>
      </c>
      <c r="F629" s="338" t="s">
        <v>122</v>
      </c>
      <c r="G629" s="339" t="str">
        <f t="shared" si="2"/>
        <v>大鉄　堺:豊通Ｌ１(2級)</v>
      </c>
      <c r="H629" s="340">
        <f t="shared" si="3"/>
        <v>24.2</v>
      </c>
      <c r="I629" s="335">
        <v>1.5</v>
      </c>
      <c r="J629" s="332">
        <f>IFERROR(__xludf.DUMMYFUNCTION("IF(IF(COUNTIF(P$2:P628, P629)=0, """", INDEX(H$2:H628,
MAX(FILTER(ROW(H$2:H628) - ROW(H$2) + 1, P$2:P628 = P629))))=""単価"","""",
IF(COUNTIF(P$2:P628, P629)=0, """", INDEX(H$2:H628,
MAX(FILTER(ROW(H$2:H628) - ROW(H$2) + 1, P$2:P628 = P629)))))"),22.7)</f>
        <v>22.7</v>
      </c>
      <c r="N629" s="335" t="str">
        <f>IF(MAXIFS('単価履歴'!$O:$O,'単価履歴'!$E:$E,E629,'単価履歴'!$F:$F,F629)=O629,"●","")</f>
        <v/>
      </c>
      <c r="O629" s="346">
        <v>45708.27049768518</v>
      </c>
      <c r="P629" s="334" t="str">
        <f t="shared" si="4"/>
        <v>大鉄　堺:豊通Ｌ１(2級)</v>
      </c>
    </row>
    <row r="630" ht="15.75" customHeight="1">
      <c r="A630" s="335" t="s">
        <v>1829</v>
      </c>
      <c r="B630" s="336">
        <v>45708.0</v>
      </c>
      <c r="C630" s="335" t="s">
        <v>9</v>
      </c>
      <c r="D630" s="335" t="s">
        <v>47</v>
      </c>
      <c r="E630" s="337" t="str">
        <f t="shared" si="1"/>
        <v>大鉄　堺:豊通</v>
      </c>
      <c r="F630" s="338" t="s">
        <v>149</v>
      </c>
      <c r="G630" s="339" t="str">
        <f t="shared" si="2"/>
        <v>大鉄　堺:豊通シュレＢ</v>
      </c>
      <c r="H630" s="340">
        <f t="shared" si="3"/>
        <v>30.5</v>
      </c>
      <c r="I630" s="335">
        <v>2.0</v>
      </c>
      <c r="J630" s="332">
        <f>IFERROR(__xludf.DUMMYFUNCTION("IF(IF(COUNTIF(P$2:P629, P630)=0, """", INDEX(H$2:H629,
MAX(FILTER(ROW(H$2:H629) - ROW(H$2) + 1, P$2:P629 = P630))))=""単価"","""",
IF(COUNTIF(P$2:P629, P630)=0, """", INDEX(H$2:H629,
MAX(FILTER(ROW(H$2:H629) - ROW(H$2) + 1, P$2:P629 = P630)))))"),28.5)</f>
        <v>28.5</v>
      </c>
      <c r="N630" s="335" t="str">
        <f>IF(MAXIFS('単価履歴'!$O:$O,'単価履歴'!$E:$E,E630,'単価履歴'!$F:$F,F630)=O630,"●","")</f>
        <v/>
      </c>
      <c r="O630" s="346">
        <v>45708.27049768518</v>
      </c>
      <c r="P630" s="334" t="str">
        <f t="shared" si="4"/>
        <v>大鉄　堺:豊通シュレＢ</v>
      </c>
    </row>
    <row r="631" ht="15.75" customHeight="1">
      <c r="A631" s="335" t="s">
        <v>1830</v>
      </c>
      <c r="B631" s="336">
        <v>45708.0</v>
      </c>
      <c r="C631" s="335" t="s">
        <v>9</v>
      </c>
      <c r="D631" s="335" t="s">
        <v>47</v>
      </c>
      <c r="E631" s="337" t="str">
        <f t="shared" si="1"/>
        <v>大鉄　堺:豊通</v>
      </c>
      <c r="F631" s="338" t="s">
        <v>130</v>
      </c>
      <c r="G631" s="339" t="str">
        <f t="shared" si="2"/>
        <v>大鉄　堺:豊通新断Ａ</v>
      </c>
      <c r="H631" s="340">
        <f t="shared" si="3"/>
        <v>27.7</v>
      </c>
      <c r="I631" s="335">
        <v>1.5</v>
      </c>
      <c r="J631" s="332">
        <f>IFERROR(__xludf.DUMMYFUNCTION("IF(IF(COUNTIF(P$2:P630, P631)=0, """", INDEX(H$2:H630,
MAX(FILTER(ROW(H$2:H630) - ROW(H$2) + 1, P$2:P630 = P631))))=""単価"","""",
IF(COUNTIF(P$2:P630, P631)=0, """", INDEX(H$2:H630,
MAX(FILTER(ROW(H$2:H630) - ROW(H$2) + 1, P$2:P630 = P631)))))"),26.2)</f>
        <v>26.2</v>
      </c>
      <c r="N631" s="335" t="str">
        <f>IF(MAXIFS('単価履歴'!$O:$O,'単価履歴'!$E:$E,E631,'単価履歴'!$F:$F,F631)=O631,"●","")</f>
        <v/>
      </c>
      <c r="O631" s="346">
        <v>45708.27049768518</v>
      </c>
      <c r="P631" s="334" t="str">
        <f t="shared" si="4"/>
        <v>大鉄　堺:豊通新断Ａ</v>
      </c>
    </row>
    <row r="632" ht="15.75" customHeight="1">
      <c r="A632" s="335" t="s">
        <v>1831</v>
      </c>
      <c r="B632" s="336">
        <v>45708.0</v>
      </c>
      <c r="C632" s="335" t="s">
        <v>9</v>
      </c>
      <c r="D632" s="335" t="s">
        <v>47</v>
      </c>
      <c r="E632" s="337" t="str">
        <f t="shared" si="1"/>
        <v>大鉄　堺:豊通</v>
      </c>
      <c r="F632" s="338" t="s">
        <v>131</v>
      </c>
      <c r="G632" s="339" t="str">
        <f t="shared" si="2"/>
        <v>大鉄　堺:豊通新断Ｂ</v>
      </c>
      <c r="H632" s="340">
        <f t="shared" si="3"/>
        <v>27.2</v>
      </c>
      <c r="I632" s="335">
        <v>1.5</v>
      </c>
      <c r="J632" s="332">
        <f>IFERROR(__xludf.DUMMYFUNCTION("IF(IF(COUNTIF(P$2:P631, P632)=0, """", INDEX(H$2:H631,
MAX(FILTER(ROW(H$2:H631) - ROW(H$2) + 1, P$2:P631 = P632))))=""単価"","""",
IF(COUNTIF(P$2:P631, P632)=0, """", INDEX(H$2:H631,
MAX(FILTER(ROW(H$2:H631) - ROW(H$2) + 1, P$2:P631 = P632)))))"),25.7)</f>
        <v>25.7</v>
      </c>
      <c r="N632" s="335" t="str">
        <f>IF(MAXIFS('単価履歴'!$O:$O,'単価履歴'!$E:$E,E632,'単価履歴'!$F:$F,F632)=O632,"●","")</f>
        <v/>
      </c>
      <c r="O632" s="346">
        <v>45708.27049768518</v>
      </c>
      <c r="P632" s="334" t="str">
        <f t="shared" si="4"/>
        <v>大鉄　堺:豊通新断Ｂ</v>
      </c>
    </row>
    <row r="633" ht="15.75" customHeight="1">
      <c r="A633" s="335" t="s">
        <v>1832</v>
      </c>
      <c r="B633" s="336">
        <v>45708.0</v>
      </c>
      <c r="C633" s="335" t="s">
        <v>9</v>
      </c>
      <c r="D633" s="335" t="s">
        <v>47</v>
      </c>
      <c r="E633" s="337" t="str">
        <f t="shared" si="1"/>
        <v>大鉄　堺:豊通</v>
      </c>
      <c r="F633" s="338" t="s">
        <v>575</v>
      </c>
      <c r="G633" s="339" t="str">
        <f t="shared" si="2"/>
        <v>大鉄　堺:豊通鋼ダライＡ</v>
      </c>
      <c r="H633" s="340">
        <f t="shared" si="3"/>
        <v>29.7</v>
      </c>
      <c r="I633" s="335">
        <v>1.0</v>
      </c>
      <c r="J633" s="332">
        <f>IFERROR(__xludf.DUMMYFUNCTION("IF(IF(COUNTIF(P$2:P632, P633)=0, """", INDEX(H$2:H632,
MAX(FILTER(ROW(H$2:H632) - ROW(H$2) + 1, P$2:P632 = P633))))=""単価"","""",
IF(COUNTIF(P$2:P632, P633)=0, """", INDEX(H$2:H632,
MAX(FILTER(ROW(H$2:H632) - ROW(H$2) + 1, P$2:P632 = P633)))))"),28.7)</f>
        <v>28.7</v>
      </c>
      <c r="N633" s="335" t="str">
        <f>IF(MAXIFS('単価履歴'!$O:$O,'単価履歴'!$E:$E,E633,'単価履歴'!$F:$F,F633)=O633,"●","")</f>
        <v/>
      </c>
      <c r="O633" s="346">
        <v>45708.27049768518</v>
      </c>
      <c r="P633" s="334" t="str">
        <f t="shared" si="4"/>
        <v>大鉄　堺:豊通鋼ダライＡ</v>
      </c>
    </row>
    <row r="634" ht="15.75" customHeight="1">
      <c r="A634" s="335" t="s">
        <v>1833</v>
      </c>
      <c r="B634" s="336">
        <v>45708.0</v>
      </c>
      <c r="C634" s="335" t="s">
        <v>9</v>
      </c>
      <c r="D634" s="335" t="s">
        <v>50</v>
      </c>
      <c r="E634" s="337" t="str">
        <f t="shared" si="1"/>
        <v>大鉄　堺:産振</v>
      </c>
      <c r="F634" s="338" t="s">
        <v>111</v>
      </c>
      <c r="G634" s="339" t="str">
        <f t="shared" si="2"/>
        <v>大鉄　堺:産振Ｈ１(特A)</v>
      </c>
      <c r="H634" s="340">
        <f t="shared" si="3"/>
        <v>44.7</v>
      </c>
      <c r="I634" s="335">
        <v>1.0</v>
      </c>
      <c r="J634" s="332">
        <f>IFERROR(__xludf.DUMMYFUNCTION("IF(IF(COUNTIF(P$2:P633, P634)=0, """", INDEX(H$2:H633,
MAX(FILTER(ROW(H$2:H633) - ROW(H$2) + 1, P$2:P633 = P634))))=""単価"","""",
IF(COUNTIF(P$2:P633, P634)=0, """", INDEX(H$2:H633,
MAX(FILTER(ROW(H$2:H633) - ROW(H$2) + 1, P$2:P633 = P634)))))"),43.7)</f>
        <v>43.7</v>
      </c>
      <c r="N634" s="335" t="str">
        <f>IF(MAXIFS('単価履歴'!$O:$O,'単価履歴'!$E:$E,E634,'単価履歴'!$F:$F,F634)=O634,"●","")</f>
        <v/>
      </c>
      <c r="O634" s="346">
        <v>45708.27049768518</v>
      </c>
      <c r="P634" s="334" t="str">
        <f t="shared" si="4"/>
        <v>大鉄　堺:産振Ｈ１(特A)</v>
      </c>
    </row>
    <row r="635" ht="15.75" customHeight="1">
      <c r="A635" s="335" t="s">
        <v>1834</v>
      </c>
      <c r="B635" s="336">
        <v>45708.0</v>
      </c>
      <c r="C635" s="335" t="s">
        <v>9</v>
      </c>
      <c r="D635" s="335" t="s">
        <v>47</v>
      </c>
      <c r="E635" s="337" t="str">
        <f t="shared" si="1"/>
        <v>大鉄　堺:豊通</v>
      </c>
      <c r="F635" s="338" t="s">
        <v>145</v>
      </c>
      <c r="G635" s="339" t="str">
        <f t="shared" si="2"/>
        <v>大鉄　堺:豊通シュレＡ</v>
      </c>
      <c r="H635" s="340">
        <f t="shared" si="3"/>
        <v>31.2</v>
      </c>
      <c r="I635" s="335">
        <v>2.0</v>
      </c>
      <c r="J635" s="332">
        <f>IFERROR(__xludf.DUMMYFUNCTION("IF(IF(COUNTIF(P$2:P634, P635)=0, """", INDEX(H$2:H634,
MAX(FILTER(ROW(H$2:H634) - ROW(H$2) + 1, P$2:P634 = P635))))=""単価"","""",
IF(COUNTIF(P$2:P634, P635)=0, """", INDEX(H$2:H634,
MAX(FILTER(ROW(H$2:H634) - ROW(H$2) + 1, P$2:P634 = P635)))))"),29.2)</f>
        <v>29.2</v>
      </c>
      <c r="N635" s="335" t="str">
        <f>IF(MAXIFS('単価履歴'!$O:$O,'単価履歴'!$E:$E,E635,'単価履歴'!$F:$F,F635)=O635,"●","")</f>
        <v/>
      </c>
      <c r="O635" s="346">
        <v>45708.27049768518</v>
      </c>
      <c r="P635" s="334" t="str">
        <f t="shared" si="4"/>
        <v>大鉄　堺:豊通シュレＡ</v>
      </c>
    </row>
    <row r="636" ht="15.75" customHeight="1">
      <c r="A636" s="335" t="s">
        <v>1835</v>
      </c>
      <c r="B636" s="336">
        <v>45708.0</v>
      </c>
      <c r="C636" s="335" t="s">
        <v>9</v>
      </c>
      <c r="D636" s="335" t="s">
        <v>50</v>
      </c>
      <c r="E636" s="337" t="str">
        <f t="shared" si="1"/>
        <v>大鉄　堺:産振</v>
      </c>
      <c r="F636" s="338" t="s">
        <v>122</v>
      </c>
      <c r="G636" s="339" t="str">
        <f t="shared" si="2"/>
        <v>大鉄　堺:産振Ｌ１(2級)</v>
      </c>
      <c r="H636" s="340">
        <f t="shared" si="3"/>
        <v>40.2</v>
      </c>
      <c r="I636" s="335">
        <v>40.2</v>
      </c>
      <c r="J636" s="332" t="str">
        <f>IFERROR(__xludf.DUMMYFUNCTION("IF(IF(COUNTIF(P$2:P635, P636)=0, """", INDEX(H$2:H635,
MAX(FILTER(ROW(H$2:H635) - ROW(H$2) + 1, P$2:P635 = P636))))=""単価"","""",
IF(COUNTIF(P$2:P635, P636)=0, """", INDEX(H$2:H635,
MAX(FILTER(ROW(H$2:H635) - ROW(H$2) + 1, P$2:P635 = P636)))))"),"")</f>
        <v/>
      </c>
      <c r="N636" s="335" t="str">
        <f>IF(MAXIFS('単価履歴'!$O:$O,'単価履歴'!$E:$E,E636,'単価履歴'!$F:$F,F636)=O636,"●","")</f>
        <v/>
      </c>
      <c r="O636" s="346">
        <v>45708.27049768518</v>
      </c>
      <c r="P636" s="334" t="str">
        <f t="shared" si="4"/>
        <v>大鉄　堺:産振Ｌ１(2級)</v>
      </c>
    </row>
    <row r="637" ht="15.75" customHeight="1">
      <c r="A637" s="335" t="s">
        <v>1836</v>
      </c>
      <c r="B637" s="336">
        <v>45708.0</v>
      </c>
      <c r="C637" s="335" t="s">
        <v>9</v>
      </c>
      <c r="D637" s="335" t="s">
        <v>50</v>
      </c>
      <c r="E637" s="337" t="str">
        <f t="shared" si="1"/>
        <v>大鉄　堺:産振</v>
      </c>
      <c r="F637" s="338" t="s">
        <v>130</v>
      </c>
      <c r="G637" s="339" t="str">
        <f t="shared" si="2"/>
        <v>大鉄　堺:産振新断Ａ</v>
      </c>
      <c r="H637" s="340">
        <f t="shared" si="3"/>
        <v>43.2</v>
      </c>
      <c r="I637" s="335">
        <v>43.2</v>
      </c>
      <c r="J637" s="332" t="str">
        <f>IFERROR(__xludf.DUMMYFUNCTION("IF(IF(COUNTIF(P$2:P636, P637)=0, """", INDEX(H$2:H636,
MAX(FILTER(ROW(H$2:H636) - ROW(H$2) + 1, P$2:P636 = P637))))=""単価"","""",
IF(COUNTIF(P$2:P636, P637)=0, """", INDEX(H$2:H636,
MAX(FILTER(ROW(H$2:H636) - ROW(H$2) + 1, P$2:P636 = P637)))))"),"")</f>
        <v/>
      </c>
      <c r="N637" s="335" t="str">
        <f>IF(MAXIFS('単価履歴'!$O:$O,'単価履歴'!$E:$E,E637,'単価履歴'!$F:$F,F637)=O637,"●","")</f>
        <v/>
      </c>
      <c r="O637" s="346">
        <v>45708.27049768518</v>
      </c>
      <c r="P637" s="334" t="str">
        <f t="shared" si="4"/>
        <v>大鉄　堺:産振新断Ａ</v>
      </c>
    </row>
    <row r="638" ht="15.75" customHeight="1">
      <c r="A638" s="335" t="s">
        <v>1837</v>
      </c>
      <c r="B638" s="336">
        <v>45708.0</v>
      </c>
      <c r="C638" s="335" t="s">
        <v>9</v>
      </c>
      <c r="D638" s="335" t="s">
        <v>50</v>
      </c>
      <c r="E638" s="337" t="str">
        <f t="shared" si="1"/>
        <v>大鉄　堺:産振</v>
      </c>
      <c r="F638" s="338" t="s">
        <v>119</v>
      </c>
      <c r="G638" s="339" t="str">
        <f t="shared" si="2"/>
        <v>大鉄　堺:産振Ｈ３(1級)</v>
      </c>
      <c r="H638" s="340">
        <f t="shared" si="3"/>
        <v>41.2</v>
      </c>
      <c r="I638" s="335">
        <v>41.2</v>
      </c>
      <c r="J638" s="332" t="str">
        <f>IFERROR(__xludf.DUMMYFUNCTION("IF(IF(COUNTIF(P$2:P637, P638)=0, """", INDEX(H$2:H637,
MAX(FILTER(ROW(H$2:H637) - ROW(H$2) + 1, P$2:P637 = P638))))=""単価"","""",
IF(COUNTIF(P$2:P637, P638)=0, """", INDEX(H$2:H637,
MAX(FILTER(ROW(H$2:H637) - ROW(H$2) + 1, P$2:P637 = P638)))))"),"")</f>
        <v/>
      </c>
      <c r="N638" s="335" t="str">
        <f>IF(MAXIFS('単価履歴'!$O:$O,'単価履歴'!$E:$E,E638,'単価履歴'!$F:$F,F638)=O638,"●","")</f>
        <v/>
      </c>
      <c r="O638" s="346">
        <v>45708.27049768518</v>
      </c>
      <c r="P638" s="334" t="str">
        <f t="shared" si="4"/>
        <v>大鉄　堺:産振Ｈ３(1級)</v>
      </c>
    </row>
    <row r="639" ht="15.75" customHeight="1">
      <c r="A639" s="335" t="s">
        <v>1838</v>
      </c>
      <c r="B639" s="336">
        <v>45708.0</v>
      </c>
      <c r="C639" s="335" t="s">
        <v>9</v>
      </c>
      <c r="D639" s="335" t="s">
        <v>50</v>
      </c>
      <c r="E639" s="337" t="str">
        <f t="shared" si="1"/>
        <v>大鉄　堺:産振</v>
      </c>
      <c r="F639" s="338" t="s">
        <v>131</v>
      </c>
      <c r="G639" s="339" t="str">
        <f t="shared" si="2"/>
        <v>大鉄　堺:産振新断Ｂ</v>
      </c>
      <c r="H639" s="340">
        <f t="shared" si="3"/>
        <v>42.7</v>
      </c>
      <c r="I639" s="335">
        <v>42.7</v>
      </c>
      <c r="J639" s="332" t="str">
        <f>IFERROR(__xludf.DUMMYFUNCTION("IF(IF(COUNTIF(P$2:P638, P639)=0, """", INDEX(H$2:H638,
MAX(FILTER(ROW(H$2:H638) - ROW(H$2) + 1, P$2:P638 = P639))))=""単価"","""",
IF(COUNTIF(P$2:P638, P639)=0, """", INDEX(H$2:H638,
MAX(FILTER(ROW(H$2:H638) - ROW(H$2) + 1, P$2:P638 = P639)))))"),"")</f>
        <v/>
      </c>
      <c r="N639" s="335" t="str">
        <f>IF(MAXIFS('単価履歴'!$O:$O,'単価履歴'!$E:$E,E639,'単価履歴'!$F:$F,F639)=O639,"●","")</f>
        <v/>
      </c>
      <c r="O639" s="346">
        <v>45708.27049768518</v>
      </c>
      <c r="P639" s="334" t="str">
        <f t="shared" si="4"/>
        <v>大鉄　堺:産振新断Ｂ</v>
      </c>
    </row>
    <row r="640" ht="15.75" customHeight="1">
      <c r="A640" s="335" t="s">
        <v>1839</v>
      </c>
      <c r="B640" s="336">
        <v>45708.0</v>
      </c>
      <c r="C640" s="335" t="s">
        <v>9</v>
      </c>
      <c r="D640" s="335" t="s">
        <v>47</v>
      </c>
      <c r="E640" s="337" t="str">
        <f t="shared" si="1"/>
        <v>大鉄　堺:豊通</v>
      </c>
      <c r="F640" s="338" t="s">
        <v>151</v>
      </c>
      <c r="G640" s="339" t="str">
        <f t="shared" si="2"/>
        <v>大鉄　堺:豊通シュレＣ</v>
      </c>
      <c r="H640" s="340">
        <f t="shared" si="3"/>
        <v>29.1</v>
      </c>
      <c r="I640" s="335">
        <v>2.0</v>
      </c>
      <c r="J640" s="332">
        <f>IFERROR(__xludf.DUMMYFUNCTION("IF(IF(COUNTIF(P$2:P639, P640)=0, """", INDEX(H$2:H639,
MAX(FILTER(ROW(H$2:H639) - ROW(H$2) + 1, P$2:P639 = P640))))=""単価"","""",
IF(COUNTIF(P$2:P639, P640)=0, """", INDEX(H$2:H639,
MAX(FILTER(ROW(H$2:H639) - ROW(H$2) + 1, P$2:P639 = P640)))))"),27.1)</f>
        <v>27.1</v>
      </c>
      <c r="N640" s="335" t="str">
        <f>IF(MAXIFS('単価履歴'!$O:$O,'単価履歴'!$E:$E,E640,'単価履歴'!$F:$F,F640)=O640,"●","")</f>
        <v/>
      </c>
      <c r="O640" s="346">
        <v>45708.27049768518</v>
      </c>
      <c r="P640" s="334" t="str">
        <f t="shared" si="4"/>
        <v>大鉄　堺:豊通シュレＣ</v>
      </c>
    </row>
    <row r="641" ht="15.75" customHeight="1">
      <c r="A641" s="335" t="s">
        <v>1840</v>
      </c>
      <c r="B641" s="336">
        <v>45708.0</v>
      </c>
      <c r="C641" s="335" t="s">
        <v>9</v>
      </c>
      <c r="D641" s="335" t="s">
        <v>47</v>
      </c>
      <c r="E641" s="337" t="str">
        <f t="shared" si="1"/>
        <v>大鉄　堺:豊通</v>
      </c>
      <c r="F641" s="338" t="s">
        <v>154</v>
      </c>
      <c r="G641" s="339" t="str">
        <f t="shared" si="2"/>
        <v>大鉄　堺:豊通ＣＰ Ａ</v>
      </c>
      <c r="H641" s="340">
        <f t="shared" si="3"/>
        <v>41.7</v>
      </c>
      <c r="I641" s="335">
        <v>5.5</v>
      </c>
      <c r="J641" s="332">
        <f>IFERROR(__xludf.DUMMYFUNCTION("IF(IF(COUNTIF(P$2:P640, P641)=0, """", INDEX(H$2:H640,
MAX(FILTER(ROW(H$2:H640) - ROW(H$2) + 1, P$2:P640 = P641))))=""単価"","""",
IF(COUNTIF(P$2:P640, P641)=0, """", INDEX(H$2:H640,
MAX(FILTER(ROW(H$2:H640) - ROW(H$2) + 1, P$2:P640 = P641)))))"),36.2)</f>
        <v>36.2</v>
      </c>
      <c r="N641" s="335" t="str">
        <f>IF(MAXIFS('単価履歴'!$O:$O,'単価履歴'!$E:$E,E641,'単価履歴'!$F:$F,F641)=O641,"●","")</f>
        <v/>
      </c>
      <c r="O641" s="346">
        <v>45708.27049768518</v>
      </c>
      <c r="P641" s="334" t="str">
        <f t="shared" si="4"/>
        <v>大鉄　堺:豊通ＣＰ Ａ</v>
      </c>
    </row>
    <row r="642" ht="15.75" customHeight="1">
      <c r="A642" s="335" t="s">
        <v>1841</v>
      </c>
      <c r="B642" s="336">
        <v>45708.0</v>
      </c>
      <c r="C642" s="335" t="s">
        <v>9</v>
      </c>
      <c r="D642" s="335" t="s">
        <v>47</v>
      </c>
      <c r="E642" s="337" t="str">
        <f t="shared" si="1"/>
        <v>大鉄　堺:豊通</v>
      </c>
      <c r="F642" s="338" t="s">
        <v>156</v>
      </c>
      <c r="G642" s="339" t="str">
        <f t="shared" si="2"/>
        <v>大鉄　堺:豊通ＣＰ Ｂ一斗缶</v>
      </c>
      <c r="H642" s="340">
        <f t="shared" si="3"/>
        <v>35.2</v>
      </c>
      <c r="I642" s="335">
        <v>1.5</v>
      </c>
      <c r="J642" s="332">
        <f>IFERROR(__xludf.DUMMYFUNCTION("IF(IF(COUNTIF(P$2:P641, P642)=0, """", INDEX(H$2:H641,
MAX(FILTER(ROW(H$2:H641) - ROW(H$2) + 1, P$2:P641 = P642))))=""単価"","""",
IF(COUNTIF(P$2:P641, P642)=0, """", INDEX(H$2:H641,
MAX(FILTER(ROW(H$2:H641) - ROW(H$2) + 1, P$2:P641 = P642)))))"),33.7)</f>
        <v>33.7</v>
      </c>
      <c r="N642" s="335" t="str">
        <f>IF(MAXIFS('単価履歴'!$O:$O,'単価履歴'!$E:$E,E642,'単価履歴'!$F:$F,F642)=O642,"●","")</f>
        <v/>
      </c>
      <c r="O642" s="346">
        <v>45708.27049768518</v>
      </c>
      <c r="P642" s="334" t="str">
        <f t="shared" si="4"/>
        <v>大鉄　堺:豊通ＣＰ Ｂ一斗缶</v>
      </c>
    </row>
    <row r="643" ht="15.75" customHeight="1">
      <c r="A643" s="335" t="s">
        <v>1842</v>
      </c>
      <c r="B643" s="336">
        <v>45708.0</v>
      </c>
      <c r="C643" s="335" t="s">
        <v>9</v>
      </c>
      <c r="D643" s="335" t="s">
        <v>50</v>
      </c>
      <c r="E643" s="337" t="str">
        <f t="shared" si="1"/>
        <v>大鉄　堺:産振</v>
      </c>
      <c r="F643" s="338" t="s">
        <v>575</v>
      </c>
      <c r="G643" s="339" t="str">
        <f t="shared" si="2"/>
        <v>大鉄　堺:産振鋼ダライＡ</v>
      </c>
      <c r="H643" s="340">
        <f t="shared" si="3"/>
        <v>37.7</v>
      </c>
      <c r="I643" s="335">
        <v>37.7</v>
      </c>
      <c r="J643" s="332" t="str">
        <f>IFERROR(__xludf.DUMMYFUNCTION("IF(IF(COUNTIF(P$2:P642, P643)=0, """", INDEX(H$2:H642,
MAX(FILTER(ROW(H$2:H642) - ROW(H$2) + 1, P$2:P642 = P643))))=""単価"","""",
IF(COUNTIF(P$2:P642, P643)=0, """", INDEX(H$2:H642,
MAX(FILTER(ROW(H$2:H642) - ROW(H$2) + 1, P$2:P642 = P643)))))"),"")</f>
        <v/>
      </c>
      <c r="N643" s="335" t="str">
        <f>IF(MAXIFS('単価履歴'!$O:$O,'単価履歴'!$E:$E,E643,'単価履歴'!$F:$F,F643)=O643,"●","")</f>
        <v/>
      </c>
      <c r="O643" s="346">
        <v>45708.27049768518</v>
      </c>
      <c r="P643" s="334" t="str">
        <f t="shared" si="4"/>
        <v>大鉄　堺:産振鋼ダライＡ</v>
      </c>
    </row>
    <row r="644" ht="15.75" customHeight="1">
      <c r="A644" s="335" t="s">
        <v>1843</v>
      </c>
      <c r="B644" s="336">
        <v>45708.0</v>
      </c>
      <c r="C644" s="335" t="s">
        <v>9</v>
      </c>
      <c r="D644" s="335" t="s">
        <v>50</v>
      </c>
      <c r="E644" s="337" t="str">
        <f t="shared" si="1"/>
        <v>大鉄　堺:産振</v>
      </c>
      <c r="F644" s="338" t="s">
        <v>116</v>
      </c>
      <c r="G644" s="339" t="str">
        <f t="shared" si="2"/>
        <v>大鉄　堺:産振Ｈ２(特級)</v>
      </c>
      <c r="H644" s="340">
        <f t="shared" si="3"/>
        <v>41.7</v>
      </c>
      <c r="I644" s="335">
        <v>1.5</v>
      </c>
      <c r="J644" s="332">
        <f>IFERROR(__xludf.DUMMYFUNCTION("IF(IF(COUNTIF(P$2:P643, P644)=0, """", INDEX(H$2:H643,
MAX(FILTER(ROW(H$2:H643) - ROW(H$2) + 1, P$2:P643 = P644))))=""単価"","""",
IF(COUNTIF(P$2:P643, P644)=0, """", INDEX(H$2:H643,
MAX(FILTER(ROW(H$2:H643) - ROW(H$2) + 1, P$2:P643 = P644)))))"),40.2)</f>
        <v>40.2</v>
      </c>
      <c r="N644" s="335" t="str">
        <f>IF(MAXIFS('単価履歴'!$O:$O,'単価履歴'!$E:$E,E644,'単価履歴'!$F:$F,F644)=O644,"●","")</f>
        <v/>
      </c>
      <c r="O644" s="346">
        <v>45708.27049768518</v>
      </c>
      <c r="P644" s="334" t="str">
        <f t="shared" si="4"/>
        <v>大鉄　堺:産振Ｈ２(特級)</v>
      </c>
    </row>
    <row r="645" ht="15.75" customHeight="1">
      <c r="A645" s="335" t="s">
        <v>1844</v>
      </c>
      <c r="B645" s="336">
        <v>45708.0</v>
      </c>
      <c r="C645" s="335" t="s">
        <v>9</v>
      </c>
      <c r="D645" s="335" t="s">
        <v>49</v>
      </c>
      <c r="E645" s="337" t="str">
        <f t="shared" si="1"/>
        <v>大鉄　堺:伊藤忠</v>
      </c>
      <c r="F645" s="338" t="s">
        <v>111</v>
      </c>
      <c r="G645" s="339" t="str">
        <f t="shared" si="2"/>
        <v>大鉄　堺:伊藤忠Ｈ１(特A)</v>
      </c>
      <c r="H645" s="340">
        <f t="shared" si="3"/>
        <v>29.8</v>
      </c>
      <c r="I645" s="335">
        <v>1.0</v>
      </c>
      <c r="J645" s="332">
        <f>IFERROR(__xludf.DUMMYFUNCTION("IF(IF(COUNTIF(P$2:P644, P645)=0, """", INDEX(H$2:H644,
MAX(FILTER(ROW(H$2:H644) - ROW(H$2) + 1, P$2:P644 = P645))))=""単価"","""",
IF(COUNTIF(P$2:P644, P645)=0, """", INDEX(H$2:H644,
MAX(FILTER(ROW(H$2:H644) - ROW(H$2) + 1, P$2:P644 = P645)))))"),28.8)</f>
        <v>28.8</v>
      </c>
      <c r="N645" s="335" t="str">
        <f>IF(MAXIFS('単価履歴'!$O:$O,'単価履歴'!$E:$E,E645,'単価履歴'!$F:$F,F645)=O645,"●","")</f>
        <v/>
      </c>
      <c r="O645" s="346">
        <v>45708.27049768518</v>
      </c>
      <c r="P645" s="334" t="str">
        <f t="shared" si="4"/>
        <v>大鉄　堺:伊藤忠Ｈ１(特A)</v>
      </c>
    </row>
    <row r="646" ht="15.75" customHeight="1">
      <c r="A646" s="335" t="s">
        <v>1845</v>
      </c>
      <c r="B646" s="336">
        <v>45708.0</v>
      </c>
      <c r="C646" s="335" t="s">
        <v>9</v>
      </c>
      <c r="D646" s="335" t="s">
        <v>50</v>
      </c>
      <c r="E646" s="337" t="str">
        <f t="shared" si="1"/>
        <v>大鉄　堺:産振</v>
      </c>
      <c r="F646" s="338" t="s">
        <v>154</v>
      </c>
      <c r="G646" s="339" t="str">
        <f t="shared" si="2"/>
        <v>大鉄　堺:産振ＣＰ Ａ</v>
      </c>
      <c r="H646" s="340">
        <f t="shared" si="3"/>
        <v>47.2</v>
      </c>
      <c r="I646" s="335">
        <v>4.5</v>
      </c>
      <c r="J646" s="332">
        <f>IFERROR(__xludf.DUMMYFUNCTION("IF(IF(COUNTIF(P$2:P645, P646)=0, """", INDEX(H$2:H645,
MAX(FILTER(ROW(H$2:H645) - ROW(H$2) + 1, P$2:P645 = P646))))=""単価"","""",
IF(COUNTIF(P$2:P645, P646)=0, """", INDEX(H$2:H645,
MAX(FILTER(ROW(H$2:H645) - ROW(H$2) + 1, P$2:P645 = P646)))))"),42.7)</f>
        <v>42.7</v>
      </c>
      <c r="N646" s="335" t="str">
        <f>IF(MAXIFS('単価履歴'!$O:$O,'単価履歴'!$E:$E,E646,'単価履歴'!$F:$F,F646)=O646,"●","")</f>
        <v/>
      </c>
      <c r="O646" s="346">
        <v>45708.27049768518</v>
      </c>
      <c r="P646" s="334" t="str">
        <f t="shared" si="4"/>
        <v>大鉄　堺:産振ＣＰ Ａ</v>
      </c>
    </row>
    <row r="647" ht="15.75" customHeight="1">
      <c r="A647" s="335" t="s">
        <v>1846</v>
      </c>
      <c r="B647" s="336">
        <v>45708.0</v>
      </c>
      <c r="C647" s="335" t="s">
        <v>9</v>
      </c>
      <c r="D647" s="335" t="s">
        <v>50</v>
      </c>
      <c r="E647" s="337" t="str">
        <f t="shared" si="1"/>
        <v>大鉄　堺:産振</v>
      </c>
      <c r="F647" s="338" t="s">
        <v>156</v>
      </c>
      <c r="G647" s="339" t="str">
        <f t="shared" si="2"/>
        <v>大鉄　堺:産振ＣＰ Ｂ一斗缶</v>
      </c>
      <c r="H647" s="340">
        <f t="shared" si="3"/>
        <v>38</v>
      </c>
      <c r="I647" s="335">
        <v>1.5</v>
      </c>
      <c r="J647" s="332">
        <f>IFERROR(__xludf.DUMMYFUNCTION("IF(IF(COUNTIF(P$2:P646, P647)=0, """", INDEX(H$2:H646,
MAX(FILTER(ROW(H$2:H646) - ROW(H$2) + 1, P$2:P646 = P647))))=""単価"","""",
IF(COUNTIF(P$2:P646, P647)=0, """", INDEX(H$2:H646,
MAX(FILTER(ROW(H$2:H646) - ROW(H$2) + 1, P$2:P646 = P647)))))"),36.5)</f>
        <v>36.5</v>
      </c>
      <c r="N647" s="335" t="str">
        <f>IF(MAXIFS('単価履歴'!$O:$O,'単価履歴'!$E:$E,E647,'単価履歴'!$F:$F,F647)=O647,"●","")</f>
        <v/>
      </c>
      <c r="O647" s="346">
        <v>45708.27049768518</v>
      </c>
      <c r="P647" s="334" t="str">
        <f t="shared" si="4"/>
        <v>大鉄　堺:産振ＣＰ Ｂ一斗缶</v>
      </c>
    </row>
    <row r="648" ht="15.75" customHeight="1">
      <c r="A648" s="335" t="s">
        <v>1847</v>
      </c>
      <c r="B648" s="336">
        <v>45708.0</v>
      </c>
      <c r="C648" s="335" t="s">
        <v>9</v>
      </c>
      <c r="D648" s="335" t="s">
        <v>49</v>
      </c>
      <c r="E648" s="337" t="str">
        <f t="shared" si="1"/>
        <v>大鉄　堺:伊藤忠</v>
      </c>
      <c r="F648" s="338" t="s">
        <v>116</v>
      </c>
      <c r="G648" s="339" t="str">
        <f t="shared" si="2"/>
        <v>大鉄　堺:伊藤忠Ｈ２(特級)</v>
      </c>
      <c r="H648" s="340">
        <f t="shared" si="3"/>
        <v>35</v>
      </c>
      <c r="I648" s="335">
        <v>1.5</v>
      </c>
      <c r="J648" s="332">
        <f>IFERROR(__xludf.DUMMYFUNCTION("IF(IF(COUNTIF(P$2:P647, P648)=0, """", INDEX(H$2:H647,
MAX(FILTER(ROW(H$2:H647) - ROW(H$2) + 1, P$2:P647 = P648))))=""単価"","""",
IF(COUNTIF(P$2:P647, P648)=0, """", INDEX(H$2:H647,
MAX(FILTER(ROW(H$2:H647) - ROW(H$2) + 1, P$2:P647 = P648)))))"),33.5)</f>
        <v>33.5</v>
      </c>
      <c r="N648" s="335" t="str">
        <f>IF(MAXIFS('単価履歴'!$O:$O,'単価履歴'!$E:$E,E648,'単価履歴'!$F:$F,F648)=O648,"●","")</f>
        <v/>
      </c>
      <c r="O648" s="346">
        <v>45708.27049768518</v>
      </c>
      <c r="P648" s="334" t="str">
        <f t="shared" si="4"/>
        <v>大鉄　堺:伊藤忠Ｈ２(特級)</v>
      </c>
    </row>
    <row r="649" ht="15.75" customHeight="1">
      <c r="A649" s="335" t="s">
        <v>1848</v>
      </c>
      <c r="B649" s="336">
        <v>45708.0</v>
      </c>
      <c r="C649" s="335" t="s">
        <v>9</v>
      </c>
      <c r="D649" s="335" t="s">
        <v>49</v>
      </c>
      <c r="E649" s="337" t="str">
        <f t="shared" si="1"/>
        <v>大鉄　堺:伊藤忠</v>
      </c>
      <c r="F649" s="338" t="s">
        <v>1237</v>
      </c>
      <c r="G649" s="339" t="str">
        <f t="shared" si="2"/>
        <v>大鉄　堺:伊藤忠ＪＨ１(H2T山口)鍛造ﾊﾞﾘ</v>
      </c>
      <c r="H649" s="340">
        <f t="shared" si="3"/>
        <v>37.2</v>
      </c>
      <c r="I649" s="335">
        <v>1.0</v>
      </c>
      <c r="J649" s="332">
        <f>IFERROR(__xludf.DUMMYFUNCTION("IF(IF(COUNTIF(P$2:P648, P649)=0, """", INDEX(H$2:H648,
MAX(FILTER(ROW(H$2:H648) - ROW(H$2) + 1, P$2:P648 = P649))))=""単価"","""",
IF(COUNTIF(P$2:P648, P649)=0, """", INDEX(H$2:H648,
MAX(FILTER(ROW(H$2:H648) - ROW(H$2) + 1, P$2:P648 = P649)))))"),36.2)</f>
        <v>36.2</v>
      </c>
      <c r="N649" s="335" t="str">
        <f>IF(MAXIFS('単価履歴'!$O:$O,'単価履歴'!$E:$E,E649,'単価履歴'!$F:$F,F649)=O649,"●","")</f>
        <v/>
      </c>
      <c r="O649" s="346">
        <v>45708.27049768518</v>
      </c>
      <c r="P649" s="334" t="str">
        <f t="shared" si="4"/>
        <v>大鉄　堺:伊藤忠ＪＨ１(H2T山口)鍛造ﾊﾞﾘ</v>
      </c>
    </row>
    <row r="650" ht="15.75" customHeight="1">
      <c r="A650" s="335" t="s">
        <v>1849</v>
      </c>
      <c r="B650" s="336">
        <v>45708.0</v>
      </c>
      <c r="C650" s="335" t="s">
        <v>9</v>
      </c>
      <c r="D650" s="335" t="s">
        <v>49</v>
      </c>
      <c r="E650" s="337" t="str">
        <f t="shared" si="1"/>
        <v>大鉄　堺:伊藤忠</v>
      </c>
      <c r="F650" s="338" t="s">
        <v>119</v>
      </c>
      <c r="G650" s="339" t="str">
        <f t="shared" si="2"/>
        <v>大鉄　堺:伊藤忠Ｈ３(1級)</v>
      </c>
      <c r="H650" s="340">
        <f t="shared" si="3"/>
        <v>34</v>
      </c>
      <c r="I650" s="335">
        <v>1.5</v>
      </c>
      <c r="J650" s="332">
        <f>IFERROR(__xludf.DUMMYFUNCTION("IF(IF(COUNTIF(P$2:P649, P650)=0, """", INDEX(H$2:H649,
MAX(FILTER(ROW(H$2:H649) - ROW(H$2) + 1, P$2:P649 = P650))))=""単価"","""",
IF(COUNTIF(P$2:P649, P650)=0, """", INDEX(H$2:H649,
MAX(FILTER(ROW(H$2:H649) - ROW(H$2) + 1, P$2:P649 = P650)))))"),32.5)</f>
        <v>32.5</v>
      </c>
      <c r="N650" s="335" t="str">
        <f>IF(MAXIFS('単価履歴'!$O:$O,'単価履歴'!$E:$E,E650,'単価履歴'!$F:$F,F650)=O650,"●","")</f>
        <v/>
      </c>
      <c r="O650" s="346">
        <v>45708.27049768518</v>
      </c>
      <c r="P650" s="334" t="str">
        <f t="shared" si="4"/>
        <v>大鉄　堺:伊藤忠Ｈ３(1級)</v>
      </c>
    </row>
    <row r="651" ht="15.75" customHeight="1">
      <c r="A651" s="335" t="s">
        <v>1850</v>
      </c>
      <c r="B651" s="336">
        <v>45708.0</v>
      </c>
      <c r="C651" s="335" t="s">
        <v>9</v>
      </c>
      <c r="D651" s="335" t="s">
        <v>49</v>
      </c>
      <c r="E651" s="337" t="str">
        <f t="shared" si="1"/>
        <v>大鉄　堺:伊藤忠</v>
      </c>
      <c r="F651" s="338" t="s">
        <v>130</v>
      </c>
      <c r="G651" s="339" t="str">
        <f t="shared" si="2"/>
        <v>大鉄　堺:伊藤忠新断Ａ</v>
      </c>
      <c r="H651" s="340">
        <f t="shared" si="3"/>
        <v>29.3</v>
      </c>
      <c r="I651" s="335">
        <v>1.5</v>
      </c>
      <c r="J651" s="332">
        <f>IFERROR(__xludf.DUMMYFUNCTION("IF(IF(COUNTIF(P$2:P650, P651)=0, """", INDEX(H$2:H650,
MAX(FILTER(ROW(H$2:H650) - ROW(H$2) + 1, P$2:P650 = P651))))=""単価"","""",
IF(COUNTIF(P$2:P650, P651)=0, """", INDEX(H$2:H650,
MAX(FILTER(ROW(H$2:H650) - ROW(H$2) + 1, P$2:P650 = P651)))))"),27.8)</f>
        <v>27.8</v>
      </c>
      <c r="N651" s="335" t="str">
        <f>IF(MAXIFS('単価履歴'!$O:$O,'単価履歴'!$E:$E,E651,'単価履歴'!$F:$F,F651)=O651,"●","")</f>
        <v/>
      </c>
      <c r="O651" s="346">
        <v>45708.27049768518</v>
      </c>
      <c r="P651" s="334" t="str">
        <f t="shared" si="4"/>
        <v>大鉄　堺:伊藤忠新断Ａ</v>
      </c>
    </row>
    <row r="652" ht="15.75" customHeight="1">
      <c r="A652" s="335" t="s">
        <v>1851</v>
      </c>
      <c r="B652" s="336">
        <v>45708.0</v>
      </c>
      <c r="C652" s="335" t="s">
        <v>9</v>
      </c>
      <c r="D652" s="335" t="s">
        <v>49</v>
      </c>
      <c r="E652" s="337" t="str">
        <f t="shared" si="1"/>
        <v>大鉄　堺:伊藤忠</v>
      </c>
      <c r="F652" s="338" t="s">
        <v>131</v>
      </c>
      <c r="G652" s="339" t="str">
        <f t="shared" si="2"/>
        <v>大鉄　堺:伊藤忠新断Ｂ</v>
      </c>
      <c r="H652" s="340">
        <f t="shared" si="3"/>
        <v>28.8</v>
      </c>
      <c r="I652" s="335">
        <v>1.5</v>
      </c>
      <c r="J652" s="332">
        <f>IFERROR(__xludf.DUMMYFUNCTION("IF(IF(COUNTIF(P$2:P651, P652)=0, """", INDEX(H$2:H651,
MAX(FILTER(ROW(H$2:H651) - ROW(H$2) + 1, P$2:P651 = P652))))=""単価"","""",
IF(COUNTIF(P$2:P651, P652)=0, """", INDEX(H$2:H651,
MAX(FILTER(ROW(H$2:H651) - ROW(H$2) + 1, P$2:P651 = P652)))))"),27.3)</f>
        <v>27.3</v>
      </c>
      <c r="N652" s="335" t="str">
        <f>IF(MAXIFS('単価履歴'!$O:$O,'単価履歴'!$E:$E,E652,'単価履歴'!$F:$F,F652)=O652,"●","")</f>
        <v/>
      </c>
      <c r="O652" s="346">
        <v>45708.27049768518</v>
      </c>
      <c r="P652" s="334" t="str">
        <f t="shared" si="4"/>
        <v>大鉄　堺:伊藤忠新断Ｂ</v>
      </c>
    </row>
    <row r="653" ht="15.75" customHeight="1">
      <c r="A653" s="335" t="s">
        <v>1852</v>
      </c>
      <c r="B653" s="336">
        <v>45765.0</v>
      </c>
      <c r="C653" s="335" t="s">
        <v>9</v>
      </c>
      <c r="D653" s="335" t="s">
        <v>49</v>
      </c>
      <c r="E653" s="337" t="str">
        <f t="shared" si="1"/>
        <v>大鉄　堺:伊藤忠</v>
      </c>
      <c r="F653" s="338" t="s">
        <v>122</v>
      </c>
      <c r="G653" s="339" t="str">
        <f t="shared" si="2"/>
        <v>大鉄　堺:伊藤忠Ｌ１(2級)</v>
      </c>
      <c r="H653" s="340">
        <f t="shared" si="3"/>
        <v>33</v>
      </c>
      <c r="I653" s="335">
        <v>1.5</v>
      </c>
      <c r="J653" s="332">
        <f>IFERROR(__xludf.DUMMYFUNCTION("IF(IF(COUNTIF(P$2:P652, P653)=0, """", INDEX(H$2:H652,
MAX(FILTER(ROW(H$2:H652) - ROW(H$2) + 1, P$2:P652 = P653))))=""単価"","""",
IF(COUNTIF(P$2:P652, P653)=0, """", INDEX(H$2:H652,
MAX(FILTER(ROW(H$2:H652) - ROW(H$2) + 1, P$2:P652 = P653)))))"),31.5)</f>
        <v>31.5</v>
      </c>
      <c r="N653" s="335" t="str">
        <f>IF(MAXIFS('単価履歴'!$O:$O,'単価履歴'!$E:$E,E653,'単価履歴'!$F:$F,F653)=O653,"●","")</f>
        <v/>
      </c>
      <c r="O653" s="346">
        <v>45708.27049768518</v>
      </c>
      <c r="P653" s="334" t="str">
        <f t="shared" si="4"/>
        <v>大鉄　堺:伊藤忠Ｌ１(2級)</v>
      </c>
    </row>
    <row r="654" ht="15.75" customHeight="1">
      <c r="A654" s="335" t="s">
        <v>1853</v>
      </c>
      <c r="B654" s="336">
        <v>45709.0</v>
      </c>
      <c r="C654" s="335" t="s">
        <v>531</v>
      </c>
      <c r="D654" s="335" t="s">
        <v>77</v>
      </c>
      <c r="E654" s="337" t="str">
        <f t="shared" si="1"/>
        <v>東鐵関西:直納</v>
      </c>
      <c r="F654" s="338" t="s">
        <v>1199</v>
      </c>
      <c r="G654" s="339" t="str">
        <f t="shared" si="2"/>
        <v>東鐵関西:直納ＨＳ１(単体H1/電特A/HS))</v>
      </c>
      <c r="H654" s="340">
        <f t="shared" si="3"/>
        <v>44.5</v>
      </c>
      <c r="I654" s="341">
        <v>1.0</v>
      </c>
      <c r="J654" s="332">
        <f>IFERROR(__xludf.DUMMYFUNCTION("IF(IF(COUNTIF(P$2:P653, P654)=0, """", INDEX(H$2:H653,
MAX(FILTER(ROW(H$2:H653) - ROW(H$2) + 1, P$2:P653 = P654))))=""単価"","""",
IF(COUNTIF(P$2:P653, P654)=0, """", INDEX(H$2:H653,
MAX(FILTER(ROW(H$2:H653) - ROW(H$2) + 1, P$2:P653 = P654)))))"),43.5)</f>
        <v>43.5</v>
      </c>
      <c r="N654" s="335" t="str">
        <f>IF(MAXIFS('単価履歴'!$O:$O,'単価履歴'!$E:$E,E654,'単価履歴'!$F:$F,F654)=O654,"●","")</f>
        <v/>
      </c>
      <c r="O654" s="346">
        <v>45708.68662037037</v>
      </c>
      <c r="P654" s="334" t="str">
        <f t="shared" si="4"/>
        <v>東鐵関西:直納ＨＳ１(単体H1/電特A/HS))</v>
      </c>
    </row>
    <row r="655" ht="15.75" customHeight="1">
      <c r="A655" s="335" t="s">
        <v>1854</v>
      </c>
      <c r="B655" s="336">
        <v>45709.0</v>
      </c>
      <c r="C655" s="335" t="s">
        <v>531</v>
      </c>
      <c r="D655" s="335" t="s">
        <v>77</v>
      </c>
      <c r="E655" s="337" t="str">
        <f t="shared" si="1"/>
        <v>東鐵関西:直納</v>
      </c>
      <c r="F655" s="338" t="s">
        <v>111</v>
      </c>
      <c r="G655" s="339" t="str">
        <f t="shared" si="2"/>
        <v>東鐵関西:直納Ｈ１(特A)</v>
      </c>
      <c r="H655" s="340">
        <f t="shared" si="3"/>
        <v>44</v>
      </c>
      <c r="I655" s="341">
        <v>1.0</v>
      </c>
      <c r="J655" s="332">
        <f>IFERROR(__xludf.DUMMYFUNCTION("IF(IF(COUNTIF(P$2:P654, P655)=0, """", INDEX(H$2:H654,
MAX(FILTER(ROW(H$2:H654) - ROW(H$2) + 1, P$2:P654 = P655))))=""単価"","""",
IF(COUNTIF(P$2:P654, P655)=0, """", INDEX(H$2:H654,
MAX(FILTER(ROW(H$2:H654) - ROW(H$2) + 1, P$2:P654 = P655)))))"),43.0)</f>
        <v>43</v>
      </c>
      <c r="N655" s="335" t="str">
        <f>IF(MAXIFS('単価履歴'!$O:$O,'単価履歴'!$E:$E,E655,'単価履歴'!$F:$F,F655)=O655,"●","")</f>
        <v/>
      </c>
      <c r="O655" s="346">
        <v>45708.68662037037</v>
      </c>
      <c r="P655" s="334" t="str">
        <f t="shared" si="4"/>
        <v>東鐵関西:直納Ｈ１(特A)</v>
      </c>
    </row>
    <row r="656" ht="15.75" customHeight="1">
      <c r="A656" s="335" t="s">
        <v>1855</v>
      </c>
      <c r="B656" s="336">
        <v>45709.0</v>
      </c>
      <c r="C656" s="335" t="s">
        <v>531</v>
      </c>
      <c r="D656" s="335" t="s">
        <v>77</v>
      </c>
      <c r="E656" s="337" t="str">
        <f t="shared" si="1"/>
        <v>東鐵関西:直納</v>
      </c>
      <c r="F656" s="338" t="s">
        <v>116</v>
      </c>
      <c r="G656" s="339" t="str">
        <f t="shared" si="2"/>
        <v>東鐵関西:直納Ｈ２(特級)</v>
      </c>
      <c r="H656" s="340">
        <f t="shared" si="3"/>
        <v>42</v>
      </c>
      <c r="I656" s="341">
        <v>1.0</v>
      </c>
      <c r="J656" s="332">
        <f>IFERROR(__xludf.DUMMYFUNCTION("IF(IF(COUNTIF(P$2:P655, P656)=0, """", INDEX(H$2:H655,
MAX(FILTER(ROW(H$2:H655) - ROW(H$2) + 1, P$2:P655 = P656))))=""単価"","""",
IF(COUNTIF(P$2:P655, P656)=0, """", INDEX(H$2:H655,
MAX(FILTER(ROW(H$2:H655) - ROW(H$2) + 1, P$2:P655 = P656)))))"),41.0)</f>
        <v>41</v>
      </c>
      <c r="N656" s="335" t="str">
        <f>IF(MAXIFS('単価履歴'!$O:$O,'単価履歴'!$E:$E,E656,'単価履歴'!$F:$F,F656)=O656,"●","")</f>
        <v/>
      </c>
      <c r="O656" s="346">
        <v>45708.68662037037</v>
      </c>
      <c r="P656" s="334" t="str">
        <f t="shared" si="4"/>
        <v>東鐵関西:直納Ｈ２(特級)</v>
      </c>
    </row>
    <row r="657" ht="15.75" customHeight="1">
      <c r="A657" s="335" t="s">
        <v>1856</v>
      </c>
      <c r="B657" s="336">
        <v>45709.0</v>
      </c>
      <c r="C657" s="335" t="s">
        <v>531</v>
      </c>
      <c r="D657" s="335" t="s">
        <v>77</v>
      </c>
      <c r="E657" s="337" t="str">
        <f t="shared" si="1"/>
        <v>東鐵関西:直納</v>
      </c>
      <c r="F657" s="338" t="s">
        <v>119</v>
      </c>
      <c r="G657" s="339" t="str">
        <f t="shared" si="2"/>
        <v>東鐵関西:直納Ｈ３(1級)</v>
      </c>
      <c r="H657" s="340">
        <f t="shared" si="3"/>
        <v>42</v>
      </c>
      <c r="I657" s="341">
        <v>1.0</v>
      </c>
      <c r="J657" s="332">
        <f>IFERROR(__xludf.DUMMYFUNCTION("IF(IF(COUNTIF(P$2:P656, P657)=0, """", INDEX(H$2:H656,
MAX(FILTER(ROW(H$2:H656) - ROW(H$2) + 1, P$2:P656 = P657))))=""単価"","""",
IF(COUNTIF(P$2:P656, P657)=0, """", INDEX(H$2:H656,
MAX(FILTER(ROW(H$2:H656) - ROW(H$2) + 1, P$2:P656 = P657)))))"),41.0)</f>
        <v>41</v>
      </c>
      <c r="N657" s="335" t="str">
        <f>IF(MAXIFS('単価履歴'!$O:$O,'単価履歴'!$E:$E,E657,'単価履歴'!$F:$F,F657)=O657,"●","")</f>
        <v/>
      </c>
      <c r="O657" s="346">
        <v>45708.68662037037</v>
      </c>
      <c r="P657" s="334" t="str">
        <f t="shared" si="4"/>
        <v>東鐵関西:直納Ｈ３(1級)</v>
      </c>
    </row>
    <row r="658" ht="15.75" customHeight="1">
      <c r="A658" s="335" t="s">
        <v>1857</v>
      </c>
      <c r="B658" s="336">
        <v>45709.0</v>
      </c>
      <c r="C658" s="335" t="s">
        <v>531</v>
      </c>
      <c r="D658" s="335" t="s">
        <v>77</v>
      </c>
      <c r="E658" s="337" t="str">
        <f t="shared" si="1"/>
        <v>東鐵関西:直納</v>
      </c>
      <c r="F658" s="338" t="s">
        <v>122</v>
      </c>
      <c r="G658" s="339" t="str">
        <f t="shared" si="2"/>
        <v>東鐵関西:直納Ｌ１(2級)</v>
      </c>
      <c r="H658" s="340">
        <f t="shared" si="3"/>
        <v>40</v>
      </c>
      <c r="I658" s="341">
        <v>1.0</v>
      </c>
      <c r="J658" s="332">
        <f>IFERROR(__xludf.DUMMYFUNCTION("IF(IF(COUNTIF(P$2:P657, P658)=0, """", INDEX(H$2:H657,
MAX(FILTER(ROW(H$2:H657) - ROW(H$2) + 1, P$2:P657 = P658))))=""単価"","""",
IF(COUNTIF(P$2:P657, P658)=0, """", INDEX(H$2:H657,
MAX(FILTER(ROW(H$2:H657) - ROW(H$2) + 1, P$2:P657 = P658)))))"),39.0)</f>
        <v>39</v>
      </c>
      <c r="N658" s="335" t="str">
        <f>IF(MAXIFS('単価履歴'!$O:$O,'単価履歴'!$E:$E,E658,'単価履歴'!$F:$F,F658)=O658,"●","")</f>
        <v/>
      </c>
      <c r="O658" s="346">
        <v>45708.68662037037</v>
      </c>
      <c r="P658" s="334" t="str">
        <f t="shared" si="4"/>
        <v>東鐵関西:直納Ｌ１(2級)</v>
      </c>
    </row>
    <row r="659" ht="15.75" customHeight="1">
      <c r="A659" s="335" t="s">
        <v>1858</v>
      </c>
      <c r="B659" s="336">
        <v>45709.0</v>
      </c>
      <c r="C659" s="335" t="s">
        <v>531</v>
      </c>
      <c r="D659" s="335" t="s">
        <v>77</v>
      </c>
      <c r="E659" s="337" t="str">
        <f t="shared" si="1"/>
        <v>東鐵関西:直納</v>
      </c>
      <c r="F659" s="338" t="s">
        <v>573</v>
      </c>
      <c r="G659" s="339" t="str">
        <f t="shared" si="2"/>
        <v>東鐵関西:直納Ｌ２(H4･級外･L1ﾊﾞﾗ)</v>
      </c>
      <c r="H659" s="340">
        <f t="shared" si="3"/>
        <v>37</v>
      </c>
      <c r="I659" s="341">
        <v>1.0</v>
      </c>
      <c r="J659" s="332">
        <f>IFERROR(__xludf.DUMMYFUNCTION("IF(IF(COUNTIF(P$2:P658, P659)=0, """", INDEX(H$2:H658,
MAX(FILTER(ROW(H$2:H658) - ROW(H$2) + 1, P$2:P658 = P659))))=""単価"","""",
IF(COUNTIF(P$2:P658, P659)=0, """", INDEX(H$2:H658,
MAX(FILTER(ROW(H$2:H658) - ROW(H$2) + 1, P$2:P658 = P659)))))"),36.0)</f>
        <v>36</v>
      </c>
      <c r="N659" s="335" t="str">
        <f>IF(MAXIFS('単価履歴'!$O:$O,'単価履歴'!$E:$E,E659,'単価履歴'!$F:$F,F659)=O659,"●","")</f>
        <v/>
      </c>
      <c r="O659" s="346">
        <v>45708.68662037037</v>
      </c>
      <c r="P659" s="334" t="str">
        <f t="shared" si="4"/>
        <v>東鐵関西:直納Ｌ２(H4･級外･L1ﾊﾞﾗ)</v>
      </c>
    </row>
    <row r="660" ht="15.75" customHeight="1">
      <c r="A660" s="335" t="s">
        <v>1859</v>
      </c>
      <c r="B660" s="336">
        <v>45709.0</v>
      </c>
      <c r="C660" s="335" t="s">
        <v>531</v>
      </c>
      <c r="D660" s="335" t="s">
        <v>77</v>
      </c>
      <c r="E660" s="337" t="str">
        <f t="shared" si="1"/>
        <v>東鐵関西:直納</v>
      </c>
      <c r="F660" s="338" t="s">
        <v>145</v>
      </c>
      <c r="G660" s="339" t="str">
        <f t="shared" si="2"/>
        <v>東鐵関西:直納シュレＡ</v>
      </c>
      <c r="H660" s="340">
        <f t="shared" si="3"/>
        <v>44</v>
      </c>
      <c r="I660" s="341">
        <v>1.0</v>
      </c>
      <c r="J660" s="332">
        <f>IFERROR(__xludf.DUMMYFUNCTION("IF(IF(COUNTIF(P$2:P659, P660)=0, """", INDEX(H$2:H659,
MAX(FILTER(ROW(H$2:H659) - ROW(H$2) + 1, P$2:P659 = P660))))=""単価"","""",
IF(COUNTIF(P$2:P659, P660)=0, """", INDEX(H$2:H659,
MAX(FILTER(ROW(H$2:H659) - ROW(H$2) + 1, P$2:P659 = P660)))))"),43.0)</f>
        <v>43</v>
      </c>
      <c r="N660" s="335" t="str">
        <f>IF(MAXIFS('単価履歴'!$O:$O,'単価履歴'!$E:$E,E660,'単価履歴'!$F:$F,F660)=O660,"●","")</f>
        <v/>
      </c>
      <c r="O660" s="346">
        <v>45708.68662037037</v>
      </c>
      <c r="P660" s="334" t="str">
        <f t="shared" si="4"/>
        <v>東鐵関西:直納シュレＡ</v>
      </c>
    </row>
    <row r="661" ht="15.75" customHeight="1">
      <c r="A661" s="335" t="s">
        <v>1860</v>
      </c>
      <c r="B661" s="336">
        <v>45709.0</v>
      </c>
      <c r="C661" s="335" t="s">
        <v>531</v>
      </c>
      <c r="D661" s="335" t="s">
        <v>77</v>
      </c>
      <c r="E661" s="337" t="str">
        <f t="shared" si="1"/>
        <v>東鐵関西:直納</v>
      </c>
      <c r="F661" s="338" t="s">
        <v>151</v>
      </c>
      <c r="G661" s="339" t="str">
        <f t="shared" si="2"/>
        <v>東鐵関西:直納シュレＣ</v>
      </c>
      <c r="H661" s="340">
        <f t="shared" si="3"/>
        <v>43</v>
      </c>
      <c r="I661" s="341">
        <v>1.0</v>
      </c>
      <c r="J661" s="332">
        <f>IFERROR(__xludf.DUMMYFUNCTION("IF(IF(COUNTIF(P$2:P660, P661)=0, """", INDEX(H$2:H660,
MAX(FILTER(ROW(H$2:H660) - ROW(H$2) + 1, P$2:P660 = P661))))=""単価"","""",
IF(COUNTIF(P$2:P660, P661)=0, """", INDEX(H$2:H660,
MAX(FILTER(ROW(H$2:H660) - ROW(H$2) + 1, P$2:P660 = P661)))))"),42.0)</f>
        <v>42</v>
      </c>
      <c r="N661" s="335" t="str">
        <f>IF(MAXIFS('単価履歴'!$O:$O,'単価履歴'!$E:$E,E661,'単価履歴'!$F:$F,F661)=O661,"●","")</f>
        <v/>
      </c>
      <c r="O661" s="346">
        <v>45708.68662037037</v>
      </c>
      <c r="P661" s="334" t="str">
        <f t="shared" si="4"/>
        <v>東鐵関西:直納シュレＣ</v>
      </c>
    </row>
    <row r="662" ht="15.75" customHeight="1">
      <c r="A662" s="335" t="s">
        <v>1861</v>
      </c>
      <c r="B662" s="336">
        <v>45709.0</v>
      </c>
      <c r="C662" s="335" t="s">
        <v>11</v>
      </c>
      <c r="D662" s="335" t="s">
        <v>46</v>
      </c>
      <c r="E662" s="337" t="str">
        <f t="shared" si="1"/>
        <v>ﾔﾏﾄ:阪和</v>
      </c>
      <c r="F662" s="338" t="s">
        <v>116</v>
      </c>
      <c r="G662" s="339" t="str">
        <f t="shared" si="2"/>
        <v>ﾔﾏﾄ:阪和Ｈ２(特級)</v>
      </c>
      <c r="H662" s="340">
        <f t="shared" si="3"/>
        <v>43.6</v>
      </c>
      <c r="I662" s="341">
        <v>1.0</v>
      </c>
      <c r="J662" s="332">
        <f>IFERROR(__xludf.DUMMYFUNCTION("IF(IF(COUNTIF(P$2:P661, P662)=0, """", INDEX(H$2:H661,
MAX(FILTER(ROW(H$2:H661) - ROW(H$2) + 1, P$2:P661 = P662))))=""単価"","""",
IF(COUNTIF(P$2:P661, P662)=0, """", INDEX(H$2:H661,
MAX(FILTER(ROW(H$2:H661) - ROW(H$2) + 1, P$2:P661 = P662)))))"),42.6)</f>
        <v>42.6</v>
      </c>
      <c r="N662" s="335" t="str">
        <f>IF(MAXIFS('単価履歴'!$O:$O,'単価履歴'!$E:$E,E662,'単価履歴'!$F:$F,F662)=O662,"●","")</f>
        <v/>
      </c>
      <c r="O662" s="346">
        <v>45709.26336805556</v>
      </c>
      <c r="P662" s="334" t="str">
        <f t="shared" si="4"/>
        <v>ﾔﾏﾄ:阪和Ｈ２(特級)</v>
      </c>
    </row>
    <row r="663" ht="15.75" customHeight="1">
      <c r="A663" s="335" t="s">
        <v>1862</v>
      </c>
      <c r="B663" s="336">
        <v>45709.0</v>
      </c>
      <c r="C663" s="335" t="s">
        <v>11</v>
      </c>
      <c r="D663" s="335" t="s">
        <v>46</v>
      </c>
      <c r="E663" s="337" t="str">
        <f t="shared" si="1"/>
        <v>ﾔﾏﾄ:阪和</v>
      </c>
      <c r="F663" s="338" t="s">
        <v>119</v>
      </c>
      <c r="G663" s="339" t="str">
        <f t="shared" si="2"/>
        <v>ﾔﾏﾄ:阪和Ｈ３(1級)</v>
      </c>
      <c r="H663" s="340">
        <f t="shared" si="3"/>
        <v>42.6</v>
      </c>
      <c r="I663" s="341">
        <v>1.0</v>
      </c>
      <c r="J663" s="332">
        <f>IFERROR(__xludf.DUMMYFUNCTION("IF(IF(COUNTIF(P$2:P662, P663)=0, """", INDEX(H$2:H662,
MAX(FILTER(ROW(H$2:H662) - ROW(H$2) + 1, P$2:P662 = P663))))=""単価"","""",
IF(COUNTIF(P$2:P662, P663)=0, """", INDEX(H$2:H662,
MAX(FILTER(ROW(H$2:H662) - ROW(H$2) + 1, P$2:P662 = P663)))))"),41.6)</f>
        <v>41.6</v>
      </c>
      <c r="N663" s="335" t="str">
        <f>IF(MAXIFS('単価履歴'!$O:$O,'単価履歴'!$E:$E,E663,'単価履歴'!$F:$F,F663)=O663,"●","")</f>
        <v/>
      </c>
      <c r="O663" s="346">
        <v>45709.26336805556</v>
      </c>
      <c r="P663" s="334" t="str">
        <f t="shared" si="4"/>
        <v>ﾔﾏﾄ:阪和Ｈ３(1級)</v>
      </c>
    </row>
    <row r="664" ht="15.75" customHeight="1">
      <c r="A664" s="335" t="s">
        <v>1863</v>
      </c>
      <c r="B664" s="336">
        <v>45709.0</v>
      </c>
      <c r="C664" s="335" t="s">
        <v>11</v>
      </c>
      <c r="D664" s="335" t="s">
        <v>46</v>
      </c>
      <c r="E664" s="337" t="str">
        <f t="shared" si="1"/>
        <v>ﾔﾏﾄ:阪和</v>
      </c>
      <c r="F664" s="338" t="s">
        <v>122</v>
      </c>
      <c r="G664" s="339" t="str">
        <f t="shared" si="2"/>
        <v>ﾔﾏﾄ:阪和Ｌ１(2級)</v>
      </c>
      <c r="H664" s="340">
        <f t="shared" si="3"/>
        <v>40.6</v>
      </c>
      <c r="I664" s="341">
        <v>1.0</v>
      </c>
      <c r="J664" s="332">
        <f>IFERROR(__xludf.DUMMYFUNCTION("IF(IF(COUNTIF(P$2:P663, P664)=0, """", INDEX(H$2:H663,
MAX(FILTER(ROW(H$2:H663) - ROW(H$2) + 1, P$2:P663 = P664))))=""単価"","""",
IF(COUNTIF(P$2:P663, P664)=0, """", INDEX(H$2:H663,
MAX(FILTER(ROW(H$2:H663) - ROW(H$2) + 1, P$2:P663 = P664)))))"),39.6)</f>
        <v>39.6</v>
      </c>
      <c r="N664" s="335" t="str">
        <f>IF(MAXIFS('単価履歴'!$O:$O,'単価履歴'!$E:$E,E664,'単価履歴'!$F:$F,F664)=O664,"●","")</f>
        <v/>
      </c>
      <c r="O664" s="346">
        <v>45709.26336805556</v>
      </c>
      <c r="P664" s="334" t="str">
        <f t="shared" si="4"/>
        <v>ﾔﾏﾄ:阪和Ｌ１(2級)</v>
      </c>
    </row>
    <row r="665" ht="15.75" customHeight="1">
      <c r="A665" s="335" t="s">
        <v>1864</v>
      </c>
      <c r="B665" s="336">
        <v>45709.0</v>
      </c>
      <c r="C665" s="335" t="s">
        <v>11</v>
      </c>
      <c r="D665" s="335" t="s">
        <v>46</v>
      </c>
      <c r="E665" s="337" t="str">
        <f t="shared" si="1"/>
        <v>ﾔﾏﾄ:阪和</v>
      </c>
      <c r="F665" s="338" t="s">
        <v>111</v>
      </c>
      <c r="G665" s="339" t="str">
        <f t="shared" si="2"/>
        <v>ﾔﾏﾄ:阪和Ｈ１(特A)</v>
      </c>
      <c r="H665" s="340">
        <f t="shared" si="3"/>
        <v>44.6</v>
      </c>
      <c r="I665" s="341">
        <v>1.0</v>
      </c>
      <c r="J665" s="332">
        <f>IFERROR(__xludf.DUMMYFUNCTION("IF(IF(COUNTIF(P$2:P664, P665)=0, """", INDEX(H$2:H664,
MAX(FILTER(ROW(H$2:H664) - ROW(H$2) + 1, P$2:P664 = P665))))=""単価"","""",
IF(COUNTIF(P$2:P664, P665)=0, """", INDEX(H$2:H664,
MAX(FILTER(ROW(H$2:H664) - ROW(H$2) + 1, P$2:P664 = P665)))))"),43.6)</f>
        <v>43.6</v>
      </c>
      <c r="N665" s="335" t="str">
        <f>IF(MAXIFS('単価履歴'!$O:$O,'単価履歴'!$E:$E,E665,'単価履歴'!$F:$F,F665)=O665,"●","")</f>
        <v/>
      </c>
      <c r="O665" s="346">
        <v>45709.26336805556</v>
      </c>
      <c r="P665" s="334" t="str">
        <f t="shared" si="4"/>
        <v>ﾔﾏﾄ:阪和Ｈ１(特A)</v>
      </c>
    </row>
    <row r="666" ht="15.75" customHeight="1">
      <c r="A666" s="335" t="s">
        <v>1865</v>
      </c>
      <c r="B666" s="336">
        <v>45709.0</v>
      </c>
      <c r="C666" s="335" t="s">
        <v>11</v>
      </c>
      <c r="D666" s="335" t="s">
        <v>46</v>
      </c>
      <c r="E666" s="337" t="str">
        <f t="shared" si="1"/>
        <v>ﾔﾏﾄ:阪和</v>
      </c>
      <c r="F666" s="338" t="s">
        <v>573</v>
      </c>
      <c r="G666" s="339" t="str">
        <f t="shared" si="2"/>
        <v>ﾔﾏﾄ:阪和Ｌ２(H4･級外･L1ﾊﾞﾗ)</v>
      </c>
      <c r="H666" s="340">
        <f t="shared" si="3"/>
        <v>38.1</v>
      </c>
      <c r="I666" s="341">
        <v>1.0</v>
      </c>
      <c r="J666" s="332">
        <f>IFERROR(__xludf.DUMMYFUNCTION("IF(IF(COUNTIF(P$2:P665, P666)=0, """", INDEX(H$2:H665,
MAX(FILTER(ROW(H$2:H665) - ROW(H$2) + 1, P$2:P665 = P666))))=""単価"","""",
IF(COUNTIF(P$2:P665, P666)=0, """", INDEX(H$2:H665,
MAX(FILTER(ROW(H$2:H665) - ROW(H$2) + 1, P$2:P665 = P666)))))"),37.1)</f>
        <v>37.1</v>
      </c>
      <c r="N666" s="335" t="str">
        <f>IF(MAXIFS('単価履歴'!$O:$O,'単価履歴'!$E:$E,E666,'単価履歴'!$F:$F,F666)=O666,"●","")</f>
        <v/>
      </c>
      <c r="O666" s="346">
        <v>45709.26336805556</v>
      </c>
      <c r="P666" s="334" t="str">
        <f t="shared" si="4"/>
        <v>ﾔﾏﾄ:阪和Ｌ２(H4･級外･L1ﾊﾞﾗ)</v>
      </c>
    </row>
    <row r="667" ht="15.75" customHeight="1">
      <c r="A667" s="335" t="s">
        <v>1866</v>
      </c>
      <c r="B667" s="336">
        <v>45710.0</v>
      </c>
      <c r="C667" s="335" t="s">
        <v>7</v>
      </c>
      <c r="D667" s="335" t="s">
        <v>49</v>
      </c>
      <c r="E667" s="337" t="str">
        <f t="shared" si="1"/>
        <v>合同大阪:伊藤忠</v>
      </c>
      <c r="F667" s="338" t="s">
        <v>111</v>
      </c>
      <c r="G667" s="339" t="str">
        <f t="shared" si="2"/>
        <v>合同大阪:伊藤忠Ｈ１(特A)</v>
      </c>
      <c r="H667" s="340">
        <f t="shared" si="3"/>
        <v>45.3</v>
      </c>
      <c r="I667" s="341">
        <v>1.0</v>
      </c>
      <c r="J667" s="332">
        <f>IFERROR(__xludf.DUMMYFUNCTION("IF(IF(COUNTIF(P$2:P666, P667)=0, """", INDEX(H$2:H666,
MAX(FILTER(ROW(H$2:H666) - ROW(H$2) + 1, P$2:P666 = P667))))=""単価"","""",
IF(COUNTIF(P$2:P666, P667)=0, """", INDEX(H$2:H666,
MAX(FILTER(ROW(H$2:H666) - ROW(H$2) + 1, P$2:P666 = P667)))))"),44.3)</f>
        <v>44.3</v>
      </c>
      <c r="N667" s="335" t="str">
        <f>IF(MAXIFS('単価履歴'!$O:$O,'単価履歴'!$E:$E,E667,'単価履歴'!$F:$F,F667)=O667,"●","")</f>
        <v/>
      </c>
      <c r="O667" s="346">
        <v>45713.279062500005</v>
      </c>
      <c r="P667" s="334" t="str">
        <f t="shared" si="4"/>
        <v>合同大阪:伊藤忠Ｈ１(特A)</v>
      </c>
    </row>
    <row r="668" ht="15.75" customHeight="1">
      <c r="A668" s="335" t="s">
        <v>1867</v>
      </c>
      <c r="B668" s="336">
        <v>45710.0</v>
      </c>
      <c r="C668" s="335" t="s">
        <v>7</v>
      </c>
      <c r="D668" s="335" t="s">
        <v>49</v>
      </c>
      <c r="E668" s="337" t="str">
        <f t="shared" si="1"/>
        <v>合同大阪:伊藤忠</v>
      </c>
      <c r="F668" s="338" t="s">
        <v>116</v>
      </c>
      <c r="G668" s="339" t="str">
        <f t="shared" si="2"/>
        <v>合同大阪:伊藤忠Ｈ２(特級)</v>
      </c>
      <c r="H668" s="340">
        <f t="shared" si="3"/>
        <v>43.8</v>
      </c>
      <c r="I668" s="341">
        <v>1.0</v>
      </c>
      <c r="J668" s="332">
        <f>IFERROR(__xludf.DUMMYFUNCTION("IF(IF(COUNTIF(P$2:P667, P668)=0, """", INDEX(H$2:H667,
MAX(FILTER(ROW(H$2:H667) - ROW(H$2) + 1, P$2:P667 = P668))))=""単価"","""",
IF(COUNTIF(P$2:P667, P668)=0, """", INDEX(H$2:H667,
MAX(FILTER(ROW(H$2:H667) - ROW(H$2) + 1, P$2:P667 = P668)))))"),42.8)</f>
        <v>42.8</v>
      </c>
      <c r="N668" s="335" t="str">
        <f>IF(MAXIFS('単価履歴'!$O:$O,'単価履歴'!$E:$E,E668,'単価履歴'!$F:$F,F668)=O668,"●","")</f>
        <v/>
      </c>
      <c r="O668" s="346">
        <v>45713.279062500005</v>
      </c>
      <c r="P668" s="334" t="str">
        <f t="shared" si="4"/>
        <v>合同大阪:伊藤忠Ｈ２(特級)</v>
      </c>
    </row>
    <row r="669" ht="15.75" customHeight="1">
      <c r="A669" s="335" t="s">
        <v>1868</v>
      </c>
      <c r="B669" s="336">
        <v>45710.0</v>
      </c>
      <c r="C669" s="335" t="s">
        <v>7</v>
      </c>
      <c r="D669" s="335" t="s">
        <v>49</v>
      </c>
      <c r="E669" s="337" t="str">
        <f t="shared" si="1"/>
        <v>合同大阪:伊藤忠</v>
      </c>
      <c r="F669" s="338" t="s">
        <v>119</v>
      </c>
      <c r="G669" s="339" t="str">
        <f t="shared" si="2"/>
        <v>合同大阪:伊藤忠Ｈ３(1級)</v>
      </c>
      <c r="H669" s="340">
        <f t="shared" si="3"/>
        <v>43.3</v>
      </c>
      <c r="I669" s="341">
        <v>1.0</v>
      </c>
      <c r="J669" s="332">
        <f>IFERROR(__xludf.DUMMYFUNCTION("IF(IF(COUNTIF(P$2:P668, P669)=0, """", INDEX(H$2:H668,
MAX(FILTER(ROW(H$2:H668) - ROW(H$2) + 1, P$2:P668 = P669))))=""単価"","""",
IF(COUNTIF(P$2:P668, P669)=0, """", INDEX(H$2:H668,
MAX(FILTER(ROW(H$2:H668) - ROW(H$2) + 1, P$2:P668 = P669)))))"),42.3)</f>
        <v>42.3</v>
      </c>
      <c r="N669" s="335" t="str">
        <f>IF(MAXIFS('単価履歴'!$O:$O,'単価履歴'!$E:$E,E669,'単価履歴'!$F:$F,F669)=O669,"●","")</f>
        <v/>
      </c>
      <c r="O669" s="346">
        <v>45713.279062500005</v>
      </c>
      <c r="P669" s="334" t="str">
        <f t="shared" si="4"/>
        <v>合同大阪:伊藤忠Ｈ３(1級)</v>
      </c>
    </row>
    <row r="670" ht="15.75" customHeight="1">
      <c r="A670" s="335" t="s">
        <v>1869</v>
      </c>
      <c r="B670" s="336">
        <v>45710.0</v>
      </c>
      <c r="C670" s="335" t="s">
        <v>7</v>
      </c>
      <c r="D670" s="335" t="s">
        <v>49</v>
      </c>
      <c r="E670" s="337" t="str">
        <f t="shared" si="1"/>
        <v>合同大阪:伊藤忠</v>
      </c>
      <c r="F670" s="338" t="s">
        <v>122</v>
      </c>
      <c r="G670" s="339" t="str">
        <f t="shared" si="2"/>
        <v>合同大阪:伊藤忠Ｌ１(2級)</v>
      </c>
      <c r="H670" s="340">
        <f t="shared" si="3"/>
        <v>42.3</v>
      </c>
      <c r="I670" s="341">
        <v>1.0</v>
      </c>
      <c r="J670" s="332">
        <f>IFERROR(__xludf.DUMMYFUNCTION("IF(IF(COUNTIF(P$2:P669, P670)=0, """", INDEX(H$2:H669,
MAX(FILTER(ROW(H$2:H669) - ROW(H$2) + 1, P$2:P669 = P670))))=""単価"","""",
IF(COUNTIF(P$2:P669, P670)=0, """", INDEX(H$2:H669,
MAX(FILTER(ROW(H$2:H669) - ROW(H$2) + 1, P$2:P669 = P670)))))"),41.3)</f>
        <v>41.3</v>
      </c>
      <c r="N670" s="335" t="str">
        <f>IF(MAXIFS('単価履歴'!$O:$O,'単価履歴'!$E:$E,E670,'単価履歴'!$F:$F,F670)=O670,"●","")</f>
        <v/>
      </c>
      <c r="O670" s="346">
        <v>45713.279062500005</v>
      </c>
      <c r="P670" s="334" t="str">
        <f t="shared" si="4"/>
        <v>合同大阪:伊藤忠Ｌ１(2級)</v>
      </c>
    </row>
    <row r="671" ht="15.75" customHeight="1">
      <c r="A671" s="335" t="s">
        <v>1870</v>
      </c>
      <c r="B671" s="336">
        <v>45710.0</v>
      </c>
      <c r="C671" s="335" t="s">
        <v>7</v>
      </c>
      <c r="D671" s="335" t="s">
        <v>49</v>
      </c>
      <c r="E671" s="337" t="str">
        <f t="shared" si="1"/>
        <v>合同大阪:伊藤忠</v>
      </c>
      <c r="F671" s="338" t="s">
        <v>130</v>
      </c>
      <c r="G671" s="339" t="str">
        <f t="shared" si="2"/>
        <v>合同大阪:伊藤忠新断Ａ</v>
      </c>
      <c r="H671" s="340">
        <f t="shared" si="3"/>
        <v>45.8</v>
      </c>
      <c r="I671" s="341">
        <v>0.5</v>
      </c>
      <c r="J671" s="332">
        <f>IFERROR(__xludf.DUMMYFUNCTION("IF(IF(COUNTIF(P$2:P670, P671)=0, """", INDEX(H$2:H670,
MAX(FILTER(ROW(H$2:H670) - ROW(H$2) + 1, P$2:P670 = P671))))=""単価"","""",
IF(COUNTIF(P$2:P670, P671)=0, """", INDEX(H$2:H670,
MAX(FILTER(ROW(H$2:H670) - ROW(H$2) + 1, P$2:P670 = P671)))))"),45.3)</f>
        <v>45.3</v>
      </c>
      <c r="N671" s="335" t="str">
        <f>IF(MAXIFS('単価履歴'!$O:$O,'単価履歴'!$E:$E,E671,'単価履歴'!$F:$F,F671)=O671,"●","")</f>
        <v/>
      </c>
      <c r="O671" s="346">
        <v>45713.279814814814</v>
      </c>
      <c r="P671" s="334" t="str">
        <f t="shared" si="4"/>
        <v>合同大阪:伊藤忠新断Ａ</v>
      </c>
    </row>
    <row r="672" ht="15.75" customHeight="1">
      <c r="A672" s="335" t="s">
        <v>1871</v>
      </c>
      <c r="B672" s="336">
        <v>45710.0</v>
      </c>
      <c r="C672" s="335" t="s">
        <v>7</v>
      </c>
      <c r="D672" s="335" t="s">
        <v>49</v>
      </c>
      <c r="E672" s="337" t="str">
        <f t="shared" si="1"/>
        <v>合同大阪:伊藤忠</v>
      </c>
      <c r="F672" s="338" t="s">
        <v>131</v>
      </c>
      <c r="G672" s="339" t="str">
        <f t="shared" si="2"/>
        <v>合同大阪:伊藤忠新断Ｂ</v>
      </c>
      <c r="H672" s="340">
        <f t="shared" si="3"/>
        <v>45.3</v>
      </c>
      <c r="I672" s="341">
        <v>0.5</v>
      </c>
      <c r="J672" s="332">
        <f>IFERROR(__xludf.DUMMYFUNCTION("IF(IF(COUNTIF(P$2:P671, P672)=0, """", INDEX(H$2:H671,
MAX(FILTER(ROW(H$2:H671) - ROW(H$2) + 1, P$2:P671 = P672))))=""単価"","""",
IF(COUNTIF(P$2:P671, P672)=0, """", INDEX(H$2:H671,
MAX(FILTER(ROW(H$2:H671) - ROW(H$2) + 1, P$2:P671 = P672)))))"),44.8)</f>
        <v>44.8</v>
      </c>
      <c r="N672" s="335" t="str">
        <f>IF(MAXIFS('単価履歴'!$O:$O,'単価履歴'!$E:$E,E672,'単価履歴'!$F:$F,F672)=O672,"●","")</f>
        <v/>
      </c>
      <c r="O672" s="346">
        <v>45713.279814814814</v>
      </c>
      <c r="P672" s="334" t="str">
        <f t="shared" si="4"/>
        <v>合同大阪:伊藤忠新断Ｂ</v>
      </c>
    </row>
    <row r="673" ht="15.75" customHeight="1">
      <c r="A673" s="335" t="s">
        <v>1872</v>
      </c>
      <c r="B673" s="336">
        <v>45710.0</v>
      </c>
      <c r="C673" s="335" t="s">
        <v>28</v>
      </c>
      <c r="D673" s="335" t="s">
        <v>52</v>
      </c>
      <c r="E673" s="337" t="str">
        <f t="shared" si="1"/>
        <v>ＪＦＥ条鋼:リバイブ</v>
      </c>
      <c r="F673" s="338" t="s">
        <v>154</v>
      </c>
      <c r="G673" s="339" t="str">
        <f t="shared" si="2"/>
        <v>ＪＦＥ条鋼:リバイブＣＰ Ａ</v>
      </c>
      <c r="H673" s="340">
        <f t="shared" si="3"/>
        <v>44.5</v>
      </c>
      <c r="I673" s="335">
        <v>0.0</v>
      </c>
      <c r="J673" s="332">
        <f>IFERROR(__xludf.DUMMYFUNCTION("IF(IF(COUNTIF(P$2:P672, P673)=0, """", INDEX(H$2:H672,
MAX(FILTER(ROW(H$2:H672) - ROW(H$2) + 1, P$2:P672 = P673))))=""単価"","""",
IF(COUNTIF(P$2:P672, P673)=0, """", INDEX(H$2:H672,
MAX(FILTER(ROW(H$2:H672) - ROW(H$2) + 1, P$2:P672 = P673)))))"),44.5)</f>
        <v>44.5</v>
      </c>
      <c r="N673" s="335" t="str">
        <f>IF(MAXIFS('単価履歴'!$O:$O,'単価履歴'!$E:$E,E673,'単価履歴'!$F:$F,F673)=O673,"●","")</f>
        <v/>
      </c>
      <c r="O673" s="346">
        <v>45713.280381944445</v>
      </c>
      <c r="P673" s="334" t="str">
        <f t="shared" si="4"/>
        <v>ＪＦＥ条鋼:リバイブＣＰ Ａ</v>
      </c>
    </row>
    <row r="674" ht="15.75" customHeight="1">
      <c r="A674" s="335" t="s">
        <v>1873</v>
      </c>
      <c r="B674" s="336">
        <v>45714.0</v>
      </c>
      <c r="C674" s="335" t="s">
        <v>5</v>
      </c>
      <c r="D674" s="335" t="s">
        <v>46</v>
      </c>
      <c r="E674" s="337" t="str">
        <f t="shared" si="1"/>
        <v>中山製鋼:阪和</v>
      </c>
      <c r="F674" s="338" t="s">
        <v>101</v>
      </c>
      <c r="G674" s="339" t="str">
        <f t="shared" si="2"/>
        <v>中山製鋼:阪和ＨＳ２</v>
      </c>
      <c r="H674" s="340">
        <f t="shared" si="3"/>
        <v>45.9</v>
      </c>
      <c r="I674" s="341">
        <v>0.5</v>
      </c>
      <c r="J674" s="332">
        <f>IFERROR(__xludf.DUMMYFUNCTION("IF(IF(COUNTIF(P$2:P673, P674)=0, """", INDEX(H$2:H673,
MAX(FILTER(ROW(H$2:H673) - ROW(H$2) + 1, P$2:P673 = P674))))=""単価"","""",
IF(COUNTIF(P$2:P673, P674)=0, """", INDEX(H$2:H673,
MAX(FILTER(ROW(H$2:H673) - ROW(H$2) + 1, P$2:P673 = P674)))))"),45.4)</f>
        <v>45.4</v>
      </c>
      <c r="N674" s="335" t="str">
        <f>IF(MAXIFS('単価履歴'!$O:$O,'単価履歴'!$E:$E,E674,'単価履歴'!$F:$F,F674)=O674,"●","")</f>
        <v/>
      </c>
      <c r="O674" s="346">
        <v>45713.766863425924</v>
      </c>
      <c r="P674" s="334" t="str">
        <f t="shared" si="4"/>
        <v>中山製鋼:阪和ＨＳ２</v>
      </c>
    </row>
    <row r="675" ht="15.75" customHeight="1">
      <c r="A675" s="335" t="s">
        <v>1874</v>
      </c>
      <c r="B675" s="336">
        <v>45714.0</v>
      </c>
      <c r="C675" s="335" t="s">
        <v>5</v>
      </c>
      <c r="D675" s="335" t="s">
        <v>46</v>
      </c>
      <c r="E675" s="337" t="str">
        <f t="shared" si="1"/>
        <v>中山製鋼:阪和</v>
      </c>
      <c r="F675" s="338" t="s">
        <v>108</v>
      </c>
      <c r="G675" s="339" t="str">
        <f t="shared" si="2"/>
        <v>中山製鋼:阪和Ｈ１/ｻﾑﾃｯｸ</v>
      </c>
      <c r="H675" s="340">
        <f t="shared" si="3"/>
        <v>2</v>
      </c>
      <c r="I675" s="341">
        <v>0.5</v>
      </c>
      <c r="J675" s="332">
        <f>IFERROR(__xludf.DUMMYFUNCTION("IF(IF(COUNTIF(P$2:P674, P675)=0, """", INDEX(H$2:H674,
MAX(FILTER(ROW(H$2:H674) - ROW(H$2) + 1, P$2:P674 = P675))))=""単価"","""",
IF(COUNTIF(P$2:P674, P675)=0, """", INDEX(H$2:H674,
MAX(FILTER(ROW(H$2:H674) - ROW(H$2) + 1, P$2:P674 = P675)))))"),1.5)</f>
        <v>1.5</v>
      </c>
      <c r="N675" s="335" t="str">
        <f>IF(MAXIFS('単価履歴'!$O:$O,'単価履歴'!$E:$E,E675,'単価履歴'!$F:$F,F675)=O675,"●","")</f>
        <v/>
      </c>
      <c r="O675" s="346">
        <v>45713.766863425924</v>
      </c>
      <c r="P675" s="334" t="str">
        <f t="shared" si="4"/>
        <v>中山製鋼:阪和Ｈ１/ｻﾑﾃｯｸ</v>
      </c>
    </row>
    <row r="676" ht="15.75" customHeight="1">
      <c r="A676" s="335" t="s">
        <v>1875</v>
      </c>
      <c r="B676" s="336">
        <v>45714.0</v>
      </c>
      <c r="C676" s="335" t="s">
        <v>5</v>
      </c>
      <c r="D676" s="335" t="s">
        <v>46</v>
      </c>
      <c r="E676" s="337" t="str">
        <f t="shared" si="1"/>
        <v>中山製鋼:阪和</v>
      </c>
      <c r="F676" s="338" t="s">
        <v>111</v>
      </c>
      <c r="G676" s="339" t="str">
        <f t="shared" si="2"/>
        <v>中山製鋼:阪和Ｈ１(特A)</v>
      </c>
      <c r="H676" s="340">
        <f t="shared" si="3"/>
        <v>43.5</v>
      </c>
      <c r="I676" s="341">
        <v>0.5</v>
      </c>
      <c r="J676" s="332">
        <f>IFERROR(__xludf.DUMMYFUNCTION("IF(IF(COUNTIF(P$2:P675, P676)=0, """", INDEX(H$2:H675,
MAX(FILTER(ROW(H$2:H675) - ROW(H$2) + 1, P$2:P675 = P676))))=""単価"","""",
IF(COUNTIF(P$2:P675, P676)=0, """", INDEX(H$2:H675,
MAX(FILTER(ROW(H$2:H675) - ROW(H$2) + 1, P$2:P675 = P676)))))"),43.0)</f>
        <v>43</v>
      </c>
      <c r="N676" s="335" t="str">
        <f>IF(MAXIFS('単価履歴'!$O:$O,'単価履歴'!$E:$E,E676,'単価履歴'!$F:$F,F676)=O676,"●","")</f>
        <v/>
      </c>
      <c r="O676" s="346">
        <v>45713.766863425924</v>
      </c>
      <c r="P676" s="334" t="str">
        <f t="shared" si="4"/>
        <v>中山製鋼:阪和Ｈ１(特A)</v>
      </c>
    </row>
    <row r="677" ht="15.75" customHeight="1">
      <c r="A677" s="335" t="s">
        <v>1876</v>
      </c>
      <c r="B677" s="336">
        <v>45714.0</v>
      </c>
      <c r="C677" s="335" t="s">
        <v>5</v>
      </c>
      <c r="D677" s="335" t="s">
        <v>46</v>
      </c>
      <c r="E677" s="337" t="str">
        <f t="shared" si="1"/>
        <v>中山製鋼:阪和</v>
      </c>
      <c r="F677" s="338" t="s">
        <v>116</v>
      </c>
      <c r="G677" s="339" t="str">
        <f t="shared" si="2"/>
        <v>中山製鋼:阪和Ｈ２(特級)</v>
      </c>
      <c r="H677" s="340">
        <f t="shared" si="3"/>
        <v>33.8</v>
      </c>
      <c r="I677" s="341">
        <v>0.5</v>
      </c>
      <c r="J677" s="332">
        <f>IFERROR(__xludf.DUMMYFUNCTION("IF(IF(COUNTIF(P$2:P676, P677)=0, """", INDEX(H$2:H676,
MAX(FILTER(ROW(H$2:H676) - ROW(H$2) + 1, P$2:P676 = P677))))=""単価"","""",
IF(COUNTIF(P$2:P676, P677)=0, """", INDEX(H$2:H676,
MAX(FILTER(ROW(H$2:H676) - ROW(H$2) + 1, P$2:P676 = P677)))))"),33.3)</f>
        <v>33.3</v>
      </c>
      <c r="N677" s="335" t="str">
        <f>IF(MAXIFS('単価履歴'!$O:$O,'単価履歴'!$E:$E,E677,'単価履歴'!$F:$F,F677)=O677,"●","")</f>
        <v/>
      </c>
      <c r="O677" s="346">
        <v>45713.766863425924</v>
      </c>
      <c r="P677" s="334" t="str">
        <f t="shared" si="4"/>
        <v>中山製鋼:阪和Ｈ２(特級)</v>
      </c>
    </row>
    <row r="678" ht="15.75" customHeight="1">
      <c r="A678" s="335" t="s">
        <v>1877</v>
      </c>
      <c r="B678" s="336">
        <v>45714.0</v>
      </c>
      <c r="C678" s="335" t="s">
        <v>5</v>
      </c>
      <c r="D678" s="335" t="s">
        <v>46</v>
      </c>
      <c r="E678" s="337" t="str">
        <f t="shared" si="1"/>
        <v>中山製鋼:阪和</v>
      </c>
      <c r="F678" s="338" t="s">
        <v>119</v>
      </c>
      <c r="G678" s="339" t="str">
        <f t="shared" si="2"/>
        <v>中山製鋼:阪和Ｈ３(1級)</v>
      </c>
      <c r="H678" s="340">
        <f t="shared" si="3"/>
        <v>34.8</v>
      </c>
      <c r="I678" s="341">
        <v>0.5</v>
      </c>
      <c r="J678" s="332">
        <f>IFERROR(__xludf.DUMMYFUNCTION("IF(IF(COUNTIF(P$2:P677, P678)=0, """", INDEX(H$2:H677,
MAX(FILTER(ROW(H$2:H677) - ROW(H$2) + 1, P$2:P677 = P678))))=""単価"","""",
IF(COUNTIF(P$2:P677, P678)=0, """", INDEX(H$2:H677,
MAX(FILTER(ROW(H$2:H677) - ROW(H$2) + 1, P$2:P677 = P678)))))"),34.3)</f>
        <v>34.3</v>
      </c>
      <c r="N678" s="335" t="str">
        <f>IF(MAXIFS('単価履歴'!$O:$O,'単価履歴'!$E:$E,E678,'単価履歴'!$F:$F,F678)=O678,"●","")</f>
        <v/>
      </c>
      <c r="O678" s="346">
        <v>45713.766863425924</v>
      </c>
      <c r="P678" s="334" t="str">
        <f t="shared" si="4"/>
        <v>中山製鋼:阪和Ｈ３(1級)</v>
      </c>
    </row>
    <row r="679" ht="15.75" customHeight="1">
      <c r="A679" s="335" t="s">
        <v>1878</v>
      </c>
      <c r="B679" s="336">
        <v>45714.0</v>
      </c>
      <c r="C679" s="335" t="s">
        <v>5</v>
      </c>
      <c r="D679" s="335" t="s">
        <v>46</v>
      </c>
      <c r="E679" s="337" t="str">
        <f t="shared" si="1"/>
        <v>中山製鋼:阪和</v>
      </c>
      <c r="F679" s="338" t="s">
        <v>122</v>
      </c>
      <c r="G679" s="339" t="str">
        <f t="shared" si="2"/>
        <v>中山製鋼:阪和Ｌ１(2級)</v>
      </c>
      <c r="H679" s="340">
        <f t="shared" si="3"/>
        <v>28.3</v>
      </c>
      <c r="I679" s="341">
        <v>0.5</v>
      </c>
      <c r="J679" s="332">
        <f>IFERROR(__xludf.DUMMYFUNCTION("IF(IF(COUNTIF(P$2:P678, P679)=0, """", INDEX(H$2:H678,
MAX(FILTER(ROW(H$2:H678) - ROW(H$2) + 1, P$2:P678 = P679))))=""単価"","""",
IF(COUNTIF(P$2:P678, P679)=0, """", INDEX(H$2:H678,
MAX(FILTER(ROW(H$2:H678) - ROW(H$2) + 1, P$2:P678 = P679)))))"),27.8)</f>
        <v>27.8</v>
      </c>
      <c r="N679" s="335" t="str">
        <f>IF(MAXIFS('単価履歴'!$O:$O,'単価履歴'!$E:$E,E679,'単価履歴'!$F:$F,F679)=O679,"●","")</f>
        <v/>
      </c>
      <c r="O679" s="346">
        <v>45713.766863425924</v>
      </c>
      <c r="P679" s="334" t="str">
        <f t="shared" si="4"/>
        <v>中山製鋼:阪和Ｌ１(2級)</v>
      </c>
    </row>
    <row r="680" ht="15.75" customHeight="1">
      <c r="A680" s="335" t="s">
        <v>1879</v>
      </c>
      <c r="B680" s="336">
        <v>45714.0</v>
      </c>
      <c r="C680" s="335" t="s">
        <v>5</v>
      </c>
      <c r="D680" s="335" t="s">
        <v>46</v>
      </c>
      <c r="E680" s="337" t="str">
        <f t="shared" si="1"/>
        <v>中山製鋼:阪和</v>
      </c>
      <c r="F680" s="338" t="s">
        <v>130</v>
      </c>
      <c r="G680" s="339" t="str">
        <f t="shared" si="2"/>
        <v>中山製鋼:阪和新断Ａ</v>
      </c>
      <c r="H680" s="340">
        <f t="shared" si="3"/>
        <v>47.3</v>
      </c>
      <c r="I680" s="341">
        <v>0.5</v>
      </c>
      <c r="J680" s="332">
        <f>IFERROR(__xludf.DUMMYFUNCTION("IF(IF(COUNTIF(P$2:P679, P680)=0, """", INDEX(H$2:H679,
MAX(FILTER(ROW(H$2:H679) - ROW(H$2) + 1, P$2:P679 = P680))))=""単価"","""",
IF(COUNTIF(P$2:P679, P680)=0, """", INDEX(H$2:H679,
MAX(FILTER(ROW(H$2:H679) - ROW(H$2) + 1, P$2:P679 = P680)))))"),46.8)</f>
        <v>46.8</v>
      </c>
      <c r="N680" s="335" t="str">
        <f>IF(MAXIFS('単価履歴'!$O:$O,'単価履歴'!$E:$E,E680,'単価履歴'!$F:$F,F680)=O680,"●","")</f>
        <v/>
      </c>
      <c r="O680" s="346">
        <v>45713.766863425924</v>
      </c>
      <c r="P680" s="334" t="str">
        <f t="shared" si="4"/>
        <v>中山製鋼:阪和新断Ａ</v>
      </c>
    </row>
    <row r="681" ht="15.75" customHeight="1">
      <c r="A681" s="335" t="s">
        <v>1880</v>
      </c>
      <c r="B681" s="336">
        <v>45714.0</v>
      </c>
      <c r="C681" s="335" t="s">
        <v>5</v>
      </c>
      <c r="D681" s="335" t="s">
        <v>46</v>
      </c>
      <c r="E681" s="337" t="str">
        <f t="shared" si="1"/>
        <v>中山製鋼:阪和</v>
      </c>
      <c r="F681" s="338" t="s">
        <v>131</v>
      </c>
      <c r="G681" s="339" t="str">
        <f t="shared" si="2"/>
        <v>中山製鋼:阪和新断Ｂ</v>
      </c>
      <c r="H681" s="340">
        <f t="shared" si="3"/>
        <v>46.3</v>
      </c>
      <c r="I681" s="341">
        <v>0.5</v>
      </c>
      <c r="J681" s="332">
        <f>IFERROR(__xludf.DUMMYFUNCTION("IF(IF(COUNTIF(P$2:P680, P681)=0, """", INDEX(H$2:H680,
MAX(FILTER(ROW(H$2:H680) - ROW(H$2) + 1, P$2:P680 = P681))))=""単価"","""",
IF(COUNTIF(P$2:P680, P681)=0, """", INDEX(H$2:H680,
MAX(FILTER(ROW(H$2:H680) - ROW(H$2) + 1, P$2:P680 = P681)))))"),45.8)</f>
        <v>45.8</v>
      </c>
      <c r="N681" s="335" t="str">
        <f>IF(MAXIFS('単価履歴'!$O:$O,'単価履歴'!$E:$E,E681,'単価履歴'!$F:$F,F681)=O681,"●","")</f>
        <v/>
      </c>
      <c r="O681" s="346">
        <v>45713.766863425924</v>
      </c>
      <c r="P681" s="334" t="str">
        <f t="shared" si="4"/>
        <v>中山製鋼:阪和新断Ｂ</v>
      </c>
    </row>
    <row r="682" ht="15.75" customHeight="1">
      <c r="A682" s="335" t="s">
        <v>1881</v>
      </c>
      <c r="B682" s="336">
        <v>45714.0</v>
      </c>
      <c r="C682" s="335" t="s">
        <v>5</v>
      </c>
      <c r="D682" s="335" t="s">
        <v>46</v>
      </c>
      <c r="E682" s="337" t="str">
        <f t="shared" si="1"/>
        <v>中山製鋼:阪和</v>
      </c>
      <c r="F682" s="338" t="s">
        <v>574</v>
      </c>
      <c r="G682" s="339" t="str">
        <f t="shared" si="2"/>
        <v>中山製鋼:阪和新断Ｃ</v>
      </c>
      <c r="H682" s="340">
        <f t="shared" si="3"/>
        <v>45.3</v>
      </c>
      <c r="I682" s="341">
        <v>0.5</v>
      </c>
      <c r="J682" s="332">
        <f>IFERROR(__xludf.DUMMYFUNCTION("IF(IF(COUNTIF(P$2:P681, P682)=0, """", INDEX(H$2:H681,
MAX(FILTER(ROW(H$2:H681) - ROW(H$2) + 1, P$2:P681 = P682))))=""単価"","""",
IF(COUNTIF(P$2:P681, P682)=0, """", INDEX(H$2:H681,
MAX(FILTER(ROW(H$2:H681) - ROW(H$2) + 1, P$2:P681 = P682)))))"),44.8)</f>
        <v>44.8</v>
      </c>
      <c r="N682" s="335" t="str">
        <f>IF(MAXIFS('単価履歴'!$O:$O,'単価履歴'!$E:$E,E682,'単価履歴'!$F:$F,F682)=O682,"●","")</f>
        <v/>
      </c>
      <c r="O682" s="346">
        <v>45713.766863425924</v>
      </c>
      <c r="P682" s="334" t="str">
        <f t="shared" si="4"/>
        <v>中山製鋼:阪和新断Ｃ</v>
      </c>
    </row>
    <row r="683" ht="15.75" customHeight="1">
      <c r="A683" s="335" t="s">
        <v>1882</v>
      </c>
      <c r="B683" s="336">
        <v>45714.0</v>
      </c>
      <c r="C683" s="335" t="s">
        <v>5</v>
      </c>
      <c r="D683" s="335" t="s">
        <v>47</v>
      </c>
      <c r="E683" s="337" t="str">
        <f t="shared" si="1"/>
        <v>中山製鋼:豊通</v>
      </c>
      <c r="F683" s="338" t="s">
        <v>1199</v>
      </c>
      <c r="G683" s="339" t="str">
        <f t="shared" si="2"/>
        <v>中山製鋼:豊通ＨＳ１(単体H1/電特A/HS))</v>
      </c>
      <c r="H683" s="340">
        <f t="shared" si="3"/>
        <v>45.8</v>
      </c>
      <c r="I683" s="341">
        <v>0.5</v>
      </c>
      <c r="J683" s="332">
        <f>IFERROR(__xludf.DUMMYFUNCTION("IF(IF(COUNTIF(P$2:P682, P683)=0, """", INDEX(H$2:H682,
MAX(FILTER(ROW(H$2:H682) - ROW(H$2) + 1, P$2:P682 = P683))))=""単価"","""",
IF(COUNTIF(P$2:P682, P683)=0, """", INDEX(H$2:H682,
MAX(FILTER(ROW(H$2:H682) - ROW(H$2) + 1, P$2:P682 = P683)))))"),45.3)</f>
        <v>45.3</v>
      </c>
      <c r="N683" s="335" t="str">
        <f>IF(MAXIFS('単価履歴'!$O:$O,'単価履歴'!$E:$E,E683,'単価履歴'!$F:$F,F683)=O683,"●","")</f>
        <v/>
      </c>
      <c r="O683" s="346">
        <v>45713.77377314815</v>
      </c>
      <c r="P683" s="334" t="str">
        <f t="shared" si="4"/>
        <v>中山製鋼:豊通ＨＳ１(単体H1/電特A/HS))</v>
      </c>
    </row>
    <row r="684" ht="15.75" customHeight="1">
      <c r="A684" s="335" t="s">
        <v>1883</v>
      </c>
      <c r="B684" s="336">
        <v>45714.0</v>
      </c>
      <c r="C684" s="335" t="s">
        <v>5</v>
      </c>
      <c r="D684" s="335" t="s">
        <v>47</v>
      </c>
      <c r="E684" s="337" t="str">
        <f t="shared" si="1"/>
        <v>中山製鋼:豊通</v>
      </c>
      <c r="F684" s="338" t="s">
        <v>101</v>
      </c>
      <c r="G684" s="339" t="str">
        <f t="shared" si="2"/>
        <v>中山製鋼:豊通ＨＳ２</v>
      </c>
      <c r="H684" s="340">
        <f t="shared" si="3"/>
        <v>45.8</v>
      </c>
      <c r="I684" s="341">
        <v>0.5</v>
      </c>
      <c r="J684" s="332">
        <f>IFERROR(__xludf.DUMMYFUNCTION("IF(IF(COUNTIF(P$2:P683, P684)=0, """", INDEX(H$2:H683,
MAX(FILTER(ROW(H$2:H683) - ROW(H$2) + 1, P$2:P683 = P684))))=""単価"","""",
IF(COUNTIF(P$2:P683, P684)=0, """", INDEX(H$2:H683,
MAX(FILTER(ROW(H$2:H683) - ROW(H$2) + 1, P$2:P683 = P684)))))"),45.3)</f>
        <v>45.3</v>
      </c>
      <c r="N684" s="335" t="str">
        <f>IF(MAXIFS('単価履歴'!$O:$O,'単価履歴'!$E:$E,E684,'単価履歴'!$F:$F,F684)=O684,"●","")</f>
        <v/>
      </c>
      <c r="O684" s="346">
        <v>45713.77377314815</v>
      </c>
      <c r="P684" s="334" t="str">
        <f t="shared" si="4"/>
        <v>中山製鋼:豊通ＨＳ２</v>
      </c>
    </row>
    <row r="685" ht="15.75" customHeight="1">
      <c r="A685" s="335" t="s">
        <v>1884</v>
      </c>
      <c r="B685" s="336">
        <v>45714.0</v>
      </c>
      <c r="C685" s="335" t="s">
        <v>5</v>
      </c>
      <c r="D685" s="335" t="s">
        <v>47</v>
      </c>
      <c r="E685" s="337" t="str">
        <f t="shared" si="1"/>
        <v>中山製鋼:豊通</v>
      </c>
      <c r="F685" s="338" t="s">
        <v>108</v>
      </c>
      <c r="G685" s="339" t="str">
        <f t="shared" si="2"/>
        <v>中山製鋼:豊通Ｈ１/ｻﾑﾃｯｸ</v>
      </c>
      <c r="H685" s="340">
        <f t="shared" si="3"/>
        <v>2</v>
      </c>
      <c r="I685" s="341">
        <v>0.5</v>
      </c>
      <c r="J685" s="332">
        <f>IFERROR(__xludf.DUMMYFUNCTION("IF(IF(COUNTIF(P$2:P684, P685)=0, """", INDEX(H$2:H684,
MAX(FILTER(ROW(H$2:H684) - ROW(H$2) + 1, P$2:P684 = P685))))=""単価"","""",
IF(COUNTIF(P$2:P684, P685)=0, """", INDEX(H$2:H684,
MAX(FILTER(ROW(H$2:H684) - ROW(H$2) + 1, P$2:P684 = P685)))))"),1.5)</f>
        <v>1.5</v>
      </c>
      <c r="N685" s="335" t="str">
        <f>IF(MAXIFS('単価履歴'!$O:$O,'単価履歴'!$E:$E,E685,'単価履歴'!$F:$F,F685)=O685,"●","")</f>
        <v/>
      </c>
      <c r="O685" s="346">
        <v>45713.77377314815</v>
      </c>
      <c r="P685" s="334" t="str">
        <f t="shared" si="4"/>
        <v>中山製鋼:豊通Ｈ１/ｻﾑﾃｯｸ</v>
      </c>
    </row>
    <row r="686" ht="15.75" customHeight="1">
      <c r="A686" s="335" t="s">
        <v>1885</v>
      </c>
      <c r="B686" s="336">
        <v>45714.0</v>
      </c>
      <c r="C686" s="335" t="s">
        <v>5</v>
      </c>
      <c r="D686" s="335" t="s">
        <v>47</v>
      </c>
      <c r="E686" s="337" t="str">
        <f t="shared" si="1"/>
        <v>中山製鋼:豊通</v>
      </c>
      <c r="F686" s="338" t="s">
        <v>111</v>
      </c>
      <c r="G686" s="339" t="str">
        <f t="shared" si="2"/>
        <v>中山製鋼:豊通Ｈ１(特A)</v>
      </c>
      <c r="H686" s="340">
        <f t="shared" si="3"/>
        <v>44.8</v>
      </c>
      <c r="I686" s="341">
        <v>0.5</v>
      </c>
      <c r="J686" s="332">
        <f>IFERROR(__xludf.DUMMYFUNCTION("IF(IF(COUNTIF(P$2:P685, P686)=0, """", INDEX(H$2:H685,
MAX(FILTER(ROW(H$2:H685) - ROW(H$2) + 1, P$2:P685 = P686))))=""単価"","""",
IF(COUNTIF(P$2:P685, P686)=0, """", INDEX(H$2:H685,
MAX(FILTER(ROW(H$2:H685) - ROW(H$2) + 1, P$2:P685 = P686)))))"),44.3)</f>
        <v>44.3</v>
      </c>
      <c r="N686" s="335" t="str">
        <f>IF(MAXIFS('単価履歴'!$O:$O,'単価履歴'!$E:$E,E686,'単価履歴'!$F:$F,F686)=O686,"●","")</f>
        <v/>
      </c>
      <c r="O686" s="346">
        <v>45713.77377314815</v>
      </c>
      <c r="P686" s="334" t="str">
        <f t="shared" si="4"/>
        <v>中山製鋼:豊通Ｈ１(特A)</v>
      </c>
    </row>
    <row r="687" ht="15.75" customHeight="1">
      <c r="A687" s="335" t="s">
        <v>1886</v>
      </c>
      <c r="B687" s="336">
        <v>45714.0</v>
      </c>
      <c r="C687" s="335" t="s">
        <v>5</v>
      </c>
      <c r="D687" s="335" t="s">
        <v>47</v>
      </c>
      <c r="E687" s="337" t="str">
        <f t="shared" si="1"/>
        <v>中山製鋼:豊通</v>
      </c>
      <c r="F687" s="338" t="s">
        <v>116</v>
      </c>
      <c r="G687" s="339" t="str">
        <f t="shared" si="2"/>
        <v>中山製鋼:豊通Ｈ２(特級)</v>
      </c>
      <c r="H687" s="340">
        <f t="shared" si="3"/>
        <v>38.8</v>
      </c>
      <c r="I687" s="341">
        <v>0.5</v>
      </c>
      <c r="J687" s="332">
        <f>IFERROR(__xludf.DUMMYFUNCTION("IF(IF(COUNTIF(P$2:P686, P687)=0, """", INDEX(H$2:H686,
MAX(FILTER(ROW(H$2:H686) - ROW(H$2) + 1, P$2:P686 = P687))))=""単価"","""",
IF(COUNTIF(P$2:P686, P687)=0, """", INDEX(H$2:H686,
MAX(FILTER(ROW(H$2:H686) - ROW(H$2) + 1, P$2:P686 = P687)))))"),38.3)</f>
        <v>38.3</v>
      </c>
      <c r="N687" s="335" t="str">
        <f>IF(MAXIFS('単価履歴'!$O:$O,'単価履歴'!$E:$E,E687,'単価履歴'!$F:$F,F687)=O687,"●","")</f>
        <v/>
      </c>
      <c r="O687" s="346">
        <v>45713.77377314815</v>
      </c>
      <c r="P687" s="334" t="str">
        <f t="shared" si="4"/>
        <v>中山製鋼:豊通Ｈ２(特級)</v>
      </c>
    </row>
    <row r="688" ht="15.75" customHeight="1">
      <c r="A688" s="335" t="s">
        <v>1887</v>
      </c>
      <c r="B688" s="336">
        <v>45714.0</v>
      </c>
      <c r="C688" s="335" t="s">
        <v>5</v>
      </c>
      <c r="D688" s="335" t="s">
        <v>47</v>
      </c>
      <c r="E688" s="337" t="str">
        <f t="shared" si="1"/>
        <v>中山製鋼:豊通</v>
      </c>
      <c r="F688" s="338" t="s">
        <v>119</v>
      </c>
      <c r="G688" s="339" t="str">
        <f t="shared" si="2"/>
        <v>中山製鋼:豊通Ｈ３(1級)</v>
      </c>
      <c r="H688" s="340">
        <f t="shared" si="3"/>
        <v>34.8</v>
      </c>
      <c r="I688" s="341">
        <v>0.5</v>
      </c>
      <c r="J688" s="332">
        <f>IFERROR(__xludf.DUMMYFUNCTION("IF(IF(COUNTIF(P$2:P687, P688)=0, """", INDEX(H$2:H687,
MAX(FILTER(ROW(H$2:H687) - ROW(H$2) + 1, P$2:P687 = P688))))=""単価"","""",
IF(COUNTIF(P$2:P687, P688)=0, """", INDEX(H$2:H687,
MAX(FILTER(ROW(H$2:H687) - ROW(H$2) + 1, P$2:P687 = P688)))))"),34.3)</f>
        <v>34.3</v>
      </c>
      <c r="N688" s="335" t="str">
        <f>IF(MAXIFS('単価履歴'!$O:$O,'単価履歴'!$E:$E,E688,'単価履歴'!$F:$F,F688)=O688,"●","")</f>
        <v/>
      </c>
      <c r="O688" s="346">
        <v>45713.77377314815</v>
      </c>
      <c r="P688" s="334" t="str">
        <f t="shared" si="4"/>
        <v>中山製鋼:豊通Ｈ３(1級)</v>
      </c>
    </row>
    <row r="689" ht="15.75" customHeight="1">
      <c r="A689" s="335" t="s">
        <v>1888</v>
      </c>
      <c r="B689" s="336">
        <v>45714.0</v>
      </c>
      <c r="C689" s="335" t="s">
        <v>5</v>
      </c>
      <c r="D689" s="335" t="s">
        <v>47</v>
      </c>
      <c r="E689" s="337" t="str">
        <f t="shared" si="1"/>
        <v>中山製鋼:豊通</v>
      </c>
      <c r="F689" s="338" t="s">
        <v>122</v>
      </c>
      <c r="G689" s="339" t="str">
        <f t="shared" si="2"/>
        <v>中山製鋼:豊通Ｌ１(2級)</v>
      </c>
      <c r="H689" s="340">
        <f t="shared" si="3"/>
        <v>28.3</v>
      </c>
      <c r="I689" s="341">
        <v>0.5</v>
      </c>
      <c r="J689" s="332">
        <f>IFERROR(__xludf.DUMMYFUNCTION("IF(IF(COUNTIF(P$2:P688, P689)=0, """", INDEX(H$2:H688,
MAX(FILTER(ROW(H$2:H688) - ROW(H$2) + 1, P$2:P688 = P689))))=""単価"","""",
IF(COUNTIF(P$2:P688, P689)=0, """", INDEX(H$2:H688,
MAX(FILTER(ROW(H$2:H688) - ROW(H$2) + 1, P$2:P688 = P689)))))"),27.8)</f>
        <v>27.8</v>
      </c>
      <c r="N689" s="335" t="str">
        <f>IF(MAXIFS('単価履歴'!$O:$O,'単価履歴'!$E:$E,E689,'単価履歴'!$F:$F,F689)=O689,"●","")</f>
        <v/>
      </c>
      <c r="O689" s="346">
        <v>45713.77377314815</v>
      </c>
      <c r="P689" s="334" t="str">
        <f t="shared" si="4"/>
        <v>中山製鋼:豊通Ｌ１(2級)</v>
      </c>
    </row>
    <row r="690" ht="15.75" customHeight="1">
      <c r="A690" s="335" t="s">
        <v>1889</v>
      </c>
      <c r="B690" s="336">
        <v>45714.0</v>
      </c>
      <c r="C690" s="335" t="s">
        <v>5</v>
      </c>
      <c r="D690" s="335" t="s">
        <v>47</v>
      </c>
      <c r="E690" s="337" t="str">
        <f t="shared" si="1"/>
        <v>中山製鋼:豊通</v>
      </c>
      <c r="F690" s="338" t="s">
        <v>130</v>
      </c>
      <c r="G690" s="339" t="str">
        <f t="shared" si="2"/>
        <v>中山製鋼:豊通新断Ａ</v>
      </c>
      <c r="H690" s="340">
        <f t="shared" si="3"/>
        <v>47.3</v>
      </c>
      <c r="I690" s="341">
        <v>0.5</v>
      </c>
      <c r="J690" s="332">
        <f>IFERROR(__xludf.DUMMYFUNCTION("IF(IF(COUNTIF(P$2:P689, P690)=0, """", INDEX(H$2:H689,
MAX(FILTER(ROW(H$2:H689) - ROW(H$2) + 1, P$2:P689 = P690))))=""単価"","""",
IF(COUNTIF(P$2:P689, P690)=0, """", INDEX(H$2:H689,
MAX(FILTER(ROW(H$2:H689) - ROW(H$2) + 1, P$2:P689 = P690)))))"),46.8)</f>
        <v>46.8</v>
      </c>
      <c r="N690" s="335" t="str">
        <f>IF(MAXIFS('単価履歴'!$O:$O,'単価履歴'!$E:$E,E690,'単価履歴'!$F:$F,F690)=O690,"●","")</f>
        <v/>
      </c>
      <c r="O690" s="346">
        <v>45713.77377314815</v>
      </c>
      <c r="P690" s="334" t="str">
        <f t="shared" si="4"/>
        <v>中山製鋼:豊通新断Ａ</v>
      </c>
    </row>
    <row r="691" ht="15.75" customHeight="1">
      <c r="A691" s="335" t="s">
        <v>1890</v>
      </c>
      <c r="B691" s="336">
        <v>45714.0</v>
      </c>
      <c r="C691" s="335" t="s">
        <v>5</v>
      </c>
      <c r="D691" s="335" t="s">
        <v>47</v>
      </c>
      <c r="E691" s="337" t="str">
        <f t="shared" si="1"/>
        <v>中山製鋼:豊通</v>
      </c>
      <c r="F691" s="338" t="s">
        <v>131</v>
      </c>
      <c r="G691" s="339" t="str">
        <f t="shared" si="2"/>
        <v>中山製鋼:豊通新断Ｂ</v>
      </c>
      <c r="H691" s="340">
        <f t="shared" si="3"/>
        <v>46.3</v>
      </c>
      <c r="I691" s="341">
        <v>0.5</v>
      </c>
      <c r="J691" s="332">
        <f>IFERROR(__xludf.DUMMYFUNCTION("IF(IF(COUNTIF(P$2:P690, P691)=0, """", INDEX(H$2:H690,
MAX(FILTER(ROW(H$2:H690) - ROW(H$2) + 1, P$2:P690 = P691))))=""単価"","""",
IF(COUNTIF(P$2:P690, P691)=0, """", INDEX(H$2:H690,
MAX(FILTER(ROW(H$2:H690) - ROW(H$2) + 1, P$2:P690 = P691)))))"),45.8)</f>
        <v>45.8</v>
      </c>
      <c r="N691" s="335" t="str">
        <f>IF(MAXIFS('単価履歴'!$O:$O,'単価履歴'!$E:$E,E691,'単価履歴'!$F:$F,F691)=O691,"●","")</f>
        <v/>
      </c>
      <c r="O691" s="346">
        <v>45713.77377314815</v>
      </c>
      <c r="P691" s="334" t="str">
        <f t="shared" si="4"/>
        <v>中山製鋼:豊通新断Ｂ</v>
      </c>
    </row>
    <row r="692" ht="15.75" customHeight="1">
      <c r="A692" s="335" t="s">
        <v>1891</v>
      </c>
      <c r="B692" s="336">
        <v>45714.0</v>
      </c>
      <c r="C692" s="335" t="s">
        <v>5</v>
      </c>
      <c r="D692" s="335" t="s">
        <v>47</v>
      </c>
      <c r="E692" s="337" t="str">
        <f t="shared" si="1"/>
        <v>中山製鋼:豊通</v>
      </c>
      <c r="F692" s="338" t="s">
        <v>574</v>
      </c>
      <c r="G692" s="339" t="str">
        <f t="shared" si="2"/>
        <v>中山製鋼:豊通新断Ｃ</v>
      </c>
      <c r="H692" s="340">
        <f t="shared" si="3"/>
        <v>45.3</v>
      </c>
      <c r="I692" s="341">
        <v>0.5</v>
      </c>
      <c r="J692" s="332">
        <f>IFERROR(__xludf.DUMMYFUNCTION("IF(IF(COUNTIF(P$2:P691, P692)=0, """", INDEX(H$2:H691,
MAX(FILTER(ROW(H$2:H691) - ROW(H$2) + 1, P$2:P691 = P692))))=""単価"","""",
IF(COUNTIF(P$2:P691, P692)=0, """", INDEX(H$2:H691,
MAX(FILTER(ROW(H$2:H691) - ROW(H$2) + 1, P$2:P691 = P692)))))"),44.8)</f>
        <v>44.8</v>
      </c>
      <c r="N692" s="335" t="str">
        <f>IF(MAXIFS('単価履歴'!$O:$O,'単価履歴'!$E:$E,E692,'単価履歴'!$F:$F,F692)=O692,"●","")</f>
        <v/>
      </c>
      <c r="O692" s="346">
        <v>45713.77377314815</v>
      </c>
      <c r="P692" s="334" t="str">
        <f t="shared" si="4"/>
        <v>中山製鋼:豊通新断Ｃ</v>
      </c>
    </row>
    <row r="693" ht="15.75" customHeight="1">
      <c r="A693" s="335" t="s">
        <v>1892</v>
      </c>
      <c r="B693" s="336">
        <v>45714.0</v>
      </c>
      <c r="C693" s="335" t="s">
        <v>5</v>
      </c>
      <c r="D693" s="335" t="s">
        <v>1232</v>
      </c>
      <c r="E693" s="337" t="str">
        <f t="shared" si="1"/>
        <v>中山製鋼:豊通/出張商店</v>
      </c>
      <c r="F693" s="338" t="s">
        <v>130</v>
      </c>
      <c r="G693" s="339" t="str">
        <f t="shared" si="2"/>
        <v>中山製鋼:豊通/出張商店新断Ａ</v>
      </c>
      <c r="H693" s="340">
        <f t="shared" si="3"/>
        <v>46.3</v>
      </c>
      <c r="I693" s="341">
        <v>0.5</v>
      </c>
      <c r="J693" s="332">
        <f>IFERROR(__xludf.DUMMYFUNCTION("IF(IF(COUNTIF(P$2:P692, P693)=0, """", INDEX(H$2:H692,
MAX(FILTER(ROW(H$2:H692) - ROW(H$2) + 1, P$2:P692 = P693))))=""単価"","""",
IF(COUNTIF(P$2:P692, P693)=0, """", INDEX(H$2:H692,
MAX(FILTER(ROW(H$2:H692) - ROW(H$2) + 1, P$2:P692 = P693)))))"),45.8)</f>
        <v>45.8</v>
      </c>
      <c r="N693" s="335" t="str">
        <f>IF(MAXIFS('単価履歴'!$O:$O,'単価履歴'!$E:$E,E693,'単価履歴'!$F:$F,F693)=O693,"●","")</f>
        <v/>
      </c>
      <c r="O693" s="346">
        <v>45713.77537037037</v>
      </c>
      <c r="P693" s="334" t="str">
        <f t="shared" si="4"/>
        <v>中山製鋼:豊通/出張商店新断Ａ</v>
      </c>
    </row>
    <row r="694" ht="15.75" customHeight="1">
      <c r="A694" s="335" t="s">
        <v>1893</v>
      </c>
      <c r="B694" s="336">
        <v>45714.0</v>
      </c>
      <c r="C694" s="335" t="s">
        <v>5</v>
      </c>
      <c r="D694" s="335" t="s">
        <v>1234</v>
      </c>
      <c r="E694" s="337" t="str">
        <f t="shared" si="1"/>
        <v>中山製鋼:豊通/中川嘉弘商店</v>
      </c>
      <c r="F694" s="338" t="s">
        <v>130</v>
      </c>
      <c r="G694" s="339" t="str">
        <f t="shared" si="2"/>
        <v>中山製鋼:豊通/中川嘉弘商店新断Ａ</v>
      </c>
      <c r="H694" s="340">
        <f t="shared" si="3"/>
        <v>44.3</v>
      </c>
      <c r="I694" s="341">
        <v>0.5</v>
      </c>
      <c r="J694" s="332">
        <f>IFERROR(__xludf.DUMMYFUNCTION("IF(IF(COUNTIF(P$2:P693, P694)=0, """", INDEX(H$2:H693,
MAX(FILTER(ROW(H$2:H693) - ROW(H$2) + 1, P$2:P693 = P694))))=""単価"","""",
IF(COUNTIF(P$2:P693, P694)=0, """", INDEX(H$2:H693,
MAX(FILTER(ROW(H$2:H693) - ROW(H$2) + 1, P$2:P693 = P694)))))"),43.8)</f>
        <v>43.8</v>
      </c>
      <c r="N694" s="335" t="str">
        <f>IF(MAXIFS('単価履歴'!$O:$O,'単価履歴'!$E:$E,E694,'単価履歴'!$F:$F,F694)=O694,"●","")</f>
        <v/>
      </c>
      <c r="O694" s="346">
        <v>45713.77537037037</v>
      </c>
      <c r="P694" s="334" t="str">
        <f t="shared" si="4"/>
        <v>中山製鋼:豊通/中川嘉弘商店新断Ａ</v>
      </c>
    </row>
    <row r="695" ht="15.75" customHeight="1">
      <c r="A695" s="335" t="s">
        <v>1894</v>
      </c>
      <c r="B695" s="336">
        <v>45717.0</v>
      </c>
      <c r="C695" s="335" t="s">
        <v>7</v>
      </c>
      <c r="D695" s="335" t="s">
        <v>49</v>
      </c>
      <c r="E695" s="337" t="str">
        <f t="shared" si="1"/>
        <v>合同大阪:伊藤忠</v>
      </c>
      <c r="F695" s="338" t="s">
        <v>1199</v>
      </c>
      <c r="G695" s="339" t="str">
        <f t="shared" si="2"/>
        <v>合同大阪:伊藤忠ＨＳ１(単体H1/電特A/HS))</v>
      </c>
      <c r="H695" s="340">
        <f t="shared" si="3"/>
        <v>45.3</v>
      </c>
      <c r="I695" s="341">
        <v>0.5</v>
      </c>
      <c r="J695" s="332">
        <f>IFERROR(__xludf.DUMMYFUNCTION("IF(IF(COUNTIF(P$2:P694, P695)=0, """", INDEX(H$2:H694,
MAX(FILTER(ROW(H$2:H694) - ROW(H$2) + 1, P$2:P694 = P695))))=""単価"","""",
IF(COUNTIF(P$2:P694, P695)=0, """", INDEX(H$2:H694,
MAX(FILTER(ROW(H$2:H694) - ROW(H$2) + 1, P$2:P694 = P695)))))"),44.8)</f>
        <v>44.8</v>
      </c>
      <c r="N695" s="335" t="str">
        <f>IF(MAXIFS('単価履歴'!$O:$O,'単価履歴'!$E:$E,E695,'単価履歴'!$F:$F,F695)=O695,"●","")</f>
        <v/>
      </c>
      <c r="O695" s="346">
        <v>45717.26899305556</v>
      </c>
      <c r="P695" s="334" t="str">
        <f t="shared" si="4"/>
        <v>合同大阪:伊藤忠ＨＳ１(単体H1/電特A/HS))</v>
      </c>
    </row>
    <row r="696" ht="15.75" customHeight="1">
      <c r="A696" s="335" t="s">
        <v>1895</v>
      </c>
      <c r="B696" s="336">
        <v>45717.0</v>
      </c>
      <c r="C696" s="335" t="s">
        <v>7</v>
      </c>
      <c r="D696" s="335" t="s">
        <v>49</v>
      </c>
      <c r="E696" s="337" t="str">
        <f t="shared" si="1"/>
        <v>合同大阪:伊藤忠</v>
      </c>
      <c r="F696" s="338" t="s">
        <v>101</v>
      </c>
      <c r="G696" s="339" t="str">
        <f t="shared" si="2"/>
        <v>合同大阪:伊藤忠ＨＳ２</v>
      </c>
      <c r="H696" s="340">
        <f t="shared" si="3"/>
        <v>44.8</v>
      </c>
      <c r="I696" s="341">
        <v>0.5</v>
      </c>
      <c r="J696" s="332">
        <f>IFERROR(__xludf.DUMMYFUNCTION("IF(IF(COUNTIF(P$2:P695, P696)=0, """", INDEX(H$2:H695,
MAX(FILTER(ROW(H$2:H695) - ROW(H$2) + 1, P$2:P695 = P696))))=""単価"","""",
IF(COUNTIF(P$2:P695, P696)=0, """", INDEX(H$2:H695,
MAX(FILTER(ROW(H$2:H695) - ROW(H$2) + 1, P$2:P695 = P696)))))"),44.3)</f>
        <v>44.3</v>
      </c>
      <c r="N696" s="335" t="str">
        <f>IF(MAXIFS('単価履歴'!$O:$O,'単価履歴'!$E:$E,E696,'単価履歴'!$F:$F,F696)=O696,"●","")</f>
        <v/>
      </c>
      <c r="O696" s="346">
        <v>45717.26899305556</v>
      </c>
      <c r="P696" s="334" t="str">
        <f t="shared" si="4"/>
        <v>合同大阪:伊藤忠ＨＳ２</v>
      </c>
    </row>
    <row r="697" ht="15.75" customHeight="1">
      <c r="A697" s="335" t="s">
        <v>1896</v>
      </c>
      <c r="B697" s="336">
        <v>45717.0</v>
      </c>
      <c r="C697" s="335" t="s">
        <v>7</v>
      </c>
      <c r="D697" s="335" t="s">
        <v>49</v>
      </c>
      <c r="E697" s="337" t="str">
        <f t="shared" si="1"/>
        <v>合同大阪:伊藤忠</v>
      </c>
      <c r="F697" s="338" t="s">
        <v>130</v>
      </c>
      <c r="G697" s="339" t="str">
        <f t="shared" si="2"/>
        <v>合同大阪:伊藤忠新断Ａ</v>
      </c>
      <c r="H697" s="340">
        <f t="shared" si="3"/>
        <v>46.8</v>
      </c>
      <c r="I697" s="341">
        <v>1.0</v>
      </c>
      <c r="J697" s="332">
        <f>IFERROR(__xludf.DUMMYFUNCTION("IF(IF(COUNTIF(P$2:P696, P697)=0, """", INDEX(H$2:H696,
MAX(FILTER(ROW(H$2:H696) - ROW(H$2) + 1, P$2:P696 = P697))))=""単価"","""",
IF(COUNTIF(P$2:P696, P697)=0, """", INDEX(H$2:H696,
MAX(FILTER(ROW(H$2:H696) - ROW(H$2) + 1, P$2:P696 = P697)))))"),45.8)</f>
        <v>45.8</v>
      </c>
      <c r="N697" s="335" t="str">
        <f>IF(MAXIFS('単価履歴'!$O:$O,'単価履歴'!$E:$E,E697,'単価履歴'!$F:$F,F697)=O697,"●","")</f>
        <v/>
      </c>
      <c r="O697" s="346">
        <v>45717.26936342593</v>
      </c>
      <c r="P697" s="334" t="str">
        <f t="shared" si="4"/>
        <v>合同大阪:伊藤忠新断Ａ</v>
      </c>
    </row>
    <row r="698" ht="15.75" customHeight="1">
      <c r="A698" s="335" t="s">
        <v>1897</v>
      </c>
      <c r="B698" s="336">
        <v>45717.0</v>
      </c>
      <c r="C698" s="335" t="s">
        <v>7</v>
      </c>
      <c r="D698" s="335" t="s">
        <v>49</v>
      </c>
      <c r="E698" s="337" t="str">
        <f t="shared" si="1"/>
        <v>合同大阪:伊藤忠</v>
      </c>
      <c r="F698" s="338" t="s">
        <v>131</v>
      </c>
      <c r="G698" s="339" t="str">
        <f t="shared" si="2"/>
        <v>合同大阪:伊藤忠新断Ｂ</v>
      </c>
      <c r="H698" s="340">
        <f t="shared" si="3"/>
        <v>46.3</v>
      </c>
      <c r="I698" s="341">
        <v>1.0</v>
      </c>
      <c r="J698" s="332">
        <f>IFERROR(__xludf.DUMMYFUNCTION("IF(IF(COUNTIF(P$2:P697, P698)=0, """", INDEX(H$2:H697,
MAX(FILTER(ROW(H$2:H697) - ROW(H$2) + 1, P$2:P697 = P698))))=""単価"","""",
IF(COUNTIF(P$2:P697, P698)=0, """", INDEX(H$2:H697,
MAX(FILTER(ROW(H$2:H697) - ROW(H$2) + 1, P$2:P697 = P698)))))"),45.3)</f>
        <v>45.3</v>
      </c>
      <c r="N698" s="335" t="str">
        <f>IF(MAXIFS('単価履歴'!$O:$O,'単価履歴'!$E:$E,E698,'単価履歴'!$F:$F,F698)=O698,"●","")</f>
        <v/>
      </c>
      <c r="O698" s="346">
        <v>45717.26936342593</v>
      </c>
      <c r="P698" s="334" t="str">
        <f t="shared" si="4"/>
        <v>合同大阪:伊藤忠新断Ｂ</v>
      </c>
    </row>
    <row r="699" ht="15.75" customHeight="1">
      <c r="A699" s="335" t="s">
        <v>1898</v>
      </c>
      <c r="B699" s="336">
        <v>45720.0</v>
      </c>
      <c r="C699" s="335" t="s">
        <v>6</v>
      </c>
      <c r="D699" s="335" t="s">
        <v>48</v>
      </c>
      <c r="E699" s="337" t="str">
        <f t="shared" si="1"/>
        <v>中山鋼業:ナベ</v>
      </c>
      <c r="F699" s="338" t="s">
        <v>111</v>
      </c>
      <c r="G699" s="339" t="str">
        <f t="shared" si="2"/>
        <v>中山鋼業:ナベＨ１(特A)</v>
      </c>
      <c r="H699" s="340">
        <f t="shared" si="3"/>
        <v>46</v>
      </c>
      <c r="I699" s="341">
        <v>1.5</v>
      </c>
      <c r="J699" s="332">
        <f>IFERROR(__xludf.DUMMYFUNCTION("IF(IF(COUNTIF(P$2:P698, P699)=0, """", INDEX(H$2:H698,
MAX(FILTER(ROW(H$2:H698) - ROW(H$2) + 1, P$2:P698 = P699))))=""単価"","""",
IF(COUNTIF(P$2:P698, P699)=0, """", INDEX(H$2:H698,
MAX(FILTER(ROW(H$2:H698) - ROW(H$2) + 1, P$2:P698 = P699)))))"),44.5)</f>
        <v>44.5</v>
      </c>
      <c r="N699" s="335" t="str">
        <f>IF(MAXIFS('単価履歴'!$O:$O,'単価履歴'!$E:$E,E699,'単価履歴'!$F:$F,F699)=O699,"●","")</f>
        <v/>
      </c>
      <c r="O699" s="346">
        <v>45720.27313657408</v>
      </c>
      <c r="P699" s="334" t="str">
        <f t="shared" si="4"/>
        <v>中山鋼業:ナベＨ１(特A)</v>
      </c>
    </row>
    <row r="700" ht="15.75" customHeight="1">
      <c r="A700" s="335" t="s">
        <v>1899</v>
      </c>
      <c r="B700" s="336">
        <v>45720.0</v>
      </c>
      <c r="C700" s="335" t="s">
        <v>6</v>
      </c>
      <c r="D700" s="335" t="s">
        <v>48</v>
      </c>
      <c r="E700" s="337" t="str">
        <f t="shared" si="1"/>
        <v>中山鋼業:ナベ</v>
      </c>
      <c r="F700" s="338" t="s">
        <v>1237</v>
      </c>
      <c r="G700" s="339" t="str">
        <f t="shared" si="2"/>
        <v>中山鋼業:ナベＪＨ１(H2T山口)鍛造ﾊﾞﾘ</v>
      </c>
      <c r="H700" s="340">
        <f t="shared" si="3"/>
        <v>44.7</v>
      </c>
      <c r="I700" s="341">
        <v>1.0</v>
      </c>
      <c r="J700" s="332">
        <f>IFERROR(__xludf.DUMMYFUNCTION("IF(IF(COUNTIF(P$2:P699, P700)=0, """", INDEX(H$2:H699,
MAX(FILTER(ROW(H$2:H699) - ROW(H$2) + 1, P$2:P699 = P700))))=""単価"","""",
IF(COUNTIF(P$2:P699, P700)=0, """", INDEX(H$2:H699,
MAX(FILTER(ROW(H$2:H699) - ROW(H$2) + 1, P$2:P699 = P700)))))"),43.7)</f>
        <v>43.7</v>
      </c>
      <c r="N700" s="335" t="str">
        <f>IF(MAXIFS('単価履歴'!$O:$O,'単価履歴'!$E:$E,E700,'単価履歴'!$F:$F,F700)=O700,"●","")</f>
        <v/>
      </c>
      <c r="O700" s="346">
        <v>45720.273888888885</v>
      </c>
      <c r="P700" s="334" t="str">
        <f t="shared" si="4"/>
        <v>中山鋼業:ナベＪＨ１(H2T山口)鍛造ﾊﾞﾘ</v>
      </c>
    </row>
    <row r="701" ht="15.75" customHeight="1">
      <c r="A701" s="335" t="s">
        <v>1900</v>
      </c>
      <c r="B701" s="336">
        <v>45720.0</v>
      </c>
      <c r="C701" s="335" t="s">
        <v>6</v>
      </c>
      <c r="D701" s="335" t="s">
        <v>48</v>
      </c>
      <c r="E701" s="337" t="str">
        <f t="shared" si="1"/>
        <v>中山鋼業:ナベ</v>
      </c>
      <c r="F701" s="338" t="s">
        <v>116</v>
      </c>
      <c r="G701" s="339" t="str">
        <f t="shared" si="2"/>
        <v>中山鋼業:ナベＨ２(特級)</v>
      </c>
      <c r="H701" s="340">
        <f t="shared" si="3"/>
        <v>43.5</v>
      </c>
      <c r="I701" s="341">
        <v>1.0</v>
      </c>
      <c r="J701" s="332">
        <f>IFERROR(__xludf.DUMMYFUNCTION("IF(IF(COUNTIF(P$2:P700, P701)=0, """", INDEX(H$2:H700,
MAX(FILTER(ROW(H$2:H700) - ROW(H$2) + 1, P$2:P700 = P701))))=""単価"","""",
IF(COUNTIF(P$2:P700, P701)=0, """", INDEX(H$2:H700,
MAX(FILTER(ROW(H$2:H700) - ROW(H$2) + 1, P$2:P700 = P701)))))"),42.5)</f>
        <v>42.5</v>
      </c>
      <c r="N701" s="335" t="str">
        <f>IF(MAXIFS('単価履歴'!$O:$O,'単価履歴'!$E:$E,E701,'単価履歴'!$F:$F,F701)=O701,"●","")</f>
        <v/>
      </c>
      <c r="O701" s="346">
        <v>45720.273888888885</v>
      </c>
      <c r="P701" s="334" t="str">
        <f t="shared" si="4"/>
        <v>中山鋼業:ナベＨ２(特級)</v>
      </c>
    </row>
    <row r="702" ht="15.75" customHeight="1">
      <c r="A702" s="335" t="s">
        <v>1901</v>
      </c>
      <c r="B702" s="336">
        <v>45720.0</v>
      </c>
      <c r="C702" s="335" t="s">
        <v>6</v>
      </c>
      <c r="D702" s="335" t="s">
        <v>48</v>
      </c>
      <c r="E702" s="337" t="str">
        <f t="shared" si="1"/>
        <v>中山鋼業:ナベ</v>
      </c>
      <c r="F702" s="338" t="s">
        <v>119</v>
      </c>
      <c r="G702" s="339" t="str">
        <f t="shared" si="2"/>
        <v>中山鋼業:ナベＨ３(1級)</v>
      </c>
      <c r="H702" s="340">
        <f t="shared" si="3"/>
        <v>42</v>
      </c>
      <c r="I702" s="341">
        <v>1.0</v>
      </c>
      <c r="J702" s="332">
        <f>IFERROR(__xludf.DUMMYFUNCTION("IF(IF(COUNTIF(P$2:P701, P702)=0, """", INDEX(H$2:H701,
MAX(FILTER(ROW(H$2:H701) - ROW(H$2) + 1, P$2:P701 = P702))))=""単価"","""",
IF(COUNTIF(P$2:P701, P702)=0, """", INDEX(H$2:H701,
MAX(FILTER(ROW(H$2:H701) - ROW(H$2) + 1, P$2:P701 = P702)))))"),41.0)</f>
        <v>41</v>
      </c>
      <c r="N702" s="335" t="str">
        <f>IF(MAXIFS('単価履歴'!$O:$O,'単価履歴'!$E:$E,E702,'単価履歴'!$F:$F,F702)=O702,"●","")</f>
        <v/>
      </c>
      <c r="O702" s="346">
        <v>45720.273888888885</v>
      </c>
      <c r="P702" s="334" t="str">
        <f t="shared" si="4"/>
        <v>中山鋼業:ナベＨ３(1級)</v>
      </c>
    </row>
    <row r="703" ht="15.75" customHeight="1">
      <c r="A703" s="335" t="s">
        <v>1902</v>
      </c>
      <c r="B703" s="336">
        <v>45720.0</v>
      </c>
      <c r="C703" s="335" t="s">
        <v>6</v>
      </c>
      <c r="D703" s="335" t="s">
        <v>48</v>
      </c>
      <c r="E703" s="337" t="str">
        <f t="shared" si="1"/>
        <v>中山鋼業:ナベ</v>
      </c>
      <c r="F703" s="338" t="s">
        <v>122</v>
      </c>
      <c r="G703" s="339" t="str">
        <f t="shared" si="2"/>
        <v>中山鋼業:ナベＬ１(2級)</v>
      </c>
      <c r="H703" s="340">
        <f t="shared" si="3"/>
        <v>41.5</v>
      </c>
      <c r="I703" s="341">
        <v>1.0</v>
      </c>
      <c r="J703" s="332">
        <f>IFERROR(__xludf.DUMMYFUNCTION("IF(IF(COUNTIF(P$2:P702, P703)=0, """", INDEX(H$2:H702,
MAX(FILTER(ROW(H$2:H702) - ROW(H$2) + 1, P$2:P702 = P703))))=""単価"","""",
IF(COUNTIF(P$2:P702, P703)=0, """", INDEX(H$2:H702,
MAX(FILTER(ROW(H$2:H702) - ROW(H$2) + 1, P$2:P702 = P703)))))"),40.5)</f>
        <v>40.5</v>
      </c>
      <c r="N703" s="335" t="str">
        <f>IF(MAXIFS('単価履歴'!$O:$O,'単価履歴'!$E:$E,E703,'単価履歴'!$F:$F,F703)=O703,"●","")</f>
        <v/>
      </c>
      <c r="O703" s="346">
        <v>45720.273888888885</v>
      </c>
      <c r="P703" s="334" t="str">
        <f t="shared" si="4"/>
        <v>中山鋼業:ナベＬ１(2級)</v>
      </c>
    </row>
    <row r="704" ht="15.75" customHeight="1">
      <c r="A704" s="335" t="s">
        <v>1903</v>
      </c>
      <c r="B704" s="336">
        <v>45720.0</v>
      </c>
      <c r="C704" s="335" t="s">
        <v>6</v>
      </c>
      <c r="D704" s="335" t="s">
        <v>48</v>
      </c>
      <c r="E704" s="337" t="str">
        <f t="shared" si="1"/>
        <v>中山鋼業:ナベ</v>
      </c>
      <c r="F704" s="338" t="s">
        <v>573</v>
      </c>
      <c r="G704" s="339" t="str">
        <f t="shared" si="2"/>
        <v>中山鋼業:ナベＬ２(H4･級外･L1ﾊﾞﾗ)</v>
      </c>
      <c r="H704" s="340">
        <f t="shared" si="3"/>
        <v>38</v>
      </c>
      <c r="I704" s="341">
        <v>1.0</v>
      </c>
      <c r="J704" s="332">
        <f>IFERROR(__xludf.DUMMYFUNCTION("IF(IF(COUNTIF(P$2:P703, P704)=0, """", INDEX(H$2:H703,
MAX(FILTER(ROW(H$2:H703) - ROW(H$2) + 1, P$2:P703 = P704))))=""単価"","""",
IF(COUNTIF(P$2:P703, P704)=0, """", INDEX(H$2:H703,
MAX(FILTER(ROW(H$2:H703) - ROW(H$2) + 1, P$2:P703 = P704)))))"),37.0)</f>
        <v>37</v>
      </c>
      <c r="N704" s="335" t="str">
        <f>IF(MAXIFS('単価履歴'!$O:$O,'単価履歴'!$E:$E,E704,'単価履歴'!$F:$F,F704)=O704,"●","")</f>
        <v/>
      </c>
      <c r="O704" s="346">
        <v>45720.273888888885</v>
      </c>
      <c r="P704" s="334" t="str">
        <f t="shared" si="4"/>
        <v>中山鋼業:ナベＬ２(H4･級外･L1ﾊﾞﾗ)</v>
      </c>
    </row>
    <row r="705" ht="15.75" customHeight="1">
      <c r="A705" s="335" t="s">
        <v>1904</v>
      </c>
      <c r="B705" s="336">
        <v>45720.0</v>
      </c>
      <c r="C705" s="335" t="s">
        <v>6</v>
      </c>
      <c r="D705" s="335" t="s">
        <v>48</v>
      </c>
      <c r="E705" s="337" t="str">
        <f t="shared" si="1"/>
        <v>中山鋼業:ナベ</v>
      </c>
      <c r="F705" s="338" t="s">
        <v>575</v>
      </c>
      <c r="G705" s="339" t="str">
        <f t="shared" si="2"/>
        <v>中山鋼業:ナベ鋼ダライＡ</v>
      </c>
      <c r="H705" s="340">
        <f t="shared" si="3"/>
        <v>36.2</v>
      </c>
      <c r="I705" s="341">
        <v>0.5</v>
      </c>
      <c r="J705" s="332">
        <f>IFERROR(__xludf.DUMMYFUNCTION("IF(IF(COUNTIF(P$2:P704, P705)=0, """", INDEX(H$2:H704,
MAX(FILTER(ROW(H$2:H704) - ROW(H$2) + 1, P$2:P704 = P705))))=""単価"","""",
IF(COUNTIF(P$2:P704, P705)=0, """", INDEX(H$2:H704,
MAX(FILTER(ROW(H$2:H704) - ROW(H$2) + 1, P$2:P704 = P705)))))"),35.7)</f>
        <v>35.7</v>
      </c>
      <c r="N705" s="335" t="str">
        <f>IF(MAXIFS('単価履歴'!$O:$O,'単価履歴'!$E:$E,E705,'単価履歴'!$F:$F,F705)=O705,"●","")</f>
        <v/>
      </c>
      <c r="O705" s="346">
        <v>45720.274733796294</v>
      </c>
      <c r="P705" s="334" t="str">
        <f t="shared" si="4"/>
        <v>中山鋼業:ナベ鋼ダライＡ</v>
      </c>
    </row>
    <row r="706" ht="15.75" customHeight="1">
      <c r="A706" s="335" t="s">
        <v>1905</v>
      </c>
      <c r="B706" s="336">
        <v>45724.0</v>
      </c>
      <c r="C706" s="335" t="s">
        <v>12</v>
      </c>
      <c r="D706" s="335" t="s">
        <v>53</v>
      </c>
      <c r="E706" s="337" t="str">
        <f t="shared" si="1"/>
        <v>山陽特殊:MM</v>
      </c>
      <c r="F706" s="338" t="s">
        <v>130</v>
      </c>
      <c r="G706" s="339" t="str">
        <f t="shared" si="2"/>
        <v>山陽特殊:MM新断Ａ</v>
      </c>
      <c r="H706" s="340">
        <f t="shared" si="3"/>
        <v>45</v>
      </c>
      <c r="I706" s="341">
        <v>1.0</v>
      </c>
      <c r="J706" s="332">
        <f>IFERROR(__xludf.DUMMYFUNCTION("IF(IF(COUNTIF(P$2:P705, P706)=0, """", INDEX(H$2:H705,
MAX(FILTER(ROW(H$2:H705) - ROW(H$2) + 1, P$2:P705 = P706))))=""単価"","""",
IF(COUNTIF(P$2:P705, P706)=0, """", INDEX(H$2:H705,
MAX(FILTER(ROW(H$2:H705) - ROW(H$2) + 1, P$2:P705 = P706)))))"),44.0)</f>
        <v>44</v>
      </c>
      <c r="N706" s="335" t="str">
        <f>IF(MAXIFS('単価履歴'!$O:$O,'単価履歴'!$E:$E,E706,'単価履歴'!$F:$F,F706)=O706,"●","")</f>
        <v/>
      </c>
      <c r="O706" s="346">
        <v>45723.7290162037</v>
      </c>
      <c r="P706" s="334" t="str">
        <f t="shared" si="4"/>
        <v>山陽特殊:MM新断Ａ</v>
      </c>
    </row>
    <row r="707" ht="15.75" customHeight="1">
      <c r="A707" s="335" t="s">
        <v>1906</v>
      </c>
      <c r="B707" s="336">
        <v>45724.0</v>
      </c>
      <c r="C707" s="335" t="s">
        <v>12</v>
      </c>
      <c r="D707" s="335" t="s">
        <v>53</v>
      </c>
      <c r="E707" s="337" t="str">
        <f t="shared" si="1"/>
        <v>山陽特殊:MM</v>
      </c>
      <c r="F707" s="338" t="s">
        <v>131</v>
      </c>
      <c r="G707" s="339" t="str">
        <f t="shared" si="2"/>
        <v>山陽特殊:MM新断Ｂ</v>
      </c>
      <c r="H707" s="340">
        <f t="shared" si="3"/>
        <v>44</v>
      </c>
      <c r="I707" s="341">
        <v>1.0</v>
      </c>
      <c r="J707" s="332">
        <f>IFERROR(__xludf.DUMMYFUNCTION("IF(IF(COUNTIF(P$2:P706, P707)=0, """", INDEX(H$2:H706,
MAX(FILTER(ROW(H$2:H706) - ROW(H$2) + 1, P$2:P706 = P707))))=""単価"","""",
IF(COUNTIF(P$2:P706, P707)=0, """", INDEX(H$2:H706,
MAX(FILTER(ROW(H$2:H706) - ROW(H$2) + 1, P$2:P706 = P707)))))"),43.0)</f>
        <v>43</v>
      </c>
      <c r="N707" s="335" t="str">
        <f>IF(MAXIFS('単価履歴'!$O:$O,'単価履歴'!$E:$E,E707,'単価履歴'!$F:$F,F707)=O707,"●","")</f>
        <v/>
      </c>
      <c r="O707" s="346">
        <v>45723.7290162037</v>
      </c>
      <c r="P707" s="334" t="str">
        <f t="shared" si="4"/>
        <v>山陽特殊:MM新断Ｂ</v>
      </c>
    </row>
    <row r="708" ht="15.75" customHeight="1">
      <c r="A708" s="335" t="s">
        <v>1907</v>
      </c>
      <c r="B708" s="336">
        <v>45724.0</v>
      </c>
      <c r="C708" s="335" t="s">
        <v>14</v>
      </c>
      <c r="D708" s="335" t="s">
        <v>46</v>
      </c>
      <c r="E708" s="337" t="str">
        <f t="shared" si="1"/>
        <v>愛知:阪和</v>
      </c>
      <c r="F708" s="338" t="s">
        <v>130</v>
      </c>
      <c r="G708" s="339" t="str">
        <f t="shared" si="2"/>
        <v>愛知:阪和新断Ａ</v>
      </c>
      <c r="H708" s="340">
        <f t="shared" si="3"/>
        <v>43</v>
      </c>
      <c r="I708" s="341">
        <v>1.0</v>
      </c>
      <c r="J708" s="332">
        <f>IFERROR(__xludf.DUMMYFUNCTION("IF(IF(COUNTIF(P$2:P707, P708)=0, """", INDEX(H$2:H707,
MAX(FILTER(ROW(H$2:H707) - ROW(H$2) + 1, P$2:P707 = P708))))=""単価"","""",
IF(COUNTIF(P$2:P707, P708)=0, """", INDEX(H$2:H707,
MAX(FILTER(ROW(H$2:H707) - ROW(H$2) + 1, P$2:P707 = P708)))))"),42.0)</f>
        <v>42</v>
      </c>
      <c r="N708" s="335" t="str">
        <f>IF(MAXIFS('単価履歴'!$O:$O,'単価履歴'!$E:$E,E708,'単価履歴'!$F:$F,F708)=O708,"●","")</f>
        <v/>
      </c>
      <c r="O708" s="346">
        <v>45723.737916666665</v>
      </c>
      <c r="P708" s="334" t="str">
        <f t="shared" si="4"/>
        <v>愛知:阪和新断Ａ</v>
      </c>
    </row>
    <row r="709" ht="15.75" customHeight="1">
      <c r="A709" s="335" t="s">
        <v>1908</v>
      </c>
      <c r="B709" s="336">
        <v>45724.0</v>
      </c>
      <c r="C709" s="335" t="s">
        <v>14</v>
      </c>
      <c r="D709" s="335" t="s">
        <v>46</v>
      </c>
      <c r="E709" s="337" t="str">
        <f t="shared" si="1"/>
        <v>愛知:阪和</v>
      </c>
      <c r="F709" s="338" t="s">
        <v>131</v>
      </c>
      <c r="G709" s="339" t="str">
        <f t="shared" si="2"/>
        <v>愛知:阪和新断Ｂ</v>
      </c>
      <c r="H709" s="340">
        <f t="shared" si="3"/>
        <v>42</v>
      </c>
      <c r="I709" s="341">
        <v>1.0</v>
      </c>
      <c r="J709" s="332">
        <f>IFERROR(__xludf.DUMMYFUNCTION("IF(IF(COUNTIF(P$2:P708, P709)=0, """", INDEX(H$2:H708,
MAX(FILTER(ROW(H$2:H708) - ROW(H$2) + 1, P$2:P708 = P709))))=""単価"","""",
IF(COUNTIF(P$2:P708, P709)=0, """", INDEX(H$2:H708,
MAX(FILTER(ROW(H$2:H708) - ROW(H$2) + 1, P$2:P708 = P709)))))"),41.0)</f>
        <v>41</v>
      </c>
      <c r="N709" s="335" t="str">
        <f>IF(MAXIFS('単価履歴'!$O:$O,'単価履歴'!$E:$E,E709,'単価履歴'!$F:$F,F709)=O709,"●","")</f>
        <v/>
      </c>
      <c r="O709" s="346">
        <v>45723.737916666665</v>
      </c>
      <c r="P709" s="334" t="str">
        <f t="shared" si="4"/>
        <v>愛知:阪和新断Ｂ</v>
      </c>
    </row>
    <row r="710" ht="15.75" customHeight="1">
      <c r="A710" s="335" t="s">
        <v>1909</v>
      </c>
      <c r="B710" s="336">
        <v>45724.0</v>
      </c>
      <c r="C710" s="335" t="s">
        <v>14</v>
      </c>
      <c r="D710" s="335" t="s">
        <v>46</v>
      </c>
      <c r="E710" s="337" t="str">
        <f t="shared" si="1"/>
        <v>愛知:阪和</v>
      </c>
      <c r="F710" s="338" t="s">
        <v>145</v>
      </c>
      <c r="G710" s="339" t="str">
        <f t="shared" si="2"/>
        <v>愛知:阪和シュレＡ</v>
      </c>
      <c r="H710" s="340">
        <f t="shared" si="3"/>
        <v>43</v>
      </c>
      <c r="I710" s="341">
        <v>1.0</v>
      </c>
      <c r="J710" s="332">
        <f>IFERROR(__xludf.DUMMYFUNCTION("IF(IF(COUNTIF(P$2:P709, P710)=0, """", INDEX(H$2:H709,
MAX(FILTER(ROW(H$2:H709) - ROW(H$2) + 1, P$2:P709 = P710))))=""単価"","""",
IF(COUNTIF(P$2:P709, P710)=0, """", INDEX(H$2:H709,
MAX(FILTER(ROW(H$2:H709) - ROW(H$2) + 1, P$2:P709 = P710)))))"),42.0)</f>
        <v>42</v>
      </c>
      <c r="N710" s="335" t="str">
        <f>IF(MAXIFS('単価履歴'!$O:$O,'単価履歴'!$E:$E,E710,'単価履歴'!$F:$F,F710)=O710,"●","")</f>
        <v/>
      </c>
      <c r="O710" s="346">
        <v>45723.737916666665</v>
      </c>
      <c r="P710" s="334" t="str">
        <f t="shared" si="4"/>
        <v>愛知:阪和シュレＡ</v>
      </c>
    </row>
    <row r="711" ht="15.75" customHeight="1">
      <c r="A711" s="335" t="s">
        <v>1910</v>
      </c>
      <c r="B711" s="336">
        <v>45724.0</v>
      </c>
      <c r="C711" s="335" t="s">
        <v>12</v>
      </c>
      <c r="D711" s="335" t="s">
        <v>53</v>
      </c>
      <c r="E711" s="337" t="str">
        <f t="shared" si="1"/>
        <v>山陽特殊:MM</v>
      </c>
      <c r="F711" s="338" t="s">
        <v>574</v>
      </c>
      <c r="G711" s="339" t="str">
        <f t="shared" si="2"/>
        <v>山陽特殊:MM新断Ｃ</v>
      </c>
      <c r="H711" s="340">
        <f t="shared" si="3"/>
        <v>43</v>
      </c>
      <c r="I711" s="341">
        <v>1.0</v>
      </c>
      <c r="J711" s="332">
        <f>IFERROR(__xludf.DUMMYFUNCTION("IF(IF(COUNTIF(P$2:P710, P711)=0, """", INDEX(H$2:H710,
MAX(FILTER(ROW(H$2:H710) - ROW(H$2) + 1, P$2:P710 = P711))))=""単価"","""",
IF(COUNTIF(P$2:P710, P711)=0, """", INDEX(H$2:H710,
MAX(FILTER(ROW(H$2:H710) - ROW(H$2) + 1, P$2:P710 = P711)))))"),42.0)</f>
        <v>42</v>
      </c>
      <c r="N711" s="335" t="str">
        <f>IF(MAXIFS('単価履歴'!$O:$O,'単価履歴'!$E:$E,E711,'単価履歴'!$F:$F,F711)=O711,"●","")</f>
        <v/>
      </c>
      <c r="O711" s="346">
        <v>45723.74638888889</v>
      </c>
      <c r="P711" s="334" t="str">
        <f t="shared" si="4"/>
        <v>山陽特殊:MM新断Ｃ</v>
      </c>
    </row>
    <row r="712" ht="15.75" customHeight="1">
      <c r="A712" s="335" t="s">
        <v>1911</v>
      </c>
      <c r="B712" s="336">
        <v>45731.0</v>
      </c>
      <c r="C712" s="335" t="s">
        <v>13</v>
      </c>
      <c r="D712" s="335" t="s">
        <v>49</v>
      </c>
      <c r="E712" s="337" t="str">
        <f t="shared" si="1"/>
        <v>ｸﾎﾞﾀ:伊藤忠</v>
      </c>
      <c r="F712" s="338" t="s">
        <v>130</v>
      </c>
      <c r="G712" s="339" t="str">
        <f t="shared" si="2"/>
        <v>ｸﾎﾞﾀ:伊藤忠新断Ａ</v>
      </c>
      <c r="H712" s="340">
        <f t="shared" si="3"/>
        <v>49.2</v>
      </c>
      <c r="I712" s="341">
        <v>0.5</v>
      </c>
      <c r="J712" s="332">
        <f>IFERROR(__xludf.DUMMYFUNCTION("IF(IF(COUNTIF(P$2:P711, P712)=0, """", INDEX(H$2:H711,
MAX(FILTER(ROW(H$2:H711) - ROW(H$2) + 1, P$2:P711 = P712))))=""単価"","""",
IF(COUNTIF(P$2:P711, P712)=0, """", INDEX(H$2:H711,
MAX(FILTER(ROW(H$2:H711) - ROW(H$2) + 1, P$2:P711 = P712)))))"),48.7)</f>
        <v>48.7</v>
      </c>
      <c r="N712" s="335" t="str">
        <f>IF(MAXIFS('単価履歴'!$O:$O,'単価履歴'!$E:$E,E712,'単価履歴'!$F:$F,F712)=O712,"●","")</f>
        <v/>
      </c>
      <c r="O712" s="346">
        <v>45730.72084490741</v>
      </c>
      <c r="P712" s="334" t="str">
        <f t="shared" si="4"/>
        <v>ｸﾎﾞﾀ:伊藤忠新断Ａ</v>
      </c>
    </row>
    <row r="713" ht="15.75" customHeight="1">
      <c r="A713" s="335" t="s">
        <v>1912</v>
      </c>
      <c r="B713" s="336">
        <v>45731.0</v>
      </c>
      <c r="C713" s="335" t="s">
        <v>35</v>
      </c>
      <c r="D713" s="335" t="s">
        <v>48</v>
      </c>
      <c r="E713" s="337" t="str">
        <f t="shared" si="1"/>
        <v>ﾆｭｰｽｺﾝ稲永:ナベ</v>
      </c>
      <c r="F713" s="338" t="s">
        <v>130</v>
      </c>
      <c r="G713" s="339" t="str">
        <f t="shared" si="2"/>
        <v>ﾆｭｰｽｺﾝ稲永:ナベ新断Ａ</v>
      </c>
      <c r="H713" s="340">
        <f t="shared" si="3"/>
        <v>44</v>
      </c>
      <c r="I713" s="341">
        <v>1.0</v>
      </c>
      <c r="J713" s="332">
        <f>IFERROR(__xludf.DUMMYFUNCTION("IF(IF(COUNTIF(P$2:P712, P713)=0, """", INDEX(H$2:H712,
MAX(FILTER(ROW(H$2:H712) - ROW(H$2) + 1, P$2:P712 = P713))))=""単価"","""",
IF(COUNTIF(P$2:P712, P713)=0, """", INDEX(H$2:H712,
MAX(FILTER(ROW(H$2:H712) - ROW(H$2) + 1, P$2:P712 = P713)))))"),43.0)</f>
        <v>43</v>
      </c>
      <c r="N713" s="335" t="str">
        <f>IF(MAXIFS('単価履歴'!$O:$O,'単価履歴'!$E:$E,E713,'単価履歴'!$F:$F,F713)=O713,"●","")</f>
        <v/>
      </c>
      <c r="O713" s="346">
        <v>45730.790185185186</v>
      </c>
      <c r="P713" s="334" t="str">
        <f t="shared" si="4"/>
        <v>ﾆｭｰｽｺﾝ稲永:ナベ新断Ａ</v>
      </c>
    </row>
    <row r="714" ht="15.75" customHeight="1">
      <c r="A714" s="335" t="s">
        <v>1913</v>
      </c>
      <c r="B714" s="336">
        <v>45738.0</v>
      </c>
      <c r="C714" s="335" t="s">
        <v>532</v>
      </c>
      <c r="D714" s="335" t="s">
        <v>77</v>
      </c>
      <c r="E714" s="337" t="str">
        <f t="shared" si="1"/>
        <v>東鐵岡山:直納</v>
      </c>
      <c r="F714" s="338" t="s">
        <v>1199</v>
      </c>
      <c r="G714" s="339" t="str">
        <f t="shared" si="2"/>
        <v>東鐵岡山:直納ＨＳ１(単体H1/電特A/HS))</v>
      </c>
      <c r="H714" s="340">
        <f t="shared" si="3"/>
        <v>44.5</v>
      </c>
      <c r="I714" s="341">
        <v>0.5</v>
      </c>
      <c r="J714" s="332">
        <f>IFERROR(__xludf.DUMMYFUNCTION("IF(IF(COUNTIF(P$2:P713, P714)=0, """", INDEX(H$2:H713,
MAX(FILTER(ROW(H$2:H713) - ROW(H$2) + 1, P$2:P713 = P714))))=""単価"","""",
IF(COUNTIF(P$2:P713, P714)=0, """", INDEX(H$2:H713,
MAX(FILTER(ROW(H$2:H713) - ROW(H$2) + 1, P$2:P713 = P714)))))"),44.0)</f>
        <v>44</v>
      </c>
      <c r="N714" s="335" t="str">
        <f>IF(MAXIFS('単価履歴'!$O:$O,'単価履歴'!$E:$E,E714,'単価履歴'!$F:$F,F714)=O714,"●","")</f>
        <v/>
      </c>
      <c r="O714" s="346">
        <v>45738.2675</v>
      </c>
      <c r="P714" s="334" t="str">
        <f t="shared" si="4"/>
        <v>東鐵岡山:直納ＨＳ１(単体H1/電特A/HS))</v>
      </c>
    </row>
    <row r="715" ht="15.75" customHeight="1">
      <c r="A715" s="335" t="s">
        <v>1914</v>
      </c>
      <c r="B715" s="336">
        <v>45738.0</v>
      </c>
      <c r="C715" s="335" t="s">
        <v>532</v>
      </c>
      <c r="D715" s="335" t="s">
        <v>77</v>
      </c>
      <c r="E715" s="337" t="str">
        <f t="shared" si="1"/>
        <v>東鐵岡山:直納</v>
      </c>
      <c r="F715" s="338" t="s">
        <v>111</v>
      </c>
      <c r="G715" s="339" t="str">
        <f t="shared" si="2"/>
        <v>東鐵岡山:直納Ｈ１(特A)</v>
      </c>
      <c r="H715" s="340">
        <f t="shared" si="3"/>
        <v>43.2</v>
      </c>
      <c r="I715" s="341">
        <v>0.5</v>
      </c>
      <c r="J715" s="332">
        <f>IFERROR(__xludf.DUMMYFUNCTION("IF(IF(COUNTIF(P$2:P714, P715)=0, """", INDEX(H$2:H714,
MAX(FILTER(ROW(H$2:H714) - ROW(H$2) + 1, P$2:P714 = P715))))=""単価"","""",
IF(COUNTIF(P$2:P714, P715)=0, """", INDEX(H$2:H714,
MAX(FILTER(ROW(H$2:H714) - ROW(H$2) + 1, P$2:P714 = P715)))))"),42.7)</f>
        <v>42.7</v>
      </c>
      <c r="N715" s="335" t="str">
        <f>IF(MAXIFS('単価履歴'!$O:$O,'単価履歴'!$E:$E,E715,'単価履歴'!$F:$F,F715)=O715,"●","")</f>
        <v/>
      </c>
      <c r="O715" s="346">
        <v>45738.2675</v>
      </c>
      <c r="P715" s="334" t="str">
        <f t="shared" si="4"/>
        <v>東鐵岡山:直納Ｈ１(特A)</v>
      </c>
    </row>
    <row r="716" ht="15.75" customHeight="1">
      <c r="A716" s="335" t="s">
        <v>1915</v>
      </c>
      <c r="B716" s="336">
        <v>45738.0</v>
      </c>
      <c r="C716" s="335" t="s">
        <v>532</v>
      </c>
      <c r="D716" s="335" t="s">
        <v>77</v>
      </c>
      <c r="E716" s="337" t="str">
        <f t="shared" si="1"/>
        <v>東鐵岡山:直納</v>
      </c>
      <c r="F716" s="338" t="s">
        <v>116</v>
      </c>
      <c r="G716" s="339" t="str">
        <f t="shared" si="2"/>
        <v>東鐵岡山:直納Ｈ２(特級)</v>
      </c>
      <c r="H716" s="340">
        <f t="shared" si="3"/>
        <v>42.5</v>
      </c>
      <c r="I716" s="341">
        <v>0.5</v>
      </c>
      <c r="J716" s="332">
        <f>IFERROR(__xludf.DUMMYFUNCTION("IF(IF(COUNTIF(P$2:P715, P716)=0, """", INDEX(H$2:H715,
MAX(FILTER(ROW(H$2:H715) - ROW(H$2) + 1, P$2:P715 = P716))))=""単価"","""",
IF(COUNTIF(P$2:P715, P716)=0, """", INDEX(H$2:H715,
MAX(FILTER(ROW(H$2:H715) - ROW(H$2) + 1, P$2:P715 = P716)))))"),42.0)</f>
        <v>42</v>
      </c>
      <c r="N716" s="335" t="str">
        <f>IF(MAXIFS('単価履歴'!$O:$O,'単価履歴'!$E:$E,E716,'単価履歴'!$F:$F,F716)=O716,"●","")</f>
        <v/>
      </c>
      <c r="O716" s="346">
        <v>45738.2675</v>
      </c>
      <c r="P716" s="334" t="str">
        <f t="shared" si="4"/>
        <v>東鐵岡山:直納Ｈ２(特級)</v>
      </c>
    </row>
    <row r="717" ht="15.75" customHeight="1">
      <c r="A717" s="335" t="s">
        <v>1916</v>
      </c>
      <c r="B717" s="336">
        <v>45738.0</v>
      </c>
      <c r="C717" s="335" t="s">
        <v>532</v>
      </c>
      <c r="D717" s="335" t="s">
        <v>77</v>
      </c>
      <c r="E717" s="337" t="str">
        <f t="shared" si="1"/>
        <v>東鐵岡山:直納</v>
      </c>
      <c r="F717" s="338" t="s">
        <v>119</v>
      </c>
      <c r="G717" s="339" t="str">
        <f t="shared" si="2"/>
        <v>東鐵岡山:直納Ｈ３(1級)</v>
      </c>
      <c r="H717" s="340">
        <f t="shared" si="3"/>
        <v>42</v>
      </c>
      <c r="I717" s="341">
        <v>0.5</v>
      </c>
      <c r="J717" s="332">
        <f>IFERROR(__xludf.DUMMYFUNCTION("IF(IF(COUNTIF(P$2:P716, P717)=0, """", INDEX(H$2:H716,
MAX(FILTER(ROW(H$2:H716) - ROW(H$2) + 1, P$2:P716 = P717))))=""単価"","""",
IF(COUNTIF(P$2:P716, P717)=0, """", INDEX(H$2:H716,
MAX(FILTER(ROW(H$2:H716) - ROW(H$2) + 1, P$2:P716 = P717)))))"),41.5)</f>
        <v>41.5</v>
      </c>
      <c r="N717" s="335" t="str">
        <f>IF(MAXIFS('単価履歴'!$O:$O,'単価履歴'!$E:$E,E717,'単価履歴'!$F:$F,F717)=O717,"●","")</f>
        <v/>
      </c>
      <c r="O717" s="346">
        <v>45738.2675</v>
      </c>
      <c r="P717" s="334" t="str">
        <f t="shared" si="4"/>
        <v>東鐵岡山:直納Ｈ３(1級)</v>
      </c>
    </row>
    <row r="718" ht="15.75" customHeight="1">
      <c r="A718" s="335" t="s">
        <v>1917</v>
      </c>
      <c r="B718" s="336">
        <v>45738.0</v>
      </c>
      <c r="C718" s="335" t="s">
        <v>532</v>
      </c>
      <c r="D718" s="335" t="s">
        <v>77</v>
      </c>
      <c r="E718" s="337" t="str">
        <f t="shared" si="1"/>
        <v>東鐵岡山:直納</v>
      </c>
      <c r="F718" s="338" t="s">
        <v>122</v>
      </c>
      <c r="G718" s="339" t="str">
        <f t="shared" si="2"/>
        <v>東鐵岡山:直納Ｌ１(2級)</v>
      </c>
      <c r="H718" s="340">
        <f t="shared" si="3"/>
        <v>40.5</v>
      </c>
      <c r="I718" s="341">
        <v>0.5</v>
      </c>
      <c r="J718" s="332">
        <f>IFERROR(__xludf.DUMMYFUNCTION("IF(IF(COUNTIF(P$2:P717, P718)=0, """", INDEX(H$2:H717,
MAX(FILTER(ROW(H$2:H717) - ROW(H$2) + 1, P$2:P717 = P718))))=""単価"","""",
IF(COUNTIF(P$2:P717, P718)=0, """", INDEX(H$2:H717,
MAX(FILTER(ROW(H$2:H717) - ROW(H$2) + 1, P$2:P717 = P718)))))"),40.0)</f>
        <v>40</v>
      </c>
      <c r="N718" s="335" t="str">
        <f>IF(MAXIFS('単価履歴'!$O:$O,'単価履歴'!$E:$E,E718,'単価履歴'!$F:$F,F718)=O718,"●","")</f>
        <v/>
      </c>
      <c r="O718" s="346">
        <v>45738.2675</v>
      </c>
      <c r="P718" s="334" t="str">
        <f t="shared" si="4"/>
        <v>東鐵岡山:直納Ｌ１(2級)</v>
      </c>
    </row>
    <row r="719" ht="15.75" customHeight="1">
      <c r="A719" s="335" t="s">
        <v>1918</v>
      </c>
      <c r="B719" s="336">
        <v>45738.0</v>
      </c>
      <c r="C719" s="335" t="s">
        <v>532</v>
      </c>
      <c r="D719" s="335" t="s">
        <v>77</v>
      </c>
      <c r="E719" s="337" t="str">
        <f t="shared" si="1"/>
        <v>東鐵岡山:直納</v>
      </c>
      <c r="F719" s="338" t="s">
        <v>573</v>
      </c>
      <c r="G719" s="339" t="str">
        <f t="shared" si="2"/>
        <v>東鐵岡山:直納Ｌ２(H4･級外･L1ﾊﾞﾗ)</v>
      </c>
      <c r="H719" s="340">
        <f t="shared" si="3"/>
        <v>37.5</v>
      </c>
      <c r="I719" s="341">
        <v>0.5</v>
      </c>
      <c r="J719" s="332">
        <f>IFERROR(__xludf.DUMMYFUNCTION("IF(IF(COUNTIF(P$2:P718, P719)=0, """", INDEX(H$2:H718,
MAX(FILTER(ROW(H$2:H718) - ROW(H$2) + 1, P$2:P718 = P719))))=""単価"","""",
IF(COUNTIF(P$2:P718, P719)=0, """", INDEX(H$2:H718,
MAX(FILTER(ROW(H$2:H718) - ROW(H$2) + 1, P$2:P718 = P719)))))"),37.0)</f>
        <v>37</v>
      </c>
      <c r="N719" s="335" t="str">
        <f>IF(MAXIFS('単価履歴'!$O:$O,'単価履歴'!$E:$E,E719,'単価履歴'!$F:$F,F719)=O719,"●","")</f>
        <v/>
      </c>
      <c r="O719" s="346">
        <v>45738.2675</v>
      </c>
      <c r="P719" s="334" t="str">
        <f t="shared" si="4"/>
        <v>東鐵岡山:直納Ｌ２(H4･級外･L1ﾊﾞﾗ)</v>
      </c>
    </row>
    <row r="720" ht="15.75" customHeight="1">
      <c r="A720" s="335" t="s">
        <v>1919</v>
      </c>
      <c r="B720" s="336">
        <v>45738.0</v>
      </c>
      <c r="C720" s="335" t="s">
        <v>532</v>
      </c>
      <c r="D720" s="335" t="s">
        <v>77</v>
      </c>
      <c r="E720" s="337" t="str">
        <f t="shared" si="1"/>
        <v>東鐵岡山:直納</v>
      </c>
      <c r="F720" s="338" t="s">
        <v>145</v>
      </c>
      <c r="G720" s="339" t="str">
        <f t="shared" si="2"/>
        <v>東鐵岡山:直納シュレＡ</v>
      </c>
      <c r="H720" s="340">
        <f t="shared" si="3"/>
        <v>43</v>
      </c>
      <c r="I720" s="341">
        <v>0.5</v>
      </c>
      <c r="J720" s="332">
        <f>IFERROR(__xludf.DUMMYFUNCTION("IF(IF(COUNTIF(P$2:P719, P720)=0, """", INDEX(H$2:H719,
MAX(FILTER(ROW(H$2:H719) - ROW(H$2) + 1, P$2:P719 = P720))))=""単価"","""",
IF(COUNTIF(P$2:P719, P720)=0, """", INDEX(H$2:H719,
MAX(FILTER(ROW(H$2:H719) - ROW(H$2) + 1, P$2:P719 = P720)))))"),42.5)</f>
        <v>42.5</v>
      </c>
      <c r="N720" s="335" t="str">
        <f>IF(MAXIFS('単価履歴'!$O:$O,'単価履歴'!$E:$E,E720,'単価履歴'!$F:$F,F720)=O720,"●","")</f>
        <v/>
      </c>
      <c r="O720" s="346">
        <v>45738.2675</v>
      </c>
      <c r="P720" s="334" t="str">
        <f t="shared" si="4"/>
        <v>東鐵岡山:直納シュレＡ</v>
      </c>
    </row>
    <row r="721" ht="15.75" customHeight="1">
      <c r="A721" s="335" t="s">
        <v>1920</v>
      </c>
      <c r="B721" s="336">
        <v>45738.0</v>
      </c>
      <c r="C721" s="335" t="s">
        <v>532</v>
      </c>
      <c r="D721" s="335" t="s">
        <v>77</v>
      </c>
      <c r="E721" s="337" t="str">
        <f t="shared" si="1"/>
        <v>東鐵岡山:直納</v>
      </c>
      <c r="F721" s="338" t="s">
        <v>151</v>
      </c>
      <c r="G721" s="339" t="str">
        <f t="shared" si="2"/>
        <v>東鐵岡山:直納シュレＣ</v>
      </c>
      <c r="H721" s="340">
        <f t="shared" si="3"/>
        <v>42.5</v>
      </c>
      <c r="I721" s="341">
        <v>0.5</v>
      </c>
      <c r="J721" s="332">
        <f>IFERROR(__xludf.DUMMYFUNCTION("IF(IF(COUNTIF(P$2:P720, P721)=0, """", INDEX(H$2:H720,
MAX(FILTER(ROW(H$2:H720) - ROW(H$2) + 1, P$2:P720 = P721))))=""単価"","""",
IF(COUNTIF(P$2:P720, P721)=0, """", INDEX(H$2:H720,
MAX(FILTER(ROW(H$2:H720) - ROW(H$2) + 1, P$2:P720 = P721)))))"),42.0)</f>
        <v>42</v>
      </c>
      <c r="N721" s="335" t="str">
        <f>IF(MAXIFS('単価履歴'!$O:$O,'単価履歴'!$E:$E,E721,'単価履歴'!$F:$F,F721)=O721,"●","")</f>
        <v/>
      </c>
      <c r="O721" s="346">
        <v>45738.2675</v>
      </c>
      <c r="P721" s="334" t="str">
        <f t="shared" si="4"/>
        <v>東鐵岡山:直納シュレＣ</v>
      </c>
    </row>
    <row r="722" ht="15.75" customHeight="1">
      <c r="A722" s="335" t="s">
        <v>1921</v>
      </c>
      <c r="B722" s="336">
        <v>45738.0</v>
      </c>
      <c r="C722" s="335" t="s">
        <v>532</v>
      </c>
      <c r="D722" s="335" t="s">
        <v>77</v>
      </c>
      <c r="E722" s="337" t="str">
        <f t="shared" si="1"/>
        <v>東鐵岡山:直納</v>
      </c>
      <c r="F722" s="338" t="s">
        <v>130</v>
      </c>
      <c r="G722" s="339" t="str">
        <f t="shared" si="2"/>
        <v>東鐵岡山:直納新断Ａ</v>
      </c>
      <c r="H722" s="340">
        <f t="shared" si="3"/>
        <v>43.5</v>
      </c>
      <c r="I722" s="341">
        <v>0.5</v>
      </c>
      <c r="J722" s="332">
        <f>IFERROR(__xludf.DUMMYFUNCTION("IF(IF(COUNTIF(P$2:P721, P722)=0, """", INDEX(H$2:H721,
MAX(FILTER(ROW(H$2:H721) - ROW(H$2) + 1, P$2:P721 = P722))))=""単価"","""",
IF(COUNTIF(P$2:P721, P722)=0, """", INDEX(H$2:H721,
MAX(FILTER(ROW(H$2:H721) - ROW(H$2) + 1, P$2:P721 = P722)))))"),43.0)</f>
        <v>43</v>
      </c>
      <c r="N722" s="335" t="str">
        <f>IF(MAXIFS('単価履歴'!$O:$O,'単価履歴'!$E:$E,E722,'単価履歴'!$F:$F,F722)=O722,"●","")</f>
        <v/>
      </c>
      <c r="O722" s="346">
        <v>45738.2675</v>
      </c>
      <c r="P722" s="334" t="str">
        <f t="shared" si="4"/>
        <v>東鐵岡山:直納新断Ａ</v>
      </c>
    </row>
    <row r="723" ht="15.75" customHeight="1">
      <c r="A723" s="335" t="s">
        <v>1922</v>
      </c>
      <c r="B723" s="336">
        <v>45738.0</v>
      </c>
      <c r="C723" s="335" t="s">
        <v>532</v>
      </c>
      <c r="D723" s="335" t="s">
        <v>77</v>
      </c>
      <c r="E723" s="337" t="str">
        <f t="shared" si="1"/>
        <v>東鐵岡山:直納</v>
      </c>
      <c r="F723" s="338" t="s">
        <v>131</v>
      </c>
      <c r="G723" s="339" t="str">
        <f t="shared" si="2"/>
        <v>東鐵岡山:直納新断Ｂ</v>
      </c>
      <c r="H723" s="340">
        <f t="shared" si="3"/>
        <v>43.5</v>
      </c>
      <c r="I723" s="341">
        <v>0.5</v>
      </c>
      <c r="J723" s="332">
        <f>IFERROR(__xludf.DUMMYFUNCTION("IF(IF(COUNTIF(P$2:P722, P723)=0, """", INDEX(H$2:H722,
MAX(FILTER(ROW(H$2:H722) - ROW(H$2) + 1, P$2:P722 = P723))))=""単価"","""",
IF(COUNTIF(P$2:P722, P723)=0, """", INDEX(H$2:H722,
MAX(FILTER(ROW(H$2:H722) - ROW(H$2) + 1, P$2:P722 = P723)))))"),43.0)</f>
        <v>43</v>
      </c>
      <c r="N723" s="335" t="str">
        <f>IF(MAXIFS('単価履歴'!$O:$O,'単価履歴'!$E:$E,E723,'単価履歴'!$F:$F,F723)=O723,"●","")</f>
        <v/>
      </c>
      <c r="O723" s="346">
        <v>45738.2675</v>
      </c>
      <c r="P723" s="334" t="str">
        <f t="shared" si="4"/>
        <v>東鐵岡山:直納新断Ｂ</v>
      </c>
    </row>
    <row r="724" ht="15.75" customHeight="1">
      <c r="A724" s="335" t="s">
        <v>1923</v>
      </c>
      <c r="B724" s="336">
        <v>45738.0</v>
      </c>
      <c r="C724" s="335" t="s">
        <v>532</v>
      </c>
      <c r="D724" s="335" t="s">
        <v>77</v>
      </c>
      <c r="E724" s="337" t="str">
        <f t="shared" si="1"/>
        <v>東鐵岡山:直納</v>
      </c>
      <c r="F724" s="338" t="s">
        <v>575</v>
      </c>
      <c r="G724" s="339" t="str">
        <f t="shared" si="2"/>
        <v>東鐵岡山:直納鋼ダライＡ</v>
      </c>
      <c r="H724" s="340">
        <f t="shared" si="3"/>
        <v>38.5</v>
      </c>
      <c r="I724" s="341">
        <v>0.5</v>
      </c>
      <c r="J724" s="332">
        <f>IFERROR(__xludf.DUMMYFUNCTION("IF(IF(COUNTIF(P$2:P723, P724)=0, """", INDEX(H$2:H723,
MAX(FILTER(ROW(H$2:H723) - ROW(H$2) + 1, P$2:P723 = P724))))=""単価"","""",
IF(COUNTIF(P$2:P723, P724)=0, """", INDEX(H$2:H723,
MAX(FILTER(ROW(H$2:H723) - ROW(H$2) + 1, P$2:P723 = P724)))))"),38.0)</f>
        <v>38</v>
      </c>
      <c r="N724" s="335" t="str">
        <f>IF(MAXIFS('単価履歴'!$O:$O,'単価履歴'!$E:$E,E724,'単価履歴'!$F:$F,F724)=O724,"●","")</f>
        <v/>
      </c>
      <c r="O724" s="346">
        <v>45738.2675</v>
      </c>
      <c r="P724" s="334" t="str">
        <f t="shared" si="4"/>
        <v>東鐵岡山:直納鋼ダライＡ</v>
      </c>
    </row>
    <row r="725" ht="15.75" customHeight="1">
      <c r="A725" s="335" t="s">
        <v>1924</v>
      </c>
      <c r="B725" s="336">
        <v>45738.0</v>
      </c>
      <c r="C725" s="335" t="s">
        <v>532</v>
      </c>
      <c r="D725" s="335" t="s">
        <v>77</v>
      </c>
      <c r="E725" s="337" t="str">
        <f t="shared" si="1"/>
        <v>東鐵岡山:直納</v>
      </c>
      <c r="F725" s="338" t="s">
        <v>25</v>
      </c>
      <c r="G725" s="339" t="str">
        <f t="shared" si="2"/>
        <v>東鐵岡山:直納銑ダライ</v>
      </c>
      <c r="H725" s="340">
        <f t="shared" si="3"/>
        <v>35</v>
      </c>
      <c r="I725" s="341">
        <v>0.5</v>
      </c>
      <c r="J725" s="332">
        <f>IFERROR(__xludf.DUMMYFUNCTION("IF(IF(COUNTIF(P$2:P724, P725)=0, """", INDEX(H$2:H724,
MAX(FILTER(ROW(H$2:H724) - ROW(H$2) + 1, P$2:P724 = P725))))=""単価"","""",
IF(COUNTIF(P$2:P724, P725)=0, """", INDEX(H$2:H724,
MAX(FILTER(ROW(H$2:H724) - ROW(H$2) + 1, P$2:P724 = P725)))))"),34.5)</f>
        <v>34.5</v>
      </c>
      <c r="N725" s="335" t="str">
        <f>IF(MAXIFS('単価履歴'!$O:$O,'単価履歴'!$E:$E,E725,'単価履歴'!$F:$F,F725)=O725,"●","")</f>
        <v/>
      </c>
      <c r="O725" s="346">
        <v>45738.2675</v>
      </c>
      <c r="P725" s="334" t="str">
        <f t="shared" si="4"/>
        <v>東鐵岡山:直納銑ダライ</v>
      </c>
    </row>
    <row r="726" ht="15.75" customHeight="1">
      <c r="A726" s="335" t="s">
        <v>1925</v>
      </c>
      <c r="B726" s="336">
        <v>45738.0</v>
      </c>
      <c r="C726" s="335" t="s">
        <v>532</v>
      </c>
      <c r="D726" s="335" t="s">
        <v>77</v>
      </c>
      <c r="E726" s="337" t="str">
        <f t="shared" si="1"/>
        <v>東鐵岡山:直納</v>
      </c>
      <c r="F726" s="338" t="s">
        <v>154</v>
      </c>
      <c r="G726" s="339" t="str">
        <f t="shared" si="2"/>
        <v>東鐵岡山:直納ＣＰ Ａ</v>
      </c>
      <c r="H726" s="340">
        <f t="shared" si="3"/>
        <v>41</v>
      </c>
      <c r="I726" s="341">
        <v>0.5</v>
      </c>
      <c r="J726" s="332">
        <f>IFERROR(__xludf.DUMMYFUNCTION("IF(IF(COUNTIF(P$2:P725, P726)=0, """", INDEX(H$2:H725,
MAX(FILTER(ROW(H$2:H725) - ROW(H$2) + 1, P$2:P725 = P726))))=""単価"","""",
IF(COUNTIF(P$2:P725, P726)=0, """", INDEX(H$2:H725,
MAX(FILTER(ROW(H$2:H725) - ROW(H$2) + 1, P$2:P725 = P726)))))"),40.5)</f>
        <v>40.5</v>
      </c>
      <c r="N726" s="335" t="str">
        <f>IF(MAXIFS('単価履歴'!$O:$O,'単価履歴'!$E:$E,E726,'単価履歴'!$F:$F,F726)=O726,"●","")</f>
        <v/>
      </c>
      <c r="O726" s="346">
        <v>45738.2675</v>
      </c>
      <c r="P726" s="334" t="str">
        <f t="shared" si="4"/>
        <v>東鐵岡山:直納ＣＰ Ａ</v>
      </c>
    </row>
    <row r="727" ht="15.75" customHeight="1">
      <c r="A727" s="335" t="s">
        <v>1926</v>
      </c>
      <c r="B727" s="336">
        <v>45738.0</v>
      </c>
      <c r="C727" s="335" t="s">
        <v>11</v>
      </c>
      <c r="D727" s="335" t="s">
        <v>46</v>
      </c>
      <c r="E727" s="337" t="str">
        <f t="shared" si="1"/>
        <v>ﾔﾏﾄ:阪和</v>
      </c>
      <c r="F727" s="338" t="s">
        <v>116</v>
      </c>
      <c r="G727" s="339" t="str">
        <f t="shared" si="2"/>
        <v>ﾔﾏﾄ:阪和Ｈ２(特級)</v>
      </c>
      <c r="H727" s="340">
        <f t="shared" si="3"/>
        <v>44.1</v>
      </c>
      <c r="I727" s="341">
        <v>0.5</v>
      </c>
      <c r="J727" s="332">
        <f>IFERROR(__xludf.DUMMYFUNCTION("IF(IF(COUNTIF(P$2:P726, P727)=0, """", INDEX(H$2:H726,
MAX(FILTER(ROW(H$2:H726) - ROW(H$2) + 1, P$2:P726 = P727))))=""単価"","""",
IF(COUNTIF(P$2:P726, P727)=0, """", INDEX(H$2:H726,
MAX(FILTER(ROW(H$2:H726) - ROW(H$2) + 1, P$2:P726 = P727)))))"),43.6)</f>
        <v>43.6</v>
      </c>
      <c r="N727" s="335" t="str">
        <f>IF(MAXIFS('単価履歴'!$O:$O,'単価履歴'!$E:$E,E727,'単価履歴'!$F:$F,F727)=O727,"●","")</f>
        <v/>
      </c>
      <c r="O727" s="346">
        <v>45738.26881944445</v>
      </c>
      <c r="P727" s="334" t="str">
        <f t="shared" si="4"/>
        <v>ﾔﾏﾄ:阪和Ｈ２(特級)</v>
      </c>
    </row>
    <row r="728" ht="15.75" customHeight="1">
      <c r="A728" s="335" t="s">
        <v>1927</v>
      </c>
      <c r="B728" s="336">
        <v>45738.0</v>
      </c>
      <c r="C728" s="335" t="s">
        <v>11</v>
      </c>
      <c r="D728" s="335" t="s">
        <v>46</v>
      </c>
      <c r="E728" s="337" t="str">
        <f t="shared" si="1"/>
        <v>ﾔﾏﾄ:阪和</v>
      </c>
      <c r="F728" s="338" t="s">
        <v>119</v>
      </c>
      <c r="G728" s="339" t="str">
        <f t="shared" si="2"/>
        <v>ﾔﾏﾄ:阪和Ｈ３(1級)</v>
      </c>
      <c r="H728" s="340">
        <f t="shared" si="3"/>
        <v>43.1</v>
      </c>
      <c r="I728" s="341">
        <v>0.5</v>
      </c>
      <c r="J728" s="332">
        <f>IFERROR(__xludf.DUMMYFUNCTION("IF(IF(COUNTIF(P$2:P727, P728)=0, """", INDEX(H$2:H727,
MAX(FILTER(ROW(H$2:H727) - ROW(H$2) + 1, P$2:P727 = P728))))=""単価"","""",
IF(COUNTIF(P$2:P727, P728)=0, """", INDEX(H$2:H727,
MAX(FILTER(ROW(H$2:H727) - ROW(H$2) + 1, P$2:P727 = P728)))))"),42.6)</f>
        <v>42.6</v>
      </c>
      <c r="N728" s="335" t="str">
        <f>IF(MAXIFS('単価履歴'!$O:$O,'単価履歴'!$E:$E,E728,'単価履歴'!$F:$F,F728)=O728,"●","")</f>
        <v/>
      </c>
      <c r="O728" s="346">
        <v>45738.26881944445</v>
      </c>
      <c r="P728" s="334" t="str">
        <f t="shared" si="4"/>
        <v>ﾔﾏﾄ:阪和Ｈ３(1級)</v>
      </c>
    </row>
    <row r="729" ht="15.75" customHeight="1">
      <c r="A729" s="335" t="s">
        <v>1928</v>
      </c>
      <c r="B729" s="336">
        <v>45738.0</v>
      </c>
      <c r="C729" s="335" t="s">
        <v>11</v>
      </c>
      <c r="D729" s="335" t="s">
        <v>46</v>
      </c>
      <c r="E729" s="337" t="str">
        <f t="shared" si="1"/>
        <v>ﾔﾏﾄ:阪和</v>
      </c>
      <c r="F729" s="338" t="s">
        <v>122</v>
      </c>
      <c r="G729" s="339" t="str">
        <f t="shared" si="2"/>
        <v>ﾔﾏﾄ:阪和Ｌ１(2級)</v>
      </c>
      <c r="H729" s="340">
        <f t="shared" si="3"/>
        <v>41.1</v>
      </c>
      <c r="I729" s="341">
        <v>0.5</v>
      </c>
      <c r="J729" s="332">
        <f>IFERROR(__xludf.DUMMYFUNCTION("IF(IF(COUNTIF(P$2:P728, P729)=0, """", INDEX(H$2:H728,
MAX(FILTER(ROW(H$2:H728) - ROW(H$2) + 1, P$2:P728 = P729))))=""単価"","""",
IF(COUNTIF(P$2:P728, P729)=0, """", INDEX(H$2:H728,
MAX(FILTER(ROW(H$2:H728) - ROW(H$2) + 1, P$2:P728 = P729)))))"),40.6)</f>
        <v>40.6</v>
      </c>
      <c r="N729" s="335" t="str">
        <f>IF(MAXIFS('単価履歴'!$O:$O,'単価履歴'!$E:$E,E729,'単価履歴'!$F:$F,F729)=O729,"●","")</f>
        <v/>
      </c>
      <c r="O729" s="346">
        <v>45738.26881944445</v>
      </c>
      <c r="P729" s="334" t="str">
        <f t="shared" si="4"/>
        <v>ﾔﾏﾄ:阪和Ｌ１(2級)</v>
      </c>
    </row>
    <row r="730" ht="15.75" customHeight="1">
      <c r="A730" s="335" t="s">
        <v>1929</v>
      </c>
      <c r="B730" s="336">
        <v>45738.0</v>
      </c>
      <c r="C730" s="335" t="s">
        <v>11</v>
      </c>
      <c r="D730" s="335" t="s">
        <v>46</v>
      </c>
      <c r="E730" s="337" t="str">
        <f t="shared" si="1"/>
        <v>ﾔﾏﾄ:阪和</v>
      </c>
      <c r="F730" s="338" t="s">
        <v>111</v>
      </c>
      <c r="G730" s="339" t="str">
        <f t="shared" si="2"/>
        <v>ﾔﾏﾄ:阪和Ｈ１(特A)</v>
      </c>
      <c r="H730" s="340">
        <f t="shared" si="3"/>
        <v>45.1</v>
      </c>
      <c r="I730" s="341">
        <v>0.5</v>
      </c>
      <c r="J730" s="332">
        <f>IFERROR(__xludf.DUMMYFUNCTION("IF(IF(COUNTIF(P$2:P729, P730)=0, """", INDEX(H$2:H729,
MAX(FILTER(ROW(H$2:H729) - ROW(H$2) + 1, P$2:P729 = P730))))=""単価"","""",
IF(COUNTIF(P$2:P729, P730)=0, """", INDEX(H$2:H729,
MAX(FILTER(ROW(H$2:H729) - ROW(H$2) + 1, P$2:P729 = P730)))))"),44.6)</f>
        <v>44.6</v>
      </c>
      <c r="N730" s="335" t="str">
        <f>IF(MAXIFS('単価履歴'!$O:$O,'単価履歴'!$E:$E,E730,'単価履歴'!$F:$F,F730)=O730,"●","")</f>
        <v/>
      </c>
      <c r="O730" s="346">
        <v>45738.26881944445</v>
      </c>
      <c r="P730" s="334" t="str">
        <f t="shared" si="4"/>
        <v>ﾔﾏﾄ:阪和Ｈ１(特A)</v>
      </c>
    </row>
    <row r="731" ht="15.75" customHeight="1">
      <c r="A731" s="335" t="s">
        <v>1930</v>
      </c>
      <c r="B731" s="336">
        <v>45738.0</v>
      </c>
      <c r="C731" s="335" t="s">
        <v>11</v>
      </c>
      <c r="D731" s="335" t="s">
        <v>46</v>
      </c>
      <c r="E731" s="337" t="str">
        <f t="shared" si="1"/>
        <v>ﾔﾏﾄ:阪和</v>
      </c>
      <c r="F731" s="338" t="s">
        <v>573</v>
      </c>
      <c r="G731" s="339" t="str">
        <f t="shared" si="2"/>
        <v>ﾔﾏﾄ:阪和Ｌ２(H4･級外･L1ﾊﾞﾗ)</v>
      </c>
      <c r="H731" s="340">
        <f t="shared" si="3"/>
        <v>38.6</v>
      </c>
      <c r="I731" s="341">
        <v>0.5</v>
      </c>
      <c r="J731" s="332">
        <f>IFERROR(__xludf.DUMMYFUNCTION("IF(IF(COUNTIF(P$2:P730, P731)=0, """", INDEX(H$2:H730,
MAX(FILTER(ROW(H$2:H730) - ROW(H$2) + 1, P$2:P730 = P731))))=""単価"","""",
IF(COUNTIF(P$2:P730, P731)=0, """", INDEX(H$2:H730,
MAX(FILTER(ROW(H$2:H730) - ROW(H$2) + 1, P$2:P730 = P731)))))"),38.1)</f>
        <v>38.1</v>
      </c>
      <c r="N731" s="335" t="str">
        <f>IF(MAXIFS('単価履歴'!$O:$O,'単価履歴'!$E:$E,E731,'単価履歴'!$F:$F,F731)=O731,"●","")</f>
        <v/>
      </c>
      <c r="O731" s="346">
        <v>45738.26881944445</v>
      </c>
      <c r="P731" s="334" t="str">
        <f t="shared" si="4"/>
        <v>ﾔﾏﾄ:阪和Ｌ２(H4･級外･L1ﾊﾞﾗ)</v>
      </c>
    </row>
    <row r="732" ht="15.75" customHeight="1">
      <c r="A732" s="335" t="s">
        <v>1931</v>
      </c>
      <c r="B732" s="336">
        <v>45738.0</v>
      </c>
      <c r="C732" s="335" t="s">
        <v>28</v>
      </c>
      <c r="D732" s="335" t="s">
        <v>52</v>
      </c>
      <c r="E732" s="337" t="str">
        <f t="shared" si="1"/>
        <v>ＪＦＥ条鋼:リバイブ</v>
      </c>
      <c r="F732" s="338" t="s">
        <v>111</v>
      </c>
      <c r="G732" s="339" t="str">
        <f t="shared" si="2"/>
        <v>ＪＦＥ条鋼:リバイブＨ１(特A)</v>
      </c>
      <c r="H732" s="340">
        <f t="shared" si="3"/>
        <v>41.5</v>
      </c>
      <c r="I732" s="341">
        <v>0.5</v>
      </c>
      <c r="J732" s="332">
        <f>IFERROR(__xludf.DUMMYFUNCTION("IF(IF(COUNTIF(P$2:P731, P732)=0, """", INDEX(H$2:H731,
MAX(FILTER(ROW(H$2:H731) - ROW(H$2) + 1, P$2:P731 = P732))))=""単価"","""",
IF(COUNTIF(P$2:P731, P732)=0, """", INDEX(H$2:H731,
MAX(FILTER(ROW(H$2:H731) - ROW(H$2) + 1, P$2:P731 = P732)))))"),41.0)</f>
        <v>41</v>
      </c>
      <c r="N732" s="335" t="str">
        <f>IF(MAXIFS('単価履歴'!$O:$O,'単価履歴'!$E:$E,E732,'単価履歴'!$F:$F,F732)=O732,"●","")</f>
        <v/>
      </c>
      <c r="O732" s="346">
        <v>45738.26982638889</v>
      </c>
      <c r="P732" s="334" t="str">
        <f t="shared" si="4"/>
        <v>ＪＦＥ条鋼:リバイブＨ１(特A)</v>
      </c>
    </row>
    <row r="733" ht="15.75" customHeight="1">
      <c r="A733" s="335" t="s">
        <v>1932</v>
      </c>
      <c r="B733" s="336">
        <v>45738.0</v>
      </c>
      <c r="C733" s="335" t="s">
        <v>28</v>
      </c>
      <c r="D733" s="335" t="s">
        <v>52</v>
      </c>
      <c r="E733" s="337" t="str">
        <f t="shared" si="1"/>
        <v>ＪＦＥ条鋼:リバイブ</v>
      </c>
      <c r="F733" s="338" t="s">
        <v>116</v>
      </c>
      <c r="G733" s="339" t="str">
        <f t="shared" si="2"/>
        <v>ＪＦＥ条鋼:リバイブＨ２(特級)</v>
      </c>
      <c r="H733" s="340">
        <f t="shared" si="3"/>
        <v>40.5</v>
      </c>
      <c r="I733" s="341">
        <v>0.5</v>
      </c>
      <c r="J733" s="332">
        <f>IFERROR(__xludf.DUMMYFUNCTION("IF(IF(COUNTIF(P$2:P732, P733)=0, """", INDEX(H$2:H732,
MAX(FILTER(ROW(H$2:H732) - ROW(H$2) + 1, P$2:P732 = P733))))=""単価"","""",
IF(COUNTIF(P$2:P732, P733)=0, """", INDEX(H$2:H732,
MAX(FILTER(ROW(H$2:H732) - ROW(H$2) + 1, P$2:P732 = P733)))))"),40.0)</f>
        <v>40</v>
      </c>
      <c r="N733" s="335" t="str">
        <f>IF(MAXIFS('単価履歴'!$O:$O,'単価履歴'!$E:$E,E733,'単価履歴'!$F:$F,F733)=O733,"●","")</f>
        <v/>
      </c>
      <c r="O733" s="346">
        <v>45738.26982638889</v>
      </c>
      <c r="P733" s="334" t="str">
        <f t="shared" si="4"/>
        <v>ＪＦＥ条鋼:リバイブＨ２(特級)</v>
      </c>
    </row>
    <row r="734" ht="15.75" customHeight="1">
      <c r="A734" s="335" t="s">
        <v>1933</v>
      </c>
      <c r="B734" s="336">
        <v>45738.0</v>
      </c>
      <c r="C734" s="335" t="s">
        <v>28</v>
      </c>
      <c r="D734" s="335" t="s">
        <v>52</v>
      </c>
      <c r="E734" s="337" t="str">
        <f t="shared" si="1"/>
        <v>ＪＦＥ条鋼:リバイブ</v>
      </c>
      <c r="F734" s="338" t="s">
        <v>119</v>
      </c>
      <c r="G734" s="339" t="str">
        <f t="shared" si="2"/>
        <v>ＪＦＥ条鋼:リバイブＨ３(1級)</v>
      </c>
      <c r="H734" s="340">
        <f t="shared" si="3"/>
        <v>39.5</v>
      </c>
      <c r="I734" s="341">
        <v>0.5</v>
      </c>
      <c r="J734" s="332">
        <f>IFERROR(__xludf.DUMMYFUNCTION("IF(IF(COUNTIF(P$2:P733, P734)=0, """", INDEX(H$2:H733,
MAX(FILTER(ROW(H$2:H733) - ROW(H$2) + 1, P$2:P733 = P734))))=""単価"","""",
IF(COUNTIF(P$2:P733, P734)=0, """", INDEX(H$2:H733,
MAX(FILTER(ROW(H$2:H733) - ROW(H$2) + 1, P$2:P733 = P734)))))"),39.0)</f>
        <v>39</v>
      </c>
      <c r="N734" s="335" t="str">
        <f>IF(MAXIFS('単価履歴'!$O:$O,'単価履歴'!$E:$E,E734,'単価履歴'!$F:$F,F734)=O734,"●","")</f>
        <v/>
      </c>
      <c r="O734" s="346">
        <v>45738.26982638889</v>
      </c>
      <c r="P734" s="334" t="str">
        <f t="shared" si="4"/>
        <v>ＪＦＥ条鋼:リバイブＨ３(1級)</v>
      </c>
    </row>
    <row r="735" ht="15.75" customHeight="1">
      <c r="A735" s="335" t="s">
        <v>1934</v>
      </c>
      <c r="B735" s="336">
        <v>45738.0</v>
      </c>
      <c r="C735" s="335" t="s">
        <v>28</v>
      </c>
      <c r="D735" s="335" t="s">
        <v>52</v>
      </c>
      <c r="E735" s="337" t="str">
        <f t="shared" si="1"/>
        <v>ＪＦＥ条鋼:リバイブ</v>
      </c>
      <c r="F735" s="338" t="s">
        <v>122</v>
      </c>
      <c r="G735" s="339" t="str">
        <f t="shared" si="2"/>
        <v>ＪＦＥ条鋼:リバイブＬ１(2級)</v>
      </c>
      <c r="H735" s="340">
        <f t="shared" si="3"/>
        <v>36.3</v>
      </c>
      <c r="I735" s="341">
        <v>0.5</v>
      </c>
      <c r="J735" s="332">
        <f>IFERROR(__xludf.DUMMYFUNCTION("IF(IF(COUNTIF(P$2:P734, P735)=0, """", INDEX(H$2:H734,
MAX(FILTER(ROW(H$2:H734) - ROW(H$2) + 1, P$2:P734 = P735))))=""単価"","""",
IF(COUNTIF(P$2:P734, P735)=0, """", INDEX(H$2:H734,
MAX(FILTER(ROW(H$2:H734) - ROW(H$2) + 1, P$2:P734 = P735)))))"),35.8)</f>
        <v>35.8</v>
      </c>
      <c r="N735" s="335" t="str">
        <f>IF(MAXIFS('単価履歴'!$O:$O,'単価履歴'!$E:$E,E735,'単価履歴'!$F:$F,F735)=O735,"●","")</f>
        <v/>
      </c>
      <c r="O735" s="346">
        <v>45738.26982638889</v>
      </c>
      <c r="P735" s="334" t="str">
        <f t="shared" si="4"/>
        <v>ＪＦＥ条鋼:リバイブＬ１(2級)</v>
      </c>
    </row>
    <row r="736" ht="15.75" customHeight="1">
      <c r="A736" s="335" t="s">
        <v>1935</v>
      </c>
      <c r="B736" s="336">
        <v>45738.0</v>
      </c>
      <c r="C736" s="335" t="s">
        <v>28</v>
      </c>
      <c r="D736" s="335" t="s">
        <v>52</v>
      </c>
      <c r="E736" s="337" t="str">
        <f t="shared" si="1"/>
        <v>ＪＦＥ条鋼:リバイブ</v>
      </c>
      <c r="F736" s="338" t="s">
        <v>573</v>
      </c>
      <c r="G736" s="339" t="str">
        <f t="shared" si="2"/>
        <v>ＪＦＥ条鋼:リバイブＬ２(H4･級外･L1ﾊﾞﾗ)</v>
      </c>
      <c r="H736" s="340">
        <f t="shared" si="3"/>
        <v>40.4</v>
      </c>
      <c r="I736" s="341">
        <v>0.5</v>
      </c>
      <c r="J736" s="332">
        <f>IFERROR(__xludf.DUMMYFUNCTION("IF(IF(COUNTIF(P$2:P735, P736)=0, """", INDEX(H$2:H735,
MAX(FILTER(ROW(H$2:H735) - ROW(H$2) + 1, P$2:P735 = P736))))=""単価"","""",
IF(COUNTIF(P$2:P735, P736)=0, """", INDEX(H$2:H735,
MAX(FILTER(ROW(H$2:H735) - ROW(H$2) + 1, P$2:P735 = P736)))))"),39.9)</f>
        <v>39.9</v>
      </c>
      <c r="N736" s="335" t="str">
        <f>IF(MAXIFS('単価履歴'!$O:$O,'単価履歴'!$E:$E,E736,'単価履歴'!$F:$F,F736)=O736,"●","")</f>
        <v/>
      </c>
      <c r="O736" s="346">
        <v>45738.26982638889</v>
      </c>
      <c r="P736" s="334" t="str">
        <f t="shared" si="4"/>
        <v>ＪＦＥ条鋼:リバイブＬ２(H4･級外･L1ﾊﾞﾗ)</v>
      </c>
    </row>
    <row r="737" ht="15.75" customHeight="1">
      <c r="A737" s="335" t="s">
        <v>1936</v>
      </c>
      <c r="B737" s="336">
        <v>45738.0</v>
      </c>
      <c r="C737" s="335" t="s">
        <v>28</v>
      </c>
      <c r="D737" s="335" t="s">
        <v>52</v>
      </c>
      <c r="E737" s="337" t="str">
        <f t="shared" si="1"/>
        <v>ＪＦＥ条鋼:リバイブ</v>
      </c>
      <c r="F737" s="338" t="s">
        <v>130</v>
      </c>
      <c r="G737" s="339" t="str">
        <f t="shared" si="2"/>
        <v>ＪＦＥ条鋼:リバイブ新断Ａ</v>
      </c>
      <c r="H737" s="340">
        <f t="shared" si="3"/>
        <v>44</v>
      </c>
      <c r="I737" s="341">
        <v>0.5</v>
      </c>
      <c r="J737" s="332">
        <f>IFERROR(__xludf.DUMMYFUNCTION("IF(IF(COUNTIF(P$2:P736, P737)=0, """", INDEX(H$2:H736,
MAX(FILTER(ROW(H$2:H736) - ROW(H$2) + 1, P$2:P736 = P737))))=""単価"","""",
IF(COUNTIF(P$2:P736, P737)=0, """", INDEX(H$2:H736,
MAX(FILTER(ROW(H$2:H736) - ROW(H$2) + 1, P$2:P736 = P737)))))"),43.5)</f>
        <v>43.5</v>
      </c>
      <c r="N737" s="335" t="str">
        <f>IF(MAXIFS('単価履歴'!$O:$O,'単価履歴'!$E:$E,E737,'単価履歴'!$F:$F,F737)=O737,"●","")</f>
        <v/>
      </c>
      <c r="O737" s="346">
        <v>45738.26982638889</v>
      </c>
      <c r="P737" s="334" t="str">
        <f t="shared" si="4"/>
        <v>ＪＦＥ条鋼:リバイブ新断Ａ</v>
      </c>
    </row>
    <row r="738" ht="15.75" customHeight="1">
      <c r="A738" s="335" t="s">
        <v>1937</v>
      </c>
      <c r="B738" s="336">
        <v>45738.0</v>
      </c>
      <c r="C738" s="335" t="s">
        <v>28</v>
      </c>
      <c r="D738" s="335" t="s">
        <v>52</v>
      </c>
      <c r="E738" s="337" t="str">
        <f t="shared" si="1"/>
        <v>ＪＦＥ条鋼:リバイブ</v>
      </c>
      <c r="F738" s="338" t="s">
        <v>131</v>
      </c>
      <c r="G738" s="339" t="str">
        <f t="shared" si="2"/>
        <v>ＪＦＥ条鋼:リバイブ新断Ｂ</v>
      </c>
      <c r="H738" s="340">
        <f t="shared" si="3"/>
        <v>43</v>
      </c>
      <c r="I738" s="341">
        <v>0.5</v>
      </c>
      <c r="J738" s="332">
        <f>IFERROR(__xludf.DUMMYFUNCTION("IF(IF(COUNTIF(P$2:P737, P738)=0, """", INDEX(H$2:H737,
MAX(FILTER(ROW(H$2:H737) - ROW(H$2) + 1, P$2:P737 = P738))))=""単価"","""",
IF(COUNTIF(P$2:P737, P738)=0, """", INDEX(H$2:H737,
MAX(FILTER(ROW(H$2:H737) - ROW(H$2) + 1, P$2:P737 = P738)))))"),42.5)</f>
        <v>42.5</v>
      </c>
      <c r="N738" s="335" t="str">
        <f>IF(MAXIFS('単価履歴'!$O:$O,'単価履歴'!$E:$E,E738,'単価履歴'!$F:$F,F738)=O738,"●","")</f>
        <v/>
      </c>
      <c r="O738" s="346">
        <v>45738.26982638889</v>
      </c>
      <c r="P738" s="334" t="str">
        <f t="shared" si="4"/>
        <v>ＪＦＥ条鋼:リバイブ新断Ｂ</v>
      </c>
    </row>
    <row r="739" ht="15.75" customHeight="1">
      <c r="A739" s="335" t="s">
        <v>1938</v>
      </c>
      <c r="B739" s="336">
        <v>45738.0</v>
      </c>
      <c r="C739" s="335" t="s">
        <v>28</v>
      </c>
      <c r="D739" s="335" t="s">
        <v>52</v>
      </c>
      <c r="E739" s="337" t="str">
        <f t="shared" si="1"/>
        <v>ＪＦＥ条鋼:リバイブ</v>
      </c>
      <c r="F739" s="338" t="s">
        <v>575</v>
      </c>
      <c r="G739" s="339" t="str">
        <f t="shared" si="2"/>
        <v>ＪＦＥ条鋼:リバイブ鋼ダライＡ</v>
      </c>
      <c r="H739" s="340">
        <f t="shared" si="3"/>
        <v>40</v>
      </c>
      <c r="I739" s="341">
        <v>0.5</v>
      </c>
      <c r="J739" s="332">
        <f>IFERROR(__xludf.DUMMYFUNCTION("IF(IF(COUNTIF(P$2:P738, P739)=0, """", INDEX(H$2:H738,
MAX(FILTER(ROW(H$2:H738) - ROW(H$2) + 1, P$2:P738 = P739))))=""単価"","""",
IF(COUNTIF(P$2:P738, P739)=0, """", INDEX(H$2:H738,
MAX(FILTER(ROW(H$2:H738) - ROW(H$2) + 1, P$2:P738 = P739)))))"),39.5)</f>
        <v>39.5</v>
      </c>
      <c r="N739" s="335" t="str">
        <f>IF(MAXIFS('単価履歴'!$O:$O,'単価履歴'!$E:$E,E739,'単価履歴'!$F:$F,F739)=O739,"●","")</f>
        <v/>
      </c>
      <c r="O739" s="346">
        <v>45738.26982638889</v>
      </c>
      <c r="P739" s="334" t="str">
        <f t="shared" si="4"/>
        <v>ＪＦＥ条鋼:リバイブ鋼ダライＡ</v>
      </c>
    </row>
    <row r="740" ht="15.75" customHeight="1">
      <c r="A740" s="335" t="s">
        <v>1939</v>
      </c>
      <c r="B740" s="336">
        <v>45738.0</v>
      </c>
      <c r="C740" s="335" t="s">
        <v>28</v>
      </c>
      <c r="D740" s="335" t="s">
        <v>52</v>
      </c>
      <c r="E740" s="337" t="str">
        <f t="shared" si="1"/>
        <v>ＪＦＥ条鋼:リバイブ</v>
      </c>
      <c r="F740" s="338" t="s">
        <v>154</v>
      </c>
      <c r="G740" s="339" t="str">
        <f t="shared" si="2"/>
        <v>ＪＦＥ条鋼:リバイブＣＰ Ａ</v>
      </c>
      <c r="H740" s="340">
        <f t="shared" si="3"/>
        <v>45</v>
      </c>
      <c r="I740" s="341">
        <v>0.5</v>
      </c>
      <c r="J740" s="332">
        <f>IFERROR(__xludf.DUMMYFUNCTION("IF(IF(COUNTIF(P$2:P739, P740)=0, """", INDEX(H$2:H739,
MAX(FILTER(ROW(H$2:H739) - ROW(H$2) + 1, P$2:P739 = P740))))=""単価"","""",
IF(COUNTIF(P$2:P739, P740)=0, """", INDEX(H$2:H739,
MAX(FILTER(ROW(H$2:H739) - ROW(H$2) + 1, P$2:P739 = P740)))))"),44.5)</f>
        <v>44.5</v>
      </c>
      <c r="N740" s="335" t="str">
        <f>IF(MAXIFS('単価履歴'!$O:$O,'単価履歴'!$E:$E,E740,'単価履歴'!$F:$F,F740)=O740,"●","")</f>
        <v/>
      </c>
      <c r="O740" s="346">
        <v>45738.26982638889</v>
      </c>
      <c r="P740" s="334" t="str">
        <f t="shared" si="4"/>
        <v>ＪＦＥ条鋼:リバイブＣＰ Ａ</v>
      </c>
    </row>
    <row r="741" ht="15.75" customHeight="1">
      <c r="A741" s="335" t="s">
        <v>1940</v>
      </c>
      <c r="B741" s="336">
        <v>45743.0</v>
      </c>
      <c r="C741" s="335" t="s">
        <v>14</v>
      </c>
      <c r="D741" s="335" t="s">
        <v>46</v>
      </c>
      <c r="E741" s="337" t="str">
        <f t="shared" si="1"/>
        <v>愛知:阪和</v>
      </c>
      <c r="F741" s="338" t="s">
        <v>130</v>
      </c>
      <c r="G741" s="339" t="str">
        <f t="shared" si="2"/>
        <v>愛知:阪和新断Ａ</v>
      </c>
      <c r="H741" s="340">
        <f t="shared" si="3"/>
        <v>44</v>
      </c>
      <c r="I741" s="341">
        <v>1.0</v>
      </c>
      <c r="J741" s="332">
        <f>IFERROR(__xludf.DUMMYFUNCTION("IF(IF(COUNTIF(P$2:P740, P741)=0, """", INDEX(H$2:H740,
MAX(FILTER(ROW(H$2:H740) - ROW(H$2) + 1, P$2:P740 = P741))))=""単価"","""",
IF(COUNTIF(P$2:P740, P741)=0, """", INDEX(H$2:H740,
MAX(FILTER(ROW(H$2:H740) - ROW(H$2) + 1, P$2:P740 = P741)))))"),43.0)</f>
        <v>43</v>
      </c>
      <c r="N741" s="335" t="str">
        <f>IF(MAXIFS('単価履歴'!$O:$O,'単価履歴'!$E:$E,E741,'単価履歴'!$F:$F,F741)=O741,"●","")</f>
        <v/>
      </c>
      <c r="O741" s="346">
        <v>45743.266875</v>
      </c>
      <c r="P741" s="334" t="str">
        <f t="shared" si="4"/>
        <v>愛知:阪和新断Ａ</v>
      </c>
    </row>
    <row r="742" ht="15.75" customHeight="1">
      <c r="A742" s="335" t="s">
        <v>1941</v>
      </c>
      <c r="B742" s="336">
        <v>45743.0</v>
      </c>
      <c r="C742" s="335" t="s">
        <v>14</v>
      </c>
      <c r="D742" s="335" t="s">
        <v>46</v>
      </c>
      <c r="E742" s="337" t="str">
        <f t="shared" si="1"/>
        <v>愛知:阪和</v>
      </c>
      <c r="F742" s="338" t="s">
        <v>131</v>
      </c>
      <c r="G742" s="339" t="str">
        <f t="shared" si="2"/>
        <v>愛知:阪和新断Ｂ</v>
      </c>
      <c r="H742" s="340">
        <f t="shared" si="3"/>
        <v>43</v>
      </c>
      <c r="I742" s="341">
        <v>1.0</v>
      </c>
      <c r="J742" s="332">
        <f>IFERROR(__xludf.DUMMYFUNCTION("IF(IF(COUNTIF(P$2:P741, P742)=0, """", INDEX(H$2:H741,
MAX(FILTER(ROW(H$2:H741) - ROW(H$2) + 1, P$2:P741 = P742))))=""単価"","""",
IF(COUNTIF(P$2:P741, P742)=0, """", INDEX(H$2:H741,
MAX(FILTER(ROW(H$2:H741) - ROW(H$2) + 1, P$2:P741 = P742)))))"),42.0)</f>
        <v>42</v>
      </c>
      <c r="N742" s="335" t="str">
        <f>IF(MAXIFS('単価履歴'!$O:$O,'単価履歴'!$E:$E,E742,'単価履歴'!$F:$F,F742)=O742,"●","")</f>
        <v/>
      </c>
      <c r="O742" s="346">
        <v>45743.266875</v>
      </c>
      <c r="P742" s="334" t="str">
        <f t="shared" si="4"/>
        <v>愛知:阪和新断Ｂ</v>
      </c>
    </row>
    <row r="743" ht="15.75" customHeight="1">
      <c r="A743" s="335" t="s">
        <v>1942</v>
      </c>
      <c r="B743" s="336">
        <v>45743.0</v>
      </c>
      <c r="C743" s="335" t="s">
        <v>14</v>
      </c>
      <c r="D743" s="335" t="s">
        <v>46</v>
      </c>
      <c r="E743" s="337" t="str">
        <f t="shared" si="1"/>
        <v>愛知:阪和</v>
      </c>
      <c r="F743" s="338" t="s">
        <v>145</v>
      </c>
      <c r="G743" s="339" t="str">
        <f t="shared" si="2"/>
        <v>愛知:阪和シュレＡ</v>
      </c>
      <c r="H743" s="340">
        <f t="shared" si="3"/>
        <v>44</v>
      </c>
      <c r="I743" s="341">
        <v>1.0</v>
      </c>
      <c r="J743" s="332">
        <f>IFERROR(__xludf.DUMMYFUNCTION("IF(IF(COUNTIF(P$2:P742, P743)=0, """", INDEX(H$2:H742,
MAX(FILTER(ROW(H$2:H742) - ROW(H$2) + 1, P$2:P742 = P743))))=""単価"","""",
IF(COUNTIF(P$2:P742, P743)=0, """", INDEX(H$2:H742,
MAX(FILTER(ROW(H$2:H742) - ROW(H$2) + 1, P$2:P742 = P743)))))"),43.0)</f>
        <v>43</v>
      </c>
      <c r="N743" s="335" t="str">
        <f>IF(MAXIFS('単価履歴'!$O:$O,'単価履歴'!$E:$E,E743,'単価履歴'!$F:$F,F743)=O743,"●","")</f>
        <v/>
      </c>
      <c r="O743" s="346">
        <v>45743.266875</v>
      </c>
      <c r="P743" s="334" t="str">
        <f t="shared" si="4"/>
        <v>愛知:阪和シュレＡ</v>
      </c>
    </row>
    <row r="744" ht="15.75" customHeight="1">
      <c r="A744" s="335" t="s">
        <v>1943</v>
      </c>
      <c r="B744" s="336">
        <v>45743.0</v>
      </c>
      <c r="C744" s="335" t="s">
        <v>12</v>
      </c>
      <c r="D744" s="335" t="s">
        <v>53</v>
      </c>
      <c r="E744" s="337" t="str">
        <f t="shared" si="1"/>
        <v>山陽特殊:MM</v>
      </c>
      <c r="F744" s="338" t="s">
        <v>130</v>
      </c>
      <c r="G744" s="339" t="str">
        <f t="shared" si="2"/>
        <v>山陽特殊:MM新断Ａ</v>
      </c>
      <c r="H744" s="340">
        <f t="shared" si="3"/>
        <v>46</v>
      </c>
      <c r="I744" s="341">
        <v>1.0</v>
      </c>
      <c r="J744" s="332">
        <f>IFERROR(__xludf.DUMMYFUNCTION("IF(IF(COUNTIF(P$2:P743, P744)=0, """", INDEX(H$2:H743,
MAX(FILTER(ROW(H$2:H743) - ROW(H$2) + 1, P$2:P743 = P744))))=""単価"","""",
IF(COUNTIF(P$2:P743, P744)=0, """", INDEX(H$2:H743,
MAX(FILTER(ROW(H$2:H743) - ROW(H$2) + 1, P$2:P743 = P744)))))"),45.0)</f>
        <v>45</v>
      </c>
      <c r="N744" s="335" t="str">
        <f>IF(MAXIFS('単価履歴'!$O:$O,'単価履歴'!$E:$E,E744,'単価履歴'!$F:$F,F744)=O744,"●","")</f>
        <v/>
      </c>
      <c r="O744" s="346">
        <v>45743.26784722222</v>
      </c>
      <c r="P744" s="334" t="str">
        <f t="shared" si="4"/>
        <v>山陽特殊:MM新断Ａ</v>
      </c>
    </row>
    <row r="745" ht="15.75" customHeight="1">
      <c r="A745" s="335" t="s">
        <v>1944</v>
      </c>
      <c r="B745" s="336">
        <v>45743.0</v>
      </c>
      <c r="C745" s="335" t="s">
        <v>12</v>
      </c>
      <c r="D745" s="335" t="s">
        <v>53</v>
      </c>
      <c r="E745" s="337" t="str">
        <f t="shared" si="1"/>
        <v>山陽特殊:MM</v>
      </c>
      <c r="F745" s="338" t="s">
        <v>131</v>
      </c>
      <c r="G745" s="339" t="str">
        <f t="shared" si="2"/>
        <v>山陽特殊:MM新断Ｂ</v>
      </c>
      <c r="H745" s="340">
        <f t="shared" si="3"/>
        <v>45</v>
      </c>
      <c r="I745" s="341">
        <v>1.0</v>
      </c>
      <c r="J745" s="332">
        <f>IFERROR(__xludf.DUMMYFUNCTION("IF(IF(COUNTIF(P$2:P744, P745)=0, """", INDEX(H$2:H744,
MAX(FILTER(ROW(H$2:H744) - ROW(H$2) + 1, P$2:P744 = P745))))=""単価"","""",
IF(COUNTIF(P$2:P744, P745)=0, """", INDEX(H$2:H744,
MAX(FILTER(ROW(H$2:H744) - ROW(H$2) + 1, P$2:P744 = P745)))))"),44.0)</f>
        <v>44</v>
      </c>
      <c r="N745" s="335" t="str">
        <f>IF(MAXIFS('単価履歴'!$O:$O,'単価履歴'!$E:$E,E745,'単価履歴'!$F:$F,F745)=O745,"●","")</f>
        <v/>
      </c>
      <c r="O745" s="346">
        <v>45743.26784722222</v>
      </c>
      <c r="P745" s="334" t="str">
        <f t="shared" si="4"/>
        <v>山陽特殊:MM新断Ｂ</v>
      </c>
    </row>
    <row r="746" ht="15.75" customHeight="1">
      <c r="A746" s="335" t="s">
        <v>1945</v>
      </c>
      <c r="B746" s="336">
        <v>45743.0</v>
      </c>
      <c r="C746" s="335" t="s">
        <v>12</v>
      </c>
      <c r="D746" s="335" t="s">
        <v>53</v>
      </c>
      <c r="E746" s="337" t="str">
        <f t="shared" si="1"/>
        <v>山陽特殊:MM</v>
      </c>
      <c r="F746" s="338" t="s">
        <v>574</v>
      </c>
      <c r="G746" s="339" t="str">
        <f t="shared" si="2"/>
        <v>山陽特殊:MM新断Ｃ</v>
      </c>
      <c r="H746" s="340">
        <f t="shared" si="3"/>
        <v>44</v>
      </c>
      <c r="I746" s="341">
        <v>1.0</v>
      </c>
      <c r="J746" s="332">
        <f>IFERROR(__xludf.DUMMYFUNCTION("IF(IF(COUNTIF(P$2:P745, P746)=0, """", INDEX(H$2:H745,
MAX(FILTER(ROW(H$2:H745) - ROW(H$2) + 1, P$2:P745 = P746))))=""単価"","""",
IF(COUNTIF(P$2:P745, P746)=0, """", INDEX(H$2:H745,
MAX(FILTER(ROW(H$2:H745) - ROW(H$2) + 1, P$2:P745 = P746)))))"),43.0)</f>
        <v>43</v>
      </c>
      <c r="N746" s="335" t="str">
        <f>IF(MAXIFS('単価履歴'!$O:$O,'単価履歴'!$E:$E,E746,'単価履歴'!$F:$F,F746)=O746,"●","")</f>
        <v/>
      </c>
      <c r="O746" s="346">
        <v>45743.26784722222</v>
      </c>
      <c r="P746" s="334" t="str">
        <f t="shared" si="4"/>
        <v>山陽特殊:MM新断Ｃ</v>
      </c>
    </row>
    <row r="747" ht="15.75" customHeight="1">
      <c r="A747" s="335" t="s">
        <v>1946</v>
      </c>
      <c r="B747" s="336">
        <v>45744.0</v>
      </c>
      <c r="C747" s="335" t="s">
        <v>35</v>
      </c>
      <c r="D747" s="335" t="s">
        <v>48</v>
      </c>
      <c r="E747" s="337" t="str">
        <f t="shared" si="1"/>
        <v>ﾆｭｰｽｺﾝ稲永:ナベ</v>
      </c>
      <c r="F747" s="338" t="s">
        <v>130</v>
      </c>
      <c r="G747" s="339" t="str">
        <f t="shared" si="2"/>
        <v>ﾆｭｰｽｺﾝ稲永:ナベ新断Ａ</v>
      </c>
      <c r="H747" s="340">
        <f t="shared" si="3"/>
        <v>45</v>
      </c>
      <c r="I747" s="341">
        <v>1.0</v>
      </c>
      <c r="J747" s="332">
        <f>IFERROR(__xludf.DUMMYFUNCTION("IF(IF(COUNTIF(P$2:P746, P747)=0, """", INDEX(H$2:H746,
MAX(FILTER(ROW(H$2:H746) - ROW(H$2) + 1, P$2:P746 = P747))))=""単価"","""",
IF(COUNTIF(P$2:P746, P747)=0, """", INDEX(H$2:H746,
MAX(FILTER(ROW(H$2:H746) - ROW(H$2) + 1, P$2:P746 = P747)))))"),44.0)</f>
        <v>44</v>
      </c>
      <c r="N747" s="335" t="str">
        <f>IF(MAXIFS('単価履歴'!$O:$O,'単価履歴'!$E:$E,E747,'単価履歴'!$F:$F,F747)=O747,"●","")</f>
        <v/>
      </c>
      <c r="O747" s="346">
        <v>45744.26813657407</v>
      </c>
      <c r="P747" s="334" t="str">
        <f t="shared" si="4"/>
        <v>ﾆｭｰｽｺﾝ稲永:ナベ新断Ａ</v>
      </c>
    </row>
    <row r="748" ht="15.75" customHeight="1">
      <c r="A748" s="335" t="s">
        <v>1947</v>
      </c>
      <c r="B748" s="336">
        <v>45748.0</v>
      </c>
      <c r="C748" s="335" t="s">
        <v>28</v>
      </c>
      <c r="D748" s="335" t="s">
        <v>52</v>
      </c>
      <c r="E748" s="337" t="str">
        <f t="shared" si="1"/>
        <v>ＪＦＥ条鋼:リバイブ</v>
      </c>
      <c r="F748" s="338" t="s">
        <v>116</v>
      </c>
      <c r="G748" s="339" t="str">
        <f t="shared" si="2"/>
        <v>ＪＦＥ条鋼:リバイブＨ２(特級)</v>
      </c>
      <c r="H748" s="340">
        <f t="shared" si="3"/>
        <v>41.5</v>
      </c>
      <c r="I748" s="341">
        <v>1.0</v>
      </c>
      <c r="J748" s="332">
        <f>IFERROR(__xludf.DUMMYFUNCTION("IF(IF(COUNTIF(P$2:P747, P748)=0, """", INDEX(H$2:H747,
MAX(FILTER(ROW(H$2:H747) - ROW(H$2) + 1, P$2:P747 = P748))))=""単価"","""",
IF(COUNTIF(P$2:P747, P748)=0, """", INDEX(H$2:H747,
MAX(FILTER(ROW(H$2:H747) - ROW(H$2) + 1, P$2:P747 = P748)))))"),40.5)</f>
        <v>40.5</v>
      </c>
      <c r="N748" s="335" t="str">
        <f>IF(MAXIFS('単価履歴'!$O:$O,'単価履歴'!$E:$E,E748,'単価履歴'!$F:$F,F748)=O748,"●","")</f>
        <v/>
      </c>
      <c r="O748" s="346">
        <v>45748.256273148145</v>
      </c>
      <c r="P748" s="334" t="str">
        <f t="shared" si="4"/>
        <v>ＪＦＥ条鋼:リバイブＨ２(特級)</v>
      </c>
    </row>
    <row r="749" ht="15.75" customHeight="1">
      <c r="A749" s="335" t="s">
        <v>1948</v>
      </c>
      <c r="B749" s="336">
        <v>45748.0</v>
      </c>
      <c r="C749" s="335" t="s">
        <v>28</v>
      </c>
      <c r="D749" s="335" t="s">
        <v>52</v>
      </c>
      <c r="E749" s="337" t="str">
        <f t="shared" si="1"/>
        <v>ＪＦＥ条鋼:リバイブ</v>
      </c>
      <c r="F749" s="338" t="s">
        <v>119</v>
      </c>
      <c r="G749" s="339" t="str">
        <f t="shared" si="2"/>
        <v>ＪＦＥ条鋼:リバイブＨ３(1級)</v>
      </c>
      <c r="H749" s="340">
        <f t="shared" si="3"/>
        <v>40.5</v>
      </c>
      <c r="I749" s="341">
        <v>1.0</v>
      </c>
      <c r="J749" s="332">
        <f>IFERROR(__xludf.DUMMYFUNCTION("IF(IF(COUNTIF(P$2:P748, P749)=0, """", INDEX(H$2:H748,
MAX(FILTER(ROW(H$2:H748) - ROW(H$2) + 1, P$2:P748 = P749))))=""単価"","""",
IF(COUNTIF(P$2:P748, P749)=0, """", INDEX(H$2:H748,
MAX(FILTER(ROW(H$2:H748) - ROW(H$2) + 1, P$2:P748 = P749)))))"),39.5)</f>
        <v>39.5</v>
      </c>
      <c r="N749" s="335" t="str">
        <f>IF(MAXIFS('単価履歴'!$O:$O,'単価履歴'!$E:$E,E749,'単価履歴'!$F:$F,F749)=O749,"●","")</f>
        <v/>
      </c>
      <c r="O749" s="346">
        <v>45748.256273148145</v>
      </c>
      <c r="P749" s="334" t="str">
        <f t="shared" si="4"/>
        <v>ＪＦＥ条鋼:リバイブＨ３(1級)</v>
      </c>
    </row>
    <row r="750" ht="15.75" customHeight="1">
      <c r="A750" s="335" t="s">
        <v>1949</v>
      </c>
      <c r="B750" s="336">
        <v>45748.0</v>
      </c>
      <c r="C750" s="335" t="s">
        <v>28</v>
      </c>
      <c r="D750" s="335" t="s">
        <v>52</v>
      </c>
      <c r="E750" s="337" t="str">
        <f t="shared" si="1"/>
        <v>ＪＦＥ条鋼:リバイブ</v>
      </c>
      <c r="F750" s="338" t="s">
        <v>122</v>
      </c>
      <c r="G750" s="339" t="str">
        <f t="shared" si="2"/>
        <v>ＪＦＥ条鋼:リバイブＬ１(2級)</v>
      </c>
      <c r="H750" s="340">
        <f t="shared" si="3"/>
        <v>37.3</v>
      </c>
      <c r="I750" s="341">
        <v>1.0</v>
      </c>
      <c r="J750" s="332">
        <f>IFERROR(__xludf.DUMMYFUNCTION("IF(IF(COUNTIF(P$2:P749, P750)=0, """", INDEX(H$2:H749,
MAX(FILTER(ROW(H$2:H749) - ROW(H$2) + 1, P$2:P749 = P750))))=""単価"","""",
IF(COUNTIF(P$2:P749, P750)=0, """", INDEX(H$2:H749,
MAX(FILTER(ROW(H$2:H749) - ROW(H$2) + 1, P$2:P749 = P750)))))"),36.3)</f>
        <v>36.3</v>
      </c>
      <c r="N750" s="335" t="str">
        <f>IF(MAXIFS('単価履歴'!$O:$O,'単価履歴'!$E:$E,E750,'単価履歴'!$F:$F,F750)=O750,"●","")</f>
        <v/>
      </c>
      <c r="O750" s="346">
        <v>45748.256273148145</v>
      </c>
      <c r="P750" s="334" t="str">
        <f t="shared" si="4"/>
        <v>ＪＦＥ条鋼:リバイブＬ１(2級)</v>
      </c>
    </row>
    <row r="751" ht="15.75" customHeight="1">
      <c r="A751" s="335" t="s">
        <v>1950</v>
      </c>
      <c r="B751" s="336">
        <v>45748.0</v>
      </c>
      <c r="C751" s="335" t="s">
        <v>28</v>
      </c>
      <c r="D751" s="335" t="s">
        <v>52</v>
      </c>
      <c r="E751" s="337" t="str">
        <f t="shared" si="1"/>
        <v>ＪＦＥ条鋼:リバイブ</v>
      </c>
      <c r="F751" s="338" t="s">
        <v>573</v>
      </c>
      <c r="G751" s="339" t="str">
        <f t="shared" si="2"/>
        <v>ＪＦＥ条鋼:リバイブＬ２(H4･級外･L1ﾊﾞﾗ)</v>
      </c>
      <c r="H751" s="340">
        <f t="shared" si="3"/>
        <v>41.4</v>
      </c>
      <c r="I751" s="341">
        <v>1.0</v>
      </c>
      <c r="J751" s="332">
        <f>IFERROR(__xludf.DUMMYFUNCTION("IF(IF(COUNTIF(P$2:P750, P751)=0, """", INDEX(H$2:H750,
MAX(FILTER(ROW(H$2:H750) - ROW(H$2) + 1, P$2:P750 = P751))))=""単価"","""",
IF(COUNTIF(P$2:P750, P751)=0, """", INDEX(H$2:H750,
MAX(FILTER(ROW(H$2:H750) - ROW(H$2) + 1, P$2:P750 = P751)))))"),40.4)</f>
        <v>40.4</v>
      </c>
      <c r="N751" s="335" t="str">
        <f>IF(MAXIFS('単価履歴'!$O:$O,'単価履歴'!$E:$E,E751,'単価履歴'!$F:$F,F751)=O751,"●","")</f>
        <v/>
      </c>
      <c r="O751" s="346">
        <v>45748.256273148145</v>
      </c>
      <c r="P751" s="334" t="str">
        <f t="shared" si="4"/>
        <v>ＪＦＥ条鋼:リバイブＬ２(H4･級外･L1ﾊﾞﾗ)</v>
      </c>
    </row>
    <row r="752" ht="15.75" customHeight="1">
      <c r="A752" s="335" t="s">
        <v>1951</v>
      </c>
      <c r="B752" s="336">
        <v>45755.0</v>
      </c>
      <c r="C752" s="335" t="s">
        <v>28</v>
      </c>
      <c r="D752" s="335" t="s">
        <v>52</v>
      </c>
      <c r="E752" s="337" t="str">
        <f t="shared" si="1"/>
        <v>ＪＦＥ条鋼:リバイブ</v>
      </c>
      <c r="F752" s="338" t="s">
        <v>131</v>
      </c>
      <c r="G752" s="339" t="str">
        <f t="shared" si="2"/>
        <v>ＪＦＥ条鋼:リバイブ新断Ｂ</v>
      </c>
      <c r="H752" s="340">
        <f t="shared" si="3"/>
        <v>45.5</v>
      </c>
      <c r="I752" s="335">
        <v>2.5</v>
      </c>
      <c r="J752" s="332">
        <f>IFERROR(__xludf.DUMMYFUNCTION("IF(IF(COUNTIF(P$2:P751, P752)=0, """", INDEX(H$2:H751,
MAX(FILTER(ROW(H$2:H751) - ROW(H$2) + 1, P$2:P751 = P752))))=""単価"","""",
IF(COUNTIF(P$2:P751, P752)=0, """", INDEX(H$2:H751,
MAX(FILTER(ROW(H$2:H751) - ROW(H$2) + 1, P$2:P751 = P752)))))"),43.0)</f>
        <v>43</v>
      </c>
      <c r="N752" s="335" t="str">
        <f>IF(MAXIFS('単価履歴'!$O:$O,'単価履歴'!$E:$E,E752,'単価履歴'!$F:$F,F752)=O752,"●","")</f>
        <v/>
      </c>
      <c r="O752" s="346">
        <v>45748.256273148145</v>
      </c>
      <c r="P752" s="334" t="str">
        <f t="shared" si="4"/>
        <v>ＪＦＥ条鋼:リバイブ新断Ｂ</v>
      </c>
    </row>
    <row r="753" ht="15.75" customHeight="1">
      <c r="A753" s="335" t="s">
        <v>1952</v>
      </c>
      <c r="B753" s="336">
        <v>45756.0</v>
      </c>
      <c r="C753" s="335" t="s">
        <v>28</v>
      </c>
      <c r="D753" s="335" t="s">
        <v>52</v>
      </c>
      <c r="E753" s="337" t="str">
        <f t="shared" si="1"/>
        <v>ＪＦＥ条鋼:リバイブ</v>
      </c>
      <c r="F753" s="338" t="s">
        <v>111</v>
      </c>
      <c r="G753" s="339" t="str">
        <f t="shared" si="2"/>
        <v>ＪＦＥ条鋼:リバイブＨ１(特A)</v>
      </c>
      <c r="H753" s="340">
        <f t="shared" si="3"/>
        <v>42.5</v>
      </c>
      <c r="I753" s="341">
        <v>1.0</v>
      </c>
      <c r="J753" s="332">
        <f>IFERROR(__xludf.DUMMYFUNCTION("IF(IF(COUNTIF(P$2:P752, P753)=0, """", INDEX(H$2:H752,
MAX(FILTER(ROW(H$2:H752) - ROW(H$2) + 1, P$2:P752 = P753))))=""単価"","""",
IF(COUNTIF(P$2:P752, P753)=0, """", INDEX(H$2:H752,
MAX(FILTER(ROW(H$2:H752) - ROW(H$2) + 1, P$2:P752 = P753)))))"),41.5)</f>
        <v>41.5</v>
      </c>
      <c r="N753" s="335" t="str">
        <f>IF(MAXIFS('単価履歴'!$O:$O,'単価履歴'!$E:$E,E753,'単価履歴'!$F:$F,F753)=O753,"●","")</f>
        <v/>
      </c>
      <c r="O753" s="346">
        <v>45748.256273148145</v>
      </c>
      <c r="P753" s="334" t="str">
        <f t="shared" si="4"/>
        <v>ＪＦＥ条鋼:リバイブＨ１(特A)</v>
      </c>
    </row>
    <row r="754" ht="15.75" customHeight="1">
      <c r="A754" s="335" t="s">
        <v>1953</v>
      </c>
      <c r="B754" s="336">
        <v>45756.0</v>
      </c>
      <c r="C754" s="335" t="s">
        <v>28</v>
      </c>
      <c r="D754" s="335" t="s">
        <v>52</v>
      </c>
      <c r="E754" s="337" t="str">
        <f t="shared" si="1"/>
        <v>ＪＦＥ条鋼:リバイブ</v>
      </c>
      <c r="F754" s="338" t="s">
        <v>130</v>
      </c>
      <c r="G754" s="339" t="str">
        <f t="shared" si="2"/>
        <v>ＪＦＥ条鋼:リバイブ新断Ａ</v>
      </c>
      <c r="H754" s="340">
        <f t="shared" si="3"/>
        <v>46.5</v>
      </c>
      <c r="I754" s="335">
        <v>2.5</v>
      </c>
      <c r="J754" s="332">
        <f>IFERROR(__xludf.DUMMYFUNCTION("IF(IF(COUNTIF(P$2:P753, P754)=0, """", INDEX(H$2:H753,
MAX(FILTER(ROW(H$2:H753) - ROW(H$2) + 1, P$2:P753 = P754))))=""単価"","""",
IF(COUNTIF(P$2:P753, P754)=0, """", INDEX(H$2:H753,
MAX(FILTER(ROW(H$2:H753) - ROW(H$2) + 1, P$2:P753 = P754)))))"),44.0)</f>
        <v>44</v>
      </c>
      <c r="N754" s="335" t="str">
        <f>IF(MAXIFS('単価履歴'!$O:$O,'単価履歴'!$E:$E,E754,'単価履歴'!$F:$F,F754)=O754,"●","")</f>
        <v/>
      </c>
      <c r="O754" s="346">
        <v>45748.256273148145</v>
      </c>
      <c r="P754" s="334" t="str">
        <f t="shared" si="4"/>
        <v>ＪＦＥ条鋼:リバイブ新断Ａ</v>
      </c>
    </row>
    <row r="755" ht="15.75" customHeight="1">
      <c r="A755" s="335" t="s">
        <v>1954</v>
      </c>
      <c r="B755" s="336">
        <v>45750.0</v>
      </c>
      <c r="C755" s="335" t="s">
        <v>535</v>
      </c>
      <c r="D755" s="335" t="s">
        <v>77</v>
      </c>
      <c r="E755" s="337" t="str">
        <f t="shared" si="1"/>
        <v>東鐵名古屋:直納</v>
      </c>
      <c r="F755" s="338" t="s">
        <v>116</v>
      </c>
      <c r="G755" s="339" t="str">
        <f t="shared" si="2"/>
        <v>東鐵名古屋:直納Ｈ２(特級)</v>
      </c>
      <c r="H755" s="340">
        <f t="shared" si="3"/>
        <v>40.5</v>
      </c>
      <c r="I755" s="341">
        <v>1.5</v>
      </c>
      <c r="J755" s="332">
        <f>IFERROR(__xludf.DUMMYFUNCTION("IF(IF(COUNTIF(P$2:P754, P755)=0, """", INDEX(H$2:H754,
MAX(FILTER(ROW(H$2:H754) - ROW(H$2) + 1, P$2:P754 = P755))))=""単価"","""",
IF(COUNTIF(P$2:P754, P755)=0, """", INDEX(H$2:H754,
MAX(FILTER(ROW(H$2:H754) - ROW(H$2) + 1, P$2:P754 = P755)))))"),39.0)</f>
        <v>39</v>
      </c>
      <c r="N755" s="335" t="str">
        <f>IF(MAXIFS('単価履歴'!$O:$O,'単価履歴'!$E:$E,E755,'単価履歴'!$F:$F,F755)=O755,"●","")</f>
        <v/>
      </c>
      <c r="O755" s="346">
        <v>45750.25920138889</v>
      </c>
      <c r="P755" s="334" t="str">
        <f t="shared" si="4"/>
        <v>東鐵名古屋:直納Ｈ２(特級)</v>
      </c>
    </row>
    <row r="756" ht="15.75" customHeight="1">
      <c r="A756" s="335" t="s">
        <v>1955</v>
      </c>
      <c r="B756" s="336">
        <v>45750.0</v>
      </c>
      <c r="C756" s="335" t="s">
        <v>535</v>
      </c>
      <c r="D756" s="335" t="s">
        <v>77</v>
      </c>
      <c r="E756" s="337" t="str">
        <f t="shared" si="1"/>
        <v>東鐵名古屋:直納</v>
      </c>
      <c r="F756" s="338" t="s">
        <v>573</v>
      </c>
      <c r="G756" s="339" t="str">
        <f t="shared" si="2"/>
        <v>東鐵名古屋:直納Ｌ２(H4･級外･L1ﾊﾞﾗ)</v>
      </c>
      <c r="H756" s="340">
        <f t="shared" si="3"/>
        <v>35.5</v>
      </c>
      <c r="I756" s="341">
        <v>1.5</v>
      </c>
      <c r="J756" s="332">
        <f>IFERROR(__xludf.DUMMYFUNCTION("IF(IF(COUNTIF(P$2:P755, P756)=0, """", INDEX(H$2:H755,
MAX(FILTER(ROW(H$2:H755) - ROW(H$2) + 1, P$2:P755 = P756))))=""単価"","""",
IF(COUNTIF(P$2:P755, P756)=0, """", INDEX(H$2:H755,
MAX(FILTER(ROW(H$2:H755) - ROW(H$2) + 1, P$2:P755 = P756)))))"),34.0)</f>
        <v>34</v>
      </c>
      <c r="N756" s="335" t="str">
        <f>IF(MAXIFS('単価履歴'!$O:$O,'単価履歴'!$E:$E,E756,'単価履歴'!$F:$F,F756)=O756,"●","")</f>
        <v/>
      </c>
      <c r="O756" s="346">
        <v>45750.25920138889</v>
      </c>
      <c r="P756" s="334" t="str">
        <f t="shared" si="4"/>
        <v>東鐵名古屋:直納Ｌ２(H4･級外･L1ﾊﾞﾗ)</v>
      </c>
    </row>
    <row r="757" ht="15.75" customHeight="1">
      <c r="A757" s="335" t="s">
        <v>1956</v>
      </c>
      <c r="B757" s="336">
        <v>45750.0</v>
      </c>
      <c r="C757" s="335" t="s">
        <v>535</v>
      </c>
      <c r="D757" s="335" t="s">
        <v>77</v>
      </c>
      <c r="E757" s="337" t="str">
        <f t="shared" si="1"/>
        <v>東鐵名古屋:直納</v>
      </c>
      <c r="F757" s="338" t="s">
        <v>1199</v>
      </c>
      <c r="G757" s="339" t="str">
        <f t="shared" si="2"/>
        <v>東鐵名古屋:直納ＨＳ１(単体H1/電特A/HS))</v>
      </c>
      <c r="H757" s="340">
        <f t="shared" si="3"/>
        <v>43</v>
      </c>
      <c r="I757" s="341">
        <v>1.5</v>
      </c>
      <c r="J757" s="332">
        <f>IFERROR(__xludf.DUMMYFUNCTION("IF(IF(COUNTIF(P$2:P756, P757)=0, """", INDEX(H$2:H756,
MAX(FILTER(ROW(H$2:H756) - ROW(H$2) + 1, P$2:P756 = P757))))=""単価"","""",
IF(COUNTIF(P$2:P756, P757)=0, """", INDEX(H$2:H756,
MAX(FILTER(ROW(H$2:H756) - ROW(H$2) + 1, P$2:P756 = P757)))))"),41.5)</f>
        <v>41.5</v>
      </c>
      <c r="N757" s="335" t="str">
        <f>IF(MAXIFS('単価履歴'!$O:$O,'単価履歴'!$E:$E,E757,'単価履歴'!$F:$F,F757)=O757,"●","")</f>
        <v/>
      </c>
      <c r="O757" s="346">
        <v>45750.25920138889</v>
      </c>
      <c r="P757" s="334" t="str">
        <f t="shared" si="4"/>
        <v>東鐵名古屋:直納ＨＳ１(単体H1/電特A/HS))</v>
      </c>
    </row>
    <row r="758" ht="15.75" customHeight="1">
      <c r="A758" s="335" t="s">
        <v>1957</v>
      </c>
      <c r="B758" s="336">
        <v>45750.0</v>
      </c>
      <c r="C758" s="335" t="s">
        <v>535</v>
      </c>
      <c r="D758" s="335" t="s">
        <v>77</v>
      </c>
      <c r="E758" s="337" t="str">
        <f t="shared" si="1"/>
        <v>東鐵名古屋:直納</v>
      </c>
      <c r="F758" s="338" t="s">
        <v>119</v>
      </c>
      <c r="G758" s="339" t="str">
        <f t="shared" si="2"/>
        <v>東鐵名古屋:直納Ｈ３(1級)</v>
      </c>
      <c r="H758" s="340">
        <f t="shared" si="3"/>
        <v>40</v>
      </c>
      <c r="I758" s="341">
        <v>1.5</v>
      </c>
      <c r="J758" s="332">
        <f>IFERROR(__xludf.DUMMYFUNCTION("IF(IF(COUNTIF(P$2:P757, P758)=0, """", INDEX(H$2:H757,
MAX(FILTER(ROW(H$2:H757) - ROW(H$2) + 1, P$2:P757 = P758))))=""単価"","""",
IF(COUNTIF(P$2:P757, P758)=0, """", INDEX(H$2:H757,
MAX(FILTER(ROW(H$2:H757) - ROW(H$2) + 1, P$2:P757 = P758)))))"),38.5)</f>
        <v>38.5</v>
      </c>
      <c r="N758" s="335" t="str">
        <f>IF(MAXIFS('単価履歴'!$O:$O,'単価履歴'!$E:$E,E758,'単価履歴'!$F:$F,F758)=O758,"●","")</f>
        <v/>
      </c>
      <c r="O758" s="346">
        <v>45750.25920138889</v>
      </c>
      <c r="P758" s="334" t="str">
        <f t="shared" si="4"/>
        <v>東鐵名古屋:直納Ｈ３(1級)</v>
      </c>
    </row>
    <row r="759" ht="15.75" customHeight="1">
      <c r="A759" s="335" t="s">
        <v>1958</v>
      </c>
      <c r="B759" s="336">
        <v>45750.0</v>
      </c>
      <c r="C759" s="335" t="s">
        <v>535</v>
      </c>
      <c r="D759" s="335" t="s">
        <v>77</v>
      </c>
      <c r="E759" s="337" t="str">
        <f t="shared" si="1"/>
        <v>東鐵名古屋:直納</v>
      </c>
      <c r="F759" s="338" t="s">
        <v>145</v>
      </c>
      <c r="G759" s="339" t="str">
        <f t="shared" si="2"/>
        <v>東鐵名古屋:直納シュレＡ</v>
      </c>
      <c r="H759" s="340">
        <f t="shared" si="3"/>
        <v>41.5</v>
      </c>
      <c r="I759" s="341">
        <v>1.5</v>
      </c>
      <c r="J759" s="332">
        <f>IFERROR(__xludf.DUMMYFUNCTION("IF(IF(COUNTIF(P$2:P758, P759)=0, """", INDEX(H$2:H758,
MAX(FILTER(ROW(H$2:H758) - ROW(H$2) + 1, P$2:P758 = P759))))=""単価"","""",
IF(COUNTIF(P$2:P758, P759)=0, """", INDEX(H$2:H758,
MAX(FILTER(ROW(H$2:H758) - ROW(H$2) + 1, P$2:P758 = P759)))))"),40.0)</f>
        <v>40</v>
      </c>
      <c r="N759" s="335" t="str">
        <f>IF(MAXIFS('単価履歴'!$O:$O,'単価履歴'!$E:$E,E759,'単価履歴'!$F:$F,F759)=O759,"●","")</f>
        <v/>
      </c>
      <c r="O759" s="346">
        <v>45750.25920138889</v>
      </c>
      <c r="P759" s="334" t="str">
        <f t="shared" si="4"/>
        <v>東鐵名古屋:直納シュレＡ</v>
      </c>
    </row>
    <row r="760" ht="15.75" customHeight="1">
      <c r="A760" s="335" t="s">
        <v>1959</v>
      </c>
      <c r="B760" s="336">
        <v>45750.0</v>
      </c>
      <c r="C760" s="335" t="s">
        <v>535</v>
      </c>
      <c r="D760" s="335" t="s">
        <v>77</v>
      </c>
      <c r="E760" s="337" t="str">
        <f t="shared" si="1"/>
        <v>東鐵名古屋:直納</v>
      </c>
      <c r="F760" s="338" t="s">
        <v>111</v>
      </c>
      <c r="G760" s="339" t="str">
        <f t="shared" si="2"/>
        <v>東鐵名古屋:直納Ｈ１(特A)</v>
      </c>
      <c r="H760" s="340">
        <f t="shared" si="3"/>
        <v>41.2</v>
      </c>
      <c r="I760" s="341">
        <v>1.5</v>
      </c>
      <c r="J760" s="332">
        <f>IFERROR(__xludf.DUMMYFUNCTION("IF(IF(COUNTIF(P$2:P759, P760)=0, """", INDEX(H$2:H759,
MAX(FILTER(ROW(H$2:H759) - ROW(H$2) + 1, P$2:P759 = P760))))=""単価"","""",
IF(COUNTIF(P$2:P759, P760)=0, """", INDEX(H$2:H759,
MAX(FILTER(ROW(H$2:H759) - ROW(H$2) + 1, P$2:P759 = P760)))))"),39.7)</f>
        <v>39.7</v>
      </c>
      <c r="N760" s="335" t="str">
        <f>IF(MAXIFS('単価履歴'!$O:$O,'単価履歴'!$E:$E,E760,'単価履歴'!$F:$F,F760)=O760,"●","")</f>
        <v/>
      </c>
      <c r="O760" s="346">
        <v>45750.25920138889</v>
      </c>
      <c r="P760" s="334" t="str">
        <f t="shared" si="4"/>
        <v>東鐵名古屋:直納Ｈ１(特A)</v>
      </c>
    </row>
    <row r="761" ht="15.75" customHeight="1">
      <c r="A761" s="335" t="s">
        <v>1960</v>
      </c>
      <c r="B761" s="336">
        <v>45750.0</v>
      </c>
      <c r="C761" s="335" t="s">
        <v>535</v>
      </c>
      <c r="D761" s="335" t="s">
        <v>77</v>
      </c>
      <c r="E761" s="337" t="str">
        <f t="shared" si="1"/>
        <v>東鐵名古屋:直納</v>
      </c>
      <c r="F761" s="338" t="s">
        <v>122</v>
      </c>
      <c r="G761" s="339" t="str">
        <f t="shared" si="2"/>
        <v>東鐵名古屋:直納Ｌ１(2級)</v>
      </c>
      <c r="H761" s="340">
        <f t="shared" si="3"/>
        <v>38.5</v>
      </c>
      <c r="I761" s="341">
        <v>1.5</v>
      </c>
      <c r="J761" s="332">
        <f>IFERROR(__xludf.DUMMYFUNCTION("IF(IF(COUNTIF(P$2:P760, P761)=0, """", INDEX(H$2:H760,
MAX(FILTER(ROW(H$2:H760) - ROW(H$2) + 1, P$2:P760 = P761))))=""単価"","""",
IF(COUNTIF(P$2:P760, P761)=0, """", INDEX(H$2:H760,
MAX(FILTER(ROW(H$2:H760) - ROW(H$2) + 1, P$2:P760 = P761)))))"),37.0)</f>
        <v>37</v>
      </c>
      <c r="N761" s="335" t="str">
        <f>IF(MAXIFS('単価履歴'!$O:$O,'単価履歴'!$E:$E,E761,'単価履歴'!$F:$F,F761)=O761,"●","")</f>
        <v/>
      </c>
      <c r="O761" s="346">
        <v>45750.25920138889</v>
      </c>
      <c r="P761" s="334" t="str">
        <f t="shared" si="4"/>
        <v>東鐵名古屋:直納Ｌ１(2級)</v>
      </c>
    </row>
    <row r="762" ht="15.75" customHeight="1">
      <c r="A762" s="335" t="s">
        <v>1961</v>
      </c>
      <c r="B762" s="336">
        <v>45750.0</v>
      </c>
      <c r="C762" s="335" t="s">
        <v>535</v>
      </c>
      <c r="D762" s="335" t="s">
        <v>77</v>
      </c>
      <c r="E762" s="337" t="str">
        <f t="shared" si="1"/>
        <v>東鐵名古屋:直納</v>
      </c>
      <c r="F762" s="338" t="s">
        <v>151</v>
      </c>
      <c r="G762" s="339" t="str">
        <f t="shared" si="2"/>
        <v>東鐵名古屋:直納シュレＣ</v>
      </c>
      <c r="H762" s="340">
        <f t="shared" si="3"/>
        <v>41</v>
      </c>
      <c r="I762" s="341">
        <v>1.5</v>
      </c>
      <c r="J762" s="332">
        <f>IFERROR(__xludf.DUMMYFUNCTION("IF(IF(COUNTIF(P$2:P761, P762)=0, """", INDEX(H$2:H761,
MAX(FILTER(ROW(H$2:H761) - ROW(H$2) + 1, P$2:P761 = P762))))=""単価"","""",
IF(COUNTIF(P$2:P761, P762)=0, """", INDEX(H$2:H761,
MAX(FILTER(ROW(H$2:H761) - ROW(H$2) + 1, P$2:P761 = P762)))))"),39.5)</f>
        <v>39.5</v>
      </c>
      <c r="N762" s="335" t="str">
        <f>IF(MAXIFS('単価履歴'!$O:$O,'単価履歴'!$E:$E,E762,'単価履歴'!$F:$F,F762)=O762,"●","")</f>
        <v/>
      </c>
      <c r="O762" s="346">
        <v>45750.25920138889</v>
      </c>
      <c r="P762" s="334" t="str">
        <f t="shared" si="4"/>
        <v>東鐵名古屋:直納シュレＣ</v>
      </c>
    </row>
    <row r="763" ht="15.75" customHeight="1">
      <c r="A763" s="335" t="s">
        <v>1962</v>
      </c>
      <c r="B763" s="336">
        <v>45750.0</v>
      </c>
      <c r="C763" s="335" t="s">
        <v>536</v>
      </c>
      <c r="D763" s="335" t="s">
        <v>77</v>
      </c>
      <c r="E763" s="337" t="str">
        <f t="shared" si="1"/>
        <v>東鐵田原:直納</v>
      </c>
      <c r="F763" s="338" t="s">
        <v>130</v>
      </c>
      <c r="G763" s="339" t="str">
        <f t="shared" si="2"/>
        <v>東鐵田原:直納新断Ａ</v>
      </c>
      <c r="H763" s="340">
        <f t="shared" si="3"/>
        <v>44</v>
      </c>
      <c r="I763" s="341">
        <v>2.5</v>
      </c>
      <c r="J763" s="332">
        <f>IFERROR(__xludf.DUMMYFUNCTION("IF(IF(COUNTIF(P$2:P762, P763)=0, """", INDEX(H$2:H762,
MAX(FILTER(ROW(H$2:H762) - ROW(H$2) + 1, P$2:P762 = P763))))=""単価"","""",
IF(COUNTIF(P$2:P762, P763)=0, """", INDEX(H$2:H762,
MAX(FILTER(ROW(H$2:H762) - ROW(H$2) + 1, P$2:P762 = P763)))))"),41.5)</f>
        <v>41.5</v>
      </c>
      <c r="N763" s="335" t="str">
        <f>IF(MAXIFS('単価履歴'!$O:$O,'単価履歴'!$E:$E,E763,'単価履歴'!$F:$F,F763)=O763,"●","")</f>
        <v/>
      </c>
      <c r="O763" s="346">
        <v>45750.259826388894</v>
      </c>
      <c r="P763" s="334" t="str">
        <f t="shared" si="4"/>
        <v>東鐵田原:直納新断Ａ</v>
      </c>
    </row>
    <row r="764" ht="15.75" customHeight="1">
      <c r="A764" s="335" t="s">
        <v>1963</v>
      </c>
      <c r="B764" s="336">
        <v>45750.0</v>
      </c>
      <c r="C764" s="335" t="s">
        <v>536</v>
      </c>
      <c r="D764" s="335" t="s">
        <v>77</v>
      </c>
      <c r="E764" s="337" t="str">
        <f t="shared" si="1"/>
        <v>東鐵田原:直納</v>
      </c>
      <c r="F764" s="338" t="s">
        <v>131</v>
      </c>
      <c r="G764" s="339" t="str">
        <f t="shared" si="2"/>
        <v>東鐵田原:直納新断Ｂ</v>
      </c>
      <c r="H764" s="340">
        <f t="shared" si="3"/>
        <v>44</v>
      </c>
      <c r="I764" s="341">
        <v>2.5</v>
      </c>
      <c r="J764" s="332">
        <f>IFERROR(__xludf.DUMMYFUNCTION("IF(IF(COUNTIF(P$2:P763, P764)=0, """", INDEX(H$2:H763,
MAX(FILTER(ROW(H$2:H763) - ROW(H$2) + 1, P$2:P763 = P764))))=""単価"","""",
IF(COUNTIF(P$2:P763, P764)=0, """", INDEX(H$2:H763,
MAX(FILTER(ROW(H$2:H763) - ROW(H$2) + 1, P$2:P763 = P764)))))"),41.5)</f>
        <v>41.5</v>
      </c>
      <c r="N764" s="335" t="str">
        <f>IF(MAXIFS('単価履歴'!$O:$O,'単価履歴'!$E:$E,E764,'単価履歴'!$F:$F,F764)=O764,"●","")</f>
        <v/>
      </c>
      <c r="O764" s="346">
        <v>45750.259826388894</v>
      </c>
      <c r="P764" s="334" t="str">
        <f t="shared" si="4"/>
        <v>東鐵田原:直納新断Ｂ</v>
      </c>
    </row>
    <row r="765" ht="15.75" customHeight="1">
      <c r="A765" s="335" t="s">
        <v>1964</v>
      </c>
      <c r="B765" s="336">
        <v>45750.0</v>
      </c>
      <c r="C765" s="335" t="s">
        <v>536</v>
      </c>
      <c r="D765" s="335" t="s">
        <v>77</v>
      </c>
      <c r="E765" s="337" t="str">
        <f t="shared" si="1"/>
        <v>東鐵田原:直納</v>
      </c>
      <c r="F765" s="338" t="s">
        <v>1199</v>
      </c>
      <c r="G765" s="339" t="str">
        <f t="shared" si="2"/>
        <v>東鐵田原:直納ＨＳ１(単体H1/電特A/HS))</v>
      </c>
      <c r="H765" s="340">
        <f t="shared" si="3"/>
        <v>44.5</v>
      </c>
      <c r="I765" s="341">
        <v>1.5</v>
      </c>
      <c r="J765" s="332">
        <f>IFERROR(__xludf.DUMMYFUNCTION("IF(IF(COUNTIF(P$2:P764, P765)=0, """", INDEX(H$2:H764,
MAX(FILTER(ROW(H$2:H764) - ROW(H$2) + 1, P$2:P764 = P765))))=""単価"","""",
IF(COUNTIF(P$2:P764, P765)=0, """", INDEX(H$2:H764,
MAX(FILTER(ROW(H$2:H764) - ROW(H$2) + 1, P$2:P764 = P765)))))"),43.0)</f>
        <v>43</v>
      </c>
      <c r="N765" s="335" t="str">
        <f>IF(MAXIFS('単価履歴'!$O:$O,'単価履歴'!$E:$E,E765,'単価履歴'!$F:$F,F765)=O765,"●","")</f>
        <v/>
      </c>
      <c r="O765" s="346">
        <v>45750.26023148149</v>
      </c>
      <c r="P765" s="334" t="str">
        <f t="shared" si="4"/>
        <v>東鐵田原:直納ＨＳ１(単体H1/電特A/HS))</v>
      </c>
    </row>
    <row r="766" ht="15.75" customHeight="1">
      <c r="A766" s="335" t="s">
        <v>1965</v>
      </c>
      <c r="B766" s="336">
        <v>45750.0</v>
      </c>
      <c r="C766" s="335" t="s">
        <v>536</v>
      </c>
      <c r="D766" s="335" t="s">
        <v>77</v>
      </c>
      <c r="E766" s="337" t="str">
        <f t="shared" si="1"/>
        <v>東鐵田原:直納</v>
      </c>
      <c r="F766" s="338" t="s">
        <v>119</v>
      </c>
      <c r="G766" s="339" t="str">
        <f t="shared" si="2"/>
        <v>東鐵田原:直納Ｈ３(1級)</v>
      </c>
      <c r="H766" s="340">
        <f t="shared" si="3"/>
        <v>41.5</v>
      </c>
      <c r="I766" s="341">
        <v>1.5</v>
      </c>
      <c r="J766" s="332">
        <f>IFERROR(__xludf.DUMMYFUNCTION("IF(IF(COUNTIF(P$2:P765, P766)=0, """", INDEX(H$2:H765,
MAX(FILTER(ROW(H$2:H765) - ROW(H$2) + 1, P$2:P765 = P766))))=""単価"","""",
IF(COUNTIF(P$2:P765, P766)=0, """", INDEX(H$2:H765,
MAX(FILTER(ROW(H$2:H765) - ROW(H$2) + 1, P$2:P765 = P766)))))"),40.0)</f>
        <v>40</v>
      </c>
      <c r="N766" s="335" t="str">
        <f>IF(MAXIFS('単価履歴'!$O:$O,'単価履歴'!$E:$E,E766,'単価履歴'!$F:$F,F766)=O766,"●","")</f>
        <v/>
      </c>
      <c r="O766" s="346">
        <v>45750.26023148149</v>
      </c>
      <c r="P766" s="334" t="str">
        <f t="shared" si="4"/>
        <v>東鐵田原:直納Ｈ３(1級)</v>
      </c>
    </row>
    <row r="767" ht="15.75" customHeight="1">
      <c r="A767" s="335" t="s">
        <v>1966</v>
      </c>
      <c r="B767" s="336">
        <v>45750.0</v>
      </c>
      <c r="C767" s="335" t="s">
        <v>536</v>
      </c>
      <c r="D767" s="335" t="s">
        <v>77</v>
      </c>
      <c r="E767" s="337" t="str">
        <f t="shared" si="1"/>
        <v>東鐵田原:直納</v>
      </c>
      <c r="F767" s="338" t="s">
        <v>145</v>
      </c>
      <c r="G767" s="339" t="str">
        <f t="shared" si="2"/>
        <v>東鐵田原:直納シュレＡ</v>
      </c>
      <c r="H767" s="340">
        <f t="shared" si="3"/>
        <v>43</v>
      </c>
      <c r="I767" s="341">
        <v>1.5</v>
      </c>
      <c r="J767" s="332">
        <f>IFERROR(__xludf.DUMMYFUNCTION("IF(IF(COUNTIF(P$2:P766, P767)=0, """", INDEX(H$2:H766,
MAX(FILTER(ROW(H$2:H766) - ROW(H$2) + 1, P$2:P766 = P767))))=""単価"","""",
IF(COUNTIF(P$2:P766, P767)=0, """", INDEX(H$2:H766,
MAX(FILTER(ROW(H$2:H766) - ROW(H$2) + 1, P$2:P766 = P767)))))"),41.5)</f>
        <v>41.5</v>
      </c>
      <c r="N767" s="335" t="str">
        <f>IF(MAXIFS('単価履歴'!$O:$O,'単価履歴'!$E:$E,E767,'単価履歴'!$F:$F,F767)=O767,"●","")</f>
        <v/>
      </c>
      <c r="O767" s="346">
        <v>45750.26023148149</v>
      </c>
      <c r="P767" s="334" t="str">
        <f t="shared" si="4"/>
        <v>東鐵田原:直納シュレＡ</v>
      </c>
    </row>
    <row r="768" ht="15.75" customHeight="1">
      <c r="A768" s="335" t="s">
        <v>1967</v>
      </c>
      <c r="B768" s="336">
        <v>45750.0</v>
      </c>
      <c r="C768" s="335" t="s">
        <v>536</v>
      </c>
      <c r="D768" s="335" t="s">
        <v>77</v>
      </c>
      <c r="E768" s="337" t="str">
        <f t="shared" si="1"/>
        <v>東鐵田原:直納</v>
      </c>
      <c r="F768" s="338" t="s">
        <v>111</v>
      </c>
      <c r="G768" s="339" t="str">
        <f t="shared" si="2"/>
        <v>東鐵田原:直納Ｈ１(特A)</v>
      </c>
      <c r="H768" s="340">
        <f t="shared" si="3"/>
        <v>43.7</v>
      </c>
      <c r="I768" s="341">
        <v>1.5</v>
      </c>
      <c r="J768" s="332">
        <f>IFERROR(__xludf.DUMMYFUNCTION("IF(IF(COUNTIF(P$2:P767, P768)=0, """", INDEX(H$2:H767,
MAX(FILTER(ROW(H$2:H767) - ROW(H$2) + 1, P$2:P767 = P768))))=""単価"","""",
IF(COUNTIF(P$2:P767, P768)=0, """", INDEX(H$2:H767,
MAX(FILTER(ROW(H$2:H767) - ROW(H$2) + 1, P$2:P767 = P768)))))"),42.2)</f>
        <v>42.2</v>
      </c>
      <c r="N768" s="335" t="str">
        <f>IF(MAXIFS('単価履歴'!$O:$O,'単価履歴'!$E:$E,E768,'単価履歴'!$F:$F,F768)=O768,"●","")</f>
        <v/>
      </c>
      <c r="O768" s="346">
        <v>45750.26023148149</v>
      </c>
      <c r="P768" s="334" t="str">
        <f t="shared" si="4"/>
        <v>東鐵田原:直納Ｈ１(特A)</v>
      </c>
    </row>
    <row r="769" ht="15.75" customHeight="1">
      <c r="A769" s="335" t="s">
        <v>1968</v>
      </c>
      <c r="B769" s="336">
        <v>45750.0</v>
      </c>
      <c r="C769" s="335" t="s">
        <v>536</v>
      </c>
      <c r="D769" s="335" t="s">
        <v>77</v>
      </c>
      <c r="E769" s="337" t="str">
        <f t="shared" si="1"/>
        <v>東鐵田原:直納</v>
      </c>
      <c r="F769" s="338" t="s">
        <v>122</v>
      </c>
      <c r="G769" s="339" t="str">
        <f t="shared" si="2"/>
        <v>東鐵田原:直納Ｌ１(2級)</v>
      </c>
      <c r="H769" s="340">
        <f t="shared" si="3"/>
        <v>40</v>
      </c>
      <c r="I769" s="341">
        <v>1.5</v>
      </c>
      <c r="J769" s="332">
        <f>IFERROR(__xludf.DUMMYFUNCTION("IF(IF(COUNTIF(P$2:P768, P769)=0, """", INDEX(H$2:H768,
MAX(FILTER(ROW(H$2:H768) - ROW(H$2) + 1, P$2:P768 = P769))))=""単価"","""",
IF(COUNTIF(P$2:P768, P769)=0, """", INDEX(H$2:H768,
MAX(FILTER(ROW(H$2:H768) - ROW(H$2) + 1, P$2:P768 = P769)))))"),38.5)</f>
        <v>38.5</v>
      </c>
      <c r="N769" s="335" t="str">
        <f>IF(MAXIFS('単価履歴'!$O:$O,'単価履歴'!$E:$E,E769,'単価履歴'!$F:$F,F769)=O769,"●","")</f>
        <v/>
      </c>
      <c r="O769" s="346">
        <v>45750.26023148149</v>
      </c>
      <c r="P769" s="334" t="str">
        <f t="shared" si="4"/>
        <v>東鐵田原:直納Ｌ１(2級)</v>
      </c>
    </row>
    <row r="770" ht="15.75" customHeight="1">
      <c r="A770" s="335" t="s">
        <v>1969</v>
      </c>
      <c r="B770" s="336">
        <v>45750.0</v>
      </c>
      <c r="C770" s="335" t="s">
        <v>536</v>
      </c>
      <c r="D770" s="335" t="s">
        <v>77</v>
      </c>
      <c r="E770" s="337" t="str">
        <f t="shared" si="1"/>
        <v>東鐵田原:直納</v>
      </c>
      <c r="F770" s="338" t="s">
        <v>151</v>
      </c>
      <c r="G770" s="339" t="str">
        <f t="shared" si="2"/>
        <v>東鐵田原:直納シュレＣ</v>
      </c>
      <c r="H770" s="340">
        <f t="shared" si="3"/>
        <v>42.5</v>
      </c>
      <c r="I770" s="341">
        <v>1.5</v>
      </c>
      <c r="J770" s="332">
        <f>IFERROR(__xludf.DUMMYFUNCTION("IF(IF(COUNTIF(P$2:P769, P770)=0, """", INDEX(H$2:H769,
MAX(FILTER(ROW(H$2:H769) - ROW(H$2) + 1, P$2:P769 = P770))))=""単価"","""",
IF(COUNTIF(P$2:P769, P770)=0, """", INDEX(H$2:H769,
MAX(FILTER(ROW(H$2:H769) - ROW(H$2) + 1, P$2:P769 = P770)))))"),41.0)</f>
        <v>41</v>
      </c>
      <c r="N770" s="335" t="str">
        <f>IF(MAXIFS('単価履歴'!$O:$O,'単価履歴'!$E:$E,E770,'単価履歴'!$F:$F,F770)=O770,"●","")</f>
        <v/>
      </c>
      <c r="O770" s="346">
        <v>45750.26023148149</v>
      </c>
      <c r="P770" s="334" t="str">
        <f t="shared" si="4"/>
        <v>東鐵田原:直納シュレＣ</v>
      </c>
    </row>
    <row r="771" ht="15.75" customHeight="1">
      <c r="A771" s="335" t="s">
        <v>1970</v>
      </c>
      <c r="B771" s="336">
        <v>45750.0</v>
      </c>
      <c r="C771" s="335" t="s">
        <v>536</v>
      </c>
      <c r="D771" s="335" t="s">
        <v>77</v>
      </c>
      <c r="E771" s="337" t="str">
        <f t="shared" si="1"/>
        <v>東鐵田原:直納</v>
      </c>
      <c r="F771" s="338" t="s">
        <v>116</v>
      </c>
      <c r="G771" s="339" t="str">
        <f t="shared" si="2"/>
        <v>東鐵田原:直納Ｈ２(特級)</v>
      </c>
      <c r="H771" s="340">
        <f t="shared" si="3"/>
        <v>42</v>
      </c>
      <c r="I771" s="341">
        <v>1.5</v>
      </c>
      <c r="J771" s="332">
        <f>IFERROR(__xludf.DUMMYFUNCTION("IF(IF(COUNTIF(P$2:P770, P771)=0, """", INDEX(H$2:H770,
MAX(FILTER(ROW(H$2:H770) - ROW(H$2) + 1, P$2:P770 = P771))))=""単価"","""",
IF(COUNTIF(P$2:P770, P771)=0, """", INDEX(H$2:H770,
MAX(FILTER(ROW(H$2:H770) - ROW(H$2) + 1, P$2:P770 = P771)))))"),40.5)</f>
        <v>40.5</v>
      </c>
      <c r="N771" s="335" t="str">
        <f>IF(MAXIFS('単価履歴'!$O:$O,'単価履歴'!$E:$E,E771,'単価履歴'!$F:$F,F771)=O771,"●","")</f>
        <v/>
      </c>
      <c r="O771" s="346">
        <v>45750.26023148149</v>
      </c>
      <c r="P771" s="334" t="str">
        <f t="shared" si="4"/>
        <v>東鐵田原:直納Ｈ２(特級)</v>
      </c>
    </row>
    <row r="772" ht="15.75" customHeight="1">
      <c r="A772" s="335" t="s">
        <v>1971</v>
      </c>
      <c r="B772" s="336">
        <v>45750.0</v>
      </c>
      <c r="C772" s="335" t="s">
        <v>536</v>
      </c>
      <c r="D772" s="335" t="s">
        <v>77</v>
      </c>
      <c r="E772" s="337" t="str">
        <f t="shared" si="1"/>
        <v>東鐵田原:直納</v>
      </c>
      <c r="F772" s="338" t="s">
        <v>573</v>
      </c>
      <c r="G772" s="339" t="str">
        <f t="shared" si="2"/>
        <v>東鐵田原:直納Ｌ２(H4･級外･L1ﾊﾞﾗ)</v>
      </c>
      <c r="H772" s="340">
        <f t="shared" si="3"/>
        <v>37</v>
      </c>
      <c r="I772" s="341">
        <v>1.5</v>
      </c>
      <c r="J772" s="332">
        <f>IFERROR(__xludf.DUMMYFUNCTION("IF(IF(COUNTIF(P$2:P771, P772)=0, """", INDEX(H$2:H771,
MAX(FILTER(ROW(H$2:H771) - ROW(H$2) + 1, P$2:P771 = P772))))=""単価"","""",
IF(COUNTIF(P$2:P771, P772)=0, """", INDEX(H$2:H771,
MAX(FILTER(ROW(H$2:H771) - ROW(H$2) + 1, P$2:P771 = P772)))))"),35.5)</f>
        <v>35.5</v>
      </c>
      <c r="N772" s="335" t="str">
        <f>IF(MAXIFS('単価履歴'!$O:$O,'単価履歴'!$E:$E,E772,'単価履歴'!$F:$F,F772)=O772,"●","")</f>
        <v/>
      </c>
      <c r="O772" s="346">
        <v>45750.26023148149</v>
      </c>
      <c r="P772" s="334" t="str">
        <f t="shared" si="4"/>
        <v>東鐵田原:直納Ｌ２(H4･級外･L1ﾊﾞﾗ)</v>
      </c>
    </row>
    <row r="773" ht="15.75" customHeight="1">
      <c r="A773" s="335" t="s">
        <v>1972</v>
      </c>
      <c r="B773" s="336">
        <v>45750.0</v>
      </c>
      <c r="C773" s="335" t="s">
        <v>536</v>
      </c>
      <c r="D773" s="335" t="s">
        <v>77</v>
      </c>
      <c r="E773" s="337" t="str">
        <f t="shared" si="1"/>
        <v>東鐵田原:直納</v>
      </c>
      <c r="F773" s="338" t="s">
        <v>575</v>
      </c>
      <c r="G773" s="339" t="str">
        <f t="shared" si="2"/>
        <v>東鐵田原:直納鋼ダライＡ</v>
      </c>
      <c r="H773" s="340">
        <f t="shared" si="3"/>
        <v>40.5</v>
      </c>
      <c r="I773" s="341">
        <v>1.5</v>
      </c>
      <c r="J773" s="332">
        <f>IFERROR(__xludf.DUMMYFUNCTION("IF(IF(COUNTIF(P$2:P772, P773)=0, """", INDEX(H$2:H772,
MAX(FILTER(ROW(H$2:H772) - ROW(H$2) + 1, P$2:P772 = P773))))=""単価"","""",
IF(COUNTIF(P$2:P772, P773)=0, """", INDEX(H$2:H772,
MAX(FILTER(ROW(H$2:H772) - ROW(H$2) + 1, P$2:P772 = P773)))))"),39.0)</f>
        <v>39</v>
      </c>
      <c r="N773" s="335" t="str">
        <f>IF(MAXIFS('単価履歴'!$O:$O,'単価履歴'!$E:$E,E773,'単価履歴'!$F:$F,F773)=O773,"●","")</f>
        <v/>
      </c>
      <c r="O773" s="346">
        <v>45750.26023148149</v>
      </c>
      <c r="P773" s="334" t="str">
        <f t="shared" si="4"/>
        <v>東鐵田原:直納鋼ダライＡ</v>
      </c>
    </row>
    <row r="774" ht="15.75" customHeight="1">
      <c r="A774" s="335" t="s">
        <v>1973</v>
      </c>
      <c r="B774" s="336">
        <v>45750.0</v>
      </c>
      <c r="C774" s="335" t="s">
        <v>536</v>
      </c>
      <c r="D774" s="335" t="s">
        <v>77</v>
      </c>
      <c r="E774" s="337" t="str">
        <f t="shared" si="1"/>
        <v>東鐵田原:直納</v>
      </c>
      <c r="F774" s="338" t="s">
        <v>154</v>
      </c>
      <c r="G774" s="339" t="str">
        <f t="shared" si="2"/>
        <v>東鐵田原:直納ＣＰ Ａ</v>
      </c>
      <c r="H774" s="340">
        <f t="shared" si="3"/>
        <v>40.5</v>
      </c>
      <c r="I774" s="341">
        <v>1.5</v>
      </c>
      <c r="J774" s="332">
        <f>IFERROR(__xludf.DUMMYFUNCTION("IF(IF(COUNTIF(P$2:P773, P774)=0, """", INDEX(H$2:H773,
MAX(FILTER(ROW(H$2:H773) - ROW(H$2) + 1, P$2:P773 = P774))))=""単価"","""",
IF(COUNTIF(P$2:P773, P774)=0, """", INDEX(H$2:H773,
MAX(FILTER(ROW(H$2:H773) - ROW(H$2) + 1, P$2:P773 = P774)))))"),39.0)</f>
        <v>39</v>
      </c>
      <c r="N774" s="335" t="str">
        <f>IF(MAXIFS('単価履歴'!$O:$O,'単価履歴'!$E:$E,E774,'単価履歴'!$F:$F,F774)=O774,"●","")</f>
        <v/>
      </c>
      <c r="O774" s="346">
        <v>45750.26023148149</v>
      </c>
      <c r="P774" s="334" t="str">
        <f t="shared" si="4"/>
        <v>東鐵田原:直納ＣＰ Ａ</v>
      </c>
    </row>
    <row r="775" ht="15.75" customHeight="1">
      <c r="A775" s="335" t="s">
        <v>1974</v>
      </c>
      <c r="B775" s="336">
        <v>45750.0</v>
      </c>
      <c r="C775" s="335" t="s">
        <v>37</v>
      </c>
      <c r="D775" s="335" t="s">
        <v>48</v>
      </c>
      <c r="E775" s="337" t="str">
        <f t="shared" si="1"/>
        <v>共英名古屋:ナベ</v>
      </c>
      <c r="F775" s="338" t="s">
        <v>111</v>
      </c>
      <c r="G775" s="339" t="str">
        <f t="shared" si="2"/>
        <v>共英名古屋:ナベＨ１(特A)</v>
      </c>
      <c r="H775" s="340">
        <f t="shared" si="3"/>
        <v>43.2</v>
      </c>
      <c r="I775" s="341">
        <v>1.5</v>
      </c>
      <c r="J775" s="332">
        <f>IFERROR(__xludf.DUMMYFUNCTION("IF(IF(COUNTIF(P$2:P774, P775)=0, """", INDEX(H$2:H774,
MAX(FILTER(ROW(H$2:H774) - ROW(H$2) + 1, P$2:P774 = P775))))=""単価"","""",
IF(COUNTIF(P$2:P774, P775)=0, """", INDEX(H$2:H774,
MAX(FILTER(ROW(H$2:H774) - ROW(H$2) + 1, P$2:P774 = P775)))))"),41.7)</f>
        <v>41.7</v>
      </c>
      <c r="N775" s="335" t="str">
        <f>IF(MAXIFS('単価履歴'!$O:$O,'単価履歴'!$E:$E,E775,'単価履歴'!$F:$F,F775)=O775,"●","")</f>
        <v/>
      </c>
      <c r="O775" s="346">
        <v>45750.26168981481</v>
      </c>
      <c r="P775" s="334" t="str">
        <f t="shared" si="4"/>
        <v>共英名古屋:ナベＨ１(特A)</v>
      </c>
    </row>
    <row r="776" ht="15.75" customHeight="1">
      <c r="A776" s="335" t="s">
        <v>1975</v>
      </c>
      <c r="B776" s="336">
        <v>45750.0</v>
      </c>
      <c r="C776" s="335" t="s">
        <v>37</v>
      </c>
      <c r="D776" s="335" t="s">
        <v>48</v>
      </c>
      <c r="E776" s="337" t="str">
        <f t="shared" si="1"/>
        <v>共英名古屋:ナベ</v>
      </c>
      <c r="F776" s="338" t="s">
        <v>122</v>
      </c>
      <c r="G776" s="339" t="str">
        <f t="shared" si="2"/>
        <v>共英名古屋:ナベＬ１(2級)</v>
      </c>
      <c r="H776" s="340">
        <f t="shared" si="3"/>
        <v>36.5</v>
      </c>
      <c r="I776" s="341">
        <v>1.5</v>
      </c>
      <c r="J776" s="332">
        <f>IFERROR(__xludf.DUMMYFUNCTION("IF(IF(COUNTIF(P$2:P775, P776)=0, """", INDEX(H$2:H775,
MAX(FILTER(ROW(H$2:H775) - ROW(H$2) + 1, P$2:P775 = P776))))=""単価"","""",
IF(COUNTIF(P$2:P775, P776)=0, """", INDEX(H$2:H775,
MAX(FILTER(ROW(H$2:H775) - ROW(H$2) + 1, P$2:P775 = P776)))))"),35.0)</f>
        <v>35</v>
      </c>
      <c r="N776" s="335" t="str">
        <f>IF(MAXIFS('単価履歴'!$O:$O,'単価履歴'!$E:$E,E776,'単価履歴'!$F:$F,F776)=O776,"●","")</f>
        <v/>
      </c>
      <c r="O776" s="346">
        <v>45750.26168981481</v>
      </c>
      <c r="P776" s="334" t="str">
        <f t="shared" si="4"/>
        <v>共英名古屋:ナベＬ１(2級)</v>
      </c>
    </row>
    <row r="777" ht="15.75" customHeight="1">
      <c r="A777" s="335" t="s">
        <v>1976</v>
      </c>
      <c r="B777" s="336">
        <v>45750.0</v>
      </c>
      <c r="C777" s="335" t="s">
        <v>37</v>
      </c>
      <c r="D777" s="335" t="s">
        <v>48</v>
      </c>
      <c r="E777" s="337" t="str">
        <f t="shared" si="1"/>
        <v>共英名古屋:ナベ</v>
      </c>
      <c r="F777" s="338" t="s">
        <v>116</v>
      </c>
      <c r="G777" s="339" t="str">
        <f t="shared" si="2"/>
        <v>共英名古屋:ナベＨ２(特級)</v>
      </c>
      <c r="H777" s="340">
        <f t="shared" si="3"/>
        <v>40.5</v>
      </c>
      <c r="I777" s="341">
        <v>1.5</v>
      </c>
      <c r="J777" s="332">
        <f>IFERROR(__xludf.DUMMYFUNCTION("IF(IF(COUNTIF(P$2:P776, P777)=0, """", INDEX(H$2:H776,
MAX(FILTER(ROW(H$2:H776) - ROW(H$2) + 1, P$2:P776 = P777))))=""単価"","""",
IF(COUNTIF(P$2:P776, P777)=0, """", INDEX(H$2:H776,
MAX(FILTER(ROW(H$2:H776) - ROW(H$2) + 1, P$2:P776 = P777)))))"),39.0)</f>
        <v>39</v>
      </c>
      <c r="N777" s="335" t="str">
        <f>IF(MAXIFS('単価履歴'!$O:$O,'単価履歴'!$E:$E,E777,'単価履歴'!$F:$F,F777)=O777,"●","")</f>
        <v/>
      </c>
      <c r="O777" s="346">
        <v>45750.26168981481</v>
      </c>
      <c r="P777" s="334" t="str">
        <f t="shared" si="4"/>
        <v>共英名古屋:ナベＨ２(特級)</v>
      </c>
    </row>
    <row r="778" ht="15.75" customHeight="1">
      <c r="A778" s="335" t="s">
        <v>1977</v>
      </c>
      <c r="B778" s="336">
        <v>45750.0</v>
      </c>
      <c r="C778" s="335" t="s">
        <v>37</v>
      </c>
      <c r="D778" s="335" t="s">
        <v>48</v>
      </c>
      <c r="E778" s="337" t="str">
        <f t="shared" si="1"/>
        <v>共英名古屋:ナベ</v>
      </c>
      <c r="F778" s="338" t="s">
        <v>119</v>
      </c>
      <c r="G778" s="339" t="str">
        <f t="shared" si="2"/>
        <v>共英名古屋:ナベＨ３(1級)</v>
      </c>
      <c r="H778" s="340">
        <f t="shared" si="3"/>
        <v>39.5</v>
      </c>
      <c r="I778" s="341">
        <v>1.5</v>
      </c>
      <c r="J778" s="332">
        <f>IFERROR(__xludf.DUMMYFUNCTION("IF(IF(COUNTIF(P$2:P777, P778)=0, """", INDEX(H$2:H777,
MAX(FILTER(ROW(H$2:H777) - ROW(H$2) + 1, P$2:P777 = P778))))=""単価"","""",
IF(COUNTIF(P$2:P777, P778)=0, """", INDEX(H$2:H777,
MAX(FILTER(ROW(H$2:H777) - ROW(H$2) + 1, P$2:P777 = P778)))))"),38.0)</f>
        <v>38</v>
      </c>
      <c r="N778" s="335" t="str">
        <f>IF(MAXIFS('単価履歴'!$O:$O,'単価履歴'!$E:$E,E778,'単価履歴'!$F:$F,F778)=O778,"●","")</f>
        <v/>
      </c>
      <c r="O778" s="346">
        <v>45750.26168981481</v>
      </c>
      <c r="P778" s="334" t="str">
        <f t="shared" si="4"/>
        <v>共英名古屋:ナベＨ３(1級)</v>
      </c>
    </row>
    <row r="779" ht="15.75" customHeight="1">
      <c r="A779" s="335" t="s">
        <v>1978</v>
      </c>
      <c r="B779" s="336">
        <v>45751.0</v>
      </c>
      <c r="C779" s="335" t="s">
        <v>10</v>
      </c>
      <c r="D779" s="335" t="s">
        <v>47</v>
      </c>
      <c r="E779" s="337" t="str">
        <f t="shared" si="1"/>
        <v>岸和田:豊通</v>
      </c>
      <c r="F779" s="338" t="s">
        <v>111</v>
      </c>
      <c r="G779" s="339" t="str">
        <f t="shared" si="2"/>
        <v>岸和田:豊通Ｈ１(特A)</v>
      </c>
      <c r="H779" s="340">
        <f t="shared" si="3"/>
        <v>44</v>
      </c>
      <c r="I779" s="341">
        <v>1.0</v>
      </c>
      <c r="J779" s="332">
        <f>IFERROR(__xludf.DUMMYFUNCTION("IF(IF(COUNTIF(P$2:P778, P779)=0, """", INDEX(H$2:H778,
MAX(FILTER(ROW(H$2:H778) - ROW(H$2) + 1, P$2:P778 = P779))))=""単価"","""",
IF(COUNTIF(P$2:P778, P779)=0, """", INDEX(H$2:H778,
MAX(FILTER(ROW(H$2:H778) - ROW(H$2) + 1, P$2:P778 = P779)))))"),43.0)</f>
        <v>43</v>
      </c>
      <c r="N779" s="335" t="str">
        <f>IF(MAXIFS('単価履歴'!$O:$O,'単価履歴'!$E:$E,E779,'単価履歴'!$F:$F,F779)=O779,"●","")</f>
        <v/>
      </c>
      <c r="O779" s="346">
        <v>45751.25113425926</v>
      </c>
      <c r="P779" s="334" t="str">
        <f t="shared" si="4"/>
        <v>岸和田:豊通Ｈ１(特A)</v>
      </c>
    </row>
    <row r="780" ht="15.75" customHeight="1">
      <c r="A780" s="335" t="s">
        <v>1979</v>
      </c>
      <c r="B780" s="336">
        <v>45751.0</v>
      </c>
      <c r="C780" s="335" t="s">
        <v>10</v>
      </c>
      <c r="D780" s="335" t="s">
        <v>47</v>
      </c>
      <c r="E780" s="337" t="str">
        <f t="shared" si="1"/>
        <v>岸和田:豊通</v>
      </c>
      <c r="F780" s="338" t="s">
        <v>116</v>
      </c>
      <c r="G780" s="339" t="str">
        <f t="shared" si="2"/>
        <v>岸和田:豊通Ｈ２(特級)</v>
      </c>
      <c r="H780" s="340">
        <f t="shared" si="3"/>
        <v>42</v>
      </c>
      <c r="I780" s="341">
        <v>0.5</v>
      </c>
      <c r="J780" s="332">
        <f>IFERROR(__xludf.DUMMYFUNCTION("IF(IF(COUNTIF(P$2:P779, P780)=0, """", INDEX(H$2:H779,
MAX(FILTER(ROW(H$2:H779) - ROW(H$2) + 1, P$2:P779 = P780))))=""単価"","""",
IF(COUNTIF(P$2:P779, P780)=0, """", INDEX(H$2:H779,
MAX(FILTER(ROW(H$2:H779) - ROW(H$2) + 1, P$2:P779 = P780)))))"),41.5)</f>
        <v>41.5</v>
      </c>
      <c r="N780" s="335" t="str">
        <f>IF(MAXIFS('単価履歴'!$O:$O,'単価履歴'!$E:$E,E780,'単価履歴'!$F:$F,F780)=O780,"●","")</f>
        <v/>
      </c>
      <c r="O780" s="346">
        <v>45751.251539351855</v>
      </c>
      <c r="P780" s="334" t="str">
        <f t="shared" si="4"/>
        <v>岸和田:豊通Ｈ２(特級)</v>
      </c>
    </row>
    <row r="781" ht="15.75" customHeight="1">
      <c r="A781" s="335" t="s">
        <v>1980</v>
      </c>
      <c r="B781" s="336">
        <v>45751.0</v>
      </c>
      <c r="C781" s="335" t="s">
        <v>10</v>
      </c>
      <c r="D781" s="335" t="s">
        <v>47</v>
      </c>
      <c r="E781" s="337" t="str">
        <f t="shared" si="1"/>
        <v>岸和田:豊通</v>
      </c>
      <c r="F781" s="338" t="s">
        <v>119</v>
      </c>
      <c r="G781" s="339" t="str">
        <f t="shared" si="2"/>
        <v>岸和田:豊通Ｈ３(1級)</v>
      </c>
      <c r="H781" s="340">
        <f t="shared" si="3"/>
        <v>41.5</v>
      </c>
      <c r="I781" s="341">
        <v>0.5</v>
      </c>
      <c r="J781" s="332">
        <f>IFERROR(__xludf.DUMMYFUNCTION("IF(IF(COUNTIF(P$2:P780, P781)=0, """", INDEX(H$2:H780,
MAX(FILTER(ROW(H$2:H780) - ROW(H$2) + 1, P$2:P780 = P781))))=""単価"","""",
IF(COUNTIF(P$2:P780, P781)=0, """", INDEX(H$2:H780,
MAX(FILTER(ROW(H$2:H780) - ROW(H$2) + 1, P$2:P780 = P781)))))"),41.0)</f>
        <v>41</v>
      </c>
      <c r="N781" s="335" t="str">
        <f>IF(MAXIFS('単価履歴'!$O:$O,'単価履歴'!$E:$E,E781,'単価履歴'!$F:$F,F781)=O781,"●","")</f>
        <v/>
      </c>
      <c r="O781" s="346">
        <v>45751.251539351855</v>
      </c>
      <c r="P781" s="334" t="str">
        <f t="shared" si="4"/>
        <v>岸和田:豊通Ｈ３(1級)</v>
      </c>
    </row>
    <row r="782" ht="15.75" customHeight="1">
      <c r="A782" s="335" t="s">
        <v>1981</v>
      </c>
      <c r="B782" s="336">
        <v>45751.0</v>
      </c>
      <c r="C782" s="335" t="s">
        <v>10</v>
      </c>
      <c r="D782" s="335" t="s">
        <v>47</v>
      </c>
      <c r="E782" s="337" t="str">
        <f t="shared" si="1"/>
        <v>岸和田:豊通</v>
      </c>
      <c r="F782" s="338" t="s">
        <v>122</v>
      </c>
      <c r="G782" s="339" t="str">
        <f t="shared" si="2"/>
        <v>岸和田:豊通Ｌ１(2級)</v>
      </c>
      <c r="H782" s="340">
        <f t="shared" si="3"/>
        <v>41</v>
      </c>
      <c r="I782" s="341">
        <v>0.5</v>
      </c>
      <c r="J782" s="332">
        <f>IFERROR(__xludf.DUMMYFUNCTION("IF(IF(COUNTIF(P$2:P781, P782)=0, """", INDEX(H$2:H781,
MAX(FILTER(ROW(H$2:H781) - ROW(H$2) + 1, P$2:P781 = P782))))=""単価"","""",
IF(COUNTIF(P$2:P781, P782)=0, """", INDEX(H$2:H781,
MAX(FILTER(ROW(H$2:H781) - ROW(H$2) + 1, P$2:P781 = P782)))))"),40.5)</f>
        <v>40.5</v>
      </c>
      <c r="N782" s="335" t="str">
        <f>IF(MAXIFS('単価履歴'!$O:$O,'単価履歴'!$E:$E,E782,'単価履歴'!$F:$F,F782)=O782,"●","")</f>
        <v/>
      </c>
      <c r="O782" s="346">
        <v>45751.251539351855</v>
      </c>
      <c r="P782" s="334" t="str">
        <f t="shared" si="4"/>
        <v>岸和田:豊通Ｌ１(2級)</v>
      </c>
    </row>
    <row r="783" ht="15.75" customHeight="1">
      <c r="A783" s="335" t="s">
        <v>1982</v>
      </c>
      <c r="B783" s="336">
        <v>45751.0</v>
      </c>
      <c r="C783" s="335" t="s">
        <v>10</v>
      </c>
      <c r="D783" s="335" t="s">
        <v>47</v>
      </c>
      <c r="E783" s="337" t="str">
        <f t="shared" si="1"/>
        <v>岸和田:豊通</v>
      </c>
      <c r="F783" s="338" t="s">
        <v>154</v>
      </c>
      <c r="G783" s="339" t="str">
        <f t="shared" si="2"/>
        <v>岸和田:豊通ＣＰ Ａ</v>
      </c>
      <c r="H783" s="340">
        <f t="shared" si="3"/>
        <v>44.2</v>
      </c>
      <c r="I783" s="341">
        <v>0.5</v>
      </c>
      <c r="J783" s="332">
        <f>IFERROR(__xludf.DUMMYFUNCTION("IF(IF(COUNTIF(P$2:P782, P783)=0, """", INDEX(H$2:H782,
MAX(FILTER(ROW(H$2:H782) - ROW(H$2) + 1, P$2:P782 = P783))))=""単価"","""",
IF(COUNTIF(P$2:P782, P783)=0, """", INDEX(H$2:H782,
MAX(FILTER(ROW(H$2:H782) - ROW(H$2) + 1, P$2:P782 = P783)))))"),43.7)</f>
        <v>43.7</v>
      </c>
      <c r="N783" s="335" t="str">
        <f>IF(MAXIFS('単価履歴'!$O:$O,'単価履歴'!$E:$E,E783,'単価履歴'!$F:$F,F783)=O783,"●","")</f>
        <v/>
      </c>
      <c r="O783" s="346">
        <v>45751.251539351855</v>
      </c>
      <c r="P783" s="334" t="str">
        <f t="shared" si="4"/>
        <v>岸和田:豊通ＣＰ Ａ</v>
      </c>
    </row>
    <row r="784" ht="15.75" customHeight="1">
      <c r="A784" s="335" t="s">
        <v>1983</v>
      </c>
      <c r="B784" s="336">
        <v>45751.0</v>
      </c>
      <c r="C784" s="335" t="s">
        <v>14</v>
      </c>
      <c r="D784" s="335" t="s">
        <v>46</v>
      </c>
      <c r="E784" s="337" t="str">
        <f t="shared" si="1"/>
        <v>愛知:阪和</v>
      </c>
      <c r="F784" s="338" t="s">
        <v>1199</v>
      </c>
      <c r="G784" s="339" t="str">
        <f t="shared" si="2"/>
        <v>愛知:阪和ＨＳ１(単体H1/電特A/HS))</v>
      </c>
      <c r="H784" s="340">
        <f t="shared" si="3"/>
        <v>44.2</v>
      </c>
      <c r="I784" s="341">
        <v>1.5</v>
      </c>
      <c r="J784" s="332">
        <f>IFERROR(__xludf.DUMMYFUNCTION("IF(IF(COUNTIF(P$2:P783, P784)=0, """", INDEX(H$2:H783,
MAX(FILTER(ROW(H$2:H783) - ROW(H$2) + 1, P$2:P783 = P784))))=""単価"","""",
IF(COUNTIF(P$2:P783, P784)=0, """", INDEX(H$2:H783,
MAX(FILTER(ROW(H$2:H783) - ROW(H$2) + 1, P$2:P783 = P784)))))"),42.7)</f>
        <v>42.7</v>
      </c>
      <c r="N784" s="335" t="str">
        <f>IF(MAXIFS('単価履歴'!$O:$O,'単価履歴'!$E:$E,E784,'単価履歴'!$F:$F,F784)=O784,"●","")</f>
        <v/>
      </c>
      <c r="O784" s="346">
        <v>45751.252175925925</v>
      </c>
      <c r="P784" s="334" t="str">
        <f t="shared" si="4"/>
        <v>愛知:阪和ＨＳ１(単体H1/電特A/HS))</v>
      </c>
    </row>
    <row r="785" ht="15.75" customHeight="1">
      <c r="A785" s="335" t="s">
        <v>1984</v>
      </c>
      <c r="B785" s="336">
        <v>45751.0</v>
      </c>
      <c r="C785" s="335" t="s">
        <v>14</v>
      </c>
      <c r="D785" s="335" t="s">
        <v>46</v>
      </c>
      <c r="E785" s="337" t="str">
        <f t="shared" si="1"/>
        <v>愛知:阪和</v>
      </c>
      <c r="F785" s="338" t="s">
        <v>101</v>
      </c>
      <c r="G785" s="339" t="str">
        <f t="shared" si="2"/>
        <v>愛知:阪和ＨＳ２</v>
      </c>
      <c r="H785" s="340">
        <f t="shared" si="3"/>
        <v>43.7</v>
      </c>
      <c r="I785" s="341">
        <v>1.5</v>
      </c>
      <c r="J785" s="332">
        <f>IFERROR(__xludf.DUMMYFUNCTION("IF(IF(COUNTIF(P$2:P784, P785)=0, """", INDEX(H$2:H784,
MAX(FILTER(ROW(H$2:H784) - ROW(H$2) + 1, P$2:P784 = P785))))=""単価"","""",
IF(COUNTIF(P$2:P784, P785)=0, """", INDEX(H$2:H784,
MAX(FILTER(ROW(H$2:H784) - ROW(H$2) + 1, P$2:P784 = P785)))))"),42.2)</f>
        <v>42.2</v>
      </c>
      <c r="N785" s="335" t="str">
        <f>IF(MAXIFS('単価履歴'!$O:$O,'単価履歴'!$E:$E,E785,'単価履歴'!$F:$F,F785)=O785,"●","")</f>
        <v/>
      </c>
      <c r="O785" s="346">
        <v>45751.252175925925</v>
      </c>
      <c r="P785" s="334" t="str">
        <f t="shared" si="4"/>
        <v>愛知:阪和ＨＳ２</v>
      </c>
    </row>
    <row r="786" ht="15.75" customHeight="1">
      <c r="A786" s="335" t="s">
        <v>1985</v>
      </c>
      <c r="B786" s="336">
        <v>45751.0</v>
      </c>
      <c r="C786" s="335" t="s">
        <v>14</v>
      </c>
      <c r="D786" s="335" t="s">
        <v>46</v>
      </c>
      <c r="E786" s="337" t="str">
        <f t="shared" si="1"/>
        <v>愛知:阪和</v>
      </c>
      <c r="F786" s="338" t="s">
        <v>111</v>
      </c>
      <c r="G786" s="339" t="str">
        <f t="shared" si="2"/>
        <v>愛知:阪和Ｈ１(特A)</v>
      </c>
      <c r="H786" s="340">
        <f t="shared" si="3"/>
        <v>39.2</v>
      </c>
      <c r="I786" s="341">
        <v>1.5</v>
      </c>
      <c r="J786" s="332">
        <f>IFERROR(__xludf.DUMMYFUNCTION("IF(IF(COUNTIF(P$2:P785, P786)=0, """", INDEX(H$2:H785,
MAX(FILTER(ROW(H$2:H785) - ROW(H$2) + 1, P$2:P785 = P786))))=""単価"","""",
IF(COUNTIF(P$2:P785, P786)=0, """", INDEX(H$2:H785,
MAX(FILTER(ROW(H$2:H785) - ROW(H$2) + 1, P$2:P785 = P786)))))"),37.7)</f>
        <v>37.7</v>
      </c>
      <c r="N786" s="335" t="str">
        <f>IF(MAXIFS('単価履歴'!$O:$O,'単価履歴'!$E:$E,E786,'単価履歴'!$F:$F,F786)=O786,"●","")</f>
        <v/>
      </c>
      <c r="O786" s="346">
        <v>45751.252175925925</v>
      </c>
      <c r="P786" s="334" t="str">
        <f t="shared" si="4"/>
        <v>愛知:阪和Ｈ１(特A)</v>
      </c>
    </row>
    <row r="787" ht="15.75" customHeight="1">
      <c r="A787" s="335" t="s">
        <v>1986</v>
      </c>
      <c r="B787" s="336">
        <v>45751.0</v>
      </c>
      <c r="C787" s="335" t="s">
        <v>14</v>
      </c>
      <c r="D787" s="335" t="s">
        <v>46</v>
      </c>
      <c r="E787" s="337" t="str">
        <f t="shared" si="1"/>
        <v>愛知:阪和</v>
      </c>
      <c r="F787" s="338" t="s">
        <v>116</v>
      </c>
      <c r="G787" s="339" t="str">
        <f t="shared" si="2"/>
        <v>愛知:阪和Ｈ２(特級)</v>
      </c>
      <c r="H787" s="340">
        <f t="shared" si="3"/>
        <v>38.7</v>
      </c>
      <c r="I787" s="341">
        <v>1.5</v>
      </c>
      <c r="J787" s="332">
        <f>IFERROR(__xludf.DUMMYFUNCTION("IF(IF(COUNTIF(P$2:P786, P787)=0, """", INDEX(H$2:H786,
MAX(FILTER(ROW(H$2:H786) - ROW(H$2) + 1, P$2:P786 = P787))))=""単価"","""",
IF(COUNTIF(P$2:P786, P787)=0, """", INDEX(H$2:H786,
MAX(FILTER(ROW(H$2:H786) - ROW(H$2) + 1, P$2:P786 = P787)))))"),37.2)</f>
        <v>37.2</v>
      </c>
      <c r="N787" s="335" t="str">
        <f>IF(MAXIFS('単価履歴'!$O:$O,'単価履歴'!$E:$E,E787,'単価履歴'!$F:$F,F787)=O787,"●","")</f>
        <v/>
      </c>
      <c r="O787" s="346">
        <v>45751.252175925925</v>
      </c>
      <c r="P787" s="334" t="str">
        <f t="shared" si="4"/>
        <v>愛知:阪和Ｈ２(特級)</v>
      </c>
    </row>
    <row r="788" ht="15.75" customHeight="1">
      <c r="A788" s="335" t="s">
        <v>1987</v>
      </c>
      <c r="B788" s="336">
        <v>45751.0</v>
      </c>
      <c r="C788" s="335" t="s">
        <v>14</v>
      </c>
      <c r="D788" s="335" t="s">
        <v>46</v>
      </c>
      <c r="E788" s="337" t="str">
        <f t="shared" si="1"/>
        <v>愛知:阪和</v>
      </c>
      <c r="F788" s="338" t="s">
        <v>119</v>
      </c>
      <c r="G788" s="339" t="str">
        <f t="shared" si="2"/>
        <v>愛知:阪和Ｈ３(1級)</v>
      </c>
      <c r="H788" s="340">
        <f t="shared" si="3"/>
        <v>37.7</v>
      </c>
      <c r="I788" s="341">
        <v>1.5</v>
      </c>
      <c r="J788" s="332">
        <f>IFERROR(__xludf.DUMMYFUNCTION("IF(IF(COUNTIF(P$2:P787, P788)=0, """", INDEX(H$2:H787,
MAX(FILTER(ROW(H$2:H787) - ROW(H$2) + 1, P$2:P787 = P788))))=""単価"","""",
IF(COUNTIF(P$2:P787, P788)=0, """", INDEX(H$2:H787,
MAX(FILTER(ROW(H$2:H787) - ROW(H$2) + 1, P$2:P787 = P788)))))"),36.2)</f>
        <v>36.2</v>
      </c>
      <c r="N788" s="335" t="str">
        <f>IF(MAXIFS('単価履歴'!$O:$O,'単価履歴'!$E:$E,E788,'単価履歴'!$F:$F,F788)=O788,"●","")</f>
        <v/>
      </c>
      <c r="O788" s="346">
        <v>45751.252175925925</v>
      </c>
      <c r="P788" s="334" t="str">
        <f t="shared" si="4"/>
        <v>愛知:阪和Ｈ３(1級)</v>
      </c>
    </row>
    <row r="789" ht="15.75" customHeight="1">
      <c r="A789" s="335" t="s">
        <v>1988</v>
      </c>
      <c r="B789" s="336">
        <v>45751.0</v>
      </c>
      <c r="C789" s="335" t="s">
        <v>14</v>
      </c>
      <c r="D789" s="335" t="s">
        <v>46</v>
      </c>
      <c r="E789" s="337" t="str">
        <f t="shared" si="1"/>
        <v>愛知:阪和</v>
      </c>
      <c r="F789" s="338" t="s">
        <v>573</v>
      </c>
      <c r="G789" s="339" t="str">
        <f t="shared" si="2"/>
        <v>愛知:阪和Ｌ２(H4･級外･L1ﾊﾞﾗ)</v>
      </c>
      <c r="H789" s="340">
        <f t="shared" si="3"/>
        <v>34.3</v>
      </c>
      <c r="I789" s="341">
        <v>1.5</v>
      </c>
      <c r="J789" s="332">
        <f>IFERROR(__xludf.DUMMYFUNCTION("IF(IF(COUNTIF(P$2:P788, P789)=0, """", INDEX(H$2:H788,
MAX(FILTER(ROW(H$2:H788) - ROW(H$2) + 1, P$2:P788 = P789))))=""単価"","""",
IF(COUNTIF(P$2:P788, P789)=0, """", INDEX(H$2:H788,
MAX(FILTER(ROW(H$2:H788) - ROW(H$2) + 1, P$2:P788 = P789)))))"),32.8)</f>
        <v>32.8</v>
      </c>
      <c r="N789" s="335" t="str">
        <f>IF(MAXIFS('単価履歴'!$O:$O,'単価履歴'!$E:$E,E789,'単価履歴'!$F:$F,F789)=O789,"●","")</f>
        <v/>
      </c>
      <c r="O789" s="346">
        <v>45751.252175925925</v>
      </c>
      <c r="P789" s="334" t="str">
        <f t="shared" si="4"/>
        <v>愛知:阪和Ｌ２(H4･級外･L1ﾊﾞﾗ)</v>
      </c>
    </row>
    <row r="790" ht="15.75" customHeight="1">
      <c r="A790" s="335" t="s">
        <v>1989</v>
      </c>
      <c r="B790" s="336">
        <v>45751.0</v>
      </c>
      <c r="C790" s="335" t="s">
        <v>14</v>
      </c>
      <c r="D790" s="335" t="s">
        <v>46</v>
      </c>
      <c r="E790" s="337" t="str">
        <f t="shared" si="1"/>
        <v>愛知:阪和</v>
      </c>
      <c r="F790" s="338" t="s">
        <v>575</v>
      </c>
      <c r="G790" s="339" t="str">
        <f t="shared" si="2"/>
        <v>愛知:阪和鋼ダライＡ</v>
      </c>
      <c r="H790" s="340">
        <f t="shared" si="3"/>
        <v>1.5</v>
      </c>
      <c r="I790" s="341">
        <v>1.5</v>
      </c>
      <c r="J790" s="332" t="str">
        <f>IFERROR(__xludf.DUMMYFUNCTION("IF(IF(COUNTIF(P$2:P789, P790)=0, """", INDEX(H$2:H789,
MAX(FILTER(ROW(H$2:H789) - ROW(H$2) + 1, P$2:P789 = P790))))=""単価"","""",
IF(COUNTIF(P$2:P789, P790)=0, """", INDEX(H$2:H789,
MAX(FILTER(ROW(H$2:H789) - ROW(H$2) + 1, P$2:P789 = P790)))))"),"")</f>
        <v/>
      </c>
      <c r="N790" s="335" t="str">
        <f>IF(MAXIFS('単価履歴'!$O:$O,'単価履歴'!$E:$E,E790,'単価履歴'!$F:$F,F790)=O790,"●","")</f>
        <v/>
      </c>
      <c r="O790" s="346">
        <v>45751.252175925925</v>
      </c>
      <c r="P790" s="334" t="str">
        <f t="shared" si="4"/>
        <v>愛知:阪和鋼ダライＡ</v>
      </c>
    </row>
    <row r="791" ht="15.75" customHeight="1">
      <c r="A791" s="335" t="s">
        <v>1990</v>
      </c>
      <c r="B791" s="336">
        <v>45751.0</v>
      </c>
      <c r="C791" s="335" t="s">
        <v>14</v>
      </c>
      <c r="D791" s="335" t="s">
        <v>48</v>
      </c>
      <c r="E791" s="337" t="str">
        <f t="shared" si="1"/>
        <v>愛知:ナベ</v>
      </c>
      <c r="F791" s="338" t="s">
        <v>1199</v>
      </c>
      <c r="G791" s="339" t="str">
        <f t="shared" si="2"/>
        <v>愛知:ナベＨＳ１(単体H1/電特A/HS))</v>
      </c>
      <c r="H791" s="340">
        <f t="shared" si="3"/>
        <v>42</v>
      </c>
      <c r="I791" s="341">
        <v>1.5</v>
      </c>
      <c r="J791" s="332">
        <f>IFERROR(__xludf.DUMMYFUNCTION("IF(IF(COUNTIF(P$2:P790, P791)=0, """", INDEX(H$2:H790,
MAX(FILTER(ROW(H$2:H790) - ROW(H$2) + 1, P$2:P790 = P791))))=""単価"","""",
IF(COUNTIF(P$2:P790, P791)=0, """", INDEX(H$2:H790,
MAX(FILTER(ROW(H$2:H790) - ROW(H$2) + 1, P$2:P790 = P791)))))"),40.5)</f>
        <v>40.5</v>
      </c>
      <c r="N791" s="335" t="str">
        <f>IF(MAXIFS('単価履歴'!$O:$O,'単価履歴'!$E:$E,E791,'単価履歴'!$F:$F,F791)=O791,"●","")</f>
        <v/>
      </c>
      <c r="O791" s="346">
        <v>45751.252175925925</v>
      </c>
      <c r="P791" s="334" t="str">
        <f t="shared" si="4"/>
        <v>愛知:ナベＨＳ１(単体H1/電特A/HS))</v>
      </c>
    </row>
    <row r="792" ht="15.75" customHeight="1">
      <c r="A792" s="335" t="s">
        <v>1991</v>
      </c>
      <c r="B792" s="336">
        <v>45751.0</v>
      </c>
      <c r="C792" s="335" t="s">
        <v>14</v>
      </c>
      <c r="D792" s="335" t="s">
        <v>48</v>
      </c>
      <c r="E792" s="337" t="str">
        <f t="shared" si="1"/>
        <v>愛知:ナベ</v>
      </c>
      <c r="F792" s="338" t="s">
        <v>101</v>
      </c>
      <c r="G792" s="339" t="str">
        <f t="shared" si="2"/>
        <v>愛知:ナベＨＳ２</v>
      </c>
      <c r="H792" s="340">
        <f t="shared" si="3"/>
        <v>41.5</v>
      </c>
      <c r="I792" s="341">
        <v>1.5</v>
      </c>
      <c r="J792" s="332">
        <f>IFERROR(__xludf.DUMMYFUNCTION("IF(IF(COUNTIF(P$2:P791, P792)=0, """", INDEX(H$2:H791,
MAX(FILTER(ROW(H$2:H791) - ROW(H$2) + 1, P$2:P791 = P792))))=""単価"","""",
IF(COUNTIF(P$2:P791, P792)=0, """", INDEX(H$2:H791,
MAX(FILTER(ROW(H$2:H791) - ROW(H$2) + 1, P$2:P791 = P792)))))"),40.0)</f>
        <v>40</v>
      </c>
      <c r="N792" s="335" t="str">
        <f>IF(MAXIFS('単価履歴'!$O:$O,'単価履歴'!$E:$E,E792,'単価履歴'!$F:$F,F792)=O792,"●","")</f>
        <v/>
      </c>
      <c r="O792" s="346">
        <v>45751.252175925925</v>
      </c>
      <c r="P792" s="334" t="str">
        <f t="shared" si="4"/>
        <v>愛知:ナベＨＳ２</v>
      </c>
    </row>
    <row r="793" ht="15.75" customHeight="1">
      <c r="A793" s="335" t="s">
        <v>1992</v>
      </c>
      <c r="B793" s="336">
        <v>45751.0</v>
      </c>
      <c r="C793" s="335" t="s">
        <v>14</v>
      </c>
      <c r="D793" s="335" t="s">
        <v>48</v>
      </c>
      <c r="E793" s="337" t="str">
        <f t="shared" si="1"/>
        <v>愛知:ナベ</v>
      </c>
      <c r="F793" s="338" t="s">
        <v>111</v>
      </c>
      <c r="G793" s="339" t="str">
        <f t="shared" si="2"/>
        <v>愛知:ナベＨ１(特A)</v>
      </c>
      <c r="H793" s="340">
        <f t="shared" si="3"/>
        <v>41</v>
      </c>
      <c r="I793" s="341">
        <v>1.5</v>
      </c>
      <c r="J793" s="332">
        <f>IFERROR(__xludf.DUMMYFUNCTION("IF(IF(COUNTIF(P$2:P792, P793)=0, """", INDEX(H$2:H792,
MAX(FILTER(ROW(H$2:H792) - ROW(H$2) + 1, P$2:P792 = P793))))=""単価"","""",
IF(COUNTIF(P$2:P792, P793)=0, """", INDEX(H$2:H792,
MAX(FILTER(ROW(H$2:H792) - ROW(H$2) + 1, P$2:P792 = P793)))))"),39.5)</f>
        <v>39.5</v>
      </c>
      <c r="N793" s="335" t="str">
        <f>IF(MAXIFS('単価履歴'!$O:$O,'単価履歴'!$E:$E,E793,'単価履歴'!$F:$F,F793)=O793,"●","")</f>
        <v/>
      </c>
      <c r="O793" s="346">
        <v>45751.252175925925</v>
      </c>
      <c r="P793" s="334" t="str">
        <f t="shared" si="4"/>
        <v>愛知:ナベＨ１(特A)</v>
      </c>
    </row>
    <row r="794" ht="15.75" customHeight="1">
      <c r="A794" s="335" t="s">
        <v>1993</v>
      </c>
      <c r="B794" s="336">
        <v>45751.0</v>
      </c>
      <c r="C794" s="335" t="s">
        <v>14</v>
      </c>
      <c r="D794" s="335" t="s">
        <v>48</v>
      </c>
      <c r="E794" s="337" t="str">
        <f t="shared" si="1"/>
        <v>愛知:ナベ</v>
      </c>
      <c r="F794" s="338" t="s">
        <v>116</v>
      </c>
      <c r="G794" s="339" t="str">
        <f t="shared" si="2"/>
        <v>愛知:ナベＨ２(特級)</v>
      </c>
      <c r="H794" s="340">
        <f t="shared" si="3"/>
        <v>39.4</v>
      </c>
      <c r="I794" s="341">
        <v>1.5</v>
      </c>
      <c r="J794" s="332">
        <f>IFERROR(__xludf.DUMMYFUNCTION("IF(IF(COUNTIF(P$2:P793, P794)=0, """", INDEX(H$2:H793,
MAX(FILTER(ROW(H$2:H793) - ROW(H$2) + 1, P$2:P793 = P794))))=""単価"","""",
IF(COUNTIF(P$2:P793, P794)=0, """", INDEX(H$2:H793,
MAX(FILTER(ROW(H$2:H793) - ROW(H$2) + 1, P$2:P793 = P794)))))"),37.9)</f>
        <v>37.9</v>
      </c>
      <c r="N794" s="335" t="str">
        <f>IF(MAXIFS('単価履歴'!$O:$O,'単価履歴'!$E:$E,E794,'単価履歴'!$F:$F,F794)=O794,"●","")</f>
        <v/>
      </c>
      <c r="O794" s="346">
        <v>45751.252175925925</v>
      </c>
      <c r="P794" s="334" t="str">
        <f t="shared" si="4"/>
        <v>愛知:ナベＨ２(特級)</v>
      </c>
    </row>
    <row r="795" ht="15.75" customHeight="1">
      <c r="A795" s="335" t="s">
        <v>1994</v>
      </c>
      <c r="B795" s="336">
        <v>45751.0</v>
      </c>
      <c r="C795" s="335" t="s">
        <v>14</v>
      </c>
      <c r="D795" s="335" t="s">
        <v>48</v>
      </c>
      <c r="E795" s="337" t="str">
        <f t="shared" si="1"/>
        <v>愛知:ナベ</v>
      </c>
      <c r="F795" s="338" t="s">
        <v>119</v>
      </c>
      <c r="G795" s="339" t="str">
        <f t="shared" si="2"/>
        <v>愛知:ナベＨ３(1級)</v>
      </c>
      <c r="H795" s="340">
        <f t="shared" si="3"/>
        <v>38.4</v>
      </c>
      <c r="I795" s="341">
        <v>1.5</v>
      </c>
      <c r="J795" s="332">
        <f>IFERROR(__xludf.DUMMYFUNCTION("IF(IF(COUNTIF(P$2:P794, P795)=0, """", INDEX(H$2:H794,
MAX(FILTER(ROW(H$2:H794) - ROW(H$2) + 1, P$2:P794 = P795))))=""単価"","""",
IF(COUNTIF(P$2:P794, P795)=0, """", INDEX(H$2:H794,
MAX(FILTER(ROW(H$2:H794) - ROW(H$2) + 1, P$2:P794 = P795)))))"),36.9)</f>
        <v>36.9</v>
      </c>
      <c r="N795" s="335" t="str">
        <f>IF(MAXIFS('単価履歴'!$O:$O,'単価履歴'!$E:$E,E795,'単価履歴'!$F:$F,F795)=O795,"●","")</f>
        <v/>
      </c>
      <c r="O795" s="346">
        <v>45751.252175925925</v>
      </c>
      <c r="P795" s="334" t="str">
        <f t="shared" si="4"/>
        <v>愛知:ナベＨ３(1級)</v>
      </c>
    </row>
    <row r="796" ht="15.75" customHeight="1">
      <c r="A796" s="335" t="s">
        <v>1995</v>
      </c>
      <c r="B796" s="336">
        <v>45751.0</v>
      </c>
      <c r="C796" s="335" t="s">
        <v>14</v>
      </c>
      <c r="D796" s="335" t="s">
        <v>48</v>
      </c>
      <c r="E796" s="337" t="str">
        <f t="shared" si="1"/>
        <v>愛知:ナベ</v>
      </c>
      <c r="F796" s="338" t="s">
        <v>573</v>
      </c>
      <c r="G796" s="339" t="str">
        <f t="shared" si="2"/>
        <v>愛知:ナベＬ２(H4･級外･L1ﾊﾞﾗ)</v>
      </c>
      <c r="H796" s="340">
        <f t="shared" si="3"/>
        <v>34.4</v>
      </c>
      <c r="I796" s="341">
        <v>1.5</v>
      </c>
      <c r="J796" s="332">
        <f>IFERROR(__xludf.DUMMYFUNCTION("IF(IF(COUNTIF(P$2:P795, P796)=0, """", INDEX(H$2:H795,
MAX(FILTER(ROW(H$2:H795) - ROW(H$2) + 1, P$2:P795 = P796))))=""単価"","""",
IF(COUNTIF(P$2:P795, P796)=0, """", INDEX(H$2:H795,
MAX(FILTER(ROW(H$2:H795) - ROW(H$2) + 1, P$2:P795 = P796)))))"),32.9)</f>
        <v>32.9</v>
      </c>
      <c r="N796" s="335" t="str">
        <f>IF(MAXIFS('単価履歴'!$O:$O,'単価履歴'!$E:$E,E796,'単価履歴'!$F:$F,F796)=O796,"●","")</f>
        <v/>
      </c>
      <c r="O796" s="346">
        <v>45751.252175925925</v>
      </c>
      <c r="P796" s="334" t="str">
        <f t="shared" si="4"/>
        <v>愛知:ナベＬ２(H4･級外･L1ﾊﾞﾗ)</v>
      </c>
    </row>
    <row r="797" ht="15.75" customHeight="1">
      <c r="A797" s="335" t="s">
        <v>1996</v>
      </c>
      <c r="B797" s="336">
        <v>45751.0</v>
      </c>
      <c r="C797" s="335" t="s">
        <v>14</v>
      </c>
      <c r="D797" s="335" t="s">
        <v>48</v>
      </c>
      <c r="E797" s="337" t="str">
        <f t="shared" si="1"/>
        <v>愛知:ナベ</v>
      </c>
      <c r="F797" s="338" t="s">
        <v>575</v>
      </c>
      <c r="G797" s="339" t="str">
        <f t="shared" si="2"/>
        <v>愛知:ナベ鋼ダライＡ</v>
      </c>
      <c r="H797" s="340">
        <f t="shared" si="3"/>
        <v>1</v>
      </c>
      <c r="I797" s="341">
        <v>1.5</v>
      </c>
      <c r="J797" s="332">
        <f>IFERROR(__xludf.DUMMYFUNCTION("IF(IF(COUNTIF(P$2:P796, P797)=0, """", INDEX(H$2:H796,
MAX(FILTER(ROW(H$2:H796) - ROW(H$2) + 1, P$2:P796 = P797))))=""単価"","""",
IF(COUNTIF(P$2:P796, P797)=0, """", INDEX(H$2:H796,
MAX(FILTER(ROW(H$2:H796) - ROW(H$2) + 1, P$2:P796 = P797)))))"),-0.5)</f>
        <v>-0.5</v>
      </c>
      <c r="N797" s="335" t="str">
        <f>IF(MAXIFS('単価履歴'!$O:$O,'単価履歴'!$E:$E,E797,'単価履歴'!$F:$F,F797)=O797,"●","")</f>
        <v/>
      </c>
      <c r="O797" s="346">
        <v>45751.252175925925</v>
      </c>
      <c r="P797" s="334" t="str">
        <f t="shared" si="4"/>
        <v>愛知:ナベ鋼ダライＡ</v>
      </c>
    </row>
    <row r="798" ht="15.75" customHeight="1">
      <c r="A798" s="335" t="s">
        <v>1997</v>
      </c>
      <c r="B798" s="336">
        <v>45751.0</v>
      </c>
      <c r="C798" s="335" t="s">
        <v>15</v>
      </c>
      <c r="D798" s="335" t="s">
        <v>58</v>
      </c>
      <c r="E798" s="337" t="str">
        <f t="shared" si="1"/>
        <v>山口鋼業:MM建材</v>
      </c>
      <c r="F798" s="338" t="s">
        <v>1199</v>
      </c>
      <c r="G798" s="339" t="str">
        <f t="shared" si="2"/>
        <v>山口鋼業:MM建材ＨＳ１(単体H1/電特A/HS))</v>
      </c>
      <c r="H798" s="340">
        <f t="shared" si="3"/>
        <v>41</v>
      </c>
      <c r="I798" s="341">
        <v>1.5</v>
      </c>
      <c r="J798" s="332">
        <f>IFERROR(__xludf.DUMMYFUNCTION("IF(IF(COUNTIF(P$2:P797, P798)=0, """", INDEX(H$2:H797,
MAX(FILTER(ROW(H$2:H797) - ROW(H$2) + 1, P$2:P797 = P798))))=""単価"","""",
IF(COUNTIF(P$2:P797, P798)=0, """", INDEX(H$2:H797,
MAX(FILTER(ROW(H$2:H797) - ROW(H$2) + 1, P$2:P797 = P798)))))"),39.5)</f>
        <v>39.5</v>
      </c>
      <c r="N798" s="335" t="str">
        <f>IF(MAXIFS('単価履歴'!$O:$O,'単価履歴'!$E:$E,E798,'単価履歴'!$F:$F,F798)=O798,"●","")</f>
        <v/>
      </c>
      <c r="O798" s="346">
        <v>45751.252962962964</v>
      </c>
      <c r="P798" s="334" t="str">
        <f t="shared" si="4"/>
        <v>山口鋼業:MM建材ＨＳ１(単体H1/電特A/HS))</v>
      </c>
    </row>
    <row r="799" ht="15.75" customHeight="1">
      <c r="A799" s="335" t="s">
        <v>1998</v>
      </c>
      <c r="B799" s="336">
        <v>45751.0</v>
      </c>
      <c r="C799" s="335" t="s">
        <v>15</v>
      </c>
      <c r="D799" s="335" t="s">
        <v>58</v>
      </c>
      <c r="E799" s="337" t="str">
        <f t="shared" si="1"/>
        <v>山口鋼業:MM建材</v>
      </c>
      <c r="F799" s="338" t="s">
        <v>1237</v>
      </c>
      <c r="G799" s="339" t="str">
        <f t="shared" si="2"/>
        <v>山口鋼業:MM建材ＪＨ１(H2T山口)鍛造ﾊﾞﾘ</v>
      </c>
      <c r="H799" s="340">
        <f t="shared" si="3"/>
        <v>40.5</v>
      </c>
      <c r="I799" s="341">
        <v>1.5</v>
      </c>
      <c r="J799" s="332">
        <f>IFERROR(__xludf.DUMMYFUNCTION("IF(IF(COUNTIF(P$2:P798, P799)=0, """", INDEX(H$2:H798,
MAX(FILTER(ROW(H$2:H798) - ROW(H$2) + 1, P$2:P798 = P799))))=""単価"","""",
IF(COUNTIF(P$2:P798, P799)=0, """", INDEX(H$2:H798,
MAX(FILTER(ROW(H$2:H798) - ROW(H$2) + 1, P$2:P798 = P799)))))"),39.0)</f>
        <v>39</v>
      </c>
      <c r="N799" s="335" t="str">
        <f>IF(MAXIFS('単価履歴'!$O:$O,'単価履歴'!$E:$E,E799,'単価履歴'!$F:$F,F799)=O799,"●","")</f>
        <v/>
      </c>
      <c r="O799" s="346">
        <v>45751.252962962964</v>
      </c>
      <c r="P799" s="334" t="str">
        <f t="shared" si="4"/>
        <v>山口鋼業:MM建材ＪＨ１(H2T山口)鍛造ﾊﾞﾘ</v>
      </c>
    </row>
    <row r="800" ht="15.75" customHeight="1">
      <c r="A800" s="335" t="s">
        <v>1999</v>
      </c>
      <c r="B800" s="336">
        <v>45751.0</v>
      </c>
      <c r="C800" s="335" t="s">
        <v>15</v>
      </c>
      <c r="D800" s="335" t="s">
        <v>58</v>
      </c>
      <c r="E800" s="337" t="str">
        <f t="shared" si="1"/>
        <v>山口鋼業:MM建材</v>
      </c>
      <c r="F800" s="338" t="s">
        <v>116</v>
      </c>
      <c r="G800" s="339" t="str">
        <f t="shared" si="2"/>
        <v>山口鋼業:MM建材Ｈ２(特級)</v>
      </c>
      <c r="H800" s="340">
        <f t="shared" si="3"/>
        <v>39.5</v>
      </c>
      <c r="I800" s="341">
        <v>1.5</v>
      </c>
      <c r="J800" s="332">
        <f>IFERROR(__xludf.DUMMYFUNCTION("IF(IF(COUNTIF(P$2:P799, P800)=0, """", INDEX(H$2:H799,
MAX(FILTER(ROW(H$2:H799) - ROW(H$2) + 1, P$2:P799 = P800))))=""単価"","""",
IF(COUNTIF(P$2:P799, P800)=0, """", INDEX(H$2:H799,
MAX(FILTER(ROW(H$2:H799) - ROW(H$2) + 1, P$2:P799 = P800)))))"),38.0)</f>
        <v>38</v>
      </c>
      <c r="N800" s="335" t="str">
        <f>IF(MAXIFS('単価履歴'!$O:$O,'単価履歴'!$E:$E,E800,'単価履歴'!$F:$F,F800)=O800,"●","")</f>
        <v/>
      </c>
      <c r="O800" s="346">
        <v>45751.252962962964</v>
      </c>
      <c r="P800" s="334" t="str">
        <f t="shared" si="4"/>
        <v>山口鋼業:MM建材Ｈ２(特級)</v>
      </c>
    </row>
    <row r="801" ht="15.75" customHeight="1">
      <c r="A801" s="335" t="s">
        <v>2000</v>
      </c>
      <c r="B801" s="336">
        <v>45751.0</v>
      </c>
      <c r="C801" s="335" t="s">
        <v>15</v>
      </c>
      <c r="D801" s="335" t="s">
        <v>58</v>
      </c>
      <c r="E801" s="337" t="str">
        <f t="shared" si="1"/>
        <v>山口鋼業:MM建材</v>
      </c>
      <c r="F801" s="338" t="s">
        <v>119</v>
      </c>
      <c r="G801" s="339" t="str">
        <f t="shared" si="2"/>
        <v>山口鋼業:MM建材Ｈ３(1級)</v>
      </c>
      <c r="H801" s="340">
        <f t="shared" si="3"/>
        <v>38.5</v>
      </c>
      <c r="I801" s="341">
        <v>1.5</v>
      </c>
      <c r="J801" s="332">
        <f>IFERROR(__xludf.DUMMYFUNCTION("IF(IF(COUNTIF(P$2:P800, P801)=0, """", INDEX(H$2:H800,
MAX(FILTER(ROW(H$2:H800) - ROW(H$2) + 1, P$2:P800 = P801))))=""単価"","""",
IF(COUNTIF(P$2:P800, P801)=0, """", INDEX(H$2:H800,
MAX(FILTER(ROW(H$2:H800) - ROW(H$2) + 1, P$2:P800 = P801)))))"),37.0)</f>
        <v>37</v>
      </c>
      <c r="N801" s="335" t="str">
        <f>IF(MAXIFS('単価履歴'!$O:$O,'単価履歴'!$E:$E,E801,'単価履歴'!$F:$F,F801)=O801,"●","")</f>
        <v/>
      </c>
      <c r="O801" s="346">
        <v>45751.252962962964</v>
      </c>
      <c r="P801" s="334" t="str">
        <f t="shared" si="4"/>
        <v>山口鋼業:MM建材Ｈ３(1級)</v>
      </c>
    </row>
    <row r="802" ht="15.75" customHeight="1">
      <c r="A802" s="335" t="s">
        <v>2001</v>
      </c>
      <c r="B802" s="336">
        <v>45751.0</v>
      </c>
      <c r="C802" s="335" t="s">
        <v>15</v>
      </c>
      <c r="D802" s="335" t="s">
        <v>58</v>
      </c>
      <c r="E802" s="337" t="str">
        <f t="shared" si="1"/>
        <v>山口鋼業:MM建材</v>
      </c>
      <c r="F802" s="338" t="s">
        <v>573</v>
      </c>
      <c r="G802" s="339" t="str">
        <f t="shared" si="2"/>
        <v>山口鋼業:MM建材Ｌ２(H4･級外･L1ﾊﾞﾗ)</v>
      </c>
      <c r="H802" s="340">
        <f t="shared" si="3"/>
        <v>37</v>
      </c>
      <c r="I802" s="341">
        <v>1.5</v>
      </c>
      <c r="J802" s="332">
        <f>IFERROR(__xludf.DUMMYFUNCTION("IF(IF(COUNTIF(P$2:P801, P802)=0, """", INDEX(H$2:H801,
MAX(FILTER(ROW(H$2:H801) - ROW(H$2) + 1, P$2:P801 = P802))))=""単価"","""",
IF(COUNTIF(P$2:P801, P802)=0, """", INDEX(H$2:H801,
MAX(FILTER(ROW(H$2:H801) - ROW(H$2) + 1, P$2:P801 = P802)))))"),35.5)</f>
        <v>35.5</v>
      </c>
      <c r="N802" s="335" t="str">
        <f>IF(MAXIFS('単価履歴'!$O:$O,'単価履歴'!$E:$E,E802,'単価履歴'!$F:$F,F802)=O802,"●","")</f>
        <v/>
      </c>
      <c r="O802" s="346">
        <v>45751.252962962964</v>
      </c>
      <c r="P802" s="334" t="str">
        <f t="shared" si="4"/>
        <v>山口鋼業:MM建材Ｌ２(H4･級外･L1ﾊﾞﾗ)</v>
      </c>
    </row>
    <row r="803" ht="15.75" customHeight="1">
      <c r="A803" s="335" t="s">
        <v>2002</v>
      </c>
      <c r="B803" s="336">
        <v>45751.0</v>
      </c>
      <c r="C803" s="335" t="s">
        <v>15</v>
      </c>
      <c r="D803" s="335" t="s">
        <v>58</v>
      </c>
      <c r="E803" s="337" t="str">
        <f t="shared" si="1"/>
        <v>山口鋼業:MM建材</v>
      </c>
      <c r="F803" s="338" t="s">
        <v>575</v>
      </c>
      <c r="G803" s="339" t="str">
        <f t="shared" si="2"/>
        <v>山口鋼業:MM建材鋼ダライＡ</v>
      </c>
      <c r="H803" s="340">
        <f t="shared" si="3"/>
        <v>37.1</v>
      </c>
      <c r="I803" s="341">
        <v>1.5</v>
      </c>
      <c r="J803" s="332">
        <f>IFERROR(__xludf.DUMMYFUNCTION("IF(IF(COUNTIF(P$2:P802, P803)=0, """", INDEX(H$2:H802,
MAX(FILTER(ROW(H$2:H802) - ROW(H$2) + 1, P$2:P802 = P803))))=""単価"","""",
IF(COUNTIF(P$2:P802, P803)=0, """", INDEX(H$2:H802,
MAX(FILTER(ROW(H$2:H802) - ROW(H$2) + 1, P$2:P802 = P803)))))"),35.6)</f>
        <v>35.6</v>
      </c>
      <c r="N803" s="335" t="str">
        <f>IF(MAXIFS('単価履歴'!$O:$O,'単価履歴'!$E:$E,E803,'単価履歴'!$F:$F,F803)=O803,"●","")</f>
        <v/>
      </c>
      <c r="O803" s="346">
        <v>45751.252962962964</v>
      </c>
      <c r="P803" s="334" t="str">
        <f t="shared" si="4"/>
        <v>山口鋼業:MM建材鋼ダライＡ</v>
      </c>
    </row>
    <row r="804" ht="15.75" customHeight="1">
      <c r="A804" s="335" t="s">
        <v>2003</v>
      </c>
      <c r="B804" s="336">
        <v>45751.0</v>
      </c>
      <c r="C804" s="335" t="s">
        <v>15</v>
      </c>
      <c r="D804" s="335" t="s">
        <v>58</v>
      </c>
      <c r="E804" s="337" t="str">
        <f t="shared" si="1"/>
        <v>山口鋼業:MM建材</v>
      </c>
      <c r="F804" s="338" t="s">
        <v>577</v>
      </c>
      <c r="G804" s="339" t="str">
        <f t="shared" si="2"/>
        <v>山口鋼業:MM建材鋳物・ﾀﾞｸﾀｲﾙ</v>
      </c>
      <c r="H804" s="340">
        <f t="shared" si="3"/>
        <v>40</v>
      </c>
      <c r="I804" s="341">
        <v>1.5</v>
      </c>
      <c r="J804" s="332">
        <f>IFERROR(__xludf.DUMMYFUNCTION("IF(IF(COUNTIF(P$2:P803, P804)=0, """", INDEX(H$2:H803,
MAX(FILTER(ROW(H$2:H803) - ROW(H$2) + 1, P$2:P803 = P804))))=""単価"","""",
IF(COUNTIF(P$2:P803, P804)=0, """", INDEX(H$2:H803,
MAX(FILTER(ROW(H$2:H803) - ROW(H$2) + 1, P$2:P803 = P804)))))"),38.5)</f>
        <v>38.5</v>
      </c>
      <c r="N804" s="335" t="str">
        <f>IF(MAXIFS('単価履歴'!$O:$O,'単価履歴'!$E:$E,E804,'単価履歴'!$F:$F,F804)=O804,"●","")</f>
        <v/>
      </c>
      <c r="O804" s="346">
        <v>45751.252962962964</v>
      </c>
      <c r="P804" s="334" t="str">
        <f t="shared" si="4"/>
        <v>山口鋼業:MM建材鋳物・ﾀﾞｸﾀｲﾙ</v>
      </c>
    </row>
    <row r="805" ht="15.75" customHeight="1">
      <c r="A805" s="335"/>
      <c r="B805" s="336"/>
      <c r="C805" s="335"/>
      <c r="D805" s="335"/>
      <c r="E805" s="337" t="str">
        <f t="shared" si="1"/>
        <v>:</v>
      </c>
      <c r="F805" s="338"/>
      <c r="G805" s="339" t="str">
        <f t="shared" si="2"/>
        <v>:</v>
      </c>
      <c r="H805" s="340">
        <f t="shared" si="3"/>
        <v>0</v>
      </c>
      <c r="I805" s="341"/>
      <c r="J805" s="332" t="str">
        <f>IFERROR(__xludf.DUMMYFUNCTION("IF(IF(COUNTIF(P$2:P804, P805)=0, """", INDEX(H$2:H804,
MAX(FILTER(ROW(H$2:H804) - ROW(H$2) + 1, P$2:P804 = P805))))=""単価"","""",
IF(COUNTIF(P$2:P804, P805)=0, """", INDEX(H$2:H804,
MAX(FILTER(ROW(H$2:H804) - ROW(H$2) + 1, P$2:P804 = P805)))))"),"")</f>
        <v/>
      </c>
      <c r="N805" s="335" t="str">
        <f>IF(MAXIFS('単価履歴'!$O:$O,'単価履歴'!$E:$E,E805,'単価履歴'!$F:$F,F805)=O805,"●","")</f>
        <v>●</v>
      </c>
      <c r="O805" s="346"/>
      <c r="P805" s="334" t="str">
        <f t="shared" si="4"/>
        <v>:</v>
      </c>
    </row>
    <row r="806" ht="15.75" customHeight="1">
      <c r="A806" s="335" t="s">
        <v>2004</v>
      </c>
      <c r="B806" s="336">
        <v>45751.0</v>
      </c>
      <c r="C806" s="335" t="s">
        <v>15</v>
      </c>
      <c r="D806" s="335" t="s">
        <v>46</v>
      </c>
      <c r="E806" s="337" t="str">
        <f t="shared" si="1"/>
        <v>山口鋼業:阪和</v>
      </c>
      <c r="F806" s="338" t="s">
        <v>1199</v>
      </c>
      <c r="G806" s="339" t="str">
        <f t="shared" si="2"/>
        <v>山口鋼業:阪和ＨＳ１(単体H1/電特A/HS))</v>
      </c>
      <c r="H806" s="340">
        <f t="shared" si="3"/>
        <v>41.5</v>
      </c>
      <c r="I806" s="341">
        <v>1.5</v>
      </c>
      <c r="J806" s="332">
        <f>IFERROR(__xludf.DUMMYFUNCTION("IF(IF(COUNTIF(P$2:P805, P806)=0, """", INDEX(H$2:H805,
MAX(FILTER(ROW(H$2:H805) - ROW(H$2) + 1, P$2:P805 = P806))))=""単価"","""",
IF(COUNTIF(P$2:P805, P806)=0, """", INDEX(H$2:H805,
MAX(FILTER(ROW(H$2:H805) - ROW(H$2) + 1, P$2:P805 = P806)))))"),40.0)</f>
        <v>40</v>
      </c>
      <c r="N806" s="335" t="str">
        <f>IF(MAXIFS('単価履歴'!$O:$O,'単価履歴'!$E:$E,E806,'単価履歴'!$F:$F,F806)=O806,"●","")</f>
        <v/>
      </c>
      <c r="O806" s="346">
        <v>45751.252962962964</v>
      </c>
      <c r="P806" s="334" t="str">
        <f t="shared" si="4"/>
        <v>山口鋼業:阪和ＨＳ１(単体H1/電特A/HS))</v>
      </c>
    </row>
    <row r="807" ht="15.75" customHeight="1">
      <c r="A807" s="335" t="s">
        <v>2005</v>
      </c>
      <c r="B807" s="336">
        <v>45751.0</v>
      </c>
      <c r="C807" s="335" t="s">
        <v>15</v>
      </c>
      <c r="D807" s="335" t="s">
        <v>46</v>
      </c>
      <c r="E807" s="337" t="str">
        <f t="shared" si="1"/>
        <v>山口鋼業:阪和</v>
      </c>
      <c r="F807" s="338" t="s">
        <v>1237</v>
      </c>
      <c r="G807" s="339" t="str">
        <f t="shared" si="2"/>
        <v>山口鋼業:阪和ＪＨ１(H2T山口)鍛造ﾊﾞﾘ</v>
      </c>
      <c r="H807" s="340">
        <f t="shared" si="3"/>
        <v>1.5</v>
      </c>
      <c r="I807" s="341">
        <v>1.5</v>
      </c>
      <c r="J807" s="332" t="str">
        <f>IFERROR(__xludf.DUMMYFUNCTION("IF(IF(COUNTIF(P$2:P806, P807)=0, """", INDEX(H$2:H806,
MAX(FILTER(ROW(H$2:H806) - ROW(H$2) + 1, P$2:P806 = P807))))=""単価"","""",
IF(COUNTIF(P$2:P806, P807)=0, """", INDEX(H$2:H806,
MAX(FILTER(ROW(H$2:H806) - ROW(H$2) + 1, P$2:P806 = P807)))))"),"")</f>
        <v/>
      </c>
      <c r="N807" s="335" t="str">
        <f>IF(MAXIFS('単価履歴'!$O:$O,'単価履歴'!$E:$E,E807,'単価履歴'!$F:$F,F807)=O807,"●","")</f>
        <v/>
      </c>
      <c r="O807" s="346">
        <v>45751.252962962964</v>
      </c>
      <c r="P807" s="334" t="str">
        <f t="shared" si="4"/>
        <v>山口鋼業:阪和ＪＨ１(H2T山口)鍛造ﾊﾞﾘ</v>
      </c>
    </row>
    <row r="808" ht="15.75" customHeight="1">
      <c r="A808" s="335" t="s">
        <v>2006</v>
      </c>
      <c r="B808" s="336">
        <v>45751.0</v>
      </c>
      <c r="C808" s="335" t="s">
        <v>15</v>
      </c>
      <c r="D808" s="335" t="s">
        <v>46</v>
      </c>
      <c r="E808" s="337" t="str">
        <f t="shared" si="1"/>
        <v>山口鋼業:阪和</v>
      </c>
      <c r="F808" s="338" t="s">
        <v>116</v>
      </c>
      <c r="G808" s="339" t="str">
        <f t="shared" si="2"/>
        <v>山口鋼業:阪和Ｈ２(特級)</v>
      </c>
      <c r="H808" s="340">
        <f t="shared" si="3"/>
        <v>39.5</v>
      </c>
      <c r="I808" s="341">
        <v>1.5</v>
      </c>
      <c r="J808" s="332">
        <f>IFERROR(__xludf.DUMMYFUNCTION("IF(IF(COUNTIF(P$2:P807, P808)=0, """", INDEX(H$2:H807,
MAX(FILTER(ROW(H$2:H807) - ROW(H$2) + 1, P$2:P807 = P808))))=""単価"","""",
IF(COUNTIF(P$2:P807, P808)=0, """", INDEX(H$2:H807,
MAX(FILTER(ROW(H$2:H807) - ROW(H$2) + 1, P$2:P807 = P808)))))"),38.0)</f>
        <v>38</v>
      </c>
      <c r="N808" s="335" t="str">
        <f>IF(MAXIFS('単価履歴'!$O:$O,'単価履歴'!$E:$E,E808,'単価履歴'!$F:$F,F808)=O808,"●","")</f>
        <v/>
      </c>
      <c r="O808" s="346">
        <v>45751.252962962964</v>
      </c>
      <c r="P808" s="334" t="str">
        <f t="shared" si="4"/>
        <v>山口鋼業:阪和Ｈ２(特級)</v>
      </c>
    </row>
    <row r="809" ht="15.75" customHeight="1">
      <c r="A809" s="335" t="s">
        <v>2007</v>
      </c>
      <c r="B809" s="336">
        <v>45751.0</v>
      </c>
      <c r="C809" s="335" t="s">
        <v>15</v>
      </c>
      <c r="D809" s="335" t="s">
        <v>46</v>
      </c>
      <c r="E809" s="337" t="str">
        <f t="shared" si="1"/>
        <v>山口鋼業:阪和</v>
      </c>
      <c r="F809" s="338" t="s">
        <v>119</v>
      </c>
      <c r="G809" s="339" t="str">
        <f t="shared" si="2"/>
        <v>山口鋼業:阪和Ｈ３(1級)</v>
      </c>
      <c r="H809" s="340">
        <f t="shared" si="3"/>
        <v>38.5</v>
      </c>
      <c r="I809" s="341">
        <v>1.5</v>
      </c>
      <c r="J809" s="332">
        <f>IFERROR(__xludf.DUMMYFUNCTION("IF(IF(COUNTIF(P$2:P808, P809)=0, """", INDEX(H$2:H808,
MAX(FILTER(ROW(H$2:H808) - ROW(H$2) + 1, P$2:P808 = P809))))=""単価"","""",
IF(COUNTIF(P$2:P808, P809)=0, """", INDEX(H$2:H808,
MAX(FILTER(ROW(H$2:H808) - ROW(H$2) + 1, P$2:P808 = P809)))))"),37.0)</f>
        <v>37</v>
      </c>
      <c r="N809" s="335" t="str">
        <f>IF(MAXIFS('単価履歴'!$O:$O,'単価履歴'!$E:$E,E809,'単価履歴'!$F:$F,F809)=O809,"●","")</f>
        <v/>
      </c>
      <c r="O809" s="346">
        <v>45751.252962962964</v>
      </c>
      <c r="P809" s="334" t="str">
        <f t="shared" si="4"/>
        <v>山口鋼業:阪和Ｈ３(1級)</v>
      </c>
    </row>
    <row r="810" ht="15.75" customHeight="1">
      <c r="A810" s="335" t="s">
        <v>2008</v>
      </c>
      <c r="B810" s="336">
        <v>45751.0</v>
      </c>
      <c r="C810" s="335" t="s">
        <v>15</v>
      </c>
      <c r="D810" s="335" t="s">
        <v>46</v>
      </c>
      <c r="E810" s="337" t="str">
        <f t="shared" si="1"/>
        <v>山口鋼業:阪和</v>
      </c>
      <c r="F810" s="338" t="s">
        <v>573</v>
      </c>
      <c r="G810" s="339" t="str">
        <f t="shared" si="2"/>
        <v>山口鋼業:阪和Ｌ２(H4･級外･L1ﾊﾞﾗ)</v>
      </c>
      <c r="H810" s="340">
        <f t="shared" si="3"/>
        <v>37</v>
      </c>
      <c r="I810" s="341">
        <v>1.5</v>
      </c>
      <c r="J810" s="332">
        <f>IFERROR(__xludf.DUMMYFUNCTION("IF(IF(COUNTIF(P$2:P809, P810)=0, """", INDEX(H$2:H809,
MAX(FILTER(ROW(H$2:H809) - ROW(H$2) + 1, P$2:P809 = P810))))=""単価"","""",
IF(COUNTIF(P$2:P809, P810)=0, """", INDEX(H$2:H809,
MAX(FILTER(ROW(H$2:H809) - ROW(H$2) + 1, P$2:P809 = P810)))))"),35.5)</f>
        <v>35.5</v>
      </c>
      <c r="N810" s="335" t="str">
        <f>IF(MAXIFS('単価履歴'!$O:$O,'単価履歴'!$E:$E,E810,'単価履歴'!$F:$F,F810)=O810,"●","")</f>
        <v/>
      </c>
      <c r="O810" s="346">
        <v>45751.252962962964</v>
      </c>
      <c r="P810" s="334" t="str">
        <f t="shared" si="4"/>
        <v>山口鋼業:阪和Ｌ２(H4･級外･L1ﾊﾞﾗ)</v>
      </c>
    </row>
    <row r="811" ht="15.75" customHeight="1">
      <c r="A811" s="335" t="s">
        <v>2009</v>
      </c>
      <c r="B811" s="336">
        <v>45751.0</v>
      </c>
      <c r="C811" s="335" t="s">
        <v>15</v>
      </c>
      <c r="D811" s="335" t="s">
        <v>46</v>
      </c>
      <c r="E811" s="337" t="str">
        <f t="shared" si="1"/>
        <v>山口鋼業:阪和</v>
      </c>
      <c r="F811" s="338" t="s">
        <v>575</v>
      </c>
      <c r="G811" s="339" t="str">
        <f t="shared" si="2"/>
        <v>山口鋼業:阪和鋼ダライＡ</v>
      </c>
      <c r="H811" s="340">
        <f t="shared" si="3"/>
        <v>1</v>
      </c>
      <c r="I811" s="341">
        <v>1.5</v>
      </c>
      <c r="J811" s="332">
        <f>IFERROR(__xludf.DUMMYFUNCTION("IF(IF(COUNTIF(P$2:P810, P811)=0, """", INDEX(H$2:H810,
MAX(FILTER(ROW(H$2:H810) - ROW(H$2) + 1, P$2:P810 = P811))))=""単価"","""",
IF(COUNTIF(P$2:P810, P811)=0, """", INDEX(H$2:H810,
MAX(FILTER(ROW(H$2:H810) - ROW(H$2) + 1, P$2:P810 = P811)))))"),-0.5)</f>
        <v>-0.5</v>
      </c>
      <c r="N811" s="335" t="str">
        <f>IF(MAXIFS('単価履歴'!$O:$O,'単価履歴'!$E:$E,E811,'単価履歴'!$F:$F,F811)=O811,"●","")</f>
        <v/>
      </c>
      <c r="O811" s="346">
        <v>45751.252962962964</v>
      </c>
      <c r="P811" s="334" t="str">
        <f t="shared" si="4"/>
        <v>山口鋼業:阪和鋼ダライＡ</v>
      </c>
    </row>
    <row r="812" ht="15.75" customHeight="1">
      <c r="A812" s="335"/>
      <c r="B812" s="336"/>
      <c r="C812" s="335"/>
      <c r="D812" s="335"/>
      <c r="E812" s="337" t="str">
        <f t="shared" si="1"/>
        <v>:</v>
      </c>
      <c r="F812" s="338"/>
      <c r="G812" s="339" t="str">
        <f t="shared" si="2"/>
        <v>:</v>
      </c>
      <c r="H812" s="340">
        <f t="shared" si="3"/>
        <v>0</v>
      </c>
      <c r="I812" s="341"/>
      <c r="J812" s="332">
        <f>IFERROR(__xludf.DUMMYFUNCTION("IF(IF(COUNTIF(P$2:P811, P812)=0, """", INDEX(H$2:H811,
MAX(FILTER(ROW(H$2:H811) - ROW(H$2) + 1, P$2:P811 = P812))))=""単価"","""",
IF(COUNTIF(P$2:P811, P812)=0, """", INDEX(H$2:H811,
MAX(FILTER(ROW(H$2:H811) - ROW(H$2) + 1, P$2:P811 = P812)))))"),0.0)</f>
        <v>0</v>
      </c>
      <c r="N812" s="335" t="str">
        <f>IF(MAXIFS('単価履歴'!$O:$O,'単価履歴'!$E:$E,E812,'単価履歴'!$F:$F,F812)=O812,"●","")</f>
        <v>●</v>
      </c>
      <c r="O812" s="346"/>
      <c r="P812" s="334" t="str">
        <f t="shared" si="4"/>
        <v>:</v>
      </c>
    </row>
    <row r="813" ht="15.75" customHeight="1">
      <c r="A813" s="335" t="s">
        <v>2010</v>
      </c>
      <c r="B813" s="336">
        <v>45751.0</v>
      </c>
      <c r="C813" s="335" t="s">
        <v>15</v>
      </c>
      <c r="D813" s="335" t="s">
        <v>46</v>
      </c>
      <c r="E813" s="337" t="str">
        <f t="shared" si="1"/>
        <v>山口鋼業:阪和</v>
      </c>
      <c r="F813" s="338" t="s">
        <v>111</v>
      </c>
      <c r="G813" s="339" t="str">
        <f t="shared" si="2"/>
        <v>山口鋼業:阪和Ｈ１(特A)</v>
      </c>
      <c r="H813" s="340">
        <f t="shared" si="3"/>
        <v>40</v>
      </c>
      <c r="I813" s="341">
        <v>1.5</v>
      </c>
      <c r="J813" s="332">
        <f>IFERROR(__xludf.DUMMYFUNCTION("IF(IF(COUNTIF(P$2:P812, P813)=0, """", INDEX(H$2:H812,
MAX(FILTER(ROW(H$2:H812) - ROW(H$2) + 1, P$2:P812 = P813))))=""単価"","""",
IF(COUNTIF(P$2:P812, P813)=0, """", INDEX(H$2:H812,
MAX(FILTER(ROW(H$2:H812) - ROW(H$2) + 1, P$2:P812 = P813)))))"),38.5)</f>
        <v>38.5</v>
      </c>
      <c r="N813" s="335" t="str">
        <f>IF(MAXIFS('単価履歴'!$O:$O,'単価履歴'!$E:$E,E813,'単価履歴'!$F:$F,F813)=O813,"●","")</f>
        <v/>
      </c>
      <c r="O813" s="346">
        <v>45751.252962962964</v>
      </c>
      <c r="P813" s="334" t="str">
        <f t="shared" si="4"/>
        <v>山口鋼業:阪和Ｈ１(特A)</v>
      </c>
    </row>
    <row r="814" ht="15.75" customHeight="1">
      <c r="A814" s="335" t="s">
        <v>2011</v>
      </c>
      <c r="B814" s="336">
        <v>45751.0</v>
      </c>
      <c r="C814" s="335" t="s">
        <v>537</v>
      </c>
      <c r="D814" s="335" t="s">
        <v>59</v>
      </c>
      <c r="E814" s="337" t="str">
        <f t="shared" si="1"/>
        <v>大同特殊鋼:大同興業</v>
      </c>
      <c r="F814" s="338" t="s">
        <v>1199</v>
      </c>
      <c r="G814" s="339" t="str">
        <f t="shared" si="2"/>
        <v>大同特殊鋼:大同興業ＨＳ１(単体H1/電特A/HS))</v>
      </c>
      <c r="H814" s="340">
        <f t="shared" si="3"/>
        <v>44.5</v>
      </c>
      <c r="I814" s="341">
        <v>1.5</v>
      </c>
      <c r="J814" s="332">
        <f>IFERROR(__xludf.DUMMYFUNCTION("IF(IF(COUNTIF(P$2:P813, P814)=0, """", INDEX(H$2:H813,
MAX(FILTER(ROW(H$2:H813) - ROW(H$2) + 1, P$2:P813 = P814))))=""単価"","""",
IF(COUNTIF(P$2:P813, P814)=0, """", INDEX(H$2:H813,
MAX(FILTER(ROW(H$2:H813) - ROW(H$2) + 1, P$2:P813 = P814)))))"),43.0)</f>
        <v>43</v>
      </c>
      <c r="N814" s="335" t="str">
        <f>IF(MAXIFS('単価履歴'!$O:$O,'単価履歴'!$E:$E,E814,'単価履歴'!$F:$F,F814)=O814,"●","")</f>
        <v/>
      </c>
      <c r="O814" s="346">
        <v>45751.25431712963</v>
      </c>
      <c r="P814" s="334" t="str">
        <f t="shared" si="4"/>
        <v>大同特殊鋼:大同興業ＨＳ１(単体H1/電特A/HS))</v>
      </c>
    </row>
    <row r="815" ht="15.75" customHeight="1">
      <c r="A815" s="335" t="s">
        <v>2012</v>
      </c>
      <c r="B815" s="336">
        <v>45751.0</v>
      </c>
      <c r="C815" s="335" t="s">
        <v>537</v>
      </c>
      <c r="D815" s="335" t="s">
        <v>59</v>
      </c>
      <c r="E815" s="337" t="str">
        <f t="shared" si="1"/>
        <v>大同特殊鋼:大同興業</v>
      </c>
      <c r="F815" s="338" t="s">
        <v>575</v>
      </c>
      <c r="G815" s="339" t="str">
        <f t="shared" si="2"/>
        <v>大同特殊鋼:大同興業鋼ダライＡ</v>
      </c>
      <c r="H815" s="340">
        <f t="shared" si="3"/>
        <v>37.4</v>
      </c>
      <c r="I815" s="341">
        <v>1.5</v>
      </c>
      <c r="J815" s="332">
        <f>IFERROR(__xludf.DUMMYFUNCTION("IF(IF(COUNTIF(P$2:P814, P815)=0, """", INDEX(H$2:H814,
MAX(FILTER(ROW(H$2:H814) - ROW(H$2) + 1, P$2:P814 = P815))))=""単価"","""",
IF(COUNTIF(P$2:P814, P815)=0, """", INDEX(H$2:H814,
MAX(FILTER(ROW(H$2:H814) - ROW(H$2) + 1, P$2:P814 = P815)))))"),35.9)</f>
        <v>35.9</v>
      </c>
      <c r="N815" s="335" t="str">
        <f>IF(MAXIFS('単価履歴'!$O:$O,'単価履歴'!$E:$E,E815,'単価履歴'!$F:$F,F815)=O815,"●","")</f>
        <v/>
      </c>
      <c r="O815" s="346">
        <v>45751.25431712963</v>
      </c>
      <c r="P815" s="334" t="str">
        <f t="shared" si="4"/>
        <v>大同特殊鋼:大同興業鋼ダライＡ</v>
      </c>
    </row>
    <row r="816" ht="15.75" customHeight="1">
      <c r="A816" s="335" t="s">
        <v>2013</v>
      </c>
      <c r="B816" s="336">
        <v>45751.0</v>
      </c>
      <c r="C816" s="335" t="s">
        <v>537</v>
      </c>
      <c r="D816" s="335" t="s">
        <v>59</v>
      </c>
      <c r="E816" s="337" t="str">
        <f t="shared" si="1"/>
        <v>大同特殊鋼:大同興業</v>
      </c>
      <c r="F816" s="338" t="s">
        <v>116</v>
      </c>
      <c r="G816" s="339" t="str">
        <f t="shared" si="2"/>
        <v>大同特殊鋼:大同興業Ｈ２(特級)</v>
      </c>
      <c r="H816" s="340">
        <f t="shared" si="3"/>
        <v>1</v>
      </c>
      <c r="I816" s="341">
        <v>1.5</v>
      </c>
      <c r="J816" s="332">
        <f>IFERROR(__xludf.DUMMYFUNCTION("IF(IF(COUNTIF(P$2:P815, P816)=0, """", INDEX(H$2:H815,
MAX(FILTER(ROW(H$2:H815) - ROW(H$2) + 1, P$2:P815 = P816))))=""単価"","""",
IF(COUNTIF(P$2:P815, P816)=0, """", INDEX(H$2:H815,
MAX(FILTER(ROW(H$2:H815) - ROW(H$2) + 1, P$2:P815 = P816)))))"),-0.5)</f>
        <v>-0.5</v>
      </c>
      <c r="N816" s="335" t="str">
        <f>IF(MAXIFS('単価履歴'!$O:$O,'単価履歴'!$E:$E,E816,'単価履歴'!$F:$F,F816)=O816,"●","")</f>
        <v/>
      </c>
      <c r="O816" s="346">
        <v>45751.25431712963</v>
      </c>
      <c r="P816" s="334" t="str">
        <f t="shared" si="4"/>
        <v>大同特殊鋼:大同興業Ｈ２(特級)</v>
      </c>
    </row>
    <row r="817" ht="15.75" customHeight="1">
      <c r="A817" s="335" t="s">
        <v>2014</v>
      </c>
      <c r="B817" s="336">
        <v>45751.0</v>
      </c>
      <c r="C817" s="335" t="s">
        <v>537</v>
      </c>
      <c r="D817" s="335" t="s">
        <v>1404</v>
      </c>
      <c r="E817" s="337" t="str">
        <f t="shared" si="1"/>
        <v>大同特殊鋼:JSE/大和ﾘﾃｯｸ</v>
      </c>
      <c r="F817" s="338" t="s">
        <v>1199</v>
      </c>
      <c r="G817" s="339" t="str">
        <f t="shared" si="2"/>
        <v>大同特殊鋼:JSE/大和ﾘﾃｯｸＨＳ１(単体H1/電特A/HS))</v>
      </c>
      <c r="H817" s="340">
        <f t="shared" si="3"/>
        <v>44</v>
      </c>
      <c r="I817" s="341">
        <v>1.5</v>
      </c>
      <c r="J817" s="332">
        <f>IFERROR(__xludf.DUMMYFUNCTION("IF(IF(COUNTIF(P$2:P816, P817)=0, """", INDEX(H$2:H816,
MAX(FILTER(ROW(H$2:H816) - ROW(H$2) + 1, P$2:P816 = P817))))=""単価"","""",
IF(COUNTIF(P$2:P816, P817)=0, """", INDEX(H$2:H816,
MAX(FILTER(ROW(H$2:H816) - ROW(H$2) + 1, P$2:P816 = P817)))))"),42.5)</f>
        <v>42.5</v>
      </c>
      <c r="N817" s="335" t="str">
        <f>IF(MAXIFS('単価履歴'!$O:$O,'単価履歴'!$E:$E,E817,'単価履歴'!$F:$F,F817)=O817,"●","")</f>
        <v/>
      </c>
      <c r="O817" s="346">
        <v>45751.25431712963</v>
      </c>
      <c r="P817" s="334" t="str">
        <f t="shared" si="4"/>
        <v>大同特殊鋼:JSE/大和ﾘﾃｯｸＨＳ１(単体H1/電特A/HS))</v>
      </c>
    </row>
    <row r="818" ht="15.75" customHeight="1">
      <c r="A818" s="335" t="s">
        <v>2015</v>
      </c>
      <c r="B818" s="336">
        <v>45751.0</v>
      </c>
      <c r="C818" s="335" t="s">
        <v>537</v>
      </c>
      <c r="D818" s="335" t="s">
        <v>1404</v>
      </c>
      <c r="E818" s="337" t="str">
        <f t="shared" si="1"/>
        <v>大同特殊鋼:JSE/大和ﾘﾃｯｸ</v>
      </c>
      <c r="F818" s="338" t="s">
        <v>575</v>
      </c>
      <c r="G818" s="339" t="str">
        <f t="shared" si="2"/>
        <v>大同特殊鋼:JSE/大和ﾘﾃｯｸ鋼ダライＡ</v>
      </c>
      <c r="H818" s="340">
        <f t="shared" si="3"/>
        <v>39.3</v>
      </c>
      <c r="I818" s="341">
        <v>1.5</v>
      </c>
      <c r="J818" s="332">
        <f>IFERROR(__xludf.DUMMYFUNCTION("IF(IF(COUNTIF(P$2:P817, P818)=0, """", INDEX(H$2:H817,
MAX(FILTER(ROW(H$2:H817) - ROW(H$2) + 1, P$2:P817 = P818))))=""単価"","""",
IF(COUNTIF(P$2:P817, P818)=0, """", INDEX(H$2:H817,
MAX(FILTER(ROW(H$2:H817) - ROW(H$2) + 1, P$2:P817 = P818)))))"),37.8)</f>
        <v>37.8</v>
      </c>
      <c r="N818" s="335" t="str">
        <f>IF(MAXIFS('単価履歴'!$O:$O,'単価履歴'!$E:$E,E818,'単価履歴'!$F:$F,F818)=O818,"●","")</f>
        <v/>
      </c>
      <c r="O818" s="346">
        <v>45751.25431712963</v>
      </c>
      <c r="P818" s="334" t="str">
        <f t="shared" si="4"/>
        <v>大同特殊鋼:JSE/大和ﾘﾃｯｸ鋼ダライＡ</v>
      </c>
    </row>
    <row r="819" ht="15.75" customHeight="1">
      <c r="A819" s="335" t="s">
        <v>2016</v>
      </c>
      <c r="B819" s="336">
        <v>45751.0</v>
      </c>
      <c r="C819" s="335" t="s">
        <v>537</v>
      </c>
      <c r="D819" s="335" t="s">
        <v>1404</v>
      </c>
      <c r="E819" s="337" t="str">
        <f t="shared" si="1"/>
        <v>大同特殊鋼:JSE/大和ﾘﾃｯｸ</v>
      </c>
      <c r="F819" s="338" t="s">
        <v>116</v>
      </c>
      <c r="G819" s="339" t="str">
        <f t="shared" si="2"/>
        <v>大同特殊鋼:JSE/大和ﾘﾃｯｸＨ２(特級)</v>
      </c>
      <c r="H819" s="340">
        <f t="shared" si="3"/>
        <v>40.5</v>
      </c>
      <c r="I819" s="341">
        <v>1.5</v>
      </c>
      <c r="J819" s="332">
        <f>IFERROR(__xludf.DUMMYFUNCTION("IF(IF(COUNTIF(P$2:P818, P819)=0, """", INDEX(H$2:H818,
MAX(FILTER(ROW(H$2:H818) - ROW(H$2) + 1, P$2:P818 = P819))))=""単価"","""",
IF(COUNTIF(P$2:P818, P819)=0, """", INDEX(H$2:H818,
MAX(FILTER(ROW(H$2:H818) - ROW(H$2) + 1, P$2:P818 = P819)))))"),39.0)</f>
        <v>39</v>
      </c>
      <c r="N819" s="335" t="str">
        <f>IF(MAXIFS('単価履歴'!$O:$O,'単価履歴'!$E:$E,E819,'単価履歴'!$F:$F,F819)=O819,"●","")</f>
        <v/>
      </c>
      <c r="O819" s="346">
        <v>45751.25431712963</v>
      </c>
      <c r="P819" s="334" t="str">
        <f t="shared" si="4"/>
        <v>大同特殊鋼:JSE/大和ﾘﾃｯｸＨ２(特級)</v>
      </c>
    </row>
    <row r="820" ht="15.75" customHeight="1">
      <c r="A820" s="335" t="s">
        <v>2017</v>
      </c>
      <c r="B820" s="336">
        <v>45751.0</v>
      </c>
      <c r="C820" s="335" t="s">
        <v>537</v>
      </c>
      <c r="D820" s="335" t="s">
        <v>1407</v>
      </c>
      <c r="E820" s="337" t="str">
        <f t="shared" si="1"/>
        <v>大同特殊鋼:JSE/第二＠2.3</v>
      </c>
      <c r="F820" s="338" t="s">
        <v>1199</v>
      </c>
      <c r="G820" s="339" t="str">
        <f t="shared" si="2"/>
        <v>大同特殊鋼:JSE/第二＠2.3ＨＳ１(単体H1/電特A/HS))</v>
      </c>
      <c r="H820" s="340">
        <f t="shared" si="3"/>
        <v>41.7</v>
      </c>
      <c r="I820" s="341">
        <v>1.5</v>
      </c>
      <c r="J820" s="332">
        <f>IFERROR(__xludf.DUMMYFUNCTION("IF(IF(COUNTIF(P$2:P819, P820)=0, """", INDEX(H$2:H819,
MAX(FILTER(ROW(H$2:H819) - ROW(H$2) + 1, P$2:P819 = P820))))=""単価"","""",
IF(COUNTIF(P$2:P819, P820)=0, """", INDEX(H$2:H819,
MAX(FILTER(ROW(H$2:H819) - ROW(H$2) + 1, P$2:P819 = P820)))))"),40.2)</f>
        <v>40.2</v>
      </c>
      <c r="N820" s="335" t="str">
        <f>IF(MAXIFS('単価履歴'!$O:$O,'単価履歴'!$E:$E,E820,'単価履歴'!$F:$F,F820)=O820,"●","")</f>
        <v/>
      </c>
      <c r="O820" s="346">
        <v>45751.25431712963</v>
      </c>
      <c r="P820" s="334" t="str">
        <f t="shared" si="4"/>
        <v>大同特殊鋼:JSE/第二＠2.3ＨＳ１(単体H1/電特A/HS))</v>
      </c>
    </row>
    <row r="821" ht="15.75" customHeight="1">
      <c r="A821" s="335" t="s">
        <v>2018</v>
      </c>
      <c r="B821" s="336">
        <v>45751.0</v>
      </c>
      <c r="C821" s="335" t="s">
        <v>537</v>
      </c>
      <c r="D821" s="335" t="s">
        <v>1407</v>
      </c>
      <c r="E821" s="337" t="str">
        <f t="shared" si="1"/>
        <v>大同特殊鋼:JSE/第二＠2.3</v>
      </c>
      <c r="F821" s="338" t="s">
        <v>575</v>
      </c>
      <c r="G821" s="339" t="str">
        <f t="shared" si="2"/>
        <v>大同特殊鋼:JSE/第二＠2.3鋼ダライＡ</v>
      </c>
      <c r="H821" s="340">
        <f t="shared" si="3"/>
        <v>37</v>
      </c>
      <c r="I821" s="341">
        <v>1.5</v>
      </c>
      <c r="J821" s="332">
        <f>IFERROR(__xludf.DUMMYFUNCTION("IF(IF(COUNTIF(P$2:P820, P821)=0, """", INDEX(H$2:H820,
MAX(FILTER(ROW(H$2:H820) - ROW(H$2) + 1, P$2:P820 = P821))))=""単価"","""",
IF(COUNTIF(P$2:P820, P821)=0, """", INDEX(H$2:H820,
MAX(FILTER(ROW(H$2:H820) - ROW(H$2) + 1, P$2:P820 = P821)))))"),35.5)</f>
        <v>35.5</v>
      </c>
      <c r="N821" s="335" t="str">
        <f>IF(MAXIFS('単価履歴'!$O:$O,'単価履歴'!$E:$E,E821,'単価履歴'!$F:$F,F821)=O821,"●","")</f>
        <v/>
      </c>
      <c r="O821" s="346">
        <v>45751.25431712963</v>
      </c>
      <c r="P821" s="334" t="str">
        <f t="shared" si="4"/>
        <v>大同特殊鋼:JSE/第二＠2.3鋼ダライＡ</v>
      </c>
    </row>
    <row r="822" ht="15.75" customHeight="1">
      <c r="A822" s="335" t="s">
        <v>2019</v>
      </c>
      <c r="B822" s="336">
        <v>45751.0</v>
      </c>
      <c r="C822" s="335" t="s">
        <v>537</v>
      </c>
      <c r="D822" s="335" t="s">
        <v>1407</v>
      </c>
      <c r="E822" s="337" t="str">
        <f t="shared" si="1"/>
        <v>大同特殊鋼:JSE/第二＠2.3</v>
      </c>
      <c r="F822" s="338" t="s">
        <v>116</v>
      </c>
      <c r="G822" s="339" t="str">
        <f t="shared" si="2"/>
        <v>大同特殊鋼:JSE/第二＠2.3Ｈ２(特級)</v>
      </c>
      <c r="H822" s="340">
        <f t="shared" si="3"/>
        <v>38.2</v>
      </c>
      <c r="I822" s="341">
        <v>1.5</v>
      </c>
      <c r="J822" s="332">
        <f>IFERROR(__xludf.DUMMYFUNCTION("IF(IF(COUNTIF(P$2:P821, P822)=0, """", INDEX(H$2:H821,
MAX(FILTER(ROW(H$2:H821) - ROW(H$2) + 1, P$2:P821 = P822))))=""単価"","""",
IF(COUNTIF(P$2:P821, P822)=0, """", INDEX(H$2:H821,
MAX(FILTER(ROW(H$2:H821) - ROW(H$2) + 1, P$2:P821 = P822)))))"),36.7)</f>
        <v>36.7</v>
      </c>
      <c r="N822" s="335" t="str">
        <f>IF(MAXIFS('単価履歴'!$O:$O,'単価履歴'!$E:$E,E822,'単価履歴'!$F:$F,F822)=O822,"●","")</f>
        <v/>
      </c>
      <c r="O822" s="346">
        <v>45751.25431712963</v>
      </c>
      <c r="P822" s="334" t="str">
        <f t="shared" si="4"/>
        <v>大同特殊鋼:JSE/第二＠2.3Ｈ２(特級)</v>
      </c>
    </row>
    <row r="823" ht="15.75" customHeight="1">
      <c r="A823" s="335" t="s">
        <v>2020</v>
      </c>
      <c r="B823" s="336">
        <v>45751.0</v>
      </c>
      <c r="C823" s="335" t="s">
        <v>537</v>
      </c>
      <c r="D823" s="335" t="s">
        <v>1410</v>
      </c>
      <c r="E823" s="337" t="str">
        <f t="shared" si="1"/>
        <v>大同特殊鋼:JSE/岐阜＠1.5</v>
      </c>
      <c r="F823" s="338" t="s">
        <v>1199</v>
      </c>
      <c r="G823" s="339" t="str">
        <f t="shared" si="2"/>
        <v>大同特殊鋼:JSE/岐阜＠1.5ＨＳ１(単体H1/電特A/HS))</v>
      </c>
      <c r="H823" s="340">
        <f t="shared" si="3"/>
        <v>42.5</v>
      </c>
      <c r="I823" s="341">
        <v>1.5</v>
      </c>
      <c r="J823" s="332">
        <f>IFERROR(__xludf.DUMMYFUNCTION("IF(IF(COUNTIF(P$2:P822, P823)=0, """", INDEX(H$2:H822,
MAX(FILTER(ROW(H$2:H822) - ROW(H$2) + 1, P$2:P822 = P823))))=""単価"","""",
IF(COUNTIF(P$2:P822, P823)=0, """", INDEX(H$2:H822,
MAX(FILTER(ROW(H$2:H822) - ROW(H$2) + 1, P$2:P822 = P823)))))"),41.0)</f>
        <v>41</v>
      </c>
      <c r="N823" s="335" t="str">
        <f>IF(MAXIFS('単価履歴'!$O:$O,'単価履歴'!$E:$E,E823,'単価履歴'!$F:$F,F823)=O823,"●","")</f>
        <v/>
      </c>
      <c r="O823" s="346">
        <v>45751.25431712963</v>
      </c>
      <c r="P823" s="334" t="str">
        <f t="shared" si="4"/>
        <v>大同特殊鋼:JSE/岐阜＠1.5ＨＳ１(単体H1/電特A/HS))</v>
      </c>
    </row>
    <row r="824" ht="15.75" customHeight="1">
      <c r="A824" s="335" t="s">
        <v>2021</v>
      </c>
      <c r="B824" s="336">
        <v>45751.0</v>
      </c>
      <c r="C824" s="335" t="s">
        <v>537</v>
      </c>
      <c r="D824" s="335" t="s">
        <v>1410</v>
      </c>
      <c r="E824" s="337" t="str">
        <f t="shared" si="1"/>
        <v>大同特殊鋼:JSE/岐阜＠1.5</v>
      </c>
      <c r="F824" s="338" t="s">
        <v>575</v>
      </c>
      <c r="G824" s="339" t="str">
        <f t="shared" si="2"/>
        <v>大同特殊鋼:JSE/岐阜＠1.5鋼ダライＡ</v>
      </c>
      <c r="H824" s="340">
        <f t="shared" si="3"/>
        <v>37.8</v>
      </c>
      <c r="I824" s="341">
        <v>1.5</v>
      </c>
      <c r="J824" s="332">
        <f>IFERROR(__xludf.DUMMYFUNCTION("IF(IF(COUNTIF(P$2:P823, P824)=0, """", INDEX(H$2:H823,
MAX(FILTER(ROW(H$2:H823) - ROW(H$2) + 1, P$2:P823 = P824))))=""単価"","""",
IF(COUNTIF(P$2:P823, P824)=0, """", INDEX(H$2:H823,
MAX(FILTER(ROW(H$2:H823) - ROW(H$2) + 1, P$2:P823 = P824)))))"),36.3)</f>
        <v>36.3</v>
      </c>
      <c r="N824" s="335" t="str">
        <f>IF(MAXIFS('単価履歴'!$O:$O,'単価履歴'!$E:$E,E824,'単価履歴'!$F:$F,F824)=O824,"●","")</f>
        <v/>
      </c>
      <c r="O824" s="346">
        <v>45751.25431712963</v>
      </c>
      <c r="P824" s="334" t="str">
        <f t="shared" si="4"/>
        <v>大同特殊鋼:JSE/岐阜＠1.5鋼ダライＡ</v>
      </c>
    </row>
    <row r="825" ht="15.75" customHeight="1">
      <c r="A825" s="335" t="s">
        <v>2022</v>
      </c>
      <c r="B825" s="336">
        <v>45751.0</v>
      </c>
      <c r="C825" s="335" t="s">
        <v>537</v>
      </c>
      <c r="D825" s="335" t="s">
        <v>1410</v>
      </c>
      <c r="E825" s="337" t="str">
        <f t="shared" si="1"/>
        <v>大同特殊鋼:JSE/岐阜＠1.5</v>
      </c>
      <c r="F825" s="338" t="s">
        <v>116</v>
      </c>
      <c r="G825" s="339" t="str">
        <f t="shared" si="2"/>
        <v>大同特殊鋼:JSE/岐阜＠1.5Ｈ２(特級)</v>
      </c>
      <c r="H825" s="340">
        <f t="shared" si="3"/>
        <v>39</v>
      </c>
      <c r="I825" s="341">
        <v>1.5</v>
      </c>
      <c r="J825" s="332">
        <f>IFERROR(__xludf.DUMMYFUNCTION("IF(IF(COUNTIF(P$2:P824, P825)=0, """", INDEX(H$2:H824,
MAX(FILTER(ROW(H$2:H824) - ROW(H$2) + 1, P$2:P824 = P825))))=""単価"","""",
IF(COUNTIF(P$2:P824, P825)=0, """", INDEX(H$2:H824,
MAX(FILTER(ROW(H$2:H824) - ROW(H$2) + 1, P$2:P824 = P825)))))"),37.5)</f>
        <v>37.5</v>
      </c>
      <c r="N825" s="335" t="str">
        <f>IF(MAXIFS('単価履歴'!$O:$O,'単価履歴'!$E:$E,E825,'単価履歴'!$F:$F,F825)=O825,"●","")</f>
        <v/>
      </c>
      <c r="O825" s="346">
        <v>45751.25431712963</v>
      </c>
      <c r="P825" s="334" t="str">
        <f t="shared" si="4"/>
        <v>大同特殊鋼:JSE/岐阜＠1.5Ｈ２(特級)</v>
      </c>
    </row>
    <row r="826" ht="15.75" customHeight="1">
      <c r="A826" s="335" t="s">
        <v>2023</v>
      </c>
      <c r="B826" s="336">
        <v>45751.0</v>
      </c>
      <c r="C826" s="335" t="s">
        <v>537</v>
      </c>
      <c r="D826" s="335" t="s">
        <v>1404</v>
      </c>
      <c r="E826" s="337" t="str">
        <f t="shared" si="1"/>
        <v>大同特殊鋼:JSE/大和ﾘﾃｯｸ</v>
      </c>
      <c r="F826" s="338" t="s">
        <v>1199</v>
      </c>
      <c r="G826" s="339" t="str">
        <f t="shared" si="2"/>
        <v>大同特殊鋼:JSE/大和ﾘﾃｯｸＨＳ１(単体H1/電特A/HS))</v>
      </c>
      <c r="H826" s="340">
        <f t="shared" si="3"/>
        <v>45.5</v>
      </c>
      <c r="I826" s="341">
        <v>1.5</v>
      </c>
      <c r="J826" s="332">
        <f>IFERROR(__xludf.DUMMYFUNCTION("IF(IF(COUNTIF(P$2:P825, P826)=0, """", INDEX(H$2:H825,
MAX(FILTER(ROW(H$2:H825) - ROW(H$2) + 1, P$2:P825 = P826))))=""単価"","""",
IF(COUNTIF(P$2:P825, P826)=0, """", INDEX(H$2:H825,
MAX(FILTER(ROW(H$2:H825) - ROW(H$2) + 1, P$2:P825 = P826)))))"),44.0)</f>
        <v>44</v>
      </c>
      <c r="N826" s="335" t="str">
        <f>IF(MAXIFS('単価履歴'!$O:$O,'単価履歴'!$E:$E,E826,'単価履歴'!$F:$F,F826)=O826,"●","")</f>
        <v/>
      </c>
      <c r="O826" s="346">
        <v>45751.255578703705</v>
      </c>
      <c r="P826" s="334" t="str">
        <f t="shared" si="4"/>
        <v>大同特殊鋼:JSE/大和ﾘﾃｯｸＨＳ１(単体H1/電特A/HS))</v>
      </c>
    </row>
    <row r="827" ht="15.75" customHeight="1">
      <c r="A827" s="335" t="s">
        <v>2024</v>
      </c>
      <c r="B827" s="336">
        <v>45751.0</v>
      </c>
      <c r="C827" s="335" t="s">
        <v>537</v>
      </c>
      <c r="D827" s="335" t="s">
        <v>1404</v>
      </c>
      <c r="E827" s="337" t="str">
        <f t="shared" si="1"/>
        <v>大同特殊鋼:JSE/大和ﾘﾃｯｸ</v>
      </c>
      <c r="F827" s="338" t="s">
        <v>116</v>
      </c>
      <c r="G827" s="339" t="str">
        <f t="shared" si="2"/>
        <v>大同特殊鋼:JSE/大和ﾘﾃｯｸＨ２(特級)</v>
      </c>
      <c r="H827" s="340">
        <f t="shared" si="3"/>
        <v>42</v>
      </c>
      <c r="I827" s="341">
        <v>1.5</v>
      </c>
      <c r="J827" s="332">
        <f>IFERROR(__xludf.DUMMYFUNCTION("IF(IF(COUNTIF(P$2:P826, P827)=0, """", INDEX(H$2:H826,
MAX(FILTER(ROW(H$2:H826) - ROW(H$2) + 1, P$2:P826 = P827))))=""単価"","""",
IF(COUNTIF(P$2:P826, P827)=0, """", INDEX(H$2:H826,
MAX(FILTER(ROW(H$2:H826) - ROW(H$2) + 1, P$2:P826 = P827)))))"),40.5)</f>
        <v>40.5</v>
      </c>
      <c r="N827" s="335" t="str">
        <f>IF(MAXIFS('単価履歴'!$O:$O,'単価履歴'!$E:$E,E827,'単価履歴'!$F:$F,F827)=O827,"●","")</f>
        <v/>
      </c>
      <c r="O827" s="346">
        <v>45751.255578703705</v>
      </c>
      <c r="P827" s="334" t="str">
        <f t="shared" si="4"/>
        <v>大同特殊鋼:JSE/大和ﾘﾃｯｸＨ２(特級)</v>
      </c>
    </row>
    <row r="828" ht="15.75" customHeight="1">
      <c r="A828" s="335" t="s">
        <v>2025</v>
      </c>
      <c r="B828" s="336">
        <v>45751.0</v>
      </c>
      <c r="C828" s="335" t="s">
        <v>537</v>
      </c>
      <c r="D828" s="335" t="s">
        <v>1404</v>
      </c>
      <c r="E828" s="337" t="str">
        <f t="shared" si="1"/>
        <v>大同特殊鋼:JSE/大和ﾘﾃｯｸ</v>
      </c>
      <c r="F828" s="338" t="s">
        <v>575</v>
      </c>
      <c r="G828" s="339" t="str">
        <f t="shared" si="2"/>
        <v>大同特殊鋼:JSE/大和ﾘﾃｯｸ鋼ダライＡ</v>
      </c>
      <c r="H828" s="340">
        <f t="shared" si="3"/>
        <v>40.8</v>
      </c>
      <c r="I828" s="341">
        <v>1.5</v>
      </c>
      <c r="J828" s="332">
        <f>IFERROR(__xludf.DUMMYFUNCTION("IF(IF(COUNTIF(P$2:P827, P828)=0, """", INDEX(H$2:H827,
MAX(FILTER(ROW(H$2:H827) - ROW(H$2) + 1, P$2:P827 = P828))))=""単価"","""",
IF(COUNTIF(P$2:P827, P828)=0, """", INDEX(H$2:H827,
MAX(FILTER(ROW(H$2:H827) - ROW(H$2) + 1, P$2:P827 = P828)))))"),39.3)</f>
        <v>39.3</v>
      </c>
      <c r="N828" s="335" t="str">
        <f>IF(MAXIFS('単価履歴'!$O:$O,'単価履歴'!$E:$E,E828,'単価履歴'!$F:$F,F828)=O828,"●","")</f>
        <v/>
      </c>
      <c r="O828" s="346">
        <v>45751.255578703705</v>
      </c>
      <c r="P828" s="334" t="str">
        <f t="shared" si="4"/>
        <v>大同特殊鋼:JSE/大和ﾘﾃｯｸ鋼ダライＡ</v>
      </c>
    </row>
    <row r="829" ht="15.75" customHeight="1">
      <c r="A829" s="335" t="s">
        <v>2026</v>
      </c>
      <c r="B829" s="336">
        <v>45751.0</v>
      </c>
      <c r="C829" s="335" t="s">
        <v>537</v>
      </c>
      <c r="D829" s="335" t="s">
        <v>1407</v>
      </c>
      <c r="E829" s="337" t="str">
        <f t="shared" si="1"/>
        <v>大同特殊鋼:JSE/第二＠2.3</v>
      </c>
      <c r="F829" s="338" t="s">
        <v>1199</v>
      </c>
      <c r="G829" s="339" t="str">
        <f t="shared" si="2"/>
        <v>大同特殊鋼:JSE/第二＠2.3ＨＳ１(単体H1/電特A/HS))</v>
      </c>
      <c r="H829" s="340">
        <f t="shared" si="3"/>
        <v>43.2</v>
      </c>
      <c r="I829" s="341">
        <v>1.5</v>
      </c>
      <c r="J829" s="332">
        <f>IFERROR(__xludf.DUMMYFUNCTION("IF(IF(COUNTIF(P$2:P828, P829)=0, """", INDEX(H$2:H828,
MAX(FILTER(ROW(H$2:H828) - ROW(H$2) + 1, P$2:P828 = P829))))=""単価"","""",
IF(COUNTIF(P$2:P828, P829)=0, """", INDEX(H$2:H828,
MAX(FILTER(ROW(H$2:H828) - ROW(H$2) + 1, P$2:P828 = P829)))))"),41.7)</f>
        <v>41.7</v>
      </c>
      <c r="N829" s="335" t="str">
        <f>IF(MAXIFS('単価履歴'!$O:$O,'単価履歴'!$E:$E,E829,'単価履歴'!$F:$F,F829)=O829,"●","")</f>
        <v/>
      </c>
      <c r="O829" s="346">
        <v>45751.255578703705</v>
      </c>
      <c r="P829" s="334" t="str">
        <f t="shared" si="4"/>
        <v>大同特殊鋼:JSE/第二＠2.3ＨＳ１(単体H1/電特A/HS))</v>
      </c>
    </row>
    <row r="830" ht="15.75" customHeight="1">
      <c r="A830" s="335" t="s">
        <v>2027</v>
      </c>
      <c r="B830" s="336">
        <v>45751.0</v>
      </c>
      <c r="C830" s="335" t="s">
        <v>537</v>
      </c>
      <c r="D830" s="335" t="s">
        <v>1407</v>
      </c>
      <c r="E830" s="337" t="str">
        <f t="shared" si="1"/>
        <v>大同特殊鋼:JSE/第二＠2.3</v>
      </c>
      <c r="F830" s="338" t="s">
        <v>116</v>
      </c>
      <c r="G830" s="339" t="str">
        <f t="shared" si="2"/>
        <v>大同特殊鋼:JSE/第二＠2.3Ｈ２(特級)</v>
      </c>
      <c r="H830" s="340">
        <f t="shared" si="3"/>
        <v>39.7</v>
      </c>
      <c r="I830" s="341">
        <v>1.5</v>
      </c>
      <c r="J830" s="332">
        <f>IFERROR(__xludf.DUMMYFUNCTION("IF(IF(COUNTIF(P$2:P829, P830)=0, """", INDEX(H$2:H829,
MAX(FILTER(ROW(H$2:H829) - ROW(H$2) + 1, P$2:P829 = P830))))=""単価"","""",
IF(COUNTIF(P$2:P829, P830)=0, """", INDEX(H$2:H829,
MAX(FILTER(ROW(H$2:H829) - ROW(H$2) + 1, P$2:P829 = P830)))))"),38.2)</f>
        <v>38.2</v>
      </c>
      <c r="N830" s="335" t="str">
        <f>IF(MAXIFS('単価履歴'!$O:$O,'単価履歴'!$E:$E,E830,'単価履歴'!$F:$F,F830)=O830,"●","")</f>
        <v/>
      </c>
      <c r="O830" s="346">
        <v>45751.255578703705</v>
      </c>
      <c r="P830" s="334" t="str">
        <f t="shared" si="4"/>
        <v>大同特殊鋼:JSE/第二＠2.3Ｈ２(特級)</v>
      </c>
    </row>
    <row r="831" ht="15.75" customHeight="1">
      <c r="A831" s="335" t="s">
        <v>2028</v>
      </c>
      <c r="B831" s="336">
        <v>45751.0</v>
      </c>
      <c r="C831" s="335" t="s">
        <v>537</v>
      </c>
      <c r="D831" s="335" t="s">
        <v>1407</v>
      </c>
      <c r="E831" s="337" t="str">
        <f t="shared" si="1"/>
        <v>大同特殊鋼:JSE/第二＠2.3</v>
      </c>
      <c r="F831" s="338" t="s">
        <v>575</v>
      </c>
      <c r="G831" s="339" t="str">
        <f t="shared" si="2"/>
        <v>大同特殊鋼:JSE/第二＠2.3鋼ダライＡ</v>
      </c>
      <c r="H831" s="340">
        <f t="shared" si="3"/>
        <v>38.5</v>
      </c>
      <c r="I831" s="341">
        <v>1.5</v>
      </c>
      <c r="J831" s="332">
        <f>IFERROR(__xludf.DUMMYFUNCTION("IF(IF(COUNTIF(P$2:P830, P831)=0, """", INDEX(H$2:H830,
MAX(FILTER(ROW(H$2:H830) - ROW(H$2) + 1, P$2:P830 = P831))))=""単価"","""",
IF(COUNTIF(P$2:P830, P831)=0, """", INDEX(H$2:H830,
MAX(FILTER(ROW(H$2:H830) - ROW(H$2) + 1, P$2:P830 = P831)))))"),37.0)</f>
        <v>37</v>
      </c>
      <c r="N831" s="335" t="str">
        <f>IF(MAXIFS('単価履歴'!$O:$O,'単価履歴'!$E:$E,E831,'単価履歴'!$F:$F,F831)=O831,"●","")</f>
        <v/>
      </c>
      <c r="O831" s="346">
        <v>45751.255578703705</v>
      </c>
      <c r="P831" s="334" t="str">
        <f t="shared" si="4"/>
        <v>大同特殊鋼:JSE/第二＠2.3鋼ダライＡ</v>
      </c>
    </row>
    <row r="832" ht="15.75" customHeight="1">
      <c r="A832" s="335" t="s">
        <v>2029</v>
      </c>
      <c r="B832" s="336">
        <v>45751.0</v>
      </c>
      <c r="C832" s="335" t="s">
        <v>537</v>
      </c>
      <c r="D832" s="335" t="s">
        <v>1410</v>
      </c>
      <c r="E832" s="337" t="str">
        <f t="shared" si="1"/>
        <v>大同特殊鋼:JSE/岐阜＠1.5</v>
      </c>
      <c r="F832" s="338" t="s">
        <v>1199</v>
      </c>
      <c r="G832" s="339" t="str">
        <f t="shared" si="2"/>
        <v>大同特殊鋼:JSE/岐阜＠1.5ＨＳ１(単体H1/電特A/HS))</v>
      </c>
      <c r="H832" s="340">
        <f t="shared" si="3"/>
        <v>44</v>
      </c>
      <c r="I832" s="341">
        <v>1.5</v>
      </c>
      <c r="J832" s="332">
        <f>IFERROR(__xludf.DUMMYFUNCTION("IF(IF(COUNTIF(P$2:P831, P832)=0, """", INDEX(H$2:H831,
MAX(FILTER(ROW(H$2:H831) - ROW(H$2) + 1, P$2:P831 = P832))))=""単価"","""",
IF(COUNTIF(P$2:P831, P832)=0, """", INDEX(H$2:H831,
MAX(FILTER(ROW(H$2:H831) - ROW(H$2) + 1, P$2:P831 = P832)))))"),42.5)</f>
        <v>42.5</v>
      </c>
      <c r="N832" s="335" t="str">
        <f>IF(MAXIFS('単価履歴'!$O:$O,'単価履歴'!$E:$E,E832,'単価履歴'!$F:$F,F832)=O832,"●","")</f>
        <v/>
      </c>
      <c r="O832" s="346">
        <v>45751.255578703705</v>
      </c>
      <c r="P832" s="334" t="str">
        <f t="shared" si="4"/>
        <v>大同特殊鋼:JSE/岐阜＠1.5ＨＳ１(単体H1/電特A/HS))</v>
      </c>
    </row>
    <row r="833" ht="15.75" customHeight="1">
      <c r="A833" s="335" t="s">
        <v>2030</v>
      </c>
      <c r="B833" s="336">
        <v>45751.0</v>
      </c>
      <c r="C833" s="335" t="s">
        <v>537</v>
      </c>
      <c r="D833" s="335" t="s">
        <v>1410</v>
      </c>
      <c r="E833" s="337" t="str">
        <f t="shared" si="1"/>
        <v>大同特殊鋼:JSE/岐阜＠1.5</v>
      </c>
      <c r="F833" s="338" t="s">
        <v>116</v>
      </c>
      <c r="G833" s="339" t="str">
        <f t="shared" si="2"/>
        <v>大同特殊鋼:JSE/岐阜＠1.5Ｈ２(特級)</v>
      </c>
      <c r="H833" s="340">
        <f t="shared" si="3"/>
        <v>40.5</v>
      </c>
      <c r="I833" s="341">
        <v>1.5</v>
      </c>
      <c r="J833" s="332">
        <f>IFERROR(__xludf.DUMMYFUNCTION("IF(IF(COUNTIF(P$2:P832, P833)=0, """", INDEX(H$2:H832,
MAX(FILTER(ROW(H$2:H832) - ROW(H$2) + 1, P$2:P832 = P833))))=""単価"","""",
IF(COUNTIF(P$2:P832, P833)=0, """", INDEX(H$2:H832,
MAX(FILTER(ROW(H$2:H832) - ROW(H$2) + 1, P$2:P832 = P833)))))"),39.0)</f>
        <v>39</v>
      </c>
      <c r="N833" s="335" t="str">
        <f>IF(MAXIFS('単価履歴'!$O:$O,'単価履歴'!$E:$E,E833,'単価履歴'!$F:$F,F833)=O833,"●","")</f>
        <v/>
      </c>
      <c r="O833" s="346">
        <v>45751.255578703705</v>
      </c>
      <c r="P833" s="334" t="str">
        <f t="shared" si="4"/>
        <v>大同特殊鋼:JSE/岐阜＠1.5Ｈ２(特級)</v>
      </c>
    </row>
    <row r="834" ht="15.75" customHeight="1">
      <c r="A834" s="335" t="s">
        <v>2031</v>
      </c>
      <c r="B834" s="336">
        <v>45751.0</v>
      </c>
      <c r="C834" s="335" t="s">
        <v>537</v>
      </c>
      <c r="D834" s="335" t="s">
        <v>1410</v>
      </c>
      <c r="E834" s="337" t="str">
        <f t="shared" si="1"/>
        <v>大同特殊鋼:JSE/岐阜＠1.5</v>
      </c>
      <c r="F834" s="338" t="s">
        <v>575</v>
      </c>
      <c r="G834" s="339" t="str">
        <f t="shared" si="2"/>
        <v>大同特殊鋼:JSE/岐阜＠1.5鋼ダライＡ</v>
      </c>
      <c r="H834" s="340">
        <f t="shared" si="3"/>
        <v>39.3</v>
      </c>
      <c r="I834" s="341">
        <v>1.5</v>
      </c>
      <c r="J834" s="332">
        <f>IFERROR(__xludf.DUMMYFUNCTION("IF(IF(COUNTIF(P$2:P833, P834)=0, """", INDEX(H$2:H833,
MAX(FILTER(ROW(H$2:H833) - ROW(H$2) + 1, P$2:P833 = P834))))=""単価"","""",
IF(COUNTIF(P$2:P833, P834)=0, """", INDEX(H$2:H833,
MAX(FILTER(ROW(H$2:H833) - ROW(H$2) + 1, P$2:P833 = P834)))))"),37.8)</f>
        <v>37.8</v>
      </c>
      <c r="N834" s="335" t="str">
        <f>IF(MAXIFS('単価履歴'!$O:$O,'単価履歴'!$E:$E,E834,'単価履歴'!$F:$F,F834)=O834,"●","")</f>
        <v/>
      </c>
      <c r="O834" s="346">
        <v>45751.255578703705</v>
      </c>
      <c r="P834" s="334" t="str">
        <f t="shared" si="4"/>
        <v>大同特殊鋼:JSE/岐阜＠1.5鋼ダライＡ</v>
      </c>
    </row>
    <row r="835" ht="15.75" customHeight="1">
      <c r="A835" s="335" t="s">
        <v>2032</v>
      </c>
      <c r="B835" s="336">
        <v>45751.0</v>
      </c>
      <c r="C835" s="335" t="s">
        <v>12</v>
      </c>
      <c r="D835" s="335" t="s">
        <v>53</v>
      </c>
      <c r="E835" s="337" t="str">
        <f t="shared" si="1"/>
        <v>山陽特殊:MM</v>
      </c>
      <c r="F835" s="338" t="s">
        <v>1199</v>
      </c>
      <c r="G835" s="339" t="str">
        <f t="shared" si="2"/>
        <v>山陽特殊:MMＨＳ１(単体H1/電特A/HS))</v>
      </c>
      <c r="H835" s="340">
        <f t="shared" si="3"/>
        <v>47.5</v>
      </c>
      <c r="I835" s="341">
        <v>1.5</v>
      </c>
      <c r="J835" s="332">
        <f>IFERROR(__xludf.DUMMYFUNCTION("IF(IF(COUNTIF(P$2:P834, P835)=0, """", INDEX(H$2:H834,
MAX(FILTER(ROW(H$2:H834) - ROW(H$2) + 1, P$2:P834 = P835))))=""単価"","""",
IF(COUNTIF(P$2:P834, P835)=0, """", INDEX(H$2:H834,
MAX(FILTER(ROW(H$2:H834) - ROW(H$2) + 1, P$2:P834 = P835)))))"),46.0)</f>
        <v>46</v>
      </c>
      <c r="N835" s="335" t="str">
        <f>IF(MAXIFS('単価履歴'!$O:$O,'単価履歴'!$E:$E,E835,'単価履歴'!$F:$F,F835)=O835,"●","")</f>
        <v/>
      </c>
      <c r="O835" s="346">
        <v>45754.27726851852</v>
      </c>
      <c r="P835" s="334" t="str">
        <f t="shared" si="4"/>
        <v>山陽特殊:MMＨＳ１(単体H1/電特A/HS))</v>
      </c>
    </row>
    <row r="836" ht="15.75" customHeight="1">
      <c r="A836" s="335" t="s">
        <v>2033</v>
      </c>
      <c r="B836" s="336">
        <v>45751.0</v>
      </c>
      <c r="C836" s="335" t="s">
        <v>12</v>
      </c>
      <c r="D836" s="335" t="s">
        <v>53</v>
      </c>
      <c r="E836" s="337" t="str">
        <f t="shared" si="1"/>
        <v>山陽特殊:MM</v>
      </c>
      <c r="F836" s="338" t="s">
        <v>101</v>
      </c>
      <c r="G836" s="339" t="str">
        <f t="shared" si="2"/>
        <v>山陽特殊:MMＨＳ２</v>
      </c>
      <c r="H836" s="340">
        <f t="shared" si="3"/>
        <v>47.3</v>
      </c>
      <c r="I836" s="341">
        <v>1.5</v>
      </c>
      <c r="J836" s="332">
        <f>IFERROR(__xludf.DUMMYFUNCTION("IF(IF(COUNTIF(P$2:P835, P836)=0, """", INDEX(H$2:H835,
MAX(FILTER(ROW(H$2:H835) - ROW(H$2) + 1, P$2:P835 = P836))))=""単価"","""",
IF(COUNTIF(P$2:P835, P836)=0, """", INDEX(H$2:H835,
MAX(FILTER(ROW(H$2:H835) - ROW(H$2) + 1, P$2:P835 = P836)))))"),45.8)</f>
        <v>45.8</v>
      </c>
      <c r="N836" s="335" t="str">
        <f>IF(MAXIFS('単価履歴'!$O:$O,'単価履歴'!$E:$E,E836,'単価履歴'!$F:$F,F836)=O836,"●","")</f>
        <v/>
      </c>
      <c r="O836" s="346">
        <v>45754.27726851852</v>
      </c>
      <c r="P836" s="334" t="str">
        <f t="shared" si="4"/>
        <v>山陽特殊:MMＨＳ２</v>
      </c>
    </row>
    <row r="837" ht="15.75" customHeight="1">
      <c r="A837" s="335" t="s">
        <v>2034</v>
      </c>
      <c r="B837" s="336">
        <v>45751.0</v>
      </c>
      <c r="C837" s="335" t="s">
        <v>12</v>
      </c>
      <c r="D837" s="335" t="s">
        <v>53</v>
      </c>
      <c r="E837" s="337" t="str">
        <f t="shared" si="1"/>
        <v>山陽特殊:MM</v>
      </c>
      <c r="F837" s="338" t="s">
        <v>105</v>
      </c>
      <c r="G837" s="339" t="str">
        <f t="shared" si="2"/>
        <v>山陽特殊:MMＨＳ３</v>
      </c>
      <c r="H837" s="340">
        <f t="shared" si="3"/>
        <v>45.3</v>
      </c>
      <c r="I837" s="341">
        <v>1.5</v>
      </c>
      <c r="J837" s="332">
        <f>IFERROR(__xludf.DUMMYFUNCTION("IF(IF(COUNTIF(P$2:P836, P837)=0, """", INDEX(H$2:H836,
MAX(FILTER(ROW(H$2:H836) - ROW(H$2) + 1, P$2:P836 = P837))))=""単価"","""",
IF(COUNTIF(P$2:P836, P837)=0, """", INDEX(H$2:H836,
MAX(FILTER(ROW(H$2:H836) - ROW(H$2) + 1, P$2:P836 = P837)))))"),43.8)</f>
        <v>43.8</v>
      </c>
      <c r="N837" s="335" t="str">
        <f>IF(MAXIFS('単価履歴'!$O:$O,'単価履歴'!$E:$E,E837,'単価履歴'!$F:$F,F837)=O837,"●","")</f>
        <v/>
      </c>
      <c r="O837" s="346">
        <v>45754.27726851852</v>
      </c>
      <c r="P837" s="334" t="str">
        <f t="shared" si="4"/>
        <v>山陽特殊:MMＨＳ３</v>
      </c>
    </row>
    <row r="838" ht="15.75" customHeight="1">
      <c r="A838" s="335" t="s">
        <v>2035</v>
      </c>
      <c r="B838" s="336">
        <v>45751.0</v>
      </c>
      <c r="C838" s="335" t="s">
        <v>12</v>
      </c>
      <c r="D838" s="335" t="s">
        <v>53</v>
      </c>
      <c r="E838" s="337" t="str">
        <f t="shared" si="1"/>
        <v>山陽特殊:MM</v>
      </c>
      <c r="F838" s="338" t="s">
        <v>122</v>
      </c>
      <c r="G838" s="339" t="str">
        <f t="shared" si="2"/>
        <v>山陽特殊:MMＬ１(2級)</v>
      </c>
      <c r="H838" s="340">
        <f t="shared" si="3"/>
        <v>2.5</v>
      </c>
      <c r="I838" s="341">
        <v>1.5</v>
      </c>
      <c r="J838" s="332">
        <f>IFERROR(__xludf.DUMMYFUNCTION("IF(IF(COUNTIF(P$2:P837, P838)=0, """", INDEX(H$2:H837,
MAX(FILTER(ROW(H$2:H837) - ROW(H$2) + 1, P$2:P837 = P838))))=""単価"","""",
IF(COUNTIF(P$2:P837, P838)=0, """", INDEX(H$2:H837,
MAX(FILTER(ROW(H$2:H837) - ROW(H$2) + 1, P$2:P837 = P838)))))"),1.0)</f>
        <v>1</v>
      </c>
      <c r="N838" s="335" t="str">
        <f>IF(MAXIFS('単価履歴'!$O:$O,'単価履歴'!$E:$E,E838,'単価履歴'!$F:$F,F838)=O838,"●","")</f>
        <v/>
      </c>
      <c r="O838" s="346">
        <v>45754.27726851852</v>
      </c>
      <c r="P838" s="334" t="str">
        <f t="shared" si="4"/>
        <v>山陽特殊:MMＬ１(2級)</v>
      </c>
    </row>
    <row r="839" ht="15.75" customHeight="1">
      <c r="A839" s="335" t="s">
        <v>2036</v>
      </c>
      <c r="B839" s="336">
        <v>45751.0</v>
      </c>
      <c r="C839" s="335" t="s">
        <v>22</v>
      </c>
      <c r="D839" s="335" t="s">
        <v>47</v>
      </c>
      <c r="E839" s="337" t="str">
        <f t="shared" si="1"/>
        <v>栗本鐵工:豊通</v>
      </c>
      <c r="F839" s="338" t="s">
        <v>1199</v>
      </c>
      <c r="G839" s="339" t="str">
        <f t="shared" si="2"/>
        <v>栗本鐵工:豊通ＨＳ１(単体H1/電特A/HS))</v>
      </c>
      <c r="H839" s="340">
        <f t="shared" si="3"/>
        <v>48.8</v>
      </c>
      <c r="I839" s="341">
        <v>1.0</v>
      </c>
      <c r="J839" s="332">
        <f>IFERROR(__xludf.DUMMYFUNCTION("IF(IF(COUNTIF(P$2:P838, P839)=0, """", INDEX(H$2:H838,
MAX(FILTER(ROW(H$2:H838) - ROW(H$2) + 1, P$2:P838 = P839))))=""単価"","""",
IF(COUNTIF(P$2:P838, P839)=0, """", INDEX(H$2:H838,
MAX(FILTER(ROW(H$2:H838) - ROW(H$2) + 1, P$2:P838 = P839)))))"),47.8)</f>
        <v>47.8</v>
      </c>
      <c r="N839" s="335" t="str">
        <f>IF(MAXIFS('単価履歴'!$O:$O,'単価履歴'!$E:$E,E839,'単価履歴'!$F:$F,F839)=O839,"●","")</f>
        <v/>
      </c>
      <c r="O839" s="346">
        <v>45754.28003472222</v>
      </c>
      <c r="P839" s="334" t="str">
        <f t="shared" si="4"/>
        <v>栗本鐵工:豊通ＨＳ１(単体H1/電特A/HS))</v>
      </c>
    </row>
    <row r="840" ht="15.75" customHeight="1">
      <c r="A840" s="335" t="s">
        <v>2037</v>
      </c>
      <c r="B840" s="336">
        <v>45751.0</v>
      </c>
      <c r="C840" s="335" t="s">
        <v>22</v>
      </c>
      <c r="D840" s="335" t="s">
        <v>47</v>
      </c>
      <c r="E840" s="337" t="str">
        <f t="shared" si="1"/>
        <v>栗本鐵工:豊通</v>
      </c>
      <c r="F840" s="338" t="s">
        <v>101</v>
      </c>
      <c r="G840" s="339" t="str">
        <f t="shared" si="2"/>
        <v>栗本鐵工:豊通ＨＳ２</v>
      </c>
      <c r="H840" s="340">
        <f t="shared" si="3"/>
        <v>48.5</v>
      </c>
      <c r="I840" s="341">
        <v>1.0</v>
      </c>
      <c r="J840" s="332">
        <f>IFERROR(__xludf.DUMMYFUNCTION("IF(IF(COUNTIF(P$2:P839, P840)=0, """", INDEX(H$2:H839,
MAX(FILTER(ROW(H$2:H839) - ROW(H$2) + 1, P$2:P839 = P840))))=""単価"","""",
IF(COUNTIF(P$2:P839, P840)=0, """", INDEX(H$2:H839,
MAX(FILTER(ROW(H$2:H839) - ROW(H$2) + 1, P$2:P839 = P840)))))"),47.5)</f>
        <v>47.5</v>
      </c>
      <c r="N840" s="335" t="str">
        <f>IF(MAXIFS('単価履歴'!$O:$O,'単価履歴'!$E:$E,E840,'単価履歴'!$F:$F,F840)=O840,"●","")</f>
        <v/>
      </c>
      <c r="O840" s="346">
        <v>45754.28003472222</v>
      </c>
      <c r="P840" s="334" t="str">
        <f t="shared" si="4"/>
        <v>栗本鐵工:豊通ＨＳ２</v>
      </c>
    </row>
    <row r="841" ht="15.75" customHeight="1">
      <c r="A841" s="335" t="s">
        <v>2038</v>
      </c>
      <c r="B841" s="336">
        <v>45751.0</v>
      </c>
      <c r="C841" s="335" t="s">
        <v>22</v>
      </c>
      <c r="D841" s="335" t="s">
        <v>47</v>
      </c>
      <c r="E841" s="337" t="str">
        <f t="shared" si="1"/>
        <v>栗本鐵工:豊通</v>
      </c>
      <c r="F841" s="338" t="s">
        <v>105</v>
      </c>
      <c r="G841" s="339" t="str">
        <f t="shared" si="2"/>
        <v>栗本鐵工:豊通ＨＳ３</v>
      </c>
      <c r="H841" s="340">
        <f t="shared" si="3"/>
        <v>47.6</v>
      </c>
      <c r="I841" s="341">
        <v>1.0</v>
      </c>
      <c r="J841" s="332">
        <f>IFERROR(__xludf.DUMMYFUNCTION("IF(IF(COUNTIF(P$2:P840, P841)=0, """", INDEX(H$2:H840,
MAX(FILTER(ROW(H$2:H840) - ROW(H$2) + 1, P$2:P840 = P841))))=""単価"","""",
IF(COUNTIF(P$2:P840, P841)=0, """", INDEX(H$2:H840,
MAX(FILTER(ROW(H$2:H840) - ROW(H$2) + 1, P$2:P840 = P841)))))"),46.6)</f>
        <v>46.6</v>
      </c>
      <c r="N841" s="335" t="str">
        <f>IF(MAXIFS('単価履歴'!$O:$O,'単価履歴'!$E:$E,E841,'単価履歴'!$F:$F,F841)=O841,"●","")</f>
        <v/>
      </c>
      <c r="O841" s="346">
        <v>45754.28003472222</v>
      </c>
      <c r="P841" s="334" t="str">
        <f t="shared" si="4"/>
        <v>栗本鐵工:豊通ＨＳ３</v>
      </c>
    </row>
    <row r="842" ht="15.75" customHeight="1">
      <c r="A842" s="335" t="s">
        <v>2039</v>
      </c>
      <c r="B842" s="336">
        <v>45756.0</v>
      </c>
      <c r="C842" s="335" t="s">
        <v>535</v>
      </c>
      <c r="D842" s="335" t="s">
        <v>77</v>
      </c>
      <c r="E842" s="337" t="str">
        <f t="shared" si="1"/>
        <v>東鐵名古屋:直納</v>
      </c>
      <c r="F842" s="338" t="s">
        <v>1199</v>
      </c>
      <c r="G842" s="339" t="str">
        <f t="shared" si="2"/>
        <v>東鐵名古屋:直納ＨＳ１(単体H1/電特A/HS))</v>
      </c>
      <c r="H842" s="340">
        <f t="shared" si="3"/>
        <v>44.5</v>
      </c>
      <c r="I842" s="341">
        <v>1.5</v>
      </c>
      <c r="J842" s="332">
        <f>IFERROR(__xludf.DUMMYFUNCTION("IF(IF(COUNTIF(P$2:P841, P842)=0, """", INDEX(H$2:H841,
MAX(FILTER(ROW(H$2:H841) - ROW(H$2) + 1, P$2:P841 = P842))))=""単価"","""",
IF(COUNTIF(P$2:P841, P842)=0, """", INDEX(H$2:H841,
MAX(FILTER(ROW(H$2:H841) - ROW(H$2) + 1, P$2:P841 = P842)))))"),43.0)</f>
        <v>43</v>
      </c>
      <c r="N842" s="335" t="str">
        <f>IF(MAXIFS('単価履歴'!$O:$O,'単価履歴'!$E:$E,E842,'単価履歴'!$F:$F,F842)=O842,"●","")</f>
        <v/>
      </c>
      <c r="O842" s="346">
        <v>45756.26298611111</v>
      </c>
      <c r="P842" s="334" t="str">
        <f t="shared" si="4"/>
        <v>東鐵名古屋:直納ＨＳ１(単体H1/電特A/HS))</v>
      </c>
    </row>
    <row r="843" ht="15.75" customHeight="1">
      <c r="A843" s="335" t="s">
        <v>2040</v>
      </c>
      <c r="B843" s="336">
        <v>45756.0</v>
      </c>
      <c r="C843" s="335" t="s">
        <v>535</v>
      </c>
      <c r="D843" s="335" t="s">
        <v>77</v>
      </c>
      <c r="E843" s="337" t="str">
        <f t="shared" si="1"/>
        <v>東鐵名古屋:直納</v>
      </c>
      <c r="F843" s="338" t="s">
        <v>111</v>
      </c>
      <c r="G843" s="339" t="str">
        <f t="shared" si="2"/>
        <v>東鐵名古屋:直納Ｈ１(特A)</v>
      </c>
      <c r="H843" s="340">
        <f t="shared" si="3"/>
        <v>42.7</v>
      </c>
      <c r="I843" s="341">
        <v>1.5</v>
      </c>
      <c r="J843" s="332">
        <f>IFERROR(__xludf.DUMMYFUNCTION("IF(IF(COUNTIF(P$2:P842, P843)=0, """", INDEX(H$2:H842,
MAX(FILTER(ROW(H$2:H842) - ROW(H$2) + 1, P$2:P842 = P843))))=""単価"","""",
IF(COUNTIF(P$2:P842, P843)=0, """", INDEX(H$2:H842,
MAX(FILTER(ROW(H$2:H842) - ROW(H$2) + 1, P$2:P842 = P843)))))"),41.2)</f>
        <v>41.2</v>
      </c>
      <c r="N843" s="335" t="str">
        <f>IF(MAXIFS('単価履歴'!$O:$O,'単価履歴'!$E:$E,E843,'単価履歴'!$F:$F,F843)=O843,"●","")</f>
        <v/>
      </c>
      <c r="O843" s="346">
        <v>45756.26298611111</v>
      </c>
      <c r="P843" s="334" t="str">
        <f t="shared" si="4"/>
        <v>東鐵名古屋:直納Ｈ１(特A)</v>
      </c>
    </row>
    <row r="844" ht="15.75" customHeight="1">
      <c r="A844" s="335" t="s">
        <v>2041</v>
      </c>
      <c r="B844" s="336">
        <v>45756.0</v>
      </c>
      <c r="C844" s="335" t="s">
        <v>535</v>
      </c>
      <c r="D844" s="335" t="s">
        <v>77</v>
      </c>
      <c r="E844" s="337" t="str">
        <f t="shared" si="1"/>
        <v>東鐵名古屋:直納</v>
      </c>
      <c r="F844" s="338" t="s">
        <v>116</v>
      </c>
      <c r="G844" s="339" t="str">
        <f t="shared" si="2"/>
        <v>東鐵名古屋:直納Ｈ２(特級)</v>
      </c>
      <c r="H844" s="340">
        <f t="shared" si="3"/>
        <v>42</v>
      </c>
      <c r="I844" s="341">
        <v>1.5</v>
      </c>
      <c r="J844" s="332">
        <f>IFERROR(__xludf.DUMMYFUNCTION("IF(IF(COUNTIF(P$2:P843, P844)=0, """", INDEX(H$2:H843,
MAX(FILTER(ROW(H$2:H843) - ROW(H$2) + 1, P$2:P843 = P844))))=""単価"","""",
IF(COUNTIF(P$2:P843, P844)=0, """", INDEX(H$2:H843,
MAX(FILTER(ROW(H$2:H843) - ROW(H$2) + 1, P$2:P843 = P844)))))"),40.5)</f>
        <v>40.5</v>
      </c>
      <c r="N844" s="335" t="str">
        <f>IF(MAXIFS('単価履歴'!$O:$O,'単価履歴'!$E:$E,E844,'単価履歴'!$F:$F,F844)=O844,"●","")</f>
        <v/>
      </c>
      <c r="O844" s="346">
        <v>45756.26298611111</v>
      </c>
      <c r="P844" s="334" t="str">
        <f t="shared" si="4"/>
        <v>東鐵名古屋:直納Ｈ２(特級)</v>
      </c>
    </row>
    <row r="845" ht="15.75" customHeight="1">
      <c r="A845" s="335" t="s">
        <v>2042</v>
      </c>
      <c r="B845" s="336">
        <v>45756.0</v>
      </c>
      <c r="C845" s="335" t="s">
        <v>535</v>
      </c>
      <c r="D845" s="335" t="s">
        <v>77</v>
      </c>
      <c r="E845" s="337" t="str">
        <f t="shared" si="1"/>
        <v>東鐵名古屋:直納</v>
      </c>
      <c r="F845" s="338" t="s">
        <v>119</v>
      </c>
      <c r="G845" s="339" t="str">
        <f t="shared" si="2"/>
        <v>東鐵名古屋:直納Ｈ３(1級)</v>
      </c>
      <c r="H845" s="340">
        <f t="shared" si="3"/>
        <v>41.5</v>
      </c>
      <c r="I845" s="341">
        <v>1.5</v>
      </c>
      <c r="J845" s="332">
        <f>IFERROR(__xludf.DUMMYFUNCTION("IF(IF(COUNTIF(P$2:P844, P845)=0, """", INDEX(H$2:H844,
MAX(FILTER(ROW(H$2:H844) - ROW(H$2) + 1, P$2:P844 = P845))))=""単価"","""",
IF(COUNTIF(P$2:P844, P845)=0, """", INDEX(H$2:H844,
MAX(FILTER(ROW(H$2:H844) - ROW(H$2) + 1, P$2:P844 = P845)))))"),40.0)</f>
        <v>40</v>
      </c>
      <c r="N845" s="335" t="str">
        <f>IF(MAXIFS('単価履歴'!$O:$O,'単価履歴'!$E:$E,E845,'単価履歴'!$F:$F,F845)=O845,"●","")</f>
        <v/>
      </c>
      <c r="O845" s="346">
        <v>45756.26298611111</v>
      </c>
      <c r="P845" s="334" t="str">
        <f t="shared" si="4"/>
        <v>東鐵名古屋:直納Ｈ３(1級)</v>
      </c>
    </row>
    <row r="846" ht="15.75" customHeight="1">
      <c r="A846" s="335" t="s">
        <v>2043</v>
      </c>
      <c r="B846" s="336">
        <v>45756.0</v>
      </c>
      <c r="C846" s="335" t="s">
        <v>535</v>
      </c>
      <c r="D846" s="335" t="s">
        <v>77</v>
      </c>
      <c r="E846" s="337" t="str">
        <f t="shared" si="1"/>
        <v>東鐵名古屋:直納</v>
      </c>
      <c r="F846" s="338" t="s">
        <v>122</v>
      </c>
      <c r="G846" s="339" t="str">
        <f t="shared" si="2"/>
        <v>東鐵名古屋:直納Ｌ１(2級)</v>
      </c>
      <c r="H846" s="340">
        <f t="shared" si="3"/>
        <v>40</v>
      </c>
      <c r="I846" s="341">
        <v>1.5</v>
      </c>
      <c r="J846" s="332">
        <f>IFERROR(__xludf.DUMMYFUNCTION("IF(IF(COUNTIF(P$2:P845, P846)=0, """", INDEX(H$2:H845,
MAX(FILTER(ROW(H$2:H845) - ROW(H$2) + 1, P$2:P845 = P846))))=""単価"","""",
IF(COUNTIF(P$2:P845, P846)=0, """", INDEX(H$2:H845,
MAX(FILTER(ROW(H$2:H845) - ROW(H$2) + 1, P$2:P845 = P846)))))"),38.5)</f>
        <v>38.5</v>
      </c>
      <c r="N846" s="335" t="str">
        <f>IF(MAXIFS('単価履歴'!$O:$O,'単価履歴'!$E:$E,E846,'単価履歴'!$F:$F,F846)=O846,"●","")</f>
        <v/>
      </c>
      <c r="O846" s="346">
        <v>45756.26298611111</v>
      </c>
      <c r="P846" s="334" t="str">
        <f t="shared" si="4"/>
        <v>東鐵名古屋:直納Ｌ１(2級)</v>
      </c>
    </row>
    <row r="847" ht="15.75" customHeight="1">
      <c r="A847" s="335" t="s">
        <v>2044</v>
      </c>
      <c r="B847" s="336">
        <v>45756.0</v>
      </c>
      <c r="C847" s="335" t="s">
        <v>535</v>
      </c>
      <c r="D847" s="335" t="s">
        <v>77</v>
      </c>
      <c r="E847" s="337" t="str">
        <f t="shared" si="1"/>
        <v>東鐵名古屋:直納</v>
      </c>
      <c r="F847" s="338" t="s">
        <v>573</v>
      </c>
      <c r="G847" s="339" t="str">
        <f t="shared" si="2"/>
        <v>東鐵名古屋:直納Ｌ２(H4･級外･L1ﾊﾞﾗ)</v>
      </c>
      <c r="H847" s="340">
        <f t="shared" si="3"/>
        <v>37</v>
      </c>
      <c r="I847" s="341">
        <v>1.5</v>
      </c>
      <c r="J847" s="332">
        <f>IFERROR(__xludf.DUMMYFUNCTION("IF(IF(COUNTIF(P$2:P846, P847)=0, """", INDEX(H$2:H846,
MAX(FILTER(ROW(H$2:H846) - ROW(H$2) + 1, P$2:P846 = P847))))=""単価"","""",
IF(COUNTIF(P$2:P846, P847)=0, """", INDEX(H$2:H846,
MAX(FILTER(ROW(H$2:H846) - ROW(H$2) + 1, P$2:P846 = P847)))))"),35.5)</f>
        <v>35.5</v>
      </c>
      <c r="N847" s="335" t="str">
        <f>IF(MAXIFS('単価履歴'!$O:$O,'単価履歴'!$E:$E,E847,'単価履歴'!$F:$F,F847)=O847,"●","")</f>
        <v/>
      </c>
      <c r="O847" s="346">
        <v>45756.26298611111</v>
      </c>
      <c r="P847" s="334" t="str">
        <f t="shared" si="4"/>
        <v>東鐵名古屋:直納Ｌ２(H4･級外･L1ﾊﾞﾗ)</v>
      </c>
    </row>
    <row r="848" ht="15.75" customHeight="1">
      <c r="A848" s="335" t="s">
        <v>2045</v>
      </c>
      <c r="B848" s="336">
        <v>45756.0</v>
      </c>
      <c r="C848" s="335" t="s">
        <v>535</v>
      </c>
      <c r="D848" s="335" t="s">
        <v>77</v>
      </c>
      <c r="E848" s="337" t="str">
        <f t="shared" si="1"/>
        <v>東鐵名古屋:直納</v>
      </c>
      <c r="F848" s="338" t="s">
        <v>145</v>
      </c>
      <c r="G848" s="339" t="str">
        <f t="shared" si="2"/>
        <v>東鐵名古屋:直納シュレＡ</v>
      </c>
      <c r="H848" s="340">
        <f t="shared" si="3"/>
        <v>43</v>
      </c>
      <c r="I848" s="341">
        <v>1.5</v>
      </c>
      <c r="J848" s="332">
        <f>IFERROR(__xludf.DUMMYFUNCTION("IF(IF(COUNTIF(P$2:P847, P848)=0, """", INDEX(H$2:H847,
MAX(FILTER(ROW(H$2:H847) - ROW(H$2) + 1, P$2:P847 = P848))))=""単価"","""",
IF(COUNTIF(P$2:P847, P848)=0, """", INDEX(H$2:H847,
MAX(FILTER(ROW(H$2:H847) - ROW(H$2) + 1, P$2:P847 = P848)))))"),41.5)</f>
        <v>41.5</v>
      </c>
      <c r="N848" s="335" t="str">
        <f>IF(MAXIFS('単価履歴'!$O:$O,'単価履歴'!$E:$E,E848,'単価履歴'!$F:$F,F848)=O848,"●","")</f>
        <v/>
      </c>
      <c r="O848" s="346">
        <v>45756.26298611111</v>
      </c>
      <c r="P848" s="334" t="str">
        <f t="shared" si="4"/>
        <v>東鐵名古屋:直納シュレＡ</v>
      </c>
    </row>
    <row r="849" ht="15.75" customHeight="1">
      <c r="A849" s="335" t="s">
        <v>2046</v>
      </c>
      <c r="B849" s="336">
        <v>45756.0</v>
      </c>
      <c r="C849" s="335" t="s">
        <v>535</v>
      </c>
      <c r="D849" s="335" t="s">
        <v>77</v>
      </c>
      <c r="E849" s="337" t="str">
        <f t="shared" si="1"/>
        <v>東鐵名古屋:直納</v>
      </c>
      <c r="F849" s="338" t="s">
        <v>151</v>
      </c>
      <c r="G849" s="339" t="str">
        <f t="shared" si="2"/>
        <v>東鐵名古屋:直納シュレＣ</v>
      </c>
      <c r="H849" s="340">
        <f t="shared" si="3"/>
        <v>42.5</v>
      </c>
      <c r="I849" s="341">
        <v>1.5</v>
      </c>
      <c r="J849" s="332">
        <f>IFERROR(__xludf.DUMMYFUNCTION("IF(IF(COUNTIF(P$2:P848, P849)=0, """", INDEX(H$2:H848,
MAX(FILTER(ROW(H$2:H848) - ROW(H$2) + 1, P$2:P848 = P849))))=""単価"","""",
IF(COUNTIF(P$2:P848, P849)=0, """", INDEX(H$2:H848,
MAX(FILTER(ROW(H$2:H848) - ROW(H$2) + 1, P$2:P848 = P849)))))"),41.0)</f>
        <v>41</v>
      </c>
      <c r="N849" s="335" t="str">
        <f>IF(MAXIFS('単価履歴'!$O:$O,'単価履歴'!$E:$E,E849,'単価履歴'!$F:$F,F849)=O849,"●","")</f>
        <v/>
      </c>
      <c r="O849" s="346">
        <v>45756.26298611111</v>
      </c>
      <c r="P849" s="334" t="str">
        <f t="shared" si="4"/>
        <v>東鐵名古屋:直納シュレＣ</v>
      </c>
    </row>
    <row r="850" ht="15.75" customHeight="1">
      <c r="A850" s="335" t="s">
        <v>2047</v>
      </c>
      <c r="B850" s="336">
        <v>45756.0</v>
      </c>
      <c r="C850" s="335" t="s">
        <v>536</v>
      </c>
      <c r="D850" s="335" t="s">
        <v>77</v>
      </c>
      <c r="E850" s="337" t="str">
        <f t="shared" si="1"/>
        <v>東鐵田原:直納</v>
      </c>
      <c r="F850" s="338" t="s">
        <v>1199</v>
      </c>
      <c r="G850" s="339" t="str">
        <f t="shared" si="2"/>
        <v>東鐵田原:直納ＨＳ１(単体H1/電特A/HS))</v>
      </c>
      <c r="H850" s="340">
        <f t="shared" si="3"/>
        <v>45.5</v>
      </c>
      <c r="I850" s="341">
        <v>1.0</v>
      </c>
      <c r="J850" s="332">
        <f>IFERROR(__xludf.DUMMYFUNCTION("IF(IF(COUNTIF(P$2:P849, P850)=0, """", INDEX(H$2:H849,
MAX(FILTER(ROW(H$2:H849) - ROW(H$2) + 1, P$2:P849 = P850))))=""単価"","""",
IF(COUNTIF(P$2:P849, P850)=0, """", INDEX(H$2:H849,
MAX(FILTER(ROW(H$2:H849) - ROW(H$2) + 1, P$2:P849 = P850)))))"),44.5)</f>
        <v>44.5</v>
      </c>
      <c r="N850" s="335" t="str">
        <f>IF(MAXIFS('単価履歴'!$O:$O,'単価履歴'!$E:$E,E850,'単価履歴'!$F:$F,F850)=O850,"●","")</f>
        <v/>
      </c>
      <c r="O850" s="346">
        <v>45756.263333333336</v>
      </c>
      <c r="P850" s="334" t="str">
        <f t="shared" si="4"/>
        <v>東鐵田原:直納ＨＳ１(単体H1/電特A/HS))</v>
      </c>
    </row>
    <row r="851" ht="15.75" customHeight="1">
      <c r="A851" s="335" t="s">
        <v>2048</v>
      </c>
      <c r="B851" s="336">
        <v>45756.0</v>
      </c>
      <c r="C851" s="335" t="s">
        <v>536</v>
      </c>
      <c r="D851" s="335" t="s">
        <v>77</v>
      </c>
      <c r="E851" s="337" t="str">
        <f t="shared" si="1"/>
        <v>東鐵田原:直納</v>
      </c>
      <c r="F851" s="338" t="s">
        <v>111</v>
      </c>
      <c r="G851" s="339" t="str">
        <f t="shared" si="2"/>
        <v>東鐵田原:直納Ｈ１(特A)</v>
      </c>
      <c r="H851" s="340">
        <f t="shared" si="3"/>
        <v>44.7</v>
      </c>
      <c r="I851" s="341">
        <v>1.0</v>
      </c>
      <c r="J851" s="332">
        <f>IFERROR(__xludf.DUMMYFUNCTION("IF(IF(COUNTIF(P$2:P850, P851)=0, """", INDEX(H$2:H850,
MAX(FILTER(ROW(H$2:H850) - ROW(H$2) + 1, P$2:P850 = P851))))=""単価"","""",
IF(COUNTIF(P$2:P850, P851)=0, """", INDEX(H$2:H850,
MAX(FILTER(ROW(H$2:H850) - ROW(H$2) + 1, P$2:P850 = P851)))))"),43.7)</f>
        <v>43.7</v>
      </c>
      <c r="N851" s="335" t="str">
        <f>IF(MAXIFS('単価履歴'!$O:$O,'単価履歴'!$E:$E,E851,'単価履歴'!$F:$F,F851)=O851,"●","")</f>
        <v/>
      </c>
      <c r="O851" s="346">
        <v>45756.263333333336</v>
      </c>
      <c r="P851" s="334" t="str">
        <f t="shared" si="4"/>
        <v>東鐵田原:直納Ｈ１(特A)</v>
      </c>
    </row>
    <row r="852" ht="15.75" customHeight="1">
      <c r="A852" s="335" t="s">
        <v>2049</v>
      </c>
      <c r="B852" s="336">
        <v>45756.0</v>
      </c>
      <c r="C852" s="335" t="s">
        <v>536</v>
      </c>
      <c r="D852" s="335" t="s">
        <v>77</v>
      </c>
      <c r="E852" s="337" t="str">
        <f t="shared" si="1"/>
        <v>東鐵田原:直納</v>
      </c>
      <c r="F852" s="338" t="s">
        <v>116</v>
      </c>
      <c r="G852" s="339" t="str">
        <f t="shared" si="2"/>
        <v>東鐵田原:直納Ｈ２(特級)</v>
      </c>
      <c r="H852" s="340">
        <f t="shared" si="3"/>
        <v>43</v>
      </c>
      <c r="I852" s="341">
        <v>1.0</v>
      </c>
      <c r="J852" s="332">
        <f>IFERROR(__xludf.DUMMYFUNCTION("IF(IF(COUNTIF(P$2:P851, P852)=0, """", INDEX(H$2:H851,
MAX(FILTER(ROW(H$2:H851) - ROW(H$2) + 1, P$2:P851 = P852))))=""単価"","""",
IF(COUNTIF(P$2:P851, P852)=0, """", INDEX(H$2:H851,
MAX(FILTER(ROW(H$2:H851) - ROW(H$2) + 1, P$2:P851 = P852)))))"),42.0)</f>
        <v>42</v>
      </c>
      <c r="N852" s="335" t="str">
        <f>IF(MAXIFS('単価履歴'!$O:$O,'単価履歴'!$E:$E,E852,'単価履歴'!$F:$F,F852)=O852,"●","")</f>
        <v/>
      </c>
      <c r="O852" s="346">
        <v>45756.263333333336</v>
      </c>
      <c r="P852" s="334" t="str">
        <f t="shared" si="4"/>
        <v>東鐵田原:直納Ｈ２(特級)</v>
      </c>
    </row>
    <row r="853" ht="15.75" customHeight="1">
      <c r="A853" s="335" t="s">
        <v>2050</v>
      </c>
      <c r="B853" s="336">
        <v>45756.0</v>
      </c>
      <c r="C853" s="335" t="s">
        <v>536</v>
      </c>
      <c r="D853" s="335" t="s">
        <v>77</v>
      </c>
      <c r="E853" s="337" t="str">
        <f t="shared" si="1"/>
        <v>東鐵田原:直納</v>
      </c>
      <c r="F853" s="338" t="s">
        <v>119</v>
      </c>
      <c r="G853" s="339" t="str">
        <f t="shared" si="2"/>
        <v>東鐵田原:直納Ｈ３(1級)</v>
      </c>
      <c r="H853" s="340">
        <f t="shared" si="3"/>
        <v>42.5</v>
      </c>
      <c r="I853" s="341">
        <v>1.0</v>
      </c>
      <c r="J853" s="332">
        <f>IFERROR(__xludf.DUMMYFUNCTION("IF(IF(COUNTIF(P$2:P852, P853)=0, """", INDEX(H$2:H852,
MAX(FILTER(ROW(H$2:H852) - ROW(H$2) + 1, P$2:P852 = P853))))=""単価"","""",
IF(COUNTIF(P$2:P852, P853)=0, """", INDEX(H$2:H852,
MAX(FILTER(ROW(H$2:H852) - ROW(H$2) + 1, P$2:P852 = P853)))))"),41.5)</f>
        <v>41.5</v>
      </c>
      <c r="N853" s="335" t="str">
        <f>IF(MAXIFS('単価履歴'!$O:$O,'単価履歴'!$E:$E,E853,'単価履歴'!$F:$F,F853)=O853,"●","")</f>
        <v/>
      </c>
      <c r="O853" s="346">
        <v>45756.263333333336</v>
      </c>
      <c r="P853" s="334" t="str">
        <f t="shared" si="4"/>
        <v>東鐵田原:直納Ｈ３(1級)</v>
      </c>
    </row>
    <row r="854" ht="15.75" customHeight="1">
      <c r="A854" s="335" t="s">
        <v>2051</v>
      </c>
      <c r="B854" s="336">
        <v>45756.0</v>
      </c>
      <c r="C854" s="335" t="s">
        <v>536</v>
      </c>
      <c r="D854" s="335" t="s">
        <v>77</v>
      </c>
      <c r="E854" s="337" t="str">
        <f t="shared" si="1"/>
        <v>東鐵田原:直納</v>
      </c>
      <c r="F854" s="338" t="s">
        <v>122</v>
      </c>
      <c r="G854" s="339" t="str">
        <f t="shared" si="2"/>
        <v>東鐵田原:直納Ｌ１(2級)</v>
      </c>
      <c r="H854" s="340">
        <f t="shared" si="3"/>
        <v>41</v>
      </c>
      <c r="I854" s="341">
        <v>1.0</v>
      </c>
      <c r="J854" s="332">
        <f>IFERROR(__xludf.DUMMYFUNCTION("IF(IF(COUNTIF(P$2:P853, P854)=0, """", INDEX(H$2:H853,
MAX(FILTER(ROW(H$2:H853) - ROW(H$2) + 1, P$2:P853 = P854))))=""単価"","""",
IF(COUNTIF(P$2:P853, P854)=0, """", INDEX(H$2:H853,
MAX(FILTER(ROW(H$2:H853) - ROW(H$2) + 1, P$2:P853 = P854)))))"),40.0)</f>
        <v>40</v>
      </c>
      <c r="N854" s="335" t="str">
        <f>IF(MAXIFS('単価履歴'!$O:$O,'単価履歴'!$E:$E,E854,'単価履歴'!$F:$F,F854)=O854,"●","")</f>
        <v/>
      </c>
      <c r="O854" s="346">
        <v>45756.263333333336</v>
      </c>
      <c r="P854" s="334" t="str">
        <f t="shared" si="4"/>
        <v>東鐵田原:直納Ｌ１(2級)</v>
      </c>
    </row>
    <row r="855" ht="15.75" customHeight="1">
      <c r="A855" s="335" t="s">
        <v>2052</v>
      </c>
      <c r="B855" s="336">
        <v>45756.0</v>
      </c>
      <c r="C855" s="335" t="s">
        <v>536</v>
      </c>
      <c r="D855" s="335" t="s">
        <v>77</v>
      </c>
      <c r="E855" s="337" t="str">
        <f t="shared" si="1"/>
        <v>東鐵田原:直納</v>
      </c>
      <c r="F855" s="338" t="s">
        <v>573</v>
      </c>
      <c r="G855" s="339" t="str">
        <f t="shared" si="2"/>
        <v>東鐵田原:直納Ｌ２(H4･級外･L1ﾊﾞﾗ)</v>
      </c>
      <c r="H855" s="340">
        <f t="shared" si="3"/>
        <v>38</v>
      </c>
      <c r="I855" s="341">
        <v>1.0</v>
      </c>
      <c r="J855" s="332">
        <f>IFERROR(__xludf.DUMMYFUNCTION("IF(IF(COUNTIF(P$2:P854, P855)=0, """", INDEX(H$2:H854,
MAX(FILTER(ROW(H$2:H854) - ROW(H$2) + 1, P$2:P854 = P855))))=""単価"","""",
IF(COUNTIF(P$2:P854, P855)=0, """", INDEX(H$2:H854,
MAX(FILTER(ROW(H$2:H854) - ROW(H$2) + 1, P$2:P854 = P855)))))"),37.0)</f>
        <v>37</v>
      </c>
      <c r="N855" s="335" t="str">
        <f>IF(MAXIFS('単価履歴'!$O:$O,'単価履歴'!$E:$E,E855,'単価履歴'!$F:$F,F855)=O855,"●","")</f>
        <v/>
      </c>
      <c r="O855" s="346">
        <v>45756.263333333336</v>
      </c>
      <c r="P855" s="334" t="str">
        <f t="shared" si="4"/>
        <v>東鐵田原:直納Ｌ２(H4･級外･L1ﾊﾞﾗ)</v>
      </c>
    </row>
    <row r="856" ht="15.75" customHeight="1">
      <c r="A856" s="335" t="s">
        <v>2053</v>
      </c>
      <c r="B856" s="336">
        <v>45756.0</v>
      </c>
      <c r="C856" s="335" t="s">
        <v>536</v>
      </c>
      <c r="D856" s="335" t="s">
        <v>77</v>
      </c>
      <c r="E856" s="337" t="str">
        <f t="shared" si="1"/>
        <v>東鐵田原:直納</v>
      </c>
      <c r="F856" s="338" t="s">
        <v>130</v>
      </c>
      <c r="G856" s="339" t="str">
        <f t="shared" si="2"/>
        <v>東鐵田原:直納新断Ａ</v>
      </c>
      <c r="H856" s="340">
        <f t="shared" si="3"/>
        <v>45</v>
      </c>
      <c r="I856" s="341">
        <v>1.0</v>
      </c>
      <c r="J856" s="332">
        <f>IFERROR(__xludf.DUMMYFUNCTION("IF(IF(COUNTIF(P$2:P855, P856)=0, """", INDEX(H$2:H855,
MAX(FILTER(ROW(H$2:H855) - ROW(H$2) + 1, P$2:P855 = P856))))=""単価"","""",
IF(COUNTIF(P$2:P855, P856)=0, """", INDEX(H$2:H855,
MAX(FILTER(ROW(H$2:H855) - ROW(H$2) + 1, P$2:P855 = P856)))))"),44.0)</f>
        <v>44</v>
      </c>
      <c r="N856" s="335" t="str">
        <f>IF(MAXIFS('単価履歴'!$O:$O,'単価履歴'!$E:$E,E856,'単価履歴'!$F:$F,F856)=O856,"●","")</f>
        <v/>
      </c>
      <c r="O856" s="346">
        <v>45756.263333333336</v>
      </c>
      <c r="P856" s="334" t="str">
        <f t="shared" si="4"/>
        <v>東鐵田原:直納新断Ａ</v>
      </c>
    </row>
    <row r="857" ht="15.75" customHeight="1">
      <c r="A857" s="335" t="s">
        <v>2054</v>
      </c>
      <c r="B857" s="336">
        <v>45756.0</v>
      </c>
      <c r="C857" s="335" t="s">
        <v>536</v>
      </c>
      <c r="D857" s="335" t="s">
        <v>77</v>
      </c>
      <c r="E857" s="337" t="str">
        <f t="shared" si="1"/>
        <v>東鐵田原:直納</v>
      </c>
      <c r="F857" s="338" t="s">
        <v>131</v>
      </c>
      <c r="G857" s="339" t="str">
        <f t="shared" si="2"/>
        <v>東鐵田原:直納新断Ｂ</v>
      </c>
      <c r="H857" s="340">
        <f t="shared" si="3"/>
        <v>45</v>
      </c>
      <c r="I857" s="341">
        <v>1.0</v>
      </c>
      <c r="J857" s="332">
        <f>IFERROR(__xludf.DUMMYFUNCTION("IF(IF(COUNTIF(P$2:P856, P857)=0, """", INDEX(H$2:H856,
MAX(FILTER(ROW(H$2:H856) - ROW(H$2) + 1, P$2:P856 = P857))))=""単価"","""",
IF(COUNTIF(P$2:P856, P857)=0, """", INDEX(H$2:H856,
MAX(FILTER(ROW(H$2:H856) - ROW(H$2) + 1, P$2:P856 = P857)))))"),44.0)</f>
        <v>44</v>
      </c>
      <c r="N857" s="335" t="str">
        <f>IF(MAXIFS('単価履歴'!$O:$O,'単価履歴'!$E:$E,E857,'単価履歴'!$F:$F,F857)=O857,"●","")</f>
        <v/>
      </c>
      <c r="O857" s="346">
        <v>45756.263333333336</v>
      </c>
      <c r="P857" s="334" t="str">
        <f t="shared" si="4"/>
        <v>東鐵田原:直納新断Ｂ</v>
      </c>
    </row>
    <row r="858" ht="15.75" customHeight="1">
      <c r="A858" s="335" t="s">
        <v>2055</v>
      </c>
      <c r="B858" s="336">
        <v>45756.0</v>
      </c>
      <c r="C858" s="335" t="s">
        <v>536</v>
      </c>
      <c r="D858" s="335" t="s">
        <v>77</v>
      </c>
      <c r="E858" s="337" t="str">
        <f t="shared" si="1"/>
        <v>東鐵田原:直納</v>
      </c>
      <c r="F858" s="338" t="s">
        <v>575</v>
      </c>
      <c r="G858" s="339" t="str">
        <f t="shared" si="2"/>
        <v>東鐵田原:直納鋼ダライＡ</v>
      </c>
      <c r="H858" s="340">
        <f t="shared" si="3"/>
        <v>41.5</v>
      </c>
      <c r="I858" s="341">
        <v>1.0</v>
      </c>
      <c r="J858" s="332">
        <f>IFERROR(__xludf.DUMMYFUNCTION("IF(IF(COUNTIF(P$2:P857, P858)=0, """", INDEX(H$2:H857,
MAX(FILTER(ROW(H$2:H857) - ROW(H$2) + 1, P$2:P857 = P858))))=""単価"","""",
IF(COUNTIF(P$2:P857, P858)=0, """", INDEX(H$2:H857,
MAX(FILTER(ROW(H$2:H857) - ROW(H$2) + 1, P$2:P857 = P858)))))"),40.5)</f>
        <v>40.5</v>
      </c>
      <c r="N858" s="335" t="str">
        <f>IF(MAXIFS('単価履歴'!$O:$O,'単価履歴'!$E:$E,E858,'単価履歴'!$F:$F,F858)=O858,"●","")</f>
        <v/>
      </c>
      <c r="O858" s="346">
        <v>45756.263333333336</v>
      </c>
      <c r="P858" s="334" t="str">
        <f t="shared" si="4"/>
        <v>東鐵田原:直納鋼ダライＡ</v>
      </c>
    </row>
    <row r="859" ht="15.75" customHeight="1">
      <c r="A859" s="335" t="s">
        <v>2056</v>
      </c>
      <c r="B859" s="336">
        <v>45756.0</v>
      </c>
      <c r="C859" s="335" t="s">
        <v>536</v>
      </c>
      <c r="D859" s="335" t="s">
        <v>77</v>
      </c>
      <c r="E859" s="337" t="str">
        <f t="shared" si="1"/>
        <v>東鐵田原:直納</v>
      </c>
      <c r="F859" s="338" t="s">
        <v>145</v>
      </c>
      <c r="G859" s="339" t="str">
        <f t="shared" si="2"/>
        <v>東鐵田原:直納シュレＡ</v>
      </c>
      <c r="H859" s="340">
        <f t="shared" si="3"/>
        <v>44</v>
      </c>
      <c r="I859" s="341">
        <v>1.0</v>
      </c>
      <c r="J859" s="332">
        <f>IFERROR(__xludf.DUMMYFUNCTION("IF(IF(COUNTIF(P$2:P858, P859)=0, """", INDEX(H$2:H858,
MAX(FILTER(ROW(H$2:H858) - ROW(H$2) + 1, P$2:P858 = P859))))=""単価"","""",
IF(COUNTIF(P$2:P858, P859)=0, """", INDEX(H$2:H858,
MAX(FILTER(ROW(H$2:H858) - ROW(H$2) + 1, P$2:P858 = P859)))))"),43.0)</f>
        <v>43</v>
      </c>
      <c r="N859" s="335" t="str">
        <f>IF(MAXIFS('単価履歴'!$O:$O,'単価履歴'!$E:$E,E859,'単価履歴'!$F:$F,F859)=O859,"●","")</f>
        <v/>
      </c>
      <c r="O859" s="346">
        <v>45756.263333333336</v>
      </c>
      <c r="P859" s="334" t="str">
        <f t="shared" si="4"/>
        <v>東鐵田原:直納シュレＡ</v>
      </c>
    </row>
    <row r="860" ht="15.75" customHeight="1">
      <c r="A860" s="335" t="s">
        <v>2057</v>
      </c>
      <c r="B860" s="336">
        <v>45756.0</v>
      </c>
      <c r="C860" s="335" t="s">
        <v>536</v>
      </c>
      <c r="D860" s="335" t="s">
        <v>77</v>
      </c>
      <c r="E860" s="337" t="str">
        <f t="shared" si="1"/>
        <v>東鐵田原:直納</v>
      </c>
      <c r="F860" s="338" t="s">
        <v>151</v>
      </c>
      <c r="G860" s="339" t="str">
        <f t="shared" si="2"/>
        <v>東鐵田原:直納シュレＣ</v>
      </c>
      <c r="H860" s="340">
        <f t="shared" si="3"/>
        <v>43.5</v>
      </c>
      <c r="I860" s="341">
        <v>1.0</v>
      </c>
      <c r="J860" s="332">
        <f>IFERROR(__xludf.DUMMYFUNCTION("IF(IF(COUNTIF(P$2:P859, P860)=0, """", INDEX(H$2:H859,
MAX(FILTER(ROW(H$2:H859) - ROW(H$2) + 1, P$2:P859 = P860))))=""単価"","""",
IF(COUNTIF(P$2:P859, P860)=0, """", INDEX(H$2:H859,
MAX(FILTER(ROW(H$2:H859) - ROW(H$2) + 1, P$2:P859 = P860)))))"),42.5)</f>
        <v>42.5</v>
      </c>
      <c r="N860" s="335" t="str">
        <f>IF(MAXIFS('単価履歴'!$O:$O,'単価履歴'!$E:$E,E860,'単価履歴'!$F:$F,F860)=O860,"●","")</f>
        <v/>
      </c>
      <c r="O860" s="346">
        <v>45756.263333333336</v>
      </c>
      <c r="P860" s="334" t="str">
        <f t="shared" si="4"/>
        <v>東鐵田原:直納シュレＣ</v>
      </c>
    </row>
    <row r="861" ht="15.75" customHeight="1">
      <c r="A861" s="335" t="s">
        <v>2058</v>
      </c>
      <c r="B861" s="336">
        <v>45756.0</v>
      </c>
      <c r="C861" s="335" t="s">
        <v>536</v>
      </c>
      <c r="D861" s="335" t="s">
        <v>77</v>
      </c>
      <c r="E861" s="337" t="str">
        <f t="shared" si="1"/>
        <v>東鐵田原:直納</v>
      </c>
      <c r="F861" s="338" t="s">
        <v>154</v>
      </c>
      <c r="G861" s="339" t="str">
        <f t="shared" si="2"/>
        <v>東鐵田原:直納ＣＰ Ａ</v>
      </c>
      <c r="H861" s="340">
        <f t="shared" si="3"/>
        <v>41.5</v>
      </c>
      <c r="I861" s="341">
        <v>1.0</v>
      </c>
      <c r="J861" s="332">
        <f>IFERROR(__xludf.DUMMYFUNCTION("IF(IF(COUNTIF(P$2:P860, P861)=0, """", INDEX(H$2:H860,
MAX(FILTER(ROW(H$2:H860) - ROW(H$2) + 1, P$2:P860 = P861))))=""単価"","""",
IF(COUNTIF(P$2:P860, P861)=0, """", INDEX(H$2:H860,
MAX(FILTER(ROW(H$2:H860) - ROW(H$2) + 1, P$2:P860 = P861)))))"),40.5)</f>
        <v>40.5</v>
      </c>
      <c r="N861" s="335" t="str">
        <f>IF(MAXIFS('単価履歴'!$O:$O,'単価履歴'!$E:$E,E861,'単価履歴'!$F:$F,F861)=O861,"●","")</f>
        <v/>
      </c>
      <c r="O861" s="346">
        <v>45756.263333333336</v>
      </c>
      <c r="P861" s="334" t="str">
        <f t="shared" si="4"/>
        <v>東鐵田原:直納ＣＰ Ａ</v>
      </c>
    </row>
    <row r="862" ht="15.75" customHeight="1">
      <c r="A862" s="335" t="s">
        <v>2059</v>
      </c>
      <c r="B862" s="336">
        <v>45756.0</v>
      </c>
      <c r="C862" s="335" t="s">
        <v>19</v>
      </c>
      <c r="D862" s="335" t="s">
        <v>61</v>
      </c>
      <c r="E862" s="337" t="str">
        <f t="shared" si="1"/>
        <v>トピー工業:ＭＭ</v>
      </c>
      <c r="F862" s="338" t="s">
        <v>116</v>
      </c>
      <c r="G862" s="339" t="str">
        <f t="shared" si="2"/>
        <v>トピー工業:ＭＭＨ２(特級)</v>
      </c>
      <c r="H862" s="340">
        <f t="shared" si="3"/>
        <v>36.5</v>
      </c>
      <c r="I862" s="341">
        <v>1.0</v>
      </c>
      <c r="J862" s="332">
        <f>IFERROR(__xludf.DUMMYFUNCTION("IF(IF(COUNTIF(P$2:P861, P862)=0, """", INDEX(H$2:H861,
MAX(FILTER(ROW(H$2:H861) - ROW(H$2) + 1, P$2:P861 = P862))))=""単価"","""",
IF(COUNTIF(P$2:P861, P862)=0, """", INDEX(H$2:H861,
MAX(FILTER(ROW(H$2:H861) - ROW(H$2) + 1, P$2:P861 = P862)))))"),35.5)</f>
        <v>35.5</v>
      </c>
      <c r="N862" s="335" t="str">
        <f>IF(MAXIFS('単価履歴'!$O:$O,'単価履歴'!$E:$E,E862,'単価履歴'!$F:$F,F862)=O862,"●","")</f>
        <v/>
      </c>
      <c r="O862" s="346">
        <v>45756.26369212963</v>
      </c>
      <c r="P862" s="334" t="str">
        <f t="shared" si="4"/>
        <v>トピー工業:ＭＭＨ２(特級)</v>
      </c>
    </row>
    <row r="863" ht="15.75" customHeight="1">
      <c r="A863" s="335" t="s">
        <v>2060</v>
      </c>
      <c r="B863" s="336">
        <v>45756.0</v>
      </c>
      <c r="C863" s="335" t="s">
        <v>14</v>
      </c>
      <c r="D863" s="335" t="s">
        <v>48</v>
      </c>
      <c r="E863" s="337" t="str">
        <f t="shared" si="1"/>
        <v>愛知:ナベ</v>
      </c>
      <c r="F863" s="338" t="s">
        <v>1199</v>
      </c>
      <c r="G863" s="339" t="str">
        <f t="shared" si="2"/>
        <v>愛知:ナベＨＳ１(単体H1/電特A/HS))</v>
      </c>
      <c r="H863" s="340">
        <f t="shared" si="3"/>
        <v>43</v>
      </c>
      <c r="I863" s="341">
        <v>1.0</v>
      </c>
      <c r="J863" s="332">
        <f>IFERROR(__xludf.DUMMYFUNCTION("IF(IF(COUNTIF(P$2:P862, P863)=0, """", INDEX(H$2:H862,
MAX(FILTER(ROW(H$2:H862) - ROW(H$2) + 1, P$2:P862 = P863))))=""単価"","""",
IF(COUNTIF(P$2:P862, P863)=0, """", INDEX(H$2:H862,
MAX(FILTER(ROW(H$2:H862) - ROW(H$2) + 1, P$2:P862 = P863)))))"),42.0)</f>
        <v>42</v>
      </c>
      <c r="N863" s="335" t="str">
        <f>IF(MAXIFS('単価履歴'!$O:$O,'単価履歴'!$E:$E,E863,'単価履歴'!$F:$F,F863)=O863,"●","")</f>
        <v/>
      </c>
      <c r="O863" s="346">
        <v>45756.26490740741</v>
      </c>
      <c r="P863" s="334" t="str">
        <f t="shared" si="4"/>
        <v>愛知:ナベＨＳ１(単体H1/電特A/HS))</v>
      </c>
    </row>
    <row r="864" ht="15.75" customHeight="1">
      <c r="A864" s="335" t="s">
        <v>2061</v>
      </c>
      <c r="B864" s="336">
        <v>45756.0</v>
      </c>
      <c r="C864" s="335" t="s">
        <v>14</v>
      </c>
      <c r="D864" s="335" t="s">
        <v>48</v>
      </c>
      <c r="E864" s="337" t="str">
        <f t="shared" si="1"/>
        <v>愛知:ナベ</v>
      </c>
      <c r="F864" s="338" t="s">
        <v>101</v>
      </c>
      <c r="G864" s="339" t="str">
        <f t="shared" si="2"/>
        <v>愛知:ナベＨＳ２</v>
      </c>
      <c r="H864" s="340">
        <f t="shared" si="3"/>
        <v>42.5</v>
      </c>
      <c r="I864" s="341">
        <v>1.0</v>
      </c>
      <c r="J864" s="332">
        <f>IFERROR(__xludf.DUMMYFUNCTION("IF(IF(COUNTIF(P$2:P863, P864)=0, """", INDEX(H$2:H863,
MAX(FILTER(ROW(H$2:H863) - ROW(H$2) + 1, P$2:P863 = P864))))=""単価"","""",
IF(COUNTIF(P$2:P863, P864)=0, """", INDEX(H$2:H863,
MAX(FILTER(ROW(H$2:H863) - ROW(H$2) + 1, P$2:P863 = P864)))))"),41.5)</f>
        <v>41.5</v>
      </c>
      <c r="N864" s="335" t="str">
        <f>IF(MAXIFS('単価履歴'!$O:$O,'単価履歴'!$E:$E,E864,'単価履歴'!$F:$F,F864)=O864,"●","")</f>
        <v/>
      </c>
      <c r="O864" s="346">
        <v>45756.26490740741</v>
      </c>
      <c r="P864" s="334" t="str">
        <f t="shared" si="4"/>
        <v>愛知:ナベＨＳ２</v>
      </c>
    </row>
    <row r="865" ht="15.75" customHeight="1">
      <c r="A865" s="335" t="s">
        <v>2062</v>
      </c>
      <c r="B865" s="336">
        <v>45756.0</v>
      </c>
      <c r="C865" s="335" t="s">
        <v>14</v>
      </c>
      <c r="D865" s="335" t="s">
        <v>48</v>
      </c>
      <c r="E865" s="337" t="str">
        <f t="shared" si="1"/>
        <v>愛知:ナベ</v>
      </c>
      <c r="F865" s="338" t="s">
        <v>111</v>
      </c>
      <c r="G865" s="339" t="str">
        <f t="shared" si="2"/>
        <v>愛知:ナベＨ１(特A)</v>
      </c>
      <c r="H865" s="340">
        <f t="shared" si="3"/>
        <v>42</v>
      </c>
      <c r="I865" s="341">
        <v>1.0</v>
      </c>
      <c r="J865" s="332">
        <f>IFERROR(__xludf.DUMMYFUNCTION("IF(IF(COUNTIF(P$2:P864, P865)=0, """", INDEX(H$2:H864,
MAX(FILTER(ROW(H$2:H864) - ROW(H$2) + 1, P$2:P864 = P865))))=""単価"","""",
IF(COUNTIF(P$2:P864, P865)=0, """", INDEX(H$2:H864,
MAX(FILTER(ROW(H$2:H864) - ROW(H$2) + 1, P$2:P864 = P865)))))"),41.0)</f>
        <v>41</v>
      </c>
      <c r="N865" s="335" t="str">
        <f>IF(MAXIFS('単価履歴'!$O:$O,'単価履歴'!$E:$E,E865,'単価履歴'!$F:$F,F865)=O865,"●","")</f>
        <v/>
      </c>
      <c r="O865" s="346">
        <v>45756.26490740741</v>
      </c>
      <c r="P865" s="334" t="str">
        <f t="shared" si="4"/>
        <v>愛知:ナベＨ１(特A)</v>
      </c>
    </row>
    <row r="866" ht="15.75" customHeight="1">
      <c r="A866" s="335" t="s">
        <v>2063</v>
      </c>
      <c r="B866" s="336">
        <v>45756.0</v>
      </c>
      <c r="C866" s="335" t="s">
        <v>14</v>
      </c>
      <c r="D866" s="335" t="s">
        <v>48</v>
      </c>
      <c r="E866" s="337" t="str">
        <f t="shared" si="1"/>
        <v>愛知:ナベ</v>
      </c>
      <c r="F866" s="338" t="s">
        <v>116</v>
      </c>
      <c r="G866" s="339" t="str">
        <f t="shared" si="2"/>
        <v>愛知:ナベＨ２(特級)</v>
      </c>
      <c r="H866" s="340">
        <f t="shared" si="3"/>
        <v>40.4</v>
      </c>
      <c r="I866" s="341">
        <v>1.0</v>
      </c>
      <c r="J866" s="332">
        <f>IFERROR(__xludf.DUMMYFUNCTION("IF(IF(COUNTIF(P$2:P865, P866)=0, """", INDEX(H$2:H865,
MAX(FILTER(ROW(H$2:H865) - ROW(H$2) + 1, P$2:P865 = P866))))=""単価"","""",
IF(COUNTIF(P$2:P865, P866)=0, """", INDEX(H$2:H865,
MAX(FILTER(ROW(H$2:H865) - ROW(H$2) + 1, P$2:P865 = P866)))))"),39.4)</f>
        <v>39.4</v>
      </c>
      <c r="N866" s="335" t="str">
        <f>IF(MAXIFS('単価履歴'!$O:$O,'単価履歴'!$E:$E,E866,'単価履歴'!$F:$F,F866)=O866,"●","")</f>
        <v/>
      </c>
      <c r="O866" s="346">
        <v>45756.26490740741</v>
      </c>
      <c r="P866" s="334" t="str">
        <f t="shared" si="4"/>
        <v>愛知:ナベＨ２(特級)</v>
      </c>
    </row>
    <row r="867" ht="15.75" customHeight="1">
      <c r="A867" s="335" t="s">
        <v>2064</v>
      </c>
      <c r="B867" s="336">
        <v>45756.0</v>
      </c>
      <c r="C867" s="335" t="s">
        <v>14</v>
      </c>
      <c r="D867" s="335" t="s">
        <v>48</v>
      </c>
      <c r="E867" s="337" t="str">
        <f t="shared" si="1"/>
        <v>愛知:ナベ</v>
      </c>
      <c r="F867" s="338" t="s">
        <v>119</v>
      </c>
      <c r="G867" s="339" t="str">
        <f t="shared" si="2"/>
        <v>愛知:ナベＨ３(1級)</v>
      </c>
      <c r="H867" s="340">
        <f t="shared" si="3"/>
        <v>39.4</v>
      </c>
      <c r="I867" s="341">
        <v>1.0</v>
      </c>
      <c r="J867" s="332">
        <f>IFERROR(__xludf.DUMMYFUNCTION("IF(IF(COUNTIF(P$2:P866, P867)=0, """", INDEX(H$2:H866,
MAX(FILTER(ROW(H$2:H866) - ROW(H$2) + 1, P$2:P866 = P867))))=""単価"","""",
IF(COUNTIF(P$2:P866, P867)=0, """", INDEX(H$2:H866,
MAX(FILTER(ROW(H$2:H866) - ROW(H$2) + 1, P$2:P866 = P867)))))"),38.4)</f>
        <v>38.4</v>
      </c>
      <c r="N867" s="335" t="str">
        <f>IF(MAXIFS('単価履歴'!$O:$O,'単価履歴'!$E:$E,E867,'単価履歴'!$F:$F,F867)=O867,"●","")</f>
        <v/>
      </c>
      <c r="O867" s="346">
        <v>45756.26490740741</v>
      </c>
      <c r="P867" s="334" t="str">
        <f t="shared" si="4"/>
        <v>愛知:ナベＨ３(1級)</v>
      </c>
    </row>
    <row r="868" ht="15.75" customHeight="1">
      <c r="A868" s="335" t="s">
        <v>2065</v>
      </c>
      <c r="B868" s="336">
        <v>45756.0</v>
      </c>
      <c r="C868" s="335" t="s">
        <v>14</v>
      </c>
      <c r="D868" s="335" t="s">
        <v>48</v>
      </c>
      <c r="E868" s="337" t="str">
        <f t="shared" si="1"/>
        <v>愛知:ナベ</v>
      </c>
      <c r="F868" s="338" t="s">
        <v>573</v>
      </c>
      <c r="G868" s="339" t="str">
        <f t="shared" si="2"/>
        <v>愛知:ナベＬ２(H4･級外･L1ﾊﾞﾗ)</v>
      </c>
      <c r="H868" s="340">
        <f t="shared" si="3"/>
        <v>35.4</v>
      </c>
      <c r="I868" s="341">
        <v>1.0</v>
      </c>
      <c r="J868" s="332">
        <f>IFERROR(__xludf.DUMMYFUNCTION("IF(IF(COUNTIF(P$2:P867, P868)=0, """", INDEX(H$2:H867,
MAX(FILTER(ROW(H$2:H867) - ROW(H$2) + 1, P$2:P867 = P868))))=""単価"","""",
IF(COUNTIF(P$2:P867, P868)=0, """", INDEX(H$2:H867,
MAX(FILTER(ROW(H$2:H867) - ROW(H$2) + 1, P$2:P867 = P868)))))"),34.4)</f>
        <v>34.4</v>
      </c>
      <c r="N868" s="335" t="str">
        <f>IF(MAXIFS('単価履歴'!$O:$O,'単価履歴'!$E:$E,E868,'単価履歴'!$F:$F,F868)=O868,"●","")</f>
        <v/>
      </c>
      <c r="O868" s="346">
        <v>45756.26490740741</v>
      </c>
      <c r="P868" s="334" t="str">
        <f t="shared" si="4"/>
        <v>愛知:ナベＬ２(H4･級外･L1ﾊﾞﾗ)</v>
      </c>
    </row>
    <row r="869" ht="15.75" customHeight="1">
      <c r="A869" s="335" t="s">
        <v>2066</v>
      </c>
      <c r="B869" s="336">
        <v>45756.0</v>
      </c>
      <c r="C869" s="335" t="s">
        <v>14</v>
      </c>
      <c r="D869" s="335" t="s">
        <v>48</v>
      </c>
      <c r="E869" s="337" t="str">
        <f t="shared" si="1"/>
        <v>愛知:ナベ</v>
      </c>
      <c r="F869" s="338" t="s">
        <v>575</v>
      </c>
      <c r="G869" s="339" t="str">
        <f t="shared" si="2"/>
        <v>愛知:ナベ鋼ダライＡ</v>
      </c>
      <c r="H869" s="340">
        <f t="shared" si="3"/>
        <v>2</v>
      </c>
      <c r="I869" s="341">
        <v>1.0</v>
      </c>
      <c r="J869" s="332">
        <f>IFERROR(__xludf.DUMMYFUNCTION("IF(IF(COUNTIF(P$2:P868, P869)=0, """", INDEX(H$2:H868,
MAX(FILTER(ROW(H$2:H868) - ROW(H$2) + 1, P$2:P868 = P869))))=""単価"","""",
IF(COUNTIF(P$2:P868, P869)=0, """", INDEX(H$2:H868,
MAX(FILTER(ROW(H$2:H868) - ROW(H$2) + 1, P$2:P868 = P869)))))"),1.0)</f>
        <v>1</v>
      </c>
      <c r="N869" s="335" t="str">
        <f>IF(MAXIFS('単価履歴'!$O:$O,'単価履歴'!$E:$E,E869,'単価履歴'!$F:$F,F869)=O869,"●","")</f>
        <v/>
      </c>
      <c r="O869" s="346">
        <v>45756.26490740741</v>
      </c>
      <c r="P869" s="334" t="str">
        <f t="shared" si="4"/>
        <v>愛知:ナベ鋼ダライＡ</v>
      </c>
    </row>
    <row r="870" ht="15.75" customHeight="1">
      <c r="A870" s="335" t="s">
        <v>2067</v>
      </c>
      <c r="B870" s="336">
        <v>45756.0</v>
      </c>
      <c r="C870" s="335" t="s">
        <v>37</v>
      </c>
      <c r="D870" s="335" t="s">
        <v>48</v>
      </c>
      <c r="E870" s="337" t="str">
        <f t="shared" si="1"/>
        <v>共英名古屋:ナベ</v>
      </c>
      <c r="F870" s="338" t="s">
        <v>111</v>
      </c>
      <c r="G870" s="339" t="str">
        <f t="shared" si="2"/>
        <v>共英名古屋:ナベＨ１(特A)</v>
      </c>
      <c r="H870" s="340">
        <f t="shared" si="3"/>
        <v>44.2</v>
      </c>
      <c r="I870" s="341">
        <v>1.0</v>
      </c>
      <c r="J870" s="332">
        <f>IFERROR(__xludf.DUMMYFUNCTION("IF(IF(COUNTIF(P$2:P869, P870)=0, """", INDEX(H$2:H869,
MAX(FILTER(ROW(H$2:H869) - ROW(H$2) + 1, P$2:P869 = P870))))=""単価"","""",
IF(COUNTIF(P$2:P869, P870)=0, """", INDEX(H$2:H869,
MAX(FILTER(ROW(H$2:H869) - ROW(H$2) + 1, P$2:P869 = P870)))))"),43.2)</f>
        <v>43.2</v>
      </c>
      <c r="N870" s="335" t="str">
        <f>IF(MAXIFS('単価履歴'!$O:$O,'単価履歴'!$E:$E,E870,'単価履歴'!$F:$F,F870)=O870,"●","")</f>
        <v/>
      </c>
      <c r="O870" s="346">
        <v>45756.26563657407</v>
      </c>
      <c r="P870" s="334" t="str">
        <f t="shared" si="4"/>
        <v>共英名古屋:ナベＨ１(特A)</v>
      </c>
    </row>
    <row r="871" ht="15.75" customHeight="1">
      <c r="A871" s="335" t="s">
        <v>2068</v>
      </c>
      <c r="B871" s="336">
        <v>45756.0</v>
      </c>
      <c r="C871" s="335" t="s">
        <v>37</v>
      </c>
      <c r="D871" s="335" t="s">
        <v>48</v>
      </c>
      <c r="E871" s="337" t="str">
        <f t="shared" si="1"/>
        <v>共英名古屋:ナベ</v>
      </c>
      <c r="F871" s="338" t="s">
        <v>116</v>
      </c>
      <c r="G871" s="339" t="str">
        <f t="shared" si="2"/>
        <v>共英名古屋:ナベＨ２(特級)</v>
      </c>
      <c r="H871" s="340">
        <f t="shared" si="3"/>
        <v>41.5</v>
      </c>
      <c r="I871" s="341">
        <v>1.0</v>
      </c>
      <c r="J871" s="332">
        <f>IFERROR(__xludf.DUMMYFUNCTION("IF(IF(COUNTIF(P$2:P870, P871)=0, """", INDEX(H$2:H870,
MAX(FILTER(ROW(H$2:H870) - ROW(H$2) + 1, P$2:P870 = P871))))=""単価"","""",
IF(COUNTIF(P$2:P870, P871)=0, """", INDEX(H$2:H870,
MAX(FILTER(ROW(H$2:H870) - ROW(H$2) + 1, P$2:P870 = P871)))))"),40.5)</f>
        <v>40.5</v>
      </c>
      <c r="N871" s="335" t="str">
        <f>IF(MAXIFS('単価履歴'!$O:$O,'単価履歴'!$E:$E,E871,'単価履歴'!$F:$F,F871)=O871,"●","")</f>
        <v/>
      </c>
      <c r="O871" s="346">
        <v>45756.26563657407</v>
      </c>
      <c r="P871" s="334" t="str">
        <f t="shared" si="4"/>
        <v>共英名古屋:ナベＨ２(特級)</v>
      </c>
    </row>
    <row r="872" ht="15.75" customHeight="1">
      <c r="A872" s="335" t="s">
        <v>2069</v>
      </c>
      <c r="B872" s="336">
        <v>45756.0</v>
      </c>
      <c r="C872" s="335" t="s">
        <v>37</v>
      </c>
      <c r="D872" s="335" t="s">
        <v>48</v>
      </c>
      <c r="E872" s="337" t="str">
        <f t="shared" si="1"/>
        <v>共英名古屋:ナベ</v>
      </c>
      <c r="F872" s="338" t="s">
        <v>119</v>
      </c>
      <c r="G872" s="339" t="str">
        <f t="shared" si="2"/>
        <v>共英名古屋:ナベＨ３(1級)</v>
      </c>
      <c r="H872" s="340">
        <f t="shared" si="3"/>
        <v>40.5</v>
      </c>
      <c r="I872" s="341">
        <v>1.0</v>
      </c>
      <c r="J872" s="332">
        <f>IFERROR(__xludf.DUMMYFUNCTION("IF(IF(COUNTIF(P$2:P871, P872)=0, """", INDEX(H$2:H871,
MAX(FILTER(ROW(H$2:H871) - ROW(H$2) + 1, P$2:P871 = P872))))=""単価"","""",
IF(COUNTIF(P$2:P871, P872)=0, """", INDEX(H$2:H871,
MAX(FILTER(ROW(H$2:H871) - ROW(H$2) + 1, P$2:P871 = P872)))))"),39.5)</f>
        <v>39.5</v>
      </c>
      <c r="N872" s="335" t="str">
        <f>IF(MAXIFS('単価履歴'!$O:$O,'単価履歴'!$E:$E,E872,'単価履歴'!$F:$F,F872)=O872,"●","")</f>
        <v/>
      </c>
      <c r="O872" s="346">
        <v>45756.26563657407</v>
      </c>
      <c r="P872" s="334" t="str">
        <f t="shared" si="4"/>
        <v>共英名古屋:ナベＨ３(1級)</v>
      </c>
    </row>
    <row r="873" ht="15.75" customHeight="1">
      <c r="A873" s="335" t="s">
        <v>2070</v>
      </c>
      <c r="B873" s="336">
        <v>45756.0</v>
      </c>
      <c r="C873" s="335" t="s">
        <v>37</v>
      </c>
      <c r="D873" s="335" t="s">
        <v>48</v>
      </c>
      <c r="E873" s="337" t="str">
        <f t="shared" si="1"/>
        <v>共英名古屋:ナベ</v>
      </c>
      <c r="F873" s="338" t="s">
        <v>122</v>
      </c>
      <c r="G873" s="339" t="str">
        <f t="shared" si="2"/>
        <v>共英名古屋:ナベＬ１(2級)</v>
      </c>
      <c r="H873" s="340">
        <f t="shared" si="3"/>
        <v>37.5</v>
      </c>
      <c r="I873" s="341">
        <v>1.0</v>
      </c>
      <c r="J873" s="332">
        <f>IFERROR(__xludf.DUMMYFUNCTION("IF(IF(COUNTIF(P$2:P872, P873)=0, """", INDEX(H$2:H872,
MAX(FILTER(ROW(H$2:H872) - ROW(H$2) + 1, P$2:P872 = P873))))=""単価"","""",
IF(COUNTIF(P$2:P872, P873)=0, """", INDEX(H$2:H872,
MAX(FILTER(ROW(H$2:H872) - ROW(H$2) + 1, P$2:P872 = P873)))))"),36.5)</f>
        <v>36.5</v>
      </c>
      <c r="N873" s="335" t="str">
        <f>IF(MAXIFS('単価履歴'!$O:$O,'単価履歴'!$E:$E,E873,'単価履歴'!$F:$F,F873)=O873,"●","")</f>
        <v/>
      </c>
      <c r="O873" s="346">
        <v>45756.26563657407</v>
      </c>
      <c r="P873" s="334" t="str">
        <f t="shared" si="4"/>
        <v>共英名古屋:ナベＬ１(2級)</v>
      </c>
    </row>
    <row r="874" ht="15.75" customHeight="1">
      <c r="A874" s="335" t="s">
        <v>2071</v>
      </c>
      <c r="B874" s="336">
        <v>45757.0</v>
      </c>
      <c r="C874" s="335" t="s">
        <v>31</v>
      </c>
      <c r="D874" s="335" t="s">
        <v>64</v>
      </c>
      <c r="E874" s="337" t="str">
        <f t="shared" si="1"/>
        <v>泉北中谷:ナベ双葉</v>
      </c>
      <c r="F874" s="338" t="s">
        <v>1199</v>
      </c>
      <c r="G874" s="339" t="str">
        <f t="shared" si="2"/>
        <v>泉北中谷:ナベ双葉ＨＳ１(単体H1/電特A/HS))</v>
      </c>
      <c r="H874" s="340">
        <f t="shared" si="3"/>
        <v>44.5</v>
      </c>
      <c r="I874" s="341">
        <v>-1.5</v>
      </c>
      <c r="J874" s="332">
        <f>IFERROR(__xludf.DUMMYFUNCTION("IF(IF(COUNTIF(P$2:P873, P874)=0, """", INDEX(H$2:H873,
MAX(FILTER(ROW(H$2:H873) - ROW(H$2) + 1, P$2:P873 = P874))))=""単価"","""",
IF(COUNTIF(P$2:P873, P874)=0, """", INDEX(H$2:H873,
MAX(FILTER(ROW(H$2:H873) - ROW(H$2) + 1, P$2:P873 = P874)))))"),46.0)</f>
        <v>46</v>
      </c>
      <c r="N874" s="335" t="str">
        <f>IF(MAXIFS('単価履歴'!$O:$O,'単価履歴'!$E:$E,E874,'単価履歴'!$F:$F,F874)=O874,"●","")</f>
        <v/>
      </c>
      <c r="O874" s="346">
        <v>45757.265081018515</v>
      </c>
      <c r="P874" s="334" t="str">
        <f t="shared" si="4"/>
        <v>泉北中谷:ナベ双葉ＨＳ１(単体H1/電特A/HS))</v>
      </c>
    </row>
    <row r="875" ht="15.75" customHeight="1">
      <c r="A875" s="335" t="s">
        <v>2072</v>
      </c>
      <c r="B875" s="336">
        <v>45757.0</v>
      </c>
      <c r="C875" s="335" t="s">
        <v>12</v>
      </c>
      <c r="D875" s="335" t="s">
        <v>53</v>
      </c>
      <c r="E875" s="337" t="str">
        <f t="shared" si="1"/>
        <v>山陽特殊:MM</v>
      </c>
      <c r="F875" s="338" t="s">
        <v>1199</v>
      </c>
      <c r="G875" s="339" t="str">
        <f t="shared" si="2"/>
        <v>山陽特殊:MMＨＳ１(単体H1/電特A/HS))</v>
      </c>
      <c r="H875" s="340">
        <f t="shared" si="3"/>
        <v>48.5</v>
      </c>
      <c r="I875" s="341">
        <v>1.0</v>
      </c>
      <c r="J875" s="332">
        <f>IFERROR(__xludf.DUMMYFUNCTION("IF(IF(COUNTIF(P$2:P874, P875)=0, """", INDEX(H$2:H874,
MAX(FILTER(ROW(H$2:H874) - ROW(H$2) + 1, P$2:P874 = P875))))=""単価"","""",
IF(COUNTIF(P$2:P874, P875)=0, """", INDEX(H$2:H874,
MAX(FILTER(ROW(H$2:H874) - ROW(H$2) + 1, P$2:P874 = P875)))))"),47.5)</f>
        <v>47.5</v>
      </c>
      <c r="N875" s="335" t="str">
        <f>IF(MAXIFS('単価履歴'!$O:$O,'単価履歴'!$E:$E,E875,'単価履歴'!$F:$F,F875)=O875,"●","")</f>
        <v/>
      </c>
      <c r="O875" s="346">
        <v>45757.26804398149</v>
      </c>
      <c r="P875" s="334" t="str">
        <f t="shared" si="4"/>
        <v>山陽特殊:MMＨＳ１(単体H1/電特A/HS))</v>
      </c>
    </row>
    <row r="876" ht="15.75" customHeight="1">
      <c r="A876" s="335" t="s">
        <v>2073</v>
      </c>
      <c r="B876" s="336">
        <v>45757.0</v>
      </c>
      <c r="C876" s="335" t="s">
        <v>12</v>
      </c>
      <c r="D876" s="335" t="s">
        <v>53</v>
      </c>
      <c r="E876" s="337" t="str">
        <f t="shared" si="1"/>
        <v>山陽特殊:MM</v>
      </c>
      <c r="F876" s="338" t="s">
        <v>122</v>
      </c>
      <c r="G876" s="339" t="str">
        <f t="shared" si="2"/>
        <v>山陽特殊:MMＬ１(2級)</v>
      </c>
      <c r="H876" s="340">
        <f t="shared" si="3"/>
        <v>3.5</v>
      </c>
      <c r="I876" s="341">
        <v>1.0</v>
      </c>
      <c r="J876" s="332">
        <f>IFERROR(__xludf.DUMMYFUNCTION("IF(IF(COUNTIF(P$2:P875, P876)=0, """", INDEX(H$2:H875,
MAX(FILTER(ROW(H$2:H875) - ROW(H$2) + 1, P$2:P875 = P876))))=""単価"","""",
IF(COUNTIF(P$2:P875, P876)=0, """", INDEX(H$2:H875,
MAX(FILTER(ROW(H$2:H875) - ROW(H$2) + 1, P$2:P875 = P876)))))"),2.5)</f>
        <v>2.5</v>
      </c>
      <c r="N876" s="335" t="str">
        <f>IF(MAXIFS('単価履歴'!$O:$O,'単価履歴'!$E:$E,E876,'単価履歴'!$F:$F,F876)=O876,"●","")</f>
        <v/>
      </c>
      <c r="O876" s="346">
        <v>45757.26804398149</v>
      </c>
      <c r="P876" s="334" t="str">
        <f t="shared" si="4"/>
        <v>山陽特殊:MMＬ１(2級)</v>
      </c>
    </row>
    <row r="877" ht="15.75" customHeight="1">
      <c r="A877" s="335" t="s">
        <v>2074</v>
      </c>
      <c r="B877" s="336">
        <v>45757.0</v>
      </c>
      <c r="C877" s="335" t="s">
        <v>12</v>
      </c>
      <c r="D877" s="335" t="s">
        <v>53</v>
      </c>
      <c r="E877" s="337" t="str">
        <f t="shared" si="1"/>
        <v>山陽特殊:MM</v>
      </c>
      <c r="F877" s="338" t="s">
        <v>574</v>
      </c>
      <c r="G877" s="339" t="str">
        <f t="shared" si="2"/>
        <v>山陽特殊:MM新断Ｃ</v>
      </c>
      <c r="H877" s="340">
        <f t="shared" si="3"/>
        <v>45</v>
      </c>
      <c r="I877" s="341">
        <v>1.0</v>
      </c>
      <c r="J877" s="332">
        <f>IFERROR(__xludf.DUMMYFUNCTION("IF(IF(COUNTIF(P$2:P876, P877)=0, """", INDEX(H$2:H876,
MAX(FILTER(ROW(H$2:H876) - ROW(H$2) + 1, P$2:P876 = P877))))=""単価"","""",
IF(COUNTIF(P$2:P876, P877)=0, """", INDEX(H$2:H876,
MAX(FILTER(ROW(H$2:H876) - ROW(H$2) + 1, P$2:P876 = P877)))))"),44.0)</f>
        <v>44</v>
      </c>
      <c r="N877" s="335" t="str">
        <f>IF(MAXIFS('単価履歴'!$O:$O,'単価履歴'!$E:$E,E877,'単価履歴'!$F:$F,F877)=O877,"●","")</f>
        <v/>
      </c>
      <c r="O877" s="346">
        <v>45757.26804398149</v>
      </c>
      <c r="P877" s="334" t="str">
        <f t="shared" si="4"/>
        <v>山陽特殊:MM新断Ｃ</v>
      </c>
    </row>
    <row r="878" ht="15.75" customHeight="1">
      <c r="A878" s="335" t="s">
        <v>2075</v>
      </c>
      <c r="B878" s="336">
        <v>45757.0</v>
      </c>
      <c r="C878" s="335" t="s">
        <v>12</v>
      </c>
      <c r="D878" s="335" t="s">
        <v>53</v>
      </c>
      <c r="E878" s="337" t="str">
        <f t="shared" si="1"/>
        <v>山陽特殊:MM</v>
      </c>
      <c r="F878" s="338" t="s">
        <v>101</v>
      </c>
      <c r="G878" s="339" t="str">
        <f t="shared" si="2"/>
        <v>山陽特殊:MMＨＳ２</v>
      </c>
      <c r="H878" s="340">
        <f t="shared" si="3"/>
        <v>48.3</v>
      </c>
      <c r="I878" s="341">
        <v>1.0</v>
      </c>
      <c r="J878" s="332">
        <f>IFERROR(__xludf.DUMMYFUNCTION("IF(IF(COUNTIF(P$2:P877, P878)=0, """", INDEX(H$2:H877,
MAX(FILTER(ROW(H$2:H877) - ROW(H$2) + 1, P$2:P877 = P878))))=""単価"","""",
IF(COUNTIF(P$2:P877, P878)=0, """", INDEX(H$2:H877,
MAX(FILTER(ROW(H$2:H877) - ROW(H$2) + 1, P$2:P877 = P878)))))"),47.3)</f>
        <v>47.3</v>
      </c>
      <c r="N878" s="335" t="str">
        <f>IF(MAXIFS('単価履歴'!$O:$O,'単価履歴'!$E:$E,E878,'単価履歴'!$F:$F,F878)=O878,"●","")</f>
        <v/>
      </c>
      <c r="O878" s="346">
        <v>45757.26804398149</v>
      </c>
      <c r="P878" s="334" t="str">
        <f t="shared" si="4"/>
        <v>山陽特殊:MMＨＳ２</v>
      </c>
    </row>
    <row r="879" ht="15.75" customHeight="1">
      <c r="A879" s="335" t="s">
        <v>2076</v>
      </c>
      <c r="B879" s="336">
        <v>45757.0</v>
      </c>
      <c r="C879" s="335" t="s">
        <v>12</v>
      </c>
      <c r="D879" s="335" t="s">
        <v>53</v>
      </c>
      <c r="E879" s="337" t="str">
        <f t="shared" si="1"/>
        <v>山陽特殊:MM</v>
      </c>
      <c r="F879" s="338" t="s">
        <v>130</v>
      </c>
      <c r="G879" s="339" t="str">
        <f t="shared" si="2"/>
        <v>山陽特殊:MM新断Ａ</v>
      </c>
      <c r="H879" s="340">
        <f t="shared" si="3"/>
        <v>47</v>
      </c>
      <c r="I879" s="341">
        <v>1.0</v>
      </c>
      <c r="J879" s="332">
        <f>IFERROR(__xludf.DUMMYFUNCTION("IF(IF(COUNTIF(P$2:P878, P879)=0, """", INDEX(H$2:H878,
MAX(FILTER(ROW(H$2:H878) - ROW(H$2) + 1, P$2:P878 = P879))))=""単価"","""",
IF(COUNTIF(P$2:P878, P879)=0, """", INDEX(H$2:H878,
MAX(FILTER(ROW(H$2:H878) - ROW(H$2) + 1, P$2:P878 = P879)))))"),46.0)</f>
        <v>46</v>
      </c>
      <c r="N879" s="335" t="str">
        <f>IF(MAXIFS('単価履歴'!$O:$O,'単価履歴'!$E:$E,E879,'単価履歴'!$F:$F,F879)=O879,"●","")</f>
        <v/>
      </c>
      <c r="O879" s="346">
        <v>45757.26804398149</v>
      </c>
      <c r="P879" s="334" t="str">
        <f t="shared" si="4"/>
        <v>山陽特殊:MM新断Ａ</v>
      </c>
    </row>
    <row r="880" ht="15.75" customHeight="1">
      <c r="A880" s="335" t="s">
        <v>2077</v>
      </c>
      <c r="B880" s="336">
        <v>45757.0</v>
      </c>
      <c r="C880" s="335" t="s">
        <v>12</v>
      </c>
      <c r="D880" s="335" t="s">
        <v>53</v>
      </c>
      <c r="E880" s="337" t="str">
        <f t="shared" si="1"/>
        <v>山陽特殊:MM</v>
      </c>
      <c r="F880" s="338" t="s">
        <v>105</v>
      </c>
      <c r="G880" s="339" t="str">
        <f t="shared" si="2"/>
        <v>山陽特殊:MMＨＳ３</v>
      </c>
      <c r="H880" s="340">
        <f t="shared" si="3"/>
        <v>46.3</v>
      </c>
      <c r="I880" s="341">
        <v>1.0</v>
      </c>
      <c r="J880" s="332">
        <f>IFERROR(__xludf.DUMMYFUNCTION("IF(IF(COUNTIF(P$2:P879, P880)=0, """", INDEX(H$2:H879,
MAX(FILTER(ROW(H$2:H879) - ROW(H$2) + 1, P$2:P879 = P880))))=""単価"","""",
IF(COUNTIF(P$2:P879, P880)=0, """", INDEX(H$2:H879,
MAX(FILTER(ROW(H$2:H879) - ROW(H$2) + 1, P$2:P879 = P880)))))"),45.3)</f>
        <v>45.3</v>
      </c>
      <c r="N880" s="335" t="str">
        <f>IF(MAXIFS('単価履歴'!$O:$O,'単価履歴'!$E:$E,E880,'単価履歴'!$F:$F,F880)=O880,"●","")</f>
        <v/>
      </c>
      <c r="O880" s="346">
        <v>45757.26804398149</v>
      </c>
      <c r="P880" s="334" t="str">
        <f t="shared" si="4"/>
        <v>山陽特殊:MMＨＳ３</v>
      </c>
    </row>
    <row r="881" ht="15.75" customHeight="1">
      <c r="A881" s="335" t="s">
        <v>2078</v>
      </c>
      <c r="B881" s="336">
        <v>45757.0</v>
      </c>
      <c r="C881" s="335" t="s">
        <v>12</v>
      </c>
      <c r="D881" s="335" t="s">
        <v>53</v>
      </c>
      <c r="E881" s="337" t="str">
        <f t="shared" si="1"/>
        <v>山陽特殊:MM</v>
      </c>
      <c r="F881" s="338" t="s">
        <v>131</v>
      </c>
      <c r="G881" s="339" t="str">
        <f t="shared" si="2"/>
        <v>山陽特殊:MM新断Ｂ</v>
      </c>
      <c r="H881" s="340">
        <f t="shared" si="3"/>
        <v>46</v>
      </c>
      <c r="I881" s="341">
        <v>1.0</v>
      </c>
      <c r="J881" s="332">
        <f>IFERROR(__xludf.DUMMYFUNCTION("IF(IF(COUNTIF(P$2:P880, P881)=0, """", INDEX(H$2:H880,
MAX(FILTER(ROW(H$2:H880) - ROW(H$2) + 1, P$2:P880 = P881))))=""単価"","""",
IF(COUNTIF(P$2:P880, P881)=0, """", INDEX(H$2:H880,
MAX(FILTER(ROW(H$2:H880) - ROW(H$2) + 1, P$2:P880 = P881)))))"),45.0)</f>
        <v>45</v>
      </c>
      <c r="N881" s="335" t="str">
        <f>IF(MAXIFS('単価履歴'!$O:$O,'単価履歴'!$E:$E,E881,'単価履歴'!$F:$F,F881)=O881,"●","")</f>
        <v/>
      </c>
      <c r="O881" s="346">
        <v>45757.26804398149</v>
      </c>
      <c r="P881" s="334" t="str">
        <f t="shared" si="4"/>
        <v>山陽特殊:MM新断Ｂ</v>
      </c>
    </row>
    <row r="882" ht="15.75" customHeight="1">
      <c r="A882" s="335" t="s">
        <v>2079</v>
      </c>
      <c r="B882" s="336">
        <v>45757.0</v>
      </c>
      <c r="C882" s="335" t="s">
        <v>14</v>
      </c>
      <c r="D882" s="335" t="s">
        <v>46</v>
      </c>
      <c r="E882" s="337" t="str">
        <f t="shared" si="1"/>
        <v>愛知:阪和</v>
      </c>
      <c r="F882" s="338" t="s">
        <v>1199</v>
      </c>
      <c r="G882" s="339" t="str">
        <f t="shared" si="2"/>
        <v>愛知:阪和ＨＳ１(単体H1/電特A/HS))</v>
      </c>
      <c r="H882" s="340">
        <f t="shared" si="3"/>
        <v>45.2</v>
      </c>
      <c r="I882" s="341">
        <v>1.0</v>
      </c>
      <c r="J882" s="332">
        <f>IFERROR(__xludf.DUMMYFUNCTION("IF(IF(COUNTIF(P$2:P881, P882)=0, """", INDEX(H$2:H881,
MAX(FILTER(ROW(H$2:H881) - ROW(H$2) + 1, P$2:P881 = P882))))=""単価"","""",
IF(COUNTIF(P$2:P881, P882)=0, """", INDEX(H$2:H881,
MAX(FILTER(ROW(H$2:H881) - ROW(H$2) + 1, P$2:P881 = P882)))))"),44.2)</f>
        <v>44.2</v>
      </c>
      <c r="N882" s="335" t="str">
        <f>IF(MAXIFS('単価履歴'!$O:$O,'単価履歴'!$E:$E,E882,'単価履歴'!$F:$F,F882)=O882,"●","")</f>
        <v/>
      </c>
      <c r="O882" s="346">
        <v>45757.268425925926</v>
      </c>
      <c r="P882" s="334" t="str">
        <f t="shared" si="4"/>
        <v>愛知:阪和ＨＳ１(単体H1/電特A/HS))</v>
      </c>
    </row>
    <row r="883" ht="15.75" customHeight="1">
      <c r="A883" s="335" t="s">
        <v>2080</v>
      </c>
      <c r="B883" s="336">
        <v>45757.0</v>
      </c>
      <c r="C883" s="335" t="s">
        <v>14</v>
      </c>
      <c r="D883" s="335" t="s">
        <v>46</v>
      </c>
      <c r="E883" s="337" t="str">
        <f t="shared" si="1"/>
        <v>愛知:阪和</v>
      </c>
      <c r="F883" s="338" t="s">
        <v>116</v>
      </c>
      <c r="G883" s="339" t="str">
        <f t="shared" si="2"/>
        <v>愛知:阪和Ｈ２(特級)</v>
      </c>
      <c r="H883" s="340">
        <f t="shared" si="3"/>
        <v>39.7</v>
      </c>
      <c r="I883" s="341">
        <v>1.0</v>
      </c>
      <c r="J883" s="332">
        <f>IFERROR(__xludf.DUMMYFUNCTION("IF(IF(COUNTIF(P$2:P882, P883)=0, """", INDEX(H$2:H882,
MAX(FILTER(ROW(H$2:H882) - ROW(H$2) + 1, P$2:P882 = P883))))=""単価"","""",
IF(COUNTIF(P$2:P882, P883)=0, """", INDEX(H$2:H882,
MAX(FILTER(ROW(H$2:H882) - ROW(H$2) + 1, P$2:P882 = P883)))))"),38.7)</f>
        <v>38.7</v>
      </c>
      <c r="N883" s="335" t="str">
        <f>IF(MAXIFS('単価履歴'!$O:$O,'単価履歴'!$E:$E,E883,'単価履歴'!$F:$F,F883)=O883,"●","")</f>
        <v/>
      </c>
      <c r="O883" s="346">
        <v>45757.268425925926</v>
      </c>
      <c r="P883" s="334" t="str">
        <f t="shared" si="4"/>
        <v>愛知:阪和Ｈ２(特級)</v>
      </c>
    </row>
    <row r="884" ht="15.75" customHeight="1">
      <c r="A884" s="335" t="s">
        <v>2081</v>
      </c>
      <c r="B884" s="336">
        <v>45757.0</v>
      </c>
      <c r="C884" s="335" t="s">
        <v>14</v>
      </c>
      <c r="D884" s="335" t="s">
        <v>46</v>
      </c>
      <c r="E884" s="337" t="str">
        <f t="shared" si="1"/>
        <v>愛知:阪和</v>
      </c>
      <c r="F884" s="338" t="s">
        <v>130</v>
      </c>
      <c r="G884" s="339" t="str">
        <f t="shared" si="2"/>
        <v>愛知:阪和新断Ａ</v>
      </c>
      <c r="H884" s="340">
        <f t="shared" si="3"/>
        <v>45</v>
      </c>
      <c r="I884" s="341">
        <v>1.0</v>
      </c>
      <c r="J884" s="332">
        <f>IFERROR(__xludf.DUMMYFUNCTION("IF(IF(COUNTIF(P$2:P883, P884)=0, """", INDEX(H$2:H883,
MAX(FILTER(ROW(H$2:H883) - ROW(H$2) + 1, P$2:P883 = P884))))=""単価"","""",
IF(COUNTIF(P$2:P883, P884)=0, """", INDEX(H$2:H883,
MAX(FILTER(ROW(H$2:H883) - ROW(H$2) + 1, P$2:P883 = P884)))))"),44.0)</f>
        <v>44</v>
      </c>
      <c r="N884" s="335" t="str">
        <f>IF(MAXIFS('単価履歴'!$O:$O,'単価履歴'!$E:$E,E884,'単価履歴'!$F:$F,F884)=O884,"●","")</f>
        <v/>
      </c>
      <c r="O884" s="346">
        <v>45757.268425925926</v>
      </c>
      <c r="P884" s="334" t="str">
        <f t="shared" si="4"/>
        <v>愛知:阪和新断Ａ</v>
      </c>
    </row>
    <row r="885" ht="15.75" customHeight="1">
      <c r="A885" s="335" t="s">
        <v>2082</v>
      </c>
      <c r="B885" s="336">
        <v>45757.0</v>
      </c>
      <c r="C885" s="335" t="s">
        <v>14</v>
      </c>
      <c r="D885" s="335" t="s">
        <v>46</v>
      </c>
      <c r="E885" s="337" t="str">
        <f t="shared" si="1"/>
        <v>愛知:阪和</v>
      </c>
      <c r="F885" s="338" t="s">
        <v>575</v>
      </c>
      <c r="G885" s="339" t="str">
        <f t="shared" si="2"/>
        <v>愛知:阪和鋼ダライＡ</v>
      </c>
      <c r="H885" s="340">
        <f t="shared" si="3"/>
        <v>2.5</v>
      </c>
      <c r="I885" s="341">
        <v>1.0</v>
      </c>
      <c r="J885" s="332">
        <f>IFERROR(__xludf.DUMMYFUNCTION("IF(IF(COUNTIF(P$2:P884, P885)=0, """", INDEX(H$2:H884,
MAX(FILTER(ROW(H$2:H884) - ROW(H$2) + 1, P$2:P884 = P885))))=""単価"","""",
IF(COUNTIF(P$2:P884, P885)=0, """", INDEX(H$2:H884,
MAX(FILTER(ROW(H$2:H884) - ROW(H$2) + 1, P$2:P884 = P885)))))"),1.5)</f>
        <v>1.5</v>
      </c>
      <c r="N885" s="335" t="str">
        <f>IF(MAXIFS('単価履歴'!$O:$O,'単価履歴'!$E:$E,E885,'単価履歴'!$F:$F,F885)=O885,"●","")</f>
        <v>●</v>
      </c>
      <c r="O885" s="346">
        <v>45757.268425925926</v>
      </c>
      <c r="P885" s="334" t="str">
        <f t="shared" si="4"/>
        <v>愛知:阪和鋼ダライＡ</v>
      </c>
    </row>
    <row r="886" ht="15.75" customHeight="1">
      <c r="A886" s="335" t="s">
        <v>2083</v>
      </c>
      <c r="B886" s="336">
        <v>45757.0</v>
      </c>
      <c r="C886" s="335" t="s">
        <v>14</v>
      </c>
      <c r="D886" s="335" t="s">
        <v>46</v>
      </c>
      <c r="E886" s="337" t="str">
        <f t="shared" si="1"/>
        <v>愛知:阪和</v>
      </c>
      <c r="F886" s="338" t="s">
        <v>101</v>
      </c>
      <c r="G886" s="339" t="str">
        <f t="shared" si="2"/>
        <v>愛知:阪和ＨＳ２</v>
      </c>
      <c r="H886" s="340">
        <f t="shared" si="3"/>
        <v>44.7</v>
      </c>
      <c r="I886" s="341">
        <v>1.0</v>
      </c>
      <c r="J886" s="332">
        <f>IFERROR(__xludf.DUMMYFUNCTION("IF(IF(COUNTIF(P$2:P885, P886)=0, """", INDEX(H$2:H885,
MAX(FILTER(ROW(H$2:H885) - ROW(H$2) + 1, P$2:P885 = P886))))=""単価"","""",
IF(COUNTIF(P$2:P885, P886)=0, """", INDEX(H$2:H885,
MAX(FILTER(ROW(H$2:H885) - ROW(H$2) + 1, P$2:P885 = P886)))))"),43.7)</f>
        <v>43.7</v>
      </c>
      <c r="N886" s="335" t="str">
        <f>IF(MAXIFS('単価履歴'!$O:$O,'単価履歴'!$E:$E,E886,'単価履歴'!$F:$F,F886)=O886,"●","")</f>
        <v/>
      </c>
      <c r="O886" s="346">
        <v>45757.268425925926</v>
      </c>
      <c r="P886" s="334" t="str">
        <f t="shared" si="4"/>
        <v>愛知:阪和ＨＳ２</v>
      </c>
    </row>
    <row r="887" ht="15.75" customHeight="1">
      <c r="A887" s="335" t="s">
        <v>2084</v>
      </c>
      <c r="B887" s="336">
        <v>45757.0</v>
      </c>
      <c r="C887" s="335" t="s">
        <v>14</v>
      </c>
      <c r="D887" s="335" t="s">
        <v>46</v>
      </c>
      <c r="E887" s="337" t="str">
        <f t="shared" si="1"/>
        <v>愛知:阪和</v>
      </c>
      <c r="F887" s="338" t="s">
        <v>119</v>
      </c>
      <c r="G887" s="339" t="str">
        <f t="shared" si="2"/>
        <v>愛知:阪和Ｈ３(1級)</v>
      </c>
      <c r="H887" s="340">
        <f t="shared" si="3"/>
        <v>38.7</v>
      </c>
      <c r="I887" s="341">
        <v>1.0</v>
      </c>
      <c r="J887" s="332">
        <f>IFERROR(__xludf.DUMMYFUNCTION("IF(IF(COUNTIF(P$2:P886, P887)=0, """", INDEX(H$2:H886,
MAX(FILTER(ROW(H$2:H886) - ROW(H$2) + 1, P$2:P886 = P887))))=""単価"","""",
IF(COUNTIF(P$2:P886, P887)=0, """", INDEX(H$2:H886,
MAX(FILTER(ROW(H$2:H886) - ROW(H$2) + 1, P$2:P886 = P887)))))"),37.7)</f>
        <v>37.7</v>
      </c>
      <c r="N887" s="335" t="str">
        <f>IF(MAXIFS('単価履歴'!$O:$O,'単価履歴'!$E:$E,E887,'単価履歴'!$F:$F,F887)=O887,"●","")</f>
        <v/>
      </c>
      <c r="O887" s="346">
        <v>45757.268425925926</v>
      </c>
      <c r="P887" s="334" t="str">
        <f t="shared" si="4"/>
        <v>愛知:阪和Ｈ３(1級)</v>
      </c>
    </row>
    <row r="888" ht="15.75" customHeight="1">
      <c r="A888" s="335" t="s">
        <v>2085</v>
      </c>
      <c r="B888" s="336">
        <v>45757.0</v>
      </c>
      <c r="C888" s="335" t="s">
        <v>14</v>
      </c>
      <c r="D888" s="335" t="s">
        <v>46</v>
      </c>
      <c r="E888" s="337" t="str">
        <f t="shared" si="1"/>
        <v>愛知:阪和</v>
      </c>
      <c r="F888" s="338" t="s">
        <v>131</v>
      </c>
      <c r="G888" s="339" t="str">
        <f t="shared" si="2"/>
        <v>愛知:阪和新断Ｂ</v>
      </c>
      <c r="H888" s="340">
        <f t="shared" si="3"/>
        <v>44</v>
      </c>
      <c r="I888" s="341">
        <v>1.0</v>
      </c>
      <c r="J888" s="332">
        <f>IFERROR(__xludf.DUMMYFUNCTION("IF(IF(COUNTIF(P$2:P887, P888)=0, """", INDEX(H$2:H887,
MAX(FILTER(ROW(H$2:H887) - ROW(H$2) + 1, P$2:P887 = P888))))=""単価"","""",
IF(COUNTIF(P$2:P887, P888)=0, """", INDEX(H$2:H887,
MAX(FILTER(ROW(H$2:H887) - ROW(H$2) + 1, P$2:P887 = P888)))))"),43.0)</f>
        <v>43</v>
      </c>
      <c r="N888" s="335" t="str">
        <f>IF(MAXIFS('単価履歴'!$O:$O,'単価履歴'!$E:$E,E888,'単価履歴'!$F:$F,F888)=O888,"●","")</f>
        <v/>
      </c>
      <c r="O888" s="346">
        <v>45757.268425925926</v>
      </c>
      <c r="P888" s="334" t="str">
        <f t="shared" si="4"/>
        <v>愛知:阪和新断Ｂ</v>
      </c>
    </row>
    <row r="889" ht="15.75" customHeight="1">
      <c r="A889" s="335" t="s">
        <v>2086</v>
      </c>
      <c r="B889" s="336">
        <v>45757.0</v>
      </c>
      <c r="C889" s="335" t="s">
        <v>14</v>
      </c>
      <c r="D889" s="335" t="s">
        <v>46</v>
      </c>
      <c r="E889" s="337" t="str">
        <f t="shared" si="1"/>
        <v>愛知:阪和</v>
      </c>
      <c r="F889" s="338" t="s">
        <v>111</v>
      </c>
      <c r="G889" s="339" t="str">
        <f t="shared" si="2"/>
        <v>愛知:阪和Ｈ１(特A)</v>
      </c>
      <c r="H889" s="340">
        <f t="shared" si="3"/>
        <v>40.2</v>
      </c>
      <c r="I889" s="341">
        <v>1.0</v>
      </c>
      <c r="J889" s="332">
        <f>IFERROR(__xludf.DUMMYFUNCTION("IF(IF(COUNTIF(P$2:P888, P889)=0, """", INDEX(H$2:H888,
MAX(FILTER(ROW(H$2:H888) - ROW(H$2) + 1, P$2:P888 = P889))))=""単価"","""",
IF(COUNTIF(P$2:P888, P889)=0, """", INDEX(H$2:H888,
MAX(FILTER(ROW(H$2:H888) - ROW(H$2) + 1, P$2:P888 = P889)))))"),39.2)</f>
        <v>39.2</v>
      </c>
      <c r="N889" s="335" t="str">
        <f>IF(MAXIFS('単価履歴'!$O:$O,'単価履歴'!$E:$E,E889,'単価履歴'!$F:$F,F889)=O889,"●","")</f>
        <v/>
      </c>
      <c r="O889" s="346">
        <v>45757.268425925926</v>
      </c>
      <c r="P889" s="334" t="str">
        <f t="shared" si="4"/>
        <v>愛知:阪和Ｈ１(特A)</v>
      </c>
    </row>
    <row r="890" ht="15.75" customHeight="1">
      <c r="A890" s="335" t="s">
        <v>2087</v>
      </c>
      <c r="B890" s="336">
        <v>45757.0</v>
      </c>
      <c r="C890" s="335" t="s">
        <v>14</v>
      </c>
      <c r="D890" s="335" t="s">
        <v>46</v>
      </c>
      <c r="E890" s="337" t="str">
        <f t="shared" si="1"/>
        <v>愛知:阪和</v>
      </c>
      <c r="F890" s="338" t="s">
        <v>573</v>
      </c>
      <c r="G890" s="339" t="str">
        <f t="shared" si="2"/>
        <v>愛知:阪和Ｌ２(H4･級外･L1ﾊﾞﾗ)</v>
      </c>
      <c r="H890" s="340">
        <f t="shared" si="3"/>
        <v>35.3</v>
      </c>
      <c r="I890" s="341">
        <v>1.0</v>
      </c>
      <c r="J890" s="332">
        <f>IFERROR(__xludf.DUMMYFUNCTION("IF(IF(COUNTIF(P$2:P889, P890)=0, """", INDEX(H$2:H889,
MAX(FILTER(ROW(H$2:H889) - ROW(H$2) + 1, P$2:P889 = P890))))=""単価"","""",
IF(COUNTIF(P$2:P889, P890)=0, """", INDEX(H$2:H889,
MAX(FILTER(ROW(H$2:H889) - ROW(H$2) + 1, P$2:P889 = P890)))))"),34.3)</f>
        <v>34.3</v>
      </c>
      <c r="N890" s="335" t="str">
        <f>IF(MAXIFS('単価履歴'!$O:$O,'単価履歴'!$E:$E,E890,'単価履歴'!$F:$F,F890)=O890,"●","")</f>
        <v/>
      </c>
      <c r="O890" s="346">
        <v>45757.268425925926</v>
      </c>
      <c r="P890" s="334" t="str">
        <f t="shared" si="4"/>
        <v>愛知:阪和Ｌ２(H4･級外･L1ﾊﾞﾗ)</v>
      </c>
    </row>
    <row r="891" ht="15.75" customHeight="1">
      <c r="A891" s="335" t="s">
        <v>2088</v>
      </c>
      <c r="B891" s="336">
        <v>45757.0</v>
      </c>
      <c r="C891" s="335" t="s">
        <v>14</v>
      </c>
      <c r="D891" s="335" t="s">
        <v>46</v>
      </c>
      <c r="E891" s="337" t="str">
        <f t="shared" si="1"/>
        <v>愛知:阪和</v>
      </c>
      <c r="F891" s="338" t="s">
        <v>145</v>
      </c>
      <c r="G891" s="339" t="str">
        <f t="shared" si="2"/>
        <v>愛知:阪和シュレＡ</v>
      </c>
      <c r="H891" s="340">
        <f t="shared" si="3"/>
        <v>45</v>
      </c>
      <c r="I891" s="341">
        <v>1.0</v>
      </c>
      <c r="J891" s="332">
        <f>IFERROR(__xludf.DUMMYFUNCTION("IF(IF(COUNTIF(P$2:P890, P891)=0, """", INDEX(H$2:H890,
MAX(FILTER(ROW(H$2:H890) - ROW(H$2) + 1, P$2:P890 = P891))))=""単価"","""",
IF(COUNTIF(P$2:P890, P891)=0, """", INDEX(H$2:H890,
MAX(FILTER(ROW(H$2:H890) - ROW(H$2) + 1, P$2:P890 = P891)))))"),44.0)</f>
        <v>44</v>
      </c>
      <c r="N891" s="335" t="str">
        <f>IF(MAXIFS('単価履歴'!$O:$O,'単価履歴'!$E:$E,E891,'単価履歴'!$F:$F,F891)=O891,"●","")</f>
        <v/>
      </c>
      <c r="O891" s="346">
        <v>45757.268425925926</v>
      </c>
      <c r="P891" s="334" t="str">
        <f t="shared" si="4"/>
        <v>愛知:阪和シュレＡ</v>
      </c>
    </row>
    <row r="892" ht="15.75" customHeight="1">
      <c r="A892" s="335" t="s">
        <v>2089</v>
      </c>
      <c r="B892" s="336">
        <v>45757.0</v>
      </c>
      <c r="C892" s="335" t="s">
        <v>537</v>
      </c>
      <c r="D892" s="335" t="s">
        <v>59</v>
      </c>
      <c r="E892" s="337" t="str">
        <f t="shared" si="1"/>
        <v>大同特殊鋼:大同興業</v>
      </c>
      <c r="F892" s="338" t="s">
        <v>575</v>
      </c>
      <c r="G892" s="339" t="str">
        <f t="shared" si="2"/>
        <v>大同特殊鋼:大同興業鋼ダライＡ</v>
      </c>
      <c r="H892" s="340">
        <f t="shared" si="3"/>
        <v>38.4</v>
      </c>
      <c r="I892" s="341">
        <v>1.0</v>
      </c>
      <c r="J892" s="332">
        <f>IFERROR(__xludf.DUMMYFUNCTION("IF(IF(COUNTIF(P$2:P891, P892)=0, """", INDEX(H$2:H891,
MAX(FILTER(ROW(H$2:H891) - ROW(H$2) + 1, P$2:P891 = P892))))=""単価"","""",
IF(COUNTIF(P$2:P891, P892)=0, """", INDEX(H$2:H891,
MAX(FILTER(ROW(H$2:H891) - ROW(H$2) + 1, P$2:P891 = P892)))))"),37.4)</f>
        <v>37.4</v>
      </c>
      <c r="N892" s="335" t="str">
        <f>IF(MAXIFS('単価履歴'!$O:$O,'単価履歴'!$E:$E,E892,'単価履歴'!$F:$F,F892)=O892,"●","")</f>
        <v/>
      </c>
      <c r="O892" s="346">
        <v>45757.26907407407</v>
      </c>
      <c r="P892" s="334" t="str">
        <f t="shared" si="4"/>
        <v>大同特殊鋼:大同興業鋼ダライＡ</v>
      </c>
    </row>
    <row r="893" ht="15.75" customHeight="1">
      <c r="A893" s="335" t="s">
        <v>2090</v>
      </c>
      <c r="B893" s="336">
        <v>45757.0</v>
      </c>
      <c r="C893" s="335" t="s">
        <v>537</v>
      </c>
      <c r="D893" s="335" t="s">
        <v>59</v>
      </c>
      <c r="E893" s="337" t="str">
        <f t="shared" si="1"/>
        <v>大同特殊鋼:大同興業</v>
      </c>
      <c r="F893" s="338" t="s">
        <v>1199</v>
      </c>
      <c r="G893" s="339" t="str">
        <f t="shared" si="2"/>
        <v>大同特殊鋼:大同興業ＨＳ１(単体H1/電特A/HS))</v>
      </c>
      <c r="H893" s="340">
        <f t="shared" si="3"/>
        <v>45.5</v>
      </c>
      <c r="I893" s="341">
        <v>1.0</v>
      </c>
      <c r="J893" s="332">
        <f>IFERROR(__xludf.DUMMYFUNCTION("IF(IF(COUNTIF(P$2:P892, P893)=0, """", INDEX(H$2:H892,
MAX(FILTER(ROW(H$2:H892) - ROW(H$2) + 1, P$2:P892 = P893))))=""単価"","""",
IF(COUNTIF(P$2:P892, P893)=0, """", INDEX(H$2:H892,
MAX(FILTER(ROW(H$2:H892) - ROW(H$2) + 1, P$2:P892 = P893)))))"),44.5)</f>
        <v>44.5</v>
      </c>
      <c r="N893" s="335" t="str">
        <f>IF(MAXIFS('単価履歴'!$O:$O,'単価履歴'!$E:$E,E893,'単価履歴'!$F:$F,F893)=O893,"●","")</f>
        <v/>
      </c>
      <c r="O893" s="346">
        <v>45757.26907407407</v>
      </c>
      <c r="P893" s="334" t="str">
        <f t="shared" si="4"/>
        <v>大同特殊鋼:大同興業ＨＳ１(単体H1/電特A/HS))</v>
      </c>
    </row>
    <row r="894" ht="15.75" customHeight="1">
      <c r="A894" s="335" t="s">
        <v>2091</v>
      </c>
      <c r="B894" s="336">
        <v>45757.0</v>
      </c>
      <c r="C894" s="335" t="s">
        <v>537</v>
      </c>
      <c r="D894" s="335" t="s">
        <v>59</v>
      </c>
      <c r="E894" s="337" t="str">
        <f t="shared" si="1"/>
        <v>大同特殊鋼:大同興業</v>
      </c>
      <c r="F894" s="338" t="s">
        <v>116</v>
      </c>
      <c r="G894" s="339" t="str">
        <f t="shared" si="2"/>
        <v>大同特殊鋼:大同興業Ｈ２(特級)</v>
      </c>
      <c r="H894" s="340">
        <f t="shared" si="3"/>
        <v>2</v>
      </c>
      <c r="I894" s="341">
        <v>1.0</v>
      </c>
      <c r="J894" s="332">
        <f>IFERROR(__xludf.DUMMYFUNCTION("IF(IF(COUNTIF(P$2:P893, P894)=0, """", INDEX(H$2:H893,
MAX(FILTER(ROW(H$2:H893) - ROW(H$2) + 1, P$2:P893 = P894))))=""単価"","""",
IF(COUNTIF(P$2:P893, P894)=0, """", INDEX(H$2:H893,
MAX(FILTER(ROW(H$2:H893) - ROW(H$2) + 1, P$2:P893 = P894)))))"),1.0)</f>
        <v>1</v>
      </c>
      <c r="N894" s="335" t="str">
        <f>IF(MAXIFS('単価履歴'!$O:$O,'単価履歴'!$E:$E,E894,'単価履歴'!$F:$F,F894)=O894,"●","")</f>
        <v/>
      </c>
      <c r="O894" s="346">
        <v>45757.26907407407</v>
      </c>
      <c r="P894" s="334" t="str">
        <f t="shared" si="4"/>
        <v>大同特殊鋼:大同興業Ｈ２(特級)</v>
      </c>
    </row>
    <row r="895" ht="15.75" customHeight="1">
      <c r="A895" s="335" t="s">
        <v>2092</v>
      </c>
      <c r="B895" s="336">
        <v>45757.0</v>
      </c>
      <c r="C895" s="335" t="s">
        <v>537</v>
      </c>
      <c r="D895" s="335" t="s">
        <v>1404</v>
      </c>
      <c r="E895" s="337" t="str">
        <f t="shared" si="1"/>
        <v>大同特殊鋼:JSE/大和ﾘﾃｯｸ</v>
      </c>
      <c r="F895" s="338" t="s">
        <v>575</v>
      </c>
      <c r="G895" s="339" t="str">
        <f t="shared" si="2"/>
        <v>大同特殊鋼:JSE/大和ﾘﾃｯｸ鋼ダライＡ</v>
      </c>
      <c r="H895" s="340">
        <f t="shared" si="3"/>
        <v>41.8</v>
      </c>
      <c r="I895" s="341">
        <v>1.0</v>
      </c>
      <c r="J895" s="332">
        <f>IFERROR(__xludf.DUMMYFUNCTION("IF(IF(COUNTIF(P$2:P894, P895)=0, """", INDEX(H$2:H894,
MAX(FILTER(ROW(H$2:H894) - ROW(H$2) + 1, P$2:P894 = P895))))=""単価"","""",
IF(COUNTIF(P$2:P894, P895)=0, """", INDEX(H$2:H894,
MAX(FILTER(ROW(H$2:H894) - ROW(H$2) + 1, P$2:P894 = P895)))))"),40.8)</f>
        <v>40.8</v>
      </c>
      <c r="N895" s="335" t="str">
        <f>IF(MAXIFS('単価履歴'!$O:$O,'単価履歴'!$E:$E,E895,'単価履歴'!$F:$F,F895)=O895,"●","")</f>
        <v/>
      </c>
      <c r="O895" s="346">
        <v>45757.26907407407</v>
      </c>
      <c r="P895" s="334" t="str">
        <f t="shared" si="4"/>
        <v>大同特殊鋼:JSE/大和ﾘﾃｯｸ鋼ダライＡ</v>
      </c>
    </row>
    <row r="896" ht="15.75" customHeight="1">
      <c r="A896" s="335" t="s">
        <v>2093</v>
      </c>
      <c r="B896" s="336">
        <v>45757.0</v>
      </c>
      <c r="C896" s="335" t="s">
        <v>537</v>
      </c>
      <c r="D896" s="335" t="s">
        <v>1404</v>
      </c>
      <c r="E896" s="337" t="str">
        <f t="shared" si="1"/>
        <v>大同特殊鋼:JSE/大和ﾘﾃｯｸ</v>
      </c>
      <c r="F896" s="338" t="s">
        <v>1199</v>
      </c>
      <c r="G896" s="339" t="str">
        <f t="shared" si="2"/>
        <v>大同特殊鋼:JSE/大和ﾘﾃｯｸＨＳ１(単体H1/電特A/HS))</v>
      </c>
      <c r="H896" s="340">
        <f t="shared" si="3"/>
        <v>46.5</v>
      </c>
      <c r="I896" s="341">
        <v>1.0</v>
      </c>
      <c r="J896" s="332">
        <f>IFERROR(__xludf.DUMMYFUNCTION("IF(IF(COUNTIF(P$2:P895, P896)=0, """", INDEX(H$2:H895,
MAX(FILTER(ROW(H$2:H895) - ROW(H$2) + 1, P$2:P895 = P896))))=""単価"","""",
IF(COUNTIF(P$2:P895, P896)=0, """", INDEX(H$2:H895,
MAX(FILTER(ROW(H$2:H895) - ROW(H$2) + 1, P$2:P895 = P896)))))"),45.5)</f>
        <v>45.5</v>
      </c>
      <c r="N896" s="335" t="str">
        <f>IF(MAXIFS('単価履歴'!$O:$O,'単価履歴'!$E:$E,E896,'単価履歴'!$F:$F,F896)=O896,"●","")</f>
        <v/>
      </c>
      <c r="O896" s="346">
        <v>45757.26907407407</v>
      </c>
      <c r="P896" s="334" t="str">
        <f t="shared" si="4"/>
        <v>大同特殊鋼:JSE/大和ﾘﾃｯｸＨＳ１(単体H1/電特A/HS))</v>
      </c>
    </row>
    <row r="897" ht="15.75" customHeight="1">
      <c r="A897" s="335" t="s">
        <v>2094</v>
      </c>
      <c r="B897" s="336">
        <v>45757.0</v>
      </c>
      <c r="C897" s="335" t="s">
        <v>537</v>
      </c>
      <c r="D897" s="335" t="s">
        <v>1404</v>
      </c>
      <c r="E897" s="337" t="str">
        <f t="shared" si="1"/>
        <v>大同特殊鋼:JSE/大和ﾘﾃｯｸ</v>
      </c>
      <c r="F897" s="338" t="s">
        <v>116</v>
      </c>
      <c r="G897" s="339" t="str">
        <f t="shared" si="2"/>
        <v>大同特殊鋼:JSE/大和ﾘﾃｯｸＨ２(特級)</v>
      </c>
      <c r="H897" s="340">
        <f t="shared" si="3"/>
        <v>43</v>
      </c>
      <c r="I897" s="341">
        <v>1.0</v>
      </c>
      <c r="J897" s="332">
        <f>IFERROR(__xludf.DUMMYFUNCTION("IF(IF(COUNTIF(P$2:P896, P897)=0, """", INDEX(H$2:H896,
MAX(FILTER(ROW(H$2:H896) - ROW(H$2) + 1, P$2:P896 = P897))))=""単価"","""",
IF(COUNTIF(P$2:P896, P897)=0, """", INDEX(H$2:H896,
MAX(FILTER(ROW(H$2:H896) - ROW(H$2) + 1, P$2:P896 = P897)))))"),42.0)</f>
        <v>42</v>
      </c>
      <c r="N897" s="335" t="str">
        <f>IF(MAXIFS('単価履歴'!$O:$O,'単価履歴'!$E:$E,E897,'単価履歴'!$F:$F,F897)=O897,"●","")</f>
        <v/>
      </c>
      <c r="O897" s="346">
        <v>45757.26907407407</v>
      </c>
      <c r="P897" s="334" t="str">
        <f t="shared" si="4"/>
        <v>大同特殊鋼:JSE/大和ﾘﾃｯｸＨ２(特級)</v>
      </c>
    </row>
    <row r="898" ht="15.75" customHeight="1">
      <c r="A898" s="335" t="s">
        <v>2095</v>
      </c>
      <c r="B898" s="336">
        <v>45757.0</v>
      </c>
      <c r="C898" s="335" t="s">
        <v>537</v>
      </c>
      <c r="D898" s="335" t="s">
        <v>1407</v>
      </c>
      <c r="E898" s="337" t="str">
        <f t="shared" si="1"/>
        <v>大同特殊鋼:JSE/第二＠2.3</v>
      </c>
      <c r="F898" s="338" t="s">
        <v>575</v>
      </c>
      <c r="G898" s="339" t="str">
        <f t="shared" si="2"/>
        <v>大同特殊鋼:JSE/第二＠2.3鋼ダライＡ</v>
      </c>
      <c r="H898" s="340">
        <f t="shared" si="3"/>
        <v>39.5</v>
      </c>
      <c r="I898" s="341">
        <v>1.0</v>
      </c>
      <c r="J898" s="332">
        <f>IFERROR(__xludf.DUMMYFUNCTION("IF(IF(COUNTIF(P$2:P897, P898)=0, """", INDEX(H$2:H897,
MAX(FILTER(ROW(H$2:H897) - ROW(H$2) + 1, P$2:P897 = P898))))=""単価"","""",
IF(COUNTIF(P$2:P897, P898)=0, """", INDEX(H$2:H897,
MAX(FILTER(ROW(H$2:H897) - ROW(H$2) + 1, P$2:P897 = P898)))))"),38.5)</f>
        <v>38.5</v>
      </c>
      <c r="N898" s="335" t="str">
        <f>IF(MAXIFS('単価履歴'!$O:$O,'単価履歴'!$E:$E,E898,'単価履歴'!$F:$F,F898)=O898,"●","")</f>
        <v/>
      </c>
      <c r="O898" s="346">
        <v>45757.26907407407</v>
      </c>
      <c r="P898" s="334" t="str">
        <f t="shared" si="4"/>
        <v>大同特殊鋼:JSE/第二＠2.3鋼ダライＡ</v>
      </c>
    </row>
    <row r="899" ht="15.75" customHeight="1">
      <c r="A899" s="335" t="s">
        <v>2096</v>
      </c>
      <c r="B899" s="336">
        <v>45757.0</v>
      </c>
      <c r="C899" s="335" t="s">
        <v>537</v>
      </c>
      <c r="D899" s="335" t="s">
        <v>1407</v>
      </c>
      <c r="E899" s="337" t="str">
        <f t="shared" si="1"/>
        <v>大同特殊鋼:JSE/第二＠2.3</v>
      </c>
      <c r="F899" s="338" t="s">
        <v>1199</v>
      </c>
      <c r="G899" s="339" t="str">
        <f t="shared" si="2"/>
        <v>大同特殊鋼:JSE/第二＠2.3ＨＳ１(単体H1/電特A/HS))</v>
      </c>
      <c r="H899" s="340">
        <f t="shared" si="3"/>
        <v>44.2</v>
      </c>
      <c r="I899" s="341">
        <v>1.0</v>
      </c>
      <c r="J899" s="332">
        <f>IFERROR(__xludf.DUMMYFUNCTION("IF(IF(COUNTIF(P$2:P898, P899)=0, """", INDEX(H$2:H898,
MAX(FILTER(ROW(H$2:H898) - ROW(H$2) + 1, P$2:P898 = P899))))=""単価"","""",
IF(COUNTIF(P$2:P898, P899)=0, """", INDEX(H$2:H898,
MAX(FILTER(ROW(H$2:H898) - ROW(H$2) + 1, P$2:P898 = P899)))))"),43.2)</f>
        <v>43.2</v>
      </c>
      <c r="N899" s="335" t="str">
        <f>IF(MAXIFS('単価履歴'!$O:$O,'単価履歴'!$E:$E,E899,'単価履歴'!$F:$F,F899)=O899,"●","")</f>
        <v/>
      </c>
      <c r="O899" s="346">
        <v>45757.26907407407</v>
      </c>
      <c r="P899" s="334" t="str">
        <f t="shared" si="4"/>
        <v>大同特殊鋼:JSE/第二＠2.3ＨＳ１(単体H1/電特A/HS))</v>
      </c>
    </row>
    <row r="900" ht="15.75" customHeight="1">
      <c r="A900" s="335" t="s">
        <v>2097</v>
      </c>
      <c r="B900" s="336">
        <v>45757.0</v>
      </c>
      <c r="C900" s="335" t="s">
        <v>537</v>
      </c>
      <c r="D900" s="335" t="s">
        <v>1407</v>
      </c>
      <c r="E900" s="337" t="str">
        <f t="shared" si="1"/>
        <v>大同特殊鋼:JSE/第二＠2.3</v>
      </c>
      <c r="F900" s="338" t="s">
        <v>116</v>
      </c>
      <c r="G900" s="339" t="str">
        <f t="shared" si="2"/>
        <v>大同特殊鋼:JSE/第二＠2.3Ｈ２(特級)</v>
      </c>
      <c r="H900" s="340">
        <f t="shared" si="3"/>
        <v>40.7</v>
      </c>
      <c r="I900" s="341">
        <v>1.0</v>
      </c>
      <c r="J900" s="332">
        <f>IFERROR(__xludf.DUMMYFUNCTION("IF(IF(COUNTIF(P$2:P899, P900)=0, """", INDEX(H$2:H899,
MAX(FILTER(ROW(H$2:H899) - ROW(H$2) + 1, P$2:P899 = P900))))=""単価"","""",
IF(COUNTIF(P$2:P899, P900)=0, """", INDEX(H$2:H899,
MAX(FILTER(ROW(H$2:H899) - ROW(H$2) + 1, P$2:P899 = P900)))))"),39.7)</f>
        <v>39.7</v>
      </c>
      <c r="N900" s="335" t="str">
        <f>IF(MAXIFS('単価履歴'!$O:$O,'単価履歴'!$E:$E,E900,'単価履歴'!$F:$F,F900)=O900,"●","")</f>
        <v/>
      </c>
      <c r="O900" s="346">
        <v>45757.26907407407</v>
      </c>
      <c r="P900" s="334" t="str">
        <f t="shared" si="4"/>
        <v>大同特殊鋼:JSE/第二＠2.3Ｈ２(特級)</v>
      </c>
    </row>
    <row r="901" ht="15.75" customHeight="1">
      <c r="A901" s="335" t="s">
        <v>2098</v>
      </c>
      <c r="B901" s="336">
        <v>45757.0</v>
      </c>
      <c r="C901" s="335" t="s">
        <v>537</v>
      </c>
      <c r="D901" s="335" t="s">
        <v>1410</v>
      </c>
      <c r="E901" s="337" t="str">
        <f t="shared" si="1"/>
        <v>大同特殊鋼:JSE/岐阜＠1.5</v>
      </c>
      <c r="F901" s="338" t="s">
        <v>575</v>
      </c>
      <c r="G901" s="339" t="str">
        <f t="shared" si="2"/>
        <v>大同特殊鋼:JSE/岐阜＠1.5鋼ダライＡ</v>
      </c>
      <c r="H901" s="340">
        <f t="shared" si="3"/>
        <v>40.3</v>
      </c>
      <c r="I901" s="341">
        <v>1.0</v>
      </c>
      <c r="J901" s="332">
        <f>IFERROR(__xludf.DUMMYFUNCTION("IF(IF(COUNTIF(P$2:P900, P901)=0, """", INDEX(H$2:H900,
MAX(FILTER(ROW(H$2:H900) - ROW(H$2) + 1, P$2:P900 = P901))))=""単価"","""",
IF(COUNTIF(P$2:P900, P901)=0, """", INDEX(H$2:H900,
MAX(FILTER(ROW(H$2:H900) - ROW(H$2) + 1, P$2:P900 = P901)))))"),39.3)</f>
        <v>39.3</v>
      </c>
      <c r="N901" s="335" t="str">
        <f>IF(MAXIFS('単価履歴'!$O:$O,'単価履歴'!$E:$E,E901,'単価履歴'!$F:$F,F901)=O901,"●","")</f>
        <v/>
      </c>
      <c r="O901" s="346">
        <v>45757.26907407407</v>
      </c>
      <c r="P901" s="334" t="str">
        <f t="shared" si="4"/>
        <v>大同特殊鋼:JSE/岐阜＠1.5鋼ダライＡ</v>
      </c>
    </row>
    <row r="902" ht="15.75" customHeight="1">
      <c r="A902" s="335" t="s">
        <v>2099</v>
      </c>
      <c r="B902" s="336">
        <v>45757.0</v>
      </c>
      <c r="C902" s="335" t="s">
        <v>537</v>
      </c>
      <c r="D902" s="335" t="s">
        <v>1410</v>
      </c>
      <c r="E902" s="337" t="str">
        <f t="shared" si="1"/>
        <v>大同特殊鋼:JSE/岐阜＠1.5</v>
      </c>
      <c r="F902" s="338" t="s">
        <v>1199</v>
      </c>
      <c r="G902" s="339" t="str">
        <f t="shared" si="2"/>
        <v>大同特殊鋼:JSE/岐阜＠1.5ＨＳ１(単体H1/電特A/HS))</v>
      </c>
      <c r="H902" s="340">
        <f t="shared" si="3"/>
        <v>45</v>
      </c>
      <c r="I902" s="341">
        <v>1.0</v>
      </c>
      <c r="J902" s="332">
        <f>IFERROR(__xludf.DUMMYFUNCTION("IF(IF(COUNTIF(P$2:P901, P902)=0, """", INDEX(H$2:H901,
MAX(FILTER(ROW(H$2:H901) - ROW(H$2) + 1, P$2:P901 = P902))))=""単価"","""",
IF(COUNTIF(P$2:P901, P902)=0, """", INDEX(H$2:H901,
MAX(FILTER(ROW(H$2:H901) - ROW(H$2) + 1, P$2:P901 = P902)))))"),44.0)</f>
        <v>44</v>
      </c>
      <c r="N902" s="335" t="str">
        <f>IF(MAXIFS('単価履歴'!$O:$O,'単価履歴'!$E:$E,E902,'単価履歴'!$F:$F,F902)=O902,"●","")</f>
        <v/>
      </c>
      <c r="O902" s="346">
        <v>45757.26907407407</v>
      </c>
      <c r="P902" s="334" t="str">
        <f t="shared" si="4"/>
        <v>大同特殊鋼:JSE/岐阜＠1.5ＨＳ１(単体H1/電特A/HS))</v>
      </c>
    </row>
    <row r="903" ht="15.75" customHeight="1">
      <c r="A903" s="335" t="s">
        <v>2100</v>
      </c>
      <c r="B903" s="336">
        <v>45757.0</v>
      </c>
      <c r="C903" s="335" t="s">
        <v>537</v>
      </c>
      <c r="D903" s="335" t="s">
        <v>1410</v>
      </c>
      <c r="E903" s="337" t="str">
        <f t="shared" si="1"/>
        <v>大同特殊鋼:JSE/岐阜＠1.5</v>
      </c>
      <c r="F903" s="338" t="s">
        <v>116</v>
      </c>
      <c r="G903" s="339" t="str">
        <f t="shared" si="2"/>
        <v>大同特殊鋼:JSE/岐阜＠1.5Ｈ２(特級)</v>
      </c>
      <c r="H903" s="340">
        <f t="shared" si="3"/>
        <v>41.5</v>
      </c>
      <c r="I903" s="341">
        <v>1.0</v>
      </c>
      <c r="J903" s="332">
        <f>IFERROR(__xludf.DUMMYFUNCTION("IF(IF(COUNTIF(P$2:P902, P903)=0, """", INDEX(H$2:H902,
MAX(FILTER(ROW(H$2:H902) - ROW(H$2) + 1, P$2:P902 = P903))))=""単価"","""",
IF(COUNTIF(P$2:P902, P903)=0, """", INDEX(H$2:H902,
MAX(FILTER(ROW(H$2:H902) - ROW(H$2) + 1, P$2:P902 = P903)))))"),40.5)</f>
        <v>40.5</v>
      </c>
      <c r="N903" s="335" t="str">
        <f>IF(MAXIFS('単価履歴'!$O:$O,'単価履歴'!$E:$E,E903,'単価履歴'!$F:$F,F903)=O903,"●","")</f>
        <v/>
      </c>
      <c r="O903" s="346">
        <v>45757.26907407407</v>
      </c>
      <c r="P903" s="334" t="str">
        <f t="shared" si="4"/>
        <v>大同特殊鋼:JSE/岐阜＠1.5Ｈ２(特級)</v>
      </c>
    </row>
    <row r="904" ht="15.75" customHeight="1">
      <c r="A904" s="335" t="s">
        <v>2101</v>
      </c>
      <c r="B904" s="336">
        <v>45757.0</v>
      </c>
      <c r="C904" s="335" t="s">
        <v>15</v>
      </c>
      <c r="D904" s="335" t="s">
        <v>58</v>
      </c>
      <c r="E904" s="337" t="str">
        <f t="shared" si="1"/>
        <v>山口鋼業:MM建材</v>
      </c>
      <c r="F904" s="338" t="s">
        <v>116</v>
      </c>
      <c r="G904" s="339" t="str">
        <f t="shared" si="2"/>
        <v>山口鋼業:MM建材Ｈ２(特級)</v>
      </c>
      <c r="H904" s="340">
        <f t="shared" si="3"/>
        <v>40.5</v>
      </c>
      <c r="I904" s="341">
        <v>1.0</v>
      </c>
      <c r="J904" s="332">
        <f>IFERROR(__xludf.DUMMYFUNCTION("IF(IF(COUNTIF(P$2:P903, P904)=0, """", INDEX(H$2:H903,
MAX(FILTER(ROW(H$2:H903) - ROW(H$2) + 1, P$2:P903 = P904))))=""単価"","""",
IF(COUNTIF(P$2:P903, P904)=0, """", INDEX(H$2:H903,
MAX(FILTER(ROW(H$2:H903) - ROW(H$2) + 1, P$2:P903 = P904)))))"),39.5)</f>
        <v>39.5</v>
      </c>
      <c r="N904" s="335" t="str">
        <f>IF(MAXIFS('単価履歴'!$O:$O,'単価履歴'!$E:$E,E904,'単価履歴'!$F:$F,F904)=O904,"●","")</f>
        <v/>
      </c>
      <c r="O904" s="346">
        <v>45757.27134259259</v>
      </c>
      <c r="P904" s="334" t="str">
        <f t="shared" si="4"/>
        <v>山口鋼業:MM建材Ｈ２(特級)</v>
      </c>
    </row>
    <row r="905" ht="15.75" customHeight="1">
      <c r="A905" s="335" t="s">
        <v>2102</v>
      </c>
      <c r="B905" s="336">
        <v>45757.0</v>
      </c>
      <c r="C905" s="335" t="s">
        <v>15</v>
      </c>
      <c r="D905" s="335" t="s">
        <v>58</v>
      </c>
      <c r="E905" s="337" t="str">
        <f t="shared" si="1"/>
        <v>山口鋼業:MM建材</v>
      </c>
      <c r="F905" s="338" t="s">
        <v>575</v>
      </c>
      <c r="G905" s="339" t="str">
        <f t="shared" si="2"/>
        <v>山口鋼業:MM建材鋼ダライＡ</v>
      </c>
      <c r="H905" s="340">
        <f t="shared" si="3"/>
        <v>38.1</v>
      </c>
      <c r="I905" s="341">
        <v>1.0</v>
      </c>
      <c r="J905" s="332">
        <f>IFERROR(__xludf.DUMMYFUNCTION("IF(IF(COUNTIF(P$2:P904, P905)=0, """", INDEX(H$2:H904,
MAX(FILTER(ROW(H$2:H904) - ROW(H$2) + 1, P$2:P904 = P905))))=""単価"","""",
IF(COUNTIF(P$2:P904, P905)=0, """", INDEX(H$2:H904,
MAX(FILTER(ROW(H$2:H904) - ROW(H$2) + 1, P$2:P904 = P905)))))"),37.1)</f>
        <v>37.1</v>
      </c>
      <c r="N905" s="335" t="str">
        <f>IF(MAXIFS('単価履歴'!$O:$O,'単価履歴'!$E:$E,E905,'単価履歴'!$F:$F,F905)=O905,"●","")</f>
        <v/>
      </c>
      <c r="O905" s="346">
        <v>45757.27134259259</v>
      </c>
      <c r="P905" s="334" t="str">
        <f t="shared" si="4"/>
        <v>山口鋼業:MM建材鋼ダライＡ</v>
      </c>
    </row>
    <row r="906" ht="15.75" customHeight="1">
      <c r="A906" s="335"/>
      <c r="B906" s="336"/>
      <c r="C906" s="335"/>
      <c r="D906" s="335"/>
      <c r="E906" s="337" t="str">
        <f t="shared" si="1"/>
        <v>:</v>
      </c>
      <c r="F906" s="338"/>
      <c r="G906" s="339" t="str">
        <f t="shared" si="2"/>
        <v>:</v>
      </c>
      <c r="H906" s="340">
        <f t="shared" si="3"/>
        <v>0</v>
      </c>
      <c r="I906" s="341"/>
      <c r="J906" s="332">
        <f>IFERROR(__xludf.DUMMYFUNCTION("IF(IF(COUNTIF(P$2:P905, P906)=0, """", INDEX(H$2:H905,
MAX(FILTER(ROW(H$2:H905) - ROW(H$2) + 1, P$2:P905 = P906))))=""単価"","""",
IF(COUNTIF(P$2:P905, P906)=0, """", INDEX(H$2:H905,
MAX(FILTER(ROW(H$2:H905) - ROW(H$2) + 1, P$2:P905 = P906)))))"),0.0)</f>
        <v>0</v>
      </c>
      <c r="N906" s="335" t="str">
        <f>IF(MAXIFS('単価履歴'!$O:$O,'単価履歴'!$E:$E,E906,'単価履歴'!$F:$F,F906)=O906,"●","")</f>
        <v>●</v>
      </c>
      <c r="O906" s="346"/>
      <c r="P906" s="334" t="str">
        <f t="shared" si="4"/>
        <v>:</v>
      </c>
    </row>
    <row r="907" ht="15.75" customHeight="1">
      <c r="A907" s="335" t="s">
        <v>2103</v>
      </c>
      <c r="B907" s="336">
        <v>45757.0</v>
      </c>
      <c r="C907" s="335" t="s">
        <v>15</v>
      </c>
      <c r="D907" s="335" t="s">
        <v>58</v>
      </c>
      <c r="E907" s="337" t="str">
        <f t="shared" si="1"/>
        <v>山口鋼業:MM建材</v>
      </c>
      <c r="F907" s="338" t="s">
        <v>573</v>
      </c>
      <c r="G907" s="339" t="str">
        <f t="shared" si="2"/>
        <v>山口鋼業:MM建材Ｌ２(H4･級外･L1ﾊﾞﾗ)</v>
      </c>
      <c r="H907" s="340">
        <f t="shared" si="3"/>
        <v>38</v>
      </c>
      <c r="I907" s="341">
        <v>1.0</v>
      </c>
      <c r="J907" s="332">
        <f>IFERROR(__xludf.DUMMYFUNCTION("IF(IF(COUNTIF(P$2:P906, P907)=0, """", INDEX(H$2:H906,
MAX(FILTER(ROW(H$2:H906) - ROW(H$2) + 1, P$2:P906 = P907))))=""単価"","""",
IF(COUNTIF(P$2:P906, P907)=0, """", INDEX(H$2:H906,
MAX(FILTER(ROW(H$2:H906) - ROW(H$2) + 1, P$2:P906 = P907)))))"),37.0)</f>
        <v>37</v>
      </c>
      <c r="N907" s="335" t="str">
        <f>IF(MAXIFS('単価履歴'!$O:$O,'単価履歴'!$E:$E,E907,'単価履歴'!$F:$F,F907)=O907,"●","")</f>
        <v/>
      </c>
      <c r="O907" s="346">
        <v>45757.27134259259</v>
      </c>
      <c r="P907" s="334" t="str">
        <f t="shared" si="4"/>
        <v>山口鋼業:MM建材Ｌ２(H4･級外･L1ﾊﾞﾗ)</v>
      </c>
    </row>
    <row r="908" ht="15.75" customHeight="1">
      <c r="A908" s="335" t="s">
        <v>2104</v>
      </c>
      <c r="B908" s="336">
        <v>45757.0</v>
      </c>
      <c r="C908" s="335" t="s">
        <v>15</v>
      </c>
      <c r="D908" s="335" t="s">
        <v>58</v>
      </c>
      <c r="E908" s="337" t="str">
        <f t="shared" si="1"/>
        <v>山口鋼業:MM建材</v>
      </c>
      <c r="F908" s="338" t="s">
        <v>1199</v>
      </c>
      <c r="G908" s="339" t="str">
        <f t="shared" si="2"/>
        <v>山口鋼業:MM建材ＨＳ１(単体H1/電特A/HS))</v>
      </c>
      <c r="H908" s="340">
        <f t="shared" si="3"/>
        <v>42</v>
      </c>
      <c r="I908" s="341">
        <v>1.0</v>
      </c>
      <c r="J908" s="332">
        <f>IFERROR(__xludf.DUMMYFUNCTION("IF(IF(COUNTIF(P$2:P907, P908)=0, """", INDEX(H$2:H907,
MAX(FILTER(ROW(H$2:H907) - ROW(H$2) + 1, P$2:P907 = P908))))=""単価"","""",
IF(COUNTIF(P$2:P907, P908)=0, """", INDEX(H$2:H907,
MAX(FILTER(ROW(H$2:H907) - ROW(H$2) + 1, P$2:P907 = P908)))))"),41.0)</f>
        <v>41</v>
      </c>
      <c r="N908" s="335" t="str">
        <f>IF(MAXIFS('単価履歴'!$O:$O,'単価履歴'!$E:$E,E908,'単価履歴'!$F:$F,F908)=O908,"●","")</f>
        <v/>
      </c>
      <c r="O908" s="346">
        <v>45757.27134259259</v>
      </c>
      <c r="P908" s="334" t="str">
        <f t="shared" si="4"/>
        <v>山口鋼業:MM建材ＨＳ１(単体H1/電特A/HS))</v>
      </c>
    </row>
    <row r="909" ht="15.75" customHeight="1">
      <c r="A909" s="335" t="s">
        <v>2105</v>
      </c>
      <c r="B909" s="336">
        <v>45757.0</v>
      </c>
      <c r="C909" s="335" t="s">
        <v>15</v>
      </c>
      <c r="D909" s="335" t="s">
        <v>58</v>
      </c>
      <c r="E909" s="337" t="str">
        <f t="shared" si="1"/>
        <v>山口鋼業:MM建材</v>
      </c>
      <c r="F909" s="338" t="s">
        <v>119</v>
      </c>
      <c r="G909" s="339" t="str">
        <f t="shared" si="2"/>
        <v>山口鋼業:MM建材Ｈ３(1級)</v>
      </c>
      <c r="H909" s="340">
        <f t="shared" si="3"/>
        <v>39.5</v>
      </c>
      <c r="I909" s="341">
        <v>1.0</v>
      </c>
      <c r="J909" s="332">
        <f>IFERROR(__xludf.DUMMYFUNCTION("IF(IF(COUNTIF(P$2:P908, P909)=0, """", INDEX(H$2:H908,
MAX(FILTER(ROW(H$2:H908) - ROW(H$2) + 1, P$2:P908 = P909))))=""単価"","""",
IF(COUNTIF(P$2:P908, P909)=0, """", INDEX(H$2:H908,
MAX(FILTER(ROW(H$2:H908) - ROW(H$2) + 1, P$2:P908 = P909)))))"),38.5)</f>
        <v>38.5</v>
      </c>
      <c r="N909" s="335" t="str">
        <f>IF(MAXIFS('単価履歴'!$O:$O,'単価履歴'!$E:$E,E909,'単価履歴'!$F:$F,F909)=O909,"●","")</f>
        <v/>
      </c>
      <c r="O909" s="346">
        <v>45757.27134259259</v>
      </c>
      <c r="P909" s="334" t="str">
        <f t="shared" si="4"/>
        <v>山口鋼業:MM建材Ｈ３(1級)</v>
      </c>
    </row>
    <row r="910" ht="15.75" customHeight="1">
      <c r="A910" s="335" t="s">
        <v>2106</v>
      </c>
      <c r="B910" s="336">
        <v>45757.0</v>
      </c>
      <c r="C910" s="335" t="s">
        <v>15</v>
      </c>
      <c r="D910" s="335" t="s">
        <v>58</v>
      </c>
      <c r="E910" s="337" t="str">
        <f t="shared" si="1"/>
        <v>山口鋼業:MM建材</v>
      </c>
      <c r="F910" s="338" t="s">
        <v>577</v>
      </c>
      <c r="G910" s="339" t="str">
        <f t="shared" si="2"/>
        <v>山口鋼業:MM建材鋳物・ﾀﾞｸﾀｲﾙ</v>
      </c>
      <c r="H910" s="340">
        <f t="shared" si="3"/>
        <v>41</v>
      </c>
      <c r="I910" s="341">
        <v>1.0</v>
      </c>
      <c r="J910" s="332">
        <f>IFERROR(__xludf.DUMMYFUNCTION("IF(IF(COUNTIF(P$2:P909, P910)=0, """", INDEX(H$2:H909,
MAX(FILTER(ROW(H$2:H909) - ROW(H$2) + 1, P$2:P909 = P910))))=""単価"","""",
IF(COUNTIF(P$2:P909, P910)=0, """", INDEX(H$2:H909,
MAX(FILTER(ROW(H$2:H909) - ROW(H$2) + 1, P$2:P909 = P910)))))"),40.0)</f>
        <v>40</v>
      </c>
      <c r="N910" s="335" t="str">
        <f>IF(MAXIFS('単価履歴'!$O:$O,'単価履歴'!$E:$E,E910,'単価履歴'!$F:$F,F910)=O910,"●","")</f>
        <v/>
      </c>
      <c r="O910" s="346">
        <v>45757.27134259259</v>
      </c>
      <c r="P910" s="334" t="str">
        <f t="shared" si="4"/>
        <v>山口鋼業:MM建材鋳物・ﾀﾞｸﾀｲﾙ</v>
      </c>
    </row>
    <row r="911" ht="15.75" customHeight="1">
      <c r="A911" s="335" t="s">
        <v>2107</v>
      </c>
      <c r="B911" s="336">
        <v>45757.0</v>
      </c>
      <c r="C911" s="335" t="s">
        <v>15</v>
      </c>
      <c r="D911" s="335" t="s">
        <v>58</v>
      </c>
      <c r="E911" s="337" t="str">
        <f t="shared" si="1"/>
        <v>山口鋼業:MM建材</v>
      </c>
      <c r="F911" s="338" t="s">
        <v>1237</v>
      </c>
      <c r="G911" s="339" t="str">
        <f t="shared" si="2"/>
        <v>山口鋼業:MM建材ＪＨ１(H2T山口)鍛造ﾊﾞﾘ</v>
      </c>
      <c r="H911" s="340">
        <f t="shared" si="3"/>
        <v>41.5</v>
      </c>
      <c r="I911" s="341">
        <v>1.0</v>
      </c>
      <c r="J911" s="332">
        <f>IFERROR(__xludf.DUMMYFUNCTION("IF(IF(COUNTIF(P$2:P910, P911)=0, """", INDEX(H$2:H910,
MAX(FILTER(ROW(H$2:H910) - ROW(H$2) + 1, P$2:P910 = P911))))=""単価"","""",
IF(COUNTIF(P$2:P910, P911)=0, """", INDEX(H$2:H910,
MAX(FILTER(ROW(H$2:H910) - ROW(H$2) + 1, P$2:P910 = P911)))))"),40.5)</f>
        <v>40.5</v>
      </c>
      <c r="N911" s="335" t="str">
        <f>IF(MAXIFS('単価履歴'!$O:$O,'単価履歴'!$E:$E,E911,'単価履歴'!$F:$F,F911)=O911,"●","")</f>
        <v/>
      </c>
      <c r="O911" s="346">
        <v>45757.27134259259</v>
      </c>
      <c r="P911" s="334" t="str">
        <f t="shared" si="4"/>
        <v>山口鋼業:MM建材ＪＨ１(H2T山口)鍛造ﾊﾞﾘ</v>
      </c>
    </row>
    <row r="912" ht="15.75" customHeight="1">
      <c r="A912" s="335" t="s">
        <v>2108</v>
      </c>
      <c r="B912" s="336">
        <v>45757.0</v>
      </c>
      <c r="C912" s="335" t="s">
        <v>15</v>
      </c>
      <c r="D912" s="335" t="s">
        <v>46</v>
      </c>
      <c r="E912" s="337" t="str">
        <f t="shared" si="1"/>
        <v>山口鋼業:阪和</v>
      </c>
      <c r="F912" s="338" t="s">
        <v>116</v>
      </c>
      <c r="G912" s="339" t="str">
        <f t="shared" si="2"/>
        <v>山口鋼業:阪和Ｈ２(特級)</v>
      </c>
      <c r="H912" s="340">
        <f t="shared" si="3"/>
        <v>40.5</v>
      </c>
      <c r="I912" s="341">
        <v>1.0</v>
      </c>
      <c r="J912" s="332">
        <f>IFERROR(__xludf.DUMMYFUNCTION("IF(IF(COUNTIF(P$2:P911, P912)=0, """", INDEX(H$2:H911,
MAX(FILTER(ROW(H$2:H911) - ROW(H$2) + 1, P$2:P911 = P912))))=""単価"","""",
IF(COUNTIF(P$2:P911, P912)=0, """", INDEX(H$2:H911,
MAX(FILTER(ROW(H$2:H911) - ROW(H$2) + 1, P$2:P911 = P912)))))"),39.5)</f>
        <v>39.5</v>
      </c>
      <c r="N912" s="335" t="str">
        <f>IF(MAXIFS('単価履歴'!$O:$O,'単価履歴'!$E:$E,E912,'単価履歴'!$F:$F,F912)=O912,"●","")</f>
        <v/>
      </c>
      <c r="O912" s="346">
        <v>45757.27134259259</v>
      </c>
      <c r="P912" s="334" t="str">
        <f t="shared" si="4"/>
        <v>山口鋼業:阪和Ｈ２(特級)</v>
      </c>
    </row>
    <row r="913" ht="15.75" customHeight="1">
      <c r="A913" s="335" t="s">
        <v>2109</v>
      </c>
      <c r="B913" s="336">
        <v>45757.0</v>
      </c>
      <c r="C913" s="335" t="s">
        <v>15</v>
      </c>
      <c r="D913" s="335" t="s">
        <v>46</v>
      </c>
      <c r="E913" s="337" t="str">
        <f t="shared" si="1"/>
        <v>山口鋼業:阪和</v>
      </c>
      <c r="F913" s="338" t="s">
        <v>575</v>
      </c>
      <c r="G913" s="339" t="str">
        <f t="shared" si="2"/>
        <v>山口鋼業:阪和鋼ダライＡ</v>
      </c>
      <c r="H913" s="340">
        <f t="shared" si="3"/>
        <v>2</v>
      </c>
      <c r="I913" s="341">
        <v>1.0</v>
      </c>
      <c r="J913" s="332">
        <f>IFERROR(__xludf.DUMMYFUNCTION("IF(IF(COUNTIF(P$2:P912, P913)=0, """", INDEX(H$2:H912,
MAX(FILTER(ROW(H$2:H912) - ROW(H$2) + 1, P$2:P912 = P913))))=""単価"","""",
IF(COUNTIF(P$2:P912, P913)=0, """", INDEX(H$2:H912,
MAX(FILTER(ROW(H$2:H912) - ROW(H$2) + 1, P$2:P912 = P913)))))"),1.0)</f>
        <v>1</v>
      </c>
      <c r="N913" s="335" t="str">
        <f>IF(MAXIFS('単価履歴'!$O:$O,'単価履歴'!$E:$E,E913,'単価履歴'!$F:$F,F913)=O913,"●","")</f>
        <v/>
      </c>
      <c r="O913" s="346">
        <v>45757.27134259259</v>
      </c>
      <c r="P913" s="334" t="str">
        <f t="shared" si="4"/>
        <v>山口鋼業:阪和鋼ダライＡ</v>
      </c>
    </row>
    <row r="914" ht="15.75" customHeight="1">
      <c r="A914" s="335" t="s">
        <v>2110</v>
      </c>
      <c r="B914" s="336">
        <v>45757.0</v>
      </c>
      <c r="C914" s="335" t="s">
        <v>15</v>
      </c>
      <c r="D914" s="335" t="s">
        <v>46</v>
      </c>
      <c r="E914" s="337" t="str">
        <f t="shared" si="1"/>
        <v>山口鋼業:阪和</v>
      </c>
      <c r="F914" s="338" t="s">
        <v>111</v>
      </c>
      <c r="G914" s="339" t="str">
        <f t="shared" si="2"/>
        <v>山口鋼業:阪和Ｈ１(特A)</v>
      </c>
      <c r="H914" s="340">
        <f t="shared" si="3"/>
        <v>41</v>
      </c>
      <c r="I914" s="341">
        <v>1.0</v>
      </c>
      <c r="J914" s="332">
        <f>IFERROR(__xludf.DUMMYFUNCTION("IF(IF(COUNTIF(P$2:P913, P914)=0, """", INDEX(H$2:H913,
MAX(FILTER(ROW(H$2:H913) - ROW(H$2) + 1, P$2:P913 = P914))))=""単価"","""",
IF(COUNTIF(P$2:P913, P914)=0, """", INDEX(H$2:H913,
MAX(FILTER(ROW(H$2:H913) - ROW(H$2) + 1, P$2:P913 = P914)))))"),40.0)</f>
        <v>40</v>
      </c>
      <c r="N914" s="335" t="str">
        <f>IF(MAXIFS('単価履歴'!$O:$O,'単価履歴'!$E:$E,E914,'単価履歴'!$F:$F,F914)=O914,"●","")</f>
        <v/>
      </c>
      <c r="O914" s="346">
        <v>45757.27134259259</v>
      </c>
      <c r="P914" s="334" t="str">
        <f t="shared" si="4"/>
        <v>山口鋼業:阪和Ｈ１(特A)</v>
      </c>
    </row>
    <row r="915" ht="15.75" customHeight="1">
      <c r="A915" s="335" t="s">
        <v>2111</v>
      </c>
      <c r="B915" s="336">
        <v>45757.0</v>
      </c>
      <c r="C915" s="335" t="s">
        <v>15</v>
      </c>
      <c r="D915" s="335" t="s">
        <v>46</v>
      </c>
      <c r="E915" s="337" t="str">
        <f t="shared" si="1"/>
        <v>山口鋼業:阪和</v>
      </c>
      <c r="F915" s="338" t="s">
        <v>573</v>
      </c>
      <c r="G915" s="339" t="str">
        <f t="shared" si="2"/>
        <v>山口鋼業:阪和Ｌ２(H4･級外･L1ﾊﾞﾗ)</v>
      </c>
      <c r="H915" s="340">
        <f t="shared" si="3"/>
        <v>38</v>
      </c>
      <c r="I915" s="341">
        <v>1.0</v>
      </c>
      <c r="J915" s="332">
        <f>IFERROR(__xludf.DUMMYFUNCTION("IF(IF(COUNTIF(P$2:P914, P915)=0, """", INDEX(H$2:H914,
MAX(FILTER(ROW(H$2:H914) - ROW(H$2) + 1, P$2:P914 = P915))))=""単価"","""",
IF(COUNTIF(P$2:P914, P915)=0, """", INDEX(H$2:H914,
MAX(FILTER(ROW(H$2:H914) - ROW(H$2) + 1, P$2:P914 = P915)))))"),37.0)</f>
        <v>37</v>
      </c>
      <c r="N915" s="335" t="str">
        <f>IF(MAXIFS('単価履歴'!$O:$O,'単価履歴'!$E:$E,E915,'単価履歴'!$F:$F,F915)=O915,"●","")</f>
        <v/>
      </c>
      <c r="O915" s="346">
        <v>45757.27134259259</v>
      </c>
      <c r="P915" s="334" t="str">
        <f t="shared" si="4"/>
        <v>山口鋼業:阪和Ｌ２(H4･級外･L1ﾊﾞﾗ)</v>
      </c>
    </row>
    <row r="916" ht="15.75" customHeight="1">
      <c r="A916" s="335" t="s">
        <v>2112</v>
      </c>
      <c r="B916" s="336">
        <v>45757.0</v>
      </c>
      <c r="C916" s="335" t="s">
        <v>15</v>
      </c>
      <c r="D916" s="335" t="s">
        <v>46</v>
      </c>
      <c r="E916" s="337" t="str">
        <f t="shared" si="1"/>
        <v>山口鋼業:阪和</v>
      </c>
      <c r="F916" s="338" t="s">
        <v>1199</v>
      </c>
      <c r="G916" s="339" t="str">
        <f t="shared" si="2"/>
        <v>山口鋼業:阪和ＨＳ１(単体H1/電特A/HS))</v>
      </c>
      <c r="H916" s="340">
        <f t="shared" si="3"/>
        <v>42.5</v>
      </c>
      <c r="I916" s="341">
        <v>1.0</v>
      </c>
      <c r="J916" s="332">
        <f>IFERROR(__xludf.DUMMYFUNCTION("IF(IF(COUNTIF(P$2:P915, P916)=0, """", INDEX(H$2:H915,
MAX(FILTER(ROW(H$2:H915) - ROW(H$2) + 1, P$2:P915 = P916))))=""単価"","""",
IF(COUNTIF(P$2:P915, P916)=0, """", INDEX(H$2:H915,
MAX(FILTER(ROW(H$2:H915) - ROW(H$2) + 1, P$2:P915 = P916)))))"),41.5)</f>
        <v>41.5</v>
      </c>
      <c r="N916" s="335" t="str">
        <f>IF(MAXIFS('単価履歴'!$O:$O,'単価履歴'!$E:$E,E916,'単価履歴'!$F:$F,F916)=O916,"●","")</f>
        <v/>
      </c>
      <c r="O916" s="346">
        <v>45757.27134259259</v>
      </c>
      <c r="P916" s="334" t="str">
        <f t="shared" si="4"/>
        <v>山口鋼業:阪和ＨＳ１(単体H1/電特A/HS))</v>
      </c>
    </row>
    <row r="917" ht="15.75" customHeight="1">
      <c r="A917" s="335" t="s">
        <v>2113</v>
      </c>
      <c r="B917" s="336">
        <v>45757.0</v>
      </c>
      <c r="C917" s="335" t="s">
        <v>15</v>
      </c>
      <c r="D917" s="335" t="s">
        <v>58</v>
      </c>
      <c r="E917" s="337" t="str">
        <f t="shared" si="1"/>
        <v>山口鋼業:MM建材</v>
      </c>
      <c r="F917" s="338" t="s">
        <v>116</v>
      </c>
      <c r="G917" s="339" t="str">
        <f t="shared" si="2"/>
        <v>山口鋼業:MM建材Ｈ２(特級)</v>
      </c>
      <c r="H917" s="340">
        <f t="shared" si="3"/>
        <v>41.5</v>
      </c>
      <c r="I917" s="341">
        <v>1.0</v>
      </c>
      <c r="J917" s="332">
        <f>IFERROR(__xludf.DUMMYFUNCTION("IF(IF(COUNTIF(P$2:P916, P917)=0, """", INDEX(H$2:H916,
MAX(FILTER(ROW(H$2:H916) - ROW(H$2) + 1, P$2:P916 = P917))))=""単価"","""",
IF(COUNTIF(P$2:P916, P917)=0, """", INDEX(H$2:H916,
MAX(FILTER(ROW(H$2:H916) - ROW(H$2) + 1, P$2:P916 = P917)))))"),40.5)</f>
        <v>40.5</v>
      </c>
      <c r="N917" s="335" t="str">
        <f>IF(MAXIFS('単価履歴'!$O:$O,'単価履歴'!$E:$E,E917,'単価履歴'!$F:$F,F917)=O917,"●","")</f>
        <v/>
      </c>
      <c r="O917" s="346">
        <v>45757.27134259259</v>
      </c>
      <c r="P917" s="334" t="str">
        <f t="shared" si="4"/>
        <v>山口鋼業:MM建材Ｈ２(特級)</v>
      </c>
    </row>
    <row r="918" ht="15.75" customHeight="1">
      <c r="A918" s="335" t="s">
        <v>2114</v>
      </c>
      <c r="B918" s="336">
        <v>45757.0</v>
      </c>
      <c r="C918" s="335" t="s">
        <v>15</v>
      </c>
      <c r="D918" s="335" t="s">
        <v>58</v>
      </c>
      <c r="E918" s="337" t="str">
        <f t="shared" si="1"/>
        <v>山口鋼業:MM建材</v>
      </c>
      <c r="F918" s="338" t="s">
        <v>575</v>
      </c>
      <c r="G918" s="339" t="str">
        <f t="shared" si="2"/>
        <v>山口鋼業:MM建材鋼ダライＡ</v>
      </c>
      <c r="H918" s="340">
        <f t="shared" si="3"/>
        <v>39.1</v>
      </c>
      <c r="I918" s="341">
        <v>1.0</v>
      </c>
      <c r="J918" s="332">
        <f>IFERROR(__xludf.DUMMYFUNCTION("IF(IF(COUNTIF(P$2:P917, P918)=0, """", INDEX(H$2:H917,
MAX(FILTER(ROW(H$2:H917) - ROW(H$2) + 1, P$2:P917 = P918))))=""単価"","""",
IF(COUNTIF(P$2:P917, P918)=0, """", INDEX(H$2:H917,
MAX(FILTER(ROW(H$2:H917) - ROW(H$2) + 1, P$2:P917 = P918)))))"),38.1)</f>
        <v>38.1</v>
      </c>
      <c r="N918" s="335" t="str">
        <f>IF(MAXIFS('単価履歴'!$O:$O,'単価履歴'!$E:$E,E918,'単価履歴'!$F:$F,F918)=O918,"●","")</f>
        <v/>
      </c>
      <c r="O918" s="346">
        <v>45757.27134259259</v>
      </c>
      <c r="P918" s="334" t="str">
        <f t="shared" si="4"/>
        <v>山口鋼業:MM建材鋼ダライＡ</v>
      </c>
    </row>
    <row r="919" ht="15.75" customHeight="1">
      <c r="A919" s="335" t="s">
        <v>2115</v>
      </c>
      <c r="B919" s="336">
        <v>45757.0</v>
      </c>
      <c r="C919" s="335" t="s">
        <v>15</v>
      </c>
      <c r="D919" s="335" t="s">
        <v>46</v>
      </c>
      <c r="E919" s="337" t="str">
        <f t="shared" si="1"/>
        <v>山口鋼業:阪和</v>
      </c>
      <c r="F919" s="338" t="s">
        <v>119</v>
      </c>
      <c r="G919" s="339" t="str">
        <f t="shared" si="2"/>
        <v>山口鋼業:阪和Ｈ３(1級)</v>
      </c>
      <c r="H919" s="340">
        <f t="shared" si="3"/>
        <v>39.5</v>
      </c>
      <c r="I919" s="341">
        <v>1.0</v>
      </c>
      <c r="J919" s="332">
        <f>IFERROR(__xludf.DUMMYFUNCTION("IF(IF(COUNTIF(P$2:P918, P919)=0, """", INDEX(H$2:H918,
MAX(FILTER(ROW(H$2:H918) - ROW(H$2) + 1, P$2:P918 = P919))))=""単価"","""",
IF(COUNTIF(P$2:P918, P919)=0, """", INDEX(H$2:H918,
MAX(FILTER(ROW(H$2:H918) - ROW(H$2) + 1, P$2:P918 = P919)))))"),38.5)</f>
        <v>38.5</v>
      </c>
      <c r="N919" s="335" t="str">
        <f>IF(MAXIFS('単価履歴'!$O:$O,'単価履歴'!$E:$E,E919,'単価履歴'!$F:$F,F919)=O919,"●","")</f>
        <v/>
      </c>
      <c r="O919" s="346">
        <v>45757.27134259259</v>
      </c>
      <c r="P919" s="334" t="str">
        <f t="shared" si="4"/>
        <v>山口鋼業:阪和Ｈ３(1級)</v>
      </c>
    </row>
    <row r="920" ht="15.75" customHeight="1">
      <c r="A920" s="335"/>
      <c r="B920" s="336"/>
      <c r="C920" s="335"/>
      <c r="D920" s="335"/>
      <c r="E920" s="337" t="str">
        <f t="shared" si="1"/>
        <v>:</v>
      </c>
      <c r="F920" s="338"/>
      <c r="G920" s="339" t="str">
        <f t="shared" si="2"/>
        <v>:</v>
      </c>
      <c r="H920" s="340">
        <f t="shared" si="3"/>
        <v>0</v>
      </c>
      <c r="I920" s="341"/>
      <c r="J920" s="332">
        <f>IFERROR(__xludf.DUMMYFUNCTION("IF(IF(COUNTIF(P$2:P919, P920)=0, """", INDEX(H$2:H919,
MAX(FILTER(ROW(H$2:H919) - ROW(H$2) + 1, P$2:P919 = P920))))=""単価"","""",
IF(COUNTIF(P$2:P919, P920)=0, """", INDEX(H$2:H919,
MAX(FILTER(ROW(H$2:H919) - ROW(H$2) + 1, P$2:P919 = P920)))))"),0.0)</f>
        <v>0</v>
      </c>
      <c r="N920" s="335" t="str">
        <f>IF(MAXIFS('単価履歴'!$O:$O,'単価履歴'!$E:$E,E920,'単価履歴'!$F:$F,F920)=O920,"●","")</f>
        <v>●</v>
      </c>
      <c r="O920" s="346"/>
      <c r="P920" s="334" t="str">
        <f t="shared" si="4"/>
        <v>:</v>
      </c>
    </row>
    <row r="921" ht="15.75" customHeight="1">
      <c r="A921" s="335" t="s">
        <v>2116</v>
      </c>
      <c r="B921" s="336">
        <v>45757.0</v>
      </c>
      <c r="C921" s="335" t="s">
        <v>15</v>
      </c>
      <c r="D921" s="335" t="s">
        <v>58</v>
      </c>
      <c r="E921" s="337" t="str">
        <f t="shared" si="1"/>
        <v>山口鋼業:MM建材</v>
      </c>
      <c r="F921" s="338" t="s">
        <v>573</v>
      </c>
      <c r="G921" s="339" t="str">
        <f t="shared" si="2"/>
        <v>山口鋼業:MM建材Ｌ２(H4･級外･L1ﾊﾞﾗ)</v>
      </c>
      <c r="H921" s="340">
        <f t="shared" si="3"/>
        <v>39</v>
      </c>
      <c r="I921" s="341">
        <v>1.0</v>
      </c>
      <c r="J921" s="332">
        <f>IFERROR(__xludf.DUMMYFUNCTION("IF(IF(COUNTIF(P$2:P920, P921)=0, """", INDEX(H$2:H920,
MAX(FILTER(ROW(H$2:H920) - ROW(H$2) + 1, P$2:P920 = P921))))=""単価"","""",
IF(COUNTIF(P$2:P920, P921)=0, """", INDEX(H$2:H920,
MAX(FILTER(ROW(H$2:H920) - ROW(H$2) + 1, P$2:P920 = P921)))))"),38.0)</f>
        <v>38</v>
      </c>
      <c r="N921" s="335" t="str">
        <f>IF(MAXIFS('単価履歴'!$O:$O,'単価履歴'!$E:$E,E921,'単価履歴'!$F:$F,F921)=O921,"●","")</f>
        <v/>
      </c>
      <c r="O921" s="346">
        <v>45757.27134259259</v>
      </c>
      <c r="P921" s="334" t="str">
        <f t="shared" si="4"/>
        <v>山口鋼業:MM建材Ｌ２(H4･級外･L1ﾊﾞﾗ)</v>
      </c>
    </row>
    <row r="922" ht="15.75" customHeight="1">
      <c r="A922" s="335" t="s">
        <v>2117</v>
      </c>
      <c r="B922" s="336">
        <v>45757.0</v>
      </c>
      <c r="C922" s="335" t="s">
        <v>15</v>
      </c>
      <c r="D922" s="335" t="s">
        <v>58</v>
      </c>
      <c r="E922" s="337" t="str">
        <f t="shared" si="1"/>
        <v>山口鋼業:MM建材</v>
      </c>
      <c r="F922" s="338" t="s">
        <v>1199</v>
      </c>
      <c r="G922" s="339" t="str">
        <f t="shared" si="2"/>
        <v>山口鋼業:MM建材ＨＳ１(単体H1/電特A/HS))</v>
      </c>
      <c r="H922" s="340">
        <f t="shared" si="3"/>
        <v>43</v>
      </c>
      <c r="I922" s="341">
        <v>1.0</v>
      </c>
      <c r="J922" s="332">
        <f>IFERROR(__xludf.DUMMYFUNCTION("IF(IF(COUNTIF(P$2:P921, P922)=0, """", INDEX(H$2:H921,
MAX(FILTER(ROW(H$2:H921) - ROW(H$2) + 1, P$2:P921 = P922))))=""単価"","""",
IF(COUNTIF(P$2:P921, P922)=0, """", INDEX(H$2:H921,
MAX(FILTER(ROW(H$2:H921) - ROW(H$2) + 1, P$2:P921 = P922)))))"),42.0)</f>
        <v>42</v>
      </c>
      <c r="N922" s="335" t="str">
        <f>IF(MAXIFS('単価履歴'!$O:$O,'単価履歴'!$E:$E,E922,'単価履歴'!$F:$F,F922)=O922,"●","")</f>
        <v/>
      </c>
      <c r="O922" s="346">
        <v>45757.27134259259</v>
      </c>
      <c r="P922" s="334" t="str">
        <f t="shared" si="4"/>
        <v>山口鋼業:MM建材ＨＳ１(単体H1/電特A/HS))</v>
      </c>
    </row>
    <row r="923" ht="15.75" customHeight="1">
      <c r="A923" s="335"/>
      <c r="B923" s="336"/>
      <c r="C923" s="335"/>
      <c r="D923" s="335"/>
      <c r="E923" s="337" t="str">
        <f t="shared" si="1"/>
        <v>:</v>
      </c>
      <c r="F923" s="338"/>
      <c r="G923" s="339" t="str">
        <f t="shared" si="2"/>
        <v>:</v>
      </c>
      <c r="H923" s="340">
        <f t="shared" si="3"/>
        <v>0</v>
      </c>
      <c r="I923" s="341"/>
      <c r="J923" s="332">
        <f>IFERROR(__xludf.DUMMYFUNCTION("IF(IF(COUNTIF(P$2:P922, P923)=0, """", INDEX(H$2:H922,
MAX(FILTER(ROW(H$2:H922) - ROW(H$2) + 1, P$2:P922 = P923))))=""単価"","""",
IF(COUNTIF(P$2:P922, P923)=0, """", INDEX(H$2:H922,
MAX(FILTER(ROW(H$2:H922) - ROW(H$2) + 1, P$2:P922 = P923)))))"),0.0)</f>
        <v>0</v>
      </c>
      <c r="N923" s="335" t="str">
        <f>IF(MAXIFS('単価履歴'!$O:$O,'単価履歴'!$E:$E,E923,'単価履歴'!$F:$F,F923)=O923,"●","")</f>
        <v>●</v>
      </c>
      <c r="O923" s="346"/>
      <c r="P923" s="334" t="str">
        <f t="shared" si="4"/>
        <v>:</v>
      </c>
    </row>
    <row r="924" ht="15.75" customHeight="1">
      <c r="A924" s="335" t="s">
        <v>2118</v>
      </c>
      <c r="B924" s="336">
        <v>45757.0</v>
      </c>
      <c r="C924" s="335" t="s">
        <v>15</v>
      </c>
      <c r="D924" s="335" t="s">
        <v>58</v>
      </c>
      <c r="E924" s="337" t="str">
        <f t="shared" si="1"/>
        <v>山口鋼業:MM建材</v>
      </c>
      <c r="F924" s="338" t="s">
        <v>119</v>
      </c>
      <c r="G924" s="339" t="str">
        <f t="shared" si="2"/>
        <v>山口鋼業:MM建材Ｈ３(1級)</v>
      </c>
      <c r="H924" s="340">
        <f t="shared" si="3"/>
        <v>40.5</v>
      </c>
      <c r="I924" s="341">
        <v>1.0</v>
      </c>
      <c r="J924" s="332">
        <f>IFERROR(__xludf.DUMMYFUNCTION("IF(IF(COUNTIF(P$2:P923, P924)=0, """", INDEX(H$2:H923,
MAX(FILTER(ROW(H$2:H923) - ROW(H$2) + 1, P$2:P923 = P924))))=""単価"","""",
IF(COUNTIF(P$2:P923, P924)=0, """", INDEX(H$2:H923,
MAX(FILTER(ROW(H$2:H923) - ROW(H$2) + 1, P$2:P923 = P924)))))"),39.5)</f>
        <v>39.5</v>
      </c>
      <c r="N924" s="335" t="str">
        <f>IF(MAXIFS('単価履歴'!$O:$O,'単価履歴'!$E:$E,E924,'単価履歴'!$F:$F,F924)=O924,"●","")</f>
        <v/>
      </c>
      <c r="O924" s="346">
        <v>45757.27134259259</v>
      </c>
      <c r="P924" s="334" t="str">
        <f t="shared" si="4"/>
        <v>山口鋼業:MM建材Ｈ３(1級)</v>
      </c>
    </row>
    <row r="925" ht="15.75" customHeight="1">
      <c r="A925" s="335" t="s">
        <v>2119</v>
      </c>
      <c r="B925" s="336">
        <v>45757.0</v>
      </c>
      <c r="C925" s="335" t="s">
        <v>15</v>
      </c>
      <c r="D925" s="335" t="s">
        <v>58</v>
      </c>
      <c r="E925" s="337" t="str">
        <f t="shared" si="1"/>
        <v>山口鋼業:MM建材</v>
      </c>
      <c r="F925" s="338" t="s">
        <v>577</v>
      </c>
      <c r="G925" s="339" t="str">
        <f t="shared" si="2"/>
        <v>山口鋼業:MM建材鋳物・ﾀﾞｸﾀｲﾙ</v>
      </c>
      <c r="H925" s="340">
        <f t="shared" si="3"/>
        <v>42</v>
      </c>
      <c r="I925" s="341">
        <v>1.0</v>
      </c>
      <c r="J925" s="332">
        <f>IFERROR(__xludf.DUMMYFUNCTION("IF(IF(COUNTIF(P$2:P924, P925)=0, """", INDEX(H$2:H924,
MAX(FILTER(ROW(H$2:H924) - ROW(H$2) + 1, P$2:P924 = P925))))=""単価"","""",
IF(COUNTIF(P$2:P924, P925)=0, """", INDEX(H$2:H924,
MAX(FILTER(ROW(H$2:H924) - ROW(H$2) + 1, P$2:P924 = P925)))))"),41.0)</f>
        <v>41</v>
      </c>
      <c r="N925" s="335" t="str">
        <f>IF(MAXIFS('単価履歴'!$O:$O,'単価履歴'!$E:$E,E925,'単価履歴'!$F:$F,F925)=O925,"●","")</f>
        <v/>
      </c>
      <c r="O925" s="346">
        <v>45757.27134259259</v>
      </c>
      <c r="P925" s="334" t="str">
        <f t="shared" si="4"/>
        <v>山口鋼業:MM建材鋳物・ﾀﾞｸﾀｲﾙ</v>
      </c>
    </row>
    <row r="926" ht="15.75" customHeight="1">
      <c r="A926" s="335" t="s">
        <v>2120</v>
      </c>
      <c r="B926" s="336">
        <v>45757.0</v>
      </c>
      <c r="C926" s="335" t="s">
        <v>15</v>
      </c>
      <c r="D926" s="335" t="s">
        <v>58</v>
      </c>
      <c r="E926" s="337" t="str">
        <f t="shared" si="1"/>
        <v>山口鋼業:MM建材</v>
      </c>
      <c r="F926" s="338" t="s">
        <v>1237</v>
      </c>
      <c r="G926" s="339" t="str">
        <f t="shared" si="2"/>
        <v>山口鋼業:MM建材ＪＨ１(H2T山口)鍛造ﾊﾞﾘ</v>
      </c>
      <c r="H926" s="340">
        <f t="shared" si="3"/>
        <v>42.5</v>
      </c>
      <c r="I926" s="341">
        <v>1.0</v>
      </c>
      <c r="J926" s="332">
        <f>IFERROR(__xludf.DUMMYFUNCTION("IF(IF(COUNTIF(P$2:P925, P926)=0, """", INDEX(H$2:H925,
MAX(FILTER(ROW(H$2:H925) - ROW(H$2) + 1, P$2:P925 = P926))))=""単価"","""",
IF(COUNTIF(P$2:P925, P926)=0, """", INDEX(H$2:H925,
MAX(FILTER(ROW(H$2:H925) - ROW(H$2) + 1, P$2:P925 = P926)))))"),41.5)</f>
        <v>41.5</v>
      </c>
      <c r="N926" s="335" t="str">
        <f>IF(MAXIFS('単価履歴'!$O:$O,'単価履歴'!$E:$E,E926,'単価履歴'!$F:$F,F926)=O926,"●","")</f>
        <v/>
      </c>
      <c r="O926" s="346">
        <v>45757.27134259259</v>
      </c>
      <c r="P926" s="334" t="str">
        <f t="shared" si="4"/>
        <v>山口鋼業:MM建材ＪＨ１(H2T山口)鍛造ﾊﾞﾘ</v>
      </c>
    </row>
    <row r="927" ht="15.75" customHeight="1">
      <c r="A927" s="335" t="s">
        <v>2121</v>
      </c>
      <c r="B927" s="336">
        <v>45757.0</v>
      </c>
      <c r="C927" s="335" t="s">
        <v>15</v>
      </c>
      <c r="D927" s="335" t="s">
        <v>46</v>
      </c>
      <c r="E927" s="337" t="str">
        <f t="shared" si="1"/>
        <v>山口鋼業:阪和</v>
      </c>
      <c r="F927" s="338" t="s">
        <v>116</v>
      </c>
      <c r="G927" s="339" t="str">
        <f t="shared" si="2"/>
        <v>山口鋼業:阪和Ｈ２(特級)</v>
      </c>
      <c r="H927" s="340">
        <f t="shared" si="3"/>
        <v>41.5</v>
      </c>
      <c r="I927" s="341">
        <v>1.0</v>
      </c>
      <c r="J927" s="332">
        <f>IFERROR(__xludf.DUMMYFUNCTION("IF(IF(COUNTIF(P$2:P926, P927)=0, """", INDEX(H$2:H926,
MAX(FILTER(ROW(H$2:H926) - ROW(H$2) + 1, P$2:P926 = P927))))=""単価"","""",
IF(COUNTIF(P$2:P926, P927)=0, """", INDEX(H$2:H926,
MAX(FILTER(ROW(H$2:H926) - ROW(H$2) + 1, P$2:P926 = P927)))))"),40.5)</f>
        <v>40.5</v>
      </c>
      <c r="N927" s="335" t="str">
        <f>IF(MAXIFS('単価履歴'!$O:$O,'単価履歴'!$E:$E,E927,'単価履歴'!$F:$F,F927)=O927,"●","")</f>
        <v/>
      </c>
      <c r="O927" s="346">
        <v>45757.27134259259</v>
      </c>
      <c r="P927" s="334" t="str">
        <f t="shared" si="4"/>
        <v>山口鋼業:阪和Ｈ２(特級)</v>
      </c>
    </row>
    <row r="928" ht="15.75" customHeight="1">
      <c r="A928" s="335" t="s">
        <v>2122</v>
      </c>
      <c r="B928" s="336">
        <v>45757.0</v>
      </c>
      <c r="C928" s="335" t="s">
        <v>15</v>
      </c>
      <c r="D928" s="335" t="s">
        <v>46</v>
      </c>
      <c r="E928" s="337" t="str">
        <f t="shared" si="1"/>
        <v>山口鋼業:阪和</v>
      </c>
      <c r="F928" s="338" t="s">
        <v>575</v>
      </c>
      <c r="G928" s="339" t="str">
        <f t="shared" si="2"/>
        <v>山口鋼業:阪和鋼ダライＡ</v>
      </c>
      <c r="H928" s="340">
        <f t="shared" si="3"/>
        <v>3</v>
      </c>
      <c r="I928" s="341">
        <v>1.0</v>
      </c>
      <c r="J928" s="332">
        <f>IFERROR(__xludf.DUMMYFUNCTION("IF(IF(COUNTIF(P$2:P927, P928)=0, """", INDEX(H$2:H927,
MAX(FILTER(ROW(H$2:H927) - ROW(H$2) + 1, P$2:P927 = P928))))=""単価"","""",
IF(COUNTIF(P$2:P927, P928)=0, """", INDEX(H$2:H927,
MAX(FILTER(ROW(H$2:H927) - ROW(H$2) + 1, P$2:P927 = P928)))))"),2.0)</f>
        <v>2</v>
      </c>
      <c r="N928" s="335" t="str">
        <f>IF(MAXIFS('単価履歴'!$O:$O,'単価履歴'!$E:$E,E928,'単価履歴'!$F:$F,F928)=O928,"●","")</f>
        <v/>
      </c>
      <c r="O928" s="346">
        <v>45757.27134259259</v>
      </c>
      <c r="P928" s="334" t="str">
        <f t="shared" si="4"/>
        <v>山口鋼業:阪和鋼ダライＡ</v>
      </c>
    </row>
    <row r="929" ht="15.75" customHeight="1">
      <c r="A929" s="335" t="s">
        <v>2123</v>
      </c>
      <c r="B929" s="336">
        <v>45757.0</v>
      </c>
      <c r="C929" s="335" t="s">
        <v>15</v>
      </c>
      <c r="D929" s="335" t="s">
        <v>46</v>
      </c>
      <c r="E929" s="337" t="str">
        <f t="shared" si="1"/>
        <v>山口鋼業:阪和</v>
      </c>
      <c r="F929" s="338" t="s">
        <v>111</v>
      </c>
      <c r="G929" s="339" t="str">
        <f t="shared" si="2"/>
        <v>山口鋼業:阪和Ｈ１(特A)</v>
      </c>
      <c r="H929" s="340">
        <f t="shared" si="3"/>
        <v>42</v>
      </c>
      <c r="I929" s="341">
        <v>1.0</v>
      </c>
      <c r="J929" s="332">
        <f>IFERROR(__xludf.DUMMYFUNCTION("IF(IF(COUNTIF(P$2:P928, P929)=0, """", INDEX(H$2:H928,
MAX(FILTER(ROW(H$2:H928) - ROW(H$2) + 1, P$2:P928 = P929))))=""単価"","""",
IF(COUNTIF(P$2:P928, P929)=0, """", INDEX(H$2:H928,
MAX(FILTER(ROW(H$2:H928) - ROW(H$2) + 1, P$2:P928 = P929)))))"),41.0)</f>
        <v>41</v>
      </c>
      <c r="N929" s="335" t="str">
        <f>IF(MAXIFS('単価履歴'!$O:$O,'単価履歴'!$E:$E,E929,'単価履歴'!$F:$F,F929)=O929,"●","")</f>
        <v/>
      </c>
      <c r="O929" s="346">
        <v>45757.27134259259</v>
      </c>
      <c r="P929" s="334" t="str">
        <f t="shared" si="4"/>
        <v>山口鋼業:阪和Ｈ１(特A)</v>
      </c>
    </row>
    <row r="930" ht="15.75" customHeight="1">
      <c r="A930" s="335" t="s">
        <v>2124</v>
      </c>
      <c r="B930" s="336">
        <v>45757.0</v>
      </c>
      <c r="C930" s="335" t="s">
        <v>15</v>
      </c>
      <c r="D930" s="335" t="s">
        <v>46</v>
      </c>
      <c r="E930" s="337" t="str">
        <f t="shared" si="1"/>
        <v>山口鋼業:阪和</v>
      </c>
      <c r="F930" s="338" t="s">
        <v>573</v>
      </c>
      <c r="G930" s="339" t="str">
        <f t="shared" si="2"/>
        <v>山口鋼業:阪和Ｌ２(H4･級外･L1ﾊﾞﾗ)</v>
      </c>
      <c r="H930" s="340">
        <f t="shared" si="3"/>
        <v>39</v>
      </c>
      <c r="I930" s="341">
        <v>1.0</v>
      </c>
      <c r="J930" s="332">
        <f>IFERROR(__xludf.DUMMYFUNCTION("IF(IF(COUNTIF(P$2:P929, P930)=0, """", INDEX(H$2:H929,
MAX(FILTER(ROW(H$2:H929) - ROW(H$2) + 1, P$2:P929 = P930))))=""単価"","""",
IF(COUNTIF(P$2:P929, P930)=0, """", INDEX(H$2:H929,
MAX(FILTER(ROW(H$2:H929) - ROW(H$2) + 1, P$2:P929 = P930)))))"),38.0)</f>
        <v>38</v>
      </c>
      <c r="N930" s="335" t="str">
        <f>IF(MAXIFS('単価履歴'!$O:$O,'単価履歴'!$E:$E,E930,'単価履歴'!$F:$F,F930)=O930,"●","")</f>
        <v/>
      </c>
      <c r="O930" s="346">
        <v>45757.27134259259</v>
      </c>
      <c r="P930" s="334" t="str">
        <f t="shared" si="4"/>
        <v>山口鋼業:阪和Ｌ２(H4･級外･L1ﾊﾞﾗ)</v>
      </c>
    </row>
    <row r="931" ht="15.75" customHeight="1">
      <c r="A931" s="335" t="s">
        <v>2125</v>
      </c>
      <c r="B931" s="336">
        <v>45757.0</v>
      </c>
      <c r="C931" s="335" t="s">
        <v>15</v>
      </c>
      <c r="D931" s="335" t="s">
        <v>46</v>
      </c>
      <c r="E931" s="337" t="str">
        <f t="shared" si="1"/>
        <v>山口鋼業:阪和</v>
      </c>
      <c r="F931" s="338" t="s">
        <v>1199</v>
      </c>
      <c r="G931" s="339" t="str">
        <f t="shared" si="2"/>
        <v>山口鋼業:阪和ＨＳ１(単体H1/電特A/HS))</v>
      </c>
      <c r="H931" s="340">
        <f t="shared" si="3"/>
        <v>43.5</v>
      </c>
      <c r="I931" s="341">
        <v>1.0</v>
      </c>
      <c r="J931" s="332">
        <f>IFERROR(__xludf.DUMMYFUNCTION("IF(IF(COUNTIF(P$2:P930, P931)=0, """", INDEX(H$2:H930,
MAX(FILTER(ROW(H$2:H930) - ROW(H$2) + 1, P$2:P930 = P931))))=""単価"","""",
IF(COUNTIF(P$2:P930, P931)=0, """", INDEX(H$2:H930,
MAX(FILTER(ROW(H$2:H930) - ROW(H$2) + 1, P$2:P930 = P931)))))"),42.5)</f>
        <v>42.5</v>
      </c>
      <c r="N931" s="335" t="str">
        <f>IF(MAXIFS('単価履歴'!$O:$O,'単価履歴'!$E:$E,E931,'単価履歴'!$F:$F,F931)=O931,"●","")</f>
        <v/>
      </c>
      <c r="O931" s="346">
        <v>45757.27134259259</v>
      </c>
      <c r="P931" s="334" t="str">
        <f t="shared" si="4"/>
        <v>山口鋼業:阪和ＨＳ１(単体H1/電特A/HS))</v>
      </c>
    </row>
    <row r="932" ht="15.75" customHeight="1">
      <c r="A932" s="335" t="s">
        <v>2126</v>
      </c>
      <c r="B932" s="336">
        <v>45757.0</v>
      </c>
      <c r="C932" s="335" t="s">
        <v>15</v>
      </c>
      <c r="D932" s="335" t="s">
        <v>46</v>
      </c>
      <c r="E932" s="337" t="str">
        <f t="shared" si="1"/>
        <v>山口鋼業:阪和</v>
      </c>
      <c r="F932" s="338" t="s">
        <v>119</v>
      </c>
      <c r="G932" s="339" t="str">
        <f t="shared" si="2"/>
        <v>山口鋼業:阪和Ｈ３(1級)</v>
      </c>
      <c r="H932" s="340">
        <f t="shared" si="3"/>
        <v>40.5</v>
      </c>
      <c r="I932" s="341">
        <v>1.0</v>
      </c>
      <c r="J932" s="332">
        <f>IFERROR(__xludf.DUMMYFUNCTION("IF(IF(COUNTIF(P$2:P931, P932)=0, """", INDEX(H$2:H931,
MAX(FILTER(ROW(H$2:H931) - ROW(H$2) + 1, P$2:P931 = P932))))=""単価"","""",
IF(COUNTIF(P$2:P931, P932)=0, """", INDEX(H$2:H931,
MAX(FILTER(ROW(H$2:H931) - ROW(H$2) + 1, P$2:P931 = P932)))))"),39.5)</f>
        <v>39.5</v>
      </c>
      <c r="N932" s="335" t="str">
        <f>IF(MAXIFS('単価履歴'!$O:$O,'単価履歴'!$E:$E,E932,'単価履歴'!$F:$F,F932)=O932,"●","")</f>
        <v/>
      </c>
      <c r="O932" s="346">
        <v>45757.27134259259</v>
      </c>
      <c r="P932" s="334" t="str">
        <f t="shared" si="4"/>
        <v>山口鋼業:阪和Ｈ３(1級)</v>
      </c>
    </row>
    <row r="933" ht="15.75" customHeight="1">
      <c r="A933" s="335"/>
      <c r="B933" s="336"/>
      <c r="C933" s="335"/>
      <c r="D933" s="335"/>
      <c r="E933" s="337" t="str">
        <f t="shared" si="1"/>
        <v>:</v>
      </c>
      <c r="F933" s="338"/>
      <c r="G933" s="339" t="str">
        <f t="shared" si="2"/>
        <v>:</v>
      </c>
      <c r="H933" s="340">
        <f t="shared" si="3"/>
        <v>0</v>
      </c>
      <c r="I933" s="341"/>
      <c r="J933" s="332">
        <f>IFERROR(__xludf.DUMMYFUNCTION("IF(IF(COUNTIF(P$2:P932, P933)=0, """", INDEX(H$2:H932,
MAX(FILTER(ROW(H$2:H932) - ROW(H$2) + 1, P$2:P932 = P933))))=""単価"","""",
IF(COUNTIF(P$2:P932, P933)=0, """", INDEX(H$2:H932,
MAX(FILTER(ROW(H$2:H932) - ROW(H$2) + 1, P$2:P932 = P933)))))"),0.0)</f>
        <v>0</v>
      </c>
      <c r="N933" s="335" t="str">
        <f>IF(MAXIFS('単価履歴'!$O:$O,'単価履歴'!$E:$E,E933,'単価履歴'!$F:$F,F933)=O933,"●","")</f>
        <v>●</v>
      </c>
      <c r="O933" s="346"/>
      <c r="P933" s="334" t="str">
        <f t="shared" si="4"/>
        <v>:</v>
      </c>
    </row>
    <row r="934" ht="15.75" customHeight="1">
      <c r="A934" s="335" t="s">
        <v>2127</v>
      </c>
      <c r="B934" s="336">
        <v>45757.0</v>
      </c>
      <c r="C934" s="335" t="s">
        <v>15</v>
      </c>
      <c r="D934" s="335" t="s">
        <v>46</v>
      </c>
      <c r="E934" s="337" t="str">
        <f t="shared" si="1"/>
        <v>山口鋼業:阪和</v>
      </c>
      <c r="F934" s="338" t="s">
        <v>1237</v>
      </c>
      <c r="G934" s="339" t="str">
        <f t="shared" si="2"/>
        <v>山口鋼業:阪和ＪＨ１(H2T山口)鍛造ﾊﾞﾘ</v>
      </c>
      <c r="H934" s="340">
        <f t="shared" si="3"/>
        <v>2.5</v>
      </c>
      <c r="I934" s="341">
        <v>1.0</v>
      </c>
      <c r="J934" s="332">
        <f>IFERROR(__xludf.DUMMYFUNCTION("IF(IF(COUNTIF(P$2:P933, P934)=0, """", INDEX(H$2:H933,
MAX(FILTER(ROW(H$2:H933) - ROW(H$2) + 1, P$2:P933 = P934))))=""単価"","""",
IF(COUNTIF(P$2:P933, P934)=0, """", INDEX(H$2:H933,
MAX(FILTER(ROW(H$2:H933) - ROW(H$2) + 1, P$2:P933 = P934)))))"),1.5)</f>
        <v>1.5</v>
      </c>
      <c r="N934" s="335" t="str">
        <f>IF(MAXIFS('単価履歴'!$O:$O,'単価履歴'!$E:$E,E934,'単価履歴'!$F:$F,F934)=O934,"●","")</f>
        <v>●</v>
      </c>
      <c r="O934" s="346">
        <v>45757.27134259259</v>
      </c>
      <c r="P934" s="334" t="str">
        <f t="shared" si="4"/>
        <v>山口鋼業:阪和ＪＨ１(H2T山口)鍛造ﾊﾞﾘ</v>
      </c>
    </row>
    <row r="935" ht="15.75" customHeight="1">
      <c r="A935" s="335" t="s">
        <v>2128</v>
      </c>
      <c r="B935" s="336">
        <v>45757.0</v>
      </c>
      <c r="C935" s="335" t="s">
        <v>35</v>
      </c>
      <c r="D935" s="335" t="s">
        <v>48</v>
      </c>
      <c r="E935" s="337" t="str">
        <f t="shared" si="1"/>
        <v>ﾆｭｰｽｺﾝ稲永:ナベ</v>
      </c>
      <c r="F935" s="338" t="s">
        <v>130</v>
      </c>
      <c r="G935" s="339" t="str">
        <f t="shared" si="2"/>
        <v>ﾆｭｰｽｺﾝ稲永:ナベ新断Ａ</v>
      </c>
      <c r="H935" s="340">
        <f t="shared" si="3"/>
        <v>44.5</v>
      </c>
      <c r="I935" s="341">
        <v>-0.5</v>
      </c>
      <c r="J935" s="332">
        <f>IFERROR(__xludf.DUMMYFUNCTION("IF(IF(COUNTIF(P$2:P934, P935)=0, """", INDEX(H$2:H934,
MAX(FILTER(ROW(H$2:H934) - ROW(H$2) + 1, P$2:P934 = P935))))=""単価"","""",
IF(COUNTIF(P$2:P934, P935)=0, """", INDEX(H$2:H934,
MAX(FILTER(ROW(H$2:H934) - ROW(H$2) + 1, P$2:P934 = P935)))))"),45.0)</f>
        <v>45</v>
      </c>
      <c r="N935" s="335" t="str">
        <f>IF(MAXIFS('単価履歴'!$O:$O,'単価履歴'!$E:$E,E935,'単価履歴'!$F:$F,F935)=O935,"●","")</f>
        <v/>
      </c>
      <c r="O935" s="346">
        <v>45757.31917824074</v>
      </c>
      <c r="P935" s="334" t="str">
        <f t="shared" si="4"/>
        <v>ﾆｭｰｽｺﾝ稲永:ナベ新断Ａ</v>
      </c>
    </row>
    <row r="936" ht="15.75" customHeight="1">
      <c r="A936" s="335" t="s">
        <v>2129</v>
      </c>
      <c r="B936" s="336">
        <v>45758.0</v>
      </c>
      <c r="C936" s="335" t="s">
        <v>36</v>
      </c>
      <c r="D936" s="335" t="s">
        <v>1303</v>
      </c>
      <c r="E936" s="337" t="str">
        <f t="shared" si="1"/>
        <v>共英枚方:ナベ/置場単価</v>
      </c>
      <c r="F936" s="338" t="s">
        <v>111</v>
      </c>
      <c r="G936" s="339" t="str">
        <f t="shared" si="2"/>
        <v>共英枚方:ナベ/置場単価Ｈ１(特A)</v>
      </c>
      <c r="H936" s="340">
        <f t="shared" si="3"/>
        <v>43</v>
      </c>
      <c r="I936" s="341">
        <v>0.5</v>
      </c>
      <c r="J936" s="332">
        <f>IFERROR(__xludf.DUMMYFUNCTION("IF(IF(COUNTIF(P$2:P935, P936)=0, """", INDEX(H$2:H935,
MAX(FILTER(ROW(H$2:H935) - ROW(H$2) + 1, P$2:P935 = P936))))=""単価"","""",
IF(COUNTIF(P$2:P935, P936)=0, """", INDEX(H$2:H935,
MAX(FILTER(ROW(H$2:H935) - ROW(H$2) + 1, P$2:P935 = P936)))))"),42.5)</f>
        <v>42.5</v>
      </c>
      <c r="N936" s="335" t="str">
        <f>IF(MAXIFS('単価履歴'!$O:$O,'単価履歴'!$E:$E,E936,'単価履歴'!$F:$F,F936)=O936,"●","")</f>
        <v/>
      </c>
      <c r="O936" s="346">
        <v>45757.75138888889</v>
      </c>
      <c r="P936" s="334" t="str">
        <f t="shared" si="4"/>
        <v>共英枚方:ナベ/置場単価Ｈ１(特A)</v>
      </c>
    </row>
    <row r="937" ht="15.75" customHeight="1">
      <c r="A937" s="335" t="s">
        <v>2130</v>
      </c>
      <c r="B937" s="336">
        <v>45758.0</v>
      </c>
      <c r="C937" s="335" t="s">
        <v>36</v>
      </c>
      <c r="D937" s="335" t="s">
        <v>1303</v>
      </c>
      <c r="E937" s="337" t="str">
        <f t="shared" si="1"/>
        <v>共英枚方:ナベ/置場単価</v>
      </c>
      <c r="F937" s="338" t="s">
        <v>116</v>
      </c>
      <c r="G937" s="339" t="str">
        <f t="shared" si="2"/>
        <v>共英枚方:ナベ/置場単価Ｈ２(特級)</v>
      </c>
      <c r="H937" s="340">
        <f t="shared" si="3"/>
        <v>41</v>
      </c>
      <c r="I937" s="341">
        <v>1.0</v>
      </c>
      <c r="J937" s="332">
        <f>IFERROR(__xludf.DUMMYFUNCTION("IF(IF(COUNTIF(P$2:P936, P937)=0, """", INDEX(H$2:H936,
MAX(FILTER(ROW(H$2:H936) - ROW(H$2) + 1, P$2:P936 = P937))))=""単価"","""",
IF(COUNTIF(P$2:P936, P937)=0, """", INDEX(H$2:H936,
MAX(FILTER(ROW(H$2:H936) - ROW(H$2) + 1, P$2:P936 = P937)))))"),40.0)</f>
        <v>40</v>
      </c>
      <c r="N937" s="335" t="str">
        <f>IF(MAXIFS('単価履歴'!$O:$O,'単価履歴'!$E:$E,E937,'単価履歴'!$F:$F,F937)=O937,"●","")</f>
        <v/>
      </c>
      <c r="O937" s="346">
        <v>45757.75162037037</v>
      </c>
      <c r="P937" s="334" t="str">
        <f t="shared" si="4"/>
        <v>共英枚方:ナベ/置場単価Ｈ２(特級)</v>
      </c>
    </row>
    <row r="938" ht="15.75" customHeight="1">
      <c r="A938" s="335" t="s">
        <v>2131</v>
      </c>
      <c r="B938" s="336">
        <v>45758.0</v>
      </c>
      <c r="C938" s="335" t="s">
        <v>36</v>
      </c>
      <c r="D938" s="335" t="s">
        <v>1303</v>
      </c>
      <c r="E938" s="337" t="str">
        <f t="shared" si="1"/>
        <v>共英枚方:ナベ/置場単価</v>
      </c>
      <c r="F938" s="338" t="s">
        <v>119</v>
      </c>
      <c r="G938" s="339" t="str">
        <f t="shared" si="2"/>
        <v>共英枚方:ナベ/置場単価Ｈ３(1級)</v>
      </c>
      <c r="H938" s="340">
        <f t="shared" si="3"/>
        <v>40.5</v>
      </c>
      <c r="I938" s="341">
        <v>1.5</v>
      </c>
      <c r="J938" s="332">
        <f>IFERROR(__xludf.DUMMYFUNCTION("IF(IF(COUNTIF(P$2:P937, P938)=0, """", INDEX(H$2:H937,
MAX(FILTER(ROW(H$2:H937) - ROW(H$2) + 1, P$2:P937 = P938))))=""単価"","""",
IF(COUNTIF(P$2:P937, P938)=0, """", INDEX(H$2:H937,
MAX(FILTER(ROW(H$2:H937) - ROW(H$2) + 1, P$2:P937 = P938)))))"),39.0)</f>
        <v>39</v>
      </c>
      <c r="N938" s="335" t="str">
        <f>IF(MAXIFS('単価履歴'!$O:$O,'単価履歴'!$E:$E,E938,'単価履歴'!$F:$F,F938)=O938,"●","")</f>
        <v/>
      </c>
      <c r="O938" s="346">
        <v>45757.75184027778</v>
      </c>
      <c r="P938" s="334" t="str">
        <f t="shared" si="4"/>
        <v>共英枚方:ナベ/置場単価Ｈ３(1級)</v>
      </c>
    </row>
    <row r="939" ht="15.75" customHeight="1">
      <c r="A939" s="335" t="s">
        <v>2132</v>
      </c>
      <c r="B939" s="336">
        <v>45758.0</v>
      </c>
      <c r="C939" s="335" t="s">
        <v>36</v>
      </c>
      <c r="D939" s="335" t="s">
        <v>1303</v>
      </c>
      <c r="E939" s="337" t="str">
        <f t="shared" si="1"/>
        <v>共英枚方:ナベ/置場単価</v>
      </c>
      <c r="F939" s="338" t="s">
        <v>122</v>
      </c>
      <c r="G939" s="339" t="str">
        <f t="shared" si="2"/>
        <v>共英枚方:ナベ/置場単価Ｌ１(2級)</v>
      </c>
      <c r="H939" s="340">
        <f t="shared" si="3"/>
        <v>40</v>
      </c>
      <c r="I939" s="341">
        <v>2.0</v>
      </c>
      <c r="J939" s="332">
        <f>IFERROR(__xludf.DUMMYFUNCTION("IF(IF(COUNTIF(P$2:P938, P939)=0, """", INDEX(H$2:H938,
MAX(FILTER(ROW(H$2:H938) - ROW(H$2) + 1, P$2:P938 = P939))))=""単価"","""",
IF(COUNTIF(P$2:P938, P939)=0, """", INDEX(H$2:H938,
MAX(FILTER(ROW(H$2:H938) - ROW(H$2) + 1, P$2:P938 = P939)))))"),38.0)</f>
        <v>38</v>
      </c>
      <c r="N939" s="335" t="str">
        <f>IF(MAXIFS('単価履歴'!$O:$O,'単価履歴'!$E:$E,E939,'単価履歴'!$F:$F,F939)=O939,"●","")</f>
        <v/>
      </c>
      <c r="O939" s="346">
        <v>45757.75209490741</v>
      </c>
      <c r="P939" s="334" t="str">
        <f t="shared" si="4"/>
        <v>共英枚方:ナベ/置場単価Ｌ１(2級)</v>
      </c>
    </row>
    <row r="940" ht="15.75" customHeight="1">
      <c r="A940" s="335" t="s">
        <v>2133</v>
      </c>
      <c r="B940" s="336">
        <v>45748.0</v>
      </c>
      <c r="C940" s="335" t="s">
        <v>29</v>
      </c>
      <c r="D940" s="335" t="s">
        <v>50</v>
      </c>
      <c r="E940" s="337" t="str">
        <f t="shared" si="1"/>
        <v>南港:産振</v>
      </c>
      <c r="F940" s="338" t="s">
        <v>145</v>
      </c>
      <c r="G940" s="339" t="str">
        <f t="shared" si="2"/>
        <v>南港:産振シュレＡ</v>
      </c>
      <c r="H940" s="340">
        <f t="shared" si="3"/>
        <v>45</v>
      </c>
      <c r="I940" s="335">
        <v>45.0</v>
      </c>
      <c r="J940" s="332">
        <f>IFERROR(__xludf.DUMMYFUNCTION("IF(IF(COUNTIF(P$2:P939, P940)=0, """", INDEX(H$2:H939,
MAX(FILTER(ROW(H$2:H939) - ROW(H$2) + 1, P$2:P939 = P940))))=""単価"","""",
IF(COUNTIF(P$2:P939, P940)=0, """", INDEX(H$2:H939,
MAX(FILTER(ROW(H$2:H939) - ROW(H$2) + 1, P$2:P939 = P940)))))"),0.0)</f>
        <v>0</v>
      </c>
      <c r="N940" s="335" t="str">
        <f>IF(MAXIFS('単価履歴'!$O:$O,'単価履歴'!$E:$E,E940,'単価履歴'!$F:$F,F940)=O940,"●","")</f>
        <v/>
      </c>
      <c r="O940" s="346">
        <v>45763.68331018519</v>
      </c>
      <c r="P940" s="334" t="str">
        <f t="shared" si="4"/>
        <v>南港:産振シュレＡ</v>
      </c>
    </row>
    <row r="941" ht="15.75" customHeight="1">
      <c r="A941" s="335" t="s">
        <v>2133</v>
      </c>
      <c r="B941" s="336">
        <v>45765.0</v>
      </c>
      <c r="C941" s="335" t="s">
        <v>29</v>
      </c>
      <c r="D941" s="335" t="s">
        <v>50</v>
      </c>
      <c r="E941" s="337" t="str">
        <f t="shared" si="1"/>
        <v>南港:産振</v>
      </c>
      <c r="F941" s="338" t="s">
        <v>145</v>
      </c>
      <c r="G941" s="339" t="str">
        <f t="shared" si="2"/>
        <v>南港:産振シュレＡ</v>
      </c>
      <c r="H941" s="340">
        <f t="shared" si="3"/>
        <v>44.5</v>
      </c>
      <c r="I941" s="341">
        <v>-0.5</v>
      </c>
      <c r="J941" s="332">
        <f>IFERROR(__xludf.DUMMYFUNCTION("IF(IF(COUNTIF(P$2:P940, P941)=0, """", INDEX(H$2:H940,
MAX(FILTER(ROW(H$2:H940) - ROW(H$2) + 1, P$2:P940 = P941))))=""単価"","""",
IF(COUNTIF(P$2:P940, P941)=0, """", INDEX(H$2:H940,
MAX(FILTER(ROW(H$2:H940) - ROW(H$2) + 1, P$2:P940 = P941)))))"),45.0)</f>
        <v>45</v>
      </c>
      <c r="N941" s="335" t="str">
        <f>IF(MAXIFS('単価履歴'!$O:$O,'単価履歴'!$E:$E,E941,'単価履歴'!$F:$F,F941)=O941,"●","")</f>
        <v/>
      </c>
      <c r="O941" s="346">
        <v>45764.68331018518</v>
      </c>
      <c r="P941" s="334" t="str">
        <f t="shared" si="4"/>
        <v>南港:産振シュレＡ</v>
      </c>
    </row>
    <row r="942" ht="15.75" customHeight="1">
      <c r="A942" s="335" t="s">
        <v>2134</v>
      </c>
      <c r="B942" s="336">
        <v>45765.0</v>
      </c>
      <c r="C942" s="335" t="s">
        <v>5</v>
      </c>
      <c r="D942" s="335" t="s">
        <v>46</v>
      </c>
      <c r="E942" s="337" t="str">
        <f t="shared" si="1"/>
        <v>中山製鋼:阪和</v>
      </c>
      <c r="F942" s="338" t="s">
        <v>111</v>
      </c>
      <c r="G942" s="339" t="str">
        <f t="shared" si="2"/>
        <v>中山製鋼:阪和Ｈ１(特A)</v>
      </c>
      <c r="H942" s="340">
        <f t="shared" si="3"/>
        <v>43</v>
      </c>
      <c r="I942" s="341">
        <v>-0.5</v>
      </c>
      <c r="J942" s="332">
        <f>IFERROR(__xludf.DUMMYFUNCTION("IF(IF(COUNTIF(P$2:P941, P942)=0, """", INDEX(H$2:H941,
MAX(FILTER(ROW(H$2:H941) - ROW(H$2) + 1, P$2:P941 = P942))))=""単価"","""",
IF(COUNTIF(P$2:P941, P942)=0, """", INDEX(H$2:H941,
MAX(FILTER(ROW(H$2:H941) - ROW(H$2) + 1, P$2:P941 = P942)))))"),43.5)</f>
        <v>43.5</v>
      </c>
      <c r="N942" s="335" t="str">
        <f>IF(MAXIFS('単価履歴'!$O:$O,'単価履歴'!$E:$E,E942,'単価履歴'!$F:$F,F942)=O942,"●","")</f>
        <v/>
      </c>
      <c r="O942" s="346">
        <v>45765.27003472223</v>
      </c>
      <c r="P942" s="334" t="str">
        <f t="shared" si="4"/>
        <v>中山製鋼:阪和Ｈ１(特A)</v>
      </c>
    </row>
    <row r="943" ht="15.75" customHeight="1">
      <c r="A943" s="335" t="s">
        <v>2135</v>
      </c>
      <c r="B943" s="336">
        <v>45765.0</v>
      </c>
      <c r="C943" s="335" t="s">
        <v>5</v>
      </c>
      <c r="D943" s="335" t="s">
        <v>46</v>
      </c>
      <c r="E943" s="337" t="str">
        <f t="shared" si="1"/>
        <v>中山製鋼:阪和</v>
      </c>
      <c r="F943" s="338" t="s">
        <v>116</v>
      </c>
      <c r="G943" s="339" t="str">
        <f t="shared" si="2"/>
        <v>中山製鋼:阪和Ｈ２(特級)</v>
      </c>
      <c r="H943" s="340">
        <f t="shared" si="3"/>
        <v>33.3</v>
      </c>
      <c r="I943" s="341">
        <v>-0.5</v>
      </c>
      <c r="J943" s="332">
        <f>IFERROR(__xludf.DUMMYFUNCTION("IF(IF(COUNTIF(P$2:P942, P943)=0, """", INDEX(H$2:H942,
MAX(FILTER(ROW(H$2:H942) - ROW(H$2) + 1, P$2:P942 = P943))))=""単価"","""",
IF(COUNTIF(P$2:P942, P943)=0, """", INDEX(H$2:H942,
MAX(FILTER(ROW(H$2:H942) - ROW(H$2) + 1, P$2:P942 = P943)))))"),33.8)</f>
        <v>33.8</v>
      </c>
      <c r="N943" s="335" t="str">
        <f>IF(MAXIFS('単価履歴'!$O:$O,'単価履歴'!$E:$E,E943,'単価履歴'!$F:$F,F943)=O943,"●","")</f>
        <v/>
      </c>
      <c r="O943" s="346">
        <v>45765.27003472223</v>
      </c>
      <c r="P943" s="334" t="str">
        <f t="shared" si="4"/>
        <v>中山製鋼:阪和Ｈ２(特級)</v>
      </c>
    </row>
    <row r="944" ht="15.75" customHeight="1">
      <c r="A944" s="335" t="s">
        <v>2136</v>
      </c>
      <c r="B944" s="336">
        <v>45765.0</v>
      </c>
      <c r="C944" s="335" t="s">
        <v>5</v>
      </c>
      <c r="D944" s="335" t="s">
        <v>46</v>
      </c>
      <c r="E944" s="337" t="str">
        <f t="shared" si="1"/>
        <v>中山製鋼:阪和</v>
      </c>
      <c r="F944" s="338" t="s">
        <v>119</v>
      </c>
      <c r="G944" s="339" t="str">
        <f t="shared" si="2"/>
        <v>中山製鋼:阪和Ｈ３(1級)</v>
      </c>
      <c r="H944" s="340">
        <f t="shared" si="3"/>
        <v>34.3</v>
      </c>
      <c r="I944" s="341">
        <v>-0.5</v>
      </c>
      <c r="J944" s="332">
        <f>IFERROR(__xludf.DUMMYFUNCTION("IF(IF(COUNTIF(P$2:P943, P944)=0, """", INDEX(H$2:H943,
MAX(FILTER(ROW(H$2:H943) - ROW(H$2) + 1, P$2:P943 = P944))))=""単価"","""",
IF(COUNTIF(P$2:P943, P944)=0, """", INDEX(H$2:H943,
MAX(FILTER(ROW(H$2:H943) - ROW(H$2) + 1, P$2:P943 = P944)))))"),34.8)</f>
        <v>34.8</v>
      </c>
      <c r="N944" s="335" t="str">
        <f>IF(MAXIFS('単価履歴'!$O:$O,'単価履歴'!$E:$E,E944,'単価履歴'!$F:$F,F944)=O944,"●","")</f>
        <v/>
      </c>
      <c r="O944" s="346">
        <v>45765.27003472223</v>
      </c>
      <c r="P944" s="334" t="str">
        <f t="shared" si="4"/>
        <v>中山製鋼:阪和Ｈ３(1級)</v>
      </c>
    </row>
    <row r="945" ht="15.75" customHeight="1">
      <c r="A945" s="335" t="s">
        <v>2137</v>
      </c>
      <c r="B945" s="336">
        <v>45765.0</v>
      </c>
      <c r="C945" s="335" t="s">
        <v>5</v>
      </c>
      <c r="D945" s="335" t="s">
        <v>46</v>
      </c>
      <c r="E945" s="337" t="str">
        <f t="shared" si="1"/>
        <v>中山製鋼:阪和</v>
      </c>
      <c r="F945" s="338" t="s">
        <v>101</v>
      </c>
      <c r="G945" s="339" t="str">
        <f t="shared" si="2"/>
        <v>中山製鋼:阪和ＨＳ２</v>
      </c>
      <c r="H945" s="340">
        <f t="shared" si="3"/>
        <v>45.4</v>
      </c>
      <c r="I945" s="341">
        <v>-0.5</v>
      </c>
      <c r="J945" s="332">
        <f>IFERROR(__xludf.DUMMYFUNCTION("IF(IF(COUNTIF(P$2:P944, P945)=0, """", INDEX(H$2:H944,
MAX(FILTER(ROW(H$2:H944) - ROW(H$2) + 1, P$2:P944 = P945))))=""単価"","""",
IF(COUNTIF(P$2:P944, P945)=0, """", INDEX(H$2:H944,
MAX(FILTER(ROW(H$2:H944) - ROW(H$2) + 1, P$2:P944 = P945)))))"),45.9)</f>
        <v>45.9</v>
      </c>
      <c r="N945" s="335" t="str">
        <f>IF(MAXIFS('単価履歴'!$O:$O,'単価履歴'!$E:$E,E945,'単価履歴'!$F:$F,F945)=O945,"●","")</f>
        <v/>
      </c>
      <c r="O945" s="346">
        <v>45765.27003472223</v>
      </c>
      <c r="P945" s="334" t="str">
        <f t="shared" si="4"/>
        <v>中山製鋼:阪和ＨＳ２</v>
      </c>
    </row>
    <row r="946" ht="15.75" customHeight="1">
      <c r="A946" s="335" t="s">
        <v>2138</v>
      </c>
      <c r="B946" s="336">
        <v>45765.0</v>
      </c>
      <c r="C946" s="335" t="s">
        <v>5</v>
      </c>
      <c r="D946" s="335" t="s">
        <v>46</v>
      </c>
      <c r="E946" s="337" t="str">
        <f t="shared" si="1"/>
        <v>中山製鋼:阪和</v>
      </c>
      <c r="F946" s="338" t="s">
        <v>122</v>
      </c>
      <c r="G946" s="339" t="str">
        <f t="shared" si="2"/>
        <v>中山製鋼:阪和Ｌ１(2級)</v>
      </c>
      <c r="H946" s="340">
        <f t="shared" si="3"/>
        <v>27.8</v>
      </c>
      <c r="I946" s="341">
        <v>-0.5</v>
      </c>
      <c r="J946" s="332">
        <f>IFERROR(__xludf.DUMMYFUNCTION("IF(IF(COUNTIF(P$2:P945, P946)=0, """", INDEX(H$2:H945,
MAX(FILTER(ROW(H$2:H945) - ROW(H$2) + 1, P$2:P945 = P946))))=""単価"","""",
IF(COUNTIF(P$2:P945, P946)=0, """", INDEX(H$2:H945,
MAX(FILTER(ROW(H$2:H945) - ROW(H$2) + 1, P$2:P945 = P946)))))"),28.3)</f>
        <v>28.3</v>
      </c>
      <c r="N946" s="335" t="str">
        <f>IF(MAXIFS('単価履歴'!$O:$O,'単価履歴'!$E:$E,E946,'単価履歴'!$F:$F,F946)=O946,"●","")</f>
        <v/>
      </c>
      <c r="O946" s="346">
        <v>45765.27003472223</v>
      </c>
      <c r="P946" s="334" t="str">
        <f t="shared" si="4"/>
        <v>中山製鋼:阪和Ｌ１(2級)</v>
      </c>
    </row>
    <row r="947" ht="15.75" customHeight="1">
      <c r="A947" s="335" t="s">
        <v>2139</v>
      </c>
      <c r="B947" s="336">
        <v>45765.0</v>
      </c>
      <c r="C947" s="335" t="s">
        <v>5</v>
      </c>
      <c r="D947" s="335" t="s">
        <v>46</v>
      </c>
      <c r="E947" s="337" t="str">
        <f t="shared" si="1"/>
        <v>中山製鋼:阪和</v>
      </c>
      <c r="F947" s="338" t="s">
        <v>130</v>
      </c>
      <c r="G947" s="339" t="str">
        <f t="shared" si="2"/>
        <v>中山製鋼:阪和新断Ａ</v>
      </c>
      <c r="H947" s="340">
        <f t="shared" si="3"/>
        <v>46.8</v>
      </c>
      <c r="I947" s="341">
        <v>-0.5</v>
      </c>
      <c r="J947" s="332">
        <f>IFERROR(__xludf.DUMMYFUNCTION("IF(IF(COUNTIF(P$2:P946, P947)=0, """", INDEX(H$2:H946,
MAX(FILTER(ROW(H$2:H946) - ROW(H$2) + 1, P$2:P946 = P947))))=""単価"","""",
IF(COUNTIF(P$2:P946, P947)=0, """", INDEX(H$2:H946,
MAX(FILTER(ROW(H$2:H946) - ROW(H$2) + 1, P$2:P946 = P947)))))"),47.3)</f>
        <v>47.3</v>
      </c>
      <c r="N947" s="335" t="str">
        <f>IF(MAXIFS('単価履歴'!$O:$O,'単価履歴'!$E:$E,E947,'単価履歴'!$F:$F,F947)=O947,"●","")</f>
        <v/>
      </c>
      <c r="O947" s="346">
        <v>45765.27003472223</v>
      </c>
      <c r="P947" s="334" t="str">
        <f t="shared" si="4"/>
        <v>中山製鋼:阪和新断Ａ</v>
      </c>
    </row>
    <row r="948" ht="15.75" customHeight="1">
      <c r="A948" s="335" t="s">
        <v>2140</v>
      </c>
      <c r="B948" s="336">
        <v>45765.0</v>
      </c>
      <c r="C948" s="335" t="s">
        <v>5</v>
      </c>
      <c r="D948" s="335" t="s">
        <v>46</v>
      </c>
      <c r="E948" s="337" t="str">
        <f t="shared" si="1"/>
        <v>中山製鋼:阪和</v>
      </c>
      <c r="F948" s="338" t="s">
        <v>131</v>
      </c>
      <c r="G948" s="339" t="str">
        <f t="shared" si="2"/>
        <v>中山製鋼:阪和新断Ｂ</v>
      </c>
      <c r="H948" s="340">
        <f t="shared" si="3"/>
        <v>45.8</v>
      </c>
      <c r="I948" s="341">
        <v>-0.5</v>
      </c>
      <c r="J948" s="332">
        <f>IFERROR(__xludf.DUMMYFUNCTION("IF(IF(COUNTIF(P$2:P947, P948)=0, """", INDEX(H$2:H947,
MAX(FILTER(ROW(H$2:H947) - ROW(H$2) + 1, P$2:P947 = P948))))=""単価"","""",
IF(COUNTIF(P$2:P947, P948)=0, """", INDEX(H$2:H947,
MAX(FILTER(ROW(H$2:H947) - ROW(H$2) + 1, P$2:P947 = P948)))))"),46.3)</f>
        <v>46.3</v>
      </c>
      <c r="N948" s="335" t="str">
        <f>IF(MAXIFS('単価履歴'!$O:$O,'単価履歴'!$E:$E,E948,'単価履歴'!$F:$F,F948)=O948,"●","")</f>
        <v/>
      </c>
      <c r="O948" s="346">
        <v>45765.27003472223</v>
      </c>
      <c r="P948" s="334" t="str">
        <f t="shared" si="4"/>
        <v>中山製鋼:阪和新断Ｂ</v>
      </c>
    </row>
    <row r="949" ht="15.75" customHeight="1">
      <c r="A949" s="335" t="s">
        <v>2141</v>
      </c>
      <c r="B949" s="336">
        <v>45765.0</v>
      </c>
      <c r="C949" s="335" t="s">
        <v>5</v>
      </c>
      <c r="D949" s="335" t="s">
        <v>46</v>
      </c>
      <c r="E949" s="337" t="str">
        <f t="shared" si="1"/>
        <v>中山製鋼:阪和</v>
      </c>
      <c r="F949" s="338" t="s">
        <v>574</v>
      </c>
      <c r="G949" s="339" t="str">
        <f t="shared" si="2"/>
        <v>中山製鋼:阪和新断Ｃ</v>
      </c>
      <c r="H949" s="340">
        <f t="shared" si="3"/>
        <v>44.8</v>
      </c>
      <c r="I949" s="341">
        <v>-0.5</v>
      </c>
      <c r="J949" s="332">
        <f>IFERROR(__xludf.DUMMYFUNCTION("IF(IF(COUNTIF(P$2:P948, P949)=0, """", INDEX(H$2:H948,
MAX(FILTER(ROW(H$2:H948) - ROW(H$2) + 1, P$2:P948 = P949))))=""単価"","""",
IF(COUNTIF(P$2:P948, P949)=0, """", INDEX(H$2:H948,
MAX(FILTER(ROW(H$2:H948) - ROW(H$2) + 1, P$2:P948 = P949)))))"),45.3)</f>
        <v>45.3</v>
      </c>
      <c r="N949" s="335" t="str">
        <f>IF(MAXIFS('単価履歴'!$O:$O,'単価履歴'!$E:$E,E949,'単価履歴'!$F:$F,F949)=O949,"●","")</f>
        <v/>
      </c>
      <c r="O949" s="346">
        <v>45765.27003472223</v>
      </c>
      <c r="P949" s="334" t="str">
        <f t="shared" si="4"/>
        <v>中山製鋼:阪和新断Ｃ</v>
      </c>
    </row>
    <row r="950" ht="15.75" customHeight="1">
      <c r="A950" s="335" t="s">
        <v>2142</v>
      </c>
      <c r="B950" s="336">
        <v>45765.0</v>
      </c>
      <c r="C950" s="335" t="s">
        <v>5</v>
      </c>
      <c r="D950" s="335" t="s">
        <v>47</v>
      </c>
      <c r="E950" s="337" t="str">
        <f t="shared" si="1"/>
        <v>中山製鋼:豊通</v>
      </c>
      <c r="F950" s="338" t="s">
        <v>111</v>
      </c>
      <c r="G950" s="339" t="str">
        <f t="shared" si="2"/>
        <v>中山製鋼:豊通Ｈ１(特A)</v>
      </c>
      <c r="H950" s="340">
        <f t="shared" si="3"/>
        <v>44.3</v>
      </c>
      <c r="I950" s="341">
        <v>-0.5</v>
      </c>
      <c r="J950" s="332">
        <f>IFERROR(__xludf.DUMMYFUNCTION("IF(IF(COUNTIF(P$2:P949, P950)=0, """", INDEX(H$2:H949,
MAX(FILTER(ROW(H$2:H949) - ROW(H$2) + 1, P$2:P949 = P950))))=""単価"","""",
IF(COUNTIF(P$2:P949, P950)=0, """", INDEX(H$2:H949,
MAX(FILTER(ROW(H$2:H949) - ROW(H$2) + 1, P$2:P949 = P950)))))"),44.8)</f>
        <v>44.8</v>
      </c>
      <c r="N950" s="335" t="str">
        <f>IF(MAXIFS('単価履歴'!$O:$O,'単価履歴'!$E:$E,E950,'単価履歴'!$F:$F,F950)=O950,"●","")</f>
        <v/>
      </c>
      <c r="O950" s="346">
        <v>45765.27003472223</v>
      </c>
      <c r="P950" s="334" t="str">
        <f t="shared" si="4"/>
        <v>中山製鋼:豊通Ｈ１(特A)</v>
      </c>
    </row>
    <row r="951" ht="15.75" customHeight="1">
      <c r="A951" s="335" t="s">
        <v>2143</v>
      </c>
      <c r="B951" s="336">
        <v>45765.0</v>
      </c>
      <c r="C951" s="335" t="s">
        <v>5</v>
      </c>
      <c r="D951" s="335" t="s">
        <v>47</v>
      </c>
      <c r="E951" s="337" t="str">
        <f t="shared" si="1"/>
        <v>中山製鋼:豊通</v>
      </c>
      <c r="F951" s="338" t="s">
        <v>116</v>
      </c>
      <c r="G951" s="339" t="str">
        <f t="shared" si="2"/>
        <v>中山製鋼:豊通Ｈ２(特級)</v>
      </c>
      <c r="H951" s="340">
        <f t="shared" si="3"/>
        <v>38.3</v>
      </c>
      <c r="I951" s="341">
        <v>-0.5</v>
      </c>
      <c r="J951" s="332">
        <f>IFERROR(__xludf.DUMMYFUNCTION("IF(IF(COUNTIF(P$2:P950, P951)=0, """", INDEX(H$2:H950,
MAX(FILTER(ROW(H$2:H950) - ROW(H$2) + 1, P$2:P950 = P951))))=""単価"","""",
IF(COUNTIF(P$2:P950, P951)=0, """", INDEX(H$2:H950,
MAX(FILTER(ROW(H$2:H950) - ROW(H$2) + 1, P$2:P950 = P951)))))"),38.8)</f>
        <v>38.8</v>
      </c>
      <c r="N951" s="335" t="str">
        <f>IF(MAXIFS('単価履歴'!$O:$O,'単価履歴'!$E:$E,E951,'単価履歴'!$F:$F,F951)=O951,"●","")</f>
        <v/>
      </c>
      <c r="O951" s="346">
        <v>45765.27003472223</v>
      </c>
      <c r="P951" s="334" t="str">
        <f t="shared" si="4"/>
        <v>中山製鋼:豊通Ｈ２(特級)</v>
      </c>
    </row>
    <row r="952" ht="15.75" customHeight="1">
      <c r="A952" s="335" t="s">
        <v>2144</v>
      </c>
      <c r="B952" s="336">
        <v>45765.0</v>
      </c>
      <c r="C952" s="335" t="s">
        <v>5</v>
      </c>
      <c r="D952" s="335" t="s">
        <v>47</v>
      </c>
      <c r="E952" s="337" t="str">
        <f t="shared" si="1"/>
        <v>中山製鋼:豊通</v>
      </c>
      <c r="F952" s="338" t="s">
        <v>119</v>
      </c>
      <c r="G952" s="339" t="str">
        <f t="shared" si="2"/>
        <v>中山製鋼:豊通Ｈ３(1級)</v>
      </c>
      <c r="H952" s="340">
        <f t="shared" si="3"/>
        <v>34.3</v>
      </c>
      <c r="I952" s="341">
        <v>-0.5</v>
      </c>
      <c r="J952" s="332">
        <f>IFERROR(__xludf.DUMMYFUNCTION("IF(IF(COUNTIF(P$2:P951, P952)=0, """", INDEX(H$2:H951,
MAX(FILTER(ROW(H$2:H951) - ROW(H$2) + 1, P$2:P951 = P952))))=""単価"","""",
IF(COUNTIF(P$2:P951, P952)=0, """", INDEX(H$2:H951,
MAX(FILTER(ROW(H$2:H951) - ROW(H$2) + 1, P$2:P951 = P952)))))"),34.8)</f>
        <v>34.8</v>
      </c>
      <c r="N952" s="335" t="str">
        <f>IF(MAXIFS('単価履歴'!$O:$O,'単価履歴'!$E:$E,E952,'単価履歴'!$F:$F,F952)=O952,"●","")</f>
        <v/>
      </c>
      <c r="O952" s="346">
        <v>45765.27003472223</v>
      </c>
      <c r="P952" s="334" t="str">
        <f t="shared" si="4"/>
        <v>中山製鋼:豊通Ｈ３(1級)</v>
      </c>
    </row>
    <row r="953" ht="15.75" customHeight="1">
      <c r="A953" s="335" t="s">
        <v>2145</v>
      </c>
      <c r="B953" s="336">
        <v>45765.0</v>
      </c>
      <c r="C953" s="335" t="s">
        <v>5</v>
      </c>
      <c r="D953" s="335" t="s">
        <v>47</v>
      </c>
      <c r="E953" s="337" t="str">
        <f t="shared" si="1"/>
        <v>中山製鋼:豊通</v>
      </c>
      <c r="F953" s="338" t="s">
        <v>1199</v>
      </c>
      <c r="G953" s="339" t="str">
        <f t="shared" si="2"/>
        <v>中山製鋼:豊通ＨＳ１(単体H1/電特A/HS))</v>
      </c>
      <c r="H953" s="340">
        <f t="shared" si="3"/>
        <v>45.3</v>
      </c>
      <c r="I953" s="341">
        <v>-0.5</v>
      </c>
      <c r="J953" s="332">
        <f>IFERROR(__xludf.DUMMYFUNCTION("IF(IF(COUNTIF(P$2:P952, P953)=0, """", INDEX(H$2:H952,
MAX(FILTER(ROW(H$2:H952) - ROW(H$2) + 1, P$2:P952 = P953))))=""単価"","""",
IF(COUNTIF(P$2:P952, P953)=0, """", INDEX(H$2:H952,
MAX(FILTER(ROW(H$2:H952) - ROW(H$2) + 1, P$2:P952 = P953)))))"),45.8)</f>
        <v>45.8</v>
      </c>
      <c r="N953" s="335" t="str">
        <f>IF(MAXIFS('単価履歴'!$O:$O,'単価履歴'!$E:$E,E953,'単価履歴'!$F:$F,F953)=O953,"●","")</f>
        <v/>
      </c>
      <c r="O953" s="346">
        <v>45765.27003472223</v>
      </c>
      <c r="P953" s="334" t="str">
        <f t="shared" si="4"/>
        <v>中山製鋼:豊通ＨＳ１(単体H1/電特A/HS))</v>
      </c>
    </row>
    <row r="954" ht="15.75" customHeight="1">
      <c r="A954" s="335" t="s">
        <v>2146</v>
      </c>
      <c r="B954" s="336">
        <v>45765.0</v>
      </c>
      <c r="C954" s="335" t="s">
        <v>5</v>
      </c>
      <c r="D954" s="335" t="s">
        <v>47</v>
      </c>
      <c r="E954" s="337" t="str">
        <f t="shared" si="1"/>
        <v>中山製鋼:豊通</v>
      </c>
      <c r="F954" s="338" t="s">
        <v>101</v>
      </c>
      <c r="G954" s="339" t="str">
        <f t="shared" si="2"/>
        <v>中山製鋼:豊通ＨＳ２</v>
      </c>
      <c r="H954" s="340">
        <f t="shared" si="3"/>
        <v>45.3</v>
      </c>
      <c r="I954" s="341">
        <v>-0.5</v>
      </c>
      <c r="J954" s="332">
        <f>IFERROR(__xludf.DUMMYFUNCTION("IF(IF(COUNTIF(P$2:P953, P954)=0, """", INDEX(H$2:H953,
MAX(FILTER(ROW(H$2:H953) - ROW(H$2) + 1, P$2:P953 = P954))))=""単価"","""",
IF(COUNTIF(P$2:P953, P954)=0, """", INDEX(H$2:H953,
MAX(FILTER(ROW(H$2:H953) - ROW(H$2) + 1, P$2:P953 = P954)))))"),45.8)</f>
        <v>45.8</v>
      </c>
      <c r="N954" s="335" t="str">
        <f>IF(MAXIFS('単価履歴'!$O:$O,'単価履歴'!$E:$E,E954,'単価履歴'!$F:$F,F954)=O954,"●","")</f>
        <v/>
      </c>
      <c r="O954" s="346">
        <v>45765.27003472223</v>
      </c>
      <c r="P954" s="334" t="str">
        <f t="shared" si="4"/>
        <v>中山製鋼:豊通ＨＳ２</v>
      </c>
    </row>
    <row r="955" ht="15.75" customHeight="1">
      <c r="A955" s="335" t="s">
        <v>2147</v>
      </c>
      <c r="B955" s="336">
        <v>45765.0</v>
      </c>
      <c r="C955" s="335" t="s">
        <v>5</v>
      </c>
      <c r="D955" s="335" t="s">
        <v>47</v>
      </c>
      <c r="E955" s="337" t="str">
        <f t="shared" si="1"/>
        <v>中山製鋼:豊通</v>
      </c>
      <c r="F955" s="338" t="s">
        <v>122</v>
      </c>
      <c r="G955" s="339" t="str">
        <f t="shared" si="2"/>
        <v>中山製鋼:豊通Ｌ１(2級)</v>
      </c>
      <c r="H955" s="340">
        <f t="shared" si="3"/>
        <v>27.8</v>
      </c>
      <c r="I955" s="341">
        <v>-0.5</v>
      </c>
      <c r="J955" s="332">
        <f>IFERROR(__xludf.DUMMYFUNCTION("IF(IF(COUNTIF(P$2:P954, P955)=0, """", INDEX(H$2:H954,
MAX(FILTER(ROW(H$2:H954) - ROW(H$2) + 1, P$2:P954 = P955))))=""単価"","""",
IF(COUNTIF(P$2:P954, P955)=0, """", INDEX(H$2:H954,
MAX(FILTER(ROW(H$2:H954) - ROW(H$2) + 1, P$2:P954 = P955)))))"),28.3)</f>
        <v>28.3</v>
      </c>
      <c r="N955" s="335" t="str">
        <f>IF(MAXIFS('単価履歴'!$O:$O,'単価履歴'!$E:$E,E955,'単価履歴'!$F:$F,F955)=O955,"●","")</f>
        <v/>
      </c>
      <c r="O955" s="346">
        <v>45765.27003472223</v>
      </c>
      <c r="P955" s="334" t="str">
        <f t="shared" si="4"/>
        <v>中山製鋼:豊通Ｌ１(2級)</v>
      </c>
    </row>
    <row r="956" ht="15.75" customHeight="1">
      <c r="A956" s="335" t="s">
        <v>2148</v>
      </c>
      <c r="B956" s="336">
        <v>45765.0</v>
      </c>
      <c r="C956" s="335" t="s">
        <v>5</v>
      </c>
      <c r="D956" s="335" t="s">
        <v>47</v>
      </c>
      <c r="E956" s="337" t="str">
        <f t="shared" si="1"/>
        <v>中山製鋼:豊通</v>
      </c>
      <c r="F956" s="338" t="s">
        <v>130</v>
      </c>
      <c r="G956" s="339" t="str">
        <f t="shared" si="2"/>
        <v>中山製鋼:豊通新断Ａ</v>
      </c>
      <c r="H956" s="340">
        <f t="shared" si="3"/>
        <v>46.8</v>
      </c>
      <c r="I956" s="341">
        <v>-0.5</v>
      </c>
      <c r="J956" s="332">
        <f>IFERROR(__xludf.DUMMYFUNCTION("IF(IF(COUNTIF(P$2:P955, P956)=0, """", INDEX(H$2:H955,
MAX(FILTER(ROW(H$2:H955) - ROW(H$2) + 1, P$2:P955 = P956))))=""単価"","""",
IF(COUNTIF(P$2:P955, P956)=0, """", INDEX(H$2:H955,
MAX(FILTER(ROW(H$2:H955) - ROW(H$2) + 1, P$2:P955 = P956)))))"),47.3)</f>
        <v>47.3</v>
      </c>
      <c r="N956" s="335" t="str">
        <f>IF(MAXIFS('単価履歴'!$O:$O,'単価履歴'!$E:$E,E956,'単価履歴'!$F:$F,F956)=O956,"●","")</f>
        <v/>
      </c>
      <c r="O956" s="346">
        <v>45765.27003472223</v>
      </c>
      <c r="P956" s="334" t="str">
        <f t="shared" si="4"/>
        <v>中山製鋼:豊通新断Ａ</v>
      </c>
    </row>
    <row r="957" ht="15.75" customHeight="1">
      <c r="A957" s="335" t="s">
        <v>2149</v>
      </c>
      <c r="B957" s="336">
        <v>45765.0</v>
      </c>
      <c r="C957" s="335" t="s">
        <v>5</v>
      </c>
      <c r="D957" s="335" t="s">
        <v>47</v>
      </c>
      <c r="E957" s="337" t="str">
        <f t="shared" si="1"/>
        <v>中山製鋼:豊通</v>
      </c>
      <c r="F957" s="338" t="s">
        <v>131</v>
      </c>
      <c r="G957" s="339" t="str">
        <f t="shared" si="2"/>
        <v>中山製鋼:豊通新断Ｂ</v>
      </c>
      <c r="H957" s="340">
        <f t="shared" si="3"/>
        <v>45.8</v>
      </c>
      <c r="I957" s="341">
        <v>-0.5</v>
      </c>
      <c r="J957" s="332">
        <f>IFERROR(__xludf.DUMMYFUNCTION("IF(IF(COUNTIF(P$2:P956, P957)=0, """", INDEX(H$2:H956,
MAX(FILTER(ROW(H$2:H956) - ROW(H$2) + 1, P$2:P956 = P957))))=""単価"","""",
IF(COUNTIF(P$2:P956, P957)=0, """", INDEX(H$2:H956,
MAX(FILTER(ROW(H$2:H956) - ROW(H$2) + 1, P$2:P956 = P957)))))"),46.3)</f>
        <v>46.3</v>
      </c>
      <c r="N957" s="335" t="str">
        <f>IF(MAXIFS('単価履歴'!$O:$O,'単価履歴'!$E:$E,E957,'単価履歴'!$F:$F,F957)=O957,"●","")</f>
        <v/>
      </c>
      <c r="O957" s="346">
        <v>45765.27003472223</v>
      </c>
      <c r="P957" s="334" t="str">
        <f t="shared" si="4"/>
        <v>中山製鋼:豊通新断Ｂ</v>
      </c>
    </row>
    <row r="958" ht="15.75" customHeight="1">
      <c r="A958" s="335" t="s">
        <v>2150</v>
      </c>
      <c r="B958" s="336">
        <v>45765.0</v>
      </c>
      <c r="C958" s="335" t="s">
        <v>5</v>
      </c>
      <c r="D958" s="335" t="s">
        <v>47</v>
      </c>
      <c r="E958" s="337" t="str">
        <f t="shared" si="1"/>
        <v>中山製鋼:豊通</v>
      </c>
      <c r="F958" s="338" t="s">
        <v>574</v>
      </c>
      <c r="G958" s="339" t="str">
        <f t="shared" si="2"/>
        <v>中山製鋼:豊通新断Ｃ</v>
      </c>
      <c r="H958" s="340">
        <f t="shared" si="3"/>
        <v>44.8</v>
      </c>
      <c r="I958" s="341">
        <v>-0.5</v>
      </c>
      <c r="J958" s="332">
        <f>IFERROR(__xludf.DUMMYFUNCTION("IF(IF(COUNTIF(P$2:P957, P958)=0, """", INDEX(H$2:H957,
MAX(FILTER(ROW(H$2:H957) - ROW(H$2) + 1, P$2:P957 = P958))))=""単価"","""",
IF(COUNTIF(P$2:P957, P958)=0, """", INDEX(H$2:H957,
MAX(FILTER(ROW(H$2:H957) - ROW(H$2) + 1, P$2:P957 = P958)))))"),45.3)</f>
        <v>45.3</v>
      </c>
      <c r="N958" s="335" t="str">
        <f>IF(MAXIFS('単価履歴'!$O:$O,'単価履歴'!$E:$E,E958,'単価履歴'!$F:$F,F958)=O958,"●","")</f>
        <v/>
      </c>
      <c r="O958" s="346">
        <v>45765.27003472223</v>
      </c>
      <c r="P958" s="334" t="str">
        <f t="shared" si="4"/>
        <v>中山製鋼:豊通新断Ｃ</v>
      </c>
    </row>
    <row r="959" ht="15.75" customHeight="1">
      <c r="A959" s="335" t="s">
        <v>2151</v>
      </c>
      <c r="B959" s="336">
        <v>45765.0</v>
      </c>
      <c r="C959" s="335" t="s">
        <v>5</v>
      </c>
      <c r="D959" s="335" t="s">
        <v>1232</v>
      </c>
      <c r="E959" s="337" t="str">
        <f t="shared" si="1"/>
        <v>中山製鋼:豊通/出張商店</v>
      </c>
      <c r="F959" s="338" t="s">
        <v>130</v>
      </c>
      <c r="G959" s="339" t="str">
        <f t="shared" si="2"/>
        <v>中山製鋼:豊通/出張商店新断Ａ</v>
      </c>
      <c r="H959" s="340">
        <f t="shared" si="3"/>
        <v>45.8</v>
      </c>
      <c r="I959" s="341">
        <v>-0.5</v>
      </c>
      <c r="J959" s="332">
        <f>IFERROR(__xludf.DUMMYFUNCTION("IF(IF(COUNTIF(P$2:P958, P959)=0, """", INDEX(H$2:H958,
MAX(FILTER(ROW(H$2:H958) - ROW(H$2) + 1, P$2:P958 = P959))))=""単価"","""",
IF(COUNTIF(P$2:P958, P959)=0, """", INDEX(H$2:H958,
MAX(FILTER(ROW(H$2:H958) - ROW(H$2) + 1, P$2:P958 = P959)))))"),46.3)</f>
        <v>46.3</v>
      </c>
      <c r="N959" s="335" t="str">
        <f>IF(MAXIFS('単価履歴'!$O:$O,'単価履歴'!$E:$E,E959,'単価履歴'!$F:$F,F959)=O959,"●","")</f>
        <v/>
      </c>
      <c r="O959" s="346">
        <v>45765.270266203705</v>
      </c>
      <c r="P959" s="334" t="str">
        <f t="shared" si="4"/>
        <v>中山製鋼:豊通/出張商店新断Ａ</v>
      </c>
    </row>
    <row r="960" ht="15.75" customHeight="1">
      <c r="A960" s="335" t="s">
        <v>2152</v>
      </c>
      <c r="B960" s="336">
        <v>45765.0</v>
      </c>
      <c r="C960" s="335" t="s">
        <v>9</v>
      </c>
      <c r="D960" s="335" t="s">
        <v>49</v>
      </c>
      <c r="E960" s="337" t="str">
        <f t="shared" si="1"/>
        <v>大鉄　堺:伊藤忠</v>
      </c>
      <c r="F960" s="338" t="s">
        <v>111</v>
      </c>
      <c r="G960" s="339" t="str">
        <f t="shared" si="2"/>
        <v>大鉄　堺:伊藤忠Ｈ１(特A)</v>
      </c>
      <c r="H960" s="340">
        <f t="shared" si="3"/>
        <v>29.3</v>
      </c>
      <c r="I960" s="341">
        <v>-0.5</v>
      </c>
      <c r="J960" s="332">
        <f>IFERROR(__xludf.DUMMYFUNCTION("IF(IF(COUNTIF(P$2:P959, P960)=0, """", INDEX(H$2:H959,
MAX(FILTER(ROW(H$2:H959) - ROW(H$2) + 1, P$2:P959 = P960))))=""単価"","""",
IF(COUNTIF(P$2:P959, P960)=0, """", INDEX(H$2:H959,
MAX(FILTER(ROW(H$2:H959) - ROW(H$2) + 1, P$2:P959 = P960)))))"),29.8)</f>
        <v>29.8</v>
      </c>
      <c r="N960" s="335" t="str">
        <f>IF(MAXIFS('単価履歴'!$O:$O,'単価履歴'!$E:$E,E960,'単価履歴'!$F:$F,F960)=O960,"●","")</f>
        <v/>
      </c>
      <c r="O960" s="346">
        <v>45765.27049768518</v>
      </c>
      <c r="P960" s="334" t="str">
        <f t="shared" si="4"/>
        <v>大鉄　堺:伊藤忠Ｈ１(特A)</v>
      </c>
    </row>
    <row r="961" ht="15.75" customHeight="1">
      <c r="A961" s="335" t="s">
        <v>2153</v>
      </c>
      <c r="B961" s="336">
        <v>45765.0</v>
      </c>
      <c r="C961" s="335" t="s">
        <v>9</v>
      </c>
      <c r="D961" s="335" t="s">
        <v>49</v>
      </c>
      <c r="E961" s="337" t="str">
        <f t="shared" si="1"/>
        <v>大鉄　堺:伊藤忠</v>
      </c>
      <c r="F961" s="338" t="s">
        <v>116</v>
      </c>
      <c r="G961" s="339" t="str">
        <f t="shared" si="2"/>
        <v>大鉄　堺:伊藤忠Ｈ２(特級)</v>
      </c>
      <c r="H961" s="340">
        <f t="shared" si="3"/>
        <v>34.5</v>
      </c>
      <c r="I961" s="341">
        <v>-0.5</v>
      </c>
      <c r="J961" s="332">
        <f>IFERROR(__xludf.DUMMYFUNCTION("IF(IF(COUNTIF(P$2:P960, P961)=0, """", INDEX(H$2:H960,
MAX(FILTER(ROW(H$2:H960) - ROW(H$2) + 1, P$2:P960 = P961))))=""単価"","""",
IF(COUNTIF(P$2:P960, P961)=0, """", INDEX(H$2:H960,
MAX(FILTER(ROW(H$2:H960) - ROW(H$2) + 1, P$2:P960 = P961)))))"),35.0)</f>
        <v>35</v>
      </c>
      <c r="N961" s="335" t="str">
        <f>IF(MAXIFS('単価履歴'!$O:$O,'単価履歴'!$E:$E,E961,'単価履歴'!$F:$F,F961)=O961,"●","")</f>
        <v/>
      </c>
      <c r="O961" s="346">
        <v>45765.27049768518</v>
      </c>
      <c r="P961" s="334" t="str">
        <f t="shared" si="4"/>
        <v>大鉄　堺:伊藤忠Ｈ２(特級)</v>
      </c>
    </row>
    <row r="962" ht="15.75" customHeight="1">
      <c r="A962" s="335" t="s">
        <v>2154</v>
      </c>
      <c r="B962" s="336">
        <v>45765.0</v>
      </c>
      <c r="C962" s="335" t="s">
        <v>9</v>
      </c>
      <c r="D962" s="335" t="s">
        <v>49</v>
      </c>
      <c r="E962" s="337" t="str">
        <f t="shared" si="1"/>
        <v>大鉄　堺:伊藤忠</v>
      </c>
      <c r="F962" s="338" t="s">
        <v>119</v>
      </c>
      <c r="G962" s="339" t="str">
        <f t="shared" si="2"/>
        <v>大鉄　堺:伊藤忠Ｈ３(1級)</v>
      </c>
      <c r="H962" s="340">
        <f t="shared" si="3"/>
        <v>33.5</v>
      </c>
      <c r="I962" s="341">
        <v>-0.5</v>
      </c>
      <c r="J962" s="332">
        <f>IFERROR(__xludf.DUMMYFUNCTION("IF(IF(COUNTIF(P$2:P961, P962)=0, """", INDEX(H$2:H961,
MAX(FILTER(ROW(H$2:H961) - ROW(H$2) + 1, P$2:P961 = P962))))=""単価"","""",
IF(COUNTIF(P$2:P961, P962)=0, """", INDEX(H$2:H961,
MAX(FILTER(ROW(H$2:H961) - ROW(H$2) + 1, P$2:P961 = P962)))))"),34.0)</f>
        <v>34</v>
      </c>
      <c r="N962" s="335" t="str">
        <f>IF(MAXIFS('単価履歴'!$O:$O,'単価履歴'!$E:$E,E962,'単価履歴'!$F:$F,F962)=O962,"●","")</f>
        <v/>
      </c>
      <c r="O962" s="346">
        <v>45765.27049768518</v>
      </c>
      <c r="P962" s="334" t="str">
        <f t="shared" si="4"/>
        <v>大鉄　堺:伊藤忠Ｈ３(1級)</v>
      </c>
    </row>
    <row r="963" ht="15.75" customHeight="1">
      <c r="A963" s="335" t="s">
        <v>2155</v>
      </c>
      <c r="B963" s="336">
        <v>45765.0</v>
      </c>
      <c r="C963" s="335" t="s">
        <v>9</v>
      </c>
      <c r="D963" s="335" t="s">
        <v>49</v>
      </c>
      <c r="E963" s="337" t="str">
        <f t="shared" si="1"/>
        <v>大鉄　堺:伊藤忠</v>
      </c>
      <c r="F963" s="338" t="s">
        <v>1237</v>
      </c>
      <c r="G963" s="339" t="str">
        <f t="shared" si="2"/>
        <v>大鉄　堺:伊藤忠ＪＨ１(H2T山口)鍛造ﾊﾞﾘ</v>
      </c>
      <c r="H963" s="340">
        <f t="shared" si="3"/>
        <v>36.7</v>
      </c>
      <c r="I963" s="341">
        <v>-0.5</v>
      </c>
      <c r="J963" s="332">
        <f>IFERROR(__xludf.DUMMYFUNCTION("IF(IF(COUNTIF(P$2:P962, P963)=0, """", INDEX(H$2:H962,
MAX(FILTER(ROW(H$2:H962) - ROW(H$2) + 1, P$2:P962 = P963))))=""単価"","""",
IF(COUNTIF(P$2:P962, P963)=0, """", INDEX(H$2:H962,
MAX(FILTER(ROW(H$2:H962) - ROW(H$2) + 1, P$2:P962 = P963)))))"),37.2)</f>
        <v>37.2</v>
      </c>
      <c r="N963" s="335" t="str">
        <f>IF(MAXIFS('単価履歴'!$O:$O,'単価履歴'!$E:$E,E963,'単価履歴'!$F:$F,F963)=O963,"●","")</f>
        <v/>
      </c>
      <c r="O963" s="346">
        <v>45765.27049768518</v>
      </c>
      <c r="P963" s="334" t="str">
        <f t="shared" si="4"/>
        <v>大鉄　堺:伊藤忠ＪＨ１(H2T山口)鍛造ﾊﾞﾘ</v>
      </c>
    </row>
    <row r="964" ht="15.75" customHeight="1">
      <c r="A964" s="335" t="s">
        <v>2156</v>
      </c>
      <c r="B964" s="336">
        <v>45765.0</v>
      </c>
      <c r="C964" s="335" t="s">
        <v>9</v>
      </c>
      <c r="D964" s="335" t="s">
        <v>49</v>
      </c>
      <c r="E964" s="337" t="str">
        <f t="shared" si="1"/>
        <v>大鉄　堺:伊藤忠</v>
      </c>
      <c r="F964" s="338" t="s">
        <v>122</v>
      </c>
      <c r="G964" s="339" t="str">
        <f t="shared" si="2"/>
        <v>大鉄　堺:伊藤忠Ｌ１(2級)</v>
      </c>
      <c r="H964" s="340">
        <f t="shared" si="3"/>
        <v>32.5</v>
      </c>
      <c r="I964" s="341">
        <v>-0.5</v>
      </c>
      <c r="J964" s="332">
        <f>IFERROR(__xludf.DUMMYFUNCTION("IF(IF(COUNTIF(P$2:P963, P964)=0, """", INDEX(H$2:H963,
MAX(FILTER(ROW(H$2:H963) - ROW(H$2) + 1, P$2:P963 = P964))))=""単価"","""",
IF(COUNTIF(P$2:P963, P964)=0, """", INDEX(H$2:H963,
MAX(FILTER(ROW(H$2:H963) - ROW(H$2) + 1, P$2:P963 = P964)))))"),33.0)</f>
        <v>33</v>
      </c>
      <c r="N964" s="335" t="str">
        <f>IF(MAXIFS('単価履歴'!$O:$O,'単価履歴'!$E:$E,E964,'単価履歴'!$F:$F,F964)=O964,"●","")</f>
        <v/>
      </c>
      <c r="O964" s="346">
        <v>45765.27049768518</v>
      </c>
      <c r="P964" s="334" t="str">
        <f t="shared" si="4"/>
        <v>大鉄　堺:伊藤忠Ｌ１(2級)</v>
      </c>
    </row>
    <row r="965" ht="15.75" customHeight="1">
      <c r="A965" s="335" t="s">
        <v>2157</v>
      </c>
      <c r="B965" s="336">
        <v>45765.0</v>
      </c>
      <c r="C965" s="335" t="s">
        <v>9</v>
      </c>
      <c r="D965" s="335" t="s">
        <v>49</v>
      </c>
      <c r="E965" s="337" t="str">
        <f t="shared" si="1"/>
        <v>大鉄　堺:伊藤忠</v>
      </c>
      <c r="F965" s="338" t="s">
        <v>130</v>
      </c>
      <c r="G965" s="339" t="str">
        <f t="shared" si="2"/>
        <v>大鉄　堺:伊藤忠新断Ａ</v>
      </c>
      <c r="H965" s="340">
        <f t="shared" si="3"/>
        <v>28.8</v>
      </c>
      <c r="I965" s="341">
        <v>-0.5</v>
      </c>
      <c r="J965" s="332">
        <f>IFERROR(__xludf.DUMMYFUNCTION("IF(IF(COUNTIF(P$2:P964, P965)=0, """", INDEX(H$2:H964,
MAX(FILTER(ROW(H$2:H964) - ROW(H$2) + 1, P$2:P964 = P965))))=""単価"","""",
IF(COUNTIF(P$2:P964, P965)=0, """", INDEX(H$2:H964,
MAX(FILTER(ROW(H$2:H964) - ROW(H$2) + 1, P$2:P964 = P965)))))"),29.3)</f>
        <v>29.3</v>
      </c>
      <c r="N965" s="335" t="str">
        <f>IF(MAXIFS('単価履歴'!$O:$O,'単価履歴'!$E:$E,E965,'単価履歴'!$F:$F,F965)=O965,"●","")</f>
        <v/>
      </c>
      <c r="O965" s="346">
        <v>45765.27049768518</v>
      </c>
      <c r="P965" s="334" t="str">
        <f t="shared" si="4"/>
        <v>大鉄　堺:伊藤忠新断Ａ</v>
      </c>
    </row>
    <row r="966" ht="15.75" customHeight="1">
      <c r="A966" s="335" t="s">
        <v>2158</v>
      </c>
      <c r="B966" s="336">
        <v>45765.0</v>
      </c>
      <c r="C966" s="335" t="s">
        <v>9</v>
      </c>
      <c r="D966" s="335" t="s">
        <v>49</v>
      </c>
      <c r="E966" s="337" t="str">
        <f t="shared" si="1"/>
        <v>大鉄　堺:伊藤忠</v>
      </c>
      <c r="F966" s="338" t="s">
        <v>131</v>
      </c>
      <c r="G966" s="339" t="str">
        <f t="shared" si="2"/>
        <v>大鉄　堺:伊藤忠新断Ｂ</v>
      </c>
      <c r="H966" s="340">
        <f t="shared" si="3"/>
        <v>28.3</v>
      </c>
      <c r="I966" s="341">
        <v>-0.5</v>
      </c>
      <c r="J966" s="332">
        <f>IFERROR(__xludf.DUMMYFUNCTION("IF(IF(COUNTIF(P$2:P965, P966)=0, """", INDEX(H$2:H965,
MAX(FILTER(ROW(H$2:H965) - ROW(H$2) + 1, P$2:P965 = P966))))=""単価"","""",
IF(COUNTIF(P$2:P965, P966)=0, """", INDEX(H$2:H965,
MAX(FILTER(ROW(H$2:H965) - ROW(H$2) + 1, P$2:P965 = P966)))))"),28.8)</f>
        <v>28.8</v>
      </c>
      <c r="N966" s="335" t="str">
        <f>IF(MAXIFS('単価履歴'!$O:$O,'単価履歴'!$E:$E,E966,'単価履歴'!$F:$F,F966)=O966,"●","")</f>
        <v/>
      </c>
      <c r="O966" s="346">
        <v>45765.27049768518</v>
      </c>
      <c r="P966" s="334" t="str">
        <f t="shared" si="4"/>
        <v>大鉄　堺:伊藤忠新断Ｂ</v>
      </c>
    </row>
    <row r="967" ht="15.75" customHeight="1">
      <c r="A967" s="335" t="s">
        <v>2159</v>
      </c>
      <c r="B967" s="336">
        <v>45765.0</v>
      </c>
      <c r="C967" s="335" t="s">
        <v>9</v>
      </c>
      <c r="D967" s="335" t="s">
        <v>50</v>
      </c>
      <c r="E967" s="337" t="str">
        <f t="shared" si="1"/>
        <v>大鉄　堺:産振</v>
      </c>
      <c r="F967" s="338" t="s">
        <v>154</v>
      </c>
      <c r="G967" s="339" t="str">
        <f t="shared" si="2"/>
        <v>大鉄　堺:産振ＣＰ Ａ</v>
      </c>
      <c r="H967" s="340">
        <f t="shared" si="3"/>
        <v>46.7</v>
      </c>
      <c r="I967" s="341">
        <v>-0.5</v>
      </c>
      <c r="J967" s="332">
        <f>IFERROR(__xludf.DUMMYFUNCTION("IF(IF(COUNTIF(P$2:P966, P967)=0, """", INDEX(H$2:H966,
MAX(FILTER(ROW(H$2:H966) - ROW(H$2) + 1, P$2:P966 = P967))))=""単価"","""",
IF(COUNTIF(P$2:P966, P967)=0, """", INDEX(H$2:H966,
MAX(FILTER(ROW(H$2:H966) - ROW(H$2) + 1, P$2:P966 = P967)))))"),47.2)</f>
        <v>47.2</v>
      </c>
      <c r="N967" s="335" t="str">
        <f>IF(MAXIFS('単価履歴'!$O:$O,'単価履歴'!$E:$E,E967,'単価履歴'!$F:$F,F967)=O967,"●","")</f>
        <v/>
      </c>
      <c r="O967" s="346">
        <v>45765.27049768518</v>
      </c>
      <c r="P967" s="334" t="str">
        <f t="shared" si="4"/>
        <v>大鉄　堺:産振ＣＰ Ａ</v>
      </c>
    </row>
    <row r="968" ht="15.75" customHeight="1">
      <c r="A968" s="335" t="s">
        <v>2160</v>
      </c>
      <c r="B968" s="336">
        <v>45765.0</v>
      </c>
      <c r="C968" s="335" t="s">
        <v>9</v>
      </c>
      <c r="D968" s="335" t="s">
        <v>50</v>
      </c>
      <c r="E968" s="337" t="str">
        <f t="shared" si="1"/>
        <v>大鉄　堺:産振</v>
      </c>
      <c r="F968" s="338" t="s">
        <v>156</v>
      </c>
      <c r="G968" s="339" t="str">
        <f t="shared" si="2"/>
        <v>大鉄　堺:産振ＣＰ Ｂ一斗缶</v>
      </c>
      <c r="H968" s="340">
        <f t="shared" si="3"/>
        <v>36.5</v>
      </c>
      <c r="I968" s="335">
        <v>-1.5</v>
      </c>
      <c r="J968" s="332">
        <f>IFERROR(__xludf.DUMMYFUNCTION("IF(IF(COUNTIF(P$2:P967, P968)=0, """", INDEX(H$2:H967,
MAX(FILTER(ROW(H$2:H967) - ROW(H$2) + 1, P$2:P967 = P968))))=""単価"","""",
IF(COUNTIF(P$2:P967, P968)=0, """", INDEX(H$2:H967,
MAX(FILTER(ROW(H$2:H967) - ROW(H$2) + 1, P$2:P967 = P968)))))"),38.0)</f>
        <v>38</v>
      </c>
      <c r="N968" s="335" t="str">
        <f>IF(MAXIFS('単価履歴'!$O:$O,'単価履歴'!$E:$E,E968,'単価履歴'!$F:$F,F968)=O968,"●","")</f>
        <v/>
      </c>
      <c r="O968" s="346">
        <v>45765.27049768518</v>
      </c>
      <c r="P968" s="334" t="str">
        <f t="shared" si="4"/>
        <v>大鉄　堺:産振ＣＰ Ｂ一斗缶</v>
      </c>
    </row>
    <row r="969" ht="15.75" customHeight="1">
      <c r="A969" s="335" t="s">
        <v>2161</v>
      </c>
      <c r="B969" s="336">
        <v>45765.0</v>
      </c>
      <c r="C969" s="335" t="s">
        <v>9</v>
      </c>
      <c r="D969" s="335" t="s">
        <v>50</v>
      </c>
      <c r="E969" s="337" t="str">
        <f t="shared" si="1"/>
        <v>大鉄　堺:産振</v>
      </c>
      <c r="F969" s="338" t="s">
        <v>111</v>
      </c>
      <c r="G969" s="339" t="str">
        <f t="shared" si="2"/>
        <v>大鉄　堺:産振Ｈ１(特A)</v>
      </c>
      <c r="H969" s="340">
        <f t="shared" si="3"/>
        <v>44.2</v>
      </c>
      <c r="I969" s="341">
        <v>-0.5</v>
      </c>
      <c r="J969" s="332">
        <f>IFERROR(__xludf.DUMMYFUNCTION("IF(IF(COUNTIF(P$2:P968, P969)=0, """", INDEX(H$2:H968,
MAX(FILTER(ROW(H$2:H968) - ROW(H$2) + 1, P$2:P968 = P969))))=""単価"","""",
IF(COUNTIF(P$2:P968, P969)=0, """", INDEX(H$2:H968,
MAX(FILTER(ROW(H$2:H968) - ROW(H$2) + 1, P$2:P968 = P969)))))"),44.7)</f>
        <v>44.7</v>
      </c>
      <c r="N969" s="335" t="str">
        <f>IF(MAXIFS('単価履歴'!$O:$O,'単価履歴'!$E:$E,E969,'単価履歴'!$F:$F,F969)=O969,"●","")</f>
        <v/>
      </c>
      <c r="O969" s="346">
        <v>45765.27049768518</v>
      </c>
      <c r="P969" s="334" t="str">
        <f t="shared" si="4"/>
        <v>大鉄　堺:産振Ｈ１(特A)</v>
      </c>
    </row>
    <row r="970" ht="15.75" customHeight="1">
      <c r="A970" s="335" t="s">
        <v>2162</v>
      </c>
      <c r="B970" s="336">
        <v>45765.0</v>
      </c>
      <c r="C970" s="335" t="s">
        <v>9</v>
      </c>
      <c r="D970" s="335" t="s">
        <v>50</v>
      </c>
      <c r="E970" s="337" t="str">
        <f t="shared" si="1"/>
        <v>大鉄　堺:産振</v>
      </c>
      <c r="F970" s="338" t="s">
        <v>116</v>
      </c>
      <c r="G970" s="339" t="str">
        <f t="shared" si="2"/>
        <v>大鉄　堺:産振Ｈ２(特級)</v>
      </c>
      <c r="H970" s="340">
        <f t="shared" si="3"/>
        <v>41.2</v>
      </c>
      <c r="I970" s="341">
        <v>-0.5</v>
      </c>
      <c r="J970" s="332">
        <f>IFERROR(__xludf.DUMMYFUNCTION("IF(IF(COUNTIF(P$2:P969, P970)=0, """", INDEX(H$2:H969,
MAX(FILTER(ROW(H$2:H969) - ROW(H$2) + 1, P$2:P969 = P970))))=""単価"","""",
IF(COUNTIF(P$2:P969, P970)=0, """", INDEX(H$2:H969,
MAX(FILTER(ROW(H$2:H969) - ROW(H$2) + 1, P$2:P969 = P970)))))"),41.7)</f>
        <v>41.7</v>
      </c>
      <c r="N970" s="335" t="str">
        <f>IF(MAXIFS('単価履歴'!$O:$O,'単価履歴'!$E:$E,E970,'単価履歴'!$F:$F,F970)=O970,"●","")</f>
        <v/>
      </c>
      <c r="O970" s="346">
        <v>45765.27049768518</v>
      </c>
      <c r="P970" s="334" t="str">
        <f t="shared" si="4"/>
        <v>大鉄　堺:産振Ｈ２(特級)</v>
      </c>
    </row>
    <row r="971" ht="15.75" customHeight="1">
      <c r="A971" s="335" t="s">
        <v>2163</v>
      </c>
      <c r="B971" s="336">
        <v>45765.0</v>
      </c>
      <c r="C971" s="335" t="s">
        <v>9</v>
      </c>
      <c r="D971" s="335" t="s">
        <v>50</v>
      </c>
      <c r="E971" s="337" t="str">
        <f t="shared" si="1"/>
        <v>大鉄　堺:産振</v>
      </c>
      <c r="F971" s="338" t="s">
        <v>119</v>
      </c>
      <c r="G971" s="339" t="str">
        <f t="shared" si="2"/>
        <v>大鉄　堺:産振Ｈ３(1級)</v>
      </c>
      <c r="H971" s="340">
        <f t="shared" si="3"/>
        <v>40.7</v>
      </c>
      <c r="I971" s="341">
        <v>-0.5</v>
      </c>
      <c r="J971" s="332">
        <f>IFERROR(__xludf.DUMMYFUNCTION("IF(IF(COUNTIF(P$2:P970, P971)=0, """", INDEX(H$2:H970,
MAX(FILTER(ROW(H$2:H970) - ROW(H$2) + 1, P$2:P970 = P971))))=""単価"","""",
IF(COUNTIF(P$2:P970, P971)=0, """", INDEX(H$2:H970,
MAX(FILTER(ROW(H$2:H970) - ROW(H$2) + 1, P$2:P970 = P971)))))"),41.2)</f>
        <v>41.2</v>
      </c>
      <c r="N971" s="335" t="str">
        <f>IF(MAXIFS('単価履歴'!$O:$O,'単価履歴'!$E:$E,E971,'単価履歴'!$F:$F,F971)=O971,"●","")</f>
        <v/>
      </c>
      <c r="O971" s="346">
        <v>45765.27049768518</v>
      </c>
      <c r="P971" s="334" t="str">
        <f t="shared" si="4"/>
        <v>大鉄　堺:産振Ｈ３(1級)</v>
      </c>
    </row>
    <row r="972" ht="15.75" customHeight="1">
      <c r="A972" s="335" t="s">
        <v>2164</v>
      </c>
      <c r="B972" s="336">
        <v>45765.0</v>
      </c>
      <c r="C972" s="335" t="s">
        <v>9</v>
      </c>
      <c r="D972" s="335" t="s">
        <v>50</v>
      </c>
      <c r="E972" s="337" t="str">
        <f t="shared" si="1"/>
        <v>大鉄　堺:産振</v>
      </c>
      <c r="F972" s="338" t="s">
        <v>122</v>
      </c>
      <c r="G972" s="339" t="str">
        <f t="shared" si="2"/>
        <v>大鉄　堺:産振Ｌ１(2級)</v>
      </c>
      <c r="H972" s="340">
        <f t="shared" si="3"/>
        <v>39.7</v>
      </c>
      <c r="I972" s="341">
        <v>-0.5</v>
      </c>
      <c r="J972" s="332">
        <f>IFERROR(__xludf.DUMMYFUNCTION("IF(IF(COUNTIF(P$2:P971, P972)=0, """", INDEX(H$2:H971,
MAX(FILTER(ROW(H$2:H971) - ROW(H$2) + 1, P$2:P971 = P972))))=""単価"","""",
IF(COUNTIF(P$2:P971, P972)=0, """", INDEX(H$2:H971,
MAX(FILTER(ROW(H$2:H971) - ROW(H$2) + 1, P$2:P971 = P972)))))"),40.2)</f>
        <v>40.2</v>
      </c>
      <c r="N972" s="335" t="str">
        <f>IF(MAXIFS('単価履歴'!$O:$O,'単価履歴'!$E:$E,E972,'単価履歴'!$F:$F,F972)=O972,"●","")</f>
        <v/>
      </c>
      <c r="O972" s="346">
        <v>45765.27049768518</v>
      </c>
      <c r="P972" s="334" t="str">
        <f t="shared" si="4"/>
        <v>大鉄　堺:産振Ｌ１(2級)</v>
      </c>
    </row>
    <row r="973" ht="15.75" customHeight="1">
      <c r="A973" s="335" t="s">
        <v>2165</v>
      </c>
      <c r="B973" s="336">
        <v>45765.0</v>
      </c>
      <c r="C973" s="335" t="s">
        <v>9</v>
      </c>
      <c r="D973" s="335" t="s">
        <v>50</v>
      </c>
      <c r="E973" s="337" t="str">
        <f t="shared" si="1"/>
        <v>大鉄　堺:産振</v>
      </c>
      <c r="F973" s="338" t="s">
        <v>575</v>
      </c>
      <c r="G973" s="339" t="str">
        <f t="shared" si="2"/>
        <v>大鉄　堺:産振鋼ダライＡ</v>
      </c>
      <c r="H973" s="340">
        <f t="shared" si="3"/>
        <v>37.2</v>
      </c>
      <c r="I973" s="341">
        <v>-0.5</v>
      </c>
      <c r="J973" s="332">
        <f>IFERROR(__xludf.DUMMYFUNCTION("IF(IF(COUNTIF(P$2:P972, P973)=0, """", INDEX(H$2:H972,
MAX(FILTER(ROW(H$2:H972) - ROW(H$2) + 1, P$2:P972 = P973))))=""単価"","""",
IF(COUNTIF(P$2:P972, P973)=0, """", INDEX(H$2:H972,
MAX(FILTER(ROW(H$2:H972) - ROW(H$2) + 1, P$2:P972 = P973)))))"),37.7)</f>
        <v>37.7</v>
      </c>
      <c r="N973" s="335" t="str">
        <f>IF(MAXIFS('単価履歴'!$O:$O,'単価履歴'!$E:$E,E973,'単価履歴'!$F:$F,F973)=O973,"●","")</f>
        <v/>
      </c>
      <c r="O973" s="346">
        <v>45765.27049768518</v>
      </c>
      <c r="P973" s="334" t="str">
        <f t="shared" si="4"/>
        <v>大鉄　堺:産振鋼ダライＡ</v>
      </c>
    </row>
    <row r="974" ht="15.75" customHeight="1">
      <c r="A974" s="335" t="s">
        <v>2166</v>
      </c>
      <c r="B974" s="336">
        <v>45765.0</v>
      </c>
      <c r="C974" s="335" t="s">
        <v>9</v>
      </c>
      <c r="D974" s="335" t="s">
        <v>50</v>
      </c>
      <c r="E974" s="337" t="str">
        <f t="shared" si="1"/>
        <v>大鉄　堺:産振</v>
      </c>
      <c r="F974" s="338" t="s">
        <v>130</v>
      </c>
      <c r="G974" s="339" t="str">
        <f t="shared" si="2"/>
        <v>大鉄　堺:産振新断Ａ</v>
      </c>
      <c r="H974" s="340">
        <f t="shared" si="3"/>
        <v>42.7</v>
      </c>
      <c r="I974" s="335">
        <v>-0.5</v>
      </c>
      <c r="J974" s="332">
        <f>IFERROR(__xludf.DUMMYFUNCTION("IF(IF(COUNTIF(P$2:P973, P974)=0, """", INDEX(H$2:H973,
MAX(FILTER(ROW(H$2:H973) - ROW(H$2) + 1, P$2:P973 = P974))))=""単価"","""",
IF(COUNTIF(P$2:P973, P974)=0, """", INDEX(H$2:H973,
MAX(FILTER(ROW(H$2:H973) - ROW(H$2) + 1, P$2:P973 = P974)))))"),43.2)</f>
        <v>43.2</v>
      </c>
      <c r="N974" s="335" t="str">
        <f>IF(MAXIFS('単価履歴'!$O:$O,'単価履歴'!$E:$E,E974,'単価履歴'!$F:$F,F974)=O974,"●","")</f>
        <v/>
      </c>
      <c r="O974" s="346">
        <v>45765.27049768518</v>
      </c>
      <c r="P974" s="334" t="str">
        <f t="shared" si="4"/>
        <v>大鉄　堺:産振新断Ａ</v>
      </c>
    </row>
    <row r="975" ht="15.75" customHeight="1">
      <c r="A975" s="335" t="s">
        <v>2167</v>
      </c>
      <c r="B975" s="336">
        <v>45765.0</v>
      </c>
      <c r="C975" s="335" t="s">
        <v>9</v>
      </c>
      <c r="D975" s="335" t="s">
        <v>50</v>
      </c>
      <c r="E975" s="337" t="str">
        <f t="shared" si="1"/>
        <v>大鉄　堺:産振</v>
      </c>
      <c r="F975" s="338" t="s">
        <v>131</v>
      </c>
      <c r="G975" s="339" t="str">
        <f t="shared" si="2"/>
        <v>大鉄　堺:産振新断Ｂ</v>
      </c>
      <c r="H975" s="340">
        <f t="shared" si="3"/>
        <v>42.2</v>
      </c>
      <c r="I975" s="341">
        <v>-0.5</v>
      </c>
      <c r="J975" s="332">
        <f>IFERROR(__xludf.DUMMYFUNCTION("IF(IF(COUNTIF(P$2:P974, P975)=0, """", INDEX(H$2:H974,
MAX(FILTER(ROW(H$2:H974) - ROW(H$2) + 1, P$2:P974 = P975))))=""単価"","""",
IF(COUNTIF(P$2:P974, P975)=0, """", INDEX(H$2:H974,
MAX(FILTER(ROW(H$2:H974) - ROW(H$2) + 1, P$2:P974 = P975)))))"),42.7)</f>
        <v>42.7</v>
      </c>
      <c r="N975" s="335" t="str">
        <f>IF(MAXIFS('単価履歴'!$O:$O,'単価履歴'!$E:$E,E975,'単価履歴'!$F:$F,F975)=O975,"●","")</f>
        <v/>
      </c>
      <c r="O975" s="346">
        <v>45765.27049768518</v>
      </c>
      <c r="P975" s="334" t="str">
        <f t="shared" si="4"/>
        <v>大鉄　堺:産振新断Ｂ</v>
      </c>
    </row>
    <row r="976" ht="15.75" customHeight="1">
      <c r="A976" s="335" t="s">
        <v>2168</v>
      </c>
      <c r="B976" s="336">
        <v>45765.0</v>
      </c>
      <c r="C976" s="335" t="s">
        <v>9</v>
      </c>
      <c r="D976" s="335" t="s">
        <v>51</v>
      </c>
      <c r="E976" s="337" t="str">
        <f t="shared" si="1"/>
        <v>大鉄　堺:大鉄堺</v>
      </c>
      <c r="F976" s="338" t="s">
        <v>154</v>
      </c>
      <c r="G976" s="339" t="str">
        <f t="shared" si="2"/>
        <v>大鉄　堺:大鉄堺ＣＰ Ａ</v>
      </c>
      <c r="H976" s="340">
        <f t="shared" si="3"/>
        <v>37</v>
      </c>
      <c r="I976" s="341">
        <v>-0.5</v>
      </c>
      <c r="J976" s="332">
        <f>IFERROR(__xludf.DUMMYFUNCTION("IF(IF(COUNTIF(P$2:P975, P976)=0, """", INDEX(H$2:H975,
MAX(FILTER(ROW(H$2:H975) - ROW(H$2) + 1, P$2:P975 = P976))))=""単価"","""",
IF(COUNTIF(P$2:P975, P976)=0, """", INDEX(H$2:H975,
MAX(FILTER(ROW(H$2:H975) - ROW(H$2) + 1, P$2:P975 = P976)))))"),37.5)</f>
        <v>37.5</v>
      </c>
      <c r="N976" s="335" t="str">
        <f>IF(MAXIFS('単価履歴'!$O:$O,'単価履歴'!$E:$E,E976,'単価履歴'!$F:$F,F976)=O976,"●","")</f>
        <v/>
      </c>
      <c r="O976" s="346">
        <v>45765.27049768518</v>
      </c>
      <c r="P976" s="334" t="str">
        <f t="shared" si="4"/>
        <v>大鉄　堺:大鉄堺ＣＰ Ａ</v>
      </c>
    </row>
    <row r="977" ht="15.75" customHeight="1">
      <c r="A977" s="335" t="s">
        <v>2169</v>
      </c>
      <c r="B977" s="336">
        <v>45765.0</v>
      </c>
      <c r="C977" s="335" t="s">
        <v>9</v>
      </c>
      <c r="D977" s="335" t="s">
        <v>51</v>
      </c>
      <c r="E977" s="337" t="str">
        <f t="shared" si="1"/>
        <v>大鉄　堺:大鉄堺</v>
      </c>
      <c r="F977" s="338" t="s">
        <v>156</v>
      </c>
      <c r="G977" s="339" t="str">
        <f t="shared" si="2"/>
        <v>大鉄　堺:大鉄堺ＣＰ Ｂ一斗缶</v>
      </c>
      <c r="H977" s="340">
        <f t="shared" si="3"/>
        <v>30.5</v>
      </c>
      <c r="I977" s="341">
        <v>-0.5</v>
      </c>
      <c r="J977" s="332">
        <f>IFERROR(__xludf.DUMMYFUNCTION("IF(IF(COUNTIF(P$2:P976, P977)=0, """", INDEX(H$2:H976,
MAX(FILTER(ROW(H$2:H976) - ROW(H$2) + 1, P$2:P976 = P977))))=""単価"","""",
IF(COUNTIF(P$2:P976, P977)=0, """", INDEX(H$2:H976,
MAX(FILTER(ROW(H$2:H976) - ROW(H$2) + 1, P$2:P976 = P977)))))"),31.0)</f>
        <v>31</v>
      </c>
      <c r="N977" s="335" t="str">
        <f>IF(MAXIFS('単価履歴'!$O:$O,'単価履歴'!$E:$E,E977,'単価履歴'!$F:$F,F977)=O977,"●","")</f>
        <v/>
      </c>
      <c r="O977" s="346">
        <v>45765.27049768518</v>
      </c>
      <c r="P977" s="334" t="str">
        <f t="shared" si="4"/>
        <v>大鉄　堺:大鉄堺ＣＰ Ｂ一斗缶</v>
      </c>
    </row>
    <row r="978" ht="15.75" customHeight="1">
      <c r="A978" s="335" t="s">
        <v>2170</v>
      </c>
      <c r="B978" s="336">
        <v>45765.0</v>
      </c>
      <c r="C978" s="335" t="s">
        <v>9</v>
      </c>
      <c r="D978" s="335" t="s">
        <v>51</v>
      </c>
      <c r="E978" s="337" t="str">
        <f t="shared" si="1"/>
        <v>大鉄　堺:大鉄堺</v>
      </c>
      <c r="F978" s="338" t="s">
        <v>111</v>
      </c>
      <c r="G978" s="339" t="str">
        <f t="shared" si="2"/>
        <v>大鉄　堺:大鉄堺Ｈ１(特A)</v>
      </c>
      <c r="H978" s="340">
        <f t="shared" si="3"/>
        <v>45.5</v>
      </c>
      <c r="I978" s="341">
        <v>-0.5</v>
      </c>
      <c r="J978" s="332">
        <f>IFERROR(__xludf.DUMMYFUNCTION("IF(IF(COUNTIF(P$2:P977, P978)=0, """", INDEX(H$2:H977,
MAX(FILTER(ROW(H$2:H977) - ROW(H$2) + 1, P$2:P977 = P978))))=""単価"","""",
IF(COUNTIF(P$2:P977, P978)=0, """", INDEX(H$2:H977,
MAX(FILTER(ROW(H$2:H977) - ROW(H$2) + 1, P$2:P977 = P978)))))"),46.0)</f>
        <v>46</v>
      </c>
      <c r="N978" s="335" t="str">
        <f>IF(MAXIFS('単価履歴'!$O:$O,'単価履歴'!$E:$E,E978,'単価履歴'!$F:$F,F978)=O978,"●","")</f>
        <v/>
      </c>
      <c r="O978" s="346">
        <v>45765.27049768518</v>
      </c>
      <c r="P978" s="334" t="str">
        <f t="shared" si="4"/>
        <v>大鉄　堺:大鉄堺Ｈ１(特A)</v>
      </c>
    </row>
    <row r="979" ht="15.75" customHeight="1">
      <c r="A979" s="335" t="s">
        <v>2171</v>
      </c>
      <c r="B979" s="336">
        <v>45765.0</v>
      </c>
      <c r="C979" s="335" t="s">
        <v>9</v>
      </c>
      <c r="D979" s="335" t="s">
        <v>51</v>
      </c>
      <c r="E979" s="337" t="str">
        <f t="shared" si="1"/>
        <v>大鉄　堺:大鉄堺</v>
      </c>
      <c r="F979" s="338" t="s">
        <v>116</v>
      </c>
      <c r="G979" s="339" t="str">
        <f t="shared" si="2"/>
        <v>大鉄　堺:大鉄堺Ｈ２(特級)</v>
      </c>
      <c r="H979" s="340">
        <f t="shared" si="3"/>
        <v>42.5</v>
      </c>
      <c r="I979" s="341">
        <v>-0.5</v>
      </c>
      <c r="J979" s="332">
        <f>IFERROR(__xludf.DUMMYFUNCTION("IF(IF(COUNTIF(P$2:P978, P979)=0, """", INDEX(H$2:H978,
MAX(FILTER(ROW(H$2:H978) - ROW(H$2) + 1, P$2:P978 = P979))))=""単価"","""",
IF(COUNTIF(P$2:P978, P979)=0, """", INDEX(H$2:H978,
MAX(FILTER(ROW(H$2:H978) - ROW(H$2) + 1, P$2:P978 = P979)))))"),43.0)</f>
        <v>43</v>
      </c>
      <c r="N979" s="335" t="str">
        <f>IF(MAXIFS('単価履歴'!$O:$O,'単価履歴'!$E:$E,E979,'単価履歴'!$F:$F,F979)=O979,"●","")</f>
        <v/>
      </c>
      <c r="O979" s="346">
        <v>45765.27049768518</v>
      </c>
      <c r="P979" s="334" t="str">
        <f t="shared" si="4"/>
        <v>大鉄　堺:大鉄堺Ｈ２(特級)</v>
      </c>
    </row>
    <row r="980" ht="15.75" customHeight="1">
      <c r="A980" s="335" t="s">
        <v>2172</v>
      </c>
      <c r="B980" s="336">
        <v>45765.0</v>
      </c>
      <c r="C980" s="335" t="s">
        <v>9</v>
      </c>
      <c r="D980" s="335" t="s">
        <v>51</v>
      </c>
      <c r="E980" s="337" t="str">
        <f t="shared" si="1"/>
        <v>大鉄　堺:大鉄堺</v>
      </c>
      <c r="F980" s="338" t="s">
        <v>119</v>
      </c>
      <c r="G980" s="339" t="str">
        <f t="shared" si="2"/>
        <v>大鉄　堺:大鉄堺Ｈ３(1級)</v>
      </c>
      <c r="H980" s="340">
        <f t="shared" si="3"/>
        <v>42</v>
      </c>
      <c r="I980" s="341">
        <v>-0.5</v>
      </c>
      <c r="J980" s="332">
        <f>IFERROR(__xludf.DUMMYFUNCTION("IF(IF(COUNTIF(P$2:P979, P980)=0, """", INDEX(H$2:H979,
MAX(FILTER(ROW(H$2:H979) - ROW(H$2) + 1, P$2:P979 = P980))))=""単価"","""",
IF(COUNTIF(P$2:P979, P980)=0, """", INDEX(H$2:H979,
MAX(FILTER(ROW(H$2:H979) - ROW(H$2) + 1, P$2:P979 = P980)))))"),42.5)</f>
        <v>42.5</v>
      </c>
      <c r="N980" s="335" t="str">
        <f>IF(MAXIFS('単価履歴'!$O:$O,'単価履歴'!$E:$E,E980,'単価履歴'!$F:$F,F980)=O980,"●","")</f>
        <v/>
      </c>
      <c r="O980" s="346">
        <v>45765.27049768518</v>
      </c>
      <c r="P980" s="334" t="str">
        <f t="shared" si="4"/>
        <v>大鉄　堺:大鉄堺Ｈ３(1級)</v>
      </c>
    </row>
    <row r="981" ht="15.75" customHeight="1">
      <c r="A981" s="335" t="s">
        <v>2173</v>
      </c>
      <c r="B981" s="336">
        <v>45765.0</v>
      </c>
      <c r="C981" s="335" t="s">
        <v>9</v>
      </c>
      <c r="D981" s="335" t="s">
        <v>51</v>
      </c>
      <c r="E981" s="337" t="str">
        <f t="shared" si="1"/>
        <v>大鉄　堺:大鉄堺</v>
      </c>
      <c r="F981" s="338" t="s">
        <v>1237</v>
      </c>
      <c r="G981" s="339" t="str">
        <f t="shared" si="2"/>
        <v>大鉄　堺:大鉄堺ＪＨ１(H2T山口)鍛造ﾊﾞﾘ</v>
      </c>
      <c r="H981" s="340">
        <f t="shared" si="3"/>
        <v>44.5</v>
      </c>
      <c r="I981" s="341">
        <v>-0.5</v>
      </c>
      <c r="J981" s="332">
        <f>IFERROR(__xludf.DUMMYFUNCTION("IF(IF(COUNTIF(P$2:P980, P981)=0, """", INDEX(H$2:H980,
MAX(FILTER(ROW(H$2:H980) - ROW(H$2) + 1, P$2:P980 = P981))))=""単価"","""",
IF(COUNTIF(P$2:P980, P981)=0, """", INDEX(H$2:H980,
MAX(FILTER(ROW(H$2:H980) - ROW(H$2) + 1, P$2:P980 = P981)))))"),45.0)</f>
        <v>45</v>
      </c>
      <c r="N981" s="335" t="str">
        <f>IF(MAXIFS('単価履歴'!$O:$O,'単価履歴'!$E:$E,E981,'単価履歴'!$F:$F,F981)=O981,"●","")</f>
        <v/>
      </c>
      <c r="O981" s="346">
        <v>45765.27049768518</v>
      </c>
      <c r="P981" s="334" t="str">
        <f t="shared" si="4"/>
        <v>大鉄　堺:大鉄堺ＪＨ１(H2T山口)鍛造ﾊﾞﾘ</v>
      </c>
    </row>
    <row r="982" ht="15.75" customHeight="1">
      <c r="A982" s="335" t="s">
        <v>2174</v>
      </c>
      <c r="B982" s="336">
        <v>45765.0</v>
      </c>
      <c r="C982" s="335" t="s">
        <v>9</v>
      </c>
      <c r="D982" s="335" t="s">
        <v>51</v>
      </c>
      <c r="E982" s="337" t="str">
        <f t="shared" si="1"/>
        <v>大鉄　堺:大鉄堺</v>
      </c>
      <c r="F982" s="338" t="s">
        <v>122</v>
      </c>
      <c r="G982" s="339" t="str">
        <f t="shared" si="2"/>
        <v>大鉄　堺:大鉄堺Ｌ１(2級)</v>
      </c>
      <c r="H982" s="340">
        <f t="shared" si="3"/>
        <v>41.5</v>
      </c>
      <c r="I982" s="341">
        <v>-0.5</v>
      </c>
      <c r="J982" s="332">
        <f>IFERROR(__xludf.DUMMYFUNCTION("IF(IF(COUNTIF(P$2:P981, P982)=0, """", INDEX(H$2:H981,
MAX(FILTER(ROW(H$2:H981) - ROW(H$2) + 1, P$2:P981 = P982))))=""単価"","""",
IF(COUNTIF(P$2:P981, P982)=0, """", INDEX(H$2:H981,
MAX(FILTER(ROW(H$2:H981) - ROW(H$2) + 1, P$2:P981 = P982)))))"),42.0)</f>
        <v>42</v>
      </c>
      <c r="N982" s="335" t="str">
        <f>IF(MAXIFS('単価履歴'!$O:$O,'単価履歴'!$E:$E,E982,'単価履歴'!$F:$F,F982)=O982,"●","")</f>
        <v/>
      </c>
      <c r="O982" s="346">
        <v>45765.27049768518</v>
      </c>
      <c r="P982" s="334" t="str">
        <f t="shared" si="4"/>
        <v>大鉄　堺:大鉄堺Ｌ１(2級)</v>
      </c>
    </row>
    <row r="983" ht="15.75" customHeight="1">
      <c r="A983" s="335" t="s">
        <v>2175</v>
      </c>
      <c r="B983" s="336">
        <v>45765.0</v>
      </c>
      <c r="C983" s="335" t="s">
        <v>9</v>
      </c>
      <c r="D983" s="335" t="s">
        <v>51</v>
      </c>
      <c r="E983" s="337" t="str">
        <f t="shared" si="1"/>
        <v>大鉄　堺:大鉄堺</v>
      </c>
      <c r="F983" s="338" t="s">
        <v>145</v>
      </c>
      <c r="G983" s="339" t="str">
        <f t="shared" si="2"/>
        <v>大鉄　堺:大鉄堺シュレＡ</v>
      </c>
      <c r="H983" s="340">
        <f t="shared" si="3"/>
        <v>31.5</v>
      </c>
      <c r="I983" s="341">
        <v>-0.5</v>
      </c>
      <c r="J983" s="332">
        <f>IFERROR(__xludf.DUMMYFUNCTION("IF(IF(COUNTIF(P$2:P982, P983)=0, """", INDEX(H$2:H982,
MAX(FILTER(ROW(H$2:H982) - ROW(H$2) + 1, P$2:P982 = P983))))=""単価"","""",
IF(COUNTIF(P$2:P982, P983)=0, """", INDEX(H$2:H982,
MAX(FILTER(ROW(H$2:H982) - ROW(H$2) + 1, P$2:P982 = P983)))))"),32.0)</f>
        <v>32</v>
      </c>
      <c r="N983" s="335" t="str">
        <f>IF(MAXIFS('単価履歴'!$O:$O,'単価履歴'!$E:$E,E983,'単価履歴'!$F:$F,F983)=O983,"●","")</f>
        <v/>
      </c>
      <c r="O983" s="346">
        <v>45765.27049768518</v>
      </c>
      <c r="P983" s="334" t="str">
        <f t="shared" si="4"/>
        <v>大鉄　堺:大鉄堺シュレＡ</v>
      </c>
    </row>
    <row r="984" ht="15.75" customHeight="1">
      <c r="A984" s="335" t="s">
        <v>2176</v>
      </c>
      <c r="B984" s="336">
        <v>45765.0</v>
      </c>
      <c r="C984" s="335" t="s">
        <v>9</v>
      </c>
      <c r="D984" s="335" t="s">
        <v>51</v>
      </c>
      <c r="E984" s="337" t="str">
        <f t="shared" si="1"/>
        <v>大鉄　堺:大鉄堺</v>
      </c>
      <c r="F984" s="338" t="s">
        <v>149</v>
      </c>
      <c r="G984" s="339" t="str">
        <f t="shared" si="2"/>
        <v>大鉄　堺:大鉄堺シュレＢ</v>
      </c>
      <c r="H984" s="340">
        <f t="shared" si="3"/>
        <v>30.8</v>
      </c>
      <c r="I984" s="341">
        <v>-0.5</v>
      </c>
      <c r="J984" s="332">
        <f>IFERROR(__xludf.DUMMYFUNCTION("IF(IF(COUNTIF(P$2:P983, P984)=0, """", INDEX(H$2:H983,
MAX(FILTER(ROW(H$2:H983) - ROW(H$2) + 1, P$2:P983 = P984))))=""単価"","""",
IF(COUNTIF(P$2:P983, P984)=0, """", INDEX(H$2:H983,
MAX(FILTER(ROW(H$2:H983) - ROW(H$2) + 1, P$2:P983 = P984)))))"),31.3)</f>
        <v>31.3</v>
      </c>
      <c r="N984" s="335" t="str">
        <f>IF(MAXIFS('単価履歴'!$O:$O,'単価履歴'!$E:$E,E984,'単価履歴'!$F:$F,F984)=O984,"●","")</f>
        <v/>
      </c>
      <c r="O984" s="346">
        <v>45765.27049768518</v>
      </c>
      <c r="P984" s="334" t="str">
        <f t="shared" si="4"/>
        <v>大鉄　堺:大鉄堺シュレＢ</v>
      </c>
    </row>
    <row r="985" ht="15.75" customHeight="1">
      <c r="A985" s="335" t="s">
        <v>2177</v>
      </c>
      <c r="B985" s="336">
        <v>45765.0</v>
      </c>
      <c r="C985" s="335" t="s">
        <v>9</v>
      </c>
      <c r="D985" s="335" t="s">
        <v>51</v>
      </c>
      <c r="E985" s="337" t="str">
        <f t="shared" si="1"/>
        <v>大鉄　堺:大鉄堺</v>
      </c>
      <c r="F985" s="338" t="s">
        <v>151</v>
      </c>
      <c r="G985" s="339" t="str">
        <f t="shared" si="2"/>
        <v>大鉄　堺:大鉄堺シュレＣ</v>
      </c>
      <c r="H985" s="340">
        <f t="shared" si="3"/>
        <v>29.4</v>
      </c>
      <c r="I985" s="341">
        <v>-0.5</v>
      </c>
      <c r="J985" s="332">
        <f>IFERROR(__xludf.DUMMYFUNCTION("IF(IF(COUNTIF(P$2:P984, P985)=0, """", INDEX(H$2:H984,
MAX(FILTER(ROW(H$2:H984) - ROW(H$2) + 1, P$2:P984 = P985))))=""単価"","""",
IF(COUNTIF(P$2:P984, P985)=0, """", INDEX(H$2:H984,
MAX(FILTER(ROW(H$2:H984) - ROW(H$2) + 1, P$2:P984 = P985)))))"),29.9)</f>
        <v>29.9</v>
      </c>
      <c r="N985" s="335" t="str">
        <f>IF(MAXIFS('単価履歴'!$O:$O,'単価履歴'!$E:$E,E985,'単価履歴'!$F:$F,F985)=O985,"●","")</f>
        <v/>
      </c>
      <c r="O985" s="346">
        <v>45765.27049768518</v>
      </c>
      <c r="P985" s="334" t="str">
        <f t="shared" si="4"/>
        <v>大鉄　堺:大鉄堺シュレＣ</v>
      </c>
    </row>
    <row r="986" ht="15.75" customHeight="1">
      <c r="A986" s="335" t="s">
        <v>2178</v>
      </c>
      <c r="B986" s="336">
        <v>45765.0</v>
      </c>
      <c r="C986" s="335" t="s">
        <v>9</v>
      </c>
      <c r="D986" s="335" t="s">
        <v>51</v>
      </c>
      <c r="E986" s="337" t="str">
        <f t="shared" si="1"/>
        <v>大鉄　堺:大鉄堺</v>
      </c>
      <c r="F986" s="338" t="s">
        <v>575</v>
      </c>
      <c r="G986" s="339" t="str">
        <f t="shared" si="2"/>
        <v>大鉄　堺:大鉄堺鋼ダライＡ</v>
      </c>
      <c r="H986" s="340">
        <f t="shared" si="3"/>
        <v>29.5</v>
      </c>
      <c r="I986" s="341">
        <v>-0.5</v>
      </c>
      <c r="J986" s="332">
        <f>IFERROR(__xludf.DUMMYFUNCTION("IF(IF(COUNTIF(P$2:P985, P986)=0, """", INDEX(H$2:H985,
MAX(FILTER(ROW(H$2:H985) - ROW(H$2) + 1, P$2:P985 = P986))))=""単価"","""",
IF(COUNTIF(P$2:P985, P986)=0, """", INDEX(H$2:H985,
MAX(FILTER(ROW(H$2:H985) - ROW(H$2) + 1, P$2:P985 = P986)))))"),30.0)</f>
        <v>30</v>
      </c>
      <c r="N986" s="335" t="str">
        <f>IF(MAXIFS('単価履歴'!$O:$O,'単価履歴'!$E:$E,E986,'単価履歴'!$F:$F,F986)=O986,"●","")</f>
        <v/>
      </c>
      <c r="O986" s="346">
        <v>45765.27049768518</v>
      </c>
      <c r="P986" s="334" t="str">
        <f t="shared" si="4"/>
        <v>大鉄　堺:大鉄堺鋼ダライＡ</v>
      </c>
    </row>
    <row r="987" ht="15.75" customHeight="1">
      <c r="A987" s="335" t="s">
        <v>2179</v>
      </c>
      <c r="B987" s="336">
        <v>45765.0</v>
      </c>
      <c r="C987" s="335" t="s">
        <v>9</v>
      </c>
      <c r="D987" s="335" t="s">
        <v>51</v>
      </c>
      <c r="E987" s="337" t="str">
        <f t="shared" si="1"/>
        <v>大鉄　堺:大鉄堺</v>
      </c>
      <c r="F987" s="338" t="s">
        <v>576</v>
      </c>
      <c r="G987" s="339" t="str">
        <f t="shared" si="2"/>
        <v>大鉄　堺:大鉄堺鋼ダライＢ</v>
      </c>
      <c r="H987" s="340">
        <f t="shared" si="3"/>
        <v>29.5</v>
      </c>
      <c r="I987" s="341">
        <v>-0.5</v>
      </c>
      <c r="J987" s="332">
        <f>IFERROR(__xludf.DUMMYFUNCTION("IF(IF(COUNTIF(P$2:P986, P987)=0, """", INDEX(H$2:H986,
MAX(FILTER(ROW(H$2:H986) - ROW(H$2) + 1, P$2:P986 = P987))))=""単価"","""",
IF(COUNTIF(P$2:P986, P987)=0, """", INDEX(H$2:H986,
MAX(FILTER(ROW(H$2:H986) - ROW(H$2) + 1, P$2:P986 = P987)))))"),30.0)</f>
        <v>30</v>
      </c>
      <c r="N987" s="335" t="str">
        <f>IF(MAXIFS('単価履歴'!$O:$O,'単価履歴'!$E:$E,E987,'単価履歴'!$F:$F,F987)=O987,"●","")</f>
        <v/>
      </c>
      <c r="O987" s="346">
        <v>45765.27049768518</v>
      </c>
      <c r="P987" s="334" t="str">
        <f t="shared" si="4"/>
        <v>大鉄　堺:大鉄堺鋼ダライＢ</v>
      </c>
    </row>
    <row r="988" ht="15.75" customHeight="1">
      <c r="A988" s="335" t="s">
        <v>2180</v>
      </c>
      <c r="B988" s="336">
        <v>45765.0</v>
      </c>
      <c r="C988" s="335" t="s">
        <v>9</v>
      </c>
      <c r="D988" s="335" t="s">
        <v>51</v>
      </c>
      <c r="E988" s="337" t="str">
        <f t="shared" si="1"/>
        <v>大鉄　堺:大鉄堺</v>
      </c>
      <c r="F988" s="338" t="s">
        <v>130</v>
      </c>
      <c r="G988" s="339" t="str">
        <f t="shared" si="2"/>
        <v>大鉄　堺:大鉄堺新断Ａ</v>
      </c>
      <c r="H988" s="340">
        <f t="shared" si="3"/>
        <v>29</v>
      </c>
      <c r="I988" s="341">
        <v>-0.5</v>
      </c>
      <c r="J988" s="332">
        <f>IFERROR(__xludf.DUMMYFUNCTION("IF(IF(COUNTIF(P$2:P987, P988)=0, """", INDEX(H$2:H987,
MAX(FILTER(ROW(H$2:H987) - ROW(H$2) + 1, P$2:P987 = P988))))=""単価"","""",
IF(COUNTIF(P$2:P987, P988)=0, """", INDEX(H$2:H987,
MAX(FILTER(ROW(H$2:H987) - ROW(H$2) + 1, P$2:P987 = P988)))))"),29.5)</f>
        <v>29.5</v>
      </c>
      <c r="N988" s="335" t="str">
        <f>IF(MAXIFS('単価履歴'!$O:$O,'単価履歴'!$E:$E,E988,'単価履歴'!$F:$F,F988)=O988,"●","")</f>
        <v/>
      </c>
      <c r="O988" s="346">
        <v>45765.27049768518</v>
      </c>
      <c r="P988" s="334" t="str">
        <f t="shared" si="4"/>
        <v>大鉄　堺:大鉄堺新断Ａ</v>
      </c>
    </row>
    <row r="989" ht="15.75" customHeight="1">
      <c r="A989" s="335" t="s">
        <v>2181</v>
      </c>
      <c r="B989" s="336">
        <v>45765.0</v>
      </c>
      <c r="C989" s="335" t="s">
        <v>9</v>
      </c>
      <c r="D989" s="335" t="s">
        <v>51</v>
      </c>
      <c r="E989" s="337" t="str">
        <f t="shared" si="1"/>
        <v>大鉄　堺:大鉄堺</v>
      </c>
      <c r="F989" s="338" t="s">
        <v>131</v>
      </c>
      <c r="G989" s="339" t="str">
        <f t="shared" si="2"/>
        <v>大鉄　堺:大鉄堺新断Ｂ</v>
      </c>
      <c r="H989" s="340">
        <f t="shared" si="3"/>
        <v>28.5</v>
      </c>
      <c r="I989" s="341">
        <v>-0.5</v>
      </c>
      <c r="J989" s="332">
        <f>IFERROR(__xludf.DUMMYFUNCTION("IF(IF(COUNTIF(P$2:P988, P989)=0, """", INDEX(H$2:H988,
MAX(FILTER(ROW(H$2:H988) - ROW(H$2) + 1, P$2:P988 = P989))))=""単価"","""",
IF(COUNTIF(P$2:P988, P989)=0, """", INDEX(H$2:H988,
MAX(FILTER(ROW(H$2:H988) - ROW(H$2) + 1, P$2:P988 = P989)))))"),29.0)</f>
        <v>29</v>
      </c>
      <c r="N989" s="335" t="str">
        <f>IF(MAXIFS('単価履歴'!$O:$O,'単価履歴'!$E:$E,E989,'単価履歴'!$F:$F,F989)=O989,"●","")</f>
        <v/>
      </c>
      <c r="O989" s="346">
        <v>45765.27049768518</v>
      </c>
      <c r="P989" s="334" t="str">
        <f t="shared" si="4"/>
        <v>大鉄　堺:大鉄堺新断Ｂ</v>
      </c>
    </row>
    <row r="990" ht="15.75" customHeight="1">
      <c r="A990" s="335" t="s">
        <v>2182</v>
      </c>
      <c r="B990" s="336">
        <v>45765.0</v>
      </c>
      <c r="C990" s="335" t="s">
        <v>9</v>
      </c>
      <c r="D990" s="335" t="s">
        <v>47</v>
      </c>
      <c r="E990" s="337" t="str">
        <f t="shared" si="1"/>
        <v>大鉄　堺:豊通</v>
      </c>
      <c r="F990" s="338" t="s">
        <v>154</v>
      </c>
      <c r="G990" s="339" t="str">
        <f t="shared" si="2"/>
        <v>大鉄　堺:豊通ＣＰ Ａ</v>
      </c>
      <c r="H990" s="340">
        <f t="shared" si="3"/>
        <v>41.2</v>
      </c>
      <c r="I990" s="341">
        <v>-0.5</v>
      </c>
      <c r="J990" s="332">
        <f>IFERROR(__xludf.DUMMYFUNCTION("IF(IF(COUNTIF(P$2:P989, P990)=0, """", INDEX(H$2:H989,
MAX(FILTER(ROW(H$2:H989) - ROW(H$2) + 1, P$2:P989 = P990))))=""単価"","""",
IF(COUNTIF(P$2:P989, P990)=0, """", INDEX(H$2:H989,
MAX(FILTER(ROW(H$2:H989) - ROW(H$2) + 1, P$2:P989 = P990)))))"),41.7)</f>
        <v>41.7</v>
      </c>
      <c r="N990" s="335" t="str">
        <f>IF(MAXIFS('単価履歴'!$O:$O,'単価履歴'!$E:$E,E990,'単価履歴'!$F:$F,F990)=O990,"●","")</f>
        <v/>
      </c>
      <c r="O990" s="346">
        <v>45765.27049768518</v>
      </c>
      <c r="P990" s="334" t="str">
        <f t="shared" si="4"/>
        <v>大鉄　堺:豊通ＣＰ Ａ</v>
      </c>
    </row>
    <row r="991" ht="15.75" customHeight="1">
      <c r="A991" s="335" t="s">
        <v>2183</v>
      </c>
      <c r="B991" s="336">
        <v>45765.0</v>
      </c>
      <c r="C991" s="335" t="s">
        <v>9</v>
      </c>
      <c r="D991" s="335" t="s">
        <v>47</v>
      </c>
      <c r="E991" s="337" t="str">
        <f t="shared" si="1"/>
        <v>大鉄　堺:豊通</v>
      </c>
      <c r="F991" s="338" t="s">
        <v>156</v>
      </c>
      <c r="G991" s="339" t="str">
        <f t="shared" si="2"/>
        <v>大鉄　堺:豊通ＣＰ Ｂ一斗缶</v>
      </c>
      <c r="H991" s="340">
        <f t="shared" si="3"/>
        <v>34.7</v>
      </c>
      <c r="I991" s="341">
        <v>-0.5</v>
      </c>
      <c r="J991" s="332">
        <f>IFERROR(__xludf.DUMMYFUNCTION("IF(IF(COUNTIF(P$2:P990, P991)=0, """", INDEX(H$2:H990,
MAX(FILTER(ROW(H$2:H990) - ROW(H$2) + 1, P$2:P990 = P991))))=""単価"","""",
IF(COUNTIF(P$2:P990, P991)=0, """", INDEX(H$2:H990,
MAX(FILTER(ROW(H$2:H990) - ROW(H$2) + 1, P$2:P990 = P991)))))"),35.2)</f>
        <v>35.2</v>
      </c>
      <c r="N991" s="335" t="str">
        <f>IF(MAXIFS('単価履歴'!$O:$O,'単価履歴'!$E:$E,E991,'単価履歴'!$F:$F,F991)=O991,"●","")</f>
        <v/>
      </c>
      <c r="O991" s="346">
        <v>45765.27049768518</v>
      </c>
      <c r="P991" s="334" t="str">
        <f t="shared" si="4"/>
        <v>大鉄　堺:豊通ＣＰ Ｂ一斗缶</v>
      </c>
    </row>
    <row r="992" ht="15.75" customHeight="1">
      <c r="A992" s="335" t="s">
        <v>2184</v>
      </c>
      <c r="B992" s="336">
        <v>45765.0</v>
      </c>
      <c r="C992" s="335" t="s">
        <v>9</v>
      </c>
      <c r="D992" s="335" t="s">
        <v>47</v>
      </c>
      <c r="E992" s="337" t="str">
        <f t="shared" si="1"/>
        <v>大鉄　堺:豊通</v>
      </c>
      <c r="F992" s="338" t="s">
        <v>111</v>
      </c>
      <c r="G992" s="339" t="str">
        <f t="shared" si="2"/>
        <v>大鉄　堺:豊通Ｈ１(特A)</v>
      </c>
      <c r="H992" s="340">
        <f t="shared" si="3"/>
        <v>30.4</v>
      </c>
      <c r="I992" s="341">
        <v>-0.5</v>
      </c>
      <c r="J992" s="332">
        <f>IFERROR(__xludf.DUMMYFUNCTION("IF(IF(COUNTIF(P$2:P991, P992)=0, """", INDEX(H$2:H991,
MAX(FILTER(ROW(H$2:H991) - ROW(H$2) + 1, P$2:P991 = P992))))=""単価"","""",
IF(COUNTIF(P$2:P991, P992)=0, """", INDEX(H$2:H991,
MAX(FILTER(ROW(H$2:H991) - ROW(H$2) + 1, P$2:P991 = P992)))))"),30.9)</f>
        <v>30.9</v>
      </c>
      <c r="N992" s="335" t="str">
        <f>IF(MAXIFS('単価履歴'!$O:$O,'単価履歴'!$E:$E,E992,'単価履歴'!$F:$F,F992)=O992,"●","")</f>
        <v/>
      </c>
      <c r="O992" s="346">
        <v>45765.27049768518</v>
      </c>
      <c r="P992" s="334" t="str">
        <f t="shared" si="4"/>
        <v>大鉄　堺:豊通Ｈ１(特A)</v>
      </c>
    </row>
    <row r="993" ht="15.75" customHeight="1">
      <c r="A993" s="335" t="s">
        <v>2185</v>
      </c>
      <c r="B993" s="336">
        <v>45765.0</v>
      </c>
      <c r="C993" s="335" t="s">
        <v>9</v>
      </c>
      <c r="D993" s="335" t="s">
        <v>47</v>
      </c>
      <c r="E993" s="337" t="str">
        <f t="shared" si="1"/>
        <v>大鉄　堺:豊通</v>
      </c>
      <c r="F993" s="338" t="s">
        <v>116</v>
      </c>
      <c r="G993" s="339" t="str">
        <f t="shared" si="2"/>
        <v>大鉄　堺:豊通Ｈ２(特級)</v>
      </c>
      <c r="H993" s="340">
        <f t="shared" si="3"/>
        <v>26.2</v>
      </c>
      <c r="I993" s="341">
        <v>-0.5</v>
      </c>
      <c r="J993" s="332">
        <f>IFERROR(__xludf.DUMMYFUNCTION("IF(IF(COUNTIF(P$2:P992, P993)=0, """", INDEX(H$2:H992,
MAX(FILTER(ROW(H$2:H992) - ROW(H$2) + 1, P$2:P992 = P993))))=""単価"","""",
IF(COUNTIF(P$2:P992, P993)=0, """", INDEX(H$2:H992,
MAX(FILTER(ROW(H$2:H992) - ROW(H$2) + 1, P$2:P992 = P993)))))"),26.7)</f>
        <v>26.7</v>
      </c>
      <c r="N993" s="335" t="str">
        <f>IF(MAXIFS('単価履歴'!$O:$O,'単価履歴'!$E:$E,E993,'単価履歴'!$F:$F,F993)=O993,"●","")</f>
        <v/>
      </c>
      <c r="O993" s="346">
        <v>45765.27049768518</v>
      </c>
      <c r="P993" s="334" t="str">
        <f t="shared" si="4"/>
        <v>大鉄　堺:豊通Ｈ２(特級)</v>
      </c>
    </row>
    <row r="994" ht="15.75" customHeight="1">
      <c r="A994" s="335" t="s">
        <v>2186</v>
      </c>
      <c r="B994" s="336">
        <v>45765.0</v>
      </c>
      <c r="C994" s="335" t="s">
        <v>9</v>
      </c>
      <c r="D994" s="335" t="s">
        <v>47</v>
      </c>
      <c r="E994" s="337" t="str">
        <f t="shared" si="1"/>
        <v>大鉄　堺:豊通</v>
      </c>
      <c r="F994" s="338" t="s">
        <v>119</v>
      </c>
      <c r="G994" s="339" t="str">
        <f t="shared" si="2"/>
        <v>大鉄　堺:豊通Ｈ３(1級)</v>
      </c>
      <c r="H994" s="340">
        <f t="shared" si="3"/>
        <v>25.2</v>
      </c>
      <c r="I994" s="341">
        <v>-0.5</v>
      </c>
      <c r="J994" s="332">
        <f>IFERROR(__xludf.DUMMYFUNCTION("IF(IF(COUNTIF(P$2:P993, P994)=0, """", INDEX(H$2:H993,
MAX(FILTER(ROW(H$2:H993) - ROW(H$2) + 1, P$2:P993 = P994))))=""単価"","""",
IF(COUNTIF(P$2:P993, P994)=0, """", INDEX(H$2:H993,
MAX(FILTER(ROW(H$2:H993) - ROW(H$2) + 1, P$2:P993 = P994)))))"),25.7)</f>
        <v>25.7</v>
      </c>
      <c r="N994" s="335" t="str">
        <f>IF(MAXIFS('単価履歴'!$O:$O,'単価履歴'!$E:$E,E994,'単価履歴'!$F:$F,F994)=O994,"●","")</f>
        <v/>
      </c>
      <c r="O994" s="346">
        <v>45765.27049768518</v>
      </c>
      <c r="P994" s="334" t="str">
        <f t="shared" si="4"/>
        <v>大鉄　堺:豊通Ｈ３(1級)</v>
      </c>
    </row>
    <row r="995" ht="15.75" customHeight="1">
      <c r="A995" s="335" t="s">
        <v>2187</v>
      </c>
      <c r="B995" s="336">
        <v>45765.0</v>
      </c>
      <c r="C995" s="335" t="s">
        <v>9</v>
      </c>
      <c r="D995" s="335" t="s">
        <v>47</v>
      </c>
      <c r="E995" s="337" t="str">
        <f t="shared" si="1"/>
        <v>大鉄　堺:豊通</v>
      </c>
      <c r="F995" s="338" t="s">
        <v>1237</v>
      </c>
      <c r="G995" s="339" t="str">
        <f t="shared" si="2"/>
        <v>大鉄　堺:豊通ＪＨ１(H2T山口)鍛造ﾊﾞﾘ</v>
      </c>
      <c r="H995" s="340">
        <f t="shared" si="3"/>
        <v>29.4</v>
      </c>
      <c r="I995" s="341">
        <v>-0.5</v>
      </c>
      <c r="J995" s="332">
        <f>IFERROR(__xludf.DUMMYFUNCTION("IF(IF(COUNTIF(P$2:P994, P995)=0, """", INDEX(H$2:H994,
MAX(FILTER(ROW(H$2:H994) - ROW(H$2) + 1, P$2:P994 = P995))))=""単価"","""",
IF(COUNTIF(P$2:P994, P995)=0, """", INDEX(H$2:H994,
MAX(FILTER(ROW(H$2:H994) - ROW(H$2) + 1, P$2:P994 = P995)))))"),29.9)</f>
        <v>29.9</v>
      </c>
      <c r="N995" s="335" t="str">
        <f>IF(MAXIFS('単価履歴'!$O:$O,'単価履歴'!$E:$E,E995,'単価履歴'!$F:$F,F995)=O995,"●","")</f>
        <v/>
      </c>
      <c r="O995" s="346">
        <v>45765.27049768518</v>
      </c>
      <c r="P995" s="334" t="str">
        <f t="shared" si="4"/>
        <v>大鉄　堺:豊通ＪＨ１(H2T山口)鍛造ﾊﾞﾘ</v>
      </c>
    </row>
    <row r="996" ht="15.75" customHeight="1">
      <c r="A996" s="335" t="s">
        <v>2188</v>
      </c>
      <c r="B996" s="336">
        <v>45765.0</v>
      </c>
      <c r="C996" s="335" t="s">
        <v>9</v>
      </c>
      <c r="D996" s="335" t="s">
        <v>47</v>
      </c>
      <c r="E996" s="337" t="str">
        <f t="shared" si="1"/>
        <v>大鉄　堺:豊通</v>
      </c>
      <c r="F996" s="338" t="s">
        <v>122</v>
      </c>
      <c r="G996" s="339" t="str">
        <f t="shared" si="2"/>
        <v>大鉄　堺:豊通Ｌ１(2級)</v>
      </c>
      <c r="H996" s="340">
        <f t="shared" si="3"/>
        <v>23.7</v>
      </c>
      <c r="I996" s="341">
        <v>-0.5</v>
      </c>
      <c r="J996" s="332">
        <f>IFERROR(__xludf.DUMMYFUNCTION("IF(IF(COUNTIF(P$2:P995, P996)=0, """", INDEX(H$2:H995,
MAX(FILTER(ROW(H$2:H995) - ROW(H$2) + 1, P$2:P995 = P996))))=""単価"","""",
IF(COUNTIF(P$2:P995, P996)=0, """", INDEX(H$2:H995,
MAX(FILTER(ROW(H$2:H995) - ROW(H$2) + 1, P$2:P995 = P996)))))"),24.2)</f>
        <v>24.2</v>
      </c>
      <c r="N996" s="335" t="str">
        <f>IF(MAXIFS('単価履歴'!$O:$O,'単価履歴'!$E:$E,E996,'単価履歴'!$F:$F,F996)=O996,"●","")</f>
        <v/>
      </c>
      <c r="O996" s="346">
        <v>45765.27049768518</v>
      </c>
      <c r="P996" s="334" t="str">
        <f t="shared" si="4"/>
        <v>大鉄　堺:豊通Ｌ１(2級)</v>
      </c>
    </row>
    <row r="997" ht="15.75" customHeight="1">
      <c r="A997" s="335" t="s">
        <v>2189</v>
      </c>
      <c r="B997" s="336">
        <v>45765.0</v>
      </c>
      <c r="C997" s="335" t="s">
        <v>9</v>
      </c>
      <c r="D997" s="335" t="s">
        <v>47</v>
      </c>
      <c r="E997" s="337" t="str">
        <f t="shared" si="1"/>
        <v>大鉄　堺:豊通</v>
      </c>
      <c r="F997" s="338" t="s">
        <v>145</v>
      </c>
      <c r="G997" s="339" t="str">
        <f t="shared" si="2"/>
        <v>大鉄　堺:豊通シュレＡ</v>
      </c>
      <c r="H997" s="340">
        <f t="shared" si="3"/>
        <v>30.7</v>
      </c>
      <c r="I997" s="341">
        <v>-0.5</v>
      </c>
      <c r="J997" s="332">
        <f>IFERROR(__xludf.DUMMYFUNCTION("IF(IF(COUNTIF(P$2:P996, P997)=0, """", INDEX(H$2:H996,
MAX(FILTER(ROW(H$2:H996) - ROW(H$2) + 1, P$2:P996 = P997))))=""単価"","""",
IF(COUNTIF(P$2:P996, P997)=0, """", INDEX(H$2:H996,
MAX(FILTER(ROW(H$2:H996) - ROW(H$2) + 1, P$2:P996 = P997)))))"),31.2)</f>
        <v>31.2</v>
      </c>
      <c r="N997" s="335" t="str">
        <f>IF(MAXIFS('単価履歴'!$O:$O,'単価履歴'!$E:$E,E997,'単価履歴'!$F:$F,F997)=O997,"●","")</f>
        <v/>
      </c>
      <c r="O997" s="346">
        <v>45765.27049768518</v>
      </c>
      <c r="P997" s="334" t="str">
        <f t="shared" si="4"/>
        <v>大鉄　堺:豊通シュレＡ</v>
      </c>
    </row>
    <row r="998" ht="15.75" customHeight="1">
      <c r="A998" s="335" t="s">
        <v>2190</v>
      </c>
      <c r="B998" s="336">
        <v>45765.0</v>
      </c>
      <c r="C998" s="335" t="s">
        <v>9</v>
      </c>
      <c r="D998" s="335" t="s">
        <v>47</v>
      </c>
      <c r="E998" s="337" t="str">
        <f t="shared" si="1"/>
        <v>大鉄　堺:豊通</v>
      </c>
      <c r="F998" s="338" t="s">
        <v>149</v>
      </c>
      <c r="G998" s="339" t="str">
        <f t="shared" si="2"/>
        <v>大鉄　堺:豊通シュレＢ</v>
      </c>
      <c r="H998" s="340">
        <f t="shared" si="3"/>
        <v>30</v>
      </c>
      <c r="I998" s="341">
        <v>-0.5</v>
      </c>
      <c r="J998" s="332">
        <f>IFERROR(__xludf.DUMMYFUNCTION("IF(IF(COUNTIF(P$2:P997, P998)=0, """", INDEX(H$2:H997,
MAX(FILTER(ROW(H$2:H997) - ROW(H$2) + 1, P$2:P997 = P998))))=""単価"","""",
IF(COUNTIF(P$2:P997, P998)=0, """", INDEX(H$2:H997,
MAX(FILTER(ROW(H$2:H997) - ROW(H$2) + 1, P$2:P997 = P998)))))"),30.5)</f>
        <v>30.5</v>
      </c>
      <c r="N998" s="335" t="str">
        <f>IF(MAXIFS('単価履歴'!$O:$O,'単価履歴'!$E:$E,E998,'単価履歴'!$F:$F,F998)=O998,"●","")</f>
        <v/>
      </c>
      <c r="O998" s="346">
        <v>45765.27049768518</v>
      </c>
      <c r="P998" s="334" t="str">
        <f t="shared" si="4"/>
        <v>大鉄　堺:豊通シュレＢ</v>
      </c>
    </row>
    <row r="999" ht="15.75" customHeight="1">
      <c r="A999" s="335" t="s">
        <v>2191</v>
      </c>
      <c r="B999" s="336">
        <v>45765.0</v>
      </c>
      <c r="C999" s="335" t="s">
        <v>9</v>
      </c>
      <c r="D999" s="335" t="s">
        <v>47</v>
      </c>
      <c r="E999" s="337" t="str">
        <f t="shared" si="1"/>
        <v>大鉄　堺:豊通</v>
      </c>
      <c r="F999" s="338" t="s">
        <v>151</v>
      </c>
      <c r="G999" s="339" t="str">
        <f t="shared" si="2"/>
        <v>大鉄　堺:豊通シュレＣ</v>
      </c>
      <c r="H999" s="340">
        <f t="shared" si="3"/>
        <v>28.6</v>
      </c>
      <c r="I999" s="341">
        <v>-0.5</v>
      </c>
      <c r="J999" s="332">
        <f>IFERROR(__xludf.DUMMYFUNCTION("IF(IF(COUNTIF(P$2:P998, P999)=0, """", INDEX(H$2:H998,
MAX(FILTER(ROW(H$2:H998) - ROW(H$2) + 1, P$2:P998 = P999))))=""単価"","""",
IF(COUNTIF(P$2:P998, P999)=0, """", INDEX(H$2:H998,
MAX(FILTER(ROW(H$2:H998) - ROW(H$2) + 1, P$2:P998 = P999)))))"),29.1)</f>
        <v>29.1</v>
      </c>
      <c r="N999" s="335" t="str">
        <f>IF(MAXIFS('単価履歴'!$O:$O,'単価履歴'!$E:$E,E999,'単価履歴'!$F:$F,F999)=O999,"●","")</f>
        <v/>
      </c>
      <c r="O999" s="346">
        <v>45765.27049768518</v>
      </c>
      <c r="P999" s="334" t="str">
        <f t="shared" si="4"/>
        <v>大鉄　堺:豊通シュレＣ</v>
      </c>
    </row>
    <row r="1000" ht="15.75" customHeight="1">
      <c r="A1000" s="335" t="s">
        <v>2192</v>
      </c>
      <c r="B1000" s="336">
        <v>45765.0</v>
      </c>
      <c r="C1000" s="335" t="s">
        <v>9</v>
      </c>
      <c r="D1000" s="335" t="s">
        <v>47</v>
      </c>
      <c r="E1000" s="337" t="str">
        <f t="shared" si="1"/>
        <v>大鉄　堺:豊通</v>
      </c>
      <c r="F1000" s="338" t="s">
        <v>575</v>
      </c>
      <c r="G1000" s="339" t="str">
        <f t="shared" si="2"/>
        <v>大鉄　堺:豊通鋼ダライＡ</v>
      </c>
      <c r="H1000" s="340">
        <f t="shared" si="3"/>
        <v>29.2</v>
      </c>
      <c r="I1000" s="341">
        <v>-0.5</v>
      </c>
      <c r="J1000" s="332">
        <f>IFERROR(__xludf.DUMMYFUNCTION("IF(IF(COUNTIF(P$2:P999, P1000)=0, """", INDEX(H$2:H999,
MAX(FILTER(ROW(H$2:H999) - ROW(H$2) + 1, P$2:P999 = P1000))))=""単価"","""",
IF(COUNTIF(P$2:P999, P1000)=0, """", INDEX(H$2:H999,
MAX(FILTER(ROW(H$2:H999) - ROW(H$2) + 1, P$2:P999 = P1000)))))"),29.7)</f>
        <v>29.7</v>
      </c>
      <c r="N1000" s="335" t="str">
        <f>IF(MAXIFS('単価履歴'!$O:$O,'単価履歴'!$E:$E,E1000,'単価履歴'!$F:$F,F1000)=O1000,"●","")</f>
        <v/>
      </c>
      <c r="O1000" s="346">
        <v>45765.27049768518</v>
      </c>
      <c r="P1000" s="334" t="str">
        <f t="shared" si="4"/>
        <v>大鉄　堺:豊通鋼ダライＡ</v>
      </c>
    </row>
    <row r="1001" ht="15.75" customHeight="1">
      <c r="A1001" s="335" t="s">
        <v>2193</v>
      </c>
      <c r="B1001" s="336">
        <v>45765.0</v>
      </c>
      <c r="C1001" s="335" t="s">
        <v>9</v>
      </c>
      <c r="D1001" s="335" t="s">
        <v>47</v>
      </c>
      <c r="E1001" s="337" t="str">
        <f t="shared" si="1"/>
        <v>大鉄　堺:豊通</v>
      </c>
      <c r="F1001" s="338" t="s">
        <v>576</v>
      </c>
      <c r="G1001" s="339" t="str">
        <f t="shared" si="2"/>
        <v>大鉄　堺:豊通鋼ダライＢ</v>
      </c>
      <c r="H1001" s="340">
        <f t="shared" si="3"/>
        <v>29.2</v>
      </c>
      <c r="I1001" s="341">
        <v>-0.5</v>
      </c>
      <c r="J1001" s="332">
        <f>IFERROR(__xludf.DUMMYFUNCTION("IF(IF(COUNTIF(P$2:P1000, P1001)=0, """", INDEX(H$2:H1000,
MAX(FILTER(ROW(H$2:H1000) - ROW(H$2) + 1, P$2:P1000 = P1001))))=""単価"","""",
IF(COUNTIF(P$2:P1000, P1001)=0, """", INDEX(H$2:H1000,
MAX(FILTER(ROW(H$2:H1000) - ROW(H$2) + 1, P$2:P1000 = P1001)))))"),29.7)</f>
        <v>29.7</v>
      </c>
      <c r="N1001" s="335" t="str">
        <f>IF(MAXIFS('単価履歴'!$O:$O,'単価履歴'!$E:$E,E1001,'単価履歴'!$F:$F,F1001)=O1001,"●","")</f>
        <v/>
      </c>
      <c r="O1001" s="346">
        <v>45765.27049768518</v>
      </c>
      <c r="P1001" s="334" t="str">
        <f t="shared" si="4"/>
        <v>大鉄　堺:豊通鋼ダライＢ</v>
      </c>
    </row>
    <row r="1002" ht="15.75" customHeight="1">
      <c r="A1002" s="335" t="s">
        <v>2194</v>
      </c>
      <c r="B1002" s="336">
        <v>45765.0</v>
      </c>
      <c r="C1002" s="335" t="s">
        <v>9</v>
      </c>
      <c r="D1002" s="335" t="s">
        <v>47</v>
      </c>
      <c r="E1002" s="337" t="str">
        <f t="shared" si="1"/>
        <v>大鉄　堺:豊通</v>
      </c>
      <c r="F1002" s="338" t="s">
        <v>130</v>
      </c>
      <c r="G1002" s="339" t="str">
        <f t="shared" si="2"/>
        <v>大鉄　堺:豊通新断Ａ</v>
      </c>
      <c r="H1002" s="340">
        <f t="shared" si="3"/>
        <v>27.2</v>
      </c>
      <c r="I1002" s="341">
        <v>-0.5</v>
      </c>
      <c r="J1002" s="332">
        <f>IFERROR(__xludf.DUMMYFUNCTION("IF(IF(COUNTIF(P$2:P1001, P1002)=0, """", INDEX(H$2:H1001,
MAX(FILTER(ROW(H$2:H1001) - ROW(H$2) + 1, P$2:P1001 = P1002))))=""単価"","""",
IF(COUNTIF(P$2:P1001, P1002)=0, """", INDEX(H$2:H1001,
MAX(FILTER(ROW(H$2:H1001) - ROW(H$2) + 1, P$2:P1001 = P1002)))))"),27.7)</f>
        <v>27.7</v>
      </c>
      <c r="N1002" s="335" t="str">
        <f>IF(MAXIFS('単価履歴'!$O:$O,'単価履歴'!$E:$E,E1002,'単価履歴'!$F:$F,F1002)=O1002,"●","")</f>
        <v/>
      </c>
      <c r="O1002" s="346">
        <v>45765.27049768518</v>
      </c>
      <c r="P1002" s="334" t="str">
        <f t="shared" si="4"/>
        <v>大鉄　堺:豊通新断Ａ</v>
      </c>
    </row>
    <row r="1003" ht="15.75" customHeight="1">
      <c r="A1003" s="335" t="s">
        <v>2195</v>
      </c>
      <c r="B1003" s="336">
        <v>45765.0</v>
      </c>
      <c r="C1003" s="335" t="s">
        <v>9</v>
      </c>
      <c r="D1003" s="335" t="s">
        <v>47</v>
      </c>
      <c r="E1003" s="337" t="str">
        <f t="shared" si="1"/>
        <v>大鉄　堺:豊通</v>
      </c>
      <c r="F1003" s="338" t="s">
        <v>131</v>
      </c>
      <c r="G1003" s="339" t="str">
        <f t="shared" si="2"/>
        <v>大鉄　堺:豊通新断Ｂ</v>
      </c>
      <c r="H1003" s="340">
        <f t="shared" si="3"/>
        <v>26.7</v>
      </c>
      <c r="I1003" s="341">
        <v>-0.5</v>
      </c>
      <c r="J1003" s="332">
        <f>IFERROR(__xludf.DUMMYFUNCTION("IF(IF(COUNTIF(P$2:P1002, P1003)=0, """", INDEX(H$2:H1002,
MAX(FILTER(ROW(H$2:H1002) - ROW(H$2) + 1, P$2:P1002 = P1003))))=""単価"","""",
IF(COUNTIF(P$2:P1002, P1003)=0, """", INDEX(H$2:H1002,
MAX(FILTER(ROW(H$2:H1002) - ROW(H$2) + 1, P$2:P1002 = P1003)))))"),27.2)</f>
        <v>27.2</v>
      </c>
      <c r="N1003" s="335" t="str">
        <f>IF(MAXIFS('単価履歴'!$O:$O,'単価履歴'!$E:$E,E1003,'単価履歴'!$F:$F,F1003)=O1003,"●","")</f>
        <v/>
      </c>
      <c r="O1003" s="346">
        <v>45765.27049768518</v>
      </c>
      <c r="P1003" s="334" t="str">
        <f t="shared" si="4"/>
        <v>大鉄　堺:豊通新断Ｂ</v>
      </c>
    </row>
    <row r="1004" ht="15.75" customHeight="1">
      <c r="A1004" s="335" t="s">
        <v>2196</v>
      </c>
      <c r="B1004" s="336">
        <v>45765.0</v>
      </c>
      <c r="C1004" s="335" t="s">
        <v>12</v>
      </c>
      <c r="D1004" s="335" t="s">
        <v>50</v>
      </c>
      <c r="E1004" s="337" t="str">
        <f t="shared" si="1"/>
        <v>山陽特殊:産振</v>
      </c>
      <c r="F1004" s="338" t="s">
        <v>1199</v>
      </c>
      <c r="G1004" s="339" t="str">
        <f t="shared" si="2"/>
        <v>山陽特殊:産振ＨＳ１(単体H1/電特A/HS))</v>
      </c>
      <c r="H1004" s="340">
        <f t="shared" si="3"/>
        <v>44.6</v>
      </c>
      <c r="I1004" s="341">
        <v>-0.5</v>
      </c>
      <c r="J1004" s="332">
        <f>IFERROR(__xludf.DUMMYFUNCTION("IF(IF(COUNTIF(P$2:P1003, P1004)=0, """", INDEX(H$2:H1003,
MAX(FILTER(ROW(H$2:H1003) - ROW(H$2) + 1, P$2:P1003 = P1004))))=""単価"","""",
IF(COUNTIF(P$2:P1003, P1004)=0, """", INDEX(H$2:H1003,
MAX(FILTER(ROW(H$2:H1003) - ROW(H$2) + 1, P$2:P1003 = P1004)))))"),45.1)</f>
        <v>45.1</v>
      </c>
      <c r="N1004" s="335" t="str">
        <f>IF(MAXIFS('単価履歴'!$O:$O,'単価履歴'!$E:$E,E1004,'単価履歴'!$F:$F,F1004)=O1004,"●","")</f>
        <v/>
      </c>
      <c r="O1004" s="346">
        <v>45765.28134259259</v>
      </c>
      <c r="P1004" s="334" t="str">
        <f t="shared" si="4"/>
        <v>山陽特殊:産振ＨＳ１(単体H1/電特A/HS))</v>
      </c>
    </row>
    <row r="1005" ht="15.75" customHeight="1">
      <c r="A1005" s="335" t="s">
        <v>2197</v>
      </c>
      <c r="B1005" s="336">
        <v>45765.0</v>
      </c>
      <c r="C1005" s="335" t="s">
        <v>12</v>
      </c>
      <c r="D1005" s="335" t="s">
        <v>50</v>
      </c>
      <c r="E1005" s="337" t="str">
        <f t="shared" si="1"/>
        <v>山陽特殊:産振</v>
      </c>
      <c r="F1005" s="338" t="s">
        <v>101</v>
      </c>
      <c r="G1005" s="339" t="str">
        <f t="shared" si="2"/>
        <v>山陽特殊:産振ＨＳ２</v>
      </c>
      <c r="H1005" s="340">
        <f t="shared" si="3"/>
        <v>44.4</v>
      </c>
      <c r="I1005" s="341">
        <v>-0.5</v>
      </c>
      <c r="J1005" s="332">
        <f>IFERROR(__xludf.DUMMYFUNCTION("IF(IF(COUNTIF(P$2:P1004, P1005)=0, """", INDEX(H$2:H1004,
MAX(FILTER(ROW(H$2:H1004) - ROW(H$2) + 1, P$2:P1004 = P1005))))=""単価"","""",
IF(COUNTIF(P$2:P1004, P1005)=0, """", INDEX(H$2:H1004,
MAX(FILTER(ROW(H$2:H1004) - ROW(H$2) + 1, P$2:P1004 = P1005)))))"),44.9)</f>
        <v>44.9</v>
      </c>
      <c r="N1005" s="335" t="str">
        <f>IF(MAXIFS('単価履歴'!$O:$O,'単価履歴'!$E:$E,E1005,'単価履歴'!$F:$F,F1005)=O1005,"●","")</f>
        <v/>
      </c>
      <c r="O1005" s="346">
        <v>45765.28134259259</v>
      </c>
      <c r="P1005" s="334" t="str">
        <f t="shared" si="4"/>
        <v>山陽特殊:産振ＨＳ２</v>
      </c>
    </row>
    <row r="1006" ht="15.75" customHeight="1">
      <c r="A1006" s="335" t="s">
        <v>2198</v>
      </c>
      <c r="B1006" s="336">
        <v>45765.0</v>
      </c>
      <c r="C1006" s="335" t="s">
        <v>12</v>
      </c>
      <c r="D1006" s="335" t="s">
        <v>50</v>
      </c>
      <c r="E1006" s="337" t="str">
        <f t="shared" si="1"/>
        <v>山陽特殊:産振</v>
      </c>
      <c r="F1006" s="338" t="s">
        <v>105</v>
      </c>
      <c r="G1006" s="339" t="str">
        <f t="shared" si="2"/>
        <v>山陽特殊:産振ＨＳ３</v>
      </c>
      <c r="H1006" s="340">
        <f t="shared" si="3"/>
        <v>42.4</v>
      </c>
      <c r="I1006" s="341">
        <v>-0.5</v>
      </c>
      <c r="J1006" s="332">
        <f>IFERROR(__xludf.DUMMYFUNCTION("IF(IF(COUNTIF(P$2:P1005, P1006)=0, """", INDEX(H$2:H1005,
MAX(FILTER(ROW(H$2:H1005) - ROW(H$2) + 1, P$2:P1005 = P1006))))=""単価"","""",
IF(COUNTIF(P$2:P1005, P1006)=0, """", INDEX(H$2:H1005,
MAX(FILTER(ROW(H$2:H1005) - ROW(H$2) + 1, P$2:P1005 = P1006)))))"),42.9)</f>
        <v>42.9</v>
      </c>
      <c r="N1006" s="335" t="str">
        <f>IF(MAXIFS('単価履歴'!$O:$O,'単価履歴'!$E:$E,E1006,'単価履歴'!$F:$F,F1006)=O1006,"●","")</f>
        <v/>
      </c>
      <c r="O1006" s="346">
        <v>45765.28134259259</v>
      </c>
      <c r="P1006" s="334" t="str">
        <f t="shared" si="4"/>
        <v>山陽特殊:産振ＨＳ３</v>
      </c>
    </row>
    <row r="1007" ht="15.75" customHeight="1">
      <c r="A1007" s="335" t="s">
        <v>2199</v>
      </c>
      <c r="B1007" s="336">
        <v>45765.0</v>
      </c>
      <c r="C1007" s="335" t="s">
        <v>31</v>
      </c>
      <c r="D1007" s="335" t="s">
        <v>64</v>
      </c>
      <c r="E1007" s="337" t="str">
        <f t="shared" si="1"/>
        <v>泉北中谷:ナベ双葉</v>
      </c>
      <c r="F1007" s="338" t="s">
        <v>1199</v>
      </c>
      <c r="G1007" s="339" t="str">
        <f t="shared" si="2"/>
        <v>泉北中谷:ナベ双葉ＨＳ１(単体H1/電特A/HS))</v>
      </c>
      <c r="H1007" s="340">
        <f t="shared" si="3"/>
        <v>44</v>
      </c>
      <c r="I1007" s="341">
        <v>-0.5</v>
      </c>
      <c r="J1007" s="332">
        <f>IFERROR(__xludf.DUMMYFUNCTION("IF(IF(COUNTIF(P$2:P1006, P1007)=0, """", INDEX(H$2:H1006,
MAX(FILTER(ROW(H$2:H1006) - ROW(H$2) + 1, P$2:P1006 = P1007))))=""単価"","""",
IF(COUNTIF(P$2:P1006, P1007)=0, """", INDEX(H$2:H1006,
MAX(FILTER(ROW(H$2:H1006) - ROW(H$2) + 1, P$2:P1006 = P1007)))))"),44.5)</f>
        <v>44.5</v>
      </c>
      <c r="N1007" s="335" t="str">
        <f>IF(MAXIFS('単価履歴'!$O:$O,'単価履歴'!$E:$E,E1007,'単価履歴'!$F:$F,F1007)=O1007,"●","")</f>
        <v/>
      </c>
      <c r="O1007" s="346">
        <v>45765.29167824074</v>
      </c>
      <c r="P1007" s="334" t="str">
        <f t="shared" si="4"/>
        <v>泉北中谷:ナベ双葉ＨＳ１(単体H1/電特A/HS))</v>
      </c>
    </row>
    <row r="1008" ht="15.75" customHeight="1">
      <c r="A1008" s="335" t="s">
        <v>2200</v>
      </c>
      <c r="B1008" s="336">
        <v>45765.0</v>
      </c>
      <c r="C1008" s="335" t="s">
        <v>532</v>
      </c>
      <c r="D1008" s="335" t="s">
        <v>77</v>
      </c>
      <c r="E1008" s="337" t="str">
        <f t="shared" si="1"/>
        <v>東鐵岡山:直納</v>
      </c>
      <c r="F1008" s="338" t="s">
        <v>154</v>
      </c>
      <c r="G1008" s="339" t="str">
        <f t="shared" si="2"/>
        <v>東鐵岡山:直納ＣＰ Ａ</v>
      </c>
      <c r="H1008" s="340">
        <f t="shared" si="3"/>
        <v>40.5</v>
      </c>
      <c r="I1008" s="341">
        <v>-0.5</v>
      </c>
      <c r="J1008" s="332">
        <f>IFERROR(__xludf.DUMMYFUNCTION("IF(IF(COUNTIF(P$2:P1007, P1008)=0, """", INDEX(H$2:H1007,
MAX(FILTER(ROW(H$2:H1007) - ROW(H$2) + 1, P$2:P1007 = P1008))))=""単価"","""",
IF(COUNTIF(P$2:P1007, P1008)=0, """", INDEX(H$2:H1007,
MAX(FILTER(ROW(H$2:H1007) - ROW(H$2) + 1, P$2:P1007 = P1008)))))"),41.0)</f>
        <v>41</v>
      </c>
      <c r="N1008" s="335" t="str">
        <f>IF(MAXIFS('単価履歴'!$O:$O,'単価履歴'!$E:$E,E1008,'単価履歴'!$F:$F,F1008)=O1008,"●","")</f>
        <v/>
      </c>
      <c r="O1008" s="346">
        <v>45765.2920949074</v>
      </c>
      <c r="P1008" s="334" t="str">
        <f t="shared" si="4"/>
        <v>東鐵岡山:直納ＣＰ Ａ</v>
      </c>
    </row>
    <row r="1009" ht="15.75" customHeight="1">
      <c r="A1009" s="335" t="s">
        <v>2201</v>
      </c>
      <c r="B1009" s="336">
        <v>45765.0</v>
      </c>
      <c r="C1009" s="335" t="s">
        <v>532</v>
      </c>
      <c r="D1009" s="335" t="s">
        <v>77</v>
      </c>
      <c r="E1009" s="337" t="str">
        <f t="shared" si="1"/>
        <v>東鐵岡山:直納</v>
      </c>
      <c r="F1009" s="338" t="s">
        <v>111</v>
      </c>
      <c r="G1009" s="339" t="str">
        <f t="shared" si="2"/>
        <v>東鐵岡山:直納Ｈ１(特A)</v>
      </c>
      <c r="H1009" s="340">
        <f t="shared" si="3"/>
        <v>42.7</v>
      </c>
      <c r="I1009" s="341">
        <v>-0.5</v>
      </c>
      <c r="J1009" s="332">
        <f>IFERROR(__xludf.DUMMYFUNCTION("IF(IF(COUNTIF(P$2:P1008, P1009)=0, """", INDEX(H$2:H1008,
MAX(FILTER(ROW(H$2:H1008) - ROW(H$2) + 1, P$2:P1008 = P1009))))=""単価"","""",
IF(COUNTIF(P$2:P1008, P1009)=0, """", INDEX(H$2:H1008,
MAX(FILTER(ROW(H$2:H1008) - ROW(H$2) + 1, P$2:P1008 = P1009)))))"),43.2)</f>
        <v>43.2</v>
      </c>
      <c r="N1009" s="335" t="str">
        <f>IF(MAXIFS('単価履歴'!$O:$O,'単価履歴'!$E:$E,E1009,'単価履歴'!$F:$F,F1009)=O1009,"●","")</f>
        <v/>
      </c>
      <c r="O1009" s="346">
        <v>45765.2920949074</v>
      </c>
      <c r="P1009" s="334" t="str">
        <f t="shared" si="4"/>
        <v>東鐵岡山:直納Ｈ１(特A)</v>
      </c>
    </row>
    <row r="1010" ht="15.75" customHeight="1">
      <c r="A1010" s="335" t="s">
        <v>2202</v>
      </c>
      <c r="B1010" s="336">
        <v>45765.0</v>
      </c>
      <c r="C1010" s="335" t="s">
        <v>532</v>
      </c>
      <c r="D1010" s="335" t="s">
        <v>77</v>
      </c>
      <c r="E1010" s="337" t="str">
        <f t="shared" si="1"/>
        <v>東鐵岡山:直納</v>
      </c>
      <c r="F1010" s="338" t="s">
        <v>116</v>
      </c>
      <c r="G1010" s="339" t="str">
        <f t="shared" si="2"/>
        <v>東鐵岡山:直納Ｈ２(特級)</v>
      </c>
      <c r="H1010" s="340">
        <f t="shared" si="3"/>
        <v>42</v>
      </c>
      <c r="I1010" s="341">
        <v>-0.5</v>
      </c>
      <c r="J1010" s="332">
        <f>IFERROR(__xludf.DUMMYFUNCTION("IF(IF(COUNTIF(P$2:P1009, P1010)=0, """", INDEX(H$2:H1009,
MAX(FILTER(ROW(H$2:H1009) - ROW(H$2) + 1, P$2:P1009 = P1010))))=""単価"","""",
IF(COUNTIF(P$2:P1009, P1010)=0, """", INDEX(H$2:H1009,
MAX(FILTER(ROW(H$2:H1009) - ROW(H$2) + 1, P$2:P1009 = P1010)))))"),42.5)</f>
        <v>42.5</v>
      </c>
      <c r="N1010" s="335" t="str">
        <f>IF(MAXIFS('単価履歴'!$O:$O,'単価履歴'!$E:$E,E1010,'単価履歴'!$F:$F,F1010)=O1010,"●","")</f>
        <v/>
      </c>
      <c r="O1010" s="346">
        <v>45765.2920949074</v>
      </c>
      <c r="P1010" s="334" t="str">
        <f t="shared" si="4"/>
        <v>東鐵岡山:直納Ｈ２(特級)</v>
      </c>
    </row>
    <row r="1011" ht="15.75" customHeight="1">
      <c r="A1011" s="335" t="s">
        <v>2203</v>
      </c>
      <c r="B1011" s="336">
        <v>45765.0</v>
      </c>
      <c r="C1011" s="335" t="s">
        <v>532</v>
      </c>
      <c r="D1011" s="335" t="s">
        <v>77</v>
      </c>
      <c r="E1011" s="337" t="str">
        <f t="shared" si="1"/>
        <v>東鐵岡山:直納</v>
      </c>
      <c r="F1011" s="338" t="s">
        <v>119</v>
      </c>
      <c r="G1011" s="339" t="str">
        <f t="shared" si="2"/>
        <v>東鐵岡山:直納Ｈ３(1級)</v>
      </c>
      <c r="H1011" s="340">
        <f t="shared" si="3"/>
        <v>41.5</v>
      </c>
      <c r="I1011" s="341">
        <v>-0.5</v>
      </c>
      <c r="J1011" s="332">
        <f>IFERROR(__xludf.DUMMYFUNCTION("IF(IF(COUNTIF(P$2:P1010, P1011)=0, """", INDEX(H$2:H1010,
MAX(FILTER(ROW(H$2:H1010) - ROW(H$2) + 1, P$2:P1010 = P1011))))=""単価"","""",
IF(COUNTIF(P$2:P1010, P1011)=0, """", INDEX(H$2:H1010,
MAX(FILTER(ROW(H$2:H1010) - ROW(H$2) + 1, P$2:P1010 = P1011)))))"),42.0)</f>
        <v>42</v>
      </c>
      <c r="N1011" s="335" t="str">
        <f>IF(MAXIFS('単価履歴'!$O:$O,'単価履歴'!$E:$E,E1011,'単価履歴'!$F:$F,F1011)=O1011,"●","")</f>
        <v/>
      </c>
      <c r="O1011" s="346">
        <v>45765.2920949074</v>
      </c>
      <c r="P1011" s="334" t="str">
        <f t="shared" si="4"/>
        <v>東鐵岡山:直納Ｈ３(1級)</v>
      </c>
    </row>
    <row r="1012" ht="15.75" customHeight="1">
      <c r="A1012" s="335" t="s">
        <v>2204</v>
      </c>
      <c r="B1012" s="336">
        <v>45765.0</v>
      </c>
      <c r="C1012" s="335" t="s">
        <v>532</v>
      </c>
      <c r="D1012" s="335" t="s">
        <v>77</v>
      </c>
      <c r="E1012" s="337" t="str">
        <f t="shared" si="1"/>
        <v>東鐵岡山:直納</v>
      </c>
      <c r="F1012" s="338" t="s">
        <v>1199</v>
      </c>
      <c r="G1012" s="339" t="str">
        <f t="shared" si="2"/>
        <v>東鐵岡山:直納ＨＳ１(単体H1/電特A/HS))</v>
      </c>
      <c r="H1012" s="340">
        <f t="shared" si="3"/>
        <v>44</v>
      </c>
      <c r="I1012" s="341">
        <v>-0.5</v>
      </c>
      <c r="J1012" s="332">
        <f>IFERROR(__xludf.DUMMYFUNCTION("IF(IF(COUNTIF(P$2:P1011, P1012)=0, """", INDEX(H$2:H1011,
MAX(FILTER(ROW(H$2:H1011) - ROW(H$2) + 1, P$2:P1011 = P1012))))=""単価"","""",
IF(COUNTIF(P$2:P1011, P1012)=0, """", INDEX(H$2:H1011,
MAX(FILTER(ROW(H$2:H1011) - ROW(H$2) + 1, P$2:P1011 = P1012)))))"),44.5)</f>
        <v>44.5</v>
      </c>
      <c r="N1012" s="335" t="str">
        <f>IF(MAXIFS('単価履歴'!$O:$O,'単価履歴'!$E:$E,E1012,'単価履歴'!$F:$F,F1012)=O1012,"●","")</f>
        <v/>
      </c>
      <c r="O1012" s="346">
        <v>45765.2920949074</v>
      </c>
      <c r="P1012" s="334" t="str">
        <f t="shared" si="4"/>
        <v>東鐵岡山:直納ＨＳ１(単体H1/電特A/HS))</v>
      </c>
    </row>
    <row r="1013" ht="15.75" customHeight="1">
      <c r="A1013" s="335" t="s">
        <v>2205</v>
      </c>
      <c r="B1013" s="336">
        <v>45765.0</v>
      </c>
      <c r="C1013" s="335" t="s">
        <v>532</v>
      </c>
      <c r="D1013" s="335" t="s">
        <v>77</v>
      </c>
      <c r="E1013" s="337" t="str">
        <f t="shared" si="1"/>
        <v>東鐵岡山:直納</v>
      </c>
      <c r="F1013" s="338" t="s">
        <v>122</v>
      </c>
      <c r="G1013" s="339" t="str">
        <f t="shared" si="2"/>
        <v>東鐵岡山:直納Ｌ１(2級)</v>
      </c>
      <c r="H1013" s="340">
        <f t="shared" si="3"/>
        <v>40</v>
      </c>
      <c r="I1013" s="341">
        <v>-0.5</v>
      </c>
      <c r="J1013" s="332">
        <f>IFERROR(__xludf.DUMMYFUNCTION("IF(IF(COUNTIF(P$2:P1012, P1013)=0, """", INDEX(H$2:H1012,
MAX(FILTER(ROW(H$2:H1012) - ROW(H$2) + 1, P$2:P1012 = P1013))))=""単価"","""",
IF(COUNTIF(P$2:P1012, P1013)=0, """", INDEX(H$2:H1012,
MAX(FILTER(ROW(H$2:H1012) - ROW(H$2) + 1, P$2:P1012 = P1013)))))"),40.5)</f>
        <v>40.5</v>
      </c>
      <c r="N1013" s="335" t="str">
        <f>IF(MAXIFS('単価履歴'!$O:$O,'単価履歴'!$E:$E,E1013,'単価履歴'!$F:$F,F1013)=O1013,"●","")</f>
        <v/>
      </c>
      <c r="O1013" s="346">
        <v>45765.2920949074</v>
      </c>
      <c r="P1013" s="334" t="str">
        <f t="shared" si="4"/>
        <v>東鐵岡山:直納Ｌ１(2級)</v>
      </c>
    </row>
    <row r="1014" ht="15.75" customHeight="1">
      <c r="A1014" s="335" t="s">
        <v>2206</v>
      </c>
      <c r="B1014" s="336">
        <v>45765.0</v>
      </c>
      <c r="C1014" s="335" t="s">
        <v>532</v>
      </c>
      <c r="D1014" s="335" t="s">
        <v>77</v>
      </c>
      <c r="E1014" s="337" t="str">
        <f t="shared" si="1"/>
        <v>東鐵岡山:直納</v>
      </c>
      <c r="F1014" s="338" t="s">
        <v>573</v>
      </c>
      <c r="G1014" s="339" t="str">
        <f t="shared" si="2"/>
        <v>東鐵岡山:直納Ｌ２(H4･級外･L1ﾊﾞﾗ)</v>
      </c>
      <c r="H1014" s="340">
        <f t="shared" si="3"/>
        <v>37</v>
      </c>
      <c r="I1014" s="341">
        <v>-0.5</v>
      </c>
      <c r="J1014" s="332">
        <f>IFERROR(__xludf.DUMMYFUNCTION("IF(IF(COUNTIF(P$2:P1013, P1014)=0, """", INDEX(H$2:H1013,
MAX(FILTER(ROW(H$2:H1013) - ROW(H$2) + 1, P$2:P1013 = P1014))))=""単価"","""",
IF(COUNTIF(P$2:P1013, P1014)=0, """", INDEX(H$2:H1013,
MAX(FILTER(ROW(H$2:H1013) - ROW(H$2) + 1, P$2:P1013 = P1014)))))"),37.5)</f>
        <v>37.5</v>
      </c>
      <c r="N1014" s="335" t="str">
        <f>IF(MAXIFS('単価履歴'!$O:$O,'単価履歴'!$E:$E,E1014,'単価履歴'!$F:$F,F1014)=O1014,"●","")</f>
        <v/>
      </c>
      <c r="O1014" s="346">
        <v>45765.2920949074</v>
      </c>
      <c r="P1014" s="334" t="str">
        <f t="shared" si="4"/>
        <v>東鐵岡山:直納Ｌ２(H4･級外･L1ﾊﾞﾗ)</v>
      </c>
    </row>
    <row r="1015" ht="15.75" customHeight="1">
      <c r="A1015" s="335" t="s">
        <v>2207</v>
      </c>
      <c r="B1015" s="336">
        <v>45765.0</v>
      </c>
      <c r="C1015" s="335" t="s">
        <v>532</v>
      </c>
      <c r="D1015" s="335" t="s">
        <v>77</v>
      </c>
      <c r="E1015" s="337" t="str">
        <f t="shared" si="1"/>
        <v>東鐵岡山:直納</v>
      </c>
      <c r="F1015" s="338" t="s">
        <v>145</v>
      </c>
      <c r="G1015" s="339" t="str">
        <f t="shared" si="2"/>
        <v>東鐵岡山:直納シュレＡ</v>
      </c>
      <c r="H1015" s="340">
        <f t="shared" si="3"/>
        <v>42.5</v>
      </c>
      <c r="I1015" s="341">
        <v>-0.5</v>
      </c>
      <c r="J1015" s="332">
        <f>IFERROR(__xludf.DUMMYFUNCTION("IF(IF(COUNTIF(P$2:P1014, P1015)=0, """", INDEX(H$2:H1014,
MAX(FILTER(ROW(H$2:H1014) - ROW(H$2) + 1, P$2:P1014 = P1015))))=""単価"","""",
IF(COUNTIF(P$2:P1014, P1015)=0, """", INDEX(H$2:H1014,
MAX(FILTER(ROW(H$2:H1014) - ROW(H$2) + 1, P$2:P1014 = P1015)))))"),43.0)</f>
        <v>43</v>
      </c>
      <c r="N1015" s="335" t="str">
        <f>IF(MAXIFS('単価履歴'!$O:$O,'単価履歴'!$E:$E,E1015,'単価履歴'!$F:$F,F1015)=O1015,"●","")</f>
        <v/>
      </c>
      <c r="O1015" s="346">
        <v>45765.2920949074</v>
      </c>
      <c r="P1015" s="334" t="str">
        <f t="shared" si="4"/>
        <v>東鐵岡山:直納シュレＡ</v>
      </c>
    </row>
    <row r="1016" ht="15.75" customHeight="1">
      <c r="A1016" s="335" t="s">
        <v>2208</v>
      </c>
      <c r="B1016" s="336">
        <v>45765.0</v>
      </c>
      <c r="C1016" s="335" t="s">
        <v>532</v>
      </c>
      <c r="D1016" s="335" t="s">
        <v>77</v>
      </c>
      <c r="E1016" s="337" t="str">
        <f t="shared" si="1"/>
        <v>東鐵岡山:直納</v>
      </c>
      <c r="F1016" s="338" t="s">
        <v>151</v>
      </c>
      <c r="G1016" s="339" t="str">
        <f t="shared" si="2"/>
        <v>東鐵岡山:直納シュレＣ</v>
      </c>
      <c r="H1016" s="340">
        <f t="shared" si="3"/>
        <v>42</v>
      </c>
      <c r="I1016" s="341">
        <v>-0.5</v>
      </c>
      <c r="J1016" s="332">
        <f>IFERROR(__xludf.DUMMYFUNCTION("IF(IF(COUNTIF(P$2:P1015, P1016)=0, """", INDEX(H$2:H1015,
MAX(FILTER(ROW(H$2:H1015) - ROW(H$2) + 1, P$2:P1015 = P1016))))=""単価"","""",
IF(COUNTIF(P$2:P1015, P1016)=0, """", INDEX(H$2:H1015,
MAX(FILTER(ROW(H$2:H1015) - ROW(H$2) + 1, P$2:P1015 = P1016)))))"),42.5)</f>
        <v>42.5</v>
      </c>
      <c r="N1016" s="335" t="str">
        <f>IF(MAXIFS('単価履歴'!$O:$O,'単価履歴'!$E:$E,E1016,'単価履歴'!$F:$F,F1016)=O1016,"●","")</f>
        <v/>
      </c>
      <c r="O1016" s="346">
        <v>45765.2920949074</v>
      </c>
      <c r="P1016" s="334" t="str">
        <f t="shared" si="4"/>
        <v>東鐵岡山:直納シュレＣ</v>
      </c>
    </row>
    <row r="1017" ht="15.75" customHeight="1">
      <c r="A1017" s="335" t="s">
        <v>2209</v>
      </c>
      <c r="B1017" s="336">
        <v>45765.0</v>
      </c>
      <c r="C1017" s="335" t="s">
        <v>532</v>
      </c>
      <c r="D1017" s="335" t="s">
        <v>77</v>
      </c>
      <c r="E1017" s="337" t="str">
        <f t="shared" si="1"/>
        <v>東鐵岡山:直納</v>
      </c>
      <c r="F1017" s="338" t="s">
        <v>575</v>
      </c>
      <c r="G1017" s="339" t="str">
        <f t="shared" si="2"/>
        <v>東鐵岡山:直納鋼ダライＡ</v>
      </c>
      <c r="H1017" s="340">
        <f t="shared" si="3"/>
        <v>38</v>
      </c>
      <c r="I1017" s="341">
        <v>-0.5</v>
      </c>
      <c r="J1017" s="332">
        <f>IFERROR(__xludf.DUMMYFUNCTION("IF(IF(COUNTIF(P$2:P1016, P1017)=0, """", INDEX(H$2:H1016,
MAX(FILTER(ROW(H$2:H1016) - ROW(H$2) + 1, P$2:P1016 = P1017))))=""単価"","""",
IF(COUNTIF(P$2:P1016, P1017)=0, """", INDEX(H$2:H1016,
MAX(FILTER(ROW(H$2:H1016) - ROW(H$2) + 1, P$2:P1016 = P1017)))))"),38.5)</f>
        <v>38.5</v>
      </c>
      <c r="N1017" s="335" t="str">
        <f>IF(MAXIFS('単価履歴'!$O:$O,'単価履歴'!$E:$E,E1017,'単価履歴'!$F:$F,F1017)=O1017,"●","")</f>
        <v/>
      </c>
      <c r="O1017" s="346">
        <v>45765.2920949074</v>
      </c>
      <c r="P1017" s="334" t="str">
        <f t="shared" si="4"/>
        <v>東鐵岡山:直納鋼ダライＡ</v>
      </c>
    </row>
    <row r="1018" ht="15.75" customHeight="1">
      <c r="A1018" s="335" t="s">
        <v>2210</v>
      </c>
      <c r="B1018" s="336">
        <v>45765.0</v>
      </c>
      <c r="C1018" s="335" t="s">
        <v>532</v>
      </c>
      <c r="D1018" s="335" t="s">
        <v>77</v>
      </c>
      <c r="E1018" s="337" t="str">
        <f t="shared" si="1"/>
        <v>東鐵岡山:直納</v>
      </c>
      <c r="F1018" s="338" t="s">
        <v>130</v>
      </c>
      <c r="G1018" s="339" t="str">
        <f t="shared" si="2"/>
        <v>東鐵岡山:直納新断Ａ</v>
      </c>
      <c r="H1018" s="340">
        <f t="shared" si="3"/>
        <v>43</v>
      </c>
      <c r="I1018" s="341">
        <v>-0.5</v>
      </c>
      <c r="J1018" s="332">
        <f>IFERROR(__xludf.DUMMYFUNCTION("IF(IF(COUNTIF(P$2:P1017, P1018)=0, """", INDEX(H$2:H1017,
MAX(FILTER(ROW(H$2:H1017) - ROW(H$2) + 1, P$2:P1017 = P1018))))=""単価"","""",
IF(COUNTIF(P$2:P1017, P1018)=0, """", INDEX(H$2:H1017,
MAX(FILTER(ROW(H$2:H1017) - ROW(H$2) + 1, P$2:P1017 = P1018)))))"),43.5)</f>
        <v>43.5</v>
      </c>
      <c r="N1018" s="335" t="str">
        <f>IF(MAXIFS('単価履歴'!$O:$O,'単価履歴'!$E:$E,E1018,'単価履歴'!$F:$F,F1018)=O1018,"●","")</f>
        <v/>
      </c>
      <c r="O1018" s="346">
        <v>45765.2920949074</v>
      </c>
      <c r="P1018" s="334" t="str">
        <f t="shared" si="4"/>
        <v>東鐵岡山:直納新断Ａ</v>
      </c>
    </row>
    <row r="1019" ht="15.75" customHeight="1">
      <c r="A1019" s="335" t="s">
        <v>2211</v>
      </c>
      <c r="B1019" s="336">
        <v>45765.0</v>
      </c>
      <c r="C1019" s="335" t="s">
        <v>532</v>
      </c>
      <c r="D1019" s="335" t="s">
        <v>77</v>
      </c>
      <c r="E1019" s="337" t="str">
        <f t="shared" si="1"/>
        <v>東鐵岡山:直納</v>
      </c>
      <c r="F1019" s="338" t="s">
        <v>131</v>
      </c>
      <c r="G1019" s="339" t="str">
        <f t="shared" si="2"/>
        <v>東鐵岡山:直納新断Ｂ</v>
      </c>
      <c r="H1019" s="340">
        <f t="shared" si="3"/>
        <v>43</v>
      </c>
      <c r="I1019" s="341">
        <v>-0.5</v>
      </c>
      <c r="J1019" s="332">
        <f>IFERROR(__xludf.DUMMYFUNCTION("IF(IF(COUNTIF(P$2:P1018, P1019)=0, """", INDEX(H$2:H1018,
MAX(FILTER(ROW(H$2:H1018) - ROW(H$2) + 1, P$2:P1018 = P1019))))=""単価"","""",
IF(COUNTIF(P$2:P1018, P1019)=0, """", INDEX(H$2:H1018,
MAX(FILTER(ROW(H$2:H1018) - ROW(H$2) + 1, P$2:P1018 = P1019)))))"),43.5)</f>
        <v>43.5</v>
      </c>
      <c r="N1019" s="335" t="str">
        <f>IF(MAXIFS('単価履歴'!$O:$O,'単価履歴'!$E:$E,E1019,'単価履歴'!$F:$F,F1019)=O1019,"●","")</f>
        <v/>
      </c>
      <c r="O1019" s="346">
        <v>45765.2920949074</v>
      </c>
      <c r="P1019" s="334" t="str">
        <f t="shared" si="4"/>
        <v>東鐵岡山:直納新断Ｂ</v>
      </c>
    </row>
    <row r="1020" ht="15.75" customHeight="1">
      <c r="A1020" s="335" t="s">
        <v>2212</v>
      </c>
      <c r="B1020" s="336">
        <v>45765.0</v>
      </c>
      <c r="C1020" s="335" t="s">
        <v>532</v>
      </c>
      <c r="D1020" s="335" t="s">
        <v>77</v>
      </c>
      <c r="E1020" s="337" t="str">
        <f t="shared" si="1"/>
        <v>東鐵岡山:直納</v>
      </c>
      <c r="F1020" s="338" t="s">
        <v>25</v>
      </c>
      <c r="G1020" s="339" t="str">
        <f t="shared" si="2"/>
        <v>東鐵岡山:直納銑ダライ</v>
      </c>
      <c r="H1020" s="340">
        <f t="shared" si="3"/>
        <v>34.5</v>
      </c>
      <c r="I1020" s="341">
        <v>-0.5</v>
      </c>
      <c r="J1020" s="332">
        <f>IFERROR(__xludf.DUMMYFUNCTION("IF(IF(COUNTIF(P$2:P1019, P1020)=0, """", INDEX(H$2:H1019,
MAX(FILTER(ROW(H$2:H1019) - ROW(H$2) + 1, P$2:P1019 = P1020))))=""単価"","""",
IF(COUNTIF(P$2:P1019, P1020)=0, """", INDEX(H$2:H1019,
MAX(FILTER(ROW(H$2:H1019) - ROW(H$2) + 1, P$2:P1019 = P1020)))))"),35.0)</f>
        <v>35</v>
      </c>
      <c r="N1020" s="335" t="str">
        <f>IF(MAXIFS('単価履歴'!$O:$O,'単価履歴'!$E:$E,E1020,'単価履歴'!$F:$F,F1020)=O1020,"●","")</f>
        <v/>
      </c>
      <c r="O1020" s="346">
        <v>45765.2920949074</v>
      </c>
      <c r="P1020" s="334" t="str">
        <f t="shared" si="4"/>
        <v>東鐵岡山:直納銑ダライ</v>
      </c>
    </row>
    <row r="1021">
      <c r="A1021" s="335" t="s">
        <v>2213</v>
      </c>
      <c r="B1021" s="336">
        <v>45765.0</v>
      </c>
      <c r="C1021" s="335" t="s">
        <v>28</v>
      </c>
      <c r="D1021" s="335" t="s">
        <v>52</v>
      </c>
      <c r="E1021" s="337" t="str">
        <f t="shared" si="1"/>
        <v>ＪＦＥ条鋼:リバイブ</v>
      </c>
      <c r="F1021" s="338" t="s">
        <v>154</v>
      </c>
      <c r="G1021" s="339" t="str">
        <f t="shared" si="2"/>
        <v>ＪＦＥ条鋼:リバイブＣＰ Ａ</v>
      </c>
      <c r="H1021" s="340">
        <f t="shared" si="3"/>
        <v>44.5</v>
      </c>
      <c r="I1021" s="341">
        <v>-0.5</v>
      </c>
      <c r="J1021" s="332">
        <f>IFERROR(__xludf.DUMMYFUNCTION("IF(IF(COUNTIF(P$2:P1020, P1021)=0, """", INDEX(H$2:H1020,
MAX(FILTER(ROW(H$2:H1020) - ROW(H$2) + 1, P$2:P1020 = P1021))))=""単価"","""",
IF(COUNTIF(P$2:P1020, P1021)=0, """", INDEX(H$2:H1020,
MAX(FILTER(ROW(H$2:H1020) - ROW(H$2) + 1, P$2:P1020 = P1021)))))"),45.0)</f>
        <v>45</v>
      </c>
      <c r="N1021" s="335" t="str">
        <f>IF(MAXIFS('単価履歴'!$O:$O,'単価履歴'!$E:$E,E1021,'単価履歴'!$F:$F,F1021)=O1021,"●","")</f>
        <v/>
      </c>
      <c r="O1021" s="346">
        <v>45768.379375000004</v>
      </c>
      <c r="P1021" s="334" t="str">
        <f t="shared" si="4"/>
        <v>ＪＦＥ条鋼:リバイブＣＰ Ａ</v>
      </c>
    </row>
    <row r="1022" ht="15.75" customHeight="1">
      <c r="A1022" s="335" t="s">
        <v>2214</v>
      </c>
      <c r="B1022" s="336">
        <v>45765.0</v>
      </c>
      <c r="C1022" s="335" t="s">
        <v>28</v>
      </c>
      <c r="D1022" s="335" t="s">
        <v>52</v>
      </c>
      <c r="E1022" s="337" t="str">
        <f t="shared" si="1"/>
        <v>ＪＦＥ条鋼:リバイブ</v>
      </c>
      <c r="F1022" s="338" t="s">
        <v>111</v>
      </c>
      <c r="G1022" s="339" t="str">
        <f t="shared" si="2"/>
        <v>ＪＦＥ条鋼:リバイブＨ１(特A)</v>
      </c>
      <c r="H1022" s="340">
        <f t="shared" si="3"/>
        <v>42</v>
      </c>
      <c r="I1022" s="335">
        <v>-0.5</v>
      </c>
      <c r="J1022" s="332">
        <f>IFERROR(__xludf.DUMMYFUNCTION("IF(IF(COUNTIF(P$2:P1021, P1022)=0, """", INDEX(H$2:H1021,
MAX(FILTER(ROW(H$2:H1021) - ROW(H$2) + 1, P$2:P1021 = P1022))))=""単価"","""",
IF(COUNTIF(P$2:P1021, P1022)=0, """", INDEX(H$2:H1021,
MAX(FILTER(ROW(H$2:H1021) - ROW(H$2) + 1, P$2:P1021 = P1022)))))"),42.5)</f>
        <v>42.5</v>
      </c>
      <c r="N1022" s="335" t="str">
        <f>IF(MAXIFS('単価履歴'!$O:$O,'単価履歴'!$E:$E,E1022,'単価履歴'!$F:$F,F1022)=O1022,"●","")</f>
        <v/>
      </c>
      <c r="O1022" s="346">
        <v>45768.379375000004</v>
      </c>
      <c r="P1022" s="334" t="str">
        <f t="shared" si="4"/>
        <v>ＪＦＥ条鋼:リバイブＨ１(特A)</v>
      </c>
    </row>
    <row r="1023" ht="15.75" customHeight="1">
      <c r="A1023" s="335" t="s">
        <v>2215</v>
      </c>
      <c r="B1023" s="336">
        <v>45765.0</v>
      </c>
      <c r="C1023" s="335" t="s">
        <v>28</v>
      </c>
      <c r="D1023" s="335" t="s">
        <v>52</v>
      </c>
      <c r="E1023" s="337" t="str">
        <f t="shared" si="1"/>
        <v>ＪＦＥ条鋼:リバイブ</v>
      </c>
      <c r="F1023" s="338" t="s">
        <v>116</v>
      </c>
      <c r="G1023" s="339" t="str">
        <f t="shared" si="2"/>
        <v>ＪＦＥ条鋼:リバイブＨ２(特級)</v>
      </c>
      <c r="H1023" s="340">
        <f t="shared" si="3"/>
        <v>41</v>
      </c>
      <c r="I1023" s="341">
        <v>-0.5</v>
      </c>
      <c r="J1023" s="332">
        <f>IFERROR(__xludf.DUMMYFUNCTION("IF(IF(COUNTIF(P$2:P1022, P1023)=0, """", INDEX(H$2:H1022,
MAX(FILTER(ROW(H$2:H1022) - ROW(H$2) + 1, P$2:P1022 = P1023))))=""単価"","""",
IF(COUNTIF(P$2:P1022, P1023)=0, """", INDEX(H$2:H1022,
MAX(FILTER(ROW(H$2:H1022) - ROW(H$2) + 1, P$2:P1022 = P1023)))))"),41.5)</f>
        <v>41.5</v>
      </c>
      <c r="N1023" s="335" t="str">
        <f>IF(MAXIFS('単価履歴'!$O:$O,'単価履歴'!$E:$E,E1023,'単価履歴'!$F:$F,F1023)=O1023,"●","")</f>
        <v/>
      </c>
      <c r="O1023" s="346">
        <v>45768.379375000004</v>
      </c>
      <c r="P1023" s="334" t="str">
        <f t="shared" si="4"/>
        <v>ＪＦＥ条鋼:リバイブＨ２(特級)</v>
      </c>
    </row>
    <row r="1024" ht="15.75" customHeight="1">
      <c r="A1024" s="335" t="s">
        <v>2216</v>
      </c>
      <c r="B1024" s="336">
        <v>45765.0</v>
      </c>
      <c r="C1024" s="335" t="s">
        <v>28</v>
      </c>
      <c r="D1024" s="335" t="s">
        <v>52</v>
      </c>
      <c r="E1024" s="337" t="str">
        <f t="shared" si="1"/>
        <v>ＪＦＥ条鋼:リバイブ</v>
      </c>
      <c r="F1024" s="338" t="s">
        <v>119</v>
      </c>
      <c r="G1024" s="339" t="str">
        <f t="shared" si="2"/>
        <v>ＪＦＥ条鋼:リバイブＨ３(1級)</v>
      </c>
      <c r="H1024" s="340">
        <f t="shared" si="3"/>
        <v>40</v>
      </c>
      <c r="I1024" s="341">
        <v>-0.5</v>
      </c>
      <c r="J1024" s="332">
        <f>IFERROR(__xludf.DUMMYFUNCTION("IF(IF(COUNTIF(P$2:P1023, P1024)=0, """", INDEX(H$2:H1023,
MAX(FILTER(ROW(H$2:H1023) - ROW(H$2) + 1, P$2:P1023 = P1024))))=""単価"","""",
IF(COUNTIF(P$2:P1023, P1024)=0, """", INDEX(H$2:H1023,
MAX(FILTER(ROW(H$2:H1023) - ROW(H$2) + 1, P$2:P1023 = P1024)))))"),40.5)</f>
        <v>40.5</v>
      </c>
      <c r="N1024" s="335" t="str">
        <f>IF(MAXIFS('単価履歴'!$O:$O,'単価履歴'!$E:$E,E1024,'単価履歴'!$F:$F,F1024)=O1024,"●","")</f>
        <v/>
      </c>
      <c r="O1024" s="346">
        <v>45768.379375000004</v>
      </c>
      <c r="P1024" s="334" t="str">
        <f t="shared" si="4"/>
        <v>ＪＦＥ条鋼:リバイブＨ３(1級)</v>
      </c>
    </row>
    <row r="1025" ht="15.75" customHeight="1">
      <c r="A1025" s="335" t="s">
        <v>2217</v>
      </c>
      <c r="B1025" s="336">
        <v>45765.0</v>
      </c>
      <c r="C1025" s="335" t="s">
        <v>28</v>
      </c>
      <c r="D1025" s="335" t="s">
        <v>52</v>
      </c>
      <c r="E1025" s="337" t="str">
        <f t="shared" si="1"/>
        <v>ＪＦＥ条鋼:リバイブ</v>
      </c>
      <c r="F1025" s="338" t="s">
        <v>122</v>
      </c>
      <c r="G1025" s="339" t="str">
        <f t="shared" si="2"/>
        <v>ＪＦＥ条鋼:リバイブＬ１(2級)</v>
      </c>
      <c r="H1025" s="340">
        <f t="shared" si="3"/>
        <v>36.8</v>
      </c>
      <c r="I1025" s="341">
        <v>-0.5</v>
      </c>
      <c r="J1025" s="332">
        <f>IFERROR(__xludf.DUMMYFUNCTION("IF(IF(COUNTIF(P$2:P1024, P1025)=0, """", INDEX(H$2:H1024,
MAX(FILTER(ROW(H$2:H1024) - ROW(H$2) + 1, P$2:P1024 = P1025))))=""単価"","""",
IF(COUNTIF(P$2:P1024, P1025)=0, """", INDEX(H$2:H1024,
MAX(FILTER(ROW(H$2:H1024) - ROW(H$2) + 1, P$2:P1024 = P1025)))))"),37.3)</f>
        <v>37.3</v>
      </c>
      <c r="N1025" s="335" t="str">
        <f>IF(MAXIFS('単価履歴'!$O:$O,'単価履歴'!$E:$E,E1025,'単価履歴'!$F:$F,F1025)=O1025,"●","")</f>
        <v/>
      </c>
      <c r="O1025" s="346">
        <v>45768.379375000004</v>
      </c>
      <c r="P1025" s="334" t="str">
        <f t="shared" si="4"/>
        <v>ＪＦＥ条鋼:リバイブＬ１(2級)</v>
      </c>
    </row>
    <row r="1026" ht="15.75" customHeight="1">
      <c r="A1026" s="335" t="s">
        <v>2218</v>
      </c>
      <c r="B1026" s="336">
        <v>45765.0</v>
      </c>
      <c r="C1026" s="335" t="s">
        <v>28</v>
      </c>
      <c r="D1026" s="335" t="s">
        <v>52</v>
      </c>
      <c r="E1026" s="337" t="str">
        <f t="shared" si="1"/>
        <v>ＪＦＥ条鋼:リバイブ</v>
      </c>
      <c r="F1026" s="338" t="s">
        <v>573</v>
      </c>
      <c r="G1026" s="339" t="str">
        <f t="shared" si="2"/>
        <v>ＪＦＥ条鋼:リバイブＬ２(H4･級外･L1ﾊﾞﾗ)</v>
      </c>
      <c r="H1026" s="340">
        <f t="shared" si="3"/>
        <v>40.9</v>
      </c>
      <c r="I1026" s="341">
        <v>-0.5</v>
      </c>
      <c r="J1026" s="332">
        <f>IFERROR(__xludf.DUMMYFUNCTION("IF(IF(COUNTIF(P$2:P1025, P1026)=0, """", INDEX(H$2:H1025,
MAX(FILTER(ROW(H$2:H1025) - ROW(H$2) + 1, P$2:P1025 = P1026))))=""単価"","""",
IF(COUNTIF(P$2:P1025, P1026)=0, """", INDEX(H$2:H1025,
MAX(FILTER(ROW(H$2:H1025) - ROW(H$2) + 1, P$2:P1025 = P1026)))))"),41.4)</f>
        <v>41.4</v>
      </c>
      <c r="N1026" s="335" t="str">
        <f>IF(MAXIFS('単価履歴'!$O:$O,'単価履歴'!$E:$E,E1026,'単価履歴'!$F:$F,F1026)=O1026,"●","")</f>
        <v/>
      </c>
      <c r="O1026" s="346">
        <v>45768.379375000004</v>
      </c>
      <c r="P1026" s="334" t="str">
        <f t="shared" si="4"/>
        <v>ＪＦＥ条鋼:リバイブＬ２(H4･級外･L1ﾊﾞﾗ)</v>
      </c>
    </row>
    <row r="1027" ht="15.75" customHeight="1">
      <c r="A1027" s="335" t="s">
        <v>2219</v>
      </c>
      <c r="B1027" s="336">
        <v>45765.0</v>
      </c>
      <c r="C1027" s="335" t="s">
        <v>28</v>
      </c>
      <c r="D1027" s="335" t="s">
        <v>52</v>
      </c>
      <c r="E1027" s="337" t="str">
        <f t="shared" si="1"/>
        <v>ＪＦＥ条鋼:リバイブ</v>
      </c>
      <c r="F1027" s="338" t="s">
        <v>575</v>
      </c>
      <c r="G1027" s="339" t="str">
        <f t="shared" si="2"/>
        <v>ＪＦＥ条鋼:リバイブ鋼ダライＡ</v>
      </c>
      <c r="H1027" s="340">
        <f t="shared" si="3"/>
        <v>39.5</v>
      </c>
      <c r="I1027" s="341">
        <v>-0.5</v>
      </c>
      <c r="J1027" s="332">
        <f>IFERROR(__xludf.DUMMYFUNCTION("IF(IF(COUNTIF(P$2:P1026, P1027)=0, """", INDEX(H$2:H1026,
MAX(FILTER(ROW(H$2:H1026) - ROW(H$2) + 1, P$2:P1026 = P1027))))=""単価"","""",
IF(COUNTIF(P$2:P1026, P1027)=0, """", INDEX(H$2:H1026,
MAX(FILTER(ROW(H$2:H1026) - ROW(H$2) + 1, P$2:P1026 = P1027)))))"),40.0)</f>
        <v>40</v>
      </c>
      <c r="N1027" s="335" t="str">
        <f>IF(MAXIFS('単価履歴'!$O:$O,'単価履歴'!$E:$E,E1027,'単価履歴'!$F:$F,F1027)=O1027,"●","")</f>
        <v/>
      </c>
      <c r="O1027" s="346">
        <v>45768.379375000004</v>
      </c>
      <c r="P1027" s="334" t="str">
        <f t="shared" si="4"/>
        <v>ＪＦＥ条鋼:リバイブ鋼ダライＡ</v>
      </c>
    </row>
    <row r="1028" ht="15.75" customHeight="1">
      <c r="A1028" s="335" t="s">
        <v>2220</v>
      </c>
      <c r="B1028" s="336">
        <v>45765.0</v>
      </c>
      <c r="C1028" s="335" t="s">
        <v>28</v>
      </c>
      <c r="D1028" s="335" t="s">
        <v>52</v>
      </c>
      <c r="E1028" s="337" t="str">
        <f t="shared" si="1"/>
        <v>ＪＦＥ条鋼:リバイブ</v>
      </c>
      <c r="F1028" s="338" t="s">
        <v>130</v>
      </c>
      <c r="G1028" s="339" t="str">
        <f t="shared" si="2"/>
        <v>ＪＦＥ条鋼:リバイブ新断Ａ</v>
      </c>
      <c r="H1028" s="340">
        <f t="shared" si="3"/>
        <v>46</v>
      </c>
      <c r="I1028" s="341">
        <v>-0.5</v>
      </c>
      <c r="J1028" s="332">
        <f>IFERROR(__xludf.DUMMYFUNCTION("IF(IF(COUNTIF(P$2:P1027, P1028)=0, """", INDEX(H$2:H1027,
MAX(FILTER(ROW(H$2:H1027) - ROW(H$2) + 1, P$2:P1027 = P1028))))=""単価"","""",
IF(COUNTIF(P$2:P1027, P1028)=0, """", INDEX(H$2:H1027,
MAX(FILTER(ROW(H$2:H1027) - ROW(H$2) + 1, P$2:P1027 = P1028)))))"),46.5)</f>
        <v>46.5</v>
      </c>
      <c r="N1028" s="335" t="str">
        <f>IF(MAXIFS('単価履歴'!$O:$O,'単価履歴'!$E:$E,E1028,'単価履歴'!$F:$F,F1028)=O1028,"●","")</f>
        <v/>
      </c>
      <c r="O1028" s="346">
        <v>45768.379375000004</v>
      </c>
      <c r="P1028" s="334" t="str">
        <f t="shared" si="4"/>
        <v>ＪＦＥ条鋼:リバイブ新断Ａ</v>
      </c>
    </row>
    <row r="1029" ht="15.75" customHeight="1">
      <c r="A1029" s="335" t="s">
        <v>2221</v>
      </c>
      <c r="B1029" s="336">
        <v>45765.0</v>
      </c>
      <c r="C1029" s="335" t="s">
        <v>28</v>
      </c>
      <c r="D1029" s="335" t="s">
        <v>52</v>
      </c>
      <c r="E1029" s="337" t="str">
        <f t="shared" si="1"/>
        <v>ＪＦＥ条鋼:リバイブ</v>
      </c>
      <c r="F1029" s="338" t="s">
        <v>131</v>
      </c>
      <c r="G1029" s="339" t="str">
        <f t="shared" si="2"/>
        <v>ＪＦＥ条鋼:リバイブ新断Ｂ</v>
      </c>
      <c r="H1029" s="340">
        <f t="shared" si="3"/>
        <v>45</v>
      </c>
      <c r="I1029" s="341">
        <v>-0.5</v>
      </c>
      <c r="J1029" s="332">
        <f>IFERROR(__xludf.DUMMYFUNCTION("IF(IF(COUNTIF(P$2:P1028, P1029)=0, """", INDEX(H$2:H1028,
MAX(FILTER(ROW(H$2:H1028) - ROW(H$2) + 1, P$2:P1028 = P1029))))=""単価"","""",
IF(COUNTIF(P$2:P1028, P1029)=0, """", INDEX(H$2:H1028,
MAX(FILTER(ROW(H$2:H1028) - ROW(H$2) + 1, P$2:P1028 = P1029)))))"),45.5)</f>
        <v>45.5</v>
      </c>
      <c r="N1029" s="335" t="str">
        <f>IF(MAXIFS('単価履歴'!$O:$O,'単価履歴'!$E:$E,E1029,'単価履歴'!$F:$F,F1029)=O1029,"●","")</f>
        <v/>
      </c>
      <c r="O1029" s="346">
        <v>45768.379375000004</v>
      </c>
      <c r="P1029" s="334" t="str">
        <f t="shared" si="4"/>
        <v>ＪＦＥ条鋼:リバイブ新断Ｂ</v>
      </c>
    </row>
    <row r="1030" ht="15.75" customHeight="1">
      <c r="A1030" s="335" t="s">
        <v>2222</v>
      </c>
      <c r="B1030" s="336">
        <v>45769.0</v>
      </c>
      <c r="C1030" s="335" t="s">
        <v>29</v>
      </c>
      <c r="D1030" s="335" t="s">
        <v>50</v>
      </c>
      <c r="E1030" s="337" t="str">
        <f t="shared" si="1"/>
        <v>南港:産振</v>
      </c>
      <c r="F1030" s="338" t="s">
        <v>145</v>
      </c>
      <c r="G1030" s="339" t="str">
        <f t="shared" si="2"/>
        <v>南港:産振シュレＡ</v>
      </c>
      <c r="H1030" s="340">
        <f t="shared" si="3"/>
        <v>44</v>
      </c>
      <c r="I1030" s="341">
        <v>-0.5</v>
      </c>
      <c r="J1030" s="332">
        <f>IFERROR(__xludf.DUMMYFUNCTION("IF(IF(COUNTIF(P$2:P1029, P1030)=0, """", INDEX(H$2:H1029,
MAX(FILTER(ROW(H$2:H1029) - ROW(H$2) + 1, P$2:P1029 = P1030))))=""単価"","""",
IF(COUNTIF(P$2:P1029, P1030)=0, """", INDEX(H$2:H1029,
MAX(FILTER(ROW(H$2:H1029) - ROW(H$2) + 1, P$2:P1029 = P1030)))))"),44.5)</f>
        <v>44.5</v>
      </c>
      <c r="N1030" s="335" t="str">
        <f>IF(MAXIFS('単価履歴'!$O:$O,'単価履歴'!$E:$E,E1030,'単価履歴'!$F:$F,F1030)=O1030,"●","")</f>
        <v>●</v>
      </c>
      <c r="O1030" s="346">
        <v>45768.6759375</v>
      </c>
      <c r="P1030" s="334" t="str">
        <f t="shared" si="4"/>
        <v>南港:産振シュレＡ</v>
      </c>
    </row>
    <row r="1031" ht="15.75" customHeight="1">
      <c r="A1031" s="335" t="s">
        <v>2223</v>
      </c>
      <c r="B1031" s="336">
        <v>45769.0</v>
      </c>
      <c r="C1031" s="335" t="s">
        <v>531</v>
      </c>
      <c r="D1031" s="335" t="s">
        <v>77</v>
      </c>
      <c r="E1031" s="337" t="str">
        <f t="shared" si="1"/>
        <v>東鐵関西:直納</v>
      </c>
      <c r="F1031" s="338" t="s">
        <v>111</v>
      </c>
      <c r="G1031" s="339" t="str">
        <f t="shared" si="2"/>
        <v>東鐵関西:直納Ｈ１(特A)</v>
      </c>
      <c r="H1031" s="340">
        <f t="shared" si="3"/>
        <v>43.5</v>
      </c>
      <c r="I1031" s="341">
        <v>-0.5</v>
      </c>
      <c r="J1031" s="332">
        <f>IFERROR(__xludf.DUMMYFUNCTION("IF(IF(COUNTIF(P$2:P1030, P1031)=0, """", INDEX(H$2:H1030,
MAX(FILTER(ROW(H$2:H1030) - ROW(H$2) + 1, P$2:P1030 = P1031))))=""単価"","""",
IF(COUNTIF(P$2:P1030, P1031)=0, """", INDEX(H$2:H1030,
MAX(FILTER(ROW(H$2:H1030) - ROW(H$2) + 1, P$2:P1030 = P1031)))))"),44.0)</f>
        <v>44</v>
      </c>
      <c r="N1031" s="335" t="str">
        <f>IF(MAXIFS('単価履歴'!$O:$O,'単価履歴'!$E:$E,E1031,'単価履歴'!$F:$F,F1031)=O1031,"●","")</f>
        <v/>
      </c>
      <c r="O1031" s="346">
        <v>45768.682754629626</v>
      </c>
      <c r="P1031" s="334" t="str">
        <f t="shared" si="4"/>
        <v>東鐵関西:直納Ｈ１(特A)</v>
      </c>
    </row>
    <row r="1032" ht="15.75" customHeight="1">
      <c r="A1032" s="335" t="s">
        <v>2224</v>
      </c>
      <c r="B1032" s="336">
        <v>45769.0</v>
      </c>
      <c r="C1032" s="335" t="s">
        <v>531</v>
      </c>
      <c r="D1032" s="335" t="s">
        <v>77</v>
      </c>
      <c r="E1032" s="337" t="str">
        <f t="shared" si="1"/>
        <v>東鐵関西:直納</v>
      </c>
      <c r="F1032" s="338" t="s">
        <v>116</v>
      </c>
      <c r="G1032" s="339" t="str">
        <f t="shared" si="2"/>
        <v>東鐵関西:直納Ｈ２(特級)</v>
      </c>
      <c r="H1032" s="340">
        <f t="shared" si="3"/>
        <v>41.5</v>
      </c>
      <c r="I1032" s="341">
        <v>-0.5</v>
      </c>
      <c r="J1032" s="332">
        <f>IFERROR(__xludf.DUMMYFUNCTION("IF(IF(COUNTIF(P$2:P1031, P1032)=0, """", INDEX(H$2:H1031,
MAX(FILTER(ROW(H$2:H1031) - ROW(H$2) + 1, P$2:P1031 = P1032))))=""単価"","""",
IF(COUNTIF(P$2:P1031, P1032)=0, """", INDEX(H$2:H1031,
MAX(FILTER(ROW(H$2:H1031) - ROW(H$2) + 1, P$2:P1031 = P1032)))))"),42.0)</f>
        <v>42</v>
      </c>
      <c r="N1032" s="335" t="str">
        <f>IF(MAXIFS('単価履歴'!$O:$O,'単価履歴'!$E:$E,E1032,'単価履歴'!$F:$F,F1032)=O1032,"●","")</f>
        <v/>
      </c>
      <c r="O1032" s="346">
        <v>45768.682754629626</v>
      </c>
      <c r="P1032" s="334" t="str">
        <f t="shared" si="4"/>
        <v>東鐵関西:直納Ｈ２(特級)</v>
      </c>
    </row>
    <row r="1033" ht="15.75" customHeight="1">
      <c r="A1033" s="335" t="s">
        <v>2225</v>
      </c>
      <c r="B1033" s="336">
        <v>45769.0</v>
      </c>
      <c r="C1033" s="335" t="s">
        <v>531</v>
      </c>
      <c r="D1033" s="335" t="s">
        <v>77</v>
      </c>
      <c r="E1033" s="337" t="str">
        <f t="shared" si="1"/>
        <v>東鐵関西:直納</v>
      </c>
      <c r="F1033" s="338" t="s">
        <v>119</v>
      </c>
      <c r="G1033" s="339" t="str">
        <f t="shared" si="2"/>
        <v>東鐵関西:直納Ｈ３(1級)</v>
      </c>
      <c r="H1033" s="340">
        <f t="shared" si="3"/>
        <v>41.5</v>
      </c>
      <c r="I1033" s="341">
        <v>-0.5</v>
      </c>
      <c r="J1033" s="332">
        <f>IFERROR(__xludf.DUMMYFUNCTION("IF(IF(COUNTIF(P$2:P1032, P1033)=0, """", INDEX(H$2:H1032,
MAX(FILTER(ROW(H$2:H1032) - ROW(H$2) + 1, P$2:P1032 = P1033))))=""単価"","""",
IF(COUNTIF(P$2:P1032, P1033)=0, """", INDEX(H$2:H1032,
MAX(FILTER(ROW(H$2:H1032) - ROW(H$2) + 1, P$2:P1032 = P1033)))))"),42.0)</f>
        <v>42</v>
      </c>
      <c r="N1033" s="335" t="str">
        <f>IF(MAXIFS('単価履歴'!$O:$O,'単価履歴'!$E:$E,E1033,'単価履歴'!$F:$F,F1033)=O1033,"●","")</f>
        <v/>
      </c>
      <c r="O1033" s="346">
        <v>45768.682754629626</v>
      </c>
      <c r="P1033" s="334" t="str">
        <f t="shared" si="4"/>
        <v>東鐵関西:直納Ｈ３(1級)</v>
      </c>
    </row>
    <row r="1034" ht="15.75" customHeight="1">
      <c r="A1034" s="335" t="s">
        <v>2226</v>
      </c>
      <c r="B1034" s="336">
        <v>45769.0</v>
      </c>
      <c r="C1034" s="335" t="s">
        <v>531</v>
      </c>
      <c r="D1034" s="335" t="s">
        <v>77</v>
      </c>
      <c r="E1034" s="337" t="str">
        <f t="shared" si="1"/>
        <v>東鐵関西:直納</v>
      </c>
      <c r="F1034" s="338" t="s">
        <v>1199</v>
      </c>
      <c r="G1034" s="339" t="str">
        <f t="shared" si="2"/>
        <v>東鐵関西:直納ＨＳ１(単体H1/電特A/HS))</v>
      </c>
      <c r="H1034" s="340">
        <f t="shared" si="3"/>
        <v>44</v>
      </c>
      <c r="I1034" s="341">
        <v>-0.5</v>
      </c>
      <c r="J1034" s="332">
        <f>IFERROR(__xludf.DUMMYFUNCTION("IF(IF(COUNTIF(P$2:P1033, P1034)=0, """", INDEX(H$2:H1033,
MAX(FILTER(ROW(H$2:H1033) - ROW(H$2) + 1, P$2:P1033 = P1034))))=""単価"","""",
IF(COUNTIF(P$2:P1033, P1034)=0, """", INDEX(H$2:H1033,
MAX(FILTER(ROW(H$2:H1033) - ROW(H$2) + 1, P$2:P1033 = P1034)))))"),44.5)</f>
        <v>44.5</v>
      </c>
      <c r="N1034" s="335" t="str">
        <f>IF(MAXIFS('単価履歴'!$O:$O,'単価履歴'!$E:$E,E1034,'単価履歴'!$F:$F,F1034)=O1034,"●","")</f>
        <v/>
      </c>
      <c r="O1034" s="346">
        <v>45768.682754629626</v>
      </c>
      <c r="P1034" s="334" t="str">
        <f t="shared" si="4"/>
        <v>東鐵関西:直納ＨＳ１(単体H1/電特A/HS))</v>
      </c>
    </row>
    <row r="1035" ht="15.75" customHeight="1">
      <c r="A1035" s="335" t="s">
        <v>2227</v>
      </c>
      <c r="B1035" s="336">
        <v>45769.0</v>
      </c>
      <c r="C1035" s="335" t="s">
        <v>531</v>
      </c>
      <c r="D1035" s="335" t="s">
        <v>77</v>
      </c>
      <c r="E1035" s="337" t="str">
        <f t="shared" si="1"/>
        <v>東鐵関西:直納</v>
      </c>
      <c r="F1035" s="338" t="s">
        <v>122</v>
      </c>
      <c r="G1035" s="339" t="str">
        <f t="shared" si="2"/>
        <v>東鐵関西:直納Ｌ１(2級)</v>
      </c>
      <c r="H1035" s="340">
        <f t="shared" si="3"/>
        <v>39.5</v>
      </c>
      <c r="I1035" s="341">
        <v>-0.5</v>
      </c>
      <c r="J1035" s="332">
        <f>IFERROR(__xludf.DUMMYFUNCTION("IF(IF(COUNTIF(P$2:P1034, P1035)=0, """", INDEX(H$2:H1034,
MAX(FILTER(ROW(H$2:H1034) - ROW(H$2) + 1, P$2:P1034 = P1035))))=""単価"","""",
IF(COUNTIF(P$2:P1034, P1035)=0, """", INDEX(H$2:H1034,
MAX(FILTER(ROW(H$2:H1034) - ROW(H$2) + 1, P$2:P1034 = P1035)))))"),40.0)</f>
        <v>40</v>
      </c>
      <c r="N1035" s="335" t="str">
        <f>IF(MAXIFS('単価履歴'!$O:$O,'単価履歴'!$E:$E,E1035,'単価履歴'!$F:$F,F1035)=O1035,"●","")</f>
        <v/>
      </c>
      <c r="O1035" s="346">
        <v>45768.682754629626</v>
      </c>
      <c r="P1035" s="334" t="str">
        <f t="shared" si="4"/>
        <v>東鐵関西:直納Ｌ１(2級)</v>
      </c>
    </row>
    <row r="1036" ht="15.75" customHeight="1">
      <c r="A1036" s="335" t="s">
        <v>2228</v>
      </c>
      <c r="B1036" s="336">
        <v>45769.0</v>
      </c>
      <c r="C1036" s="335" t="s">
        <v>531</v>
      </c>
      <c r="D1036" s="335" t="s">
        <v>77</v>
      </c>
      <c r="E1036" s="337" t="str">
        <f t="shared" si="1"/>
        <v>東鐵関西:直納</v>
      </c>
      <c r="F1036" s="338" t="s">
        <v>573</v>
      </c>
      <c r="G1036" s="339" t="str">
        <f t="shared" si="2"/>
        <v>東鐵関西:直納Ｌ２(H4･級外･L1ﾊﾞﾗ)</v>
      </c>
      <c r="H1036" s="340">
        <f t="shared" si="3"/>
        <v>36.5</v>
      </c>
      <c r="I1036" s="341">
        <v>-0.5</v>
      </c>
      <c r="J1036" s="332">
        <f>IFERROR(__xludf.DUMMYFUNCTION("IF(IF(COUNTIF(P$2:P1035, P1036)=0, """", INDEX(H$2:H1035,
MAX(FILTER(ROW(H$2:H1035) - ROW(H$2) + 1, P$2:P1035 = P1036))))=""単価"","""",
IF(COUNTIF(P$2:P1035, P1036)=0, """", INDEX(H$2:H1035,
MAX(FILTER(ROW(H$2:H1035) - ROW(H$2) + 1, P$2:P1035 = P1036)))))"),37.0)</f>
        <v>37</v>
      </c>
      <c r="N1036" s="335" t="str">
        <f>IF(MAXIFS('単価履歴'!$O:$O,'単価履歴'!$E:$E,E1036,'単価履歴'!$F:$F,F1036)=O1036,"●","")</f>
        <v/>
      </c>
      <c r="O1036" s="346">
        <v>45768.682754629626</v>
      </c>
      <c r="P1036" s="334" t="str">
        <f t="shared" si="4"/>
        <v>東鐵関西:直納Ｌ２(H4･級外･L1ﾊﾞﾗ)</v>
      </c>
    </row>
    <row r="1037" ht="15.75" customHeight="1">
      <c r="A1037" s="335" t="s">
        <v>2229</v>
      </c>
      <c r="B1037" s="336">
        <v>45769.0</v>
      </c>
      <c r="C1037" s="335" t="s">
        <v>531</v>
      </c>
      <c r="D1037" s="335" t="s">
        <v>77</v>
      </c>
      <c r="E1037" s="337" t="str">
        <f t="shared" si="1"/>
        <v>東鐵関西:直納</v>
      </c>
      <c r="F1037" s="338" t="s">
        <v>145</v>
      </c>
      <c r="G1037" s="339" t="str">
        <f t="shared" si="2"/>
        <v>東鐵関西:直納シュレＡ</v>
      </c>
      <c r="H1037" s="340">
        <f t="shared" si="3"/>
        <v>43.5</v>
      </c>
      <c r="I1037" s="341">
        <v>-0.5</v>
      </c>
      <c r="J1037" s="332">
        <f>IFERROR(__xludf.DUMMYFUNCTION("IF(IF(COUNTIF(P$2:P1036, P1037)=0, """", INDEX(H$2:H1036,
MAX(FILTER(ROW(H$2:H1036) - ROW(H$2) + 1, P$2:P1036 = P1037))))=""単価"","""",
IF(COUNTIF(P$2:P1036, P1037)=0, """", INDEX(H$2:H1036,
MAX(FILTER(ROW(H$2:H1036) - ROW(H$2) + 1, P$2:P1036 = P1037)))))"),44.0)</f>
        <v>44</v>
      </c>
      <c r="N1037" s="335" t="str">
        <f>IF(MAXIFS('単価履歴'!$O:$O,'単価履歴'!$E:$E,E1037,'単価履歴'!$F:$F,F1037)=O1037,"●","")</f>
        <v/>
      </c>
      <c r="O1037" s="346">
        <v>45768.682754629626</v>
      </c>
      <c r="P1037" s="334" t="str">
        <f t="shared" si="4"/>
        <v>東鐵関西:直納シュレＡ</v>
      </c>
    </row>
    <row r="1038" ht="15.75" customHeight="1">
      <c r="A1038" s="335" t="s">
        <v>2230</v>
      </c>
      <c r="B1038" s="336">
        <v>45769.0</v>
      </c>
      <c r="C1038" s="335" t="s">
        <v>531</v>
      </c>
      <c r="D1038" s="335" t="s">
        <v>77</v>
      </c>
      <c r="E1038" s="337" t="str">
        <f t="shared" si="1"/>
        <v>東鐵関西:直納</v>
      </c>
      <c r="F1038" s="338" t="s">
        <v>151</v>
      </c>
      <c r="G1038" s="339" t="str">
        <f t="shared" si="2"/>
        <v>東鐵関西:直納シュレＣ</v>
      </c>
      <c r="H1038" s="340">
        <f t="shared" si="3"/>
        <v>42.5</v>
      </c>
      <c r="I1038" s="341">
        <v>-0.5</v>
      </c>
      <c r="J1038" s="332">
        <f>IFERROR(__xludf.DUMMYFUNCTION("IF(IF(COUNTIF(P$2:P1037, P1038)=0, """", INDEX(H$2:H1037,
MAX(FILTER(ROW(H$2:H1037) - ROW(H$2) + 1, P$2:P1037 = P1038))))=""単価"","""",
IF(COUNTIF(P$2:P1037, P1038)=0, """", INDEX(H$2:H1037,
MAX(FILTER(ROW(H$2:H1037) - ROW(H$2) + 1, P$2:P1037 = P1038)))))"),43.0)</f>
        <v>43</v>
      </c>
      <c r="N1038" s="335" t="str">
        <f>IF(MAXIFS('単価履歴'!$O:$O,'単価履歴'!$E:$E,E1038,'単価履歴'!$F:$F,F1038)=O1038,"●","")</f>
        <v/>
      </c>
      <c r="O1038" s="346">
        <v>45768.682754629626</v>
      </c>
      <c r="P1038" s="334" t="str">
        <f t="shared" si="4"/>
        <v>東鐵関西:直納シュレＣ</v>
      </c>
    </row>
    <row r="1039" ht="15.75" customHeight="1">
      <c r="A1039" s="335" t="s">
        <v>2231</v>
      </c>
      <c r="B1039" s="336">
        <v>45769.0</v>
      </c>
      <c r="C1039" s="335" t="s">
        <v>536</v>
      </c>
      <c r="D1039" s="335" t="s">
        <v>77</v>
      </c>
      <c r="E1039" s="337" t="str">
        <f t="shared" si="1"/>
        <v>東鐵田原:直納</v>
      </c>
      <c r="F1039" s="338" t="s">
        <v>154</v>
      </c>
      <c r="G1039" s="339" t="str">
        <f t="shared" si="2"/>
        <v>東鐵田原:直納ＣＰ Ａ</v>
      </c>
      <c r="H1039" s="340">
        <f t="shared" si="3"/>
        <v>41</v>
      </c>
      <c r="I1039" s="341">
        <v>-0.5</v>
      </c>
      <c r="J1039" s="332">
        <f>IFERROR(__xludf.DUMMYFUNCTION("IF(IF(COUNTIF(P$2:P1038, P1039)=0, """", INDEX(H$2:H1038,
MAX(FILTER(ROW(H$2:H1038) - ROW(H$2) + 1, P$2:P1038 = P1039))))=""単価"","""",
IF(COUNTIF(P$2:P1038, P1039)=0, """", INDEX(H$2:H1038,
MAX(FILTER(ROW(H$2:H1038) - ROW(H$2) + 1, P$2:P1038 = P1039)))))"),41.5)</f>
        <v>41.5</v>
      </c>
      <c r="N1039" s="335" t="str">
        <f>IF(MAXIFS('単価履歴'!$O:$O,'単価履歴'!$E:$E,E1039,'単価履歴'!$F:$F,F1039)=O1039,"●","")</f>
        <v/>
      </c>
      <c r="O1039" s="346">
        <v>45768.68336805556</v>
      </c>
      <c r="P1039" s="334" t="str">
        <f t="shared" si="4"/>
        <v>東鐵田原:直納ＣＰ Ａ</v>
      </c>
    </row>
    <row r="1040" ht="15.75" customHeight="1">
      <c r="A1040" s="335" t="s">
        <v>2232</v>
      </c>
      <c r="B1040" s="336">
        <v>45769.0</v>
      </c>
      <c r="C1040" s="335" t="s">
        <v>536</v>
      </c>
      <c r="D1040" s="335" t="s">
        <v>77</v>
      </c>
      <c r="E1040" s="337" t="str">
        <f t="shared" si="1"/>
        <v>東鐵田原:直納</v>
      </c>
      <c r="F1040" s="338" t="s">
        <v>111</v>
      </c>
      <c r="G1040" s="339" t="str">
        <f t="shared" si="2"/>
        <v>東鐵田原:直納Ｈ１(特A)</v>
      </c>
      <c r="H1040" s="340">
        <f t="shared" si="3"/>
        <v>44.2</v>
      </c>
      <c r="I1040" s="341">
        <v>-0.5</v>
      </c>
      <c r="J1040" s="332">
        <f>IFERROR(__xludf.DUMMYFUNCTION("IF(IF(COUNTIF(P$2:P1039, P1040)=0, """", INDEX(H$2:H1039,
MAX(FILTER(ROW(H$2:H1039) - ROW(H$2) + 1, P$2:P1039 = P1040))))=""単価"","""",
IF(COUNTIF(P$2:P1039, P1040)=0, """", INDEX(H$2:H1039,
MAX(FILTER(ROW(H$2:H1039) - ROW(H$2) + 1, P$2:P1039 = P1040)))))"),44.7)</f>
        <v>44.7</v>
      </c>
      <c r="N1040" s="335" t="str">
        <f>IF(MAXIFS('単価履歴'!$O:$O,'単価履歴'!$E:$E,E1040,'単価履歴'!$F:$F,F1040)=O1040,"●","")</f>
        <v/>
      </c>
      <c r="O1040" s="346">
        <v>45768.68336805556</v>
      </c>
      <c r="P1040" s="334" t="str">
        <f t="shared" si="4"/>
        <v>東鐵田原:直納Ｈ１(特A)</v>
      </c>
    </row>
    <row r="1041" ht="15.75" customHeight="1">
      <c r="A1041" s="335" t="s">
        <v>2233</v>
      </c>
      <c r="B1041" s="336">
        <v>45769.0</v>
      </c>
      <c r="C1041" s="335" t="s">
        <v>536</v>
      </c>
      <c r="D1041" s="335" t="s">
        <v>77</v>
      </c>
      <c r="E1041" s="337" t="str">
        <f t="shared" si="1"/>
        <v>東鐵田原:直納</v>
      </c>
      <c r="F1041" s="338" t="s">
        <v>116</v>
      </c>
      <c r="G1041" s="339" t="str">
        <f t="shared" si="2"/>
        <v>東鐵田原:直納Ｈ２(特級)</v>
      </c>
      <c r="H1041" s="340">
        <f t="shared" si="3"/>
        <v>42.5</v>
      </c>
      <c r="I1041" s="341">
        <v>-0.5</v>
      </c>
      <c r="J1041" s="332">
        <f>IFERROR(__xludf.DUMMYFUNCTION("IF(IF(COUNTIF(P$2:P1040, P1041)=0, """", INDEX(H$2:H1040,
MAX(FILTER(ROW(H$2:H1040) - ROW(H$2) + 1, P$2:P1040 = P1041))))=""単価"","""",
IF(COUNTIF(P$2:P1040, P1041)=0, """", INDEX(H$2:H1040,
MAX(FILTER(ROW(H$2:H1040) - ROW(H$2) + 1, P$2:P1040 = P1041)))))"),43.0)</f>
        <v>43</v>
      </c>
      <c r="N1041" s="335" t="str">
        <f>IF(MAXIFS('単価履歴'!$O:$O,'単価履歴'!$E:$E,E1041,'単価履歴'!$F:$F,F1041)=O1041,"●","")</f>
        <v/>
      </c>
      <c r="O1041" s="346">
        <v>45768.68336805556</v>
      </c>
      <c r="P1041" s="334" t="str">
        <f t="shared" si="4"/>
        <v>東鐵田原:直納Ｈ２(特級)</v>
      </c>
    </row>
    <row r="1042" ht="15.75" customHeight="1">
      <c r="A1042" s="335" t="s">
        <v>2234</v>
      </c>
      <c r="B1042" s="336">
        <v>45769.0</v>
      </c>
      <c r="C1042" s="335" t="s">
        <v>536</v>
      </c>
      <c r="D1042" s="335" t="s">
        <v>77</v>
      </c>
      <c r="E1042" s="337" t="str">
        <f t="shared" si="1"/>
        <v>東鐵田原:直納</v>
      </c>
      <c r="F1042" s="338" t="s">
        <v>119</v>
      </c>
      <c r="G1042" s="339" t="str">
        <f t="shared" si="2"/>
        <v>東鐵田原:直納Ｈ３(1級)</v>
      </c>
      <c r="H1042" s="340">
        <f t="shared" si="3"/>
        <v>42</v>
      </c>
      <c r="I1042" s="341">
        <v>-0.5</v>
      </c>
      <c r="J1042" s="332">
        <f>IFERROR(__xludf.DUMMYFUNCTION("IF(IF(COUNTIF(P$2:P1041, P1042)=0, """", INDEX(H$2:H1041,
MAX(FILTER(ROW(H$2:H1041) - ROW(H$2) + 1, P$2:P1041 = P1042))))=""単価"","""",
IF(COUNTIF(P$2:P1041, P1042)=0, """", INDEX(H$2:H1041,
MAX(FILTER(ROW(H$2:H1041) - ROW(H$2) + 1, P$2:P1041 = P1042)))))"),42.5)</f>
        <v>42.5</v>
      </c>
      <c r="N1042" s="335" t="str">
        <f>IF(MAXIFS('単価履歴'!$O:$O,'単価履歴'!$E:$E,E1042,'単価履歴'!$F:$F,F1042)=O1042,"●","")</f>
        <v/>
      </c>
      <c r="O1042" s="346">
        <v>45768.68336805556</v>
      </c>
      <c r="P1042" s="334" t="str">
        <f t="shared" si="4"/>
        <v>東鐵田原:直納Ｈ３(1級)</v>
      </c>
    </row>
    <row r="1043" ht="15.75" customHeight="1">
      <c r="A1043" s="335" t="s">
        <v>2235</v>
      </c>
      <c r="B1043" s="336">
        <v>45769.0</v>
      </c>
      <c r="C1043" s="335" t="s">
        <v>536</v>
      </c>
      <c r="D1043" s="335" t="s">
        <v>77</v>
      </c>
      <c r="E1043" s="337" t="str">
        <f t="shared" si="1"/>
        <v>東鐵田原:直納</v>
      </c>
      <c r="F1043" s="338" t="s">
        <v>1199</v>
      </c>
      <c r="G1043" s="339" t="str">
        <f t="shared" si="2"/>
        <v>東鐵田原:直納ＨＳ１(単体H1/電特A/HS))</v>
      </c>
      <c r="H1043" s="340">
        <f t="shared" si="3"/>
        <v>45</v>
      </c>
      <c r="I1043" s="341">
        <v>-0.5</v>
      </c>
      <c r="J1043" s="332">
        <f>IFERROR(__xludf.DUMMYFUNCTION("IF(IF(COUNTIF(P$2:P1042, P1043)=0, """", INDEX(H$2:H1042,
MAX(FILTER(ROW(H$2:H1042) - ROW(H$2) + 1, P$2:P1042 = P1043))))=""単価"","""",
IF(COUNTIF(P$2:P1042, P1043)=0, """", INDEX(H$2:H1042,
MAX(FILTER(ROW(H$2:H1042) - ROW(H$2) + 1, P$2:P1042 = P1043)))))"),45.5)</f>
        <v>45.5</v>
      </c>
      <c r="N1043" s="335" t="str">
        <f>IF(MAXIFS('単価履歴'!$O:$O,'単価履歴'!$E:$E,E1043,'単価履歴'!$F:$F,F1043)=O1043,"●","")</f>
        <v/>
      </c>
      <c r="O1043" s="346">
        <v>45768.68336805556</v>
      </c>
      <c r="P1043" s="334" t="str">
        <f t="shared" si="4"/>
        <v>東鐵田原:直納ＨＳ１(単体H1/電特A/HS))</v>
      </c>
    </row>
    <row r="1044" ht="15.75" customHeight="1">
      <c r="A1044" s="335" t="s">
        <v>2236</v>
      </c>
      <c r="B1044" s="336">
        <v>45769.0</v>
      </c>
      <c r="C1044" s="335" t="s">
        <v>536</v>
      </c>
      <c r="D1044" s="335" t="s">
        <v>77</v>
      </c>
      <c r="E1044" s="337" t="str">
        <f t="shared" si="1"/>
        <v>東鐵田原:直納</v>
      </c>
      <c r="F1044" s="338" t="s">
        <v>122</v>
      </c>
      <c r="G1044" s="339" t="str">
        <f t="shared" si="2"/>
        <v>東鐵田原:直納Ｌ１(2級)</v>
      </c>
      <c r="H1044" s="340">
        <f t="shared" si="3"/>
        <v>40.5</v>
      </c>
      <c r="I1044" s="341">
        <v>-0.5</v>
      </c>
      <c r="J1044" s="332">
        <f>IFERROR(__xludf.DUMMYFUNCTION("IF(IF(COUNTIF(P$2:P1043, P1044)=0, """", INDEX(H$2:H1043,
MAX(FILTER(ROW(H$2:H1043) - ROW(H$2) + 1, P$2:P1043 = P1044))))=""単価"","""",
IF(COUNTIF(P$2:P1043, P1044)=0, """", INDEX(H$2:H1043,
MAX(FILTER(ROW(H$2:H1043) - ROW(H$2) + 1, P$2:P1043 = P1044)))))"),41.0)</f>
        <v>41</v>
      </c>
      <c r="N1044" s="335" t="str">
        <f>IF(MAXIFS('単価履歴'!$O:$O,'単価履歴'!$E:$E,E1044,'単価履歴'!$F:$F,F1044)=O1044,"●","")</f>
        <v/>
      </c>
      <c r="O1044" s="346">
        <v>45768.68336805556</v>
      </c>
      <c r="P1044" s="334" t="str">
        <f t="shared" si="4"/>
        <v>東鐵田原:直納Ｌ１(2級)</v>
      </c>
    </row>
    <row r="1045" ht="15.75" customHeight="1">
      <c r="A1045" s="335" t="s">
        <v>2237</v>
      </c>
      <c r="B1045" s="336">
        <v>45769.0</v>
      </c>
      <c r="C1045" s="335" t="s">
        <v>536</v>
      </c>
      <c r="D1045" s="335" t="s">
        <v>77</v>
      </c>
      <c r="E1045" s="337" t="str">
        <f t="shared" si="1"/>
        <v>東鐵田原:直納</v>
      </c>
      <c r="F1045" s="338" t="s">
        <v>573</v>
      </c>
      <c r="G1045" s="339" t="str">
        <f t="shared" si="2"/>
        <v>東鐵田原:直納Ｌ２(H4･級外･L1ﾊﾞﾗ)</v>
      </c>
      <c r="H1045" s="340">
        <f t="shared" si="3"/>
        <v>37.5</v>
      </c>
      <c r="I1045" s="341">
        <v>-0.5</v>
      </c>
      <c r="J1045" s="332">
        <f>IFERROR(__xludf.DUMMYFUNCTION("IF(IF(COUNTIF(P$2:P1044, P1045)=0, """", INDEX(H$2:H1044,
MAX(FILTER(ROW(H$2:H1044) - ROW(H$2) + 1, P$2:P1044 = P1045))))=""単価"","""",
IF(COUNTIF(P$2:P1044, P1045)=0, """", INDEX(H$2:H1044,
MAX(FILTER(ROW(H$2:H1044) - ROW(H$2) + 1, P$2:P1044 = P1045)))))"),38.0)</f>
        <v>38</v>
      </c>
      <c r="N1045" s="335" t="str">
        <f>IF(MAXIFS('単価履歴'!$O:$O,'単価履歴'!$E:$E,E1045,'単価履歴'!$F:$F,F1045)=O1045,"●","")</f>
        <v/>
      </c>
      <c r="O1045" s="346">
        <v>45768.68336805556</v>
      </c>
      <c r="P1045" s="334" t="str">
        <f t="shared" si="4"/>
        <v>東鐵田原:直納Ｌ２(H4･級外･L1ﾊﾞﾗ)</v>
      </c>
    </row>
    <row r="1046" ht="15.75" customHeight="1">
      <c r="A1046" s="335" t="s">
        <v>2238</v>
      </c>
      <c r="B1046" s="336">
        <v>45769.0</v>
      </c>
      <c r="C1046" s="335" t="s">
        <v>536</v>
      </c>
      <c r="D1046" s="335" t="s">
        <v>77</v>
      </c>
      <c r="E1046" s="337" t="str">
        <f t="shared" si="1"/>
        <v>東鐵田原:直納</v>
      </c>
      <c r="F1046" s="338" t="s">
        <v>145</v>
      </c>
      <c r="G1046" s="339" t="str">
        <f t="shared" si="2"/>
        <v>東鐵田原:直納シュレＡ</v>
      </c>
      <c r="H1046" s="340">
        <f t="shared" si="3"/>
        <v>43.5</v>
      </c>
      <c r="I1046" s="341">
        <v>-0.5</v>
      </c>
      <c r="J1046" s="332">
        <f>IFERROR(__xludf.DUMMYFUNCTION("IF(IF(COUNTIF(P$2:P1045, P1046)=0, """", INDEX(H$2:H1045,
MAX(FILTER(ROW(H$2:H1045) - ROW(H$2) + 1, P$2:P1045 = P1046))))=""単価"","""",
IF(COUNTIF(P$2:P1045, P1046)=0, """", INDEX(H$2:H1045,
MAX(FILTER(ROW(H$2:H1045) - ROW(H$2) + 1, P$2:P1045 = P1046)))))"),44.0)</f>
        <v>44</v>
      </c>
      <c r="N1046" s="335" t="str">
        <f>IF(MAXIFS('単価履歴'!$O:$O,'単価履歴'!$E:$E,E1046,'単価履歴'!$F:$F,F1046)=O1046,"●","")</f>
        <v/>
      </c>
      <c r="O1046" s="346">
        <v>45768.68336805556</v>
      </c>
      <c r="P1046" s="334" t="str">
        <f t="shared" si="4"/>
        <v>東鐵田原:直納シュレＡ</v>
      </c>
    </row>
    <row r="1047" ht="15.75" customHeight="1">
      <c r="A1047" s="335" t="s">
        <v>2239</v>
      </c>
      <c r="B1047" s="336">
        <v>45769.0</v>
      </c>
      <c r="C1047" s="335" t="s">
        <v>536</v>
      </c>
      <c r="D1047" s="335" t="s">
        <v>77</v>
      </c>
      <c r="E1047" s="337" t="str">
        <f t="shared" si="1"/>
        <v>東鐵田原:直納</v>
      </c>
      <c r="F1047" s="338" t="s">
        <v>151</v>
      </c>
      <c r="G1047" s="339" t="str">
        <f t="shared" si="2"/>
        <v>東鐵田原:直納シュレＣ</v>
      </c>
      <c r="H1047" s="340">
        <f t="shared" si="3"/>
        <v>43</v>
      </c>
      <c r="I1047" s="341">
        <v>-0.5</v>
      </c>
      <c r="J1047" s="332">
        <f>IFERROR(__xludf.DUMMYFUNCTION("IF(IF(COUNTIF(P$2:P1046, P1047)=0, """", INDEX(H$2:H1046,
MAX(FILTER(ROW(H$2:H1046) - ROW(H$2) + 1, P$2:P1046 = P1047))))=""単価"","""",
IF(COUNTIF(P$2:P1046, P1047)=0, """", INDEX(H$2:H1046,
MAX(FILTER(ROW(H$2:H1046) - ROW(H$2) + 1, P$2:P1046 = P1047)))))"),43.5)</f>
        <v>43.5</v>
      </c>
      <c r="N1047" s="335" t="str">
        <f>IF(MAXIFS('単価履歴'!$O:$O,'単価履歴'!$E:$E,E1047,'単価履歴'!$F:$F,F1047)=O1047,"●","")</f>
        <v/>
      </c>
      <c r="O1047" s="346">
        <v>45768.68336805556</v>
      </c>
      <c r="P1047" s="334" t="str">
        <f t="shared" si="4"/>
        <v>東鐵田原:直納シュレＣ</v>
      </c>
    </row>
    <row r="1048" ht="15.75" customHeight="1">
      <c r="A1048" s="335" t="s">
        <v>2240</v>
      </c>
      <c r="B1048" s="336">
        <v>45769.0</v>
      </c>
      <c r="C1048" s="335" t="s">
        <v>536</v>
      </c>
      <c r="D1048" s="335" t="s">
        <v>77</v>
      </c>
      <c r="E1048" s="337" t="str">
        <f t="shared" si="1"/>
        <v>東鐵田原:直納</v>
      </c>
      <c r="F1048" s="338" t="s">
        <v>575</v>
      </c>
      <c r="G1048" s="339" t="str">
        <f t="shared" si="2"/>
        <v>東鐵田原:直納鋼ダライＡ</v>
      </c>
      <c r="H1048" s="340">
        <f t="shared" si="3"/>
        <v>41</v>
      </c>
      <c r="I1048" s="341">
        <v>-0.5</v>
      </c>
      <c r="J1048" s="332">
        <f>IFERROR(__xludf.DUMMYFUNCTION("IF(IF(COUNTIF(P$2:P1047, P1048)=0, """", INDEX(H$2:H1047,
MAX(FILTER(ROW(H$2:H1047) - ROW(H$2) + 1, P$2:P1047 = P1048))))=""単価"","""",
IF(COUNTIF(P$2:P1047, P1048)=0, """", INDEX(H$2:H1047,
MAX(FILTER(ROW(H$2:H1047) - ROW(H$2) + 1, P$2:P1047 = P1048)))))"),41.5)</f>
        <v>41.5</v>
      </c>
      <c r="N1048" s="335" t="str">
        <f>IF(MAXIFS('単価履歴'!$O:$O,'単価履歴'!$E:$E,E1048,'単価履歴'!$F:$F,F1048)=O1048,"●","")</f>
        <v/>
      </c>
      <c r="O1048" s="346">
        <v>45768.68336805556</v>
      </c>
      <c r="P1048" s="334" t="str">
        <f t="shared" si="4"/>
        <v>東鐵田原:直納鋼ダライＡ</v>
      </c>
    </row>
    <row r="1049" ht="15.75" customHeight="1">
      <c r="A1049" s="335" t="s">
        <v>2241</v>
      </c>
      <c r="B1049" s="336">
        <v>45769.0</v>
      </c>
      <c r="C1049" s="335" t="s">
        <v>536</v>
      </c>
      <c r="D1049" s="335" t="s">
        <v>77</v>
      </c>
      <c r="E1049" s="337" t="str">
        <f t="shared" si="1"/>
        <v>東鐵田原:直納</v>
      </c>
      <c r="F1049" s="338" t="s">
        <v>130</v>
      </c>
      <c r="G1049" s="339" t="str">
        <f t="shared" si="2"/>
        <v>東鐵田原:直納新断Ａ</v>
      </c>
      <c r="H1049" s="340">
        <f t="shared" si="3"/>
        <v>44.5</v>
      </c>
      <c r="I1049" s="341">
        <v>-0.5</v>
      </c>
      <c r="J1049" s="332">
        <f>IFERROR(__xludf.DUMMYFUNCTION("IF(IF(COUNTIF(P$2:P1048, P1049)=0, """", INDEX(H$2:H1048,
MAX(FILTER(ROW(H$2:H1048) - ROW(H$2) + 1, P$2:P1048 = P1049))))=""単価"","""",
IF(COUNTIF(P$2:P1048, P1049)=0, """", INDEX(H$2:H1048,
MAX(FILTER(ROW(H$2:H1048) - ROW(H$2) + 1, P$2:P1048 = P1049)))))"),45.0)</f>
        <v>45</v>
      </c>
      <c r="N1049" s="335" t="str">
        <f>IF(MAXIFS('単価履歴'!$O:$O,'単価履歴'!$E:$E,E1049,'単価履歴'!$F:$F,F1049)=O1049,"●","")</f>
        <v/>
      </c>
      <c r="O1049" s="346">
        <v>45768.68336805556</v>
      </c>
      <c r="P1049" s="334" t="str">
        <f t="shared" si="4"/>
        <v>東鐵田原:直納新断Ａ</v>
      </c>
    </row>
    <row r="1050" ht="15.75" customHeight="1">
      <c r="A1050" s="335" t="s">
        <v>2242</v>
      </c>
      <c r="B1050" s="336">
        <v>45769.0</v>
      </c>
      <c r="C1050" s="335" t="s">
        <v>536</v>
      </c>
      <c r="D1050" s="335" t="s">
        <v>77</v>
      </c>
      <c r="E1050" s="337" t="str">
        <f t="shared" si="1"/>
        <v>東鐵田原:直納</v>
      </c>
      <c r="F1050" s="338" t="s">
        <v>131</v>
      </c>
      <c r="G1050" s="339" t="str">
        <f t="shared" si="2"/>
        <v>東鐵田原:直納新断Ｂ</v>
      </c>
      <c r="H1050" s="340">
        <f t="shared" si="3"/>
        <v>44.5</v>
      </c>
      <c r="I1050" s="341">
        <v>-0.5</v>
      </c>
      <c r="J1050" s="332">
        <f>IFERROR(__xludf.DUMMYFUNCTION("IF(IF(COUNTIF(P$2:P1049, P1050)=0, """", INDEX(H$2:H1049,
MAX(FILTER(ROW(H$2:H1049) - ROW(H$2) + 1, P$2:P1049 = P1050))))=""単価"","""",
IF(COUNTIF(P$2:P1049, P1050)=0, """", INDEX(H$2:H1049,
MAX(FILTER(ROW(H$2:H1049) - ROW(H$2) + 1, P$2:P1049 = P1050)))))"),45.0)</f>
        <v>45</v>
      </c>
      <c r="N1050" s="335" t="str">
        <f>IF(MAXIFS('単価履歴'!$O:$O,'単価履歴'!$E:$E,E1050,'単価履歴'!$F:$F,F1050)=O1050,"●","")</f>
        <v/>
      </c>
      <c r="O1050" s="346">
        <v>45768.68336805556</v>
      </c>
      <c r="P1050" s="334" t="str">
        <f t="shared" si="4"/>
        <v>東鐵田原:直納新断Ｂ</v>
      </c>
    </row>
    <row r="1051" ht="15.75" customHeight="1">
      <c r="A1051" s="335" t="s">
        <v>2243</v>
      </c>
      <c r="B1051" s="336">
        <v>45769.0</v>
      </c>
      <c r="C1051" s="335" t="s">
        <v>532</v>
      </c>
      <c r="D1051" s="335" t="s">
        <v>77</v>
      </c>
      <c r="E1051" s="337" t="str">
        <f t="shared" si="1"/>
        <v>東鐵岡山:直納</v>
      </c>
      <c r="F1051" s="338" t="s">
        <v>154</v>
      </c>
      <c r="G1051" s="339" t="str">
        <f t="shared" si="2"/>
        <v>東鐵岡山:直納ＣＰ Ａ</v>
      </c>
      <c r="H1051" s="340">
        <f t="shared" si="3"/>
        <v>40</v>
      </c>
      <c r="I1051" s="341">
        <v>-0.5</v>
      </c>
      <c r="J1051" s="332">
        <f>IFERROR(__xludf.DUMMYFUNCTION("IF(IF(COUNTIF(P$2:P1050, P1051)=0, """", INDEX(H$2:H1050,
MAX(FILTER(ROW(H$2:H1050) - ROW(H$2) + 1, P$2:P1050 = P1051))))=""単価"","""",
IF(COUNTIF(P$2:P1050, P1051)=0, """", INDEX(H$2:H1050,
MAX(FILTER(ROW(H$2:H1050) - ROW(H$2) + 1, P$2:P1050 = P1051)))))"),40.5)</f>
        <v>40.5</v>
      </c>
      <c r="N1051" s="335" t="str">
        <f>IF(MAXIFS('単価履歴'!$O:$O,'単価履歴'!$E:$E,E1051,'単価履歴'!$F:$F,F1051)=O1051,"●","")</f>
        <v/>
      </c>
      <c r="O1051" s="346">
        <v>45768.68361111111</v>
      </c>
      <c r="P1051" s="334" t="str">
        <f t="shared" si="4"/>
        <v>東鐵岡山:直納ＣＰ Ａ</v>
      </c>
    </row>
    <row r="1052" ht="15.75" customHeight="1">
      <c r="A1052" s="335" t="s">
        <v>2244</v>
      </c>
      <c r="B1052" s="336">
        <v>45769.0</v>
      </c>
      <c r="C1052" s="335" t="s">
        <v>532</v>
      </c>
      <c r="D1052" s="335" t="s">
        <v>77</v>
      </c>
      <c r="E1052" s="337" t="str">
        <f t="shared" si="1"/>
        <v>東鐵岡山:直納</v>
      </c>
      <c r="F1052" s="338" t="s">
        <v>111</v>
      </c>
      <c r="G1052" s="339" t="str">
        <f t="shared" si="2"/>
        <v>東鐵岡山:直納Ｈ１(特A)</v>
      </c>
      <c r="H1052" s="340">
        <f t="shared" si="3"/>
        <v>42.2</v>
      </c>
      <c r="I1052" s="341">
        <v>-0.5</v>
      </c>
      <c r="J1052" s="332">
        <f>IFERROR(__xludf.DUMMYFUNCTION("IF(IF(COUNTIF(P$2:P1051, P1052)=0, """", INDEX(H$2:H1051,
MAX(FILTER(ROW(H$2:H1051) - ROW(H$2) + 1, P$2:P1051 = P1052))))=""単価"","""",
IF(COUNTIF(P$2:P1051, P1052)=0, """", INDEX(H$2:H1051,
MAX(FILTER(ROW(H$2:H1051) - ROW(H$2) + 1, P$2:P1051 = P1052)))))"),42.7)</f>
        <v>42.7</v>
      </c>
      <c r="N1052" s="335" t="str">
        <f>IF(MAXIFS('単価履歴'!$O:$O,'単価履歴'!$E:$E,E1052,'単価履歴'!$F:$F,F1052)=O1052,"●","")</f>
        <v/>
      </c>
      <c r="O1052" s="346">
        <v>45768.68361111111</v>
      </c>
      <c r="P1052" s="334" t="str">
        <f t="shared" si="4"/>
        <v>東鐵岡山:直納Ｈ１(特A)</v>
      </c>
    </row>
    <row r="1053" ht="15.75" customHeight="1">
      <c r="A1053" s="335" t="s">
        <v>2245</v>
      </c>
      <c r="B1053" s="336">
        <v>45769.0</v>
      </c>
      <c r="C1053" s="335" t="s">
        <v>532</v>
      </c>
      <c r="D1053" s="335" t="s">
        <v>77</v>
      </c>
      <c r="E1053" s="337" t="str">
        <f t="shared" si="1"/>
        <v>東鐵岡山:直納</v>
      </c>
      <c r="F1053" s="338" t="s">
        <v>116</v>
      </c>
      <c r="G1053" s="339" t="str">
        <f t="shared" si="2"/>
        <v>東鐵岡山:直納Ｈ２(特級)</v>
      </c>
      <c r="H1053" s="340">
        <f t="shared" si="3"/>
        <v>41.5</v>
      </c>
      <c r="I1053" s="341">
        <v>-0.5</v>
      </c>
      <c r="J1053" s="332">
        <f>IFERROR(__xludf.DUMMYFUNCTION("IF(IF(COUNTIF(P$2:P1052, P1053)=0, """", INDEX(H$2:H1052,
MAX(FILTER(ROW(H$2:H1052) - ROW(H$2) + 1, P$2:P1052 = P1053))))=""単価"","""",
IF(COUNTIF(P$2:P1052, P1053)=0, """", INDEX(H$2:H1052,
MAX(FILTER(ROW(H$2:H1052) - ROW(H$2) + 1, P$2:P1052 = P1053)))))"),42.0)</f>
        <v>42</v>
      </c>
      <c r="N1053" s="335" t="str">
        <f>IF(MAXIFS('単価履歴'!$O:$O,'単価履歴'!$E:$E,E1053,'単価履歴'!$F:$F,F1053)=O1053,"●","")</f>
        <v/>
      </c>
      <c r="O1053" s="346">
        <v>45768.68361111111</v>
      </c>
      <c r="P1053" s="334" t="str">
        <f t="shared" si="4"/>
        <v>東鐵岡山:直納Ｈ２(特級)</v>
      </c>
    </row>
    <row r="1054" ht="15.75" customHeight="1">
      <c r="A1054" s="335" t="s">
        <v>2246</v>
      </c>
      <c r="B1054" s="336">
        <v>45769.0</v>
      </c>
      <c r="C1054" s="335" t="s">
        <v>532</v>
      </c>
      <c r="D1054" s="335" t="s">
        <v>77</v>
      </c>
      <c r="E1054" s="337" t="str">
        <f t="shared" si="1"/>
        <v>東鐵岡山:直納</v>
      </c>
      <c r="F1054" s="338" t="s">
        <v>119</v>
      </c>
      <c r="G1054" s="339" t="str">
        <f t="shared" si="2"/>
        <v>東鐵岡山:直納Ｈ３(1級)</v>
      </c>
      <c r="H1054" s="340">
        <f t="shared" si="3"/>
        <v>41</v>
      </c>
      <c r="I1054" s="341">
        <v>-0.5</v>
      </c>
      <c r="J1054" s="332">
        <f>IFERROR(__xludf.DUMMYFUNCTION("IF(IF(COUNTIF(P$2:P1053, P1054)=0, """", INDEX(H$2:H1053,
MAX(FILTER(ROW(H$2:H1053) - ROW(H$2) + 1, P$2:P1053 = P1054))))=""単価"","""",
IF(COUNTIF(P$2:P1053, P1054)=0, """", INDEX(H$2:H1053,
MAX(FILTER(ROW(H$2:H1053) - ROW(H$2) + 1, P$2:P1053 = P1054)))))"),41.5)</f>
        <v>41.5</v>
      </c>
      <c r="N1054" s="335" t="str">
        <f>IF(MAXIFS('単価履歴'!$O:$O,'単価履歴'!$E:$E,E1054,'単価履歴'!$F:$F,F1054)=O1054,"●","")</f>
        <v/>
      </c>
      <c r="O1054" s="346">
        <v>45768.68361111111</v>
      </c>
      <c r="P1054" s="334" t="str">
        <f t="shared" si="4"/>
        <v>東鐵岡山:直納Ｈ３(1級)</v>
      </c>
    </row>
    <row r="1055" ht="15.75" customHeight="1">
      <c r="A1055" s="335" t="s">
        <v>2247</v>
      </c>
      <c r="B1055" s="336">
        <v>45769.0</v>
      </c>
      <c r="C1055" s="335" t="s">
        <v>532</v>
      </c>
      <c r="D1055" s="335" t="s">
        <v>77</v>
      </c>
      <c r="E1055" s="337" t="str">
        <f t="shared" si="1"/>
        <v>東鐵岡山:直納</v>
      </c>
      <c r="F1055" s="338" t="s">
        <v>1199</v>
      </c>
      <c r="G1055" s="339" t="str">
        <f t="shared" si="2"/>
        <v>東鐵岡山:直納ＨＳ１(単体H1/電特A/HS))</v>
      </c>
      <c r="H1055" s="340">
        <f t="shared" si="3"/>
        <v>43.5</v>
      </c>
      <c r="I1055" s="341">
        <v>-0.5</v>
      </c>
      <c r="J1055" s="332">
        <f>IFERROR(__xludf.DUMMYFUNCTION("IF(IF(COUNTIF(P$2:P1054, P1055)=0, """", INDEX(H$2:H1054,
MAX(FILTER(ROW(H$2:H1054) - ROW(H$2) + 1, P$2:P1054 = P1055))))=""単価"","""",
IF(COUNTIF(P$2:P1054, P1055)=0, """", INDEX(H$2:H1054,
MAX(FILTER(ROW(H$2:H1054) - ROW(H$2) + 1, P$2:P1054 = P1055)))))"),44.0)</f>
        <v>44</v>
      </c>
      <c r="N1055" s="335" t="str">
        <f>IF(MAXIFS('単価履歴'!$O:$O,'単価履歴'!$E:$E,E1055,'単価履歴'!$F:$F,F1055)=O1055,"●","")</f>
        <v/>
      </c>
      <c r="O1055" s="346">
        <v>45768.68361111111</v>
      </c>
      <c r="P1055" s="334" t="str">
        <f t="shared" si="4"/>
        <v>東鐵岡山:直納ＨＳ１(単体H1/電特A/HS))</v>
      </c>
    </row>
    <row r="1056" ht="15.75" customHeight="1">
      <c r="A1056" s="335" t="s">
        <v>2248</v>
      </c>
      <c r="B1056" s="336">
        <v>45769.0</v>
      </c>
      <c r="C1056" s="335" t="s">
        <v>532</v>
      </c>
      <c r="D1056" s="335" t="s">
        <v>77</v>
      </c>
      <c r="E1056" s="337" t="str">
        <f t="shared" si="1"/>
        <v>東鐵岡山:直納</v>
      </c>
      <c r="F1056" s="338" t="s">
        <v>122</v>
      </c>
      <c r="G1056" s="339" t="str">
        <f t="shared" si="2"/>
        <v>東鐵岡山:直納Ｌ１(2級)</v>
      </c>
      <c r="H1056" s="340">
        <f t="shared" si="3"/>
        <v>39.5</v>
      </c>
      <c r="I1056" s="341">
        <v>-0.5</v>
      </c>
      <c r="J1056" s="332">
        <f>IFERROR(__xludf.DUMMYFUNCTION("IF(IF(COUNTIF(P$2:P1055, P1056)=0, """", INDEX(H$2:H1055,
MAX(FILTER(ROW(H$2:H1055) - ROW(H$2) + 1, P$2:P1055 = P1056))))=""単価"","""",
IF(COUNTIF(P$2:P1055, P1056)=0, """", INDEX(H$2:H1055,
MAX(FILTER(ROW(H$2:H1055) - ROW(H$2) + 1, P$2:P1055 = P1056)))))"),40.0)</f>
        <v>40</v>
      </c>
      <c r="N1056" s="335" t="str">
        <f>IF(MAXIFS('単価履歴'!$O:$O,'単価履歴'!$E:$E,E1056,'単価履歴'!$F:$F,F1056)=O1056,"●","")</f>
        <v/>
      </c>
      <c r="O1056" s="346">
        <v>45768.68361111111</v>
      </c>
      <c r="P1056" s="334" t="str">
        <f t="shared" si="4"/>
        <v>東鐵岡山:直納Ｌ１(2級)</v>
      </c>
    </row>
    <row r="1057" ht="15.75" customHeight="1">
      <c r="A1057" s="335" t="s">
        <v>2249</v>
      </c>
      <c r="B1057" s="336">
        <v>45769.0</v>
      </c>
      <c r="C1057" s="335" t="s">
        <v>532</v>
      </c>
      <c r="D1057" s="335" t="s">
        <v>77</v>
      </c>
      <c r="E1057" s="337" t="str">
        <f t="shared" si="1"/>
        <v>東鐵岡山:直納</v>
      </c>
      <c r="F1057" s="338" t="s">
        <v>573</v>
      </c>
      <c r="G1057" s="339" t="str">
        <f t="shared" si="2"/>
        <v>東鐵岡山:直納Ｌ２(H4･級外･L1ﾊﾞﾗ)</v>
      </c>
      <c r="H1057" s="340">
        <f t="shared" si="3"/>
        <v>36.5</v>
      </c>
      <c r="I1057" s="341">
        <v>-0.5</v>
      </c>
      <c r="J1057" s="332">
        <f>IFERROR(__xludf.DUMMYFUNCTION("IF(IF(COUNTIF(P$2:P1056, P1057)=0, """", INDEX(H$2:H1056,
MAX(FILTER(ROW(H$2:H1056) - ROW(H$2) + 1, P$2:P1056 = P1057))))=""単価"","""",
IF(COUNTIF(P$2:P1056, P1057)=0, """", INDEX(H$2:H1056,
MAX(FILTER(ROW(H$2:H1056) - ROW(H$2) + 1, P$2:P1056 = P1057)))))"),37.0)</f>
        <v>37</v>
      </c>
      <c r="N1057" s="335" t="str">
        <f>IF(MAXIFS('単価履歴'!$O:$O,'単価履歴'!$E:$E,E1057,'単価履歴'!$F:$F,F1057)=O1057,"●","")</f>
        <v/>
      </c>
      <c r="O1057" s="346">
        <v>45768.68361111111</v>
      </c>
      <c r="P1057" s="334" t="str">
        <f t="shared" si="4"/>
        <v>東鐵岡山:直納Ｌ２(H4･級外･L1ﾊﾞﾗ)</v>
      </c>
    </row>
    <row r="1058" ht="15.75" customHeight="1">
      <c r="A1058" s="335" t="s">
        <v>2250</v>
      </c>
      <c r="B1058" s="336">
        <v>45769.0</v>
      </c>
      <c r="C1058" s="335" t="s">
        <v>532</v>
      </c>
      <c r="D1058" s="335" t="s">
        <v>77</v>
      </c>
      <c r="E1058" s="337" t="str">
        <f t="shared" si="1"/>
        <v>東鐵岡山:直納</v>
      </c>
      <c r="F1058" s="338" t="s">
        <v>145</v>
      </c>
      <c r="G1058" s="339" t="str">
        <f t="shared" si="2"/>
        <v>東鐵岡山:直納シュレＡ</v>
      </c>
      <c r="H1058" s="340">
        <f t="shared" si="3"/>
        <v>42</v>
      </c>
      <c r="I1058" s="341">
        <v>-0.5</v>
      </c>
      <c r="J1058" s="332">
        <f>IFERROR(__xludf.DUMMYFUNCTION("IF(IF(COUNTIF(P$2:P1057, P1058)=0, """", INDEX(H$2:H1057,
MAX(FILTER(ROW(H$2:H1057) - ROW(H$2) + 1, P$2:P1057 = P1058))))=""単価"","""",
IF(COUNTIF(P$2:P1057, P1058)=0, """", INDEX(H$2:H1057,
MAX(FILTER(ROW(H$2:H1057) - ROW(H$2) + 1, P$2:P1057 = P1058)))))"),42.5)</f>
        <v>42.5</v>
      </c>
      <c r="N1058" s="335" t="str">
        <f>IF(MAXIFS('単価履歴'!$O:$O,'単価履歴'!$E:$E,E1058,'単価履歴'!$F:$F,F1058)=O1058,"●","")</f>
        <v/>
      </c>
      <c r="O1058" s="346">
        <v>45768.68361111111</v>
      </c>
      <c r="P1058" s="334" t="str">
        <f t="shared" si="4"/>
        <v>東鐵岡山:直納シュレＡ</v>
      </c>
    </row>
    <row r="1059" ht="15.75" customHeight="1">
      <c r="A1059" s="335" t="s">
        <v>2251</v>
      </c>
      <c r="B1059" s="336">
        <v>45769.0</v>
      </c>
      <c r="C1059" s="335" t="s">
        <v>532</v>
      </c>
      <c r="D1059" s="335" t="s">
        <v>77</v>
      </c>
      <c r="E1059" s="337" t="str">
        <f t="shared" si="1"/>
        <v>東鐵岡山:直納</v>
      </c>
      <c r="F1059" s="338" t="s">
        <v>151</v>
      </c>
      <c r="G1059" s="339" t="str">
        <f t="shared" si="2"/>
        <v>東鐵岡山:直納シュレＣ</v>
      </c>
      <c r="H1059" s="340">
        <f t="shared" si="3"/>
        <v>41.5</v>
      </c>
      <c r="I1059" s="341">
        <v>-0.5</v>
      </c>
      <c r="J1059" s="332">
        <f>IFERROR(__xludf.DUMMYFUNCTION("IF(IF(COUNTIF(P$2:P1058, P1059)=0, """", INDEX(H$2:H1058,
MAX(FILTER(ROW(H$2:H1058) - ROW(H$2) + 1, P$2:P1058 = P1059))))=""単価"","""",
IF(COUNTIF(P$2:P1058, P1059)=0, """", INDEX(H$2:H1058,
MAX(FILTER(ROW(H$2:H1058) - ROW(H$2) + 1, P$2:P1058 = P1059)))))"),42.0)</f>
        <v>42</v>
      </c>
      <c r="N1059" s="335" t="str">
        <f>IF(MAXIFS('単価履歴'!$O:$O,'単価履歴'!$E:$E,E1059,'単価履歴'!$F:$F,F1059)=O1059,"●","")</f>
        <v/>
      </c>
      <c r="O1059" s="346">
        <v>45768.68361111111</v>
      </c>
      <c r="P1059" s="334" t="str">
        <f t="shared" si="4"/>
        <v>東鐵岡山:直納シュレＣ</v>
      </c>
    </row>
    <row r="1060" ht="15.75" customHeight="1">
      <c r="A1060" s="335" t="s">
        <v>2252</v>
      </c>
      <c r="B1060" s="336">
        <v>45769.0</v>
      </c>
      <c r="C1060" s="335" t="s">
        <v>532</v>
      </c>
      <c r="D1060" s="335" t="s">
        <v>77</v>
      </c>
      <c r="E1060" s="337" t="str">
        <f t="shared" si="1"/>
        <v>東鐵岡山:直納</v>
      </c>
      <c r="F1060" s="338" t="s">
        <v>575</v>
      </c>
      <c r="G1060" s="339" t="str">
        <f t="shared" si="2"/>
        <v>東鐵岡山:直納鋼ダライＡ</v>
      </c>
      <c r="H1060" s="340">
        <f t="shared" si="3"/>
        <v>37.5</v>
      </c>
      <c r="I1060" s="341">
        <v>-0.5</v>
      </c>
      <c r="J1060" s="332">
        <f>IFERROR(__xludf.DUMMYFUNCTION("IF(IF(COUNTIF(P$2:P1059, P1060)=0, """", INDEX(H$2:H1059,
MAX(FILTER(ROW(H$2:H1059) - ROW(H$2) + 1, P$2:P1059 = P1060))))=""単価"","""",
IF(COUNTIF(P$2:P1059, P1060)=0, """", INDEX(H$2:H1059,
MAX(FILTER(ROW(H$2:H1059) - ROW(H$2) + 1, P$2:P1059 = P1060)))))"),38.0)</f>
        <v>38</v>
      </c>
      <c r="N1060" s="335" t="str">
        <f>IF(MAXIFS('単価履歴'!$O:$O,'単価履歴'!$E:$E,E1060,'単価履歴'!$F:$F,F1060)=O1060,"●","")</f>
        <v/>
      </c>
      <c r="O1060" s="346">
        <v>45768.68361111111</v>
      </c>
      <c r="P1060" s="334" t="str">
        <f t="shared" si="4"/>
        <v>東鐵岡山:直納鋼ダライＡ</v>
      </c>
    </row>
    <row r="1061" ht="15.75" customHeight="1">
      <c r="A1061" s="335" t="s">
        <v>2253</v>
      </c>
      <c r="B1061" s="336">
        <v>45769.0</v>
      </c>
      <c r="C1061" s="335" t="s">
        <v>532</v>
      </c>
      <c r="D1061" s="335" t="s">
        <v>77</v>
      </c>
      <c r="E1061" s="337" t="str">
        <f t="shared" si="1"/>
        <v>東鐵岡山:直納</v>
      </c>
      <c r="F1061" s="338" t="s">
        <v>130</v>
      </c>
      <c r="G1061" s="339" t="str">
        <f t="shared" si="2"/>
        <v>東鐵岡山:直納新断Ａ</v>
      </c>
      <c r="H1061" s="340">
        <f t="shared" si="3"/>
        <v>42.5</v>
      </c>
      <c r="I1061" s="341">
        <v>-0.5</v>
      </c>
      <c r="J1061" s="332">
        <f>IFERROR(__xludf.DUMMYFUNCTION("IF(IF(COUNTIF(P$2:P1060, P1061)=0, """", INDEX(H$2:H1060,
MAX(FILTER(ROW(H$2:H1060) - ROW(H$2) + 1, P$2:P1060 = P1061))))=""単価"","""",
IF(COUNTIF(P$2:P1060, P1061)=0, """", INDEX(H$2:H1060,
MAX(FILTER(ROW(H$2:H1060) - ROW(H$2) + 1, P$2:P1060 = P1061)))))"),43.0)</f>
        <v>43</v>
      </c>
      <c r="N1061" s="335" t="str">
        <f>IF(MAXIFS('単価履歴'!$O:$O,'単価履歴'!$E:$E,E1061,'単価履歴'!$F:$F,F1061)=O1061,"●","")</f>
        <v/>
      </c>
      <c r="O1061" s="346">
        <v>45768.68361111111</v>
      </c>
      <c r="P1061" s="334" t="str">
        <f t="shared" si="4"/>
        <v>東鐵岡山:直納新断Ａ</v>
      </c>
    </row>
    <row r="1062" ht="15.75" customHeight="1">
      <c r="A1062" s="335" t="s">
        <v>2254</v>
      </c>
      <c r="B1062" s="336">
        <v>45769.0</v>
      </c>
      <c r="C1062" s="335" t="s">
        <v>532</v>
      </c>
      <c r="D1062" s="335" t="s">
        <v>77</v>
      </c>
      <c r="E1062" s="337" t="str">
        <f t="shared" si="1"/>
        <v>東鐵岡山:直納</v>
      </c>
      <c r="F1062" s="338" t="s">
        <v>131</v>
      </c>
      <c r="G1062" s="339" t="str">
        <f t="shared" si="2"/>
        <v>東鐵岡山:直納新断Ｂ</v>
      </c>
      <c r="H1062" s="340">
        <f t="shared" si="3"/>
        <v>42.5</v>
      </c>
      <c r="I1062" s="341">
        <v>-0.5</v>
      </c>
      <c r="J1062" s="332">
        <f>IFERROR(__xludf.DUMMYFUNCTION("IF(IF(COUNTIF(P$2:P1061, P1062)=0, """", INDEX(H$2:H1061,
MAX(FILTER(ROW(H$2:H1061) - ROW(H$2) + 1, P$2:P1061 = P1062))))=""単価"","""",
IF(COUNTIF(P$2:P1061, P1062)=0, """", INDEX(H$2:H1061,
MAX(FILTER(ROW(H$2:H1061) - ROW(H$2) + 1, P$2:P1061 = P1062)))))"),43.0)</f>
        <v>43</v>
      </c>
      <c r="N1062" s="335" t="str">
        <f>IF(MAXIFS('単価履歴'!$O:$O,'単価履歴'!$E:$E,E1062,'単価履歴'!$F:$F,F1062)=O1062,"●","")</f>
        <v/>
      </c>
      <c r="O1062" s="346">
        <v>45768.68361111111</v>
      </c>
      <c r="P1062" s="334" t="str">
        <f t="shared" si="4"/>
        <v>東鐵岡山:直納新断Ｂ</v>
      </c>
    </row>
    <row r="1063" ht="15.75" customHeight="1">
      <c r="A1063" s="335" t="s">
        <v>2255</v>
      </c>
      <c r="B1063" s="336">
        <v>45769.0</v>
      </c>
      <c r="C1063" s="335" t="s">
        <v>532</v>
      </c>
      <c r="D1063" s="335" t="s">
        <v>77</v>
      </c>
      <c r="E1063" s="337" t="str">
        <f t="shared" si="1"/>
        <v>東鐵岡山:直納</v>
      </c>
      <c r="F1063" s="338" t="s">
        <v>25</v>
      </c>
      <c r="G1063" s="339" t="str">
        <f t="shared" si="2"/>
        <v>東鐵岡山:直納銑ダライ</v>
      </c>
      <c r="H1063" s="340">
        <f t="shared" si="3"/>
        <v>34</v>
      </c>
      <c r="I1063" s="341">
        <v>-0.5</v>
      </c>
      <c r="J1063" s="332">
        <f>IFERROR(__xludf.DUMMYFUNCTION("IF(IF(COUNTIF(P$2:P1062, P1063)=0, """", INDEX(H$2:H1062,
MAX(FILTER(ROW(H$2:H1062) - ROW(H$2) + 1, P$2:P1062 = P1063))))=""単価"","""",
IF(COUNTIF(P$2:P1062, P1063)=0, """", INDEX(H$2:H1062,
MAX(FILTER(ROW(H$2:H1062) - ROW(H$2) + 1, P$2:P1062 = P1063)))))"),34.5)</f>
        <v>34.5</v>
      </c>
      <c r="N1063" s="335" t="str">
        <f>IF(MAXIFS('単価履歴'!$O:$O,'単価履歴'!$E:$E,E1063,'単価履歴'!$F:$F,F1063)=O1063,"●","")</f>
        <v/>
      </c>
      <c r="O1063" s="346">
        <v>45768.68361111111</v>
      </c>
      <c r="P1063" s="334" t="str">
        <f t="shared" si="4"/>
        <v>東鐵岡山:直納銑ダライ</v>
      </c>
    </row>
    <row r="1064" ht="15.75" customHeight="1">
      <c r="A1064" s="335" t="s">
        <v>2256</v>
      </c>
      <c r="B1064" s="336">
        <v>45769.0</v>
      </c>
      <c r="C1064" s="335" t="s">
        <v>535</v>
      </c>
      <c r="D1064" s="335" t="s">
        <v>77</v>
      </c>
      <c r="E1064" s="337" t="str">
        <f t="shared" si="1"/>
        <v>東鐵名古屋:直納</v>
      </c>
      <c r="F1064" s="338" t="s">
        <v>111</v>
      </c>
      <c r="G1064" s="339" t="str">
        <f t="shared" si="2"/>
        <v>東鐵名古屋:直納Ｈ１(特A)</v>
      </c>
      <c r="H1064" s="340">
        <f t="shared" si="3"/>
        <v>42.2</v>
      </c>
      <c r="I1064" s="341">
        <v>-0.5</v>
      </c>
      <c r="J1064" s="332">
        <f>IFERROR(__xludf.DUMMYFUNCTION("IF(IF(COUNTIF(P$2:P1063, P1064)=0, """", INDEX(H$2:H1063,
MAX(FILTER(ROW(H$2:H1063) - ROW(H$2) + 1, P$2:P1063 = P1064))))=""単価"","""",
IF(COUNTIF(P$2:P1063, P1064)=0, """", INDEX(H$2:H1063,
MAX(FILTER(ROW(H$2:H1063) - ROW(H$2) + 1, P$2:P1063 = P1064)))))"),42.7)</f>
        <v>42.7</v>
      </c>
      <c r="N1064" s="335" t="str">
        <f>IF(MAXIFS('単価履歴'!$O:$O,'単価履歴'!$E:$E,E1064,'単価履歴'!$F:$F,F1064)=O1064,"●","")</f>
        <v/>
      </c>
      <c r="O1064" s="346">
        <v>45768.694490740745</v>
      </c>
      <c r="P1064" s="334" t="str">
        <f t="shared" si="4"/>
        <v>東鐵名古屋:直納Ｈ１(特A)</v>
      </c>
    </row>
    <row r="1065" ht="15.75" customHeight="1">
      <c r="A1065" s="335" t="s">
        <v>2257</v>
      </c>
      <c r="B1065" s="336">
        <v>45769.0</v>
      </c>
      <c r="C1065" s="335" t="s">
        <v>535</v>
      </c>
      <c r="D1065" s="335" t="s">
        <v>77</v>
      </c>
      <c r="E1065" s="337" t="str">
        <f t="shared" si="1"/>
        <v>東鐵名古屋:直納</v>
      </c>
      <c r="F1065" s="338" t="s">
        <v>116</v>
      </c>
      <c r="G1065" s="339" t="str">
        <f t="shared" si="2"/>
        <v>東鐵名古屋:直納Ｈ２(特級)</v>
      </c>
      <c r="H1065" s="340">
        <f t="shared" si="3"/>
        <v>41.5</v>
      </c>
      <c r="I1065" s="341">
        <v>-0.5</v>
      </c>
      <c r="J1065" s="332">
        <f>IFERROR(__xludf.DUMMYFUNCTION("IF(IF(COUNTIF(P$2:P1064, P1065)=0, """", INDEX(H$2:H1064,
MAX(FILTER(ROW(H$2:H1064) - ROW(H$2) + 1, P$2:P1064 = P1065))))=""単価"","""",
IF(COUNTIF(P$2:P1064, P1065)=0, """", INDEX(H$2:H1064,
MAX(FILTER(ROW(H$2:H1064) - ROW(H$2) + 1, P$2:P1064 = P1065)))))"),42.0)</f>
        <v>42</v>
      </c>
      <c r="N1065" s="335" t="str">
        <f>IF(MAXIFS('単価履歴'!$O:$O,'単価履歴'!$E:$E,E1065,'単価履歴'!$F:$F,F1065)=O1065,"●","")</f>
        <v/>
      </c>
      <c r="O1065" s="346">
        <v>45768.694490740745</v>
      </c>
      <c r="P1065" s="334" t="str">
        <f t="shared" si="4"/>
        <v>東鐵名古屋:直納Ｈ２(特級)</v>
      </c>
    </row>
    <row r="1066" ht="15.75" customHeight="1">
      <c r="A1066" s="335" t="s">
        <v>2258</v>
      </c>
      <c r="B1066" s="336">
        <v>45769.0</v>
      </c>
      <c r="C1066" s="335" t="s">
        <v>535</v>
      </c>
      <c r="D1066" s="335" t="s">
        <v>77</v>
      </c>
      <c r="E1066" s="337" t="str">
        <f t="shared" si="1"/>
        <v>東鐵名古屋:直納</v>
      </c>
      <c r="F1066" s="338" t="s">
        <v>119</v>
      </c>
      <c r="G1066" s="339" t="str">
        <f t="shared" si="2"/>
        <v>東鐵名古屋:直納Ｈ３(1級)</v>
      </c>
      <c r="H1066" s="340">
        <f t="shared" si="3"/>
        <v>41</v>
      </c>
      <c r="I1066" s="341">
        <v>-0.5</v>
      </c>
      <c r="J1066" s="332">
        <f>IFERROR(__xludf.DUMMYFUNCTION("IF(IF(COUNTIF(P$2:P1065, P1066)=0, """", INDEX(H$2:H1065,
MAX(FILTER(ROW(H$2:H1065) - ROW(H$2) + 1, P$2:P1065 = P1066))))=""単価"","""",
IF(COUNTIF(P$2:P1065, P1066)=0, """", INDEX(H$2:H1065,
MAX(FILTER(ROW(H$2:H1065) - ROW(H$2) + 1, P$2:P1065 = P1066)))))"),41.5)</f>
        <v>41.5</v>
      </c>
      <c r="N1066" s="335" t="str">
        <f>IF(MAXIFS('単価履歴'!$O:$O,'単価履歴'!$E:$E,E1066,'単価履歴'!$F:$F,F1066)=O1066,"●","")</f>
        <v/>
      </c>
      <c r="O1066" s="346">
        <v>45768.694490740745</v>
      </c>
      <c r="P1066" s="334" t="str">
        <f t="shared" si="4"/>
        <v>東鐵名古屋:直納Ｈ３(1級)</v>
      </c>
    </row>
    <row r="1067" ht="15.75" customHeight="1">
      <c r="A1067" s="335" t="s">
        <v>2259</v>
      </c>
      <c r="B1067" s="336">
        <v>45769.0</v>
      </c>
      <c r="C1067" s="335" t="s">
        <v>535</v>
      </c>
      <c r="D1067" s="335" t="s">
        <v>77</v>
      </c>
      <c r="E1067" s="337" t="str">
        <f t="shared" si="1"/>
        <v>東鐵名古屋:直納</v>
      </c>
      <c r="F1067" s="338" t="s">
        <v>1199</v>
      </c>
      <c r="G1067" s="339" t="str">
        <f t="shared" si="2"/>
        <v>東鐵名古屋:直納ＨＳ１(単体H1/電特A/HS))</v>
      </c>
      <c r="H1067" s="340">
        <f t="shared" si="3"/>
        <v>44</v>
      </c>
      <c r="I1067" s="341">
        <v>-0.5</v>
      </c>
      <c r="J1067" s="332">
        <f>IFERROR(__xludf.DUMMYFUNCTION("IF(IF(COUNTIF(P$2:P1066, P1067)=0, """", INDEX(H$2:H1066,
MAX(FILTER(ROW(H$2:H1066) - ROW(H$2) + 1, P$2:P1066 = P1067))))=""単価"","""",
IF(COUNTIF(P$2:P1066, P1067)=0, """", INDEX(H$2:H1066,
MAX(FILTER(ROW(H$2:H1066) - ROW(H$2) + 1, P$2:P1066 = P1067)))))"),44.5)</f>
        <v>44.5</v>
      </c>
      <c r="N1067" s="335" t="str">
        <f>IF(MAXIFS('単価履歴'!$O:$O,'単価履歴'!$E:$E,E1067,'単価履歴'!$F:$F,F1067)=O1067,"●","")</f>
        <v/>
      </c>
      <c r="O1067" s="346">
        <v>45768.694490740745</v>
      </c>
      <c r="P1067" s="334" t="str">
        <f t="shared" si="4"/>
        <v>東鐵名古屋:直納ＨＳ１(単体H1/電特A/HS))</v>
      </c>
    </row>
    <row r="1068" ht="15.75" customHeight="1">
      <c r="A1068" s="335" t="s">
        <v>2260</v>
      </c>
      <c r="B1068" s="336">
        <v>45769.0</v>
      </c>
      <c r="C1068" s="335" t="s">
        <v>535</v>
      </c>
      <c r="D1068" s="335" t="s">
        <v>77</v>
      </c>
      <c r="E1068" s="337" t="str">
        <f t="shared" si="1"/>
        <v>東鐵名古屋:直納</v>
      </c>
      <c r="F1068" s="338" t="s">
        <v>122</v>
      </c>
      <c r="G1068" s="339" t="str">
        <f t="shared" si="2"/>
        <v>東鐵名古屋:直納Ｌ１(2級)</v>
      </c>
      <c r="H1068" s="340">
        <f t="shared" si="3"/>
        <v>39.5</v>
      </c>
      <c r="I1068" s="341">
        <v>-0.5</v>
      </c>
      <c r="J1068" s="332">
        <f>IFERROR(__xludf.DUMMYFUNCTION("IF(IF(COUNTIF(P$2:P1067, P1068)=0, """", INDEX(H$2:H1067,
MAX(FILTER(ROW(H$2:H1067) - ROW(H$2) + 1, P$2:P1067 = P1068))))=""単価"","""",
IF(COUNTIF(P$2:P1067, P1068)=0, """", INDEX(H$2:H1067,
MAX(FILTER(ROW(H$2:H1067) - ROW(H$2) + 1, P$2:P1067 = P1068)))))"),40.0)</f>
        <v>40</v>
      </c>
      <c r="N1068" s="335" t="str">
        <f>IF(MAXIFS('単価履歴'!$O:$O,'単価履歴'!$E:$E,E1068,'単価履歴'!$F:$F,F1068)=O1068,"●","")</f>
        <v/>
      </c>
      <c r="O1068" s="346">
        <v>45768.694490740745</v>
      </c>
      <c r="P1068" s="334" t="str">
        <f t="shared" si="4"/>
        <v>東鐵名古屋:直納Ｌ１(2級)</v>
      </c>
    </row>
    <row r="1069" ht="15.75" customHeight="1">
      <c r="A1069" s="335" t="s">
        <v>2261</v>
      </c>
      <c r="B1069" s="336">
        <v>45769.0</v>
      </c>
      <c r="C1069" s="335" t="s">
        <v>535</v>
      </c>
      <c r="D1069" s="335" t="s">
        <v>77</v>
      </c>
      <c r="E1069" s="337" t="str">
        <f t="shared" si="1"/>
        <v>東鐵名古屋:直納</v>
      </c>
      <c r="F1069" s="338" t="s">
        <v>573</v>
      </c>
      <c r="G1069" s="339" t="str">
        <f t="shared" si="2"/>
        <v>東鐵名古屋:直納Ｌ２(H4･級外･L1ﾊﾞﾗ)</v>
      </c>
      <c r="H1069" s="340">
        <f t="shared" si="3"/>
        <v>36.5</v>
      </c>
      <c r="I1069" s="341">
        <v>-0.5</v>
      </c>
      <c r="J1069" s="332">
        <f>IFERROR(__xludf.DUMMYFUNCTION("IF(IF(COUNTIF(P$2:P1068, P1069)=0, """", INDEX(H$2:H1068,
MAX(FILTER(ROW(H$2:H1068) - ROW(H$2) + 1, P$2:P1068 = P1069))))=""単価"","""",
IF(COUNTIF(P$2:P1068, P1069)=0, """", INDEX(H$2:H1068,
MAX(FILTER(ROW(H$2:H1068) - ROW(H$2) + 1, P$2:P1068 = P1069)))))"),37.0)</f>
        <v>37</v>
      </c>
      <c r="N1069" s="335" t="str">
        <f>IF(MAXIFS('単価履歴'!$O:$O,'単価履歴'!$E:$E,E1069,'単価履歴'!$F:$F,F1069)=O1069,"●","")</f>
        <v/>
      </c>
      <c r="O1069" s="346">
        <v>45768.694490740745</v>
      </c>
      <c r="P1069" s="334" t="str">
        <f t="shared" si="4"/>
        <v>東鐵名古屋:直納Ｌ２(H4･級外･L1ﾊﾞﾗ)</v>
      </c>
    </row>
    <row r="1070" ht="15.75" customHeight="1">
      <c r="A1070" s="335" t="s">
        <v>2262</v>
      </c>
      <c r="B1070" s="336">
        <v>45769.0</v>
      </c>
      <c r="C1070" s="335" t="s">
        <v>535</v>
      </c>
      <c r="D1070" s="335" t="s">
        <v>77</v>
      </c>
      <c r="E1070" s="337" t="str">
        <f t="shared" si="1"/>
        <v>東鐵名古屋:直納</v>
      </c>
      <c r="F1070" s="338" t="s">
        <v>145</v>
      </c>
      <c r="G1070" s="339" t="str">
        <f t="shared" si="2"/>
        <v>東鐵名古屋:直納シュレＡ</v>
      </c>
      <c r="H1070" s="340">
        <f t="shared" si="3"/>
        <v>42.5</v>
      </c>
      <c r="I1070" s="341">
        <v>-0.5</v>
      </c>
      <c r="J1070" s="332">
        <f>IFERROR(__xludf.DUMMYFUNCTION("IF(IF(COUNTIF(P$2:P1069, P1070)=0, """", INDEX(H$2:H1069,
MAX(FILTER(ROW(H$2:H1069) - ROW(H$2) + 1, P$2:P1069 = P1070))))=""単価"","""",
IF(COUNTIF(P$2:P1069, P1070)=0, """", INDEX(H$2:H1069,
MAX(FILTER(ROW(H$2:H1069) - ROW(H$2) + 1, P$2:P1069 = P1070)))))"),43.0)</f>
        <v>43</v>
      </c>
      <c r="N1070" s="335" t="str">
        <f>IF(MAXIFS('単価履歴'!$O:$O,'単価履歴'!$E:$E,E1070,'単価履歴'!$F:$F,F1070)=O1070,"●","")</f>
        <v/>
      </c>
      <c r="O1070" s="346">
        <v>45768.694490740745</v>
      </c>
      <c r="P1070" s="334" t="str">
        <f t="shared" si="4"/>
        <v>東鐵名古屋:直納シュレＡ</v>
      </c>
    </row>
    <row r="1071" ht="15.75" customHeight="1">
      <c r="A1071" s="335" t="s">
        <v>2263</v>
      </c>
      <c r="B1071" s="336">
        <v>45769.0</v>
      </c>
      <c r="C1071" s="335" t="s">
        <v>535</v>
      </c>
      <c r="D1071" s="335" t="s">
        <v>77</v>
      </c>
      <c r="E1071" s="337" t="str">
        <f t="shared" si="1"/>
        <v>東鐵名古屋:直納</v>
      </c>
      <c r="F1071" s="338" t="s">
        <v>151</v>
      </c>
      <c r="G1071" s="339" t="str">
        <f t="shared" si="2"/>
        <v>東鐵名古屋:直納シュレＣ</v>
      </c>
      <c r="H1071" s="340">
        <f t="shared" si="3"/>
        <v>42</v>
      </c>
      <c r="I1071" s="341">
        <v>-0.5</v>
      </c>
      <c r="J1071" s="332">
        <f>IFERROR(__xludf.DUMMYFUNCTION("IF(IF(COUNTIF(P$2:P1070, P1071)=0, """", INDEX(H$2:H1070,
MAX(FILTER(ROW(H$2:H1070) - ROW(H$2) + 1, P$2:P1070 = P1071))))=""単価"","""",
IF(COUNTIF(P$2:P1070, P1071)=0, """", INDEX(H$2:H1070,
MAX(FILTER(ROW(H$2:H1070) - ROW(H$2) + 1, P$2:P1070 = P1071)))))"),42.5)</f>
        <v>42.5</v>
      </c>
      <c r="N1071" s="335" t="str">
        <f>IF(MAXIFS('単価履歴'!$O:$O,'単価履歴'!$E:$E,E1071,'単価履歴'!$F:$F,F1071)=O1071,"●","")</f>
        <v/>
      </c>
      <c r="O1071" s="346">
        <v>45768.694490740745</v>
      </c>
      <c r="P1071" s="334" t="str">
        <f t="shared" si="4"/>
        <v>東鐵名古屋:直納シュレＣ</v>
      </c>
    </row>
    <row r="1072" ht="15.75" customHeight="1">
      <c r="A1072" s="335" t="s">
        <v>2264</v>
      </c>
      <c r="B1072" s="336">
        <v>45769.0</v>
      </c>
      <c r="C1072" s="335" t="s">
        <v>5</v>
      </c>
      <c r="D1072" s="335" t="s">
        <v>46</v>
      </c>
      <c r="E1072" s="337" t="str">
        <f t="shared" si="1"/>
        <v>中山製鋼:阪和</v>
      </c>
      <c r="F1072" s="338" t="s">
        <v>111</v>
      </c>
      <c r="G1072" s="339" t="str">
        <f t="shared" si="2"/>
        <v>中山製鋼:阪和Ｈ１(特A)</v>
      </c>
      <c r="H1072" s="340">
        <f t="shared" si="3"/>
        <v>42.5</v>
      </c>
      <c r="I1072" s="341">
        <v>-0.5</v>
      </c>
      <c r="J1072" s="332">
        <f>IFERROR(__xludf.DUMMYFUNCTION("IF(IF(COUNTIF(P$2:P1071, P1072)=0, """", INDEX(H$2:H1071,
MAX(FILTER(ROW(H$2:H1071) - ROW(H$2) + 1, P$2:P1071 = P1072))))=""単価"","""",
IF(COUNTIF(P$2:P1071, P1072)=0, """", INDEX(H$2:H1071,
MAX(FILTER(ROW(H$2:H1071) - ROW(H$2) + 1, P$2:P1071 = P1072)))))"),43.0)</f>
        <v>43</v>
      </c>
      <c r="N1072" s="335" t="str">
        <f>IF(MAXIFS('単価履歴'!$O:$O,'単価履歴'!$E:$E,E1072,'単価履歴'!$F:$F,F1072)=O1072,"●","")</f>
        <v/>
      </c>
      <c r="O1072" s="346">
        <v>45768.77138888889</v>
      </c>
      <c r="P1072" s="334" t="str">
        <f t="shared" si="4"/>
        <v>中山製鋼:阪和Ｈ１(特A)</v>
      </c>
    </row>
    <row r="1073" ht="15.75" customHeight="1">
      <c r="A1073" s="335" t="s">
        <v>2265</v>
      </c>
      <c r="B1073" s="336">
        <v>45769.0</v>
      </c>
      <c r="C1073" s="335" t="s">
        <v>5</v>
      </c>
      <c r="D1073" s="335" t="s">
        <v>46</v>
      </c>
      <c r="E1073" s="337" t="str">
        <f t="shared" si="1"/>
        <v>中山製鋼:阪和</v>
      </c>
      <c r="F1073" s="338" t="s">
        <v>116</v>
      </c>
      <c r="G1073" s="339" t="str">
        <f t="shared" si="2"/>
        <v>中山製鋼:阪和Ｈ２(特級)</v>
      </c>
      <c r="H1073" s="340">
        <f t="shared" si="3"/>
        <v>32.8</v>
      </c>
      <c r="I1073" s="341">
        <v>-0.5</v>
      </c>
      <c r="J1073" s="332">
        <f>IFERROR(__xludf.DUMMYFUNCTION("IF(IF(COUNTIF(P$2:P1072, P1073)=0, """", INDEX(H$2:H1072,
MAX(FILTER(ROW(H$2:H1072) - ROW(H$2) + 1, P$2:P1072 = P1073))))=""単価"","""",
IF(COUNTIF(P$2:P1072, P1073)=0, """", INDEX(H$2:H1072,
MAX(FILTER(ROW(H$2:H1072) - ROW(H$2) + 1, P$2:P1072 = P1073)))))"),33.3)</f>
        <v>33.3</v>
      </c>
      <c r="N1073" s="335" t="str">
        <f>IF(MAXIFS('単価履歴'!$O:$O,'単価履歴'!$E:$E,E1073,'単価履歴'!$F:$F,F1073)=O1073,"●","")</f>
        <v/>
      </c>
      <c r="O1073" s="346">
        <v>45768.77138888889</v>
      </c>
      <c r="P1073" s="334" t="str">
        <f t="shared" si="4"/>
        <v>中山製鋼:阪和Ｈ２(特級)</v>
      </c>
    </row>
    <row r="1074" ht="15.75" customHeight="1">
      <c r="A1074" s="335" t="s">
        <v>2266</v>
      </c>
      <c r="B1074" s="336">
        <v>45769.0</v>
      </c>
      <c r="C1074" s="335" t="s">
        <v>5</v>
      </c>
      <c r="D1074" s="335" t="s">
        <v>46</v>
      </c>
      <c r="E1074" s="337" t="str">
        <f t="shared" si="1"/>
        <v>中山製鋼:阪和</v>
      </c>
      <c r="F1074" s="338" t="s">
        <v>119</v>
      </c>
      <c r="G1074" s="339" t="str">
        <f t="shared" si="2"/>
        <v>中山製鋼:阪和Ｈ３(1級)</v>
      </c>
      <c r="H1074" s="340">
        <f t="shared" si="3"/>
        <v>33.8</v>
      </c>
      <c r="I1074" s="341">
        <v>-0.5</v>
      </c>
      <c r="J1074" s="332">
        <f>IFERROR(__xludf.DUMMYFUNCTION("IF(IF(COUNTIF(P$2:P1073, P1074)=0, """", INDEX(H$2:H1073,
MAX(FILTER(ROW(H$2:H1073) - ROW(H$2) + 1, P$2:P1073 = P1074))))=""単価"","""",
IF(COUNTIF(P$2:P1073, P1074)=0, """", INDEX(H$2:H1073,
MAX(FILTER(ROW(H$2:H1073) - ROW(H$2) + 1, P$2:P1073 = P1074)))))"),34.3)</f>
        <v>34.3</v>
      </c>
      <c r="N1074" s="335" t="str">
        <f>IF(MAXIFS('単価履歴'!$O:$O,'単価履歴'!$E:$E,E1074,'単価履歴'!$F:$F,F1074)=O1074,"●","")</f>
        <v/>
      </c>
      <c r="O1074" s="346">
        <v>45768.77138888889</v>
      </c>
      <c r="P1074" s="334" t="str">
        <f t="shared" si="4"/>
        <v>中山製鋼:阪和Ｈ３(1級)</v>
      </c>
    </row>
    <row r="1075" ht="15.75" customHeight="1">
      <c r="A1075" s="335" t="s">
        <v>2267</v>
      </c>
      <c r="B1075" s="336">
        <v>45769.0</v>
      </c>
      <c r="C1075" s="335" t="s">
        <v>5</v>
      </c>
      <c r="D1075" s="335" t="s">
        <v>46</v>
      </c>
      <c r="E1075" s="337" t="str">
        <f t="shared" si="1"/>
        <v>中山製鋼:阪和</v>
      </c>
      <c r="F1075" s="338" t="s">
        <v>101</v>
      </c>
      <c r="G1075" s="339" t="str">
        <f t="shared" si="2"/>
        <v>中山製鋼:阪和ＨＳ２</v>
      </c>
      <c r="H1075" s="340">
        <f t="shared" si="3"/>
        <v>44.9</v>
      </c>
      <c r="I1075" s="341">
        <v>-0.5</v>
      </c>
      <c r="J1075" s="332">
        <f>IFERROR(__xludf.DUMMYFUNCTION("IF(IF(COUNTIF(P$2:P1074, P1075)=0, """", INDEX(H$2:H1074,
MAX(FILTER(ROW(H$2:H1074) - ROW(H$2) + 1, P$2:P1074 = P1075))))=""単価"","""",
IF(COUNTIF(P$2:P1074, P1075)=0, """", INDEX(H$2:H1074,
MAX(FILTER(ROW(H$2:H1074) - ROW(H$2) + 1, P$2:P1074 = P1075)))))"),45.4)</f>
        <v>45.4</v>
      </c>
      <c r="N1075" s="335" t="str">
        <f>IF(MAXIFS('単価履歴'!$O:$O,'単価履歴'!$E:$E,E1075,'単価履歴'!$F:$F,F1075)=O1075,"●","")</f>
        <v/>
      </c>
      <c r="O1075" s="346">
        <v>45768.77138888889</v>
      </c>
      <c r="P1075" s="334" t="str">
        <f t="shared" si="4"/>
        <v>中山製鋼:阪和ＨＳ２</v>
      </c>
    </row>
    <row r="1076" ht="15.75" customHeight="1">
      <c r="A1076" s="335" t="s">
        <v>2268</v>
      </c>
      <c r="B1076" s="336">
        <v>45769.0</v>
      </c>
      <c r="C1076" s="335" t="s">
        <v>5</v>
      </c>
      <c r="D1076" s="335" t="s">
        <v>46</v>
      </c>
      <c r="E1076" s="337" t="str">
        <f t="shared" si="1"/>
        <v>中山製鋼:阪和</v>
      </c>
      <c r="F1076" s="338" t="s">
        <v>122</v>
      </c>
      <c r="G1076" s="339" t="str">
        <f t="shared" si="2"/>
        <v>中山製鋼:阪和Ｌ１(2級)</v>
      </c>
      <c r="H1076" s="340">
        <f t="shared" si="3"/>
        <v>27.3</v>
      </c>
      <c r="I1076" s="341">
        <v>-0.5</v>
      </c>
      <c r="J1076" s="332">
        <f>IFERROR(__xludf.DUMMYFUNCTION("IF(IF(COUNTIF(P$2:P1075, P1076)=0, """", INDEX(H$2:H1075,
MAX(FILTER(ROW(H$2:H1075) - ROW(H$2) + 1, P$2:P1075 = P1076))))=""単価"","""",
IF(COUNTIF(P$2:P1075, P1076)=0, """", INDEX(H$2:H1075,
MAX(FILTER(ROW(H$2:H1075) - ROW(H$2) + 1, P$2:P1075 = P1076)))))"),27.8)</f>
        <v>27.8</v>
      </c>
      <c r="N1076" s="335" t="str">
        <f>IF(MAXIFS('単価履歴'!$O:$O,'単価履歴'!$E:$E,E1076,'単価履歴'!$F:$F,F1076)=O1076,"●","")</f>
        <v/>
      </c>
      <c r="O1076" s="346">
        <v>45768.77138888889</v>
      </c>
      <c r="P1076" s="334" t="str">
        <f t="shared" si="4"/>
        <v>中山製鋼:阪和Ｌ１(2級)</v>
      </c>
    </row>
    <row r="1077" ht="15.75" customHeight="1">
      <c r="A1077" s="335" t="s">
        <v>2269</v>
      </c>
      <c r="B1077" s="336">
        <v>45769.0</v>
      </c>
      <c r="C1077" s="335" t="s">
        <v>5</v>
      </c>
      <c r="D1077" s="335" t="s">
        <v>46</v>
      </c>
      <c r="E1077" s="337" t="str">
        <f t="shared" si="1"/>
        <v>中山製鋼:阪和</v>
      </c>
      <c r="F1077" s="338" t="s">
        <v>130</v>
      </c>
      <c r="G1077" s="339" t="str">
        <f t="shared" si="2"/>
        <v>中山製鋼:阪和新断Ａ</v>
      </c>
      <c r="H1077" s="340">
        <f t="shared" si="3"/>
        <v>46.3</v>
      </c>
      <c r="I1077" s="341">
        <v>-0.5</v>
      </c>
      <c r="J1077" s="332">
        <f>IFERROR(__xludf.DUMMYFUNCTION("IF(IF(COUNTIF(P$2:P1076, P1077)=0, """", INDEX(H$2:H1076,
MAX(FILTER(ROW(H$2:H1076) - ROW(H$2) + 1, P$2:P1076 = P1077))))=""単価"","""",
IF(COUNTIF(P$2:P1076, P1077)=0, """", INDEX(H$2:H1076,
MAX(FILTER(ROW(H$2:H1076) - ROW(H$2) + 1, P$2:P1076 = P1077)))))"),46.8)</f>
        <v>46.8</v>
      </c>
      <c r="N1077" s="335" t="str">
        <f>IF(MAXIFS('単価履歴'!$O:$O,'単価履歴'!$E:$E,E1077,'単価履歴'!$F:$F,F1077)=O1077,"●","")</f>
        <v/>
      </c>
      <c r="O1077" s="346">
        <v>45768.77138888889</v>
      </c>
      <c r="P1077" s="334" t="str">
        <f t="shared" si="4"/>
        <v>中山製鋼:阪和新断Ａ</v>
      </c>
    </row>
    <row r="1078" ht="15.75" customHeight="1">
      <c r="A1078" s="335" t="s">
        <v>2270</v>
      </c>
      <c r="B1078" s="336">
        <v>45769.0</v>
      </c>
      <c r="C1078" s="335" t="s">
        <v>5</v>
      </c>
      <c r="D1078" s="335" t="s">
        <v>46</v>
      </c>
      <c r="E1078" s="337" t="str">
        <f t="shared" si="1"/>
        <v>中山製鋼:阪和</v>
      </c>
      <c r="F1078" s="338" t="s">
        <v>131</v>
      </c>
      <c r="G1078" s="339" t="str">
        <f t="shared" si="2"/>
        <v>中山製鋼:阪和新断Ｂ</v>
      </c>
      <c r="H1078" s="340">
        <f t="shared" si="3"/>
        <v>45.3</v>
      </c>
      <c r="I1078" s="341">
        <v>-0.5</v>
      </c>
      <c r="J1078" s="332">
        <f>IFERROR(__xludf.DUMMYFUNCTION("IF(IF(COUNTIF(P$2:P1077, P1078)=0, """", INDEX(H$2:H1077,
MAX(FILTER(ROW(H$2:H1077) - ROW(H$2) + 1, P$2:P1077 = P1078))))=""単価"","""",
IF(COUNTIF(P$2:P1077, P1078)=0, """", INDEX(H$2:H1077,
MAX(FILTER(ROW(H$2:H1077) - ROW(H$2) + 1, P$2:P1077 = P1078)))))"),45.8)</f>
        <v>45.8</v>
      </c>
      <c r="N1078" s="335" t="str">
        <f>IF(MAXIFS('単価履歴'!$O:$O,'単価履歴'!$E:$E,E1078,'単価履歴'!$F:$F,F1078)=O1078,"●","")</f>
        <v/>
      </c>
      <c r="O1078" s="346">
        <v>45768.77138888889</v>
      </c>
      <c r="P1078" s="334" t="str">
        <f t="shared" si="4"/>
        <v>中山製鋼:阪和新断Ｂ</v>
      </c>
    </row>
    <row r="1079" ht="15.75" customHeight="1">
      <c r="A1079" s="335" t="s">
        <v>2271</v>
      </c>
      <c r="B1079" s="336">
        <v>45769.0</v>
      </c>
      <c r="C1079" s="335" t="s">
        <v>5</v>
      </c>
      <c r="D1079" s="335" t="s">
        <v>46</v>
      </c>
      <c r="E1079" s="337" t="str">
        <f t="shared" si="1"/>
        <v>中山製鋼:阪和</v>
      </c>
      <c r="F1079" s="338" t="s">
        <v>574</v>
      </c>
      <c r="G1079" s="339" t="str">
        <f t="shared" si="2"/>
        <v>中山製鋼:阪和新断Ｃ</v>
      </c>
      <c r="H1079" s="340">
        <f t="shared" si="3"/>
        <v>44.3</v>
      </c>
      <c r="I1079" s="341">
        <v>-0.5</v>
      </c>
      <c r="J1079" s="332">
        <f>IFERROR(__xludf.DUMMYFUNCTION("IF(IF(COUNTIF(P$2:P1078, P1079)=0, """", INDEX(H$2:H1078,
MAX(FILTER(ROW(H$2:H1078) - ROW(H$2) + 1, P$2:P1078 = P1079))))=""単価"","""",
IF(COUNTIF(P$2:P1078, P1079)=0, """", INDEX(H$2:H1078,
MAX(FILTER(ROW(H$2:H1078) - ROW(H$2) + 1, P$2:P1078 = P1079)))))"),44.8)</f>
        <v>44.8</v>
      </c>
      <c r="N1079" s="335" t="str">
        <f>IF(MAXIFS('単価履歴'!$O:$O,'単価履歴'!$E:$E,E1079,'単価履歴'!$F:$F,F1079)=O1079,"●","")</f>
        <v/>
      </c>
      <c r="O1079" s="346">
        <v>45768.77138888889</v>
      </c>
      <c r="P1079" s="334" t="str">
        <f t="shared" si="4"/>
        <v>中山製鋼:阪和新断Ｃ</v>
      </c>
    </row>
    <row r="1080" ht="15.75" customHeight="1">
      <c r="A1080" s="335" t="s">
        <v>2272</v>
      </c>
      <c r="B1080" s="336">
        <v>45769.0</v>
      </c>
      <c r="C1080" s="335" t="s">
        <v>5</v>
      </c>
      <c r="D1080" s="335" t="s">
        <v>1232</v>
      </c>
      <c r="E1080" s="337" t="str">
        <f t="shared" si="1"/>
        <v>中山製鋼:豊通/出張商店</v>
      </c>
      <c r="F1080" s="338" t="s">
        <v>130</v>
      </c>
      <c r="G1080" s="339" t="str">
        <f t="shared" si="2"/>
        <v>中山製鋼:豊通/出張商店新断Ａ</v>
      </c>
      <c r="H1080" s="340">
        <f t="shared" si="3"/>
        <v>45.3</v>
      </c>
      <c r="I1080" s="341">
        <v>-0.5</v>
      </c>
      <c r="J1080" s="332">
        <f>IFERROR(__xludf.DUMMYFUNCTION("IF(IF(COUNTIF(P$2:P1079, P1080)=0, """", INDEX(H$2:H1079,
MAX(FILTER(ROW(H$2:H1079) - ROW(H$2) + 1, P$2:P1079 = P1080))))=""単価"","""",
IF(COUNTIF(P$2:P1079, P1080)=0, """", INDEX(H$2:H1079,
MAX(FILTER(ROW(H$2:H1079) - ROW(H$2) + 1, P$2:P1079 = P1080)))))"),45.8)</f>
        <v>45.8</v>
      </c>
      <c r="N1080" s="335" t="str">
        <f>IF(MAXIFS('単価履歴'!$O:$O,'単価履歴'!$E:$E,E1080,'単価履歴'!$F:$F,F1080)=O1080,"●","")</f>
        <v/>
      </c>
      <c r="O1080" s="346">
        <v>45768.77138888889</v>
      </c>
      <c r="P1080" s="334" t="str">
        <f t="shared" si="4"/>
        <v>中山製鋼:豊通/出張商店新断Ａ</v>
      </c>
    </row>
    <row r="1081" ht="15.75" customHeight="1">
      <c r="A1081" s="335" t="s">
        <v>2273</v>
      </c>
      <c r="B1081" s="336">
        <v>45769.0</v>
      </c>
      <c r="C1081" s="335" t="s">
        <v>5</v>
      </c>
      <c r="D1081" s="335" t="s">
        <v>1234</v>
      </c>
      <c r="E1081" s="337" t="str">
        <f t="shared" si="1"/>
        <v>中山製鋼:豊通/中川嘉弘商店</v>
      </c>
      <c r="F1081" s="338" t="s">
        <v>130</v>
      </c>
      <c r="G1081" s="339" t="str">
        <f t="shared" si="2"/>
        <v>中山製鋼:豊通/中川嘉弘商店新断Ａ</v>
      </c>
      <c r="H1081" s="340">
        <f t="shared" si="3"/>
        <v>43.8</v>
      </c>
      <c r="I1081" s="341">
        <v>-0.5</v>
      </c>
      <c r="J1081" s="332">
        <f>IFERROR(__xludf.DUMMYFUNCTION("IF(IF(COUNTIF(P$2:P1080, P1081)=0, """", INDEX(H$2:H1080,
MAX(FILTER(ROW(H$2:H1080) - ROW(H$2) + 1, P$2:P1080 = P1081))))=""単価"","""",
IF(COUNTIF(P$2:P1080, P1081)=0, """", INDEX(H$2:H1080,
MAX(FILTER(ROW(H$2:H1080) - ROW(H$2) + 1, P$2:P1080 = P1081)))))"),44.3)</f>
        <v>44.3</v>
      </c>
      <c r="N1081" s="335" t="str">
        <f>IF(MAXIFS('単価履歴'!$O:$O,'単価履歴'!$E:$E,E1081,'単価履歴'!$F:$F,F1081)=O1081,"●","")</f>
        <v/>
      </c>
      <c r="O1081" s="346">
        <v>45768.77138888889</v>
      </c>
      <c r="P1081" s="334" t="str">
        <f t="shared" si="4"/>
        <v>中山製鋼:豊通/中川嘉弘商店新断Ａ</v>
      </c>
    </row>
    <row r="1082" ht="15.75" customHeight="1">
      <c r="A1082" s="335" t="s">
        <v>2274</v>
      </c>
      <c r="B1082" s="336">
        <v>45769.0</v>
      </c>
      <c r="C1082" s="335" t="s">
        <v>5</v>
      </c>
      <c r="D1082" s="335" t="s">
        <v>47</v>
      </c>
      <c r="E1082" s="337" t="str">
        <f t="shared" si="1"/>
        <v>中山製鋼:豊通</v>
      </c>
      <c r="F1082" s="338" t="s">
        <v>111</v>
      </c>
      <c r="G1082" s="339" t="str">
        <f t="shared" si="2"/>
        <v>中山製鋼:豊通Ｈ１(特A)</v>
      </c>
      <c r="H1082" s="340">
        <f t="shared" si="3"/>
        <v>43.8</v>
      </c>
      <c r="I1082" s="341">
        <v>-0.5</v>
      </c>
      <c r="J1082" s="332">
        <f>IFERROR(__xludf.DUMMYFUNCTION("IF(IF(COUNTIF(P$2:P1081, P1082)=0, """", INDEX(H$2:H1081,
MAX(FILTER(ROW(H$2:H1081) - ROW(H$2) + 1, P$2:P1081 = P1082))))=""単価"","""",
IF(COUNTIF(P$2:P1081, P1082)=0, """", INDEX(H$2:H1081,
MAX(FILTER(ROW(H$2:H1081) - ROW(H$2) + 1, P$2:P1081 = P1082)))))"),44.3)</f>
        <v>44.3</v>
      </c>
      <c r="N1082" s="335" t="str">
        <f>IF(MAXIFS('単価履歴'!$O:$O,'単価履歴'!$E:$E,E1082,'単価履歴'!$F:$F,F1082)=O1082,"●","")</f>
        <v/>
      </c>
      <c r="O1082" s="346">
        <v>45768.77138888889</v>
      </c>
      <c r="P1082" s="334" t="str">
        <f t="shared" si="4"/>
        <v>中山製鋼:豊通Ｈ１(特A)</v>
      </c>
    </row>
    <row r="1083" ht="15.75" customHeight="1">
      <c r="A1083" s="335" t="s">
        <v>2275</v>
      </c>
      <c r="B1083" s="336">
        <v>45769.0</v>
      </c>
      <c r="C1083" s="335" t="s">
        <v>5</v>
      </c>
      <c r="D1083" s="335" t="s">
        <v>47</v>
      </c>
      <c r="E1083" s="337" t="str">
        <f t="shared" si="1"/>
        <v>中山製鋼:豊通</v>
      </c>
      <c r="F1083" s="338" t="s">
        <v>116</v>
      </c>
      <c r="G1083" s="339" t="str">
        <f t="shared" si="2"/>
        <v>中山製鋼:豊通Ｈ２(特級)</v>
      </c>
      <c r="H1083" s="340">
        <f t="shared" si="3"/>
        <v>37.8</v>
      </c>
      <c r="I1083" s="341">
        <v>-0.5</v>
      </c>
      <c r="J1083" s="332">
        <f>IFERROR(__xludf.DUMMYFUNCTION("IF(IF(COUNTIF(P$2:P1082, P1083)=0, """", INDEX(H$2:H1082,
MAX(FILTER(ROW(H$2:H1082) - ROW(H$2) + 1, P$2:P1082 = P1083))))=""単価"","""",
IF(COUNTIF(P$2:P1082, P1083)=0, """", INDEX(H$2:H1082,
MAX(FILTER(ROW(H$2:H1082) - ROW(H$2) + 1, P$2:P1082 = P1083)))))"),38.3)</f>
        <v>38.3</v>
      </c>
      <c r="N1083" s="335" t="str">
        <f>IF(MAXIFS('単価履歴'!$O:$O,'単価履歴'!$E:$E,E1083,'単価履歴'!$F:$F,F1083)=O1083,"●","")</f>
        <v/>
      </c>
      <c r="O1083" s="346">
        <v>45768.77138888889</v>
      </c>
      <c r="P1083" s="334" t="str">
        <f t="shared" si="4"/>
        <v>中山製鋼:豊通Ｈ２(特級)</v>
      </c>
    </row>
    <row r="1084" ht="15.75" customHeight="1">
      <c r="A1084" s="335" t="s">
        <v>2276</v>
      </c>
      <c r="B1084" s="336">
        <v>45769.0</v>
      </c>
      <c r="C1084" s="335" t="s">
        <v>5</v>
      </c>
      <c r="D1084" s="335" t="s">
        <v>47</v>
      </c>
      <c r="E1084" s="337" t="str">
        <f t="shared" si="1"/>
        <v>中山製鋼:豊通</v>
      </c>
      <c r="F1084" s="338" t="s">
        <v>119</v>
      </c>
      <c r="G1084" s="339" t="str">
        <f t="shared" si="2"/>
        <v>中山製鋼:豊通Ｈ３(1級)</v>
      </c>
      <c r="H1084" s="340">
        <f t="shared" si="3"/>
        <v>33.8</v>
      </c>
      <c r="I1084" s="341">
        <v>-0.5</v>
      </c>
      <c r="J1084" s="332">
        <f>IFERROR(__xludf.DUMMYFUNCTION("IF(IF(COUNTIF(P$2:P1083, P1084)=0, """", INDEX(H$2:H1083,
MAX(FILTER(ROW(H$2:H1083) - ROW(H$2) + 1, P$2:P1083 = P1084))))=""単価"","""",
IF(COUNTIF(P$2:P1083, P1084)=0, """", INDEX(H$2:H1083,
MAX(FILTER(ROW(H$2:H1083) - ROW(H$2) + 1, P$2:P1083 = P1084)))))"),34.3)</f>
        <v>34.3</v>
      </c>
      <c r="N1084" s="335" t="str">
        <f>IF(MAXIFS('単価履歴'!$O:$O,'単価履歴'!$E:$E,E1084,'単価履歴'!$F:$F,F1084)=O1084,"●","")</f>
        <v/>
      </c>
      <c r="O1084" s="346">
        <v>45768.77138888889</v>
      </c>
      <c r="P1084" s="334" t="str">
        <f t="shared" si="4"/>
        <v>中山製鋼:豊通Ｈ３(1級)</v>
      </c>
    </row>
    <row r="1085" ht="15.75" customHeight="1">
      <c r="A1085" s="335" t="s">
        <v>2277</v>
      </c>
      <c r="B1085" s="336">
        <v>45769.0</v>
      </c>
      <c r="C1085" s="335" t="s">
        <v>5</v>
      </c>
      <c r="D1085" s="335" t="s">
        <v>47</v>
      </c>
      <c r="E1085" s="337" t="str">
        <f t="shared" si="1"/>
        <v>中山製鋼:豊通</v>
      </c>
      <c r="F1085" s="338" t="s">
        <v>1199</v>
      </c>
      <c r="G1085" s="339" t="str">
        <f t="shared" si="2"/>
        <v>中山製鋼:豊通ＨＳ１(単体H1/電特A/HS))</v>
      </c>
      <c r="H1085" s="340">
        <f t="shared" si="3"/>
        <v>44.8</v>
      </c>
      <c r="I1085" s="341">
        <v>-0.5</v>
      </c>
      <c r="J1085" s="332">
        <f>IFERROR(__xludf.DUMMYFUNCTION("IF(IF(COUNTIF(P$2:P1084, P1085)=0, """", INDEX(H$2:H1084,
MAX(FILTER(ROW(H$2:H1084) - ROW(H$2) + 1, P$2:P1084 = P1085))))=""単価"","""",
IF(COUNTIF(P$2:P1084, P1085)=0, """", INDEX(H$2:H1084,
MAX(FILTER(ROW(H$2:H1084) - ROW(H$2) + 1, P$2:P1084 = P1085)))))"),45.3)</f>
        <v>45.3</v>
      </c>
      <c r="N1085" s="335" t="str">
        <f>IF(MAXIFS('単価履歴'!$O:$O,'単価履歴'!$E:$E,E1085,'単価履歴'!$F:$F,F1085)=O1085,"●","")</f>
        <v/>
      </c>
      <c r="O1085" s="346">
        <v>45768.77138888889</v>
      </c>
      <c r="P1085" s="334" t="str">
        <f t="shared" si="4"/>
        <v>中山製鋼:豊通ＨＳ１(単体H1/電特A/HS))</v>
      </c>
    </row>
    <row r="1086" ht="15.75" customHeight="1">
      <c r="A1086" s="335" t="s">
        <v>2278</v>
      </c>
      <c r="B1086" s="336">
        <v>45769.0</v>
      </c>
      <c r="C1086" s="335" t="s">
        <v>5</v>
      </c>
      <c r="D1086" s="335" t="s">
        <v>47</v>
      </c>
      <c r="E1086" s="337" t="str">
        <f t="shared" si="1"/>
        <v>中山製鋼:豊通</v>
      </c>
      <c r="F1086" s="338" t="s">
        <v>101</v>
      </c>
      <c r="G1086" s="339" t="str">
        <f t="shared" si="2"/>
        <v>中山製鋼:豊通ＨＳ２</v>
      </c>
      <c r="H1086" s="340">
        <f t="shared" si="3"/>
        <v>44.8</v>
      </c>
      <c r="I1086" s="341">
        <v>-0.5</v>
      </c>
      <c r="J1086" s="332">
        <f>IFERROR(__xludf.DUMMYFUNCTION("IF(IF(COUNTIF(P$2:P1085, P1086)=0, """", INDEX(H$2:H1085,
MAX(FILTER(ROW(H$2:H1085) - ROW(H$2) + 1, P$2:P1085 = P1086))))=""単価"","""",
IF(COUNTIF(P$2:P1085, P1086)=0, """", INDEX(H$2:H1085,
MAX(FILTER(ROW(H$2:H1085) - ROW(H$2) + 1, P$2:P1085 = P1086)))))"),45.3)</f>
        <v>45.3</v>
      </c>
      <c r="N1086" s="335" t="str">
        <f>IF(MAXIFS('単価履歴'!$O:$O,'単価履歴'!$E:$E,E1086,'単価履歴'!$F:$F,F1086)=O1086,"●","")</f>
        <v/>
      </c>
      <c r="O1086" s="346">
        <v>45768.77138888889</v>
      </c>
      <c r="P1086" s="334" t="str">
        <f t="shared" si="4"/>
        <v>中山製鋼:豊通ＨＳ２</v>
      </c>
    </row>
    <row r="1087" ht="15.75" customHeight="1">
      <c r="A1087" s="335" t="s">
        <v>2279</v>
      </c>
      <c r="B1087" s="336">
        <v>45769.0</v>
      </c>
      <c r="C1087" s="335" t="s">
        <v>5</v>
      </c>
      <c r="D1087" s="335" t="s">
        <v>47</v>
      </c>
      <c r="E1087" s="337" t="str">
        <f t="shared" si="1"/>
        <v>中山製鋼:豊通</v>
      </c>
      <c r="F1087" s="338" t="s">
        <v>122</v>
      </c>
      <c r="G1087" s="339" t="str">
        <f t="shared" si="2"/>
        <v>中山製鋼:豊通Ｌ１(2級)</v>
      </c>
      <c r="H1087" s="340">
        <f t="shared" si="3"/>
        <v>27.3</v>
      </c>
      <c r="I1087" s="341">
        <v>-0.5</v>
      </c>
      <c r="J1087" s="332">
        <f>IFERROR(__xludf.DUMMYFUNCTION("IF(IF(COUNTIF(P$2:P1086, P1087)=0, """", INDEX(H$2:H1086,
MAX(FILTER(ROW(H$2:H1086) - ROW(H$2) + 1, P$2:P1086 = P1087))))=""単価"","""",
IF(COUNTIF(P$2:P1086, P1087)=0, """", INDEX(H$2:H1086,
MAX(FILTER(ROW(H$2:H1086) - ROW(H$2) + 1, P$2:P1086 = P1087)))))"),27.8)</f>
        <v>27.8</v>
      </c>
      <c r="N1087" s="335" t="str">
        <f>IF(MAXIFS('単価履歴'!$O:$O,'単価履歴'!$E:$E,E1087,'単価履歴'!$F:$F,F1087)=O1087,"●","")</f>
        <v/>
      </c>
      <c r="O1087" s="346">
        <v>45768.77138888889</v>
      </c>
      <c r="P1087" s="334" t="str">
        <f t="shared" si="4"/>
        <v>中山製鋼:豊通Ｌ１(2級)</v>
      </c>
    </row>
    <row r="1088" ht="15.75" customHeight="1">
      <c r="A1088" s="335" t="s">
        <v>2280</v>
      </c>
      <c r="B1088" s="336">
        <v>45769.0</v>
      </c>
      <c r="C1088" s="335" t="s">
        <v>5</v>
      </c>
      <c r="D1088" s="335" t="s">
        <v>47</v>
      </c>
      <c r="E1088" s="337" t="str">
        <f t="shared" si="1"/>
        <v>中山製鋼:豊通</v>
      </c>
      <c r="F1088" s="338" t="s">
        <v>130</v>
      </c>
      <c r="G1088" s="339" t="str">
        <f t="shared" si="2"/>
        <v>中山製鋼:豊通新断Ａ</v>
      </c>
      <c r="H1088" s="340">
        <f t="shared" si="3"/>
        <v>46.3</v>
      </c>
      <c r="I1088" s="341">
        <v>-0.5</v>
      </c>
      <c r="J1088" s="332">
        <f>IFERROR(__xludf.DUMMYFUNCTION("IF(IF(COUNTIF(P$2:P1087, P1088)=0, """", INDEX(H$2:H1087,
MAX(FILTER(ROW(H$2:H1087) - ROW(H$2) + 1, P$2:P1087 = P1088))))=""単価"","""",
IF(COUNTIF(P$2:P1087, P1088)=0, """", INDEX(H$2:H1087,
MAX(FILTER(ROW(H$2:H1087) - ROW(H$2) + 1, P$2:P1087 = P1088)))))"),46.8)</f>
        <v>46.8</v>
      </c>
      <c r="N1088" s="335" t="str">
        <f>IF(MAXIFS('単価履歴'!$O:$O,'単価履歴'!$E:$E,E1088,'単価履歴'!$F:$F,F1088)=O1088,"●","")</f>
        <v/>
      </c>
      <c r="O1088" s="346">
        <v>45768.77138888889</v>
      </c>
      <c r="P1088" s="334" t="str">
        <f t="shared" si="4"/>
        <v>中山製鋼:豊通新断Ａ</v>
      </c>
    </row>
    <row r="1089" ht="15.75" customHeight="1">
      <c r="A1089" s="335" t="s">
        <v>2281</v>
      </c>
      <c r="B1089" s="336">
        <v>45769.0</v>
      </c>
      <c r="C1089" s="335" t="s">
        <v>5</v>
      </c>
      <c r="D1089" s="335" t="s">
        <v>47</v>
      </c>
      <c r="E1089" s="337" t="str">
        <f t="shared" si="1"/>
        <v>中山製鋼:豊通</v>
      </c>
      <c r="F1089" s="338" t="s">
        <v>131</v>
      </c>
      <c r="G1089" s="339" t="str">
        <f t="shared" si="2"/>
        <v>中山製鋼:豊通新断Ｂ</v>
      </c>
      <c r="H1089" s="340">
        <f t="shared" si="3"/>
        <v>45.3</v>
      </c>
      <c r="I1089" s="341">
        <v>-0.5</v>
      </c>
      <c r="J1089" s="332">
        <f>IFERROR(__xludf.DUMMYFUNCTION("IF(IF(COUNTIF(P$2:P1088, P1089)=0, """", INDEX(H$2:H1088,
MAX(FILTER(ROW(H$2:H1088) - ROW(H$2) + 1, P$2:P1088 = P1089))))=""単価"","""",
IF(COUNTIF(P$2:P1088, P1089)=0, """", INDEX(H$2:H1088,
MAX(FILTER(ROW(H$2:H1088) - ROW(H$2) + 1, P$2:P1088 = P1089)))))"),45.8)</f>
        <v>45.8</v>
      </c>
      <c r="N1089" s="335" t="str">
        <f>IF(MAXIFS('単価履歴'!$O:$O,'単価履歴'!$E:$E,E1089,'単価履歴'!$F:$F,F1089)=O1089,"●","")</f>
        <v/>
      </c>
      <c r="O1089" s="346">
        <v>45768.77138888889</v>
      </c>
      <c r="P1089" s="334" t="str">
        <f t="shared" si="4"/>
        <v>中山製鋼:豊通新断Ｂ</v>
      </c>
    </row>
    <row r="1090" ht="15.75" customHeight="1">
      <c r="A1090" s="335" t="s">
        <v>2282</v>
      </c>
      <c r="B1090" s="336">
        <v>45769.0</v>
      </c>
      <c r="C1090" s="335" t="s">
        <v>5</v>
      </c>
      <c r="D1090" s="335" t="s">
        <v>47</v>
      </c>
      <c r="E1090" s="337" t="str">
        <f t="shared" si="1"/>
        <v>中山製鋼:豊通</v>
      </c>
      <c r="F1090" s="338" t="s">
        <v>574</v>
      </c>
      <c r="G1090" s="339" t="str">
        <f t="shared" si="2"/>
        <v>中山製鋼:豊通新断Ｃ</v>
      </c>
      <c r="H1090" s="340">
        <f t="shared" si="3"/>
        <v>44.3</v>
      </c>
      <c r="I1090" s="341">
        <v>-0.5</v>
      </c>
      <c r="J1090" s="332">
        <f>IFERROR(__xludf.DUMMYFUNCTION("IF(IF(COUNTIF(P$2:P1089, P1090)=0, """", INDEX(H$2:H1089,
MAX(FILTER(ROW(H$2:H1089) - ROW(H$2) + 1, P$2:P1089 = P1090))))=""単価"","""",
IF(COUNTIF(P$2:P1089, P1090)=0, """", INDEX(H$2:H1089,
MAX(FILTER(ROW(H$2:H1089) - ROW(H$2) + 1, P$2:P1089 = P1090)))))"),44.8)</f>
        <v>44.8</v>
      </c>
      <c r="N1090" s="335" t="str">
        <f>IF(MAXIFS('単価履歴'!$O:$O,'単価履歴'!$E:$E,E1090,'単価履歴'!$F:$F,F1090)=O1090,"●","")</f>
        <v/>
      </c>
      <c r="O1090" s="346">
        <v>45768.77138888889</v>
      </c>
      <c r="P1090" s="334" t="str">
        <f t="shared" si="4"/>
        <v>中山製鋼:豊通新断Ｃ</v>
      </c>
    </row>
    <row r="1091" ht="15.75" customHeight="1">
      <c r="A1091" s="335" t="s">
        <v>2283</v>
      </c>
      <c r="B1091" s="336">
        <v>45769.0</v>
      </c>
      <c r="C1091" s="335" t="s">
        <v>6</v>
      </c>
      <c r="D1091" s="335" t="s">
        <v>48</v>
      </c>
      <c r="E1091" s="337" t="str">
        <f t="shared" si="1"/>
        <v>中山鋼業:ナベ</v>
      </c>
      <c r="F1091" s="338" t="s">
        <v>111</v>
      </c>
      <c r="G1091" s="339" t="str">
        <f t="shared" si="2"/>
        <v>中山鋼業:ナベＨ１(特A)</v>
      </c>
      <c r="H1091" s="340">
        <f t="shared" si="3"/>
        <v>45.5</v>
      </c>
      <c r="I1091" s="341">
        <v>-0.5</v>
      </c>
      <c r="J1091" s="332">
        <f>IFERROR(__xludf.DUMMYFUNCTION("IF(IF(COUNTIF(P$2:P1090, P1091)=0, """", INDEX(H$2:H1090,
MAX(FILTER(ROW(H$2:H1090) - ROW(H$2) + 1, P$2:P1090 = P1091))))=""単価"","""",
IF(COUNTIF(P$2:P1090, P1091)=0, """", INDEX(H$2:H1090,
MAX(FILTER(ROW(H$2:H1090) - ROW(H$2) + 1, P$2:P1090 = P1091)))))"),46.0)</f>
        <v>46</v>
      </c>
      <c r="N1091" s="335" t="str">
        <f>IF(MAXIFS('単価履歴'!$O:$O,'単価履歴'!$E:$E,E1091,'単価履歴'!$F:$F,F1091)=O1091,"●","")</f>
        <v/>
      </c>
      <c r="O1091" s="346">
        <v>45768.77175925926</v>
      </c>
      <c r="P1091" s="334" t="str">
        <f t="shared" si="4"/>
        <v>中山鋼業:ナベＨ１(特A)</v>
      </c>
    </row>
    <row r="1092" ht="15.75" customHeight="1">
      <c r="A1092" s="335" t="s">
        <v>2284</v>
      </c>
      <c r="B1092" s="336">
        <v>45769.0</v>
      </c>
      <c r="C1092" s="335" t="s">
        <v>6</v>
      </c>
      <c r="D1092" s="335" t="s">
        <v>48</v>
      </c>
      <c r="E1092" s="337" t="str">
        <f t="shared" si="1"/>
        <v>中山鋼業:ナベ</v>
      </c>
      <c r="F1092" s="338" t="s">
        <v>116</v>
      </c>
      <c r="G1092" s="339" t="str">
        <f t="shared" si="2"/>
        <v>中山鋼業:ナベＨ２(特級)</v>
      </c>
      <c r="H1092" s="340">
        <f t="shared" si="3"/>
        <v>43</v>
      </c>
      <c r="I1092" s="341">
        <v>-0.5</v>
      </c>
      <c r="J1092" s="332">
        <f>IFERROR(__xludf.DUMMYFUNCTION("IF(IF(COUNTIF(P$2:P1091, P1092)=0, """", INDEX(H$2:H1091,
MAX(FILTER(ROW(H$2:H1091) - ROW(H$2) + 1, P$2:P1091 = P1092))))=""単価"","""",
IF(COUNTIF(P$2:P1091, P1092)=0, """", INDEX(H$2:H1091,
MAX(FILTER(ROW(H$2:H1091) - ROW(H$2) + 1, P$2:P1091 = P1092)))))"),43.5)</f>
        <v>43.5</v>
      </c>
      <c r="N1092" s="335" t="str">
        <f>IF(MAXIFS('単価履歴'!$O:$O,'単価履歴'!$E:$E,E1092,'単価履歴'!$F:$F,F1092)=O1092,"●","")</f>
        <v/>
      </c>
      <c r="O1092" s="346">
        <v>45768.77175925926</v>
      </c>
      <c r="P1092" s="334" t="str">
        <f t="shared" si="4"/>
        <v>中山鋼業:ナベＨ２(特級)</v>
      </c>
    </row>
    <row r="1093" ht="15.75" customHeight="1">
      <c r="A1093" s="335" t="s">
        <v>2285</v>
      </c>
      <c r="B1093" s="336">
        <v>45769.0</v>
      </c>
      <c r="C1093" s="335" t="s">
        <v>6</v>
      </c>
      <c r="D1093" s="335" t="s">
        <v>48</v>
      </c>
      <c r="E1093" s="337" t="str">
        <f t="shared" si="1"/>
        <v>中山鋼業:ナベ</v>
      </c>
      <c r="F1093" s="338" t="s">
        <v>119</v>
      </c>
      <c r="G1093" s="339" t="str">
        <f t="shared" si="2"/>
        <v>中山鋼業:ナベＨ３(1級)</v>
      </c>
      <c r="H1093" s="340">
        <f t="shared" si="3"/>
        <v>41.5</v>
      </c>
      <c r="I1093" s="341">
        <v>-0.5</v>
      </c>
      <c r="J1093" s="332">
        <f>IFERROR(__xludf.DUMMYFUNCTION("IF(IF(COUNTIF(P$2:P1092, P1093)=0, """", INDEX(H$2:H1092,
MAX(FILTER(ROW(H$2:H1092) - ROW(H$2) + 1, P$2:P1092 = P1093))))=""単価"","""",
IF(COUNTIF(P$2:P1092, P1093)=0, """", INDEX(H$2:H1092,
MAX(FILTER(ROW(H$2:H1092) - ROW(H$2) + 1, P$2:P1092 = P1093)))))"),42.0)</f>
        <v>42</v>
      </c>
      <c r="N1093" s="335" t="str">
        <f>IF(MAXIFS('単価履歴'!$O:$O,'単価履歴'!$E:$E,E1093,'単価履歴'!$F:$F,F1093)=O1093,"●","")</f>
        <v/>
      </c>
      <c r="O1093" s="346">
        <v>45768.77175925926</v>
      </c>
      <c r="P1093" s="334" t="str">
        <f t="shared" si="4"/>
        <v>中山鋼業:ナベＨ３(1級)</v>
      </c>
    </row>
    <row r="1094" ht="15.75" customHeight="1">
      <c r="A1094" s="335" t="s">
        <v>2286</v>
      </c>
      <c r="B1094" s="336">
        <v>45769.0</v>
      </c>
      <c r="C1094" s="335" t="s">
        <v>6</v>
      </c>
      <c r="D1094" s="335" t="s">
        <v>48</v>
      </c>
      <c r="E1094" s="337" t="str">
        <f t="shared" si="1"/>
        <v>中山鋼業:ナベ</v>
      </c>
      <c r="F1094" s="338" t="s">
        <v>1237</v>
      </c>
      <c r="G1094" s="339" t="str">
        <f t="shared" si="2"/>
        <v>中山鋼業:ナベＪＨ１(H2T山口)鍛造ﾊﾞﾘ</v>
      </c>
      <c r="H1094" s="340">
        <f t="shared" si="3"/>
        <v>44.2</v>
      </c>
      <c r="I1094" s="341">
        <v>-0.5</v>
      </c>
      <c r="J1094" s="332">
        <f>IFERROR(__xludf.DUMMYFUNCTION("IF(IF(COUNTIF(P$2:P1093, P1094)=0, """", INDEX(H$2:H1093,
MAX(FILTER(ROW(H$2:H1093) - ROW(H$2) + 1, P$2:P1093 = P1094))))=""単価"","""",
IF(COUNTIF(P$2:P1093, P1094)=0, """", INDEX(H$2:H1093,
MAX(FILTER(ROW(H$2:H1093) - ROW(H$2) + 1, P$2:P1093 = P1094)))))"),44.7)</f>
        <v>44.7</v>
      </c>
      <c r="N1094" s="335" t="str">
        <f>IF(MAXIFS('単価履歴'!$O:$O,'単価履歴'!$E:$E,E1094,'単価履歴'!$F:$F,F1094)=O1094,"●","")</f>
        <v/>
      </c>
      <c r="O1094" s="346">
        <v>45768.77175925926</v>
      </c>
      <c r="P1094" s="334" t="str">
        <f t="shared" si="4"/>
        <v>中山鋼業:ナベＪＨ１(H2T山口)鍛造ﾊﾞﾘ</v>
      </c>
    </row>
    <row r="1095" ht="15.75" customHeight="1">
      <c r="A1095" s="335" t="s">
        <v>2287</v>
      </c>
      <c r="B1095" s="336">
        <v>45769.0</v>
      </c>
      <c r="C1095" s="335" t="s">
        <v>6</v>
      </c>
      <c r="D1095" s="335" t="s">
        <v>48</v>
      </c>
      <c r="E1095" s="337" t="str">
        <f t="shared" si="1"/>
        <v>中山鋼業:ナベ</v>
      </c>
      <c r="F1095" s="338" t="s">
        <v>122</v>
      </c>
      <c r="G1095" s="339" t="str">
        <f t="shared" si="2"/>
        <v>中山鋼業:ナベＬ１(2級)</v>
      </c>
      <c r="H1095" s="340">
        <f t="shared" si="3"/>
        <v>41</v>
      </c>
      <c r="I1095" s="341">
        <v>-0.5</v>
      </c>
      <c r="J1095" s="332">
        <f>IFERROR(__xludf.DUMMYFUNCTION("IF(IF(COUNTIF(P$2:P1094, P1095)=0, """", INDEX(H$2:H1094,
MAX(FILTER(ROW(H$2:H1094) - ROW(H$2) + 1, P$2:P1094 = P1095))))=""単価"","""",
IF(COUNTIF(P$2:P1094, P1095)=0, """", INDEX(H$2:H1094,
MAX(FILTER(ROW(H$2:H1094) - ROW(H$2) + 1, P$2:P1094 = P1095)))))"),41.5)</f>
        <v>41.5</v>
      </c>
      <c r="N1095" s="335" t="str">
        <f>IF(MAXIFS('単価履歴'!$O:$O,'単価履歴'!$E:$E,E1095,'単価履歴'!$F:$F,F1095)=O1095,"●","")</f>
        <v/>
      </c>
      <c r="O1095" s="346">
        <v>45768.77175925926</v>
      </c>
      <c r="P1095" s="334" t="str">
        <f t="shared" si="4"/>
        <v>中山鋼業:ナベＬ１(2級)</v>
      </c>
    </row>
    <row r="1096" ht="15.75" customHeight="1">
      <c r="A1096" s="335" t="s">
        <v>2288</v>
      </c>
      <c r="B1096" s="336">
        <v>45769.0</v>
      </c>
      <c r="C1096" s="335" t="s">
        <v>6</v>
      </c>
      <c r="D1096" s="335" t="s">
        <v>48</v>
      </c>
      <c r="E1096" s="337" t="str">
        <f t="shared" si="1"/>
        <v>中山鋼業:ナベ</v>
      </c>
      <c r="F1096" s="338" t="s">
        <v>573</v>
      </c>
      <c r="G1096" s="339" t="str">
        <f t="shared" si="2"/>
        <v>中山鋼業:ナベＬ２(H4･級外･L1ﾊﾞﾗ)</v>
      </c>
      <c r="H1096" s="340">
        <f t="shared" si="3"/>
        <v>37.5</v>
      </c>
      <c r="I1096" s="341">
        <v>-0.5</v>
      </c>
      <c r="J1096" s="332">
        <f>IFERROR(__xludf.DUMMYFUNCTION("IF(IF(COUNTIF(P$2:P1095, P1096)=0, """", INDEX(H$2:H1095,
MAX(FILTER(ROW(H$2:H1095) - ROW(H$2) + 1, P$2:P1095 = P1096))))=""単価"","""",
IF(COUNTIF(P$2:P1095, P1096)=0, """", INDEX(H$2:H1095,
MAX(FILTER(ROW(H$2:H1095) - ROW(H$2) + 1, P$2:P1095 = P1096)))))"),38.0)</f>
        <v>38</v>
      </c>
      <c r="N1096" s="335" t="str">
        <f>IF(MAXIFS('単価履歴'!$O:$O,'単価履歴'!$E:$E,E1096,'単価履歴'!$F:$F,F1096)=O1096,"●","")</f>
        <v/>
      </c>
      <c r="O1096" s="346">
        <v>45768.77175925926</v>
      </c>
      <c r="P1096" s="334" t="str">
        <f t="shared" si="4"/>
        <v>中山鋼業:ナベＬ２(H4･級外･L1ﾊﾞﾗ)</v>
      </c>
    </row>
    <row r="1097" ht="15.75" customHeight="1">
      <c r="A1097" s="335" t="s">
        <v>2289</v>
      </c>
      <c r="B1097" s="336">
        <v>45769.0</v>
      </c>
      <c r="C1097" s="335" t="s">
        <v>6</v>
      </c>
      <c r="D1097" s="335" t="s">
        <v>48</v>
      </c>
      <c r="E1097" s="337" t="str">
        <f t="shared" si="1"/>
        <v>中山鋼業:ナベ</v>
      </c>
      <c r="F1097" s="338" t="s">
        <v>575</v>
      </c>
      <c r="G1097" s="339" t="str">
        <f t="shared" si="2"/>
        <v>中山鋼業:ナベ鋼ダライＡ</v>
      </c>
      <c r="H1097" s="340">
        <f t="shared" si="3"/>
        <v>35.7</v>
      </c>
      <c r="I1097" s="341">
        <v>-0.5</v>
      </c>
      <c r="J1097" s="332">
        <f>IFERROR(__xludf.DUMMYFUNCTION("IF(IF(COUNTIF(P$2:P1096, P1097)=0, """", INDEX(H$2:H1096,
MAX(FILTER(ROW(H$2:H1096) - ROW(H$2) + 1, P$2:P1096 = P1097))))=""単価"","""",
IF(COUNTIF(P$2:P1096, P1097)=0, """", INDEX(H$2:H1096,
MAX(FILTER(ROW(H$2:H1096) - ROW(H$2) + 1, P$2:P1096 = P1097)))))"),36.2)</f>
        <v>36.2</v>
      </c>
      <c r="N1097" s="335" t="str">
        <f>IF(MAXIFS('単価履歴'!$O:$O,'単価履歴'!$E:$E,E1097,'単価履歴'!$F:$F,F1097)=O1097,"●","")</f>
        <v/>
      </c>
      <c r="O1097" s="346">
        <v>45768.77175925926</v>
      </c>
      <c r="P1097" s="334" t="str">
        <f t="shared" si="4"/>
        <v>中山鋼業:ナベ鋼ダライＡ</v>
      </c>
    </row>
    <row r="1098" ht="15.75" customHeight="1">
      <c r="A1098" s="335" t="s">
        <v>2290</v>
      </c>
      <c r="B1098" s="336">
        <v>45769.0</v>
      </c>
      <c r="C1098" s="335" t="s">
        <v>9</v>
      </c>
      <c r="D1098" s="335" t="s">
        <v>49</v>
      </c>
      <c r="E1098" s="337" t="str">
        <f t="shared" si="1"/>
        <v>大鉄　堺:伊藤忠</v>
      </c>
      <c r="F1098" s="338" t="s">
        <v>111</v>
      </c>
      <c r="G1098" s="339" t="str">
        <f t="shared" si="2"/>
        <v>大鉄　堺:伊藤忠Ｈ１(特A)</v>
      </c>
      <c r="H1098" s="340">
        <f t="shared" si="3"/>
        <v>28.8</v>
      </c>
      <c r="I1098" s="341">
        <v>-0.5</v>
      </c>
      <c r="J1098" s="332">
        <f>IFERROR(__xludf.DUMMYFUNCTION("IF(IF(COUNTIF(P$2:P1097, P1098)=0, """", INDEX(H$2:H1097,
MAX(FILTER(ROW(H$2:H1097) - ROW(H$2) + 1, P$2:P1097 = P1098))))=""単価"","""",
IF(COUNTIF(P$2:P1097, P1098)=0, """", INDEX(H$2:H1097,
MAX(FILTER(ROW(H$2:H1097) - ROW(H$2) + 1, P$2:P1097 = P1098)))))"),29.3)</f>
        <v>29.3</v>
      </c>
      <c r="N1098" s="335" t="str">
        <f>IF(MAXIFS('単価履歴'!$O:$O,'単価履歴'!$E:$E,E1098,'単価履歴'!$F:$F,F1098)=O1098,"●","")</f>
        <v/>
      </c>
      <c r="O1098" s="346">
        <v>45768.77209490741</v>
      </c>
      <c r="P1098" s="334" t="str">
        <f t="shared" si="4"/>
        <v>大鉄　堺:伊藤忠Ｈ１(特A)</v>
      </c>
    </row>
    <row r="1099" ht="15.75" customHeight="1">
      <c r="A1099" s="335" t="s">
        <v>2291</v>
      </c>
      <c r="B1099" s="336">
        <v>45769.0</v>
      </c>
      <c r="C1099" s="335" t="s">
        <v>9</v>
      </c>
      <c r="D1099" s="335" t="s">
        <v>49</v>
      </c>
      <c r="E1099" s="337" t="str">
        <f t="shared" si="1"/>
        <v>大鉄　堺:伊藤忠</v>
      </c>
      <c r="F1099" s="338" t="s">
        <v>116</v>
      </c>
      <c r="G1099" s="339" t="str">
        <f t="shared" si="2"/>
        <v>大鉄　堺:伊藤忠Ｈ２(特級)</v>
      </c>
      <c r="H1099" s="340">
        <f t="shared" si="3"/>
        <v>34</v>
      </c>
      <c r="I1099" s="341">
        <v>-0.5</v>
      </c>
      <c r="J1099" s="332">
        <f>IFERROR(__xludf.DUMMYFUNCTION("IF(IF(COUNTIF(P$2:P1098, P1099)=0, """", INDEX(H$2:H1098,
MAX(FILTER(ROW(H$2:H1098) - ROW(H$2) + 1, P$2:P1098 = P1099))))=""単価"","""",
IF(COUNTIF(P$2:P1098, P1099)=0, """", INDEX(H$2:H1098,
MAX(FILTER(ROW(H$2:H1098) - ROW(H$2) + 1, P$2:P1098 = P1099)))))"),34.5)</f>
        <v>34.5</v>
      </c>
      <c r="N1099" s="335" t="str">
        <f>IF(MAXIFS('単価履歴'!$O:$O,'単価履歴'!$E:$E,E1099,'単価履歴'!$F:$F,F1099)=O1099,"●","")</f>
        <v/>
      </c>
      <c r="O1099" s="346">
        <v>45768.77209490741</v>
      </c>
      <c r="P1099" s="334" t="str">
        <f t="shared" si="4"/>
        <v>大鉄　堺:伊藤忠Ｈ２(特級)</v>
      </c>
    </row>
    <row r="1100" ht="15.75" customHeight="1">
      <c r="A1100" s="335" t="s">
        <v>2292</v>
      </c>
      <c r="B1100" s="336">
        <v>45769.0</v>
      </c>
      <c r="C1100" s="335" t="s">
        <v>9</v>
      </c>
      <c r="D1100" s="335" t="s">
        <v>49</v>
      </c>
      <c r="E1100" s="337" t="str">
        <f t="shared" si="1"/>
        <v>大鉄　堺:伊藤忠</v>
      </c>
      <c r="F1100" s="338" t="s">
        <v>119</v>
      </c>
      <c r="G1100" s="339" t="str">
        <f t="shared" si="2"/>
        <v>大鉄　堺:伊藤忠Ｈ３(1級)</v>
      </c>
      <c r="H1100" s="340">
        <f t="shared" si="3"/>
        <v>33</v>
      </c>
      <c r="I1100" s="341">
        <v>-0.5</v>
      </c>
      <c r="J1100" s="332">
        <f>IFERROR(__xludf.DUMMYFUNCTION("IF(IF(COUNTIF(P$2:P1099, P1100)=0, """", INDEX(H$2:H1099,
MAX(FILTER(ROW(H$2:H1099) - ROW(H$2) + 1, P$2:P1099 = P1100))))=""単価"","""",
IF(COUNTIF(P$2:P1099, P1100)=0, """", INDEX(H$2:H1099,
MAX(FILTER(ROW(H$2:H1099) - ROW(H$2) + 1, P$2:P1099 = P1100)))))"),33.5)</f>
        <v>33.5</v>
      </c>
      <c r="N1100" s="335" t="str">
        <f>IF(MAXIFS('単価履歴'!$O:$O,'単価履歴'!$E:$E,E1100,'単価履歴'!$F:$F,F1100)=O1100,"●","")</f>
        <v/>
      </c>
      <c r="O1100" s="346">
        <v>45768.77209490741</v>
      </c>
      <c r="P1100" s="334" t="str">
        <f t="shared" si="4"/>
        <v>大鉄　堺:伊藤忠Ｈ３(1級)</v>
      </c>
    </row>
    <row r="1101" ht="15.75" customHeight="1">
      <c r="A1101" s="335" t="s">
        <v>2293</v>
      </c>
      <c r="B1101" s="336">
        <v>45769.0</v>
      </c>
      <c r="C1101" s="335" t="s">
        <v>9</v>
      </c>
      <c r="D1101" s="335" t="s">
        <v>49</v>
      </c>
      <c r="E1101" s="337" t="str">
        <f t="shared" si="1"/>
        <v>大鉄　堺:伊藤忠</v>
      </c>
      <c r="F1101" s="338" t="s">
        <v>1237</v>
      </c>
      <c r="G1101" s="339" t="str">
        <f t="shared" si="2"/>
        <v>大鉄　堺:伊藤忠ＪＨ１(H2T山口)鍛造ﾊﾞﾘ</v>
      </c>
      <c r="H1101" s="340">
        <f t="shared" si="3"/>
        <v>36.2</v>
      </c>
      <c r="I1101" s="341">
        <v>-0.5</v>
      </c>
      <c r="J1101" s="332">
        <f>IFERROR(__xludf.DUMMYFUNCTION("IF(IF(COUNTIF(P$2:P1100, P1101)=0, """", INDEX(H$2:H1100,
MAX(FILTER(ROW(H$2:H1100) - ROW(H$2) + 1, P$2:P1100 = P1101))))=""単価"","""",
IF(COUNTIF(P$2:P1100, P1101)=0, """", INDEX(H$2:H1100,
MAX(FILTER(ROW(H$2:H1100) - ROW(H$2) + 1, P$2:P1100 = P1101)))))"),36.7)</f>
        <v>36.7</v>
      </c>
      <c r="N1101" s="335" t="str">
        <f>IF(MAXIFS('単価履歴'!$O:$O,'単価履歴'!$E:$E,E1101,'単価履歴'!$F:$F,F1101)=O1101,"●","")</f>
        <v/>
      </c>
      <c r="O1101" s="346">
        <v>45768.77209490741</v>
      </c>
      <c r="P1101" s="334" t="str">
        <f t="shared" si="4"/>
        <v>大鉄　堺:伊藤忠ＪＨ１(H2T山口)鍛造ﾊﾞﾘ</v>
      </c>
    </row>
    <row r="1102" ht="15.75" customHeight="1">
      <c r="A1102" s="335" t="s">
        <v>2294</v>
      </c>
      <c r="B1102" s="336">
        <v>45769.0</v>
      </c>
      <c r="C1102" s="335" t="s">
        <v>9</v>
      </c>
      <c r="D1102" s="335" t="s">
        <v>49</v>
      </c>
      <c r="E1102" s="337" t="str">
        <f t="shared" si="1"/>
        <v>大鉄　堺:伊藤忠</v>
      </c>
      <c r="F1102" s="338" t="s">
        <v>122</v>
      </c>
      <c r="G1102" s="339" t="str">
        <f t="shared" si="2"/>
        <v>大鉄　堺:伊藤忠Ｌ１(2級)</v>
      </c>
      <c r="H1102" s="340">
        <f t="shared" si="3"/>
        <v>32</v>
      </c>
      <c r="I1102" s="341">
        <v>-0.5</v>
      </c>
      <c r="J1102" s="332">
        <f>IFERROR(__xludf.DUMMYFUNCTION("IF(IF(COUNTIF(P$2:P1101, P1102)=0, """", INDEX(H$2:H1101,
MAX(FILTER(ROW(H$2:H1101) - ROW(H$2) + 1, P$2:P1101 = P1102))))=""単価"","""",
IF(COUNTIF(P$2:P1101, P1102)=0, """", INDEX(H$2:H1101,
MAX(FILTER(ROW(H$2:H1101) - ROW(H$2) + 1, P$2:P1101 = P1102)))))"),32.5)</f>
        <v>32.5</v>
      </c>
      <c r="N1102" s="335" t="str">
        <f>IF(MAXIFS('単価履歴'!$O:$O,'単価履歴'!$E:$E,E1102,'単価履歴'!$F:$F,F1102)=O1102,"●","")</f>
        <v/>
      </c>
      <c r="O1102" s="346">
        <v>45768.77209490741</v>
      </c>
      <c r="P1102" s="334" t="str">
        <f t="shared" si="4"/>
        <v>大鉄　堺:伊藤忠Ｌ１(2級)</v>
      </c>
    </row>
    <row r="1103" ht="15.75" customHeight="1">
      <c r="A1103" s="335" t="s">
        <v>2295</v>
      </c>
      <c r="B1103" s="336">
        <v>45769.0</v>
      </c>
      <c r="C1103" s="335" t="s">
        <v>9</v>
      </c>
      <c r="D1103" s="335" t="s">
        <v>49</v>
      </c>
      <c r="E1103" s="337" t="str">
        <f t="shared" si="1"/>
        <v>大鉄　堺:伊藤忠</v>
      </c>
      <c r="F1103" s="338" t="s">
        <v>130</v>
      </c>
      <c r="G1103" s="339" t="str">
        <f t="shared" si="2"/>
        <v>大鉄　堺:伊藤忠新断Ａ</v>
      </c>
      <c r="H1103" s="340">
        <f t="shared" si="3"/>
        <v>28.3</v>
      </c>
      <c r="I1103" s="341">
        <v>-0.5</v>
      </c>
      <c r="J1103" s="332">
        <f>IFERROR(__xludf.DUMMYFUNCTION("IF(IF(COUNTIF(P$2:P1102, P1103)=0, """", INDEX(H$2:H1102,
MAX(FILTER(ROW(H$2:H1102) - ROW(H$2) + 1, P$2:P1102 = P1103))))=""単価"","""",
IF(COUNTIF(P$2:P1102, P1103)=0, """", INDEX(H$2:H1102,
MAX(FILTER(ROW(H$2:H1102) - ROW(H$2) + 1, P$2:P1102 = P1103)))))"),28.8)</f>
        <v>28.8</v>
      </c>
      <c r="N1103" s="335" t="str">
        <f>IF(MAXIFS('単価履歴'!$O:$O,'単価履歴'!$E:$E,E1103,'単価履歴'!$F:$F,F1103)=O1103,"●","")</f>
        <v/>
      </c>
      <c r="O1103" s="346">
        <v>45768.77209490741</v>
      </c>
      <c r="P1103" s="334" t="str">
        <f t="shared" si="4"/>
        <v>大鉄　堺:伊藤忠新断Ａ</v>
      </c>
    </row>
    <row r="1104" ht="15.75" customHeight="1">
      <c r="A1104" s="335" t="s">
        <v>2296</v>
      </c>
      <c r="B1104" s="336">
        <v>45769.0</v>
      </c>
      <c r="C1104" s="335" t="s">
        <v>9</v>
      </c>
      <c r="D1104" s="335" t="s">
        <v>49</v>
      </c>
      <c r="E1104" s="337" t="str">
        <f t="shared" si="1"/>
        <v>大鉄　堺:伊藤忠</v>
      </c>
      <c r="F1104" s="338" t="s">
        <v>131</v>
      </c>
      <c r="G1104" s="339" t="str">
        <f t="shared" si="2"/>
        <v>大鉄　堺:伊藤忠新断Ｂ</v>
      </c>
      <c r="H1104" s="340">
        <f t="shared" si="3"/>
        <v>27.8</v>
      </c>
      <c r="I1104" s="341">
        <v>-0.5</v>
      </c>
      <c r="J1104" s="332">
        <f>IFERROR(__xludf.DUMMYFUNCTION("IF(IF(COUNTIF(P$2:P1103, P1104)=0, """", INDEX(H$2:H1103,
MAX(FILTER(ROW(H$2:H1103) - ROW(H$2) + 1, P$2:P1103 = P1104))))=""単価"","""",
IF(COUNTIF(P$2:P1103, P1104)=0, """", INDEX(H$2:H1103,
MAX(FILTER(ROW(H$2:H1103) - ROW(H$2) + 1, P$2:P1103 = P1104)))))"),28.3)</f>
        <v>28.3</v>
      </c>
      <c r="N1104" s="335" t="str">
        <f>IF(MAXIFS('単価履歴'!$O:$O,'単価履歴'!$E:$E,E1104,'単価履歴'!$F:$F,F1104)=O1104,"●","")</f>
        <v/>
      </c>
      <c r="O1104" s="346">
        <v>45768.77209490741</v>
      </c>
      <c r="P1104" s="334" t="str">
        <f t="shared" si="4"/>
        <v>大鉄　堺:伊藤忠新断Ｂ</v>
      </c>
    </row>
    <row r="1105" ht="15.75" customHeight="1">
      <c r="A1105" s="335" t="s">
        <v>2297</v>
      </c>
      <c r="B1105" s="336">
        <v>45769.0</v>
      </c>
      <c r="C1105" s="335" t="s">
        <v>9</v>
      </c>
      <c r="D1105" s="335" t="s">
        <v>50</v>
      </c>
      <c r="E1105" s="337" t="str">
        <f t="shared" si="1"/>
        <v>大鉄　堺:産振</v>
      </c>
      <c r="F1105" s="338" t="s">
        <v>154</v>
      </c>
      <c r="G1105" s="339" t="str">
        <f t="shared" si="2"/>
        <v>大鉄　堺:産振ＣＰ Ａ</v>
      </c>
      <c r="H1105" s="340">
        <f t="shared" si="3"/>
        <v>46.2</v>
      </c>
      <c r="I1105" s="341">
        <v>-0.5</v>
      </c>
      <c r="J1105" s="332">
        <f>IFERROR(__xludf.DUMMYFUNCTION("IF(IF(COUNTIF(P$2:P1104, P1105)=0, """", INDEX(H$2:H1104,
MAX(FILTER(ROW(H$2:H1104) - ROW(H$2) + 1, P$2:P1104 = P1105))))=""単価"","""",
IF(COUNTIF(P$2:P1104, P1105)=0, """", INDEX(H$2:H1104,
MAX(FILTER(ROW(H$2:H1104) - ROW(H$2) + 1, P$2:P1104 = P1105)))))"),46.7)</f>
        <v>46.7</v>
      </c>
      <c r="N1105" s="335" t="str">
        <f>IF(MAXIFS('単価履歴'!$O:$O,'単価履歴'!$E:$E,E1105,'単価履歴'!$F:$F,F1105)=O1105,"●","")</f>
        <v/>
      </c>
      <c r="O1105" s="346">
        <v>45768.77209490741</v>
      </c>
      <c r="P1105" s="334" t="str">
        <f t="shared" si="4"/>
        <v>大鉄　堺:産振ＣＰ Ａ</v>
      </c>
    </row>
    <row r="1106" ht="15.75" customHeight="1">
      <c r="A1106" s="335" t="s">
        <v>2298</v>
      </c>
      <c r="B1106" s="336">
        <v>45769.0</v>
      </c>
      <c r="C1106" s="335" t="s">
        <v>9</v>
      </c>
      <c r="D1106" s="335" t="s">
        <v>50</v>
      </c>
      <c r="E1106" s="337" t="str">
        <f t="shared" si="1"/>
        <v>大鉄　堺:産振</v>
      </c>
      <c r="F1106" s="338" t="s">
        <v>156</v>
      </c>
      <c r="G1106" s="339" t="str">
        <f t="shared" si="2"/>
        <v>大鉄　堺:産振ＣＰ Ｂ一斗缶</v>
      </c>
      <c r="H1106" s="340">
        <f t="shared" si="3"/>
        <v>36</v>
      </c>
      <c r="I1106" s="341">
        <v>-0.5</v>
      </c>
      <c r="J1106" s="332">
        <f>IFERROR(__xludf.DUMMYFUNCTION("IF(IF(COUNTIF(P$2:P1105, P1106)=0, """", INDEX(H$2:H1105,
MAX(FILTER(ROW(H$2:H1105) - ROW(H$2) + 1, P$2:P1105 = P1106))))=""単価"","""",
IF(COUNTIF(P$2:P1105, P1106)=0, """", INDEX(H$2:H1105,
MAX(FILTER(ROW(H$2:H1105) - ROW(H$2) + 1, P$2:P1105 = P1106)))))"),36.5)</f>
        <v>36.5</v>
      </c>
      <c r="N1106" s="335" t="str">
        <f>IF(MAXIFS('単価履歴'!$O:$O,'単価履歴'!$E:$E,E1106,'単価履歴'!$F:$F,F1106)=O1106,"●","")</f>
        <v/>
      </c>
      <c r="O1106" s="346">
        <v>45768.77209490741</v>
      </c>
      <c r="P1106" s="334" t="str">
        <f t="shared" si="4"/>
        <v>大鉄　堺:産振ＣＰ Ｂ一斗缶</v>
      </c>
    </row>
    <row r="1107" ht="15.75" customHeight="1">
      <c r="A1107" s="335" t="s">
        <v>2299</v>
      </c>
      <c r="B1107" s="336">
        <v>45769.0</v>
      </c>
      <c r="C1107" s="335" t="s">
        <v>9</v>
      </c>
      <c r="D1107" s="335" t="s">
        <v>50</v>
      </c>
      <c r="E1107" s="337" t="str">
        <f t="shared" si="1"/>
        <v>大鉄　堺:産振</v>
      </c>
      <c r="F1107" s="338" t="s">
        <v>111</v>
      </c>
      <c r="G1107" s="339" t="str">
        <f t="shared" si="2"/>
        <v>大鉄　堺:産振Ｈ１(特A)</v>
      </c>
      <c r="H1107" s="340">
        <f t="shared" si="3"/>
        <v>43.7</v>
      </c>
      <c r="I1107" s="341">
        <v>-0.5</v>
      </c>
      <c r="J1107" s="332">
        <f>IFERROR(__xludf.DUMMYFUNCTION("IF(IF(COUNTIF(P$2:P1106, P1107)=0, """", INDEX(H$2:H1106,
MAX(FILTER(ROW(H$2:H1106) - ROW(H$2) + 1, P$2:P1106 = P1107))))=""単価"","""",
IF(COUNTIF(P$2:P1106, P1107)=0, """", INDEX(H$2:H1106,
MAX(FILTER(ROW(H$2:H1106) - ROW(H$2) + 1, P$2:P1106 = P1107)))))"),44.2)</f>
        <v>44.2</v>
      </c>
      <c r="N1107" s="335" t="str">
        <f>IF(MAXIFS('単価履歴'!$O:$O,'単価履歴'!$E:$E,E1107,'単価履歴'!$F:$F,F1107)=O1107,"●","")</f>
        <v/>
      </c>
      <c r="O1107" s="346">
        <v>45768.77209490741</v>
      </c>
      <c r="P1107" s="334" t="str">
        <f t="shared" si="4"/>
        <v>大鉄　堺:産振Ｈ１(特A)</v>
      </c>
    </row>
    <row r="1108" ht="15.75" customHeight="1">
      <c r="A1108" s="335" t="s">
        <v>2300</v>
      </c>
      <c r="B1108" s="336">
        <v>45769.0</v>
      </c>
      <c r="C1108" s="335" t="s">
        <v>9</v>
      </c>
      <c r="D1108" s="335" t="s">
        <v>50</v>
      </c>
      <c r="E1108" s="337" t="str">
        <f t="shared" si="1"/>
        <v>大鉄　堺:産振</v>
      </c>
      <c r="F1108" s="338" t="s">
        <v>116</v>
      </c>
      <c r="G1108" s="339" t="str">
        <f t="shared" si="2"/>
        <v>大鉄　堺:産振Ｈ２(特級)</v>
      </c>
      <c r="H1108" s="340">
        <f t="shared" si="3"/>
        <v>40.7</v>
      </c>
      <c r="I1108" s="341">
        <v>-0.5</v>
      </c>
      <c r="J1108" s="332">
        <f>IFERROR(__xludf.DUMMYFUNCTION("IF(IF(COUNTIF(P$2:P1107, P1108)=0, """", INDEX(H$2:H1107,
MAX(FILTER(ROW(H$2:H1107) - ROW(H$2) + 1, P$2:P1107 = P1108))))=""単価"","""",
IF(COUNTIF(P$2:P1107, P1108)=0, """", INDEX(H$2:H1107,
MAX(FILTER(ROW(H$2:H1107) - ROW(H$2) + 1, P$2:P1107 = P1108)))))"),41.2)</f>
        <v>41.2</v>
      </c>
      <c r="N1108" s="335" t="str">
        <f>IF(MAXIFS('単価履歴'!$O:$O,'単価履歴'!$E:$E,E1108,'単価履歴'!$F:$F,F1108)=O1108,"●","")</f>
        <v/>
      </c>
      <c r="O1108" s="346">
        <v>45768.77209490741</v>
      </c>
      <c r="P1108" s="334" t="str">
        <f t="shared" si="4"/>
        <v>大鉄　堺:産振Ｈ２(特級)</v>
      </c>
    </row>
    <row r="1109" ht="15.75" customHeight="1">
      <c r="A1109" s="335" t="s">
        <v>2301</v>
      </c>
      <c r="B1109" s="336">
        <v>45769.0</v>
      </c>
      <c r="C1109" s="335" t="s">
        <v>9</v>
      </c>
      <c r="D1109" s="335" t="s">
        <v>50</v>
      </c>
      <c r="E1109" s="337" t="str">
        <f t="shared" si="1"/>
        <v>大鉄　堺:産振</v>
      </c>
      <c r="F1109" s="338" t="s">
        <v>119</v>
      </c>
      <c r="G1109" s="339" t="str">
        <f t="shared" si="2"/>
        <v>大鉄　堺:産振Ｈ３(1級)</v>
      </c>
      <c r="H1109" s="340">
        <f t="shared" si="3"/>
        <v>40.2</v>
      </c>
      <c r="I1109" s="341">
        <v>-0.5</v>
      </c>
      <c r="J1109" s="332">
        <f>IFERROR(__xludf.DUMMYFUNCTION("IF(IF(COUNTIF(P$2:P1108, P1109)=0, """", INDEX(H$2:H1108,
MAX(FILTER(ROW(H$2:H1108) - ROW(H$2) + 1, P$2:P1108 = P1109))))=""単価"","""",
IF(COUNTIF(P$2:P1108, P1109)=0, """", INDEX(H$2:H1108,
MAX(FILTER(ROW(H$2:H1108) - ROW(H$2) + 1, P$2:P1108 = P1109)))))"),40.7)</f>
        <v>40.7</v>
      </c>
      <c r="N1109" s="335" t="str">
        <f>IF(MAXIFS('単価履歴'!$O:$O,'単価履歴'!$E:$E,E1109,'単価履歴'!$F:$F,F1109)=O1109,"●","")</f>
        <v/>
      </c>
      <c r="O1109" s="346">
        <v>45768.77209490741</v>
      </c>
      <c r="P1109" s="334" t="str">
        <f t="shared" si="4"/>
        <v>大鉄　堺:産振Ｈ３(1級)</v>
      </c>
    </row>
    <row r="1110" ht="15.75" customHeight="1">
      <c r="A1110" s="335" t="s">
        <v>2302</v>
      </c>
      <c r="B1110" s="336">
        <v>45769.0</v>
      </c>
      <c r="C1110" s="335" t="s">
        <v>9</v>
      </c>
      <c r="D1110" s="335" t="s">
        <v>50</v>
      </c>
      <c r="E1110" s="337" t="str">
        <f t="shared" si="1"/>
        <v>大鉄　堺:産振</v>
      </c>
      <c r="F1110" s="338" t="s">
        <v>122</v>
      </c>
      <c r="G1110" s="339" t="str">
        <f t="shared" si="2"/>
        <v>大鉄　堺:産振Ｌ１(2級)</v>
      </c>
      <c r="H1110" s="340">
        <f t="shared" si="3"/>
        <v>39.2</v>
      </c>
      <c r="I1110" s="341">
        <v>-0.5</v>
      </c>
      <c r="J1110" s="332">
        <f>IFERROR(__xludf.DUMMYFUNCTION("IF(IF(COUNTIF(P$2:P1109, P1110)=0, """", INDEX(H$2:H1109,
MAX(FILTER(ROW(H$2:H1109) - ROW(H$2) + 1, P$2:P1109 = P1110))))=""単価"","""",
IF(COUNTIF(P$2:P1109, P1110)=0, """", INDEX(H$2:H1109,
MAX(FILTER(ROW(H$2:H1109) - ROW(H$2) + 1, P$2:P1109 = P1110)))))"),39.7)</f>
        <v>39.7</v>
      </c>
      <c r="N1110" s="335" t="str">
        <f>IF(MAXIFS('単価履歴'!$O:$O,'単価履歴'!$E:$E,E1110,'単価履歴'!$F:$F,F1110)=O1110,"●","")</f>
        <v/>
      </c>
      <c r="O1110" s="346">
        <v>45768.77209490741</v>
      </c>
      <c r="P1110" s="334" t="str">
        <f t="shared" si="4"/>
        <v>大鉄　堺:産振Ｌ１(2級)</v>
      </c>
    </row>
    <row r="1111" ht="15.75" customHeight="1">
      <c r="A1111" s="335" t="s">
        <v>2303</v>
      </c>
      <c r="B1111" s="336">
        <v>45769.0</v>
      </c>
      <c r="C1111" s="335" t="s">
        <v>9</v>
      </c>
      <c r="D1111" s="335" t="s">
        <v>50</v>
      </c>
      <c r="E1111" s="337" t="str">
        <f t="shared" si="1"/>
        <v>大鉄　堺:産振</v>
      </c>
      <c r="F1111" s="338" t="s">
        <v>575</v>
      </c>
      <c r="G1111" s="339" t="str">
        <f t="shared" si="2"/>
        <v>大鉄　堺:産振鋼ダライＡ</v>
      </c>
      <c r="H1111" s="340">
        <f t="shared" si="3"/>
        <v>36.7</v>
      </c>
      <c r="I1111" s="341">
        <v>-0.5</v>
      </c>
      <c r="J1111" s="332">
        <f>IFERROR(__xludf.DUMMYFUNCTION("IF(IF(COUNTIF(P$2:P1110, P1111)=0, """", INDEX(H$2:H1110,
MAX(FILTER(ROW(H$2:H1110) - ROW(H$2) + 1, P$2:P1110 = P1111))))=""単価"","""",
IF(COUNTIF(P$2:P1110, P1111)=0, """", INDEX(H$2:H1110,
MAX(FILTER(ROW(H$2:H1110) - ROW(H$2) + 1, P$2:P1110 = P1111)))))"),37.2)</f>
        <v>37.2</v>
      </c>
      <c r="N1111" s="335" t="str">
        <f>IF(MAXIFS('単価履歴'!$O:$O,'単価履歴'!$E:$E,E1111,'単価履歴'!$F:$F,F1111)=O1111,"●","")</f>
        <v/>
      </c>
      <c r="O1111" s="346">
        <v>45768.77209490741</v>
      </c>
      <c r="P1111" s="334" t="str">
        <f t="shared" si="4"/>
        <v>大鉄　堺:産振鋼ダライＡ</v>
      </c>
    </row>
    <row r="1112" ht="15.75" customHeight="1">
      <c r="A1112" s="335" t="s">
        <v>2304</v>
      </c>
      <c r="B1112" s="336">
        <v>45769.0</v>
      </c>
      <c r="C1112" s="335" t="s">
        <v>9</v>
      </c>
      <c r="D1112" s="335" t="s">
        <v>50</v>
      </c>
      <c r="E1112" s="337" t="str">
        <f t="shared" si="1"/>
        <v>大鉄　堺:産振</v>
      </c>
      <c r="F1112" s="338" t="s">
        <v>130</v>
      </c>
      <c r="G1112" s="339" t="str">
        <f t="shared" si="2"/>
        <v>大鉄　堺:産振新断Ａ</v>
      </c>
      <c r="H1112" s="340">
        <f t="shared" si="3"/>
        <v>42.2</v>
      </c>
      <c r="I1112" s="341">
        <v>-0.5</v>
      </c>
      <c r="J1112" s="332">
        <f>IFERROR(__xludf.DUMMYFUNCTION("IF(IF(COUNTIF(P$2:P1111, P1112)=0, """", INDEX(H$2:H1111,
MAX(FILTER(ROW(H$2:H1111) - ROW(H$2) + 1, P$2:P1111 = P1112))))=""単価"","""",
IF(COUNTIF(P$2:P1111, P1112)=0, """", INDEX(H$2:H1111,
MAX(FILTER(ROW(H$2:H1111) - ROW(H$2) + 1, P$2:P1111 = P1112)))))"),42.7)</f>
        <v>42.7</v>
      </c>
      <c r="N1112" s="335" t="str">
        <f>IF(MAXIFS('単価履歴'!$O:$O,'単価履歴'!$E:$E,E1112,'単価履歴'!$F:$F,F1112)=O1112,"●","")</f>
        <v/>
      </c>
      <c r="O1112" s="346">
        <v>45768.77209490741</v>
      </c>
      <c r="P1112" s="334" t="str">
        <f t="shared" si="4"/>
        <v>大鉄　堺:産振新断Ａ</v>
      </c>
    </row>
    <row r="1113" ht="15.75" customHeight="1">
      <c r="A1113" s="335" t="s">
        <v>2305</v>
      </c>
      <c r="B1113" s="336">
        <v>45769.0</v>
      </c>
      <c r="C1113" s="335" t="s">
        <v>9</v>
      </c>
      <c r="D1113" s="335" t="s">
        <v>50</v>
      </c>
      <c r="E1113" s="337" t="str">
        <f t="shared" si="1"/>
        <v>大鉄　堺:産振</v>
      </c>
      <c r="F1113" s="338" t="s">
        <v>131</v>
      </c>
      <c r="G1113" s="339" t="str">
        <f t="shared" si="2"/>
        <v>大鉄　堺:産振新断Ｂ</v>
      </c>
      <c r="H1113" s="340">
        <f t="shared" si="3"/>
        <v>41.7</v>
      </c>
      <c r="I1113" s="341">
        <v>-0.5</v>
      </c>
      <c r="J1113" s="332">
        <f>IFERROR(__xludf.DUMMYFUNCTION("IF(IF(COUNTIF(P$2:P1112, P1113)=0, """", INDEX(H$2:H1112,
MAX(FILTER(ROW(H$2:H1112) - ROW(H$2) + 1, P$2:P1112 = P1113))))=""単価"","""",
IF(COUNTIF(P$2:P1112, P1113)=0, """", INDEX(H$2:H1112,
MAX(FILTER(ROW(H$2:H1112) - ROW(H$2) + 1, P$2:P1112 = P1113)))))"),42.2)</f>
        <v>42.2</v>
      </c>
      <c r="N1113" s="335" t="str">
        <f>IF(MAXIFS('単価履歴'!$O:$O,'単価履歴'!$E:$E,E1113,'単価履歴'!$F:$F,F1113)=O1113,"●","")</f>
        <v/>
      </c>
      <c r="O1113" s="346">
        <v>45768.77209490741</v>
      </c>
      <c r="P1113" s="334" t="str">
        <f t="shared" si="4"/>
        <v>大鉄　堺:産振新断Ｂ</v>
      </c>
    </row>
    <row r="1114" ht="15.75" customHeight="1">
      <c r="A1114" s="335" t="s">
        <v>2306</v>
      </c>
      <c r="B1114" s="336">
        <v>45769.0</v>
      </c>
      <c r="C1114" s="335" t="s">
        <v>9</v>
      </c>
      <c r="D1114" s="335" t="s">
        <v>51</v>
      </c>
      <c r="E1114" s="337" t="str">
        <f t="shared" si="1"/>
        <v>大鉄　堺:大鉄堺</v>
      </c>
      <c r="F1114" s="338" t="s">
        <v>154</v>
      </c>
      <c r="G1114" s="339" t="str">
        <f t="shared" si="2"/>
        <v>大鉄　堺:大鉄堺ＣＰ Ａ</v>
      </c>
      <c r="H1114" s="340">
        <f t="shared" si="3"/>
        <v>36.5</v>
      </c>
      <c r="I1114" s="341">
        <v>-0.5</v>
      </c>
      <c r="J1114" s="332">
        <f>IFERROR(__xludf.DUMMYFUNCTION("IF(IF(COUNTIF(P$2:P1113, P1114)=0, """", INDEX(H$2:H1113,
MAX(FILTER(ROW(H$2:H1113) - ROW(H$2) + 1, P$2:P1113 = P1114))))=""単価"","""",
IF(COUNTIF(P$2:P1113, P1114)=0, """", INDEX(H$2:H1113,
MAX(FILTER(ROW(H$2:H1113) - ROW(H$2) + 1, P$2:P1113 = P1114)))))"),37.0)</f>
        <v>37</v>
      </c>
      <c r="N1114" s="335" t="str">
        <f>IF(MAXIFS('単価履歴'!$O:$O,'単価履歴'!$E:$E,E1114,'単価履歴'!$F:$F,F1114)=O1114,"●","")</f>
        <v/>
      </c>
      <c r="O1114" s="346">
        <v>45768.77209490741</v>
      </c>
      <c r="P1114" s="334" t="str">
        <f t="shared" si="4"/>
        <v>大鉄　堺:大鉄堺ＣＰ Ａ</v>
      </c>
    </row>
    <row r="1115" ht="15.75" customHeight="1">
      <c r="A1115" s="335" t="s">
        <v>2307</v>
      </c>
      <c r="B1115" s="336">
        <v>45769.0</v>
      </c>
      <c r="C1115" s="335" t="s">
        <v>9</v>
      </c>
      <c r="D1115" s="335" t="s">
        <v>51</v>
      </c>
      <c r="E1115" s="337" t="str">
        <f t="shared" si="1"/>
        <v>大鉄　堺:大鉄堺</v>
      </c>
      <c r="F1115" s="338" t="s">
        <v>156</v>
      </c>
      <c r="G1115" s="339" t="str">
        <f t="shared" si="2"/>
        <v>大鉄　堺:大鉄堺ＣＰ Ｂ一斗缶</v>
      </c>
      <c r="H1115" s="340">
        <f t="shared" si="3"/>
        <v>30</v>
      </c>
      <c r="I1115" s="341">
        <v>-0.5</v>
      </c>
      <c r="J1115" s="332">
        <f>IFERROR(__xludf.DUMMYFUNCTION("IF(IF(COUNTIF(P$2:P1114, P1115)=0, """", INDEX(H$2:H1114,
MAX(FILTER(ROW(H$2:H1114) - ROW(H$2) + 1, P$2:P1114 = P1115))))=""単価"","""",
IF(COUNTIF(P$2:P1114, P1115)=0, """", INDEX(H$2:H1114,
MAX(FILTER(ROW(H$2:H1114) - ROW(H$2) + 1, P$2:P1114 = P1115)))))"),30.5)</f>
        <v>30.5</v>
      </c>
      <c r="N1115" s="335" t="str">
        <f>IF(MAXIFS('単価履歴'!$O:$O,'単価履歴'!$E:$E,E1115,'単価履歴'!$F:$F,F1115)=O1115,"●","")</f>
        <v/>
      </c>
      <c r="O1115" s="346">
        <v>45768.77209490741</v>
      </c>
      <c r="P1115" s="334" t="str">
        <f t="shared" si="4"/>
        <v>大鉄　堺:大鉄堺ＣＰ Ｂ一斗缶</v>
      </c>
    </row>
    <row r="1116" ht="15.75" customHeight="1">
      <c r="A1116" s="335" t="s">
        <v>2308</v>
      </c>
      <c r="B1116" s="336">
        <v>45769.0</v>
      </c>
      <c r="C1116" s="335" t="s">
        <v>9</v>
      </c>
      <c r="D1116" s="335" t="s">
        <v>51</v>
      </c>
      <c r="E1116" s="337" t="str">
        <f t="shared" si="1"/>
        <v>大鉄　堺:大鉄堺</v>
      </c>
      <c r="F1116" s="338" t="s">
        <v>111</v>
      </c>
      <c r="G1116" s="339" t="str">
        <f t="shared" si="2"/>
        <v>大鉄　堺:大鉄堺Ｈ１(特A)</v>
      </c>
      <c r="H1116" s="340">
        <f t="shared" si="3"/>
        <v>45</v>
      </c>
      <c r="I1116" s="341">
        <v>-0.5</v>
      </c>
      <c r="J1116" s="332">
        <f>IFERROR(__xludf.DUMMYFUNCTION("IF(IF(COUNTIF(P$2:P1115, P1116)=0, """", INDEX(H$2:H1115,
MAX(FILTER(ROW(H$2:H1115) - ROW(H$2) + 1, P$2:P1115 = P1116))))=""単価"","""",
IF(COUNTIF(P$2:P1115, P1116)=0, """", INDEX(H$2:H1115,
MAX(FILTER(ROW(H$2:H1115) - ROW(H$2) + 1, P$2:P1115 = P1116)))))"),45.5)</f>
        <v>45.5</v>
      </c>
      <c r="N1116" s="335" t="str">
        <f>IF(MAXIFS('単価履歴'!$O:$O,'単価履歴'!$E:$E,E1116,'単価履歴'!$F:$F,F1116)=O1116,"●","")</f>
        <v/>
      </c>
      <c r="O1116" s="346">
        <v>45768.77209490741</v>
      </c>
      <c r="P1116" s="334" t="str">
        <f t="shared" si="4"/>
        <v>大鉄　堺:大鉄堺Ｈ１(特A)</v>
      </c>
    </row>
    <row r="1117" ht="15.75" customHeight="1">
      <c r="A1117" s="335" t="s">
        <v>2309</v>
      </c>
      <c r="B1117" s="336">
        <v>45769.0</v>
      </c>
      <c r="C1117" s="335" t="s">
        <v>9</v>
      </c>
      <c r="D1117" s="335" t="s">
        <v>51</v>
      </c>
      <c r="E1117" s="337" t="str">
        <f t="shared" si="1"/>
        <v>大鉄　堺:大鉄堺</v>
      </c>
      <c r="F1117" s="338" t="s">
        <v>116</v>
      </c>
      <c r="G1117" s="339" t="str">
        <f t="shared" si="2"/>
        <v>大鉄　堺:大鉄堺Ｈ２(特級)</v>
      </c>
      <c r="H1117" s="340">
        <f t="shared" si="3"/>
        <v>42</v>
      </c>
      <c r="I1117" s="341">
        <v>-0.5</v>
      </c>
      <c r="J1117" s="332">
        <f>IFERROR(__xludf.DUMMYFUNCTION("IF(IF(COUNTIF(P$2:P1116, P1117)=0, """", INDEX(H$2:H1116,
MAX(FILTER(ROW(H$2:H1116) - ROW(H$2) + 1, P$2:P1116 = P1117))))=""単価"","""",
IF(COUNTIF(P$2:P1116, P1117)=0, """", INDEX(H$2:H1116,
MAX(FILTER(ROW(H$2:H1116) - ROW(H$2) + 1, P$2:P1116 = P1117)))))"),42.5)</f>
        <v>42.5</v>
      </c>
      <c r="N1117" s="335" t="str">
        <f>IF(MAXIFS('単価履歴'!$O:$O,'単価履歴'!$E:$E,E1117,'単価履歴'!$F:$F,F1117)=O1117,"●","")</f>
        <v/>
      </c>
      <c r="O1117" s="346">
        <v>45768.77209490741</v>
      </c>
      <c r="P1117" s="334" t="str">
        <f t="shared" si="4"/>
        <v>大鉄　堺:大鉄堺Ｈ２(特級)</v>
      </c>
    </row>
    <row r="1118" ht="15.75" customHeight="1">
      <c r="A1118" s="335" t="s">
        <v>2310</v>
      </c>
      <c r="B1118" s="336">
        <v>45769.0</v>
      </c>
      <c r="C1118" s="335" t="s">
        <v>9</v>
      </c>
      <c r="D1118" s="335" t="s">
        <v>51</v>
      </c>
      <c r="E1118" s="337" t="str">
        <f t="shared" si="1"/>
        <v>大鉄　堺:大鉄堺</v>
      </c>
      <c r="F1118" s="338" t="s">
        <v>119</v>
      </c>
      <c r="G1118" s="339" t="str">
        <f t="shared" si="2"/>
        <v>大鉄　堺:大鉄堺Ｈ３(1級)</v>
      </c>
      <c r="H1118" s="340">
        <f t="shared" si="3"/>
        <v>41.5</v>
      </c>
      <c r="I1118" s="341">
        <v>-0.5</v>
      </c>
      <c r="J1118" s="332">
        <f>IFERROR(__xludf.DUMMYFUNCTION("IF(IF(COUNTIF(P$2:P1117, P1118)=0, """", INDEX(H$2:H1117,
MAX(FILTER(ROW(H$2:H1117) - ROW(H$2) + 1, P$2:P1117 = P1118))))=""単価"","""",
IF(COUNTIF(P$2:P1117, P1118)=0, """", INDEX(H$2:H1117,
MAX(FILTER(ROW(H$2:H1117) - ROW(H$2) + 1, P$2:P1117 = P1118)))))"),42.0)</f>
        <v>42</v>
      </c>
      <c r="N1118" s="335" t="str">
        <f>IF(MAXIFS('単価履歴'!$O:$O,'単価履歴'!$E:$E,E1118,'単価履歴'!$F:$F,F1118)=O1118,"●","")</f>
        <v/>
      </c>
      <c r="O1118" s="346">
        <v>45768.77209490741</v>
      </c>
      <c r="P1118" s="334" t="str">
        <f t="shared" si="4"/>
        <v>大鉄　堺:大鉄堺Ｈ３(1級)</v>
      </c>
    </row>
    <row r="1119" ht="15.75" customHeight="1">
      <c r="A1119" s="335" t="s">
        <v>2311</v>
      </c>
      <c r="B1119" s="336">
        <v>45769.0</v>
      </c>
      <c r="C1119" s="335" t="s">
        <v>9</v>
      </c>
      <c r="D1119" s="335" t="s">
        <v>51</v>
      </c>
      <c r="E1119" s="337" t="str">
        <f t="shared" si="1"/>
        <v>大鉄　堺:大鉄堺</v>
      </c>
      <c r="F1119" s="338" t="s">
        <v>1237</v>
      </c>
      <c r="G1119" s="339" t="str">
        <f t="shared" si="2"/>
        <v>大鉄　堺:大鉄堺ＪＨ１(H2T山口)鍛造ﾊﾞﾘ</v>
      </c>
      <c r="H1119" s="340">
        <f t="shared" si="3"/>
        <v>44</v>
      </c>
      <c r="I1119" s="341">
        <v>-0.5</v>
      </c>
      <c r="J1119" s="332">
        <f>IFERROR(__xludf.DUMMYFUNCTION("IF(IF(COUNTIF(P$2:P1118, P1119)=0, """", INDEX(H$2:H1118,
MAX(FILTER(ROW(H$2:H1118) - ROW(H$2) + 1, P$2:P1118 = P1119))))=""単価"","""",
IF(COUNTIF(P$2:P1118, P1119)=0, """", INDEX(H$2:H1118,
MAX(FILTER(ROW(H$2:H1118) - ROW(H$2) + 1, P$2:P1118 = P1119)))))"),44.5)</f>
        <v>44.5</v>
      </c>
      <c r="N1119" s="335" t="str">
        <f>IF(MAXIFS('単価履歴'!$O:$O,'単価履歴'!$E:$E,E1119,'単価履歴'!$F:$F,F1119)=O1119,"●","")</f>
        <v/>
      </c>
      <c r="O1119" s="346">
        <v>45768.77209490741</v>
      </c>
      <c r="P1119" s="334" t="str">
        <f t="shared" si="4"/>
        <v>大鉄　堺:大鉄堺ＪＨ１(H2T山口)鍛造ﾊﾞﾘ</v>
      </c>
    </row>
    <row r="1120" ht="15.75" customHeight="1">
      <c r="A1120" s="335" t="s">
        <v>2312</v>
      </c>
      <c r="B1120" s="336">
        <v>45769.0</v>
      </c>
      <c r="C1120" s="335" t="s">
        <v>9</v>
      </c>
      <c r="D1120" s="335" t="s">
        <v>51</v>
      </c>
      <c r="E1120" s="337" t="str">
        <f t="shared" si="1"/>
        <v>大鉄　堺:大鉄堺</v>
      </c>
      <c r="F1120" s="338" t="s">
        <v>122</v>
      </c>
      <c r="G1120" s="339" t="str">
        <f t="shared" si="2"/>
        <v>大鉄　堺:大鉄堺Ｌ１(2級)</v>
      </c>
      <c r="H1120" s="340">
        <f t="shared" si="3"/>
        <v>41</v>
      </c>
      <c r="I1120" s="341">
        <v>-0.5</v>
      </c>
      <c r="J1120" s="332">
        <f>IFERROR(__xludf.DUMMYFUNCTION("IF(IF(COUNTIF(P$2:P1119, P1120)=0, """", INDEX(H$2:H1119,
MAX(FILTER(ROW(H$2:H1119) - ROW(H$2) + 1, P$2:P1119 = P1120))))=""単価"","""",
IF(COUNTIF(P$2:P1119, P1120)=0, """", INDEX(H$2:H1119,
MAX(FILTER(ROW(H$2:H1119) - ROW(H$2) + 1, P$2:P1119 = P1120)))))"),41.5)</f>
        <v>41.5</v>
      </c>
      <c r="N1120" s="335" t="str">
        <f>IF(MAXIFS('単価履歴'!$O:$O,'単価履歴'!$E:$E,E1120,'単価履歴'!$F:$F,F1120)=O1120,"●","")</f>
        <v/>
      </c>
      <c r="O1120" s="346">
        <v>45768.77209490741</v>
      </c>
      <c r="P1120" s="334" t="str">
        <f t="shared" si="4"/>
        <v>大鉄　堺:大鉄堺Ｌ１(2級)</v>
      </c>
    </row>
    <row r="1121" ht="15.75" customHeight="1">
      <c r="A1121" s="335" t="s">
        <v>2313</v>
      </c>
      <c r="B1121" s="336">
        <v>45769.0</v>
      </c>
      <c r="C1121" s="335" t="s">
        <v>9</v>
      </c>
      <c r="D1121" s="335" t="s">
        <v>51</v>
      </c>
      <c r="E1121" s="337" t="str">
        <f t="shared" si="1"/>
        <v>大鉄　堺:大鉄堺</v>
      </c>
      <c r="F1121" s="338" t="s">
        <v>145</v>
      </c>
      <c r="G1121" s="339" t="str">
        <f t="shared" si="2"/>
        <v>大鉄　堺:大鉄堺シュレＡ</v>
      </c>
      <c r="H1121" s="340">
        <f t="shared" si="3"/>
        <v>31</v>
      </c>
      <c r="I1121" s="341">
        <v>-0.5</v>
      </c>
      <c r="J1121" s="332">
        <f>IFERROR(__xludf.DUMMYFUNCTION("IF(IF(COUNTIF(P$2:P1120, P1121)=0, """", INDEX(H$2:H1120,
MAX(FILTER(ROW(H$2:H1120) - ROW(H$2) + 1, P$2:P1120 = P1121))))=""単価"","""",
IF(COUNTIF(P$2:P1120, P1121)=0, """", INDEX(H$2:H1120,
MAX(FILTER(ROW(H$2:H1120) - ROW(H$2) + 1, P$2:P1120 = P1121)))))"),31.5)</f>
        <v>31.5</v>
      </c>
      <c r="N1121" s="335" t="str">
        <f>IF(MAXIFS('単価履歴'!$O:$O,'単価履歴'!$E:$E,E1121,'単価履歴'!$F:$F,F1121)=O1121,"●","")</f>
        <v/>
      </c>
      <c r="O1121" s="346">
        <v>45768.77209490741</v>
      </c>
      <c r="P1121" s="334" t="str">
        <f t="shared" si="4"/>
        <v>大鉄　堺:大鉄堺シュレＡ</v>
      </c>
    </row>
    <row r="1122" ht="15.75" customHeight="1">
      <c r="A1122" s="335" t="s">
        <v>2314</v>
      </c>
      <c r="B1122" s="336">
        <v>45769.0</v>
      </c>
      <c r="C1122" s="335" t="s">
        <v>9</v>
      </c>
      <c r="D1122" s="335" t="s">
        <v>51</v>
      </c>
      <c r="E1122" s="337" t="str">
        <f t="shared" si="1"/>
        <v>大鉄　堺:大鉄堺</v>
      </c>
      <c r="F1122" s="338" t="s">
        <v>149</v>
      </c>
      <c r="G1122" s="339" t="str">
        <f t="shared" si="2"/>
        <v>大鉄　堺:大鉄堺シュレＢ</v>
      </c>
      <c r="H1122" s="340">
        <f t="shared" si="3"/>
        <v>30.3</v>
      </c>
      <c r="I1122" s="341">
        <v>-0.5</v>
      </c>
      <c r="J1122" s="332">
        <f>IFERROR(__xludf.DUMMYFUNCTION("IF(IF(COUNTIF(P$2:P1121, P1122)=0, """", INDEX(H$2:H1121,
MAX(FILTER(ROW(H$2:H1121) - ROW(H$2) + 1, P$2:P1121 = P1122))))=""単価"","""",
IF(COUNTIF(P$2:P1121, P1122)=0, """", INDEX(H$2:H1121,
MAX(FILTER(ROW(H$2:H1121) - ROW(H$2) + 1, P$2:P1121 = P1122)))))"),30.8)</f>
        <v>30.8</v>
      </c>
      <c r="N1122" s="335" t="str">
        <f>IF(MAXIFS('単価履歴'!$O:$O,'単価履歴'!$E:$E,E1122,'単価履歴'!$F:$F,F1122)=O1122,"●","")</f>
        <v/>
      </c>
      <c r="O1122" s="346">
        <v>45768.77209490741</v>
      </c>
      <c r="P1122" s="334" t="str">
        <f t="shared" si="4"/>
        <v>大鉄　堺:大鉄堺シュレＢ</v>
      </c>
    </row>
    <row r="1123" ht="15.75" customHeight="1">
      <c r="A1123" s="335" t="s">
        <v>2315</v>
      </c>
      <c r="B1123" s="336">
        <v>45769.0</v>
      </c>
      <c r="C1123" s="335" t="s">
        <v>9</v>
      </c>
      <c r="D1123" s="335" t="s">
        <v>51</v>
      </c>
      <c r="E1123" s="337" t="str">
        <f t="shared" si="1"/>
        <v>大鉄　堺:大鉄堺</v>
      </c>
      <c r="F1123" s="338" t="s">
        <v>151</v>
      </c>
      <c r="G1123" s="339" t="str">
        <f t="shared" si="2"/>
        <v>大鉄　堺:大鉄堺シュレＣ</v>
      </c>
      <c r="H1123" s="340">
        <f t="shared" si="3"/>
        <v>28.9</v>
      </c>
      <c r="I1123" s="341">
        <v>-0.5</v>
      </c>
      <c r="J1123" s="332">
        <f>IFERROR(__xludf.DUMMYFUNCTION("IF(IF(COUNTIF(P$2:P1122, P1123)=0, """", INDEX(H$2:H1122,
MAX(FILTER(ROW(H$2:H1122) - ROW(H$2) + 1, P$2:P1122 = P1123))))=""単価"","""",
IF(COUNTIF(P$2:P1122, P1123)=0, """", INDEX(H$2:H1122,
MAX(FILTER(ROW(H$2:H1122) - ROW(H$2) + 1, P$2:P1122 = P1123)))))"),29.4)</f>
        <v>29.4</v>
      </c>
      <c r="N1123" s="335" t="str">
        <f>IF(MAXIFS('単価履歴'!$O:$O,'単価履歴'!$E:$E,E1123,'単価履歴'!$F:$F,F1123)=O1123,"●","")</f>
        <v/>
      </c>
      <c r="O1123" s="346">
        <v>45768.77209490741</v>
      </c>
      <c r="P1123" s="334" t="str">
        <f t="shared" si="4"/>
        <v>大鉄　堺:大鉄堺シュレＣ</v>
      </c>
    </row>
    <row r="1124" ht="15.75" customHeight="1">
      <c r="A1124" s="335" t="s">
        <v>2316</v>
      </c>
      <c r="B1124" s="336">
        <v>45769.0</v>
      </c>
      <c r="C1124" s="335" t="s">
        <v>9</v>
      </c>
      <c r="D1124" s="335" t="s">
        <v>51</v>
      </c>
      <c r="E1124" s="337" t="str">
        <f t="shared" si="1"/>
        <v>大鉄　堺:大鉄堺</v>
      </c>
      <c r="F1124" s="338" t="s">
        <v>575</v>
      </c>
      <c r="G1124" s="339" t="str">
        <f t="shared" si="2"/>
        <v>大鉄　堺:大鉄堺鋼ダライＡ</v>
      </c>
      <c r="H1124" s="340">
        <f t="shared" si="3"/>
        <v>29</v>
      </c>
      <c r="I1124" s="341">
        <v>-0.5</v>
      </c>
      <c r="J1124" s="332">
        <f>IFERROR(__xludf.DUMMYFUNCTION("IF(IF(COUNTIF(P$2:P1123, P1124)=0, """", INDEX(H$2:H1123,
MAX(FILTER(ROW(H$2:H1123) - ROW(H$2) + 1, P$2:P1123 = P1124))))=""単価"","""",
IF(COUNTIF(P$2:P1123, P1124)=0, """", INDEX(H$2:H1123,
MAX(FILTER(ROW(H$2:H1123) - ROW(H$2) + 1, P$2:P1123 = P1124)))))"),29.5)</f>
        <v>29.5</v>
      </c>
      <c r="N1124" s="335" t="str">
        <f>IF(MAXIFS('単価履歴'!$O:$O,'単価履歴'!$E:$E,E1124,'単価履歴'!$F:$F,F1124)=O1124,"●","")</f>
        <v/>
      </c>
      <c r="O1124" s="346">
        <v>45768.77209490741</v>
      </c>
      <c r="P1124" s="334" t="str">
        <f t="shared" si="4"/>
        <v>大鉄　堺:大鉄堺鋼ダライＡ</v>
      </c>
    </row>
    <row r="1125" ht="15.75" customHeight="1">
      <c r="A1125" s="335" t="s">
        <v>2317</v>
      </c>
      <c r="B1125" s="336">
        <v>45769.0</v>
      </c>
      <c r="C1125" s="335" t="s">
        <v>9</v>
      </c>
      <c r="D1125" s="335" t="s">
        <v>51</v>
      </c>
      <c r="E1125" s="337" t="str">
        <f t="shared" si="1"/>
        <v>大鉄　堺:大鉄堺</v>
      </c>
      <c r="F1125" s="338" t="s">
        <v>576</v>
      </c>
      <c r="G1125" s="339" t="str">
        <f t="shared" si="2"/>
        <v>大鉄　堺:大鉄堺鋼ダライＢ</v>
      </c>
      <c r="H1125" s="340">
        <f t="shared" si="3"/>
        <v>29</v>
      </c>
      <c r="I1125" s="341">
        <v>-0.5</v>
      </c>
      <c r="J1125" s="332">
        <f>IFERROR(__xludf.DUMMYFUNCTION("IF(IF(COUNTIF(P$2:P1124, P1125)=0, """", INDEX(H$2:H1124,
MAX(FILTER(ROW(H$2:H1124) - ROW(H$2) + 1, P$2:P1124 = P1125))))=""単価"","""",
IF(COUNTIF(P$2:P1124, P1125)=0, """", INDEX(H$2:H1124,
MAX(FILTER(ROW(H$2:H1124) - ROW(H$2) + 1, P$2:P1124 = P1125)))))"),29.5)</f>
        <v>29.5</v>
      </c>
      <c r="N1125" s="335" t="str">
        <f>IF(MAXIFS('単価履歴'!$O:$O,'単価履歴'!$E:$E,E1125,'単価履歴'!$F:$F,F1125)=O1125,"●","")</f>
        <v/>
      </c>
      <c r="O1125" s="346">
        <v>45768.77209490741</v>
      </c>
      <c r="P1125" s="334" t="str">
        <f t="shared" si="4"/>
        <v>大鉄　堺:大鉄堺鋼ダライＢ</v>
      </c>
    </row>
    <row r="1126" ht="15.75" customHeight="1">
      <c r="A1126" s="335" t="s">
        <v>2318</v>
      </c>
      <c r="B1126" s="336">
        <v>45769.0</v>
      </c>
      <c r="C1126" s="335" t="s">
        <v>9</v>
      </c>
      <c r="D1126" s="335" t="s">
        <v>51</v>
      </c>
      <c r="E1126" s="337" t="str">
        <f t="shared" si="1"/>
        <v>大鉄　堺:大鉄堺</v>
      </c>
      <c r="F1126" s="338" t="s">
        <v>130</v>
      </c>
      <c r="G1126" s="339" t="str">
        <f t="shared" si="2"/>
        <v>大鉄　堺:大鉄堺新断Ａ</v>
      </c>
      <c r="H1126" s="340">
        <f t="shared" si="3"/>
        <v>28.5</v>
      </c>
      <c r="I1126" s="341">
        <v>-0.5</v>
      </c>
      <c r="J1126" s="332">
        <f>IFERROR(__xludf.DUMMYFUNCTION("IF(IF(COUNTIF(P$2:P1125, P1126)=0, """", INDEX(H$2:H1125,
MAX(FILTER(ROW(H$2:H1125) - ROW(H$2) + 1, P$2:P1125 = P1126))))=""単価"","""",
IF(COUNTIF(P$2:P1125, P1126)=0, """", INDEX(H$2:H1125,
MAX(FILTER(ROW(H$2:H1125) - ROW(H$2) + 1, P$2:P1125 = P1126)))))"),29.0)</f>
        <v>29</v>
      </c>
      <c r="N1126" s="335" t="str">
        <f>IF(MAXIFS('単価履歴'!$O:$O,'単価履歴'!$E:$E,E1126,'単価履歴'!$F:$F,F1126)=O1126,"●","")</f>
        <v/>
      </c>
      <c r="O1126" s="346">
        <v>45768.77209490741</v>
      </c>
      <c r="P1126" s="334" t="str">
        <f t="shared" si="4"/>
        <v>大鉄　堺:大鉄堺新断Ａ</v>
      </c>
    </row>
    <row r="1127" ht="15.75" customHeight="1">
      <c r="A1127" s="335" t="s">
        <v>2319</v>
      </c>
      <c r="B1127" s="336">
        <v>45769.0</v>
      </c>
      <c r="C1127" s="335" t="s">
        <v>9</v>
      </c>
      <c r="D1127" s="335" t="s">
        <v>51</v>
      </c>
      <c r="E1127" s="337" t="str">
        <f t="shared" si="1"/>
        <v>大鉄　堺:大鉄堺</v>
      </c>
      <c r="F1127" s="338" t="s">
        <v>131</v>
      </c>
      <c r="G1127" s="339" t="str">
        <f t="shared" si="2"/>
        <v>大鉄　堺:大鉄堺新断Ｂ</v>
      </c>
      <c r="H1127" s="340">
        <f t="shared" si="3"/>
        <v>28</v>
      </c>
      <c r="I1127" s="341">
        <v>-0.5</v>
      </c>
      <c r="J1127" s="332">
        <f>IFERROR(__xludf.DUMMYFUNCTION("IF(IF(COUNTIF(P$2:P1126, P1127)=0, """", INDEX(H$2:H1126,
MAX(FILTER(ROW(H$2:H1126) - ROW(H$2) + 1, P$2:P1126 = P1127))))=""単価"","""",
IF(COUNTIF(P$2:P1126, P1127)=0, """", INDEX(H$2:H1126,
MAX(FILTER(ROW(H$2:H1126) - ROW(H$2) + 1, P$2:P1126 = P1127)))))"),28.5)</f>
        <v>28.5</v>
      </c>
      <c r="N1127" s="335" t="str">
        <f>IF(MAXIFS('単価履歴'!$O:$O,'単価履歴'!$E:$E,E1127,'単価履歴'!$F:$F,F1127)=O1127,"●","")</f>
        <v/>
      </c>
      <c r="O1127" s="346">
        <v>45768.77209490741</v>
      </c>
      <c r="P1127" s="334" t="str">
        <f t="shared" si="4"/>
        <v>大鉄　堺:大鉄堺新断Ｂ</v>
      </c>
    </row>
    <row r="1128" ht="15.75" customHeight="1">
      <c r="A1128" s="335" t="s">
        <v>2320</v>
      </c>
      <c r="B1128" s="336">
        <v>45769.0</v>
      </c>
      <c r="C1128" s="335" t="s">
        <v>9</v>
      </c>
      <c r="D1128" s="335" t="s">
        <v>47</v>
      </c>
      <c r="E1128" s="337" t="str">
        <f t="shared" si="1"/>
        <v>大鉄　堺:豊通</v>
      </c>
      <c r="F1128" s="338" t="s">
        <v>154</v>
      </c>
      <c r="G1128" s="339" t="str">
        <f t="shared" si="2"/>
        <v>大鉄　堺:豊通ＣＰ Ａ</v>
      </c>
      <c r="H1128" s="340">
        <f t="shared" si="3"/>
        <v>40.7</v>
      </c>
      <c r="I1128" s="341">
        <v>-0.5</v>
      </c>
      <c r="J1128" s="332">
        <f>IFERROR(__xludf.DUMMYFUNCTION("IF(IF(COUNTIF(P$2:P1127, P1128)=0, """", INDEX(H$2:H1127,
MAX(FILTER(ROW(H$2:H1127) - ROW(H$2) + 1, P$2:P1127 = P1128))))=""単価"","""",
IF(COUNTIF(P$2:P1127, P1128)=0, """", INDEX(H$2:H1127,
MAX(FILTER(ROW(H$2:H1127) - ROW(H$2) + 1, P$2:P1127 = P1128)))))"),41.2)</f>
        <v>41.2</v>
      </c>
      <c r="N1128" s="335" t="str">
        <f>IF(MAXIFS('単価履歴'!$O:$O,'単価履歴'!$E:$E,E1128,'単価履歴'!$F:$F,F1128)=O1128,"●","")</f>
        <v/>
      </c>
      <c r="O1128" s="346">
        <v>45768.77209490741</v>
      </c>
      <c r="P1128" s="334" t="str">
        <f t="shared" si="4"/>
        <v>大鉄　堺:豊通ＣＰ Ａ</v>
      </c>
    </row>
    <row r="1129" ht="15.75" customHeight="1">
      <c r="A1129" s="335" t="s">
        <v>2321</v>
      </c>
      <c r="B1129" s="336">
        <v>45769.0</v>
      </c>
      <c r="C1129" s="335" t="s">
        <v>9</v>
      </c>
      <c r="D1129" s="335" t="s">
        <v>47</v>
      </c>
      <c r="E1129" s="337" t="str">
        <f t="shared" si="1"/>
        <v>大鉄　堺:豊通</v>
      </c>
      <c r="F1129" s="338" t="s">
        <v>156</v>
      </c>
      <c r="G1129" s="339" t="str">
        <f t="shared" si="2"/>
        <v>大鉄　堺:豊通ＣＰ Ｂ一斗缶</v>
      </c>
      <c r="H1129" s="340">
        <f t="shared" si="3"/>
        <v>34.2</v>
      </c>
      <c r="I1129" s="341">
        <v>-0.5</v>
      </c>
      <c r="J1129" s="332">
        <f>IFERROR(__xludf.DUMMYFUNCTION("IF(IF(COUNTIF(P$2:P1128, P1129)=0, """", INDEX(H$2:H1128,
MAX(FILTER(ROW(H$2:H1128) - ROW(H$2) + 1, P$2:P1128 = P1129))))=""単価"","""",
IF(COUNTIF(P$2:P1128, P1129)=0, """", INDEX(H$2:H1128,
MAX(FILTER(ROW(H$2:H1128) - ROW(H$2) + 1, P$2:P1128 = P1129)))))"),34.7)</f>
        <v>34.7</v>
      </c>
      <c r="N1129" s="335" t="str">
        <f>IF(MAXIFS('単価履歴'!$O:$O,'単価履歴'!$E:$E,E1129,'単価履歴'!$F:$F,F1129)=O1129,"●","")</f>
        <v/>
      </c>
      <c r="O1129" s="346">
        <v>45768.77209490741</v>
      </c>
      <c r="P1129" s="334" t="str">
        <f t="shared" si="4"/>
        <v>大鉄　堺:豊通ＣＰ Ｂ一斗缶</v>
      </c>
    </row>
    <row r="1130" ht="15.75" customHeight="1">
      <c r="A1130" s="335" t="s">
        <v>2322</v>
      </c>
      <c r="B1130" s="336">
        <v>45769.0</v>
      </c>
      <c r="C1130" s="335" t="s">
        <v>9</v>
      </c>
      <c r="D1130" s="335" t="s">
        <v>47</v>
      </c>
      <c r="E1130" s="337" t="str">
        <f t="shared" si="1"/>
        <v>大鉄　堺:豊通</v>
      </c>
      <c r="F1130" s="338" t="s">
        <v>111</v>
      </c>
      <c r="G1130" s="339" t="str">
        <f t="shared" si="2"/>
        <v>大鉄　堺:豊通Ｈ１(特A)</v>
      </c>
      <c r="H1130" s="340">
        <f t="shared" si="3"/>
        <v>29.9</v>
      </c>
      <c r="I1130" s="341">
        <v>-0.5</v>
      </c>
      <c r="J1130" s="332">
        <f>IFERROR(__xludf.DUMMYFUNCTION("IF(IF(COUNTIF(P$2:P1129, P1130)=0, """", INDEX(H$2:H1129,
MAX(FILTER(ROW(H$2:H1129) - ROW(H$2) + 1, P$2:P1129 = P1130))))=""単価"","""",
IF(COUNTIF(P$2:P1129, P1130)=0, """", INDEX(H$2:H1129,
MAX(FILTER(ROW(H$2:H1129) - ROW(H$2) + 1, P$2:P1129 = P1130)))))"),30.4)</f>
        <v>30.4</v>
      </c>
      <c r="N1130" s="335" t="str">
        <f>IF(MAXIFS('単価履歴'!$O:$O,'単価履歴'!$E:$E,E1130,'単価履歴'!$F:$F,F1130)=O1130,"●","")</f>
        <v/>
      </c>
      <c r="O1130" s="346">
        <v>45768.77209490741</v>
      </c>
      <c r="P1130" s="334" t="str">
        <f t="shared" si="4"/>
        <v>大鉄　堺:豊通Ｈ１(特A)</v>
      </c>
    </row>
    <row r="1131" ht="15.75" customHeight="1">
      <c r="A1131" s="335" t="s">
        <v>2323</v>
      </c>
      <c r="B1131" s="336">
        <v>45769.0</v>
      </c>
      <c r="C1131" s="335" t="s">
        <v>9</v>
      </c>
      <c r="D1131" s="335" t="s">
        <v>47</v>
      </c>
      <c r="E1131" s="337" t="str">
        <f t="shared" si="1"/>
        <v>大鉄　堺:豊通</v>
      </c>
      <c r="F1131" s="338" t="s">
        <v>116</v>
      </c>
      <c r="G1131" s="339" t="str">
        <f t="shared" si="2"/>
        <v>大鉄　堺:豊通Ｈ２(特級)</v>
      </c>
      <c r="H1131" s="340">
        <f t="shared" si="3"/>
        <v>25.7</v>
      </c>
      <c r="I1131" s="341">
        <v>-0.5</v>
      </c>
      <c r="J1131" s="332">
        <f>IFERROR(__xludf.DUMMYFUNCTION("IF(IF(COUNTIF(P$2:P1130, P1131)=0, """", INDEX(H$2:H1130,
MAX(FILTER(ROW(H$2:H1130) - ROW(H$2) + 1, P$2:P1130 = P1131))))=""単価"","""",
IF(COUNTIF(P$2:P1130, P1131)=0, """", INDEX(H$2:H1130,
MAX(FILTER(ROW(H$2:H1130) - ROW(H$2) + 1, P$2:P1130 = P1131)))))"),26.2)</f>
        <v>26.2</v>
      </c>
      <c r="N1131" s="335" t="str">
        <f>IF(MAXIFS('単価履歴'!$O:$O,'単価履歴'!$E:$E,E1131,'単価履歴'!$F:$F,F1131)=O1131,"●","")</f>
        <v/>
      </c>
      <c r="O1131" s="346">
        <v>45768.77209490741</v>
      </c>
      <c r="P1131" s="334" t="str">
        <f t="shared" si="4"/>
        <v>大鉄　堺:豊通Ｈ２(特級)</v>
      </c>
    </row>
    <row r="1132" ht="15.75" customHeight="1">
      <c r="A1132" s="335" t="s">
        <v>2324</v>
      </c>
      <c r="B1132" s="336">
        <v>45769.0</v>
      </c>
      <c r="C1132" s="335" t="s">
        <v>9</v>
      </c>
      <c r="D1132" s="335" t="s">
        <v>47</v>
      </c>
      <c r="E1132" s="337" t="str">
        <f t="shared" si="1"/>
        <v>大鉄　堺:豊通</v>
      </c>
      <c r="F1132" s="338" t="s">
        <v>119</v>
      </c>
      <c r="G1132" s="339" t="str">
        <f t="shared" si="2"/>
        <v>大鉄　堺:豊通Ｈ３(1級)</v>
      </c>
      <c r="H1132" s="340">
        <f t="shared" si="3"/>
        <v>24.7</v>
      </c>
      <c r="I1132" s="341">
        <v>-0.5</v>
      </c>
      <c r="J1132" s="332">
        <f>IFERROR(__xludf.DUMMYFUNCTION("IF(IF(COUNTIF(P$2:P1131, P1132)=0, """", INDEX(H$2:H1131,
MAX(FILTER(ROW(H$2:H1131) - ROW(H$2) + 1, P$2:P1131 = P1132))))=""単価"","""",
IF(COUNTIF(P$2:P1131, P1132)=0, """", INDEX(H$2:H1131,
MAX(FILTER(ROW(H$2:H1131) - ROW(H$2) + 1, P$2:P1131 = P1132)))))"),25.2)</f>
        <v>25.2</v>
      </c>
      <c r="N1132" s="335" t="str">
        <f>IF(MAXIFS('単価履歴'!$O:$O,'単価履歴'!$E:$E,E1132,'単価履歴'!$F:$F,F1132)=O1132,"●","")</f>
        <v/>
      </c>
      <c r="O1132" s="346">
        <v>45768.77209490741</v>
      </c>
      <c r="P1132" s="334" t="str">
        <f t="shared" si="4"/>
        <v>大鉄　堺:豊通Ｈ３(1級)</v>
      </c>
    </row>
    <row r="1133" ht="15.75" customHeight="1">
      <c r="A1133" s="335" t="s">
        <v>2325</v>
      </c>
      <c r="B1133" s="336">
        <v>45769.0</v>
      </c>
      <c r="C1133" s="335" t="s">
        <v>9</v>
      </c>
      <c r="D1133" s="335" t="s">
        <v>47</v>
      </c>
      <c r="E1133" s="337" t="str">
        <f t="shared" si="1"/>
        <v>大鉄　堺:豊通</v>
      </c>
      <c r="F1133" s="338" t="s">
        <v>1237</v>
      </c>
      <c r="G1133" s="339" t="str">
        <f t="shared" si="2"/>
        <v>大鉄　堺:豊通ＪＨ１(H2T山口)鍛造ﾊﾞﾘ</v>
      </c>
      <c r="H1133" s="340">
        <f t="shared" si="3"/>
        <v>28.9</v>
      </c>
      <c r="I1133" s="341">
        <v>-0.5</v>
      </c>
      <c r="J1133" s="332">
        <f>IFERROR(__xludf.DUMMYFUNCTION("IF(IF(COUNTIF(P$2:P1132, P1133)=0, """", INDEX(H$2:H1132,
MAX(FILTER(ROW(H$2:H1132) - ROW(H$2) + 1, P$2:P1132 = P1133))))=""単価"","""",
IF(COUNTIF(P$2:P1132, P1133)=0, """", INDEX(H$2:H1132,
MAX(FILTER(ROW(H$2:H1132) - ROW(H$2) + 1, P$2:P1132 = P1133)))))"),29.4)</f>
        <v>29.4</v>
      </c>
      <c r="N1133" s="335" t="str">
        <f>IF(MAXIFS('単価履歴'!$O:$O,'単価履歴'!$E:$E,E1133,'単価履歴'!$F:$F,F1133)=O1133,"●","")</f>
        <v/>
      </c>
      <c r="O1133" s="346">
        <v>45768.77209490741</v>
      </c>
      <c r="P1133" s="334" t="str">
        <f t="shared" si="4"/>
        <v>大鉄　堺:豊通ＪＨ１(H2T山口)鍛造ﾊﾞﾘ</v>
      </c>
    </row>
    <row r="1134" ht="15.75" customHeight="1">
      <c r="A1134" s="335" t="s">
        <v>2326</v>
      </c>
      <c r="B1134" s="336">
        <v>45769.0</v>
      </c>
      <c r="C1134" s="335" t="s">
        <v>9</v>
      </c>
      <c r="D1134" s="335" t="s">
        <v>47</v>
      </c>
      <c r="E1134" s="337" t="str">
        <f t="shared" si="1"/>
        <v>大鉄　堺:豊通</v>
      </c>
      <c r="F1134" s="338" t="s">
        <v>122</v>
      </c>
      <c r="G1134" s="339" t="str">
        <f t="shared" si="2"/>
        <v>大鉄　堺:豊通Ｌ１(2級)</v>
      </c>
      <c r="H1134" s="340">
        <f t="shared" si="3"/>
        <v>23.2</v>
      </c>
      <c r="I1134" s="341">
        <v>-0.5</v>
      </c>
      <c r="J1134" s="332">
        <f>IFERROR(__xludf.DUMMYFUNCTION("IF(IF(COUNTIF(P$2:P1133, P1134)=0, """", INDEX(H$2:H1133,
MAX(FILTER(ROW(H$2:H1133) - ROW(H$2) + 1, P$2:P1133 = P1134))))=""単価"","""",
IF(COUNTIF(P$2:P1133, P1134)=0, """", INDEX(H$2:H1133,
MAX(FILTER(ROW(H$2:H1133) - ROW(H$2) + 1, P$2:P1133 = P1134)))))"),23.7)</f>
        <v>23.7</v>
      </c>
      <c r="N1134" s="335" t="str">
        <f>IF(MAXIFS('単価履歴'!$O:$O,'単価履歴'!$E:$E,E1134,'単価履歴'!$F:$F,F1134)=O1134,"●","")</f>
        <v/>
      </c>
      <c r="O1134" s="346">
        <v>45768.77209490741</v>
      </c>
      <c r="P1134" s="334" t="str">
        <f t="shared" si="4"/>
        <v>大鉄　堺:豊通Ｌ１(2級)</v>
      </c>
    </row>
    <row r="1135" ht="15.75" customHeight="1">
      <c r="A1135" s="335" t="s">
        <v>2327</v>
      </c>
      <c r="B1135" s="336">
        <v>45769.0</v>
      </c>
      <c r="C1135" s="335" t="s">
        <v>9</v>
      </c>
      <c r="D1135" s="335" t="s">
        <v>47</v>
      </c>
      <c r="E1135" s="337" t="str">
        <f t="shared" si="1"/>
        <v>大鉄　堺:豊通</v>
      </c>
      <c r="F1135" s="338" t="s">
        <v>145</v>
      </c>
      <c r="G1135" s="339" t="str">
        <f t="shared" si="2"/>
        <v>大鉄　堺:豊通シュレＡ</v>
      </c>
      <c r="H1135" s="340">
        <f t="shared" si="3"/>
        <v>30.2</v>
      </c>
      <c r="I1135" s="341">
        <v>-0.5</v>
      </c>
      <c r="J1135" s="332">
        <f>IFERROR(__xludf.DUMMYFUNCTION("IF(IF(COUNTIF(P$2:P1134, P1135)=0, """", INDEX(H$2:H1134,
MAX(FILTER(ROW(H$2:H1134) - ROW(H$2) + 1, P$2:P1134 = P1135))))=""単価"","""",
IF(COUNTIF(P$2:P1134, P1135)=0, """", INDEX(H$2:H1134,
MAX(FILTER(ROW(H$2:H1134) - ROW(H$2) + 1, P$2:P1134 = P1135)))))"),30.7)</f>
        <v>30.7</v>
      </c>
      <c r="N1135" s="335" t="str">
        <f>IF(MAXIFS('単価履歴'!$O:$O,'単価履歴'!$E:$E,E1135,'単価履歴'!$F:$F,F1135)=O1135,"●","")</f>
        <v/>
      </c>
      <c r="O1135" s="346">
        <v>45768.77209490741</v>
      </c>
      <c r="P1135" s="334" t="str">
        <f t="shared" si="4"/>
        <v>大鉄　堺:豊通シュレＡ</v>
      </c>
    </row>
    <row r="1136" ht="15.75" customHeight="1">
      <c r="A1136" s="335" t="s">
        <v>2328</v>
      </c>
      <c r="B1136" s="336">
        <v>45769.0</v>
      </c>
      <c r="C1136" s="335" t="s">
        <v>9</v>
      </c>
      <c r="D1136" s="335" t="s">
        <v>47</v>
      </c>
      <c r="E1136" s="337" t="str">
        <f t="shared" si="1"/>
        <v>大鉄　堺:豊通</v>
      </c>
      <c r="F1136" s="338" t="s">
        <v>149</v>
      </c>
      <c r="G1136" s="339" t="str">
        <f t="shared" si="2"/>
        <v>大鉄　堺:豊通シュレＢ</v>
      </c>
      <c r="H1136" s="340">
        <f t="shared" si="3"/>
        <v>29.5</v>
      </c>
      <c r="I1136" s="341">
        <v>-0.5</v>
      </c>
      <c r="J1136" s="332">
        <f>IFERROR(__xludf.DUMMYFUNCTION("IF(IF(COUNTIF(P$2:P1135, P1136)=0, """", INDEX(H$2:H1135,
MAX(FILTER(ROW(H$2:H1135) - ROW(H$2) + 1, P$2:P1135 = P1136))))=""単価"","""",
IF(COUNTIF(P$2:P1135, P1136)=0, """", INDEX(H$2:H1135,
MAX(FILTER(ROW(H$2:H1135) - ROW(H$2) + 1, P$2:P1135 = P1136)))))"),30.0)</f>
        <v>30</v>
      </c>
      <c r="N1136" s="335" t="str">
        <f>IF(MAXIFS('単価履歴'!$O:$O,'単価履歴'!$E:$E,E1136,'単価履歴'!$F:$F,F1136)=O1136,"●","")</f>
        <v/>
      </c>
      <c r="O1136" s="346">
        <v>45768.77209490741</v>
      </c>
      <c r="P1136" s="334" t="str">
        <f t="shared" si="4"/>
        <v>大鉄　堺:豊通シュレＢ</v>
      </c>
    </row>
    <row r="1137" ht="15.75" customHeight="1">
      <c r="A1137" s="335" t="s">
        <v>2329</v>
      </c>
      <c r="B1137" s="336">
        <v>45769.0</v>
      </c>
      <c r="C1137" s="335" t="s">
        <v>9</v>
      </c>
      <c r="D1137" s="335" t="s">
        <v>47</v>
      </c>
      <c r="E1137" s="337" t="str">
        <f t="shared" si="1"/>
        <v>大鉄　堺:豊通</v>
      </c>
      <c r="F1137" s="338" t="s">
        <v>151</v>
      </c>
      <c r="G1137" s="339" t="str">
        <f t="shared" si="2"/>
        <v>大鉄　堺:豊通シュレＣ</v>
      </c>
      <c r="H1137" s="340">
        <f t="shared" si="3"/>
        <v>28.1</v>
      </c>
      <c r="I1137" s="341">
        <v>-0.5</v>
      </c>
      <c r="J1137" s="332">
        <f>IFERROR(__xludf.DUMMYFUNCTION("IF(IF(COUNTIF(P$2:P1136, P1137)=0, """", INDEX(H$2:H1136,
MAX(FILTER(ROW(H$2:H1136) - ROW(H$2) + 1, P$2:P1136 = P1137))))=""単価"","""",
IF(COUNTIF(P$2:P1136, P1137)=0, """", INDEX(H$2:H1136,
MAX(FILTER(ROW(H$2:H1136) - ROW(H$2) + 1, P$2:P1136 = P1137)))))"),28.6)</f>
        <v>28.6</v>
      </c>
      <c r="N1137" s="335" t="str">
        <f>IF(MAXIFS('単価履歴'!$O:$O,'単価履歴'!$E:$E,E1137,'単価履歴'!$F:$F,F1137)=O1137,"●","")</f>
        <v/>
      </c>
      <c r="O1137" s="346">
        <v>45768.77209490741</v>
      </c>
      <c r="P1137" s="334" t="str">
        <f t="shared" si="4"/>
        <v>大鉄　堺:豊通シュレＣ</v>
      </c>
    </row>
    <row r="1138" ht="15.75" customHeight="1">
      <c r="A1138" s="335" t="s">
        <v>2330</v>
      </c>
      <c r="B1138" s="336">
        <v>45769.0</v>
      </c>
      <c r="C1138" s="335" t="s">
        <v>9</v>
      </c>
      <c r="D1138" s="335" t="s">
        <v>47</v>
      </c>
      <c r="E1138" s="337" t="str">
        <f t="shared" si="1"/>
        <v>大鉄　堺:豊通</v>
      </c>
      <c r="F1138" s="338" t="s">
        <v>575</v>
      </c>
      <c r="G1138" s="339" t="str">
        <f t="shared" si="2"/>
        <v>大鉄　堺:豊通鋼ダライＡ</v>
      </c>
      <c r="H1138" s="340">
        <f t="shared" si="3"/>
        <v>28.7</v>
      </c>
      <c r="I1138" s="341">
        <v>-0.5</v>
      </c>
      <c r="J1138" s="332">
        <f>IFERROR(__xludf.DUMMYFUNCTION("IF(IF(COUNTIF(P$2:P1137, P1138)=0, """", INDEX(H$2:H1137,
MAX(FILTER(ROW(H$2:H1137) - ROW(H$2) + 1, P$2:P1137 = P1138))))=""単価"","""",
IF(COUNTIF(P$2:P1137, P1138)=0, """", INDEX(H$2:H1137,
MAX(FILTER(ROW(H$2:H1137) - ROW(H$2) + 1, P$2:P1137 = P1138)))))"),29.2)</f>
        <v>29.2</v>
      </c>
      <c r="N1138" s="335" t="str">
        <f>IF(MAXIFS('単価履歴'!$O:$O,'単価履歴'!$E:$E,E1138,'単価履歴'!$F:$F,F1138)=O1138,"●","")</f>
        <v/>
      </c>
      <c r="O1138" s="346">
        <v>45768.77209490741</v>
      </c>
      <c r="P1138" s="334" t="str">
        <f t="shared" si="4"/>
        <v>大鉄　堺:豊通鋼ダライＡ</v>
      </c>
    </row>
    <row r="1139" ht="15.75" customHeight="1">
      <c r="A1139" s="335" t="s">
        <v>2331</v>
      </c>
      <c r="B1139" s="336">
        <v>45769.0</v>
      </c>
      <c r="C1139" s="335" t="s">
        <v>9</v>
      </c>
      <c r="D1139" s="335" t="s">
        <v>47</v>
      </c>
      <c r="E1139" s="337" t="str">
        <f t="shared" si="1"/>
        <v>大鉄　堺:豊通</v>
      </c>
      <c r="F1139" s="338" t="s">
        <v>576</v>
      </c>
      <c r="G1139" s="339" t="str">
        <f t="shared" si="2"/>
        <v>大鉄　堺:豊通鋼ダライＢ</v>
      </c>
      <c r="H1139" s="340">
        <f t="shared" si="3"/>
        <v>28.7</v>
      </c>
      <c r="I1139" s="341">
        <v>-0.5</v>
      </c>
      <c r="J1139" s="332">
        <f>IFERROR(__xludf.DUMMYFUNCTION("IF(IF(COUNTIF(P$2:P1138, P1139)=0, """", INDEX(H$2:H1138,
MAX(FILTER(ROW(H$2:H1138) - ROW(H$2) + 1, P$2:P1138 = P1139))))=""単価"","""",
IF(COUNTIF(P$2:P1138, P1139)=0, """", INDEX(H$2:H1138,
MAX(FILTER(ROW(H$2:H1138) - ROW(H$2) + 1, P$2:P1138 = P1139)))))"),29.2)</f>
        <v>29.2</v>
      </c>
      <c r="N1139" s="335" t="str">
        <f>IF(MAXIFS('単価履歴'!$O:$O,'単価履歴'!$E:$E,E1139,'単価履歴'!$F:$F,F1139)=O1139,"●","")</f>
        <v/>
      </c>
      <c r="O1139" s="346">
        <v>45768.77209490741</v>
      </c>
      <c r="P1139" s="334" t="str">
        <f t="shared" si="4"/>
        <v>大鉄　堺:豊通鋼ダライＢ</v>
      </c>
    </row>
    <row r="1140" ht="15.75" customHeight="1">
      <c r="A1140" s="335" t="s">
        <v>2332</v>
      </c>
      <c r="B1140" s="336">
        <v>45769.0</v>
      </c>
      <c r="C1140" s="335" t="s">
        <v>9</v>
      </c>
      <c r="D1140" s="335" t="s">
        <v>47</v>
      </c>
      <c r="E1140" s="337" t="str">
        <f t="shared" si="1"/>
        <v>大鉄　堺:豊通</v>
      </c>
      <c r="F1140" s="338" t="s">
        <v>130</v>
      </c>
      <c r="G1140" s="339" t="str">
        <f t="shared" si="2"/>
        <v>大鉄　堺:豊通新断Ａ</v>
      </c>
      <c r="H1140" s="340">
        <f t="shared" si="3"/>
        <v>26.7</v>
      </c>
      <c r="I1140" s="341">
        <v>-0.5</v>
      </c>
      <c r="J1140" s="332">
        <f>IFERROR(__xludf.DUMMYFUNCTION("IF(IF(COUNTIF(P$2:P1139, P1140)=0, """", INDEX(H$2:H1139,
MAX(FILTER(ROW(H$2:H1139) - ROW(H$2) + 1, P$2:P1139 = P1140))))=""単価"","""",
IF(COUNTIF(P$2:P1139, P1140)=0, """", INDEX(H$2:H1139,
MAX(FILTER(ROW(H$2:H1139) - ROW(H$2) + 1, P$2:P1139 = P1140)))))"),27.2)</f>
        <v>27.2</v>
      </c>
      <c r="N1140" s="335" t="str">
        <f>IF(MAXIFS('単価履歴'!$O:$O,'単価履歴'!$E:$E,E1140,'単価履歴'!$F:$F,F1140)=O1140,"●","")</f>
        <v/>
      </c>
      <c r="O1140" s="346">
        <v>45768.77209490741</v>
      </c>
      <c r="P1140" s="334" t="str">
        <f t="shared" si="4"/>
        <v>大鉄　堺:豊通新断Ａ</v>
      </c>
    </row>
    <row r="1141" ht="15.75" customHeight="1">
      <c r="A1141" s="335" t="s">
        <v>2333</v>
      </c>
      <c r="B1141" s="336">
        <v>45769.0</v>
      </c>
      <c r="C1141" s="335" t="s">
        <v>9</v>
      </c>
      <c r="D1141" s="335" t="s">
        <v>47</v>
      </c>
      <c r="E1141" s="337" t="str">
        <f t="shared" si="1"/>
        <v>大鉄　堺:豊通</v>
      </c>
      <c r="F1141" s="338" t="s">
        <v>131</v>
      </c>
      <c r="G1141" s="339" t="str">
        <f t="shared" si="2"/>
        <v>大鉄　堺:豊通新断Ｂ</v>
      </c>
      <c r="H1141" s="340">
        <f t="shared" si="3"/>
        <v>26.2</v>
      </c>
      <c r="I1141" s="341">
        <v>-0.5</v>
      </c>
      <c r="J1141" s="332">
        <f>IFERROR(__xludf.DUMMYFUNCTION("IF(IF(COUNTIF(P$2:P1140, P1141)=0, """", INDEX(H$2:H1140,
MAX(FILTER(ROW(H$2:H1140) - ROW(H$2) + 1, P$2:P1140 = P1141))))=""単価"","""",
IF(COUNTIF(P$2:P1140, P1141)=0, """", INDEX(H$2:H1140,
MAX(FILTER(ROW(H$2:H1140) - ROW(H$2) + 1, P$2:P1140 = P1141)))))"),26.7)</f>
        <v>26.7</v>
      </c>
      <c r="N1141" s="335" t="str">
        <f>IF(MAXIFS('単価履歴'!$O:$O,'単価履歴'!$E:$E,E1141,'単価履歴'!$F:$F,F1141)=O1141,"●","")</f>
        <v/>
      </c>
      <c r="O1141" s="346">
        <v>45768.77209490741</v>
      </c>
      <c r="P1141" s="334" t="str">
        <f t="shared" si="4"/>
        <v>大鉄　堺:豊通新断Ｂ</v>
      </c>
    </row>
    <row r="1142" ht="15.75" customHeight="1">
      <c r="A1142" s="335" t="s">
        <v>2334</v>
      </c>
      <c r="B1142" s="336">
        <v>45769.0</v>
      </c>
      <c r="C1142" s="335" t="s">
        <v>10</v>
      </c>
      <c r="D1142" s="335" t="s">
        <v>47</v>
      </c>
      <c r="E1142" s="337" t="str">
        <f t="shared" si="1"/>
        <v>岸和田:豊通</v>
      </c>
      <c r="F1142" s="338" t="s">
        <v>154</v>
      </c>
      <c r="G1142" s="339" t="str">
        <f t="shared" si="2"/>
        <v>岸和田:豊通ＣＰ Ａ</v>
      </c>
      <c r="H1142" s="340">
        <f t="shared" si="3"/>
        <v>43.7</v>
      </c>
      <c r="I1142" s="341">
        <v>-0.5</v>
      </c>
      <c r="J1142" s="332">
        <f>IFERROR(__xludf.DUMMYFUNCTION("IF(IF(COUNTIF(P$2:P1141, P1142)=0, """", INDEX(H$2:H1141,
MAX(FILTER(ROW(H$2:H1141) - ROW(H$2) + 1, P$2:P1141 = P1142))))=""単価"","""",
IF(COUNTIF(P$2:P1141, P1142)=0, """", INDEX(H$2:H1141,
MAX(FILTER(ROW(H$2:H1141) - ROW(H$2) + 1, P$2:P1141 = P1142)))))"),44.2)</f>
        <v>44.2</v>
      </c>
      <c r="N1142" s="335" t="str">
        <f>IF(MAXIFS('単価履歴'!$O:$O,'単価履歴'!$E:$E,E1142,'単価履歴'!$F:$F,F1142)=O1142,"●","")</f>
        <v/>
      </c>
      <c r="O1142" s="346">
        <v>45768.772314814814</v>
      </c>
      <c r="P1142" s="334" t="str">
        <f t="shared" si="4"/>
        <v>岸和田:豊通ＣＰ Ａ</v>
      </c>
    </row>
    <row r="1143" ht="15.75" customHeight="1">
      <c r="A1143" s="335" t="s">
        <v>2335</v>
      </c>
      <c r="B1143" s="336">
        <v>45769.0</v>
      </c>
      <c r="C1143" s="335" t="s">
        <v>10</v>
      </c>
      <c r="D1143" s="335" t="s">
        <v>47</v>
      </c>
      <c r="E1143" s="337" t="str">
        <f t="shared" si="1"/>
        <v>岸和田:豊通</v>
      </c>
      <c r="F1143" s="338" t="s">
        <v>111</v>
      </c>
      <c r="G1143" s="339" t="str">
        <f t="shared" si="2"/>
        <v>岸和田:豊通Ｈ１(特A)</v>
      </c>
      <c r="H1143" s="340">
        <f t="shared" si="3"/>
        <v>43.5</v>
      </c>
      <c r="I1143" s="341">
        <v>-0.5</v>
      </c>
      <c r="J1143" s="332">
        <f>IFERROR(__xludf.DUMMYFUNCTION("IF(IF(COUNTIF(P$2:P1142, P1143)=0, """", INDEX(H$2:H1142,
MAX(FILTER(ROW(H$2:H1142) - ROW(H$2) + 1, P$2:P1142 = P1143))))=""単価"","""",
IF(COUNTIF(P$2:P1142, P1143)=0, """", INDEX(H$2:H1142,
MAX(FILTER(ROW(H$2:H1142) - ROW(H$2) + 1, P$2:P1142 = P1143)))))"),44.0)</f>
        <v>44</v>
      </c>
      <c r="N1143" s="335" t="str">
        <f>IF(MAXIFS('単価履歴'!$O:$O,'単価履歴'!$E:$E,E1143,'単価履歴'!$F:$F,F1143)=O1143,"●","")</f>
        <v/>
      </c>
      <c r="O1143" s="346">
        <v>45768.772314814814</v>
      </c>
      <c r="P1143" s="334" t="str">
        <f t="shared" si="4"/>
        <v>岸和田:豊通Ｈ１(特A)</v>
      </c>
    </row>
    <row r="1144" ht="15.75" customHeight="1">
      <c r="A1144" s="335" t="s">
        <v>2336</v>
      </c>
      <c r="B1144" s="336">
        <v>45769.0</v>
      </c>
      <c r="C1144" s="335" t="s">
        <v>10</v>
      </c>
      <c r="D1144" s="335" t="s">
        <v>47</v>
      </c>
      <c r="E1144" s="337" t="str">
        <f t="shared" si="1"/>
        <v>岸和田:豊通</v>
      </c>
      <c r="F1144" s="338" t="s">
        <v>116</v>
      </c>
      <c r="G1144" s="339" t="str">
        <f t="shared" si="2"/>
        <v>岸和田:豊通Ｈ２(特級)</v>
      </c>
      <c r="H1144" s="340">
        <f t="shared" si="3"/>
        <v>41.5</v>
      </c>
      <c r="I1144" s="341">
        <v>-0.5</v>
      </c>
      <c r="J1144" s="332">
        <f>IFERROR(__xludf.DUMMYFUNCTION("IF(IF(COUNTIF(P$2:P1143, P1144)=0, """", INDEX(H$2:H1143,
MAX(FILTER(ROW(H$2:H1143) - ROW(H$2) + 1, P$2:P1143 = P1144))))=""単価"","""",
IF(COUNTIF(P$2:P1143, P1144)=0, """", INDEX(H$2:H1143,
MAX(FILTER(ROW(H$2:H1143) - ROW(H$2) + 1, P$2:P1143 = P1144)))))"),42.0)</f>
        <v>42</v>
      </c>
      <c r="N1144" s="335" t="str">
        <f>IF(MAXIFS('単価履歴'!$O:$O,'単価履歴'!$E:$E,E1144,'単価履歴'!$F:$F,F1144)=O1144,"●","")</f>
        <v/>
      </c>
      <c r="O1144" s="346">
        <v>45768.772314814814</v>
      </c>
      <c r="P1144" s="334" t="str">
        <f t="shared" si="4"/>
        <v>岸和田:豊通Ｈ２(特級)</v>
      </c>
    </row>
    <row r="1145" ht="15.75" customHeight="1">
      <c r="A1145" s="335" t="s">
        <v>2337</v>
      </c>
      <c r="B1145" s="336">
        <v>45769.0</v>
      </c>
      <c r="C1145" s="335" t="s">
        <v>10</v>
      </c>
      <c r="D1145" s="335" t="s">
        <v>47</v>
      </c>
      <c r="E1145" s="337" t="str">
        <f t="shared" si="1"/>
        <v>岸和田:豊通</v>
      </c>
      <c r="F1145" s="338" t="s">
        <v>119</v>
      </c>
      <c r="G1145" s="339" t="str">
        <f t="shared" si="2"/>
        <v>岸和田:豊通Ｈ３(1級)</v>
      </c>
      <c r="H1145" s="340">
        <f t="shared" si="3"/>
        <v>41</v>
      </c>
      <c r="I1145" s="341">
        <v>-0.5</v>
      </c>
      <c r="J1145" s="332">
        <f>IFERROR(__xludf.DUMMYFUNCTION("IF(IF(COUNTIF(P$2:P1144, P1145)=0, """", INDEX(H$2:H1144,
MAX(FILTER(ROW(H$2:H1144) - ROW(H$2) + 1, P$2:P1144 = P1145))))=""単価"","""",
IF(COUNTIF(P$2:P1144, P1145)=0, """", INDEX(H$2:H1144,
MAX(FILTER(ROW(H$2:H1144) - ROW(H$2) + 1, P$2:P1144 = P1145)))))"),41.5)</f>
        <v>41.5</v>
      </c>
      <c r="N1145" s="335" t="str">
        <f>IF(MAXIFS('単価履歴'!$O:$O,'単価履歴'!$E:$E,E1145,'単価履歴'!$F:$F,F1145)=O1145,"●","")</f>
        <v/>
      </c>
      <c r="O1145" s="346">
        <v>45768.772314814814</v>
      </c>
      <c r="P1145" s="334" t="str">
        <f t="shared" si="4"/>
        <v>岸和田:豊通Ｈ３(1級)</v>
      </c>
    </row>
    <row r="1146" ht="15.75" customHeight="1">
      <c r="A1146" s="335" t="s">
        <v>2338</v>
      </c>
      <c r="B1146" s="336">
        <v>45769.0</v>
      </c>
      <c r="C1146" s="335" t="s">
        <v>10</v>
      </c>
      <c r="D1146" s="335" t="s">
        <v>47</v>
      </c>
      <c r="E1146" s="337" t="str">
        <f t="shared" si="1"/>
        <v>岸和田:豊通</v>
      </c>
      <c r="F1146" s="338" t="s">
        <v>122</v>
      </c>
      <c r="G1146" s="339" t="str">
        <f t="shared" si="2"/>
        <v>岸和田:豊通Ｌ１(2級)</v>
      </c>
      <c r="H1146" s="340">
        <f t="shared" si="3"/>
        <v>40.5</v>
      </c>
      <c r="I1146" s="341">
        <v>-0.5</v>
      </c>
      <c r="J1146" s="332">
        <f>IFERROR(__xludf.DUMMYFUNCTION("IF(IF(COUNTIF(P$2:P1145, P1146)=0, """", INDEX(H$2:H1145,
MAX(FILTER(ROW(H$2:H1145) - ROW(H$2) + 1, P$2:P1145 = P1146))))=""単価"","""",
IF(COUNTIF(P$2:P1145, P1146)=0, """", INDEX(H$2:H1145,
MAX(FILTER(ROW(H$2:H1145) - ROW(H$2) + 1, P$2:P1145 = P1146)))))"),41.0)</f>
        <v>41</v>
      </c>
      <c r="N1146" s="335" t="str">
        <f>IF(MAXIFS('単価履歴'!$O:$O,'単価履歴'!$E:$E,E1146,'単価履歴'!$F:$F,F1146)=O1146,"●","")</f>
        <v/>
      </c>
      <c r="O1146" s="346">
        <v>45768.772314814814</v>
      </c>
      <c r="P1146" s="334" t="str">
        <f t="shared" si="4"/>
        <v>岸和田:豊通Ｌ１(2級)</v>
      </c>
    </row>
    <row r="1147" ht="15.75" customHeight="1">
      <c r="A1147" s="335" t="s">
        <v>2339</v>
      </c>
      <c r="B1147" s="336">
        <v>45769.0</v>
      </c>
      <c r="C1147" s="335" t="s">
        <v>36</v>
      </c>
      <c r="D1147" s="335" t="s">
        <v>1303</v>
      </c>
      <c r="E1147" s="337" t="str">
        <f t="shared" si="1"/>
        <v>共英枚方:ナベ/置場単価</v>
      </c>
      <c r="F1147" s="338" t="s">
        <v>154</v>
      </c>
      <c r="G1147" s="339" t="str">
        <f t="shared" si="2"/>
        <v>共英枚方:ナベ/置場単価ＣＰ Ａ</v>
      </c>
      <c r="H1147" s="340">
        <f t="shared" si="3"/>
        <v>46</v>
      </c>
      <c r="I1147" s="341">
        <v>-0.5</v>
      </c>
      <c r="J1147" s="332">
        <f>IFERROR(__xludf.DUMMYFUNCTION("IF(IF(COUNTIF(P$2:P1146, P1147)=0, """", INDEX(H$2:H1146,
MAX(FILTER(ROW(H$2:H1146) - ROW(H$2) + 1, P$2:P1146 = P1147))))=""単価"","""",
IF(COUNTIF(P$2:P1146, P1147)=0, """", INDEX(H$2:H1146,
MAX(FILTER(ROW(H$2:H1146) - ROW(H$2) + 1, P$2:P1146 = P1147)))))"),46.5)</f>
        <v>46.5</v>
      </c>
      <c r="N1147" s="335" t="str">
        <f>IF(MAXIFS('単価履歴'!$O:$O,'単価履歴'!$E:$E,E1147,'単価履歴'!$F:$F,F1147)=O1147,"●","")</f>
        <v/>
      </c>
      <c r="O1147" s="346">
        <v>45768.7725462963</v>
      </c>
      <c r="P1147" s="334" t="str">
        <f t="shared" si="4"/>
        <v>共英枚方:ナベ/置場単価ＣＰ Ａ</v>
      </c>
    </row>
    <row r="1148" ht="15.75" customHeight="1">
      <c r="A1148" s="335" t="s">
        <v>2340</v>
      </c>
      <c r="B1148" s="336">
        <v>45769.0</v>
      </c>
      <c r="C1148" s="335" t="s">
        <v>36</v>
      </c>
      <c r="D1148" s="335" t="s">
        <v>1303</v>
      </c>
      <c r="E1148" s="337" t="str">
        <f t="shared" si="1"/>
        <v>共英枚方:ナベ/置場単価</v>
      </c>
      <c r="F1148" s="338" t="s">
        <v>111</v>
      </c>
      <c r="G1148" s="339" t="str">
        <f t="shared" si="2"/>
        <v>共英枚方:ナベ/置場単価Ｈ１(特A)</v>
      </c>
      <c r="H1148" s="340">
        <f t="shared" si="3"/>
        <v>42.5</v>
      </c>
      <c r="I1148" s="341">
        <v>-0.5</v>
      </c>
      <c r="J1148" s="332">
        <f>IFERROR(__xludf.DUMMYFUNCTION("IF(IF(COUNTIF(P$2:P1147, P1148)=0, """", INDEX(H$2:H1147,
MAX(FILTER(ROW(H$2:H1147) - ROW(H$2) + 1, P$2:P1147 = P1148))))=""単価"","""",
IF(COUNTIF(P$2:P1147, P1148)=0, """", INDEX(H$2:H1147,
MAX(FILTER(ROW(H$2:H1147) - ROW(H$2) + 1, P$2:P1147 = P1148)))))"),43.0)</f>
        <v>43</v>
      </c>
      <c r="N1148" s="335" t="str">
        <f>IF(MAXIFS('単価履歴'!$O:$O,'単価履歴'!$E:$E,E1148,'単価履歴'!$F:$F,F1148)=O1148,"●","")</f>
        <v/>
      </c>
      <c r="O1148" s="346">
        <v>45768.7725462963</v>
      </c>
      <c r="P1148" s="334" t="str">
        <f t="shared" si="4"/>
        <v>共英枚方:ナベ/置場単価Ｈ１(特A)</v>
      </c>
    </row>
    <row r="1149" ht="15.75" customHeight="1">
      <c r="A1149" s="335" t="s">
        <v>2341</v>
      </c>
      <c r="B1149" s="336">
        <v>45769.0</v>
      </c>
      <c r="C1149" s="335" t="s">
        <v>36</v>
      </c>
      <c r="D1149" s="335" t="s">
        <v>1303</v>
      </c>
      <c r="E1149" s="337" t="str">
        <f t="shared" si="1"/>
        <v>共英枚方:ナベ/置場単価</v>
      </c>
      <c r="F1149" s="338" t="s">
        <v>116</v>
      </c>
      <c r="G1149" s="339" t="str">
        <f t="shared" si="2"/>
        <v>共英枚方:ナベ/置場単価Ｈ２(特級)</v>
      </c>
      <c r="H1149" s="340">
        <f t="shared" si="3"/>
        <v>40.5</v>
      </c>
      <c r="I1149" s="341">
        <v>-0.5</v>
      </c>
      <c r="J1149" s="332">
        <f>IFERROR(__xludf.DUMMYFUNCTION("IF(IF(COUNTIF(P$2:P1148, P1149)=0, """", INDEX(H$2:H1148,
MAX(FILTER(ROW(H$2:H1148) - ROW(H$2) + 1, P$2:P1148 = P1149))))=""単価"","""",
IF(COUNTIF(P$2:P1148, P1149)=0, """", INDEX(H$2:H1148,
MAX(FILTER(ROW(H$2:H1148) - ROW(H$2) + 1, P$2:P1148 = P1149)))))"),41.0)</f>
        <v>41</v>
      </c>
      <c r="N1149" s="335" t="str">
        <f>IF(MAXIFS('単価履歴'!$O:$O,'単価履歴'!$E:$E,E1149,'単価履歴'!$F:$F,F1149)=O1149,"●","")</f>
        <v/>
      </c>
      <c r="O1149" s="346">
        <v>45768.7725462963</v>
      </c>
      <c r="P1149" s="334" t="str">
        <f t="shared" si="4"/>
        <v>共英枚方:ナベ/置場単価Ｈ２(特級)</v>
      </c>
    </row>
    <row r="1150" ht="15.75" customHeight="1">
      <c r="A1150" s="335" t="s">
        <v>2342</v>
      </c>
      <c r="B1150" s="336">
        <v>45769.0</v>
      </c>
      <c r="C1150" s="335" t="s">
        <v>36</v>
      </c>
      <c r="D1150" s="335" t="s">
        <v>1303</v>
      </c>
      <c r="E1150" s="337" t="str">
        <f t="shared" si="1"/>
        <v>共英枚方:ナベ/置場単価</v>
      </c>
      <c r="F1150" s="338" t="s">
        <v>119</v>
      </c>
      <c r="G1150" s="339" t="str">
        <f t="shared" si="2"/>
        <v>共英枚方:ナベ/置場単価Ｈ３(1級)</v>
      </c>
      <c r="H1150" s="340">
        <f t="shared" si="3"/>
        <v>40</v>
      </c>
      <c r="I1150" s="341">
        <v>-0.5</v>
      </c>
      <c r="J1150" s="332">
        <f>IFERROR(__xludf.DUMMYFUNCTION("IF(IF(COUNTIF(P$2:P1149, P1150)=0, """", INDEX(H$2:H1149,
MAX(FILTER(ROW(H$2:H1149) - ROW(H$2) + 1, P$2:P1149 = P1150))))=""単価"","""",
IF(COUNTIF(P$2:P1149, P1150)=0, """", INDEX(H$2:H1149,
MAX(FILTER(ROW(H$2:H1149) - ROW(H$2) + 1, P$2:P1149 = P1150)))))"),40.5)</f>
        <v>40.5</v>
      </c>
      <c r="N1150" s="335" t="str">
        <f>IF(MAXIFS('単価履歴'!$O:$O,'単価履歴'!$E:$E,E1150,'単価履歴'!$F:$F,F1150)=O1150,"●","")</f>
        <v/>
      </c>
      <c r="O1150" s="346">
        <v>45768.7725462963</v>
      </c>
      <c r="P1150" s="334" t="str">
        <f t="shared" si="4"/>
        <v>共英枚方:ナベ/置場単価Ｈ３(1級)</v>
      </c>
    </row>
    <row r="1151" ht="15.75" customHeight="1">
      <c r="A1151" s="335" t="s">
        <v>2343</v>
      </c>
      <c r="B1151" s="336">
        <v>45769.0</v>
      </c>
      <c r="C1151" s="335" t="s">
        <v>36</v>
      </c>
      <c r="D1151" s="335" t="s">
        <v>1303</v>
      </c>
      <c r="E1151" s="337" t="str">
        <f t="shared" si="1"/>
        <v>共英枚方:ナベ/置場単価</v>
      </c>
      <c r="F1151" s="338" t="s">
        <v>122</v>
      </c>
      <c r="G1151" s="339" t="str">
        <f t="shared" si="2"/>
        <v>共英枚方:ナベ/置場単価Ｌ１(2級)</v>
      </c>
      <c r="H1151" s="340">
        <f t="shared" si="3"/>
        <v>39.5</v>
      </c>
      <c r="I1151" s="341">
        <v>-0.5</v>
      </c>
      <c r="J1151" s="332">
        <f>IFERROR(__xludf.DUMMYFUNCTION("IF(IF(COUNTIF(P$2:P1150, P1151)=0, """", INDEX(H$2:H1150,
MAX(FILTER(ROW(H$2:H1150) - ROW(H$2) + 1, P$2:P1150 = P1151))))=""単価"","""",
IF(COUNTIF(P$2:P1150, P1151)=0, """", INDEX(H$2:H1150,
MAX(FILTER(ROW(H$2:H1150) - ROW(H$2) + 1, P$2:P1150 = P1151)))))"),40.0)</f>
        <v>40</v>
      </c>
      <c r="N1151" s="335" t="str">
        <f>IF(MAXIFS('単価履歴'!$O:$O,'単価履歴'!$E:$E,E1151,'単価履歴'!$F:$F,F1151)=O1151,"●","")</f>
        <v/>
      </c>
      <c r="O1151" s="346">
        <v>45768.7725462963</v>
      </c>
      <c r="P1151" s="334" t="str">
        <f t="shared" si="4"/>
        <v>共英枚方:ナベ/置場単価Ｌ１(2級)</v>
      </c>
    </row>
    <row r="1152" ht="15.75" customHeight="1">
      <c r="A1152" s="335" t="s">
        <v>2344</v>
      </c>
      <c r="B1152" s="336">
        <v>45769.0</v>
      </c>
      <c r="C1152" s="335" t="s">
        <v>11</v>
      </c>
      <c r="D1152" s="335" t="s">
        <v>46</v>
      </c>
      <c r="E1152" s="337" t="str">
        <f t="shared" si="1"/>
        <v>ﾔﾏﾄ:阪和</v>
      </c>
      <c r="F1152" s="338" t="s">
        <v>111</v>
      </c>
      <c r="G1152" s="339" t="str">
        <f t="shared" si="2"/>
        <v>ﾔﾏﾄ:阪和Ｈ１(特A)</v>
      </c>
      <c r="H1152" s="340">
        <f t="shared" si="3"/>
        <v>44.6</v>
      </c>
      <c r="I1152" s="341">
        <v>-0.5</v>
      </c>
      <c r="J1152" s="332">
        <f>IFERROR(__xludf.DUMMYFUNCTION("IF(IF(COUNTIF(P$2:P1151, P1152)=0, """", INDEX(H$2:H1151,
MAX(FILTER(ROW(H$2:H1151) - ROW(H$2) + 1, P$2:P1151 = P1152))))=""単価"","""",
IF(COUNTIF(P$2:P1151, P1152)=0, """", INDEX(H$2:H1151,
MAX(FILTER(ROW(H$2:H1151) - ROW(H$2) + 1, P$2:P1151 = P1152)))))"),45.1)</f>
        <v>45.1</v>
      </c>
      <c r="N1152" s="335" t="str">
        <f>IF(MAXIFS('単価履歴'!$O:$O,'単価履歴'!$E:$E,E1152,'単価履歴'!$F:$F,F1152)=O1152,"●","")</f>
        <v/>
      </c>
      <c r="O1152" s="346">
        <v>45768.77287037037</v>
      </c>
      <c r="P1152" s="334" t="str">
        <f t="shared" si="4"/>
        <v>ﾔﾏﾄ:阪和Ｈ１(特A)</v>
      </c>
    </row>
    <row r="1153" ht="15.75" customHeight="1">
      <c r="A1153" s="335" t="s">
        <v>2345</v>
      </c>
      <c r="B1153" s="336">
        <v>45769.0</v>
      </c>
      <c r="C1153" s="335" t="s">
        <v>11</v>
      </c>
      <c r="D1153" s="335" t="s">
        <v>46</v>
      </c>
      <c r="E1153" s="337" t="str">
        <f t="shared" si="1"/>
        <v>ﾔﾏﾄ:阪和</v>
      </c>
      <c r="F1153" s="338" t="s">
        <v>116</v>
      </c>
      <c r="G1153" s="339" t="str">
        <f t="shared" si="2"/>
        <v>ﾔﾏﾄ:阪和Ｈ２(特級)</v>
      </c>
      <c r="H1153" s="340">
        <f t="shared" si="3"/>
        <v>43.6</v>
      </c>
      <c r="I1153" s="341">
        <v>-0.5</v>
      </c>
      <c r="J1153" s="332">
        <f>IFERROR(__xludf.DUMMYFUNCTION("IF(IF(COUNTIF(P$2:P1152, P1153)=0, """", INDEX(H$2:H1152,
MAX(FILTER(ROW(H$2:H1152) - ROW(H$2) + 1, P$2:P1152 = P1153))))=""単価"","""",
IF(COUNTIF(P$2:P1152, P1153)=0, """", INDEX(H$2:H1152,
MAX(FILTER(ROW(H$2:H1152) - ROW(H$2) + 1, P$2:P1152 = P1153)))))"),44.1)</f>
        <v>44.1</v>
      </c>
      <c r="N1153" s="335" t="str">
        <f>IF(MAXIFS('単価履歴'!$O:$O,'単価履歴'!$E:$E,E1153,'単価履歴'!$F:$F,F1153)=O1153,"●","")</f>
        <v/>
      </c>
      <c r="O1153" s="346">
        <v>45768.77287037037</v>
      </c>
      <c r="P1153" s="334" t="str">
        <f t="shared" si="4"/>
        <v>ﾔﾏﾄ:阪和Ｈ２(特級)</v>
      </c>
    </row>
    <row r="1154" ht="15.75" customHeight="1">
      <c r="A1154" s="335" t="s">
        <v>2346</v>
      </c>
      <c r="B1154" s="336">
        <v>45769.0</v>
      </c>
      <c r="C1154" s="335" t="s">
        <v>11</v>
      </c>
      <c r="D1154" s="335" t="s">
        <v>46</v>
      </c>
      <c r="E1154" s="337" t="str">
        <f t="shared" si="1"/>
        <v>ﾔﾏﾄ:阪和</v>
      </c>
      <c r="F1154" s="338" t="s">
        <v>119</v>
      </c>
      <c r="G1154" s="339" t="str">
        <f t="shared" si="2"/>
        <v>ﾔﾏﾄ:阪和Ｈ３(1級)</v>
      </c>
      <c r="H1154" s="340">
        <f t="shared" si="3"/>
        <v>42.6</v>
      </c>
      <c r="I1154" s="341">
        <v>-0.5</v>
      </c>
      <c r="J1154" s="332">
        <f>IFERROR(__xludf.DUMMYFUNCTION("IF(IF(COUNTIF(P$2:P1153, P1154)=0, """", INDEX(H$2:H1153,
MAX(FILTER(ROW(H$2:H1153) - ROW(H$2) + 1, P$2:P1153 = P1154))))=""単価"","""",
IF(COUNTIF(P$2:P1153, P1154)=0, """", INDEX(H$2:H1153,
MAX(FILTER(ROW(H$2:H1153) - ROW(H$2) + 1, P$2:P1153 = P1154)))))"),43.1)</f>
        <v>43.1</v>
      </c>
      <c r="N1154" s="335" t="str">
        <f>IF(MAXIFS('単価履歴'!$O:$O,'単価履歴'!$E:$E,E1154,'単価履歴'!$F:$F,F1154)=O1154,"●","")</f>
        <v/>
      </c>
      <c r="O1154" s="346">
        <v>45768.77287037037</v>
      </c>
      <c r="P1154" s="334" t="str">
        <f t="shared" si="4"/>
        <v>ﾔﾏﾄ:阪和Ｈ３(1級)</v>
      </c>
    </row>
    <row r="1155" ht="15.75" customHeight="1">
      <c r="A1155" s="335" t="s">
        <v>2347</v>
      </c>
      <c r="B1155" s="336">
        <v>45769.0</v>
      </c>
      <c r="C1155" s="335" t="s">
        <v>11</v>
      </c>
      <c r="D1155" s="335" t="s">
        <v>46</v>
      </c>
      <c r="E1155" s="337" t="str">
        <f t="shared" si="1"/>
        <v>ﾔﾏﾄ:阪和</v>
      </c>
      <c r="F1155" s="338" t="s">
        <v>122</v>
      </c>
      <c r="G1155" s="339" t="str">
        <f t="shared" si="2"/>
        <v>ﾔﾏﾄ:阪和Ｌ１(2級)</v>
      </c>
      <c r="H1155" s="340">
        <f t="shared" si="3"/>
        <v>40.6</v>
      </c>
      <c r="I1155" s="341">
        <v>-0.5</v>
      </c>
      <c r="J1155" s="332">
        <f>IFERROR(__xludf.DUMMYFUNCTION("IF(IF(COUNTIF(P$2:P1154, P1155)=0, """", INDEX(H$2:H1154,
MAX(FILTER(ROW(H$2:H1154) - ROW(H$2) + 1, P$2:P1154 = P1155))))=""単価"","""",
IF(COUNTIF(P$2:P1154, P1155)=0, """", INDEX(H$2:H1154,
MAX(FILTER(ROW(H$2:H1154) - ROW(H$2) + 1, P$2:P1154 = P1155)))))"),41.1)</f>
        <v>41.1</v>
      </c>
      <c r="N1155" s="335" t="str">
        <f>IF(MAXIFS('単価履歴'!$O:$O,'単価履歴'!$E:$E,E1155,'単価履歴'!$F:$F,F1155)=O1155,"●","")</f>
        <v/>
      </c>
      <c r="O1155" s="346">
        <v>45768.77287037037</v>
      </c>
      <c r="P1155" s="334" t="str">
        <f t="shared" si="4"/>
        <v>ﾔﾏﾄ:阪和Ｌ１(2級)</v>
      </c>
    </row>
    <row r="1156" ht="15.75" customHeight="1">
      <c r="A1156" s="335" t="s">
        <v>2348</v>
      </c>
      <c r="B1156" s="336">
        <v>45769.0</v>
      </c>
      <c r="C1156" s="335" t="s">
        <v>11</v>
      </c>
      <c r="D1156" s="335" t="s">
        <v>46</v>
      </c>
      <c r="E1156" s="337" t="str">
        <f t="shared" si="1"/>
        <v>ﾔﾏﾄ:阪和</v>
      </c>
      <c r="F1156" s="338" t="s">
        <v>573</v>
      </c>
      <c r="G1156" s="339" t="str">
        <f t="shared" si="2"/>
        <v>ﾔﾏﾄ:阪和Ｌ２(H4･級外･L1ﾊﾞﾗ)</v>
      </c>
      <c r="H1156" s="340">
        <f t="shared" si="3"/>
        <v>38.1</v>
      </c>
      <c r="I1156" s="341">
        <v>-0.5</v>
      </c>
      <c r="J1156" s="332">
        <f>IFERROR(__xludf.DUMMYFUNCTION("IF(IF(COUNTIF(P$2:P1155, P1156)=0, """", INDEX(H$2:H1155,
MAX(FILTER(ROW(H$2:H1155) - ROW(H$2) + 1, P$2:P1155 = P1156))))=""単価"","""",
IF(COUNTIF(P$2:P1155, P1156)=0, """", INDEX(H$2:H1155,
MAX(FILTER(ROW(H$2:H1155) - ROW(H$2) + 1, P$2:P1155 = P1156)))))"),38.6)</f>
        <v>38.6</v>
      </c>
      <c r="N1156" s="335" t="str">
        <f>IF(MAXIFS('単価履歴'!$O:$O,'単価履歴'!$E:$E,E1156,'単価履歴'!$F:$F,F1156)=O1156,"●","")</f>
        <v/>
      </c>
      <c r="O1156" s="346">
        <v>45768.77287037037</v>
      </c>
      <c r="P1156" s="334" t="str">
        <f t="shared" si="4"/>
        <v>ﾔﾏﾄ:阪和Ｌ２(H4･級外･L1ﾊﾞﾗ)</v>
      </c>
    </row>
    <row r="1157" ht="15.75" customHeight="1">
      <c r="A1157" s="335" t="s">
        <v>2349</v>
      </c>
      <c r="B1157" s="336">
        <v>45769.0</v>
      </c>
      <c r="C1157" s="335" t="s">
        <v>28</v>
      </c>
      <c r="D1157" s="335" t="s">
        <v>52</v>
      </c>
      <c r="E1157" s="337" t="str">
        <f t="shared" si="1"/>
        <v>ＪＦＥ条鋼:リバイブ</v>
      </c>
      <c r="F1157" s="338" t="s">
        <v>154</v>
      </c>
      <c r="G1157" s="339" t="str">
        <f t="shared" si="2"/>
        <v>ＪＦＥ条鋼:リバイブＣＰ Ａ</v>
      </c>
      <c r="H1157" s="340">
        <f t="shared" si="3"/>
        <v>44</v>
      </c>
      <c r="I1157" s="341">
        <v>-0.5</v>
      </c>
      <c r="J1157" s="332">
        <f>IFERROR(__xludf.DUMMYFUNCTION("IF(IF(COUNTIF(P$2:P1156, P1157)=0, """", INDEX(H$2:H1156,
MAX(FILTER(ROW(H$2:H1156) - ROW(H$2) + 1, P$2:P1156 = P1157))))=""単価"","""",
IF(COUNTIF(P$2:P1156, P1157)=0, """", INDEX(H$2:H1156,
MAX(FILTER(ROW(H$2:H1156) - ROW(H$2) + 1, P$2:P1156 = P1157)))))"),44.5)</f>
        <v>44.5</v>
      </c>
      <c r="N1157" s="335" t="str">
        <f>IF(MAXIFS('単価履歴'!$O:$O,'単価履歴'!$E:$E,E1157,'単価履歴'!$F:$F,F1157)=O1157,"●","")</f>
        <v/>
      </c>
      <c r="O1157" s="346">
        <v>45768.77318287037</v>
      </c>
      <c r="P1157" s="334" t="str">
        <f t="shared" si="4"/>
        <v>ＪＦＥ条鋼:リバイブＣＰ Ａ</v>
      </c>
    </row>
    <row r="1158" ht="15.75" customHeight="1">
      <c r="A1158" s="335" t="s">
        <v>2350</v>
      </c>
      <c r="B1158" s="336">
        <v>45769.0</v>
      </c>
      <c r="C1158" s="335" t="s">
        <v>28</v>
      </c>
      <c r="D1158" s="335" t="s">
        <v>52</v>
      </c>
      <c r="E1158" s="337" t="str">
        <f t="shared" si="1"/>
        <v>ＪＦＥ条鋼:リバイブ</v>
      </c>
      <c r="F1158" s="338" t="s">
        <v>111</v>
      </c>
      <c r="G1158" s="339" t="str">
        <f t="shared" si="2"/>
        <v>ＪＦＥ条鋼:リバイブＨ１(特A)</v>
      </c>
      <c r="H1158" s="340">
        <f t="shared" si="3"/>
        <v>41.5</v>
      </c>
      <c r="I1158" s="341">
        <v>-0.5</v>
      </c>
      <c r="J1158" s="332">
        <f>IFERROR(__xludf.DUMMYFUNCTION("IF(IF(COUNTIF(P$2:P1157, P1158)=0, """", INDEX(H$2:H1157,
MAX(FILTER(ROW(H$2:H1157) - ROW(H$2) + 1, P$2:P1157 = P1158))))=""単価"","""",
IF(COUNTIF(P$2:P1157, P1158)=0, """", INDEX(H$2:H1157,
MAX(FILTER(ROW(H$2:H1157) - ROW(H$2) + 1, P$2:P1157 = P1158)))))"),42.0)</f>
        <v>42</v>
      </c>
      <c r="N1158" s="335" t="str">
        <f>IF(MAXIFS('単価履歴'!$O:$O,'単価履歴'!$E:$E,E1158,'単価履歴'!$F:$F,F1158)=O1158,"●","")</f>
        <v/>
      </c>
      <c r="O1158" s="346">
        <v>45768.77318287037</v>
      </c>
      <c r="P1158" s="334" t="str">
        <f t="shared" si="4"/>
        <v>ＪＦＥ条鋼:リバイブＨ１(特A)</v>
      </c>
    </row>
    <row r="1159" ht="15.75" customHeight="1">
      <c r="A1159" s="335" t="s">
        <v>2351</v>
      </c>
      <c r="B1159" s="336">
        <v>45769.0</v>
      </c>
      <c r="C1159" s="335" t="s">
        <v>28</v>
      </c>
      <c r="D1159" s="335" t="s">
        <v>52</v>
      </c>
      <c r="E1159" s="337" t="str">
        <f t="shared" si="1"/>
        <v>ＪＦＥ条鋼:リバイブ</v>
      </c>
      <c r="F1159" s="338" t="s">
        <v>116</v>
      </c>
      <c r="G1159" s="339" t="str">
        <f t="shared" si="2"/>
        <v>ＪＦＥ条鋼:リバイブＨ２(特級)</v>
      </c>
      <c r="H1159" s="340">
        <f t="shared" si="3"/>
        <v>40.5</v>
      </c>
      <c r="I1159" s="341">
        <v>-0.5</v>
      </c>
      <c r="J1159" s="332">
        <f>IFERROR(__xludf.DUMMYFUNCTION("IF(IF(COUNTIF(P$2:P1158, P1159)=0, """", INDEX(H$2:H1158,
MAX(FILTER(ROW(H$2:H1158) - ROW(H$2) + 1, P$2:P1158 = P1159))))=""単価"","""",
IF(COUNTIF(P$2:P1158, P1159)=0, """", INDEX(H$2:H1158,
MAX(FILTER(ROW(H$2:H1158) - ROW(H$2) + 1, P$2:P1158 = P1159)))))"),41.0)</f>
        <v>41</v>
      </c>
      <c r="N1159" s="335" t="str">
        <f>IF(MAXIFS('単価履歴'!$O:$O,'単価履歴'!$E:$E,E1159,'単価履歴'!$F:$F,F1159)=O1159,"●","")</f>
        <v/>
      </c>
      <c r="O1159" s="346">
        <v>45768.77318287037</v>
      </c>
      <c r="P1159" s="334" t="str">
        <f t="shared" si="4"/>
        <v>ＪＦＥ条鋼:リバイブＨ２(特級)</v>
      </c>
    </row>
    <row r="1160" ht="15.75" customHeight="1">
      <c r="A1160" s="335" t="s">
        <v>2352</v>
      </c>
      <c r="B1160" s="336">
        <v>45769.0</v>
      </c>
      <c r="C1160" s="335" t="s">
        <v>28</v>
      </c>
      <c r="D1160" s="335" t="s">
        <v>52</v>
      </c>
      <c r="E1160" s="337" t="str">
        <f t="shared" si="1"/>
        <v>ＪＦＥ条鋼:リバイブ</v>
      </c>
      <c r="F1160" s="338" t="s">
        <v>119</v>
      </c>
      <c r="G1160" s="339" t="str">
        <f t="shared" si="2"/>
        <v>ＪＦＥ条鋼:リバイブＨ３(1級)</v>
      </c>
      <c r="H1160" s="340">
        <f t="shared" si="3"/>
        <v>39.5</v>
      </c>
      <c r="I1160" s="341">
        <v>-0.5</v>
      </c>
      <c r="J1160" s="332">
        <f>IFERROR(__xludf.DUMMYFUNCTION("IF(IF(COUNTIF(P$2:P1159, P1160)=0, """", INDEX(H$2:H1159,
MAX(FILTER(ROW(H$2:H1159) - ROW(H$2) + 1, P$2:P1159 = P1160))))=""単価"","""",
IF(COUNTIF(P$2:P1159, P1160)=0, """", INDEX(H$2:H1159,
MAX(FILTER(ROW(H$2:H1159) - ROW(H$2) + 1, P$2:P1159 = P1160)))))"),40.0)</f>
        <v>40</v>
      </c>
      <c r="N1160" s="335" t="str">
        <f>IF(MAXIFS('単価履歴'!$O:$O,'単価履歴'!$E:$E,E1160,'単価履歴'!$F:$F,F1160)=O1160,"●","")</f>
        <v/>
      </c>
      <c r="O1160" s="346">
        <v>45768.77318287037</v>
      </c>
      <c r="P1160" s="334" t="str">
        <f t="shared" si="4"/>
        <v>ＪＦＥ条鋼:リバイブＨ３(1級)</v>
      </c>
    </row>
    <row r="1161" ht="15.75" customHeight="1">
      <c r="A1161" s="335" t="s">
        <v>2353</v>
      </c>
      <c r="B1161" s="336">
        <v>45769.0</v>
      </c>
      <c r="C1161" s="335" t="s">
        <v>28</v>
      </c>
      <c r="D1161" s="335" t="s">
        <v>52</v>
      </c>
      <c r="E1161" s="337" t="str">
        <f t="shared" si="1"/>
        <v>ＪＦＥ条鋼:リバイブ</v>
      </c>
      <c r="F1161" s="338" t="s">
        <v>122</v>
      </c>
      <c r="G1161" s="339" t="str">
        <f t="shared" si="2"/>
        <v>ＪＦＥ条鋼:リバイブＬ１(2級)</v>
      </c>
      <c r="H1161" s="340">
        <f t="shared" si="3"/>
        <v>36.3</v>
      </c>
      <c r="I1161" s="341">
        <v>-0.5</v>
      </c>
      <c r="J1161" s="332">
        <f>IFERROR(__xludf.DUMMYFUNCTION("IF(IF(COUNTIF(P$2:P1160, P1161)=0, """", INDEX(H$2:H1160,
MAX(FILTER(ROW(H$2:H1160) - ROW(H$2) + 1, P$2:P1160 = P1161))))=""単価"","""",
IF(COUNTIF(P$2:P1160, P1161)=0, """", INDEX(H$2:H1160,
MAX(FILTER(ROW(H$2:H1160) - ROW(H$2) + 1, P$2:P1160 = P1161)))))"),36.8)</f>
        <v>36.8</v>
      </c>
      <c r="N1161" s="335" t="str">
        <f>IF(MAXIFS('単価履歴'!$O:$O,'単価履歴'!$E:$E,E1161,'単価履歴'!$F:$F,F1161)=O1161,"●","")</f>
        <v/>
      </c>
      <c r="O1161" s="346">
        <v>45768.77318287037</v>
      </c>
      <c r="P1161" s="334" t="str">
        <f t="shared" si="4"/>
        <v>ＪＦＥ条鋼:リバイブＬ１(2級)</v>
      </c>
    </row>
    <row r="1162" ht="15.75" customHeight="1">
      <c r="A1162" s="335" t="s">
        <v>2354</v>
      </c>
      <c r="B1162" s="336">
        <v>45769.0</v>
      </c>
      <c r="C1162" s="335" t="s">
        <v>28</v>
      </c>
      <c r="D1162" s="335" t="s">
        <v>52</v>
      </c>
      <c r="E1162" s="337" t="str">
        <f t="shared" si="1"/>
        <v>ＪＦＥ条鋼:リバイブ</v>
      </c>
      <c r="F1162" s="338" t="s">
        <v>573</v>
      </c>
      <c r="G1162" s="339" t="str">
        <f t="shared" si="2"/>
        <v>ＪＦＥ条鋼:リバイブＬ２(H4･級外･L1ﾊﾞﾗ)</v>
      </c>
      <c r="H1162" s="340">
        <f t="shared" si="3"/>
        <v>40.4</v>
      </c>
      <c r="I1162" s="341">
        <v>-0.5</v>
      </c>
      <c r="J1162" s="332">
        <f>IFERROR(__xludf.DUMMYFUNCTION("IF(IF(COUNTIF(P$2:P1161, P1162)=0, """", INDEX(H$2:H1161,
MAX(FILTER(ROW(H$2:H1161) - ROW(H$2) + 1, P$2:P1161 = P1162))))=""単価"","""",
IF(COUNTIF(P$2:P1161, P1162)=0, """", INDEX(H$2:H1161,
MAX(FILTER(ROW(H$2:H1161) - ROW(H$2) + 1, P$2:P1161 = P1162)))))"),40.9)</f>
        <v>40.9</v>
      </c>
      <c r="N1162" s="335" t="str">
        <f>IF(MAXIFS('単価履歴'!$O:$O,'単価履歴'!$E:$E,E1162,'単価履歴'!$F:$F,F1162)=O1162,"●","")</f>
        <v/>
      </c>
      <c r="O1162" s="346">
        <v>45768.77318287037</v>
      </c>
      <c r="P1162" s="334" t="str">
        <f t="shared" si="4"/>
        <v>ＪＦＥ条鋼:リバイブＬ２(H4･級外･L1ﾊﾞﾗ)</v>
      </c>
    </row>
    <row r="1163" ht="15.75" customHeight="1">
      <c r="A1163" s="335" t="s">
        <v>2355</v>
      </c>
      <c r="B1163" s="336">
        <v>45769.0</v>
      </c>
      <c r="C1163" s="335" t="s">
        <v>28</v>
      </c>
      <c r="D1163" s="335" t="s">
        <v>52</v>
      </c>
      <c r="E1163" s="337" t="str">
        <f t="shared" si="1"/>
        <v>ＪＦＥ条鋼:リバイブ</v>
      </c>
      <c r="F1163" s="338" t="s">
        <v>575</v>
      </c>
      <c r="G1163" s="339" t="str">
        <f t="shared" si="2"/>
        <v>ＪＦＥ条鋼:リバイブ鋼ダライＡ</v>
      </c>
      <c r="H1163" s="340">
        <f t="shared" si="3"/>
        <v>39</v>
      </c>
      <c r="I1163" s="341">
        <v>-0.5</v>
      </c>
      <c r="J1163" s="332">
        <f>IFERROR(__xludf.DUMMYFUNCTION("IF(IF(COUNTIF(P$2:P1162, P1163)=0, """", INDEX(H$2:H1162,
MAX(FILTER(ROW(H$2:H1162) - ROW(H$2) + 1, P$2:P1162 = P1163))))=""単価"","""",
IF(COUNTIF(P$2:P1162, P1163)=0, """", INDEX(H$2:H1162,
MAX(FILTER(ROW(H$2:H1162) - ROW(H$2) + 1, P$2:P1162 = P1163)))))"),39.5)</f>
        <v>39.5</v>
      </c>
      <c r="N1163" s="335" t="str">
        <f>IF(MAXIFS('単価履歴'!$O:$O,'単価履歴'!$E:$E,E1163,'単価履歴'!$F:$F,F1163)=O1163,"●","")</f>
        <v/>
      </c>
      <c r="O1163" s="346">
        <v>45768.77318287037</v>
      </c>
      <c r="P1163" s="334" t="str">
        <f t="shared" si="4"/>
        <v>ＪＦＥ条鋼:リバイブ鋼ダライＡ</v>
      </c>
    </row>
    <row r="1164" ht="15.75" customHeight="1">
      <c r="A1164" s="335" t="s">
        <v>2356</v>
      </c>
      <c r="B1164" s="336">
        <v>45769.0</v>
      </c>
      <c r="C1164" s="335" t="s">
        <v>28</v>
      </c>
      <c r="D1164" s="335" t="s">
        <v>52</v>
      </c>
      <c r="E1164" s="337" t="str">
        <f t="shared" si="1"/>
        <v>ＪＦＥ条鋼:リバイブ</v>
      </c>
      <c r="F1164" s="338" t="s">
        <v>130</v>
      </c>
      <c r="G1164" s="339" t="str">
        <f t="shared" si="2"/>
        <v>ＪＦＥ条鋼:リバイブ新断Ａ</v>
      </c>
      <c r="H1164" s="340">
        <f t="shared" si="3"/>
        <v>45.5</v>
      </c>
      <c r="I1164" s="341">
        <v>-0.5</v>
      </c>
      <c r="J1164" s="332">
        <f>IFERROR(__xludf.DUMMYFUNCTION("IF(IF(COUNTIF(P$2:P1163, P1164)=0, """", INDEX(H$2:H1163,
MAX(FILTER(ROW(H$2:H1163) - ROW(H$2) + 1, P$2:P1163 = P1164))))=""単価"","""",
IF(COUNTIF(P$2:P1163, P1164)=0, """", INDEX(H$2:H1163,
MAX(FILTER(ROW(H$2:H1163) - ROW(H$2) + 1, P$2:P1163 = P1164)))))"),46.0)</f>
        <v>46</v>
      </c>
      <c r="N1164" s="335" t="str">
        <f>IF(MAXIFS('単価履歴'!$O:$O,'単価履歴'!$E:$E,E1164,'単価履歴'!$F:$F,F1164)=O1164,"●","")</f>
        <v/>
      </c>
      <c r="O1164" s="346">
        <v>45768.77318287037</v>
      </c>
      <c r="P1164" s="334" t="str">
        <f t="shared" si="4"/>
        <v>ＪＦＥ条鋼:リバイブ新断Ａ</v>
      </c>
    </row>
    <row r="1165" ht="15.75" customHeight="1">
      <c r="A1165" s="335" t="s">
        <v>2357</v>
      </c>
      <c r="B1165" s="336">
        <v>45769.0</v>
      </c>
      <c r="C1165" s="335" t="s">
        <v>28</v>
      </c>
      <c r="D1165" s="335" t="s">
        <v>52</v>
      </c>
      <c r="E1165" s="337" t="str">
        <f t="shared" si="1"/>
        <v>ＪＦＥ条鋼:リバイブ</v>
      </c>
      <c r="F1165" s="338" t="s">
        <v>131</v>
      </c>
      <c r="G1165" s="339" t="str">
        <f t="shared" si="2"/>
        <v>ＪＦＥ条鋼:リバイブ新断Ｂ</v>
      </c>
      <c r="H1165" s="340">
        <f t="shared" si="3"/>
        <v>44.5</v>
      </c>
      <c r="I1165" s="341">
        <v>-0.5</v>
      </c>
      <c r="J1165" s="332">
        <f>IFERROR(__xludf.DUMMYFUNCTION("IF(IF(COUNTIF(P$2:P1164, P1165)=0, """", INDEX(H$2:H1164,
MAX(FILTER(ROW(H$2:H1164) - ROW(H$2) + 1, P$2:P1164 = P1165))))=""単価"","""",
IF(COUNTIF(P$2:P1164, P1165)=0, """", INDEX(H$2:H1164,
MAX(FILTER(ROW(H$2:H1164) - ROW(H$2) + 1, P$2:P1164 = P1165)))))"),45.0)</f>
        <v>45</v>
      </c>
      <c r="N1165" s="335" t="str">
        <f>IF(MAXIFS('単価履歴'!$O:$O,'単価履歴'!$E:$E,E1165,'単価履歴'!$F:$F,F1165)=O1165,"●","")</f>
        <v/>
      </c>
      <c r="O1165" s="346">
        <v>45768.77318287037</v>
      </c>
      <c r="P1165" s="334" t="str">
        <f t="shared" si="4"/>
        <v>ＪＦＥ条鋼:リバイブ新断Ｂ</v>
      </c>
    </row>
    <row r="1166" ht="15.75" customHeight="1">
      <c r="A1166" s="335" t="s">
        <v>2358</v>
      </c>
      <c r="B1166" s="336">
        <v>45769.0</v>
      </c>
      <c r="C1166" s="335" t="s">
        <v>35</v>
      </c>
      <c r="D1166" s="335" t="s">
        <v>48</v>
      </c>
      <c r="E1166" s="337" t="str">
        <f t="shared" si="1"/>
        <v>ﾆｭｰｽｺﾝ稲永:ナベ</v>
      </c>
      <c r="F1166" s="338" t="s">
        <v>130</v>
      </c>
      <c r="G1166" s="339" t="str">
        <f t="shared" si="2"/>
        <v>ﾆｭｰｽｺﾝ稲永:ナベ新断Ａ</v>
      </c>
      <c r="H1166" s="340">
        <f t="shared" si="3"/>
        <v>43.5</v>
      </c>
      <c r="I1166" s="335">
        <v>-1.0</v>
      </c>
      <c r="J1166" s="332">
        <f>IFERROR(__xludf.DUMMYFUNCTION("IF(IF(COUNTIF(P$2:P1165, P1166)=0, """", INDEX(H$2:H1165,
MAX(FILTER(ROW(H$2:H1165) - ROW(H$2) + 1, P$2:P1165 = P1166))))=""単価"","""",
IF(COUNTIF(P$2:P1165, P1166)=0, """", INDEX(H$2:H1165,
MAX(FILTER(ROW(H$2:H1165) - ROW(H$2) + 1, P$2:P1165 = P1166)))))"),44.5)</f>
        <v>44.5</v>
      </c>
      <c r="N1166" s="335" t="str">
        <f>IF(MAXIFS('単価履歴'!$O:$O,'単価履歴'!$E:$E,E1166,'単価履歴'!$F:$F,F1166)=O1166,"●","")</f>
        <v/>
      </c>
      <c r="O1166" s="346">
        <v>45769.2725</v>
      </c>
      <c r="P1166" s="334" t="str">
        <f t="shared" si="4"/>
        <v>ﾆｭｰｽｺﾝ稲永:ナベ新断Ａ</v>
      </c>
    </row>
    <row r="1167" ht="15.75" customHeight="1">
      <c r="A1167" s="335" t="s">
        <v>2359</v>
      </c>
      <c r="B1167" s="336">
        <v>45769.0</v>
      </c>
      <c r="C1167" s="335" t="s">
        <v>37</v>
      </c>
      <c r="D1167" s="335" t="s">
        <v>48</v>
      </c>
      <c r="E1167" s="337" t="str">
        <f t="shared" si="1"/>
        <v>共英名古屋:ナベ</v>
      </c>
      <c r="F1167" s="338" t="s">
        <v>111</v>
      </c>
      <c r="G1167" s="339" t="str">
        <f t="shared" si="2"/>
        <v>共英名古屋:ナベＨ１(特A)</v>
      </c>
      <c r="H1167" s="340">
        <f t="shared" si="3"/>
        <v>43.7</v>
      </c>
      <c r="I1167" s="341">
        <v>-0.5</v>
      </c>
      <c r="J1167" s="332">
        <f>IFERROR(__xludf.DUMMYFUNCTION("IF(IF(COUNTIF(P$2:P1166, P1167)=0, """", INDEX(H$2:H1166,
MAX(FILTER(ROW(H$2:H1166) - ROW(H$2) + 1, P$2:P1166 = P1167))))=""単価"","""",
IF(COUNTIF(P$2:P1166, P1167)=0, """", INDEX(H$2:H1166,
MAX(FILTER(ROW(H$2:H1166) - ROW(H$2) + 1, P$2:P1166 = P1167)))))"),44.2)</f>
        <v>44.2</v>
      </c>
      <c r="N1167" s="335" t="str">
        <f>IF(MAXIFS('単価履歴'!$O:$O,'単価履歴'!$E:$E,E1167,'単価履歴'!$F:$F,F1167)=O1167,"●","")</f>
        <v/>
      </c>
      <c r="O1167" s="346">
        <v>45768.7737962963</v>
      </c>
      <c r="P1167" s="334" t="str">
        <f t="shared" si="4"/>
        <v>共英名古屋:ナベＨ１(特A)</v>
      </c>
    </row>
    <row r="1168" ht="15.75" customHeight="1">
      <c r="A1168" s="335" t="s">
        <v>2360</v>
      </c>
      <c r="B1168" s="336">
        <v>45769.0</v>
      </c>
      <c r="C1168" s="335" t="s">
        <v>37</v>
      </c>
      <c r="D1168" s="335" t="s">
        <v>48</v>
      </c>
      <c r="E1168" s="337" t="str">
        <f t="shared" si="1"/>
        <v>共英名古屋:ナベ</v>
      </c>
      <c r="F1168" s="338" t="s">
        <v>116</v>
      </c>
      <c r="G1168" s="339" t="str">
        <f t="shared" si="2"/>
        <v>共英名古屋:ナベＨ２(特級)</v>
      </c>
      <c r="H1168" s="340">
        <f t="shared" si="3"/>
        <v>41</v>
      </c>
      <c r="I1168" s="341">
        <v>-0.5</v>
      </c>
      <c r="J1168" s="332">
        <f>IFERROR(__xludf.DUMMYFUNCTION("IF(IF(COUNTIF(P$2:P1167, P1168)=0, """", INDEX(H$2:H1167,
MAX(FILTER(ROW(H$2:H1167) - ROW(H$2) + 1, P$2:P1167 = P1168))))=""単価"","""",
IF(COUNTIF(P$2:P1167, P1168)=0, """", INDEX(H$2:H1167,
MAX(FILTER(ROW(H$2:H1167) - ROW(H$2) + 1, P$2:P1167 = P1168)))))"),41.5)</f>
        <v>41.5</v>
      </c>
      <c r="N1168" s="335" t="str">
        <f>IF(MAXIFS('単価履歴'!$O:$O,'単価履歴'!$E:$E,E1168,'単価履歴'!$F:$F,F1168)=O1168,"●","")</f>
        <v/>
      </c>
      <c r="O1168" s="346">
        <v>45768.7737962963</v>
      </c>
      <c r="P1168" s="334" t="str">
        <f t="shared" si="4"/>
        <v>共英名古屋:ナベＨ２(特級)</v>
      </c>
    </row>
    <row r="1169" ht="15.75" customHeight="1">
      <c r="A1169" s="335" t="s">
        <v>2361</v>
      </c>
      <c r="B1169" s="336">
        <v>45769.0</v>
      </c>
      <c r="C1169" s="335" t="s">
        <v>37</v>
      </c>
      <c r="D1169" s="335" t="s">
        <v>48</v>
      </c>
      <c r="E1169" s="337" t="str">
        <f t="shared" si="1"/>
        <v>共英名古屋:ナベ</v>
      </c>
      <c r="F1169" s="338" t="s">
        <v>119</v>
      </c>
      <c r="G1169" s="339" t="str">
        <f t="shared" si="2"/>
        <v>共英名古屋:ナベＨ３(1級)</v>
      </c>
      <c r="H1169" s="340">
        <f t="shared" si="3"/>
        <v>40</v>
      </c>
      <c r="I1169" s="341">
        <v>-0.5</v>
      </c>
      <c r="J1169" s="332">
        <f>IFERROR(__xludf.DUMMYFUNCTION("IF(IF(COUNTIF(P$2:P1168, P1169)=0, """", INDEX(H$2:H1168,
MAX(FILTER(ROW(H$2:H1168) - ROW(H$2) + 1, P$2:P1168 = P1169))))=""単価"","""",
IF(COUNTIF(P$2:P1168, P1169)=0, """", INDEX(H$2:H1168,
MAX(FILTER(ROW(H$2:H1168) - ROW(H$2) + 1, P$2:P1168 = P1169)))))"),40.5)</f>
        <v>40.5</v>
      </c>
      <c r="N1169" s="335" t="str">
        <f>IF(MAXIFS('単価履歴'!$O:$O,'単価履歴'!$E:$E,E1169,'単価履歴'!$F:$F,F1169)=O1169,"●","")</f>
        <v/>
      </c>
      <c r="O1169" s="346">
        <v>45768.7737962963</v>
      </c>
      <c r="P1169" s="334" t="str">
        <f t="shared" si="4"/>
        <v>共英名古屋:ナベＨ３(1級)</v>
      </c>
    </row>
    <row r="1170" ht="15.75" customHeight="1">
      <c r="A1170" s="335" t="s">
        <v>2362</v>
      </c>
      <c r="B1170" s="336">
        <v>45769.0</v>
      </c>
      <c r="C1170" s="335" t="s">
        <v>37</v>
      </c>
      <c r="D1170" s="335" t="s">
        <v>48</v>
      </c>
      <c r="E1170" s="337" t="str">
        <f t="shared" si="1"/>
        <v>共英名古屋:ナベ</v>
      </c>
      <c r="F1170" s="338" t="s">
        <v>122</v>
      </c>
      <c r="G1170" s="339" t="str">
        <f t="shared" si="2"/>
        <v>共英名古屋:ナベＬ１(2級)</v>
      </c>
      <c r="H1170" s="340">
        <f t="shared" si="3"/>
        <v>37</v>
      </c>
      <c r="I1170" s="341">
        <v>-0.5</v>
      </c>
      <c r="J1170" s="332">
        <f>IFERROR(__xludf.DUMMYFUNCTION("IF(IF(COUNTIF(P$2:P1169, P1170)=0, """", INDEX(H$2:H1169,
MAX(FILTER(ROW(H$2:H1169) - ROW(H$2) + 1, P$2:P1169 = P1170))))=""単価"","""",
IF(COUNTIF(P$2:P1169, P1170)=0, """", INDEX(H$2:H1169,
MAX(FILTER(ROW(H$2:H1169) - ROW(H$2) + 1, P$2:P1169 = P1170)))))"),37.5)</f>
        <v>37.5</v>
      </c>
      <c r="N1170" s="335" t="str">
        <f>IF(MAXIFS('単価履歴'!$O:$O,'単価履歴'!$E:$E,E1170,'単価履歴'!$F:$F,F1170)=O1170,"●","")</f>
        <v/>
      </c>
      <c r="O1170" s="346">
        <v>45768.7737962963</v>
      </c>
      <c r="P1170" s="334" t="str">
        <f t="shared" si="4"/>
        <v>共英名古屋:ナベＬ１(2級)</v>
      </c>
    </row>
    <row r="1171" ht="15.75" customHeight="1">
      <c r="A1171" s="335" t="s">
        <v>2363</v>
      </c>
      <c r="B1171" s="336">
        <v>45769.0</v>
      </c>
      <c r="C1171" s="335" t="s">
        <v>14</v>
      </c>
      <c r="D1171" s="335" t="s">
        <v>48</v>
      </c>
      <c r="E1171" s="337" t="str">
        <f t="shared" si="1"/>
        <v>愛知:ナベ</v>
      </c>
      <c r="F1171" s="338" t="s">
        <v>111</v>
      </c>
      <c r="G1171" s="339" t="str">
        <f t="shared" si="2"/>
        <v>愛知:ナベＨ１(特A)</v>
      </c>
      <c r="H1171" s="340">
        <f t="shared" si="3"/>
        <v>41.5</v>
      </c>
      <c r="I1171" s="341">
        <v>-0.5</v>
      </c>
      <c r="J1171" s="332">
        <f>IFERROR(__xludf.DUMMYFUNCTION("IF(IF(COUNTIF(P$2:P1170, P1171)=0, """", INDEX(H$2:H1170,
MAX(FILTER(ROW(H$2:H1170) - ROW(H$2) + 1, P$2:P1170 = P1171))))=""単価"","""",
IF(COUNTIF(P$2:P1170, P1171)=0, """", INDEX(H$2:H1170,
MAX(FILTER(ROW(H$2:H1170) - ROW(H$2) + 1, P$2:P1170 = P1171)))))"),42.0)</f>
        <v>42</v>
      </c>
      <c r="N1171" s="335" t="str">
        <f>IF(MAXIFS('単価履歴'!$O:$O,'単価履歴'!$E:$E,E1171,'単価履歴'!$F:$F,F1171)=O1171,"●","")</f>
        <v/>
      </c>
      <c r="O1171" s="346">
        <v>45768.77431712963</v>
      </c>
      <c r="P1171" s="334" t="str">
        <f t="shared" si="4"/>
        <v>愛知:ナベＨ１(特A)</v>
      </c>
    </row>
    <row r="1172" ht="15.75" customHeight="1">
      <c r="A1172" s="335" t="s">
        <v>2364</v>
      </c>
      <c r="B1172" s="336">
        <v>45769.0</v>
      </c>
      <c r="C1172" s="335" t="s">
        <v>14</v>
      </c>
      <c r="D1172" s="335" t="s">
        <v>48</v>
      </c>
      <c r="E1172" s="337" t="str">
        <f t="shared" si="1"/>
        <v>愛知:ナベ</v>
      </c>
      <c r="F1172" s="338" t="s">
        <v>119</v>
      </c>
      <c r="G1172" s="339" t="str">
        <f t="shared" si="2"/>
        <v>愛知:ナベＨ３(1級)</v>
      </c>
      <c r="H1172" s="340">
        <f t="shared" si="3"/>
        <v>38.9</v>
      </c>
      <c r="I1172" s="341">
        <v>-0.5</v>
      </c>
      <c r="J1172" s="332">
        <f>IFERROR(__xludf.DUMMYFUNCTION("IF(IF(COUNTIF(P$2:P1171, P1172)=0, """", INDEX(H$2:H1171,
MAX(FILTER(ROW(H$2:H1171) - ROW(H$2) + 1, P$2:P1171 = P1172))))=""単価"","""",
IF(COUNTIF(P$2:P1171, P1172)=0, """", INDEX(H$2:H1171,
MAX(FILTER(ROW(H$2:H1171) - ROW(H$2) + 1, P$2:P1171 = P1172)))))"),39.4)</f>
        <v>39.4</v>
      </c>
      <c r="N1172" s="335" t="str">
        <f>IF(MAXIFS('単価履歴'!$O:$O,'単価履歴'!$E:$E,E1172,'単価履歴'!$F:$F,F1172)=O1172,"●","")</f>
        <v/>
      </c>
      <c r="O1172" s="346">
        <v>45768.77431712963</v>
      </c>
      <c r="P1172" s="334" t="str">
        <f t="shared" si="4"/>
        <v>愛知:ナベＨ３(1級)</v>
      </c>
    </row>
    <row r="1173" ht="15.75" customHeight="1">
      <c r="A1173" s="335" t="s">
        <v>2365</v>
      </c>
      <c r="B1173" s="336">
        <v>45769.0</v>
      </c>
      <c r="C1173" s="335" t="s">
        <v>14</v>
      </c>
      <c r="D1173" s="335" t="s">
        <v>48</v>
      </c>
      <c r="E1173" s="337" t="str">
        <f t="shared" si="1"/>
        <v>愛知:ナベ</v>
      </c>
      <c r="F1173" s="338" t="s">
        <v>1199</v>
      </c>
      <c r="G1173" s="339" t="str">
        <f t="shared" si="2"/>
        <v>愛知:ナベＨＳ１(単体H1/電特A/HS))</v>
      </c>
      <c r="H1173" s="340">
        <f t="shared" si="3"/>
        <v>42.5</v>
      </c>
      <c r="I1173" s="341">
        <v>-0.5</v>
      </c>
      <c r="J1173" s="332">
        <f>IFERROR(__xludf.DUMMYFUNCTION("IF(IF(COUNTIF(P$2:P1172, P1173)=0, """", INDEX(H$2:H1172,
MAX(FILTER(ROW(H$2:H1172) - ROW(H$2) + 1, P$2:P1172 = P1173))))=""単価"","""",
IF(COUNTIF(P$2:P1172, P1173)=0, """", INDEX(H$2:H1172,
MAX(FILTER(ROW(H$2:H1172) - ROW(H$2) + 1, P$2:P1172 = P1173)))))"),43.0)</f>
        <v>43</v>
      </c>
      <c r="N1173" s="335" t="str">
        <f>IF(MAXIFS('単価履歴'!$O:$O,'単価履歴'!$E:$E,E1173,'単価履歴'!$F:$F,F1173)=O1173,"●","")</f>
        <v/>
      </c>
      <c r="O1173" s="346">
        <v>45768.77431712963</v>
      </c>
      <c r="P1173" s="334" t="str">
        <f t="shared" si="4"/>
        <v>愛知:ナベＨＳ１(単体H1/電特A/HS))</v>
      </c>
    </row>
    <row r="1174" ht="15.75" customHeight="1">
      <c r="A1174" s="335" t="s">
        <v>2366</v>
      </c>
      <c r="B1174" s="336">
        <v>45769.0</v>
      </c>
      <c r="C1174" s="335" t="s">
        <v>14</v>
      </c>
      <c r="D1174" s="335" t="s">
        <v>48</v>
      </c>
      <c r="E1174" s="337" t="str">
        <f t="shared" si="1"/>
        <v>愛知:ナベ</v>
      </c>
      <c r="F1174" s="338" t="s">
        <v>101</v>
      </c>
      <c r="G1174" s="339" t="str">
        <f t="shared" si="2"/>
        <v>愛知:ナベＨＳ２</v>
      </c>
      <c r="H1174" s="340">
        <f t="shared" si="3"/>
        <v>42</v>
      </c>
      <c r="I1174" s="341">
        <v>-0.5</v>
      </c>
      <c r="J1174" s="332">
        <f>IFERROR(__xludf.DUMMYFUNCTION("IF(IF(COUNTIF(P$2:P1173, P1174)=0, """", INDEX(H$2:H1173,
MAX(FILTER(ROW(H$2:H1173) - ROW(H$2) + 1, P$2:P1173 = P1174))))=""単価"","""",
IF(COUNTIF(P$2:P1173, P1174)=0, """", INDEX(H$2:H1173,
MAX(FILTER(ROW(H$2:H1173) - ROW(H$2) + 1, P$2:P1173 = P1174)))))"),42.5)</f>
        <v>42.5</v>
      </c>
      <c r="N1174" s="335" t="str">
        <f>IF(MAXIFS('単価履歴'!$O:$O,'単価履歴'!$E:$E,E1174,'単価履歴'!$F:$F,F1174)=O1174,"●","")</f>
        <v/>
      </c>
      <c r="O1174" s="346">
        <v>45768.77431712963</v>
      </c>
      <c r="P1174" s="334" t="str">
        <f t="shared" si="4"/>
        <v>愛知:ナベＨＳ２</v>
      </c>
    </row>
    <row r="1175" ht="15.75" customHeight="1">
      <c r="A1175" s="335" t="s">
        <v>2367</v>
      </c>
      <c r="B1175" s="336">
        <v>45769.0</v>
      </c>
      <c r="C1175" s="335" t="s">
        <v>31</v>
      </c>
      <c r="D1175" s="335" t="s">
        <v>64</v>
      </c>
      <c r="E1175" s="337" t="str">
        <f t="shared" si="1"/>
        <v>泉北中谷:ナベ双葉</v>
      </c>
      <c r="F1175" s="338" t="s">
        <v>1199</v>
      </c>
      <c r="G1175" s="339" t="str">
        <f t="shared" si="2"/>
        <v>泉北中谷:ナベ双葉ＨＳ１(単体H1/電特A/HS))</v>
      </c>
      <c r="H1175" s="340">
        <f t="shared" si="3"/>
        <v>43.5</v>
      </c>
      <c r="I1175" s="341">
        <v>-0.5</v>
      </c>
      <c r="J1175" s="332">
        <f>IFERROR(__xludf.DUMMYFUNCTION("IF(IF(COUNTIF(P$2:P1174, P1175)=0, """", INDEX(H$2:H1174,
MAX(FILTER(ROW(H$2:H1174) - ROW(H$2) + 1, P$2:P1174 = P1175))))=""単価"","""",
IF(COUNTIF(P$2:P1174, P1175)=0, """", INDEX(H$2:H1174,
MAX(FILTER(ROW(H$2:H1174) - ROW(H$2) + 1, P$2:P1174 = P1175)))))"),44.0)</f>
        <v>44</v>
      </c>
      <c r="N1175" s="335" t="str">
        <f>IF(MAXIFS('単価履歴'!$O:$O,'単価履歴'!$E:$E,E1175,'単価履歴'!$F:$F,F1175)=O1175,"●","")</f>
        <v/>
      </c>
      <c r="O1175" s="346">
        <v>45769.2609375</v>
      </c>
      <c r="P1175" s="334" t="str">
        <f t="shared" si="4"/>
        <v>泉北中谷:ナベ双葉ＨＳ１(単体H1/電特A/HS))</v>
      </c>
    </row>
    <row r="1176" ht="15.75" customHeight="1">
      <c r="A1176" s="335" t="s">
        <v>2368</v>
      </c>
      <c r="B1176" s="336">
        <v>45769.0</v>
      </c>
      <c r="C1176" s="335" t="s">
        <v>31</v>
      </c>
      <c r="D1176" s="335" t="s">
        <v>64</v>
      </c>
      <c r="E1176" s="337" t="str">
        <f t="shared" si="1"/>
        <v>泉北中谷:ナベ双葉</v>
      </c>
      <c r="F1176" s="338" t="s">
        <v>116</v>
      </c>
      <c r="G1176" s="339" t="str">
        <f t="shared" si="2"/>
        <v>泉北中谷:ナベ双葉Ｈ２(特級)</v>
      </c>
      <c r="H1176" s="340">
        <f t="shared" si="3"/>
        <v>39.5</v>
      </c>
      <c r="I1176" s="341">
        <v>-0.5</v>
      </c>
      <c r="J1176" s="332">
        <f>IFERROR(__xludf.DUMMYFUNCTION("IF(IF(COUNTIF(P$2:P1175, P1176)=0, """", INDEX(H$2:H1175,
MAX(FILTER(ROW(H$2:H1175) - ROW(H$2) + 1, P$2:P1175 = P1176))))=""単価"","""",
IF(COUNTIF(P$2:P1175, P1176)=0, """", INDEX(H$2:H1175,
MAX(FILTER(ROW(H$2:H1175) - ROW(H$2) + 1, P$2:P1175 = P1176)))))"),40.0)</f>
        <v>40</v>
      </c>
      <c r="N1176" s="335" t="str">
        <f>IF(MAXIFS('単価履歴'!$O:$O,'単価履歴'!$E:$E,E1176,'単価履歴'!$F:$F,F1176)=O1176,"●","")</f>
        <v/>
      </c>
      <c r="O1176" s="346">
        <v>45769.2609375</v>
      </c>
      <c r="P1176" s="334" t="str">
        <f t="shared" si="4"/>
        <v>泉北中谷:ナベ双葉Ｈ２(特級)</v>
      </c>
    </row>
    <row r="1177" ht="15.75" customHeight="1">
      <c r="A1177" s="335" t="s">
        <v>2369</v>
      </c>
      <c r="B1177" s="336">
        <v>45769.0</v>
      </c>
      <c r="C1177" s="335" t="s">
        <v>31</v>
      </c>
      <c r="D1177" s="335" t="s">
        <v>64</v>
      </c>
      <c r="E1177" s="337" t="str">
        <f t="shared" si="1"/>
        <v>泉北中谷:ナベ双葉</v>
      </c>
      <c r="F1177" s="338" t="s">
        <v>130</v>
      </c>
      <c r="G1177" s="339" t="str">
        <f t="shared" si="2"/>
        <v>泉北中谷:ナベ双葉新断Ａ</v>
      </c>
      <c r="H1177" s="340">
        <f t="shared" si="3"/>
        <v>43</v>
      </c>
      <c r="I1177" s="341">
        <v>-0.5</v>
      </c>
      <c r="J1177" s="332">
        <f>IFERROR(__xludf.DUMMYFUNCTION("IF(IF(COUNTIF(P$2:P1176, P1177)=0, """", INDEX(H$2:H1176,
MAX(FILTER(ROW(H$2:H1176) - ROW(H$2) + 1, P$2:P1176 = P1177))))=""単価"","""",
IF(COUNTIF(P$2:P1176, P1177)=0, """", INDEX(H$2:H1176,
MAX(FILTER(ROW(H$2:H1176) - ROW(H$2) + 1, P$2:P1176 = P1177)))))"),43.5)</f>
        <v>43.5</v>
      </c>
      <c r="N1177" s="335" t="str">
        <f>IF(MAXIFS('単価履歴'!$O:$O,'単価履歴'!$E:$E,E1177,'単価履歴'!$F:$F,F1177)=O1177,"●","")</f>
        <v/>
      </c>
      <c r="O1177" s="346">
        <v>45769.2609375</v>
      </c>
      <c r="P1177" s="334" t="str">
        <f t="shared" si="4"/>
        <v>泉北中谷:ナベ双葉新断Ａ</v>
      </c>
    </row>
    <row r="1178" ht="15.75" customHeight="1">
      <c r="A1178" s="335" t="s">
        <v>2370</v>
      </c>
      <c r="B1178" s="336">
        <v>45769.0</v>
      </c>
      <c r="C1178" s="335" t="s">
        <v>14</v>
      </c>
      <c r="D1178" s="335" t="s">
        <v>48</v>
      </c>
      <c r="E1178" s="337" t="str">
        <f t="shared" si="1"/>
        <v>愛知:ナベ</v>
      </c>
      <c r="F1178" s="338" t="s">
        <v>116</v>
      </c>
      <c r="G1178" s="339" t="str">
        <f t="shared" si="2"/>
        <v>愛知:ナベＨ２(特級)</v>
      </c>
      <c r="H1178" s="340">
        <f t="shared" si="3"/>
        <v>39.9</v>
      </c>
      <c r="I1178" s="341">
        <v>-0.5</v>
      </c>
      <c r="J1178" s="332">
        <f>IFERROR(__xludf.DUMMYFUNCTION("IF(IF(COUNTIF(P$2:P1177, P1178)=0, """", INDEX(H$2:H1177,
MAX(FILTER(ROW(H$2:H1177) - ROW(H$2) + 1, P$2:P1177 = P1178))))=""単価"","""",
IF(COUNTIF(P$2:P1177, P1178)=0, """", INDEX(H$2:H1177,
MAX(FILTER(ROW(H$2:H1177) - ROW(H$2) + 1, P$2:P1177 = P1178)))))"),40.4)</f>
        <v>40.4</v>
      </c>
      <c r="N1178" s="335" t="str">
        <f>IF(MAXIFS('単価履歴'!$O:$O,'単価履歴'!$E:$E,E1178,'単価履歴'!$F:$F,F1178)=O1178,"●","")</f>
        <v/>
      </c>
      <c r="O1178" s="346">
        <v>45769.27049768518</v>
      </c>
      <c r="P1178" s="334" t="str">
        <f t="shared" si="4"/>
        <v>愛知:ナベＨ２(特級)</v>
      </c>
    </row>
    <row r="1179" ht="15.75" customHeight="1">
      <c r="A1179" s="335" t="s">
        <v>2371</v>
      </c>
      <c r="B1179" s="336">
        <v>45769.0</v>
      </c>
      <c r="C1179" s="335" t="s">
        <v>14</v>
      </c>
      <c r="D1179" s="335" t="s">
        <v>48</v>
      </c>
      <c r="E1179" s="337" t="str">
        <f t="shared" si="1"/>
        <v>愛知:ナベ</v>
      </c>
      <c r="F1179" s="338" t="s">
        <v>573</v>
      </c>
      <c r="G1179" s="339" t="str">
        <f t="shared" si="2"/>
        <v>愛知:ナベＬ２(H4･級外･L1ﾊﾞﾗ)</v>
      </c>
      <c r="H1179" s="340">
        <f t="shared" si="3"/>
        <v>34.9</v>
      </c>
      <c r="I1179" s="341">
        <v>-0.5</v>
      </c>
      <c r="J1179" s="332">
        <f>IFERROR(__xludf.DUMMYFUNCTION("IF(IF(COUNTIF(P$2:P1178, P1179)=0, """", INDEX(H$2:H1178,
MAX(FILTER(ROW(H$2:H1178) - ROW(H$2) + 1, P$2:P1178 = P1179))))=""単価"","""",
IF(COUNTIF(P$2:P1178, P1179)=0, """", INDEX(H$2:H1178,
MAX(FILTER(ROW(H$2:H1178) - ROW(H$2) + 1, P$2:P1178 = P1179)))))"),35.4)</f>
        <v>35.4</v>
      </c>
      <c r="N1179" s="335" t="str">
        <f>IF(MAXIFS('単価履歴'!$O:$O,'単価履歴'!$E:$E,E1179,'単価履歴'!$F:$F,F1179)=O1179,"●","")</f>
        <v/>
      </c>
      <c r="O1179" s="346">
        <v>45769.27049768518</v>
      </c>
      <c r="P1179" s="334" t="str">
        <f t="shared" si="4"/>
        <v>愛知:ナベＬ２(H4･級外･L1ﾊﾞﾗ)</v>
      </c>
    </row>
    <row r="1180" ht="15.75" customHeight="1">
      <c r="A1180" s="335" t="s">
        <v>2372</v>
      </c>
      <c r="B1180" s="336">
        <v>45769.0</v>
      </c>
      <c r="C1180" s="335" t="s">
        <v>22</v>
      </c>
      <c r="D1180" s="335" t="s">
        <v>47</v>
      </c>
      <c r="E1180" s="337" t="str">
        <f t="shared" si="1"/>
        <v>栗本鐵工:豊通</v>
      </c>
      <c r="F1180" s="338" t="s">
        <v>1199</v>
      </c>
      <c r="G1180" s="339" t="str">
        <f t="shared" si="2"/>
        <v>栗本鐵工:豊通ＨＳ１(単体H1/電特A/HS))</v>
      </c>
      <c r="H1180" s="340">
        <f t="shared" si="3"/>
        <v>48.3</v>
      </c>
      <c r="I1180" s="341">
        <v>-0.5</v>
      </c>
      <c r="J1180" s="332">
        <f>IFERROR(__xludf.DUMMYFUNCTION("IF(IF(COUNTIF(P$2:P1179, P1180)=0, """", INDEX(H$2:H1179,
MAX(FILTER(ROW(H$2:H1179) - ROW(H$2) + 1, P$2:P1179 = P1180))))=""単価"","""",
IF(COUNTIF(P$2:P1179, P1180)=0, """", INDEX(H$2:H1179,
MAX(FILTER(ROW(H$2:H1179) - ROW(H$2) + 1, P$2:P1179 = P1180)))))"),48.8)</f>
        <v>48.8</v>
      </c>
      <c r="N1180" s="335" t="str">
        <f>IF(MAXIFS('単価履歴'!$O:$O,'単価履歴'!$E:$E,E1180,'単価履歴'!$F:$F,F1180)=O1180,"●","")</f>
        <v/>
      </c>
      <c r="O1180" s="346">
        <v>45769.34858796296</v>
      </c>
      <c r="P1180" s="334" t="str">
        <f t="shared" si="4"/>
        <v>栗本鐵工:豊通ＨＳ１(単体H1/電特A/HS))</v>
      </c>
    </row>
    <row r="1181" ht="15.75" customHeight="1">
      <c r="A1181" s="335" t="s">
        <v>2373</v>
      </c>
      <c r="B1181" s="336">
        <v>45769.0</v>
      </c>
      <c r="C1181" s="335" t="s">
        <v>22</v>
      </c>
      <c r="D1181" s="335" t="s">
        <v>47</v>
      </c>
      <c r="E1181" s="337" t="str">
        <f t="shared" si="1"/>
        <v>栗本鐵工:豊通</v>
      </c>
      <c r="F1181" s="338" t="s">
        <v>101</v>
      </c>
      <c r="G1181" s="339" t="str">
        <f t="shared" si="2"/>
        <v>栗本鐵工:豊通ＨＳ２</v>
      </c>
      <c r="H1181" s="340">
        <f t="shared" si="3"/>
        <v>48</v>
      </c>
      <c r="I1181" s="341">
        <v>-0.5</v>
      </c>
      <c r="J1181" s="332">
        <f>IFERROR(__xludf.DUMMYFUNCTION("IF(IF(COUNTIF(P$2:P1180, P1181)=0, """", INDEX(H$2:H1180,
MAX(FILTER(ROW(H$2:H1180) - ROW(H$2) + 1, P$2:P1180 = P1181))))=""単価"","""",
IF(COUNTIF(P$2:P1180, P1181)=0, """", INDEX(H$2:H1180,
MAX(FILTER(ROW(H$2:H1180) - ROW(H$2) + 1, P$2:P1180 = P1181)))))"),48.5)</f>
        <v>48.5</v>
      </c>
      <c r="N1181" s="335" t="str">
        <f>IF(MAXIFS('単価履歴'!$O:$O,'単価履歴'!$E:$E,E1181,'単価履歴'!$F:$F,F1181)=O1181,"●","")</f>
        <v/>
      </c>
      <c r="O1181" s="346">
        <v>45769.34858796296</v>
      </c>
      <c r="P1181" s="334" t="str">
        <f t="shared" si="4"/>
        <v>栗本鐵工:豊通ＨＳ２</v>
      </c>
    </row>
    <row r="1182" ht="15.75" customHeight="1">
      <c r="A1182" s="335" t="s">
        <v>2374</v>
      </c>
      <c r="B1182" s="336">
        <v>45769.0</v>
      </c>
      <c r="C1182" s="335" t="s">
        <v>22</v>
      </c>
      <c r="D1182" s="335" t="s">
        <v>47</v>
      </c>
      <c r="E1182" s="337" t="str">
        <f t="shared" si="1"/>
        <v>栗本鐵工:豊通</v>
      </c>
      <c r="F1182" s="338" t="s">
        <v>105</v>
      </c>
      <c r="G1182" s="339" t="str">
        <f t="shared" si="2"/>
        <v>栗本鐵工:豊通ＨＳ３</v>
      </c>
      <c r="H1182" s="340">
        <f t="shared" si="3"/>
        <v>47.1</v>
      </c>
      <c r="I1182" s="341">
        <v>-0.5</v>
      </c>
      <c r="J1182" s="332">
        <f>IFERROR(__xludf.DUMMYFUNCTION("IF(IF(COUNTIF(P$2:P1181, P1182)=0, """", INDEX(H$2:H1181,
MAX(FILTER(ROW(H$2:H1181) - ROW(H$2) + 1, P$2:P1181 = P1182))))=""単価"","""",
IF(COUNTIF(P$2:P1181, P1182)=0, """", INDEX(H$2:H1181,
MAX(FILTER(ROW(H$2:H1181) - ROW(H$2) + 1, P$2:P1181 = P1182)))))"),47.6)</f>
        <v>47.6</v>
      </c>
      <c r="N1182" s="335" t="str">
        <f>IF(MAXIFS('単価履歴'!$O:$O,'単価履歴'!$E:$E,E1182,'単価履歴'!$F:$F,F1182)=O1182,"●","")</f>
        <v/>
      </c>
      <c r="O1182" s="346">
        <v>45769.34858796296</v>
      </c>
      <c r="P1182" s="334" t="str">
        <f t="shared" si="4"/>
        <v>栗本鐵工:豊通ＨＳ３</v>
      </c>
    </row>
    <row r="1183" ht="15.75" customHeight="1">
      <c r="A1183" s="335" t="s">
        <v>2375</v>
      </c>
      <c r="B1183" s="336">
        <v>45769.0</v>
      </c>
      <c r="C1183" s="335" t="s">
        <v>12</v>
      </c>
      <c r="D1183" s="335" t="s">
        <v>50</v>
      </c>
      <c r="E1183" s="337" t="str">
        <f t="shared" si="1"/>
        <v>山陽特殊:産振</v>
      </c>
      <c r="F1183" s="338" t="s">
        <v>1199</v>
      </c>
      <c r="G1183" s="339" t="str">
        <f t="shared" si="2"/>
        <v>山陽特殊:産振ＨＳ１(単体H1/電特A/HS))</v>
      </c>
      <c r="H1183" s="340">
        <f t="shared" si="3"/>
        <v>44.1</v>
      </c>
      <c r="I1183" s="341">
        <v>-0.5</v>
      </c>
      <c r="J1183" s="332">
        <f>IFERROR(__xludf.DUMMYFUNCTION("IF(IF(COUNTIF(P$2:P1182, P1183)=0, """", INDEX(H$2:H1182,
MAX(FILTER(ROW(H$2:H1182) - ROW(H$2) + 1, P$2:P1182 = P1183))))=""単価"","""",
IF(COUNTIF(P$2:P1182, P1183)=0, """", INDEX(H$2:H1182,
MAX(FILTER(ROW(H$2:H1182) - ROW(H$2) + 1, P$2:P1182 = P1183)))))"),44.6)</f>
        <v>44.6</v>
      </c>
      <c r="N1183" s="335" t="str">
        <f>IF(MAXIFS('単価履歴'!$O:$O,'単価履歴'!$E:$E,E1183,'単価履歴'!$F:$F,F1183)=O1183,"●","")</f>
        <v/>
      </c>
      <c r="O1183" s="346">
        <v>45769.39630787037</v>
      </c>
      <c r="P1183" s="334" t="str">
        <f t="shared" si="4"/>
        <v>山陽特殊:産振ＨＳ１(単体H1/電特A/HS))</v>
      </c>
    </row>
    <row r="1184" ht="15.75" customHeight="1">
      <c r="A1184" s="335" t="s">
        <v>2376</v>
      </c>
      <c r="B1184" s="336">
        <v>45769.0</v>
      </c>
      <c r="C1184" s="335" t="s">
        <v>12</v>
      </c>
      <c r="D1184" s="335" t="s">
        <v>50</v>
      </c>
      <c r="E1184" s="337" t="str">
        <f t="shared" si="1"/>
        <v>山陽特殊:産振</v>
      </c>
      <c r="F1184" s="338" t="s">
        <v>101</v>
      </c>
      <c r="G1184" s="339" t="str">
        <f t="shared" si="2"/>
        <v>山陽特殊:産振ＨＳ２</v>
      </c>
      <c r="H1184" s="340">
        <f t="shared" si="3"/>
        <v>43.9</v>
      </c>
      <c r="I1184" s="341">
        <v>-0.5</v>
      </c>
      <c r="J1184" s="332">
        <f>IFERROR(__xludf.DUMMYFUNCTION("IF(IF(COUNTIF(P$2:P1183, P1184)=0, """", INDEX(H$2:H1183,
MAX(FILTER(ROW(H$2:H1183) - ROW(H$2) + 1, P$2:P1183 = P1184))))=""単価"","""",
IF(COUNTIF(P$2:P1183, P1184)=0, """", INDEX(H$2:H1183,
MAX(FILTER(ROW(H$2:H1183) - ROW(H$2) + 1, P$2:P1183 = P1184)))))"),44.4)</f>
        <v>44.4</v>
      </c>
      <c r="N1184" s="335" t="str">
        <f>IF(MAXIFS('単価履歴'!$O:$O,'単価履歴'!$E:$E,E1184,'単価履歴'!$F:$F,F1184)=O1184,"●","")</f>
        <v/>
      </c>
      <c r="O1184" s="346">
        <v>45769.39630787037</v>
      </c>
      <c r="P1184" s="334" t="str">
        <f t="shared" si="4"/>
        <v>山陽特殊:産振ＨＳ２</v>
      </c>
    </row>
    <row r="1185" ht="15.75" customHeight="1">
      <c r="A1185" s="335" t="s">
        <v>2377</v>
      </c>
      <c r="B1185" s="336">
        <v>45769.0</v>
      </c>
      <c r="C1185" s="335" t="s">
        <v>12</v>
      </c>
      <c r="D1185" s="335" t="s">
        <v>50</v>
      </c>
      <c r="E1185" s="337" t="str">
        <f t="shared" si="1"/>
        <v>山陽特殊:産振</v>
      </c>
      <c r="F1185" s="338" t="s">
        <v>105</v>
      </c>
      <c r="G1185" s="339" t="str">
        <f t="shared" si="2"/>
        <v>山陽特殊:産振ＨＳ３</v>
      </c>
      <c r="H1185" s="340">
        <f t="shared" si="3"/>
        <v>41.9</v>
      </c>
      <c r="I1185" s="341">
        <v>-0.5</v>
      </c>
      <c r="J1185" s="332">
        <f>IFERROR(__xludf.DUMMYFUNCTION("IF(IF(COUNTIF(P$2:P1184, P1185)=0, """", INDEX(H$2:H1184,
MAX(FILTER(ROW(H$2:H1184) - ROW(H$2) + 1, P$2:P1184 = P1185))))=""単価"","""",
IF(COUNTIF(P$2:P1184, P1185)=0, """", INDEX(H$2:H1184,
MAX(FILTER(ROW(H$2:H1184) - ROW(H$2) + 1, P$2:P1184 = P1185)))))"),42.4)</f>
        <v>42.4</v>
      </c>
      <c r="N1185" s="335" t="str">
        <f>IF(MAXIFS('単価履歴'!$O:$O,'単価履歴'!$E:$E,E1185,'単価履歴'!$F:$F,F1185)=O1185,"●","")</f>
        <v/>
      </c>
      <c r="O1185" s="346">
        <v>45769.39630787037</v>
      </c>
      <c r="P1185" s="334" t="str">
        <f t="shared" si="4"/>
        <v>山陽特殊:産振ＨＳ３</v>
      </c>
    </row>
    <row r="1186" ht="15.75" customHeight="1">
      <c r="A1186" s="335" t="s">
        <v>2378</v>
      </c>
      <c r="B1186" s="336">
        <v>45738.0</v>
      </c>
      <c r="C1186" s="335" t="s">
        <v>12</v>
      </c>
      <c r="D1186" s="335" t="s">
        <v>50</v>
      </c>
      <c r="E1186" s="337" t="str">
        <f t="shared" si="1"/>
        <v>山陽特殊:産振</v>
      </c>
      <c r="F1186" s="338" t="s">
        <v>1199</v>
      </c>
      <c r="G1186" s="339" t="str">
        <f t="shared" si="2"/>
        <v>山陽特殊:産振ＨＳ１(単体H1/電特A/HS))</v>
      </c>
      <c r="H1186" s="340">
        <f t="shared" si="3"/>
        <v>44.6</v>
      </c>
      <c r="I1186" s="341">
        <v>0.5</v>
      </c>
      <c r="J1186" s="332">
        <f>IFERROR(__xludf.DUMMYFUNCTION("IF(IF(COUNTIF(P$2:P1185, P1186)=0, """", INDEX(H$2:H1185,
MAX(FILTER(ROW(H$2:H1185) - ROW(H$2) + 1, P$2:P1185 = P1186))))=""単価"","""",
IF(COUNTIF(P$2:P1185, P1186)=0, """", INDEX(H$2:H1185,
MAX(FILTER(ROW(H$2:H1185) - ROW(H$2) + 1, P$2:P1185 = P1186)))))"),44.1)</f>
        <v>44.1</v>
      </c>
      <c r="N1186" s="335" t="str">
        <f>IF(MAXIFS('単価履歴'!$O:$O,'単価履歴'!$E:$E,E1186,'単価履歴'!$F:$F,F1186)=O1186,"●","")</f>
        <v/>
      </c>
      <c r="O1186" s="346">
        <v>45769.73572916667</v>
      </c>
      <c r="P1186" s="334" t="str">
        <f t="shared" si="4"/>
        <v>山陽特殊:産振ＨＳ１(単体H1/電特A/HS))</v>
      </c>
    </row>
    <row r="1187" ht="15.75" customHeight="1">
      <c r="A1187" s="335" t="s">
        <v>2379</v>
      </c>
      <c r="B1187" s="336">
        <v>45738.0</v>
      </c>
      <c r="C1187" s="335" t="s">
        <v>12</v>
      </c>
      <c r="D1187" s="335" t="s">
        <v>50</v>
      </c>
      <c r="E1187" s="337" t="str">
        <f t="shared" si="1"/>
        <v>山陽特殊:産振</v>
      </c>
      <c r="F1187" s="338" t="s">
        <v>101</v>
      </c>
      <c r="G1187" s="339" t="str">
        <f t="shared" si="2"/>
        <v>山陽特殊:産振ＨＳ２</v>
      </c>
      <c r="H1187" s="340">
        <f t="shared" si="3"/>
        <v>44.4</v>
      </c>
      <c r="I1187" s="341">
        <v>0.5</v>
      </c>
      <c r="J1187" s="332">
        <f>IFERROR(__xludf.DUMMYFUNCTION("IF(IF(COUNTIF(P$2:P1186, P1187)=0, """", INDEX(H$2:H1186,
MAX(FILTER(ROW(H$2:H1186) - ROW(H$2) + 1, P$2:P1186 = P1187))))=""単価"","""",
IF(COUNTIF(P$2:P1186, P1187)=0, """", INDEX(H$2:H1186,
MAX(FILTER(ROW(H$2:H1186) - ROW(H$2) + 1, P$2:P1186 = P1187)))))"),43.9)</f>
        <v>43.9</v>
      </c>
      <c r="N1187" s="335" t="str">
        <f>IF(MAXIFS('単価履歴'!$O:$O,'単価履歴'!$E:$E,E1187,'単価履歴'!$F:$F,F1187)=O1187,"●","")</f>
        <v/>
      </c>
      <c r="O1187" s="346">
        <v>45769.73572916667</v>
      </c>
      <c r="P1187" s="334" t="str">
        <f t="shared" si="4"/>
        <v>山陽特殊:産振ＨＳ２</v>
      </c>
    </row>
    <row r="1188" ht="15.75" customHeight="1">
      <c r="A1188" s="335" t="s">
        <v>2380</v>
      </c>
      <c r="B1188" s="336">
        <v>45738.0</v>
      </c>
      <c r="C1188" s="335" t="s">
        <v>12</v>
      </c>
      <c r="D1188" s="335" t="s">
        <v>50</v>
      </c>
      <c r="E1188" s="337" t="str">
        <f t="shared" si="1"/>
        <v>山陽特殊:産振</v>
      </c>
      <c r="F1188" s="338" t="s">
        <v>105</v>
      </c>
      <c r="G1188" s="339" t="str">
        <f t="shared" si="2"/>
        <v>山陽特殊:産振ＨＳ３</v>
      </c>
      <c r="H1188" s="340">
        <f t="shared" si="3"/>
        <v>42.4</v>
      </c>
      <c r="I1188" s="341">
        <v>0.5</v>
      </c>
      <c r="J1188" s="332">
        <f>IFERROR(__xludf.DUMMYFUNCTION("IF(IF(COUNTIF(P$2:P1187, P1188)=0, """", INDEX(H$2:H1187,
MAX(FILTER(ROW(H$2:H1187) - ROW(H$2) + 1, P$2:P1187 = P1188))))=""単価"","""",
IF(COUNTIF(P$2:P1187, P1188)=0, """", INDEX(H$2:H1187,
MAX(FILTER(ROW(H$2:H1187) - ROW(H$2) + 1, P$2:P1187 = P1188)))))"),41.9)</f>
        <v>41.9</v>
      </c>
      <c r="N1188" s="335" t="str">
        <f>IF(MAXIFS('単価履歴'!$O:$O,'単価履歴'!$E:$E,E1188,'単価履歴'!$F:$F,F1188)=O1188,"●","")</f>
        <v/>
      </c>
      <c r="O1188" s="346">
        <v>45769.73572916667</v>
      </c>
      <c r="P1188" s="334" t="str">
        <f t="shared" si="4"/>
        <v>山陽特殊:産振ＨＳ３</v>
      </c>
    </row>
    <row r="1189" ht="15.75" customHeight="1">
      <c r="A1189" s="335" t="s">
        <v>2381</v>
      </c>
      <c r="B1189" s="336">
        <v>45770.0</v>
      </c>
      <c r="C1189" s="335" t="s">
        <v>535</v>
      </c>
      <c r="D1189" s="335" t="s">
        <v>77</v>
      </c>
      <c r="E1189" s="337" t="str">
        <f t="shared" si="1"/>
        <v>東鐵名古屋:直納</v>
      </c>
      <c r="F1189" s="338" t="s">
        <v>1199</v>
      </c>
      <c r="G1189" s="339" t="str">
        <f t="shared" si="2"/>
        <v>東鐵名古屋:直納ＨＳ１(単体H1/電特A/HS))</v>
      </c>
      <c r="H1189" s="340">
        <f t="shared" si="3"/>
        <v>43.5</v>
      </c>
      <c r="I1189" s="341">
        <v>-0.5</v>
      </c>
      <c r="J1189" s="332">
        <f>IFERROR(__xludf.DUMMYFUNCTION("IF(IF(COUNTIF(P$2:P1188, P1189)=0, """", INDEX(H$2:H1188,
MAX(FILTER(ROW(H$2:H1188) - ROW(H$2) + 1, P$2:P1188 = P1189))))=""単価"","""",
IF(COUNTIF(P$2:P1188, P1189)=0, """", INDEX(H$2:H1188,
MAX(FILTER(ROW(H$2:H1188) - ROW(H$2) + 1, P$2:P1188 = P1189)))))"),44.0)</f>
        <v>44</v>
      </c>
      <c r="N1189" s="335" t="str">
        <f>IF(MAXIFS('単価履歴'!$O:$O,'単価履歴'!$E:$E,E1189,'単価履歴'!$F:$F,F1189)=O1189,"●","")</f>
        <v/>
      </c>
      <c r="O1189" s="346">
        <v>45769.73924768518</v>
      </c>
      <c r="P1189" s="334" t="str">
        <f t="shared" si="4"/>
        <v>東鐵名古屋:直納ＨＳ１(単体H1/電特A/HS))</v>
      </c>
    </row>
    <row r="1190" ht="15.75" customHeight="1">
      <c r="A1190" s="335" t="s">
        <v>2382</v>
      </c>
      <c r="B1190" s="336">
        <v>45770.0</v>
      </c>
      <c r="C1190" s="335" t="s">
        <v>535</v>
      </c>
      <c r="D1190" s="335" t="s">
        <v>77</v>
      </c>
      <c r="E1190" s="337" t="str">
        <f t="shared" si="1"/>
        <v>東鐵名古屋:直納</v>
      </c>
      <c r="F1190" s="338" t="s">
        <v>111</v>
      </c>
      <c r="G1190" s="339" t="str">
        <f t="shared" si="2"/>
        <v>東鐵名古屋:直納Ｈ１(特A)</v>
      </c>
      <c r="H1190" s="340">
        <f t="shared" si="3"/>
        <v>41.7</v>
      </c>
      <c r="I1190" s="341">
        <v>-0.5</v>
      </c>
      <c r="J1190" s="332">
        <f>IFERROR(__xludf.DUMMYFUNCTION("IF(IF(COUNTIF(P$2:P1189, P1190)=0, """", INDEX(H$2:H1189,
MAX(FILTER(ROW(H$2:H1189) - ROW(H$2) + 1, P$2:P1189 = P1190))))=""単価"","""",
IF(COUNTIF(P$2:P1189, P1190)=0, """", INDEX(H$2:H1189,
MAX(FILTER(ROW(H$2:H1189) - ROW(H$2) + 1, P$2:P1189 = P1190)))))"),42.2)</f>
        <v>42.2</v>
      </c>
      <c r="N1190" s="335" t="str">
        <f>IF(MAXIFS('単価履歴'!$O:$O,'単価履歴'!$E:$E,E1190,'単価履歴'!$F:$F,F1190)=O1190,"●","")</f>
        <v/>
      </c>
      <c r="O1190" s="346">
        <v>45769.73924768518</v>
      </c>
      <c r="P1190" s="334" t="str">
        <f t="shared" si="4"/>
        <v>東鐵名古屋:直納Ｈ１(特A)</v>
      </c>
    </row>
    <row r="1191" ht="15.75" customHeight="1">
      <c r="A1191" s="335" t="s">
        <v>2383</v>
      </c>
      <c r="B1191" s="336">
        <v>45770.0</v>
      </c>
      <c r="C1191" s="335" t="s">
        <v>535</v>
      </c>
      <c r="D1191" s="335" t="s">
        <v>77</v>
      </c>
      <c r="E1191" s="337" t="str">
        <f t="shared" si="1"/>
        <v>東鐵名古屋:直納</v>
      </c>
      <c r="F1191" s="338" t="s">
        <v>116</v>
      </c>
      <c r="G1191" s="339" t="str">
        <f t="shared" si="2"/>
        <v>東鐵名古屋:直納Ｈ２(特級)</v>
      </c>
      <c r="H1191" s="340">
        <f t="shared" si="3"/>
        <v>41</v>
      </c>
      <c r="I1191" s="341">
        <v>-0.5</v>
      </c>
      <c r="J1191" s="332">
        <f>IFERROR(__xludf.DUMMYFUNCTION("IF(IF(COUNTIF(P$2:P1190, P1191)=0, """", INDEX(H$2:H1190,
MAX(FILTER(ROW(H$2:H1190) - ROW(H$2) + 1, P$2:P1190 = P1191))))=""単価"","""",
IF(COUNTIF(P$2:P1190, P1191)=0, """", INDEX(H$2:H1190,
MAX(FILTER(ROW(H$2:H1190) - ROW(H$2) + 1, P$2:P1190 = P1191)))))"),41.5)</f>
        <v>41.5</v>
      </c>
      <c r="N1191" s="335" t="str">
        <f>IF(MAXIFS('単価履歴'!$O:$O,'単価履歴'!$E:$E,E1191,'単価履歴'!$F:$F,F1191)=O1191,"●","")</f>
        <v/>
      </c>
      <c r="O1191" s="346">
        <v>45769.73924768518</v>
      </c>
      <c r="P1191" s="334" t="str">
        <f t="shared" si="4"/>
        <v>東鐵名古屋:直納Ｈ２(特級)</v>
      </c>
    </row>
    <row r="1192" ht="15.75" customHeight="1">
      <c r="A1192" s="335" t="s">
        <v>2384</v>
      </c>
      <c r="B1192" s="336">
        <v>45770.0</v>
      </c>
      <c r="C1192" s="335" t="s">
        <v>535</v>
      </c>
      <c r="D1192" s="335" t="s">
        <v>77</v>
      </c>
      <c r="E1192" s="337" t="str">
        <f t="shared" si="1"/>
        <v>東鐵名古屋:直納</v>
      </c>
      <c r="F1192" s="338" t="s">
        <v>119</v>
      </c>
      <c r="G1192" s="339" t="str">
        <f t="shared" si="2"/>
        <v>東鐵名古屋:直納Ｈ３(1級)</v>
      </c>
      <c r="H1192" s="340">
        <f t="shared" si="3"/>
        <v>40.5</v>
      </c>
      <c r="I1192" s="341">
        <v>-0.5</v>
      </c>
      <c r="J1192" s="332">
        <f>IFERROR(__xludf.DUMMYFUNCTION("IF(IF(COUNTIF(P$2:P1191, P1192)=0, """", INDEX(H$2:H1191,
MAX(FILTER(ROW(H$2:H1191) - ROW(H$2) + 1, P$2:P1191 = P1192))))=""単価"","""",
IF(COUNTIF(P$2:P1191, P1192)=0, """", INDEX(H$2:H1191,
MAX(FILTER(ROW(H$2:H1191) - ROW(H$2) + 1, P$2:P1191 = P1192)))))"),41.0)</f>
        <v>41</v>
      </c>
      <c r="N1192" s="335" t="str">
        <f>IF(MAXIFS('単価履歴'!$O:$O,'単価履歴'!$E:$E,E1192,'単価履歴'!$F:$F,F1192)=O1192,"●","")</f>
        <v/>
      </c>
      <c r="O1192" s="346">
        <v>45769.73924768518</v>
      </c>
      <c r="P1192" s="334" t="str">
        <f t="shared" si="4"/>
        <v>東鐵名古屋:直納Ｈ３(1級)</v>
      </c>
    </row>
    <row r="1193" ht="15.75" customHeight="1">
      <c r="A1193" s="335" t="s">
        <v>2385</v>
      </c>
      <c r="B1193" s="336">
        <v>45770.0</v>
      </c>
      <c r="C1193" s="335" t="s">
        <v>535</v>
      </c>
      <c r="D1193" s="335" t="s">
        <v>77</v>
      </c>
      <c r="E1193" s="337" t="str">
        <f t="shared" si="1"/>
        <v>東鐵名古屋:直納</v>
      </c>
      <c r="F1193" s="338" t="s">
        <v>122</v>
      </c>
      <c r="G1193" s="339" t="str">
        <f t="shared" si="2"/>
        <v>東鐵名古屋:直納Ｌ１(2級)</v>
      </c>
      <c r="H1193" s="340">
        <f t="shared" si="3"/>
        <v>39</v>
      </c>
      <c r="I1193" s="341">
        <v>-0.5</v>
      </c>
      <c r="J1193" s="332">
        <f>IFERROR(__xludf.DUMMYFUNCTION("IF(IF(COUNTIF(P$2:P1192, P1193)=0, """", INDEX(H$2:H1192,
MAX(FILTER(ROW(H$2:H1192) - ROW(H$2) + 1, P$2:P1192 = P1193))))=""単価"","""",
IF(COUNTIF(P$2:P1192, P1193)=0, """", INDEX(H$2:H1192,
MAX(FILTER(ROW(H$2:H1192) - ROW(H$2) + 1, P$2:P1192 = P1193)))))"),39.5)</f>
        <v>39.5</v>
      </c>
      <c r="N1193" s="335" t="str">
        <f>IF(MAXIFS('単価履歴'!$O:$O,'単価履歴'!$E:$E,E1193,'単価履歴'!$F:$F,F1193)=O1193,"●","")</f>
        <v/>
      </c>
      <c r="O1193" s="346">
        <v>45769.73924768518</v>
      </c>
      <c r="P1193" s="334" t="str">
        <f t="shared" si="4"/>
        <v>東鐵名古屋:直納Ｌ１(2級)</v>
      </c>
    </row>
    <row r="1194" ht="15.75" customHeight="1">
      <c r="A1194" s="335" t="s">
        <v>2386</v>
      </c>
      <c r="B1194" s="336">
        <v>45770.0</v>
      </c>
      <c r="C1194" s="335" t="s">
        <v>535</v>
      </c>
      <c r="D1194" s="335" t="s">
        <v>77</v>
      </c>
      <c r="E1194" s="337" t="str">
        <f t="shared" si="1"/>
        <v>東鐵名古屋:直納</v>
      </c>
      <c r="F1194" s="338" t="s">
        <v>573</v>
      </c>
      <c r="G1194" s="339" t="str">
        <f t="shared" si="2"/>
        <v>東鐵名古屋:直納Ｌ２(H4･級外･L1ﾊﾞﾗ)</v>
      </c>
      <c r="H1194" s="340">
        <f t="shared" si="3"/>
        <v>36</v>
      </c>
      <c r="I1194" s="341">
        <v>-0.5</v>
      </c>
      <c r="J1194" s="332">
        <f>IFERROR(__xludf.DUMMYFUNCTION("IF(IF(COUNTIF(P$2:P1193, P1194)=0, """", INDEX(H$2:H1193,
MAX(FILTER(ROW(H$2:H1193) - ROW(H$2) + 1, P$2:P1193 = P1194))))=""単価"","""",
IF(COUNTIF(P$2:P1193, P1194)=0, """", INDEX(H$2:H1193,
MAX(FILTER(ROW(H$2:H1193) - ROW(H$2) + 1, P$2:P1193 = P1194)))))"),36.5)</f>
        <v>36.5</v>
      </c>
      <c r="N1194" s="335" t="str">
        <f>IF(MAXIFS('単価履歴'!$O:$O,'単価履歴'!$E:$E,E1194,'単価履歴'!$F:$F,F1194)=O1194,"●","")</f>
        <v/>
      </c>
      <c r="O1194" s="346">
        <v>45769.73924768518</v>
      </c>
      <c r="P1194" s="334" t="str">
        <f t="shared" si="4"/>
        <v>東鐵名古屋:直納Ｌ２(H4･級外･L1ﾊﾞﾗ)</v>
      </c>
    </row>
    <row r="1195" ht="15.75" customHeight="1">
      <c r="A1195" s="335" t="s">
        <v>2387</v>
      </c>
      <c r="B1195" s="336">
        <v>45770.0</v>
      </c>
      <c r="C1195" s="335" t="s">
        <v>535</v>
      </c>
      <c r="D1195" s="335" t="s">
        <v>77</v>
      </c>
      <c r="E1195" s="337" t="str">
        <f t="shared" si="1"/>
        <v>東鐵名古屋:直納</v>
      </c>
      <c r="F1195" s="338" t="s">
        <v>145</v>
      </c>
      <c r="G1195" s="339" t="str">
        <f t="shared" si="2"/>
        <v>東鐵名古屋:直納シュレＡ</v>
      </c>
      <c r="H1195" s="340">
        <f t="shared" si="3"/>
        <v>42</v>
      </c>
      <c r="I1195" s="341">
        <v>-0.5</v>
      </c>
      <c r="J1195" s="332">
        <f>IFERROR(__xludf.DUMMYFUNCTION("IF(IF(COUNTIF(P$2:P1194, P1195)=0, """", INDEX(H$2:H1194,
MAX(FILTER(ROW(H$2:H1194) - ROW(H$2) + 1, P$2:P1194 = P1195))))=""単価"","""",
IF(COUNTIF(P$2:P1194, P1195)=0, """", INDEX(H$2:H1194,
MAX(FILTER(ROW(H$2:H1194) - ROW(H$2) + 1, P$2:P1194 = P1195)))))"),42.5)</f>
        <v>42.5</v>
      </c>
      <c r="N1195" s="335" t="str">
        <f>IF(MAXIFS('単価履歴'!$O:$O,'単価履歴'!$E:$E,E1195,'単価履歴'!$F:$F,F1195)=O1195,"●","")</f>
        <v/>
      </c>
      <c r="O1195" s="346">
        <v>45769.73924768518</v>
      </c>
      <c r="P1195" s="334" t="str">
        <f t="shared" si="4"/>
        <v>東鐵名古屋:直納シュレＡ</v>
      </c>
    </row>
    <row r="1196" ht="15.75" customHeight="1">
      <c r="A1196" s="335" t="s">
        <v>2388</v>
      </c>
      <c r="B1196" s="336">
        <v>45770.0</v>
      </c>
      <c r="C1196" s="335" t="s">
        <v>535</v>
      </c>
      <c r="D1196" s="335" t="s">
        <v>77</v>
      </c>
      <c r="E1196" s="337" t="str">
        <f t="shared" si="1"/>
        <v>東鐵名古屋:直納</v>
      </c>
      <c r="F1196" s="338" t="s">
        <v>151</v>
      </c>
      <c r="G1196" s="339" t="str">
        <f t="shared" si="2"/>
        <v>東鐵名古屋:直納シュレＣ</v>
      </c>
      <c r="H1196" s="340">
        <f t="shared" si="3"/>
        <v>41.5</v>
      </c>
      <c r="I1196" s="341">
        <v>-0.5</v>
      </c>
      <c r="J1196" s="332">
        <f>IFERROR(__xludf.DUMMYFUNCTION("IF(IF(COUNTIF(P$2:P1195, P1196)=0, """", INDEX(H$2:H1195,
MAX(FILTER(ROW(H$2:H1195) - ROW(H$2) + 1, P$2:P1195 = P1196))))=""単価"","""",
IF(COUNTIF(P$2:P1195, P1196)=0, """", INDEX(H$2:H1195,
MAX(FILTER(ROW(H$2:H1195) - ROW(H$2) + 1, P$2:P1195 = P1196)))))"),42.0)</f>
        <v>42</v>
      </c>
      <c r="N1196" s="335" t="str">
        <f>IF(MAXIFS('単価履歴'!$O:$O,'単価履歴'!$E:$E,E1196,'単価履歴'!$F:$F,F1196)=O1196,"●","")</f>
        <v/>
      </c>
      <c r="O1196" s="346">
        <v>45769.73924768518</v>
      </c>
      <c r="P1196" s="334" t="str">
        <f t="shared" si="4"/>
        <v>東鐵名古屋:直納シュレＣ</v>
      </c>
    </row>
    <row r="1197" ht="15.75" customHeight="1">
      <c r="A1197" s="335" t="s">
        <v>2389</v>
      </c>
      <c r="B1197" s="336">
        <v>45770.0</v>
      </c>
      <c r="C1197" s="335" t="s">
        <v>536</v>
      </c>
      <c r="D1197" s="335" t="s">
        <v>77</v>
      </c>
      <c r="E1197" s="337" t="str">
        <f t="shared" si="1"/>
        <v>東鐵田原:直納</v>
      </c>
      <c r="F1197" s="338" t="s">
        <v>1199</v>
      </c>
      <c r="G1197" s="339" t="str">
        <f t="shared" si="2"/>
        <v>東鐵田原:直納ＨＳ１(単体H1/電特A/HS))</v>
      </c>
      <c r="H1197" s="340">
        <f t="shared" si="3"/>
        <v>44.5</v>
      </c>
      <c r="I1197" s="341">
        <v>-0.5</v>
      </c>
      <c r="J1197" s="332">
        <f>IFERROR(__xludf.DUMMYFUNCTION("IF(IF(COUNTIF(P$2:P1196, P1197)=0, """", INDEX(H$2:H1196,
MAX(FILTER(ROW(H$2:H1196) - ROW(H$2) + 1, P$2:P1196 = P1197))))=""単価"","""",
IF(COUNTIF(P$2:P1196, P1197)=0, """", INDEX(H$2:H1196,
MAX(FILTER(ROW(H$2:H1196) - ROW(H$2) + 1, P$2:P1196 = P1197)))))"),45.0)</f>
        <v>45</v>
      </c>
      <c r="N1197" s="335" t="str">
        <f>IF(MAXIFS('単価履歴'!$O:$O,'単価履歴'!$E:$E,E1197,'単価履歴'!$F:$F,F1197)=O1197,"●","")</f>
        <v/>
      </c>
      <c r="O1197" s="346">
        <v>45769.73954861111</v>
      </c>
      <c r="P1197" s="334" t="str">
        <f t="shared" si="4"/>
        <v>東鐵田原:直納ＨＳ１(単体H1/電特A/HS))</v>
      </c>
    </row>
    <row r="1198" ht="15.75" customHeight="1">
      <c r="A1198" s="335" t="s">
        <v>2390</v>
      </c>
      <c r="B1198" s="336">
        <v>45770.0</v>
      </c>
      <c r="C1198" s="335" t="s">
        <v>536</v>
      </c>
      <c r="D1198" s="335" t="s">
        <v>77</v>
      </c>
      <c r="E1198" s="337" t="str">
        <f t="shared" si="1"/>
        <v>東鐵田原:直納</v>
      </c>
      <c r="F1198" s="338" t="s">
        <v>111</v>
      </c>
      <c r="G1198" s="339" t="str">
        <f t="shared" si="2"/>
        <v>東鐵田原:直納Ｈ１(特A)</v>
      </c>
      <c r="H1198" s="340">
        <f t="shared" si="3"/>
        <v>43.7</v>
      </c>
      <c r="I1198" s="341">
        <v>-0.5</v>
      </c>
      <c r="J1198" s="332">
        <f>IFERROR(__xludf.DUMMYFUNCTION("IF(IF(COUNTIF(P$2:P1197, P1198)=0, """", INDEX(H$2:H1197,
MAX(FILTER(ROW(H$2:H1197) - ROW(H$2) + 1, P$2:P1197 = P1198))))=""単価"","""",
IF(COUNTIF(P$2:P1197, P1198)=0, """", INDEX(H$2:H1197,
MAX(FILTER(ROW(H$2:H1197) - ROW(H$2) + 1, P$2:P1197 = P1198)))))"),44.2)</f>
        <v>44.2</v>
      </c>
      <c r="N1198" s="335" t="str">
        <f>IF(MAXIFS('単価履歴'!$O:$O,'単価履歴'!$E:$E,E1198,'単価履歴'!$F:$F,F1198)=O1198,"●","")</f>
        <v/>
      </c>
      <c r="O1198" s="346">
        <v>45769.73954861111</v>
      </c>
      <c r="P1198" s="334" t="str">
        <f t="shared" si="4"/>
        <v>東鐵田原:直納Ｈ１(特A)</v>
      </c>
    </row>
    <row r="1199" ht="15.75" customHeight="1">
      <c r="A1199" s="335" t="s">
        <v>2391</v>
      </c>
      <c r="B1199" s="336">
        <v>45770.0</v>
      </c>
      <c r="C1199" s="335" t="s">
        <v>536</v>
      </c>
      <c r="D1199" s="335" t="s">
        <v>77</v>
      </c>
      <c r="E1199" s="337" t="str">
        <f t="shared" si="1"/>
        <v>東鐵田原:直納</v>
      </c>
      <c r="F1199" s="338" t="s">
        <v>116</v>
      </c>
      <c r="G1199" s="339" t="str">
        <f t="shared" si="2"/>
        <v>東鐵田原:直納Ｈ２(特級)</v>
      </c>
      <c r="H1199" s="340">
        <f t="shared" si="3"/>
        <v>42</v>
      </c>
      <c r="I1199" s="341">
        <v>-0.5</v>
      </c>
      <c r="J1199" s="332">
        <f>IFERROR(__xludf.DUMMYFUNCTION("IF(IF(COUNTIF(P$2:P1198, P1199)=0, """", INDEX(H$2:H1198,
MAX(FILTER(ROW(H$2:H1198) - ROW(H$2) + 1, P$2:P1198 = P1199))))=""単価"","""",
IF(COUNTIF(P$2:P1198, P1199)=0, """", INDEX(H$2:H1198,
MAX(FILTER(ROW(H$2:H1198) - ROW(H$2) + 1, P$2:P1198 = P1199)))))"),42.5)</f>
        <v>42.5</v>
      </c>
      <c r="N1199" s="335" t="str">
        <f>IF(MAXIFS('単価履歴'!$O:$O,'単価履歴'!$E:$E,E1199,'単価履歴'!$F:$F,F1199)=O1199,"●","")</f>
        <v/>
      </c>
      <c r="O1199" s="346">
        <v>45769.73954861111</v>
      </c>
      <c r="P1199" s="334" t="str">
        <f t="shared" si="4"/>
        <v>東鐵田原:直納Ｈ２(特級)</v>
      </c>
    </row>
    <row r="1200" ht="15.75" customHeight="1">
      <c r="A1200" s="335" t="s">
        <v>2392</v>
      </c>
      <c r="B1200" s="336">
        <v>45770.0</v>
      </c>
      <c r="C1200" s="335" t="s">
        <v>536</v>
      </c>
      <c r="D1200" s="335" t="s">
        <v>77</v>
      </c>
      <c r="E1200" s="337" t="str">
        <f t="shared" si="1"/>
        <v>東鐵田原:直納</v>
      </c>
      <c r="F1200" s="338" t="s">
        <v>119</v>
      </c>
      <c r="G1200" s="339" t="str">
        <f t="shared" si="2"/>
        <v>東鐵田原:直納Ｈ３(1級)</v>
      </c>
      <c r="H1200" s="340">
        <f t="shared" si="3"/>
        <v>41.5</v>
      </c>
      <c r="I1200" s="341">
        <v>-0.5</v>
      </c>
      <c r="J1200" s="332">
        <f>IFERROR(__xludf.DUMMYFUNCTION("IF(IF(COUNTIF(P$2:P1199, P1200)=0, """", INDEX(H$2:H1199,
MAX(FILTER(ROW(H$2:H1199) - ROW(H$2) + 1, P$2:P1199 = P1200))))=""単価"","""",
IF(COUNTIF(P$2:P1199, P1200)=0, """", INDEX(H$2:H1199,
MAX(FILTER(ROW(H$2:H1199) - ROW(H$2) + 1, P$2:P1199 = P1200)))))"),42.0)</f>
        <v>42</v>
      </c>
      <c r="N1200" s="335" t="str">
        <f>IF(MAXIFS('単価履歴'!$O:$O,'単価履歴'!$E:$E,E1200,'単価履歴'!$F:$F,F1200)=O1200,"●","")</f>
        <v/>
      </c>
      <c r="O1200" s="346">
        <v>45769.73954861111</v>
      </c>
      <c r="P1200" s="334" t="str">
        <f t="shared" si="4"/>
        <v>東鐵田原:直納Ｈ３(1級)</v>
      </c>
    </row>
    <row r="1201" ht="15.75" customHeight="1">
      <c r="A1201" s="335" t="s">
        <v>2393</v>
      </c>
      <c r="B1201" s="336">
        <v>45770.0</v>
      </c>
      <c r="C1201" s="335" t="s">
        <v>536</v>
      </c>
      <c r="D1201" s="335" t="s">
        <v>77</v>
      </c>
      <c r="E1201" s="337" t="str">
        <f t="shared" si="1"/>
        <v>東鐵田原:直納</v>
      </c>
      <c r="F1201" s="338" t="s">
        <v>122</v>
      </c>
      <c r="G1201" s="339" t="str">
        <f t="shared" si="2"/>
        <v>東鐵田原:直納Ｌ１(2級)</v>
      </c>
      <c r="H1201" s="340">
        <f t="shared" si="3"/>
        <v>40</v>
      </c>
      <c r="I1201" s="341">
        <v>-0.5</v>
      </c>
      <c r="J1201" s="332">
        <f>IFERROR(__xludf.DUMMYFUNCTION("IF(IF(COUNTIF(P$2:P1200, P1201)=0, """", INDEX(H$2:H1200,
MAX(FILTER(ROW(H$2:H1200) - ROW(H$2) + 1, P$2:P1200 = P1201))))=""単価"","""",
IF(COUNTIF(P$2:P1200, P1201)=0, """", INDEX(H$2:H1200,
MAX(FILTER(ROW(H$2:H1200) - ROW(H$2) + 1, P$2:P1200 = P1201)))))"),40.5)</f>
        <v>40.5</v>
      </c>
      <c r="N1201" s="335" t="str">
        <f>IF(MAXIFS('単価履歴'!$O:$O,'単価履歴'!$E:$E,E1201,'単価履歴'!$F:$F,F1201)=O1201,"●","")</f>
        <v/>
      </c>
      <c r="O1201" s="346">
        <v>45769.73954861111</v>
      </c>
      <c r="P1201" s="334" t="str">
        <f t="shared" si="4"/>
        <v>東鐵田原:直納Ｌ１(2級)</v>
      </c>
    </row>
    <row r="1202" ht="15.75" customHeight="1">
      <c r="A1202" s="335" t="s">
        <v>2394</v>
      </c>
      <c r="B1202" s="336">
        <v>45770.0</v>
      </c>
      <c r="C1202" s="335" t="s">
        <v>536</v>
      </c>
      <c r="D1202" s="335" t="s">
        <v>77</v>
      </c>
      <c r="E1202" s="337" t="str">
        <f t="shared" si="1"/>
        <v>東鐵田原:直納</v>
      </c>
      <c r="F1202" s="338" t="s">
        <v>573</v>
      </c>
      <c r="G1202" s="339" t="str">
        <f t="shared" si="2"/>
        <v>東鐵田原:直納Ｌ２(H4･級外･L1ﾊﾞﾗ)</v>
      </c>
      <c r="H1202" s="340">
        <f t="shared" si="3"/>
        <v>37</v>
      </c>
      <c r="I1202" s="341">
        <v>-0.5</v>
      </c>
      <c r="J1202" s="332">
        <f>IFERROR(__xludf.DUMMYFUNCTION("IF(IF(COUNTIF(P$2:P1201, P1202)=0, """", INDEX(H$2:H1201,
MAX(FILTER(ROW(H$2:H1201) - ROW(H$2) + 1, P$2:P1201 = P1202))))=""単価"","""",
IF(COUNTIF(P$2:P1201, P1202)=0, """", INDEX(H$2:H1201,
MAX(FILTER(ROW(H$2:H1201) - ROW(H$2) + 1, P$2:P1201 = P1202)))))"),37.5)</f>
        <v>37.5</v>
      </c>
      <c r="N1202" s="335" t="str">
        <f>IF(MAXIFS('単価履歴'!$O:$O,'単価履歴'!$E:$E,E1202,'単価履歴'!$F:$F,F1202)=O1202,"●","")</f>
        <v/>
      </c>
      <c r="O1202" s="346">
        <v>45769.73954861111</v>
      </c>
      <c r="P1202" s="334" t="str">
        <f t="shared" si="4"/>
        <v>東鐵田原:直納Ｌ２(H4･級外･L1ﾊﾞﾗ)</v>
      </c>
    </row>
    <row r="1203" ht="15.75" customHeight="1">
      <c r="A1203" s="335" t="s">
        <v>2395</v>
      </c>
      <c r="B1203" s="336">
        <v>45770.0</v>
      </c>
      <c r="C1203" s="335" t="s">
        <v>536</v>
      </c>
      <c r="D1203" s="335" t="s">
        <v>77</v>
      </c>
      <c r="E1203" s="337" t="str">
        <f t="shared" si="1"/>
        <v>東鐵田原:直納</v>
      </c>
      <c r="F1203" s="338" t="s">
        <v>130</v>
      </c>
      <c r="G1203" s="339" t="str">
        <f t="shared" si="2"/>
        <v>東鐵田原:直納新断Ａ</v>
      </c>
      <c r="H1203" s="340">
        <f t="shared" si="3"/>
        <v>44</v>
      </c>
      <c r="I1203" s="341">
        <v>-0.5</v>
      </c>
      <c r="J1203" s="332">
        <f>IFERROR(__xludf.DUMMYFUNCTION("IF(IF(COUNTIF(P$2:P1202, P1203)=0, """", INDEX(H$2:H1202,
MAX(FILTER(ROW(H$2:H1202) - ROW(H$2) + 1, P$2:P1202 = P1203))))=""単価"","""",
IF(COUNTIF(P$2:P1202, P1203)=0, """", INDEX(H$2:H1202,
MAX(FILTER(ROW(H$2:H1202) - ROW(H$2) + 1, P$2:P1202 = P1203)))))"),44.5)</f>
        <v>44.5</v>
      </c>
      <c r="N1203" s="335" t="str">
        <f>IF(MAXIFS('単価履歴'!$O:$O,'単価履歴'!$E:$E,E1203,'単価履歴'!$F:$F,F1203)=O1203,"●","")</f>
        <v/>
      </c>
      <c r="O1203" s="346">
        <v>45769.73954861111</v>
      </c>
      <c r="P1203" s="334" t="str">
        <f t="shared" si="4"/>
        <v>東鐵田原:直納新断Ａ</v>
      </c>
    </row>
    <row r="1204" ht="15.75" customHeight="1">
      <c r="A1204" s="335" t="s">
        <v>2396</v>
      </c>
      <c r="B1204" s="336">
        <v>45770.0</v>
      </c>
      <c r="C1204" s="335" t="s">
        <v>536</v>
      </c>
      <c r="D1204" s="335" t="s">
        <v>77</v>
      </c>
      <c r="E1204" s="337" t="str">
        <f t="shared" si="1"/>
        <v>東鐵田原:直納</v>
      </c>
      <c r="F1204" s="338" t="s">
        <v>131</v>
      </c>
      <c r="G1204" s="339" t="str">
        <f t="shared" si="2"/>
        <v>東鐵田原:直納新断Ｂ</v>
      </c>
      <c r="H1204" s="340">
        <f t="shared" si="3"/>
        <v>44</v>
      </c>
      <c r="I1204" s="341">
        <v>-0.5</v>
      </c>
      <c r="J1204" s="332">
        <f>IFERROR(__xludf.DUMMYFUNCTION("IF(IF(COUNTIF(P$2:P1203, P1204)=0, """", INDEX(H$2:H1203,
MAX(FILTER(ROW(H$2:H1203) - ROW(H$2) + 1, P$2:P1203 = P1204))))=""単価"","""",
IF(COUNTIF(P$2:P1203, P1204)=0, """", INDEX(H$2:H1203,
MAX(FILTER(ROW(H$2:H1203) - ROW(H$2) + 1, P$2:P1203 = P1204)))))"),44.5)</f>
        <v>44.5</v>
      </c>
      <c r="N1204" s="335" t="str">
        <f>IF(MAXIFS('単価履歴'!$O:$O,'単価履歴'!$E:$E,E1204,'単価履歴'!$F:$F,F1204)=O1204,"●","")</f>
        <v/>
      </c>
      <c r="O1204" s="346">
        <v>45769.73954861111</v>
      </c>
      <c r="P1204" s="334" t="str">
        <f t="shared" si="4"/>
        <v>東鐵田原:直納新断Ｂ</v>
      </c>
    </row>
    <row r="1205" ht="15.75" customHeight="1">
      <c r="A1205" s="335" t="s">
        <v>2397</v>
      </c>
      <c r="B1205" s="336">
        <v>45770.0</v>
      </c>
      <c r="C1205" s="335" t="s">
        <v>536</v>
      </c>
      <c r="D1205" s="335" t="s">
        <v>77</v>
      </c>
      <c r="E1205" s="337" t="str">
        <f t="shared" si="1"/>
        <v>東鐵田原:直納</v>
      </c>
      <c r="F1205" s="338" t="s">
        <v>575</v>
      </c>
      <c r="G1205" s="339" t="str">
        <f t="shared" si="2"/>
        <v>東鐵田原:直納鋼ダライＡ</v>
      </c>
      <c r="H1205" s="340">
        <f t="shared" si="3"/>
        <v>40.5</v>
      </c>
      <c r="I1205" s="341">
        <v>-0.5</v>
      </c>
      <c r="J1205" s="332">
        <f>IFERROR(__xludf.DUMMYFUNCTION("IF(IF(COUNTIF(P$2:P1204, P1205)=0, """", INDEX(H$2:H1204,
MAX(FILTER(ROW(H$2:H1204) - ROW(H$2) + 1, P$2:P1204 = P1205))))=""単価"","""",
IF(COUNTIF(P$2:P1204, P1205)=0, """", INDEX(H$2:H1204,
MAX(FILTER(ROW(H$2:H1204) - ROW(H$2) + 1, P$2:P1204 = P1205)))))"),41.0)</f>
        <v>41</v>
      </c>
      <c r="N1205" s="335" t="str">
        <f>IF(MAXIFS('単価履歴'!$O:$O,'単価履歴'!$E:$E,E1205,'単価履歴'!$F:$F,F1205)=O1205,"●","")</f>
        <v/>
      </c>
      <c r="O1205" s="346">
        <v>45769.73954861111</v>
      </c>
      <c r="P1205" s="334" t="str">
        <f t="shared" si="4"/>
        <v>東鐵田原:直納鋼ダライＡ</v>
      </c>
    </row>
    <row r="1206" ht="15.75" customHeight="1">
      <c r="A1206" s="335" t="s">
        <v>2398</v>
      </c>
      <c r="B1206" s="336">
        <v>45770.0</v>
      </c>
      <c r="C1206" s="335" t="s">
        <v>536</v>
      </c>
      <c r="D1206" s="335" t="s">
        <v>77</v>
      </c>
      <c r="E1206" s="337" t="str">
        <f t="shared" si="1"/>
        <v>東鐵田原:直納</v>
      </c>
      <c r="F1206" s="338" t="s">
        <v>145</v>
      </c>
      <c r="G1206" s="339" t="str">
        <f t="shared" si="2"/>
        <v>東鐵田原:直納シュレＡ</v>
      </c>
      <c r="H1206" s="340">
        <f t="shared" si="3"/>
        <v>43</v>
      </c>
      <c r="I1206" s="341">
        <v>-0.5</v>
      </c>
      <c r="J1206" s="332">
        <f>IFERROR(__xludf.DUMMYFUNCTION("IF(IF(COUNTIF(P$2:P1205, P1206)=0, """", INDEX(H$2:H1205,
MAX(FILTER(ROW(H$2:H1205) - ROW(H$2) + 1, P$2:P1205 = P1206))))=""単価"","""",
IF(COUNTIF(P$2:P1205, P1206)=0, """", INDEX(H$2:H1205,
MAX(FILTER(ROW(H$2:H1205) - ROW(H$2) + 1, P$2:P1205 = P1206)))))"),43.5)</f>
        <v>43.5</v>
      </c>
      <c r="N1206" s="335" t="str">
        <f>IF(MAXIFS('単価履歴'!$O:$O,'単価履歴'!$E:$E,E1206,'単価履歴'!$F:$F,F1206)=O1206,"●","")</f>
        <v/>
      </c>
      <c r="O1206" s="346">
        <v>45769.73954861111</v>
      </c>
      <c r="P1206" s="334" t="str">
        <f t="shared" si="4"/>
        <v>東鐵田原:直納シュレＡ</v>
      </c>
    </row>
    <row r="1207" ht="15.75" customHeight="1">
      <c r="A1207" s="335" t="s">
        <v>2399</v>
      </c>
      <c r="B1207" s="336">
        <v>45770.0</v>
      </c>
      <c r="C1207" s="335" t="s">
        <v>536</v>
      </c>
      <c r="D1207" s="335" t="s">
        <v>77</v>
      </c>
      <c r="E1207" s="337" t="str">
        <f t="shared" si="1"/>
        <v>東鐵田原:直納</v>
      </c>
      <c r="F1207" s="338" t="s">
        <v>151</v>
      </c>
      <c r="G1207" s="339" t="str">
        <f t="shared" si="2"/>
        <v>東鐵田原:直納シュレＣ</v>
      </c>
      <c r="H1207" s="340">
        <f t="shared" si="3"/>
        <v>42.5</v>
      </c>
      <c r="I1207" s="341">
        <v>-0.5</v>
      </c>
      <c r="J1207" s="332">
        <f>IFERROR(__xludf.DUMMYFUNCTION("IF(IF(COUNTIF(P$2:P1206, P1207)=0, """", INDEX(H$2:H1206,
MAX(FILTER(ROW(H$2:H1206) - ROW(H$2) + 1, P$2:P1206 = P1207))))=""単価"","""",
IF(COUNTIF(P$2:P1206, P1207)=0, """", INDEX(H$2:H1206,
MAX(FILTER(ROW(H$2:H1206) - ROW(H$2) + 1, P$2:P1206 = P1207)))))"),43.0)</f>
        <v>43</v>
      </c>
      <c r="N1207" s="335" t="str">
        <f>IF(MAXIFS('単価履歴'!$O:$O,'単価履歴'!$E:$E,E1207,'単価履歴'!$F:$F,F1207)=O1207,"●","")</f>
        <v/>
      </c>
      <c r="O1207" s="346">
        <v>45769.73954861111</v>
      </c>
      <c r="P1207" s="334" t="str">
        <f t="shared" si="4"/>
        <v>東鐵田原:直納シュレＣ</v>
      </c>
    </row>
    <row r="1208" ht="15.75" customHeight="1">
      <c r="A1208" s="335" t="s">
        <v>2400</v>
      </c>
      <c r="B1208" s="336">
        <v>45770.0</v>
      </c>
      <c r="C1208" s="335" t="s">
        <v>536</v>
      </c>
      <c r="D1208" s="335" t="s">
        <v>77</v>
      </c>
      <c r="E1208" s="337" t="str">
        <f t="shared" si="1"/>
        <v>東鐵田原:直納</v>
      </c>
      <c r="F1208" s="338" t="s">
        <v>154</v>
      </c>
      <c r="G1208" s="339" t="str">
        <f t="shared" si="2"/>
        <v>東鐵田原:直納ＣＰ Ａ</v>
      </c>
      <c r="H1208" s="340">
        <f t="shared" si="3"/>
        <v>40.5</v>
      </c>
      <c r="I1208" s="341">
        <v>-0.5</v>
      </c>
      <c r="J1208" s="332">
        <f>IFERROR(__xludf.DUMMYFUNCTION("IF(IF(COUNTIF(P$2:P1207, P1208)=0, """", INDEX(H$2:H1207,
MAX(FILTER(ROW(H$2:H1207) - ROW(H$2) + 1, P$2:P1207 = P1208))))=""単価"","""",
IF(COUNTIF(P$2:P1207, P1208)=0, """", INDEX(H$2:H1207,
MAX(FILTER(ROW(H$2:H1207) - ROW(H$2) + 1, P$2:P1207 = P1208)))))"),41.0)</f>
        <v>41</v>
      </c>
      <c r="N1208" s="335" t="str">
        <f>IF(MAXIFS('単価履歴'!$O:$O,'単価履歴'!$E:$E,E1208,'単価履歴'!$F:$F,F1208)=O1208,"●","")</f>
        <v/>
      </c>
      <c r="O1208" s="346">
        <v>45769.73954861111</v>
      </c>
      <c r="P1208" s="334" t="str">
        <f t="shared" si="4"/>
        <v>東鐵田原:直納ＣＰ Ａ</v>
      </c>
    </row>
    <row r="1209" ht="15.75" customHeight="1">
      <c r="A1209" s="335" t="s">
        <v>2401</v>
      </c>
      <c r="B1209" s="336">
        <v>45770.0</v>
      </c>
      <c r="C1209" s="335" t="s">
        <v>14</v>
      </c>
      <c r="D1209" s="335" t="s">
        <v>46</v>
      </c>
      <c r="E1209" s="337" t="str">
        <f t="shared" si="1"/>
        <v>愛知:阪和</v>
      </c>
      <c r="F1209" s="338" t="s">
        <v>1199</v>
      </c>
      <c r="G1209" s="339" t="str">
        <f t="shared" si="2"/>
        <v>愛知:阪和ＨＳ１(単体H1/電特A/HS))</v>
      </c>
      <c r="H1209" s="340">
        <f t="shared" si="3"/>
        <v>44.7</v>
      </c>
      <c r="I1209" s="341">
        <v>-0.5</v>
      </c>
      <c r="J1209" s="332">
        <f>IFERROR(__xludf.DUMMYFUNCTION("IF(IF(COUNTIF(P$2:P1208, P1209)=0, """", INDEX(H$2:H1208,
MAX(FILTER(ROW(H$2:H1208) - ROW(H$2) + 1, P$2:P1208 = P1209))))=""単価"","""",
IF(COUNTIF(P$2:P1208, P1209)=0, """", INDEX(H$2:H1208,
MAX(FILTER(ROW(H$2:H1208) - ROW(H$2) + 1, P$2:P1208 = P1209)))))"),45.2)</f>
        <v>45.2</v>
      </c>
      <c r="N1209" s="335" t="str">
        <f>IF(MAXIFS('単価履歴'!$O:$O,'単価履歴'!$E:$E,E1209,'単価履歴'!$F:$F,F1209)=O1209,"●","")</f>
        <v/>
      </c>
      <c r="O1209" s="346">
        <v>45769.7400462963</v>
      </c>
      <c r="P1209" s="334" t="str">
        <f t="shared" si="4"/>
        <v>愛知:阪和ＨＳ１(単体H1/電特A/HS))</v>
      </c>
    </row>
    <row r="1210" ht="15.75" customHeight="1">
      <c r="A1210" s="335" t="s">
        <v>2402</v>
      </c>
      <c r="B1210" s="336">
        <v>45770.0</v>
      </c>
      <c r="C1210" s="335" t="s">
        <v>14</v>
      </c>
      <c r="D1210" s="335" t="s">
        <v>46</v>
      </c>
      <c r="E1210" s="337" t="str">
        <f t="shared" si="1"/>
        <v>愛知:阪和</v>
      </c>
      <c r="F1210" s="338" t="s">
        <v>101</v>
      </c>
      <c r="G1210" s="339" t="str">
        <f t="shared" si="2"/>
        <v>愛知:阪和ＨＳ２</v>
      </c>
      <c r="H1210" s="340">
        <f t="shared" si="3"/>
        <v>44.2</v>
      </c>
      <c r="I1210" s="341">
        <v>-0.5</v>
      </c>
      <c r="J1210" s="332">
        <f>IFERROR(__xludf.DUMMYFUNCTION("IF(IF(COUNTIF(P$2:P1209, P1210)=0, """", INDEX(H$2:H1209,
MAX(FILTER(ROW(H$2:H1209) - ROW(H$2) + 1, P$2:P1209 = P1210))))=""単価"","""",
IF(COUNTIF(P$2:P1209, P1210)=0, """", INDEX(H$2:H1209,
MAX(FILTER(ROW(H$2:H1209) - ROW(H$2) + 1, P$2:P1209 = P1210)))))"),44.7)</f>
        <v>44.7</v>
      </c>
      <c r="N1210" s="335" t="str">
        <f>IF(MAXIFS('単価履歴'!$O:$O,'単価履歴'!$E:$E,E1210,'単価履歴'!$F:$F,F1210)=O1210,"●","")</f>
        <v/>
      </c>
      <c r="O1210" s="346">
        <v>45769.7400462963</v>
      </c>
      <c r="P1210" s="334" t="str">
        <f t="shared" si="4"/>
        <v>愛知:阪和ＨＳ２</v>
      </c>
    </row>
    <row r="1211" ht="15.75" customHeight="1">
      <c r="A1211" s="335" t="s">
        <v>2403</v>
      </c>
      <c r="B1211" s="336">
        <v>45770.0</v>
      </c>
      <c r="C1211" s="335" t="s">
        <v>14</v>
      </c>
      <c r="D1211" s="335" t="s">
        <v>46</v>
      </c>
      <c r="E1211" s="337" t="str">
        <f t="shared" si="1"/>
        <v>愛知:阪和</v>
      </c>
      <c r="F1211" s="338" t="s">
        <v>111</v>
      </c>
      <c r="G1211" s="339" t="str">
        <f t="shared" si="2"/>
        <v>愛知:阪和Ｈ１(特A)</v>
      </c>
      <c r="H1211" s="340">
        <f t="shared" si="3"/>
        <v>39.7</v>
      </c>
      <c r="I1211" s="341">
        <v>-0.5</v>
      </c>
      <c r="J1211" s="332">
        <f>IFERROR(__xludf.DUMMYFUNCTION("IF(IF(COUNTIF(P$2:P1210, P1211)=0, """", INDEX(H$2:H1210,
MAX(FILTER(ROW(H$2:H1210) - ROW(H$2) + 1, P$2:P1210 = P1211))))=""単価"","""",
IF(COUNTIF(P$2:P1210, P1211)=0, """", INDEX(H$2:H1210,
MAX(FILTER(ROW(H$2:H1210) - ROW(H$2) + 1, P$2:P1210 = P1211)))))"),40.2)</f>
        <v>40.2</v>
      </c>
      <c r="N1211" s="335" t="str">
        <f>IF(MAXIFS('単価履歴'!$O:$O,'単価履歴'!$E:$E,E1211,'単価履歴'!$F:$F,F1211)=O1211,"●","")</f>
        <v/>
      </c>
      <c r="O1211" s="346">
        <v>45769.7400462963</v>
      </c>
      <c r="P1211" s="334" t="str">
        <f t="shared" si="4"/>
        <v>愛知:阪和Ｈ１(特A)</v>
      </c>
    </row>
    <row r="1212" ht="15.75" customHeight="1">
      <c r="A1212" s="335" t="s">
        <v>2404</v>
      </c>
      <c r="B1212" s="336">
        <v>45770.0</v>
      </c>
      <c r="C1212" s="335" t="s">
        <v>14</v>
      </c>
      <c r="D1212" s="335" t="s">
        <v>46</v>
      </c>
      <c r="E1212" s="337" t="str">
        <f t="shared" si="1"/>
        <v>愛知:阪和</v>
      </c>
      <c r="F1212" s="338" t="s">
        <v>116</v>
      </c>
      <c r="G1212" s="339" t="str">
        <f t="shared" si="2"/>
        <v>愛知:阪和Ｈ２(特級)</v>
      </c>
      <c r="H1212" s="340">
        <f t="shared" si="3"/>
        <v>39.2</v>
      </c>
      <c r="I1212" s="341">
        <v>-0.5</v>
      </c>
      <c r="J1212" s="332">
        <f>IFERROR(__xludf.DUMMYFUNCTION("IF(IF(COUNTIF(P$2:P1211, P1212)=0, """", INDEX(H$2:H1211,
MAX(FILTER(ROW(H$2:H1211) - ROW(H$2) + 1, P$2:P1211 = P1212))))=""単価"","""",
IF(COUNTIF(P$2:P1211, P1212)=0, """", INDEX(H$2:H1211,
MAX(FILTER(ROW(H$2:H1211) - ROW(H$2) + 1, P$2:P1211 = P1212)))))"),39.7)</f>
        <v>39.7</v>
      </c>
      <c r="N1212" s="335" t="str">
        <f>IF(MAXIFS('単価履歴'!$O:$O,'単価履歴'!$E:$E,E1212,'単価履歴'!$F:$F,F1212)=O1212,"●","")</f>
        <v/>
      </c>
      <c r="O1212" s="346">
        <v>45769.7400462963</v>
      </c>
      <c r="P1212" s="334" t="str">
        <f t="shared" si="4"/>
        <v>愛知:阪和Ｈ２(特級)</v>
      </c>
    </row>
    <row r="1213" ht="15.75" customHeight="1">
      <c r="A1213" s="335" t="s">
        <v>2405</v>
      </c>
      <c r="B1213" s="336">
        <v>45770.0</v>
      </c>
      <c r="C1213" s="335" t="s">
        <v>14</v>
      </c>
      <c r="D1213" s="335" t="s">
        <v>46</v>
      </c>
      <c r="E1213" s="337" t="str">
        <f t="shared" si="1"/>
        <v>愛知:阪和</v>
      </c>
      <c r="F1213" s="338" t="s">
        <v>119</v>
      </c>
      <c r="G1213" s="339" t="str">
        <f t="shared" si="2"/>
        <v>愛知:阪和Ｈ３(1級)</v>
      </c>
      <c r="H1213" s="340">
        <f t="shared" si="3"/>
        <v>38.2</v>
      </c>
      <c r="I1213" s="341">
        <v>-0.5</v>
      </c>
      <c r="J1213" s="332">
        <f>IFERROR(__xludf.DUMMYFUNCTION("IF(IF(COUNTIF(P$2:P1212, P1213)=0, """", INDEX(H$2:H1212,
MAX(FILTER(ROW(H$2:H1212) - ROW(H$2) + 1, P$2:P1212 = P1213))))=""単価"","""",
IF(COUNTIF(P$2:P1212, P1213)=0, """", INDEX(H$2:H1212,
MAX(FILTER(ROW(H$2:H1212) - ROW(H$2) + 1, P$2:P1212 = P1213)))))"),38.7)</f>
        <v>38.7</v>
      </c>
      <c r="N1213" s="335" t="str">
        <f>IF(MAXIFS('単価履歴'!$O:$O,'単価履歴'!$E:$E,E1213,'単価履歴'!$F:$F,F1213)=O1213,"●","")</f>
        <v/>
      </c>
      <c r="O1213" s="346">
        <v>45769.7400462963</v>
      </c>
      <c r="P1213" s="334" t="str">
        <f t="shared" si="4"/>
        <v>愛知:阪和Ｈ３(1級)</v>
      </c>
    </row>
    <row r="1214" ht="15.75" customHeight="1">
      <c r="A1214" s="335" t="s">
        <v>2406</v>
      </c>
      <c r="B1214" s="336">
        <v>45770.0</v>
      </c>
      <c r="C1214" s="335" t="s">
        <v>14</v>
      </c>
      <c r="D1214" s="335" t="s">
        <v>46</v>
      </c>
      <c r="E1214" s="337" t="str">
        <f t="shared" si="1"/>
        <v>愛知:阪和</v>
      </c>
      <c r="F1214" s="338" t="s">
        <v>573</v>
      </c>
      <c r="G1214" s="339" t="str">
        <f t="shared" si="2"/>
        <v>愛知:阪和Ｌ２(H4･級外･L1ﾊﾞﾗ)</v>
      </c>
      <c r="H1214" s="340">
        <f t="shared" si="3"/>
        <v>34.8</v>
      </c>
      <c r="I1214" s="341">
        <v>-0.5</v>
      </c>
      <c r="J1214" s="332">
        <f>IFERROR(__xludf.DUMMYFUNCTION("IF(IF(COUNTIF(P$2:P1213, P1214)=0, """", INDEX(H$2:H1213,
MAX(FILTER(ROW(H$2:H1213) - ROW(H$2) + 1, P$2:P1213 = P1214))))=""単価"","""",
IF(COUNTIF(P$2:P1213, P1214)=0, """", INDEX(H$2:H1213,
MAX(FILTER(ROW(H$2:H1213) - ROW(H$2) + 1, P$2:P1213 = P1214)))))"),35.3)</f>
        <v>35.3</v>
      </c>
      <c r="N1214" s="335" t="str">
        <f>IF(MAXIFS('単価履歴'!$O:$O,'単価履歴'!$E:$E,E1214,'単価履歴'!$F:$F,F1214)=O1214,"●","")</f>
        <v/>
      </c>
      <c r="O1214" s="346">
        <v>45769.7400462963</v>
      </c>
      <c r="P1214" s="334" t="str">
        <f t="shared" si="4"/>
        <v>愛知:阪和Ｌ２(H4･級外･L1ﾊﾞﾗ)</v>
      </c>
    </row>
    <row r="1215" ht="15.75" customHeight="1">
      <c r="A1215" s="335" t="s">
        <v>2407</v>
      </c>
      <c r="B1215" s="336">
        <v>45770.0</v>
      </c>
      <c r="C1215" s="335" t="s">
        <v>15</v>
      </c>
      <c r="D1215" s="335" t="s">
        <v>58</v>
      </c>
      <c r="E1215" s="337" t="str">
        <f t="shared" si="1"/>
        <v>山口鋼業:MM建材</v>
      </c>
      <c r="F1215" s="338" t="s">
        <v>1199</v>
      </c>
      <c r="G1215" s="339" t="str">
        <f t="shared" si="2"/>
        <v>山口鋼業:MM建材ＨＳ１(単体H1/電特A/HS))</v>
      </c>
      <c r="H1215" s="340">
        <f t="shared" si="3"/>
        <v>42.5</v>
      </c>
      <c r="I1215" s="341">
        <v>-0.5</v>
      </c>
      <c r="J1215" s="332">
        <f>IFERROR(__xludf.DUMMYFUNCTION("IF(IF(COUNTIF(P$2:P1214, P1215)=0, """", INDEX(H$2:H1214,
MAX(FILTER(ROW(H$2:H1214) - ROW(H$2) + 1, P$2:P1214 = P1215))))=""単価"","""",
IF(COUNTIF(P$2:P1214, P1215)=0, """", INDEX(H$2:H1214,
MAX(FILTER(ROW(H$2:H1214) - ROW(H$2) + 1, P$2:P1214 = P1215)))))"),43.0)</f>
        <v>43</v>
      </c>
      <c r="N1215" s="335" t="str">
        <f>IF(MAXIFS('単価履歴'!$O:$O,'単価履歴'!$E:$E,E1215,'単価履歴'!$F:$F,F1215)=O1215,"●","")</f>
        <v/>
      </c>
      <c r="O1215" s="346">
        <v>45769.74046296296</v>
      </c>
      <c r="P1215" s="334" t="str">
        <f t="shared" si="4"/>
        <v>山口鋼業:MM建材ＨＳ１(単体H1/電特A/HS))</v>
      </c>
    </row>
    <row r="1216" ht="15.75" customHeight="1">
      <c r="A1216" s="335" t="s">
        <v>2408</v>
      </c>
      <c r="B1216" s="336">
        <v>45770.0</v>
      </c>
      <c r="C1216" s="335" t="s">
        <v>15</v>
      </c>
      <c r="D1216" s="335" t="s">
        <v>58</v>
      </c>
      <c r="E1216" s="337" t="str">
        <f t="shared" si="1"/>
        <v>山口鋼業:MM建材</v>
      </c>
      <c r="F1216" s="338" t="s">
        <v>1237</v>
      </c>
      <c r="G1216" s="339" t="str">
        <f t="shared" si="2"/>
        <v>山口鋼業:MM建材ＪＨ１(H2T山口)鍛造ﾊﾞﾘ</v>
      </c>
      <c r="H1216" s="340">
        <f t="shared" si="3"/>
        <v>42</v>
      </c>
      <c r="I1216" s="341">
        <v>-0.5</v>
      </c>
      <c r="J1216" s="332">
        <f>IFERROR(__xludf.DUMMYFUNCTION("IF(IF(COUNTIF(P$2:P1215, P1216)=0, """", INDEX(H$2:H1215,
MAX(FILTER(ROW(H$2:H1215) - ROW(H$2) + 1, P$2:P1215 = P1216))))=""単価"","""",
IF(COUNTIF(P$2:P1215, P1216)=0, """", INDEX(H$2:H1215,
MAX(FILTER(ROW(H$2:H1215) - ROW(H$2) + 1, P$2:P1215 = P1216)))))"),42.5)</f>
        <v>42.5</v>
      </c>
      <c r="N1216" s="335" t="str">
        <f>IF(MAXIFS('単価履歴'!$O:$O,'単価履歴'!$E:$E,E1216,'単価履歴'!$F:$F,F1216)=O1216,"●","")</f>
        <v/>
      </c>
      <c r="O1216" s="346">
        <v>45769.74046296296</v>
      </c>
      <c r="P1216" s="334" t="str">
        <f t="shared" si="4"/>
        <v>山口鋼業:MM建材ＪＨ１(H2T山口)鍛造ﾊﾞﾘ</v>
      </c>
    </row>
    <row r="1217" ht="15.75" customHeight="1">
      <c r="A1217" s="335" t="s">
        <v>2409</v>
      </c>
      <c r="B1217" s="336">
        <v>45770.0</v>
      </c>
      <c r="C1217" s="335" t="s">
        <v>15</v>
      </c>
      <c r="D1217" s="335" t="s">
        <v>58</v>
      </c>
      <c r="E1217" s="337" t="str">
        <f t="shared" si="1"/>
        <v>山口鋼業:MM建材</v>
      </c>
      <c r="F1217" s="338" t="s">
        <v>116</v>
      </c>
      <c r="G1217" s="339" t="str">
        <f t="shared" si="2"/>
        <v>山口鋼業:MM建材Ｈ２(特級)</v>
      </c>
      <c r="H1217" s="340">
        <f t="shared" si="3"/>
        <v>41</v>
      </c>
      <c r="I1217" s="341">
        <v>-0.5</v>
      </c>
      <c r="J1217" s="332">
        <f>IFERROR(__xludf.DUMMYFUNCTION("IF(IF(COUNTIF(P$2:P1216, P1217)=0, """", INDEX(H$2:H1216,
MAX(FILTER(ROW(H$2:H1216) - ROW(H$2) + 1, P$2:P1216 = P1217))))=""単価"","""",
IF(COUNTIF(P$2:P1216, P1217)=0, """", INDEX(H$2:H1216,
MAX(FILTER(ROW(H$2:H1216) - ROW(H$2) + 1, P$2:P1216 = P1217)))))"),41.5)</f>
        <v>41.5</v>
      </c>
      <c r="N1217" s="335" t="str">
        <f>IF(MAXIFS('単価履歴'!$O:$O,'単価履歴'!$E:$E,E1217,'単価履歴'!$F:$F,F1217)=O1217,"●","")</f>
        <v/>
      </c>
      <c r="O1217" s="346">
        <v>45769.74046296296</v>
      </c>
      <c r="P1217" s="334" t="str">
        <f t="shared" si="4"/>
        <v>山口鋼業:MM建材Ｈ２(特級)</v>
      </c>
    </row>
    <row r="1218" ht="15.75" customHeight="1">
      <c r="A1218" s="335" t="s">
        <v>2410</v>
      </c>
      <c r="B1218" s="336">
        <v>45770.0</v>
      </c>
      <c r="C1218" s="335" t="s">
        <v>15</v>
      </c>
      <c r="D1218" s="335" t="s">
        <v>58</v>
      </c>
      <c r="E1218" s="337" t="str">
        <f t="shared" si="1"/>
        <v>山口鋼業:MM建材</v>
      </c>
      <c r="F1218" s="338" t="s">
        <v>119</v>
      </c>
      <c r="G1218" s="339" t="str">
        <f t="shared" si="2"/>
        <v>山口鋼業:MM建材Ｈ３(1級)</v>
      </c>
      <c r="H1218" s="340">
        <f t="shared" si="3"/>
        <v>40</v>
      </c>
      <c r="I1218" s="341">
        <v>-0.5</v>
      </c>
      <c r="J1218" s="332">
        <f>IFERROR(__xludf.DUMMYFUNCTION("IF(IF(COUNTIF(P$2:P1217, P1218)=0, """", INDEX(H$2:H1217,
MAX(FILTER(ROW(H$2:H1217) - ROW(H$2) + 1, P$2:P1217 = P1218))))=""単価"","""",
IF(COUNTIF(P$2:P1217, P1218)=0, """", INDEX(H$2:H1217,
MAX(FILTER(ROW(H$2:H1217) - ROW(H$2) + 1, P$2:P1217 = P1218)))))"),40.5)</f>
        <v>40.5</v>
      </c>
      <c r="N1218" s="335" t="str">
        <f>IF(MAXIFS('単価履歴'!$O:$O,'単価履歴'!$E:$E,E1218,'単価履歴'!$F:$F,F1218)=O1218,"●","")</f>
        <v/>
      </c>
      <c r="O1218" s="346">
        <v>45769.74046296296</v>
      </c>
      <c r="P1218" s="334" t="str">
        <f t="shared" si="4"/>
        <v>山口鋼業:MM建材Ｈ３(1級)</v>
      </c>
    </row>
    <row r="1219" ht="15.75" customHeight="1">
      <c r="A1219" s="335" t="s">
        <v>2411</v>
      </c>
      <c r="B1219" s="336">
        <v>45770.0</v>
      </c>
      <c r="C1219" s="335" t="s">
        <v>15</v>
      </c>
      <c r="D1219" s="335" t="s">
        <v>58</v>
      </c>
      <c r="E1219" s="337" t="str">
        <f t="shared" si="1"/>
        <v>山口鋼業:MM建材</v>
      </c>
      <c r="F1219" s="338" t="s">
        <v>573</v>
      </c>
      <c r="G1219" s="339" t="str">
        <f t="shared" si="2"/>
        <v>山口鋼業:MM建材Ｌ２(H4･級外･L1ﾊﾞﾗ)</v>
      </c>
      <c r="H1219" s="340">
        <f t="shared" si="3"/>
        <v>38.5</v>
      </c>
      <c r="I1219" s="341">
        <v>-0.5</v>
      </c>
      <c r="J1219" s="332">
        <f>IFERROR(__xludf.DUMMYFUNCTION("IF(IF(COUNTIF(P$2:P1218, P1219)=0, """", INDEX(H$2:H1218,
MAX(FILTER(ROW(H$2:H1218) - ROW(H$2) + 1, P$2:P1218 = P1219))))=""単価"","""",
IF(COUNTIF(P$2:P1218, P1219)=0, """", INDEX(H$2:H1218,
MAX(FILTER(ROW(H$2:H1218) - ROW(H$2) + 1, P$2:P1218 = P1219)))))"),39.0)</f>
        <v>39</v>
      </c>
      <c r="N1219" s="335" t="str">
        <f>IF(MAXIFS('単価履歴'!$O:$O,'単価履歴'!$E:$E,E1219,'単価履歴'!$F:$F,F1219)=O1219,"●","")</f>
        <v/>
      </c>
      <c r="O1219" s="346">
        <v>45769.74046296296</v>
      </c>
      <c r="P1219" s="334" t="str">
        <f t="shared" si="4"/>
        <v>山口鋼業:MM建材Ｌ２(H4･級外･L1ﾊﾞﾗ)</v>
      </c>
    </row>
    <row r="1220" ht="15.75" customHeight="1">
      <c r="A1220" s="335" t="s">
        <v>2412</v>
      </c>
      <c r="B1220" s="336">
        <v>45770.0</v>
      </c>
      <c r="C1220" s="335" t="s">
        <v>15</v>
      </c>
      <c r="D1220" s="335" t="s">
        <v>58</v>
      </c>
      <c r="E1220" s="337" t="str">
        <f t="shared" si="1"/>
        <v>山口鋼業:MM建材</v>
      </c>
      <c r="F1220" s="338" t="s">
        <v>575</v>
      </c>
      <c r="G1220" s="339" t="str">
        <f t="shared" si="2"/>
        <v>山口鋼業:MM建材鋼ダライＡ</v>
      </c>
      <c r="H1220" s="340">
        <f t="shared" si="3"/>
        <v>38.6</v>
      </c>
      <c r="I1220" s="341">
        <v>-0.5</v>
      </c>
      <c r="J1220" s="332">
        <f>IFERROR(__xludf.DUMMYFUNCTION("IF(IF(COUNTIF(P$2:P1219, P1220)=0, """", INDEX(H$2:H1219,
MAX(FILTER(ROW(H$2:H1219) - ROW(H$2) + 1, P$2:P1219 = P1220))))=""単価"","""",
IF(COUNTIF(P$2:P1219, P1220)=0, """", INDEX(H$2:H1219,
MAX(FILTER(ROW(H$2:H1219) - ROW(H$2) + 1, P$2:P1219 = P1220)))))"),39.1)</f>
        <v>39.1</v>
      </c>
      <c r="N1220" s="335" t="str">
        <f>IF(MAXIFS('単価履歴'!$O:$O,'単価履歴'!$E:$E,E1220,'単価履歴'!$F:$F,F1220)=O1220,"●","")</f>
        <v/>
      </c>
      <c r="O1220" s="346">
        <v>45769.74046296296</v>
      </c>
      <c r="P1220" s="334" t="str">
        <f t="shared" si="4"/>
        <v>山口鋼業:MM建材鋼ダライＡ</v>
      </c>
    </row>
    <row r="1221" ht="15.75" customHeight="1">
      <c r="A1221" s="335" t="s">
        <v>2413</v>
      </c>
      <c r="B1221" s="336">
        <v>45770.0</v>
      </c>
      <c r="C1221" s="335" t="s">
        <v>15</v>
      </c>
      <c r="D1221" s="335" t="s">
        <v>58</v>
      </c>
      <c r="E1221" s="337" t="str">
        <f t="shared" si="1"/>
        <v>山口鋼業:MM建材</v>
      </c>
      <c r="F1221" s="338" t="s">
        <v>577</v>
      </c>
      <c r="G1221" s="339" t="str">
        <f t="shared" si="2"/>
        <v>山口鋼業:MM建材鋳物・ﾀﾞｸﾀｲﾙ</v>
      </c>
      <c r="H1221" s="340">
        <f t="shared" si="3"/>
        <v>41.5</v>
      </c>
      <c r="I1221" s="341">
        <v>-0.5</v>
      </c>
      <c r="J1221" s="332">
        <f>IFERROR(__xludf.DUMMYFUNCTION("IF(IF(COUNTIF(P$2:P1220, P1221)=0, """", INDEX(H$2:H1220,
MAX(FILTER(ROW(H$2:H1220) - ROW(H$2) + 1, P$2:P1220 = P1221))))=""単価"","""",
IF(COUNTIF(P$2:P1220, P1221)=0, """", INDEX(H$2:H1220,
MAX(FILTER(ROW(H$2:H1220) - ROW(H$2) + 1, P$2:P1220 = P1221)))))"),42.0)</f>
        <v>42</v>
      </c>
      <c r="N1221" s="335" t="str">
        <f>IF(MAXIFS('単価履歴'!$O:$O,'単価履歴'!$E:$E,E1221,'単価履歴'!$F:$F,F1221)=O1221,"●","")</f>
        <v/>
      </c>
      <c r="O1221" s="346">
        <v>45769.74046296296</v>
      </c>
      <c r="P1221" s="334" t="str">
        <f t="shared" si="4"/>
        <v>山口鋼業:MM建材鋳物・ﾀﾞｸﾀｲﾙ</v>
      </c>
    </row>
    <row r="1222" ht="15.75" customHeight="1">
      <c r="A1222" s="335"/>
      <c r="B1222" s="336"/>
      <c r="C1222" s="335"/>
      <c r="D1222" s="335"/>
      <c r="E1222" s="337" t="str">
        <f t="shared" si="1"/>
        <v>:</v>
      </c>
      <c r="F1222" s="338"/>
      <c r="G1222" s="339" t="str">
        <f t="shared" si="2"/>
        <v>:</v>
      </c>
      <c r="H1222" s="340">
        <f t="shared" si="3"/>
        <v>0</v>
      </c>
      <c r="I1222" s="341"/>
      <c r="J1222" s="332">
        <f>IFERROR(__xludf.DUMMYFUNCTION("IF(IF(COUNTIF(P$2:P1221, P1222)=0, """", INDEX(H$2:H1221,
MAX(FILTER(ROW(H$2:H1221) - ROW(H$2) + 1, P$2:P1221 = P1222))))=""単価"","""",
IF(COUNTIF(P$2:P1221, P1222)=0, """", INDEX(H$2:H1221,
MAX(FILTER(ROW(H$2:H1221) - ROW(H$2) + 1, P$2:P1221 = P1222)))))"),0.0)</f>
        <v>0</v>
      </c>
      <c r="N1222" s="335" t="str">
        <f>IF(MAXIFS('単価履歴'!$O:$O,'単価履歴'!$E:$E,E1222,'単価履歴'!$F:$F,F1222)=O1222,"●","")</f>
        <v>●</v>
      </c>
      <c r="O1222" s="346"/>
      <c r="P1222" s="334" t="str">
        <f t="shared" si="4"/>
        <v>:</v>
      </c>
    </row>
    <row r="1223" ht="15.75" customHeight="1">
      <c r="A1223" s="335" t="s">
        <v>2414</v>
      </c>
      <c r="B1223" s="336">
        <v>45770.0</v>
      </c>
      <c r="C1223" s="335" t="s">
        <v>15</v>
      </c>
      <c r="D1223" s="335" t="s">
        <v>46</v>
      </c>
      <c r="E1223" s="337" t="str">
        <f t="shared" si="1"/>
        <v>山口鋼業:阪和</v>
      </c>
      <c r="F1223" s="338" t="s">
        <v>1199</v>
      </c>
      <c r="G1223" s="339" t="str">
        <f t="shared" si="2"/>
        <v>山口鋼業:阪和ＨＳ１(単体H1/電特A/HS))</v>
      </c>
      <c r="H1223" s="340">
        <f t="shared" si="3"/>
        <v>43</v>
      </c>
      <c r="I1223" s="341">
        <v>-0.5</v>
      </c>
      <c r="J1223" s="332">
        <f>IFERROR(__xludf.DUMMYFUNCTION("IF(IF(COUNTIF(P$2:P1222, P1223)=0, """", INDEX(H$2:H1222,
MAX(FILTER(ROW(H$2:H1222) - ROW(H$2) + 1, P$2:P1222 = P1223))))=""単価"","""",
IF(COUNTIF(P$2:P1222, P1223)=0, """", INDEX(H$2:H1222,
MAX(FILTER(ROW(H$2:H1222) - ROW(H$2) + 1, P$2:P1222 = P1223)))))"),43.5)</f>
        <v>43.5</v>
      </c>
      <c r="N1223" s="335" t="str">
        <f>IF(MAXIFS('単価履歴'!$O:$O,'単価履歴'!$E:$E,E1223,'単価履歴'!$F:$F,F1223)=O1223,"●","")</f>
        <v/>
      </c>
      <c r="O1223" s="346">
        <v>45769.74046296296</v>
      </c>
      <c r="P1223" s="334" t="str">
        <f t="shared" si="4"/>
        <v>山口鋼業:阪和ＨＳ１(単体H1/電特A/HS))</v>
      </c>
    </row>
    <row r="1224" ht="15.75" customHeight="1">
      <c r="A1224" s="335"/>
      <c r="B1224" s="336"/>
      <c r="C1224" s="335"/>
      <c r="D1224" s="335"/>
      <c r="E1224" s="337" t="str">
        <f t="shared" si="1"/>
        <v>:</v>
      </c>
      <c r="F1224" s="338"/>
      <c r="G1224" s="339" t="str">
        <f t="shared" si="2"/>
        <v>:</v>
      </c>
      <c r="H1224" s="340">
        <f t="shared" si="3"/>
        <v>0</v>
      </c>
      <c r="I1224" s="341"/>
      <c r="J1224" s="332">
        <f>IFERROR(__xludf.DUMMYFUNCTION("IF(IF(COUNTIF(P$2:P1223, P1224)=0, """", INDEX(H$2:H1223,
MAX(FILTER(ROW(H$2:H1223) - ROW(H$2) + 1, P$2:P1223 = P1224))))=""単価"","""",
IF(COUNTIF(P$2:P1223, P1224)=0, """", INDEX(H$2:H1223,
MAX(FILTER(ROW(H$2:H1223) - ROW(H$2) + 1, P$2:P1223 = P1224)))))"),0.0)</f>
        <v>0</v>
      </c>
      <c r="N1224" s="335" t="str">
        <f>IF(MAXIFS('単価履歴'!$O:$O,'単価履歴'!$E:$E,E1224,'単価履歴'!$F:$F,F1224)=O1224,"●","")</f>
        <v>●</v>
      </c>
      <c r="O1224" s="346"/>
      <c r="P1224" s="334" t="str">
        <f t="shared" si="4"/>
        <v>:</v>
      </c>
    </row>
    <row r="1225" ht="15.75" customHeight="1">
      <c r="A1225" s="335" t="s">
        <v>2415</v>
      </c>
      <c r="B1225" s="336">
        <v>45770.0</v>
      </c>
      <c r="C1225" s="335" t="s">
        <v>15</v>
      </c>
      <c r="D1225" s="335" t="s">
        <v>46</v>
      </c>
      <c r="E1225" s="337" t="str">
        <f t="shared" si="1"/>
        <v>山口鋼業:阪和</v>
      </c>
      <c r="F1225" s="338" t="s">
        <v>116</v>
      </c>
      <c r="G1225" s="339" t="str">
        <f t="shared" si="2"/>
        <v>山口鋼業:阪和Ｈ２(特級)</v>
      </c>
      <c r="H1225" s="340">
        <f t="shared" si="3"/>
        <v>41</v>
      </c>
      <c r="I1225" s="341">
        <v>-0.5</v>
      </c>
      <c r="J1225" s="332">
        <f>IFERROR(__xludf.DUMMYFUNCTION("IF(IF(COUNTIF(P$2:P1224, P1225)=0, """", INDEX(H$2:H1224,
MAX(FILTER(ROW(H$2:H1224) - ROW(H$2) + 1, P$2:P1224 = P1225))))=""単価"","""",
IF(COUNTIF(P$2:P1224, P1225)=0, """", INDEX(H$2:H1224,
MAX(FILTER(ROW(H$2:H1224) - ROW(H$2) + 1, P$2:P1224 = P1225)))))"),41.5)</f>
        <v>41.5</v>
      </c>
      <c r="N1225" s="335" t="str">
        <f>IF(MAXIFS('単価履歴'!$O:$O,'単価履歴'!$E:$E,E1225,'単価履歴'!$F:$F,F1225)=O1225,"●","")</f>
        <v/>
      </c>
      <c r="O1225" s="346">
        <v>45769.74046296296</v>
      </c>
      <c r="P1225" s="334" t="str">
        <f t="shared" si="4"/>
        <v>山口鋼業:阪和Ｈ２(特級)</v>
      </c>
    </row>
    <row r="1226" ht="15.75" customHeight="1">
      <c r="A1226" s="335" t="s">
        <v>2416</v>
      </c>
      <c r="B1226" s="336">
        <v>45770.0</v>
      </c>
      <c r="C1226" s="335" t="s">
        <v>15</v>
      </c>
      <c r="D1226" s="335" t="s">
        <v>46</v>
      </c>
      <c r="E1226" s="337" t="str">
        <f t="shared" si="1"/>
        <v>山口鋼業:阪和</v>
      </c>
      <c r="F1226" s="338" t="s">
        <v>119</v>
      </c>
      <c r="G1226" s="339" t="str">
        <f t="shared" si="2"/>
        <v>山口鋼業:阪和Ｈ３(1級)</v>
      </c>
      <c r="H1226" s="340">
        <f t="shared" si="3"/>
        <v>40</v>
      </c>
      <c r="I1226" s="341">
        <v>-0.5</v>
      </c>
      <c r="J1226" s="332">
        <f>IFERROR(__xludf.DUMMYFUNCTION("IF(IF(COUNTIF(P$2:P1225, P1226)=0, """", INDEX(H$2:H1225,
MAX(FILTER(ROW(H$2:H1225) - ROW(H$2) + 1, P$2:P1225 = P1226))))=""単価"","""",
IF(COUNTIF(P$2:P1225, P1226)=0, """", INDEX(H$2:H1225,
MAX(FILTER(ROW(H$2:H1225) - ROW(H$2) + 1, P$2:P1225 = P1226)))))"),40.5)</f>
        <v>40.5</v>
      </c>
      <c r="N1226" s="335" t="str">
        <f>IF(MAXIFS('単価履歴'!$O:$O,'単価履歴'!$E:$E,E1226,'単価履歴'!$F:$F,F1226)=O1226,"●","")</f>
        <v/>
      </c>
      <c r="O1226" s="346">
        <v>45769.74046296296</v>
      </c>
      <c r="P1226" s="334" t="str">
        <f t="shared" si="4"/>
        <v>山口鋼業:阪和Ｈ３(1級)</v>
      </c>
    </row>
    <row r="1227" ht="15.75" customHeight="1">
      <c r="A1227" s="335" t="s">
        <v>2417</v>
      </c>
      <c r="B1227" s="336">
        <v>45770.0</v>
      </c>
      <c r="C1227" s="335" t="s">
        <v>15</v>
      </c>
      <c r="D1227" s="335" t="s">
        <v>46</v>
      </c>
      <c r="E1227" s="337" t="str">
        <f t="shared" si="1"/>
        <v>山口鋼業:阪和</v>
      </c>
      <c r="F1227" s="338" t="s">
        <v>573</v>
      </c>
      <c r="G1227" s="339" t="str">
        <f t="shared" si="2"/>
        <v>山口鋼業:阪和Ｌ２(H4･級外･L1ﾊﾞﾗ)</v>
      </c>
      <c r="H1227" s="340">
        <f t="shared" si="3"/>
        <v>38.5</v>
      </c>
      <c r="I1227" s="341">
        <v>-0.5</v>
      </c>
      <c r="J1227" s="332">
        <f>IFERROR(__xludf.DUMMYFUNCTION("IF(IF(COUNTIF(P$2:P1226, P1227)=0, """", INDEX(H$2:H1226,
MAX(FILTER(ROW(H$2:H1226) - ROW(H$2) + 1, P$2:P1226 = P1227))))=""単価"","""",
IF(COUNTIF(P$2:P1226, P1227)=0, """", INDEX(H$2:H1226,
MAX(FILTER(ROW(H$2:H1226) - ROW(H$2) + 1, P$2:P1226 = P1227)))))"),39.0)</f>
        <v>39</v>
      </c>
      <c r="N1227" s="335" t="str">
        <f>IF(MAXIFS('単価履歴'!$O:$O,'単価履歴'!$E:$E,E1227,'単価履歴'!$F:$F,F1227)=O1227,"●","")</f>
        <v/>
      </c>
      <c r="O1227" s="346">
        <v>45769.74046296296</v>
      </c>
      <c r="P1227" s="334" t="str">
        <f t="shared" si="4"/>
        <v>山口鋼業:阪和Ｌ２(H4･級外･L1ﾊﾞﾗ)</v>
      </c>
    </row>
    <row r="1228" ht="15.75" customHeight="1">
      <c r="A1228" s="335" t="s">
        <v>2418</v>
      </c>
      <c r="B1228" s="336">
        <v>45770.0</v>
      </c>
      <c r="C1228" s="335" t="s">
        <v>15</v>
      </c>
      <c r="D1228" s="335" t="s">
        <v>46</v>
      </c>
      <c r="E1228" s="337" t="str">
        <f t="shared" si="1"/>
        <v>山口鋼業:阪和</v>
      </c>
      <c r="F1228" s="338" t="s">
        <v>575</v>
      </c>
      <c r="G1228" s="339" t="str">
        <f t="shared" si="2"/>
        <v>山口鋼業:阪和鋼ダライＡ</v>
      </c>
      <c r="H1228" s="340">
        <f t="shared" si="3"/>
        <v>2.5</v>
      </c>
      <c r="I1228" s="341">
        <v>-0.5</v>
      </c>
      <c r="J1228" s="332">
        <f>IFERROR(__xludf.DUMMYFUNCTION("IF(IF(COUNTIF(P$2:P1227, P1228)=0, """", INDEX(H$2:H1227,
MAX(FILTER(ROW(H$2:H1227) - ROW(H$2) + 1, P$2:P1227 = P1228))))=""単価"","""",
IF(COUNTIF(P$2:P1227, P1228)=0, """", INDEX(H$2:H1227,
MAX(FILTER(ROW(H$2:H1227) - ROW(H$2) + 1, P$2:P1227 = P1228)))))"),3.0)</f>
        <v>3</v>
      </c>
      <c r="N1228" s="335" t="str">
        <f>IF(MAXIFS('単価履歴'!$O:$O,'単価履歴'!$E:$E,E1228,'単価履歴'!$F:$F,F1228)=O1228,"●","")</f>
        <v/>
      </c>
      <c r="O1228" s="346">
        <v>45769.74046296296</v>
      </c>
      <c r="P1228" s="334" t="str">
        <f t="shared" si="4"/>
        <v>山口鋼業:阪和鋼ダライＡ</v>
      </c>
    </row>
    <row r="1229" ht="15.75" customHeight="1">
      <c r="A1229" s="335"/>
      <c r="B1229" s="336"/>
      <c r="C1229" s="335"/>
      <c r="D1229" s="335"/>
      <c r="E1229" s="337" t="str">
        <f t="shared" si="1"/>
        <v>:</v>
      </c>
      <c r="F1229" s="338"/>
      <c r="G1229" s="339" t="str">
        <f t="shared" si="2"/>
        <v>:</v>
      </c>
      <c r="H1229" s="340">
        <f t="shared" si="3"/>
        <v>0</v>
      </c>
      <c r="I1229" s="341"/>
      <c r="J1229" s="332">
        <f>IFERROR(__xludf.DUMMYFUNCTION("IF(IF(COUNTIF(P$2:P1228, P1229)=0, """", INDEX(H$2:H1228,
MAX(FILTER(ROW(H$2:H1228) - ROW(H$2) + 1, P$2:P1228 = P1229))))=""単価"","""",
IF(COUNTIF(P$2:P1228, P1229)=0, """", INDEX(H$2:H1228,
MAX(FILTER(ROW(H$2:H1228) - ROW(H$2) + 1, P$2:P1228 = P1229)))))"),0.0)</f>
        <v>0</v>
      </c>
      <c r="N1229" s="335" t="str">
        <f>IF(MAXIFS('単価履歴'!$O:$O,'単価履歴'!$E:$E,E1229,'単価履歴'!$F:$F,F1229)=O1229,"●","")</f>
        <v>●</v>
      </c>
      <c r="O1229" s="346"/>
      <c r="P1229" s="334" t="str">
        <f t="shared" si="4"/>
        <v>:</v>
      </c>
    </row>
    <row r="1230" ht="15.75" customHeight="1">
      <c r="A1230" s="335" t="s">
        <v>2419</v>
      </c>
      <c r="B1230" s="336">
        <v>45770.0</v>
      </c>
      <c r="C1230" s="335" t="s">
        <v>15</v>
      </c>
      <c r="D1230" s="335" t="s">
        <v>46</v>
      </c>
      <c r="E1230" s="337" t="str">
        <f t="shared" si="1"/>
        <v>山口鋼業:阪和</v>
      </c>
      <c r="F1230" s="338" t="s">
        <v>111</v>
      </c>
      <c r="G1230" s="339" t="str">
        <f t="shared" si="2"/>
        <v>山口鋼業:阪和Ｈ１(特A)</v>
      </c>
      <c r="H1230" s="340">
        <f t="shared" si="3"/>
        <v>41.5</v>
      </c>
      <c r="I1230" s="341">
        <v>-0.5</v>
      </c>
      <c r="J1230" s="332">
        <f>IFERROR(__xludf.DUMMYFUNCTION("IF(IF(COUNTIF(P$2:P1229, P1230)=0, """", INDEX(H$2:H1229,
MAX(FILTER(ROW(H$2:H1229) - ROW(H$2) + 1, P$2:P1229 = P1230))))=""単価"","""",
IF(COUNTIF(P$2:P1229, P1230)=0, """", INDEX(H$2:H1229,
MAX(FILTER(ROW(H$2:H1229) - ROW(H$2) + 1, P$2:P1229 = P1230)))))"),42.0)</f>
        <v>42</v>
      </c>
      <c r="N1230" s="335" t="str">
        <f>IF(MAXIFS('単価履歴'!$O:$O,'単価履歴'!$E:$E,E1230,'単価履歴'!$F:$F,F1230)=O1230,"●","")</f>
        <v/>
      </c>
      <c r="O1230" s="346">
        <v>45769.74046296296</v>
      </c>
      <c r="P1230" s="334" t="str">
        <f t="shared" si="4"/>
        <v>山口鋼業:阪和Ｈ１(特A)</v>
      </c>
    </row>
    <row r="1231" ht="15.75" customHeight="1">
      <c r="A1231" s="335" t="s">
        <v>2420</v>
      </c>
      <c r="B1231" s="336">
        <v>45770.0</v>
      </c>
      <c r="C1231" s="335" t="s">
        <v>537</v>
      </c>
      <c r="D1231" s="335" t="s">
        <v>59</v>
      </c>
      <c r="E1231" s="337" t="str">
        <f t="shared" si="1"/>
        <v>大同特殊鋼:大同興業</v>
      </c>
      <c r="F1231" s="338" t="s">
        <v>1199</v>
      </c>
      <c r="G1231" s="339" t="str">
        <f t="shared" si="2"/>
        <v>大同特殊鋼:大同興業ＨＳ１(単体H1/電特A/HS))</v>
      </c>
      <c r="H1231" s="340">
        <f t="shared" si="3"/>
        <v>45</v>
      </c>
      <c r="I1231" s="341">
        <v>-0.5</v>
      </c>
      <c r="J1231" s="332">
        <f>IFERROR(__xludf.DUMMYFUNCTION("IF(IF(COUNTIF(P$2:P1230, P1231)=0, """", INDEX(H$2:H1230,
MAX(FILTER(ROW(H$2:H1230) - ROW(H$2) + 1, P$2:P1230 = P1231))))=""単価"","""",
IF(COUNTIF(P$2:P1230, P1231)=0, """", INDEX(H$2:H1230,
MAX(FILTER(ROW(H$2:H1230) - ROW(H$2) + 1, P$2:P1230 = P1231)))))"),45.5)</f>
        <v>45.5</v>
      </c>
      <c r="N1231" s="335" t="str">
        <f>IF(MAXIFS('単価履歴'!$O:$O,'単価履歴'!$E:$E,E1231,'単価履歴'!$F:$F,F1231)=O1231,"●","")</f>
        <v/>
      </c>
      <c r="O1231" s="346">
        <v>45769.741018518514</v>
      </c>
      <c r="P1231" s="334" t="str">
        <f t="shared" si="4"/>
        <v>大同特殊鋼:大同興業ＨＳ１(単体H1/電特A/HS))</v>
      </c>
    </row>
    <row r="1232" ht="15.75" customHeight="1">
      <c r="A1232" s="335" t="s">
        <v>2421</v>
      </c>
      <c r="B1232" s="336">
        <v>45770.0</v>
      </c>
      <c r="C1232" s="335" t="s">
        <v>537</v>
      </c>
      <c r="D1232" s="335" t="s">
        <v>59</v>
      </c>
      <c r="E1232" s="337" t="str">
        <f t="shared" si="1"/>
        <v>大同特殊鋼:大同興業</v>
      </c>
      <c r="F1232" s="338" t="s">
        <v>575</v>
      </c>
      <c r="G1232" s="339" t="str">
        <f t="shared" si="2"/>
        <v>大同特殊鋼:大同興業鋼ダライＡ</v>
      </c>
      <c r="H1232" s="340">
        <f t="shared" si="3"/>
        <v>37.9</v>
      </c>
      <c r="I1232" s="341">
        <v>-0.5</v>
      </c>
      <c r="J1232" s="332">
        <f>IFERROR(__xludf.DUMMYFUNCTION("IF(IF(COUNTIF(P$2:P1231, P1232)=0, """", INDEX(H$2:H1231,
MAX(FILTER(ROW(H$2:H1231) - ROW(H$2) + 1, P$2:P1231 = P1232))))=""単価"","""",
IF(COUNTIF(P$2:P1231, P1232)=0, """", INDEX(H$2:H1231,
MAX(FILTER(ROW(H$2:H1231) - ROW(H$2) + 1, P$2:P1231 = P1232)))))"),38.4)</f>
        <v>38.4</v>
      </c>
      <c r="N1232" s="335" t="str">
        <f>IF(MAXIFS('単価履歴'!$O:$O,'単価履歴'!$E:$E,E1232,'単価履歴'!$F:$F,F1232)=O1232,"●","")</f>
        <v/>
      </c>
      <c r="O1232" s="346">
        <v>45769.741018518514</v>
      </c>
      <c r="P1232" s="334" t="str">
        <f t="shared" si="4"/>
        <v>大同特殊鋼:大同興業鋼ダライＡ</v>
      </c>
    </row>
    <row r="1233" ht="15.75" customHeight="1">
      <c r="A1233" s="335" t="s">
        <v>2422</v>
      </c>
      <c r="B1233" s="336">
        <v>45770.0</v>
      </c>
      <c r="C1233" s="335" t="s">
        <v>537</v>
      </c>
      <c r="D1233" s="335" t="s">
        <v>59</v>
      </c>
      <c r="E1233" s="337" t="str">
        <f t="shared" si="1"/>
        <v>大同特殊鋼:大同興業</v>
      </c>
      <c r="F1233" s="338" t="s">
        <v>116</v>
      </c>
      <c r="G1233" s="339" t="str">
        <f t="shared" si="2"/>
        <v>大同特殊鋼:大同興業Ｈ２(特級)</v>
      </c>
      <c r="H1233" s="340">
        <f t="shared" si="3"/>
        <v>1.5</v>
      </c>
      <c r="I1233" s="341">
        <v>-0.5</v>
      </c>
      <c r="J1233" s="332">
        <f>IFERROR(__xludf.DUMMYFUNCTION("IF(IF(COUNTIF(P$2:P1232, P1233)=0, """", INDEX(H$2:H1232,
MAX(FILTER(ROW(H$2:H1232) - ROW(H$2) + 1, P$2:P1232 = P1233))))=""単価"","""",
IF(COUNTIF(P$2:P1232, P1233)=0, """", INDEX(H$2:H1232,
MAX(FILTER(ROW(H$2:H1232) - ROW(H$2) + 1, P$2:P1232 = P1233)))))"),2.0)</f>
        <v>2</v>
      </c>
      <c r="N1233" s="335" t="str">
        <f>IF(MAXIFS('単価履歴'!$O:$O,'単価履歴'!$E:$E,E1233,'単価履歴'!$F:$F,F1233)=O1233,"●","")</f>
        <v/>
      </c>
      <c r="O1233" s="346">
        <v>45769.741018518514</v>
      </c>
      <c r="P1233" s="334" t="str">
        <f t="shared" si="4"/>
        <v>大同特殊鋼:大同興業Ｈ２(特級)</v>
      </c>
    </row>
    <row r="1234" ht="15.75" customHeight="1">
      <c r="A1234" s="335" t="s">
        <v>2423</v>
      </c>
      <c r="B1234" s="336">
        <v>45770.0</v>
      </c>
      <c r="C1234" s="335" t="s">
        <v>537</v>
      </c>
      <c r="D1234" s="335" t="s">
        <v>1404</v>
      </c>
      <c r="E1234" s="337" t="str">
        <f t="shared" si="1"/>
        <v>大同特殊鋼:JSE/大和ﾘﾃｯｸ</v>
      </c>
      <c r="F1234" s="338" t="s">
        <v>1199</v>
      </c>
      <c r="G1234" s="339" t="str">
        <f t="shared" si="2"/>
        <v>大同特殊鋼:JSE/大和ﾘﾃｯｸＨＳ１(単体H1/電特A/HS))</v>
      </c>
      <c r="H1234" s="340">
        <f t="shared" si="3"/>
        <v>46</v>
      </c>
      <c r="I1234" s="341">
        <v>-0.5</v>
      </c>
      <c r="J1234" s="332">
        <f>IFERROR(__xludf.DUMMYFUNCTION("IF(IF(COUNTIF(P$2:P1233, P1234)=0, """", INDEX(H$2:H1233,
MAX(FILTER(ROW(H$2:H1233) - ROW(H$2) + 1, P$2:P1233 = P1234))))=""単価"","""",
IF(COUNTIF(P$2:P1233, P1234)=0, """", INDEX(H$2:H1233,
MAX(FILTER(ROW(H$2:H1233) - ROW(H$2) + 1, P$2:P1233 = P1234)))))"),46.5)</f>
        <v>46.5</v>
      </c>
      <c r="N1234" s="335" t="str">
        <f>IF(MAXIFS('単価履歴'!$O:$O,'単価履歴'!$E:$E,E1234,'単価履歴'!$F:$F,F1234)=O1234,"●","")</f>
        <v/>
      </c>
      <c r="O1234" s="346">
        <v>45769.741018518514</v>
      </c>
      <c r="P1234" s="334" t="str">
        <f t="shared" si="4"/>
        <v>大同特殊鋼:JSE/大和ﾘﾃｯｸＨＳ１(単体H1/電特A/HS))</v>
      </c>
    </row>
    <row r="1235" ht="15.75" customHeight="1">
      <c r="A1235" s="335" t="s">
        <v>2424</v>
      </c>
      <c r="B1235" s="336">
        <v>45770.0</v>
      </c>
      <c r="C1235" s="335" t="s">
        <v>537</v>
      </c>
      <c r="D1235" s="335" t="s">
        <v>1404</v>
      </c>
      <c r="E1235" s="337" t="str">
        <f t="shared" si="1"/>
        <v>大同特殊鋼:JSE/大和ﾘﾃｯｸ</v>
      </c>
      <c r="F1235" s="338" t="s">
        <v>575</v>
      </c>
      <c r="G1235" s="339" t="str">
        <f t="shared" si="2"/>
        <v>大同特殊鋼:JSE/大和ﾘﾃｯｸ鋼ダライＡ</v>
      </c>
      <c r="H1235" s="340">
        <f t="shared" si="3"/>
        <v>41.3</v>
      </c>
      <c r="I1235" s="341">
        <v>-0.5</v>
      </c>
      <c r="J1235" s="332">
        <f>IFERROR(__xludf.DUMMYFUNCTION("IF(IF(COUNTIF(P$2:P1234, P1235)=0, """", INDEX(H$2:H1234,
MAX(FILTER(ROW(H$2:H1234) - ROW(H$2) + 1, P$2:P1234 = P1235))))=""単価"","""",
IF(COUNTIF(P$2:P1234, P1235)=0, """", INDEX(H$2:H1234,
MAX(FILTER(ROW(H$2:H1234) - ROW(H$2) + 1, P$2:P1234 = P1235)))))"),41.8)</f>
        <v>41.8</v>
      </c>
      <c r="N1235" s="335" t="str">
        <f>IF(MAXIFS('単価履歴'!$O:$O,'単価履歴'!$E:$E,E1235,'単価履歴'!$F:$F,F1235)=O1235,"●","")</f>
        <v/>
      </c>
      <c r="O1235" s="346">
        <v>45769.741018518514</v>
      </c>
      <c r="P1235" s="334" t="str">
        <f t="shared" si="4"/>
        <v>大同特殊鋼:JSE/大和ﾘﾃｯｸ鋼ダライＡ</v>
      </c>
    </row>
    <row r="1236" ht="15.75" customHeight="1">
      <c r="A1236" s="335" t="s">
        <v>2425</v>
      </c>
      <c r="B1236" s="336">
        <v>45770.0</v>
      </c>
      <c r="C1236" s="335" t="s">
        <v>537</v>
      </c>
      <c r="D1236" s="335" t="s">
        <v>1404</v>
      </c>
      <c r="E1236" s="337" t="str">
        <f t="shared" si="1"/>
        <v>大同特殊鋼:JSE/大和ﾘﾃｯｸ</v>
      </c>
      <c r="F1236" s="338" t="s">
        <v>116</v>
      </c>
      <c r="G1236" s="339" t="str">
        <f t="shared" si="2"/>
        <v>大同特殊鋼:JSE/大和ﾘﾃｯｸＨ２(特級)</v>
      </c>
      <c r="H1236" s="340">
        <f t="shared" si="3"/>
        <v>42.5</v>
      </c>
      <c r="I1236" s="341">
        <v>-0.5</v>
      </c>
      <c r="J1236" s="332">
        <f>IFERROR(__xludf.DUMMYFUNCTION("IF(IF(COUNTIF(P$2:P1235, P1236)=0, """", INDEX(H$2:H1235,
MAX(FILTER(ROW(H$2:H1235) - ROW(H$2) + 1, P$2:P1235 = P1236))))=""単価"","""",
IF(COUNTIF(P$2:P1235, P1236)=0, """", INDEX(H$2:H1235,
MAX(FILTER(ROW(H$2:H1235) - ROW(H$2) + 1, P$2:P1235 = P1236)))))"),43.0)</f>
        <v>43</v>
      </c>
      <c r="N1236" s="335" t="str">
        <f>IF(MAXIFS('単価履歴'!$O:$O,'単価履歴'!$E:$E,E1236,'単価履歴'!$F:$F,F1236)=O1236,"●","")</f>
        <v/>
      </c>
      <c r="O1236" s="346">
        <v>45769.741018518514</v>
      </c>
      <c r="P1236" s="334" t="str">
        <f t="shared" si="4"/>
        <v>大同特殊鋼:JSE/大和ﾘﾃｯｸＨ２(特級)</v>
      </c>
    </row>
    <row r="1237" ht="15.75" customHeight="1">
      <c r="A1237" s="335" t="s">
        <v>2426</v>
      </c>
      <c r="B1237" s="336">
        <v>45770.0</v>
      </c>
      <c r="C1237" s="335" t="s">
        <v>537</v>
      </c>
      <c r="D1237" s="335" t="s">
        <v>1407</v>
      </c>
      <c r="E1237" s="337" t="str">
        <f t="shared" si="1"/>
        <v>大同特殊鋼:JSE/第二＠2.3</v>
      </c>
      <c r="F1237" s="338" t="s">
        <v>1199</v>
      </c>
      <c r="G1237" s="339" t="str">
        <f t="shared" si="2"/>
        <v>大同特殊鋼:JSE/第二＠2.3ＨＳ１(単体H1/電特A/HS))</v>
      </c>
      <c r="H1237" s="340">
        <f t="shared" si="3"/>
        <v>43.7</v>
      </c>
      <c r="I1237" s="341">
        <v>-0.5</v>
      </c>
      <c r="J1237" s="332">
        <f>IFERROR(__xludf.DUMMYFUNCTION("IF(IF(COUNTIF(P$2:P1236, P1237)=0, """", INDEX(H$2:H1236,
MAX(FILTER(ROW(H$2:H1236) - ROW(H$2) + 1, P$2:P1236 = P1237))))=""単価"","""",
IF(COUNTIF(P$2:P1236, P1237)=0, """", INDEX(H$2:H1236,
MAX(FILTER(ROW(H$2:H1236) - ROW(H$2) + 1, P$2:P1236 = P1237)))))"),44.2)</f>
        <v>44.2</v>
      </c>
      <c r="N1237" s="335" t="str">
        <f>IF(MAXIFS('単価履歴'!$O:$O,'単価履歴'!$E:$E,E1237,'単価履歴'!$F:$F,F1237)=O1237,"●","")</f>
        <v/>
      </c>
      <c r="O1237" s="346">
        <v>45769.741018518514</v>
      </c>
      <c r="P1237" s="334" t="str">
        <f t="shared" si="4"/>
        <v>大同特殊鋼:JSE/第二＠2.3ＨＳ１(単体H1/電特A/HS))</v>
      </c>
    </row>
    <row r="1238" ht="15.75" customHeight="1">
      <c r="A1238" s="335" t="s">
        <v>2427</v>
      </c>
      <c r="B1238" s="336">
        <v>45770.0</v>
      </c>
      <c r="C1238" s="335" t="s">
        <v>537</v>
      </c>
      <c r="D1238" s="335" t="s">
        <v>1407</v>
      </c>
      <c r="E1238" s="337" t="str">
        <f t="shared" si="1"/>
        <v>大同特殊鋼:JSE/第二＠2.3</v>
      </c>
      <c r="F1238" s="338" t="s">
        <v>575</v>
      </c>
      <c r="G1238" s="339" t="str">
        <f t="shared" si="2"/>
        <v>大同特殊鋼:JSE/第二＠2.3鋼ダライＡ</v>
      </c>
      <c r="H1238" s="340">
        <f t="shared" si="3"/>
        <v>39</v>
      </c>
      <c r="I1238" s="341">
        <v>-0.5</v>
      </c>
      <c r="J1238" s="332">
        <f>IFERROR(__xludf.DUMMYFUNCTION("IF(IF(COUNTIF(P$2:P1237, P1238)=0, """", INDEX(H$2:H1237,
MAX(FILTER(ROW(H$2:H1237) - ROW(H$2) + 1, P$2:P1237 = P1238))))=""単価"","""",
IF(COUNTIF(P$2:P1237, P1238)=0, """", INDEX(H$2:H1237,
MAX(FILTER(ROW(H$2:H1237) - ROW(H$2) + 1, P$2:P1237 = P1238)))))"),39.5)</f>
        <v>39.5</v>
      </c>
      <c r="N1238" s="335" t="str">
        <f>IF(MAXIFS('単価履歴'!$O:$O,'単価履歴'!$E:$E,E1238,'単価履歴'!$F:$F,F1238)=O1238,"●","")</f>
        <v/>
      </c>
      <c r="O1238" s="346">
        <v>45769.741018518514</v>
      </c>
      <c r="P1238" s="334" t="str">
        <f t="shared" si="4"/>
        <v>大同特殊鋼:JSE/第二＠2.3鋼ダライＡ</v>
      </c>
    </row>
    <row r="1239" ht="15.75" customHeight="1">
      <c r="A1239" s="335" t="s">
        <v>2428</v>
      </c>
      <c r="B1239" s="336">
        <v>45770.0</v>
      </c>
      <c r="C1239" s="335" t="s">
        <v>537</v>
      </c>
      <c r="D1239" s="335" t="s">
        <v>1407</v>
      </c>
      <c r="E1239" s="337" t="str">
        <f t="shared" si="1"/>
        <v>大同特殊鋼:JSE/第二＠2.3</v>
      </c>
      <c r="F1239" s="338" t="s">
        <v>116</v>
      </c>
      <c r="G1239" s="339" t="str">
        <f t="shared" si="2"/>
        <v>大同特殊鋼:JSE/第二＠2.3Ｈ２(特級)</v>
      </c>
      <c r="H1239" s="340">
        <f t="shared" si="3"/>
        <v>40.2</v>
      </c>
      <c r="I1239" s="341">
        <v>-0.5</v>
      </c>
      <c r="J1239" s="332">
        <f>IFERROR(__xludf.DUMMYFUNCTION("IF(IF(COUNTIF(P$2:P1238, P1239)=0, """", INDEX(H$2:H1238,
MAX(FILTER(ROW(H$2:H1238) - ROW(H$2) + 1, P$2:P1238 = P1239))))=""単価"","""",
IF(COUNTIF(P$2:P1238, P1239)=0, """", INDEX(H$2:H1238,
MAX(FILTER(ROW(H$2:H1238) - ROW(H$2) + 1, P$2:P1238 = P1239)))))"),40.7)</f>
        <v>40.7</v>
      </c>
      <c r="N1239" s="335" t="str">
        <f>IF(MAXIFS('単価履歴'!$O:$O,'単価履歴'!$E:$E,E1239,'単価履歴'!$F:$F,F1239)=O1239,"●","")</f>
        <v/>
      </c>
      <c r="O1239" s="346">
        <v>45769.741018518514</v>
      </c>
      <c r="P1239" s="334" t="str">
        <f t="shared" si="4"/>
        <v>大同特殊鋼:JSE/第二＠2.3Ｈ２(特級)</v>
      </c>
    </row>
    <row r="1240" ht="15.75" customHeight="1">
      <c r="A1240" s="335" t="s">
        <v>2429</v>
      </c>
      <c r="B1240" s="336">
        <v>45770.0</v>
      </c>
      <c r="C1240" s="335" t="s">
        <v>537</v>
      </c>
      <c r="D1240" s="335" t="s">
        <v>1410</v>
      </c>
      <c r="E1240" s="337" t="str">
        <f t="shared" si="1"/>
        <v>大同特殊鋼:JSE/岐阜＠1.5</v>
      </c>
      <c r="F1240" s="338" t="s">
        <v>1199</v>
      </c>
      <c r="G1240" s="339" t="str">
        <f t="shared" si="2"/>
        <v>大同特殊鋼:JSE/岐阜＠1.5ＨＳ１(単体H1/電特A/HS))</v>
      </c>
      <c r="H1240" s="340">
        <f t="shared" si="3"/>
        <v>44.5</v>
      </c>
      <c r="I1240" s="341">
        <v>-0.5</v>
      </c>
      <c r="J1240" s="332">
        <f>IFERROR(__xludf.DUMMYFUNCTION("IF(IF(COUNTIF(P$2:P1239, P1240)=0, """", INDEX(H$2:H1239,
MAX(FILTER(ROW(H$2:H1239) - ROW(H$2) + 1, P$2:P1239 = P1240))))=""単価"","""",
IF(COUNTIF(P$2:P1239, P1240)=0, """", INDEX(H$2:H1239,
MAX(FILTER(ROW(H$2:H1239) - ROW(H$2) + 1, P$2:P1239 = P1240)))))"),45.0)</f>
        <v>45</v>
      </c>
      <c r="N1240" s="335" t="str">
        <f>IF(MAXIFS('単価履歴'!$O:$O,'単価履歴'!$E:$E,E1240,'単価履歴'!$F:$F,F1240)=O1240,"●","")</f>
        <v/>
      </c>
      <c r="O1240" s="346">
        <v>45769.741018518514</v>
      </c>
      <c r="P1240" s="334" t="str">
        <f t="shared" si="4"/>
        <v>大同特殊鋼:JSE/岐阜＠1.5ＨＳ１(単体H1/電特A/HS))</v>
      </c>
    </row>
    <row r="1241" ht="15.75" customHeight="1">
      <c r="A1241" s="335" t="s">
        <v>2430</v>
      </c>
      <c r="B1241" s="336">
        <v>45770.0</v>
      </c>
      <c r="C1241" s="335" t="s">
        <v>537</v>
      </c>
      <c r="D1241" s="335" t="s">
        <v>1410</v>
      </c>
      <c r="E1241" s="337" t="str">
        <f t="shared" si="1"/>
        <v>大同特殊鋼:JSE/岐阜＠1.5</v>
      </c>
      <c r="F1241" s="338" t="s">
        <v>575</v>
      </c>
      <c r="G1241" s="339" t="str">
        <f t="shared" si="2"/>
        <v>大同特殊鋼:JSE/岐阜＠1.5鋼ダライＡ</v>
      </c>
      <c r="H1241" s="340">
        <f t="shared" si="3"/>
        <v>39.8</v>
      </c>
      <c r="I1241" s="341">
        <v>-0.5</v>
      </c>
      <c r="J1241" s="332">
        <f>IFERROR(__xludf.DUMMYFUNCTION("IF(IF(COUNTIF(P$2:P1240, P1241)=0, """", INDEX(H$2:H1240,
MAX(FILTER(ROW(H$2:H1240) - ROW(H$2) + 1, P$2:P1240 = P1241))))=""単価"","""",
IF(COUNTIF(P$2:P1240, P1241)=0, """", INDEX(H$2:H1240,
MAX(FILTER(ROW(H$2:H1240) - ROW(H$2) + 1, P$2:P1240 = P1241)))))"),40.3)</f>
        <v>40.3</v>
      </c>
      <c r="N1241" s="335" t="str">
        <f>IF(MAXIFS('単価履歴'!$O:$O,'単価履歴'!$E:$E,E1241,'単価履歴'!$F:$F,F1241)=O1241,"●","")</f>
        <v/>
      </c>
      <c r="O1241" s="346">
        <v>45769.741018518514</v>
      </c>
      <c r="P1241" s="334" t="str">
        <f t="shared" si="4"/>
        <v>大同特殊鋼:JSE/岐阜＠1.5鋼ダライＡ</v>
      </c>
    </row>
    <row r="1242" ht="15.75" customHeight="1">
      <c r="A1242" s="335" t="s">
        <v>2431</v>
      </c>
      <c r="B1242" s="336">
        <v>45770.0</v>
      </c>
      <c r="C1242" s="335" t="s">
        <v>537</v>
      </c>
      <c r="D1242" s="335" t="s">
        <v>1410</v>
      </c>
      <c r="E1242" s="337" t="str">
        <f t="shared" si="1"/>
        <v>大同特殊鋼:JSE/岐阜＠1.5</v>
      </c>
      <c r="F1242" s="338" t="s">
        <v>116</v>
      </c>
      <c r="G1242" s="339" t="str">
        <f t="shared" si="2"/>
        <v>大同特殊鋼:JSE/岐阜＠1.5Ｈ２(特級)</v>
      </c>
      <c r="H1242" s="340">
        <f t="shared" si="3"/>
        <v>41</v>
      </c>
      <c r="I1242" s="341">
        <v>-0.5</v>
      </c>
      <c r="J1242" s="332">
        <f>IFERROR(__xludf.DUMMYFUNCTION("IF(IF(COUNTIF(P$2:P1241, P1242)=0, """", INDEX(H$2:H1241,
MAX(FILTER(ROW(H$2:H1241) - ROW(H$2) + 1, P$2:P1241 = P1242))))=""単価"","""",
IF(COUNTIF(P$2:P1241, P1242)=0, """", INDEX(H$2:H1241,
MAX(FILTER(ROW(H$2:H1241) - ROW(H$2) + 1, P$2:P1241 = P1242)))))"),41.5)</f>
        <v>41.5</v>
      </c>
      <c r="N1242" s="335" t="str">
        <f>IF(MAXIFS('単価履歴'!$O:$O,'単価履歴'!$E:$E,E1242,'単価履歴'!$F:$F,F1242)=O1242,"●","")</f>
        <v/>
      </c>
      <c r="O1242" s="346">
        <v>45769.741018518514</v>
      </c>
      <c r="P1242" s="334" t="str">
        <f t="shared" si="4"/>
        <v>大同特殊鋼:JSE/岐阜＠1.5Ｈ２(特級)</v>
      </c>
    </row>
    <row r="1243" ht="15.75" customHeight="1">
      <c r="A1243" s="335" t="s">
        <v>2432</v>
      </c>
      <c r="B1243" s="336">
        <v>45770.0</v>
      </c>
      <c r="C1243" s="335" t="s">
        <v>12</v>
      </c>
      <c r="D1243" s="335" t="s">
        <v>53</v>
      </c>
      <c r="E1243" s="337" t="str">
        <f t="shared" si="1"/>
        <v>山陽特殊:MM</v>
      </c>
      <c r="F1243" s="338" t="s">
        <v>1199</v>
      </c>
      <c r="G1243" s="339" t="str">
        <f t="shared" si="2"/>
        <v>山陽特殊:MMＨＳ１(単体H1/電特A/HS))</v>
      </c>
      <c r="H1243" s="340">
        <f t="shared" si="3"/>
        <v>48</v>
      </c>
      <c r="I1243" s="341">
        <v>-0.5</v>
      </c>
      <c r="J1243" s="332">
        <f>IFERROR(__xludf.DUMMYFUNCTION("IF(IF(COUNTIF(P$2:P1242, P1243)=0, """", INDEX(H$2:H1242,
MAX(FILTER(ROW(H$2:H1242) - ROW(H$2) + 1, P$2:P1242 = P1243))))=""単価"","""",
IF(COUNTIF(P$2:P1242, P1243)=0, """", INDEX(H$2:H1242,
MAX(FILTER(ROW(H$2:H1242) - ROW(H$2) + 1, P$2:P1242 = P1243)))))"),48.5)</f>
        <v>48.5</v>
      </c>
      <c r="N1243" s="335" t="str">
        <f>IF(MAXIFS('単価履歴'!$O:$O,'単価履歴'!$E:$E,E1243,'単価履歴'!$F:$F,F1243)=O1243,"●","")</f>
        <v/>
      </c>
      <c r="O1243" s="346">
        <v>45769.741388888884</v>
      </c>
      <c r="P1243" s="334" t="str">
        <f t="shared" si="4"/>
        <v>山陽特殊:MMＨＳ１(単体H1/電特A/HS))</v>
      </c>
    </row>
    <row r="1244" ht="15.75" customHeight="1">
      <c r="A1244" s="335" t="s">
        <v>2433</v>
      </c>
      <c r="B1244" s="336">
        <v>45770.0</v>
      </c>
      <c r="C1244" s="335" t="s">
        <v>12</v>
      </c>
      <c r="D1244" s="335" t="s">
        <v>53</v>
      </c>
      <c r="E1244" s="337" t="str">
        <f t="shared" si="1"/>
        <v>山陽特殊:MM</v>
      </c>
      <c r="F1244" s="338" t="s">
        <v>101</v>
      </c>
      <c r="G1244" s="339" t="str">
        <f t="shared" si="2"/>
        <v>山陽特殊:MMＨＳ２</v>
      </c>
      <c r="H1244" s="340">
        <f t="shared" si="3"/>
        <v>47.8</v>
      </c>
      <c r="I1244" s="341">
        <v>-0.5</v>
      </c>
      <c r="J1244" s="332">
        <f>IFERROR(__xludf.DUMMYFUNCTION("IF(IF(COUNTIF(P$2:P1243, P1244)=0, """", INDEX(H$2:H1243,
MAX(FILTER(ROW(H$2:H1243) - ROW(H$2) + 1, P$2:P1243 = P1244))))=""単価"","""",
IF(COUNTIF(P$2:P1243, P1244)=0, """", INDEX(H$2:H1243,
MAX(FILTER(ROW(H$2:H1243) - ROW(H$2) + 1, P$2:P1243 = P1244)))))"),48.3)</f>
        <v>48.3</v>
      </c>
      <c r="N1244" s="335" t="str">
        <f>IF(MAXIFS('単価履歴'!$O:$O,'単価履歴'!$E:$E,E1244,'単価履歴'!$F:$F,F1244)=O1244,"●","")</f>
        <v/>
      </c>
      <c r="O1244" s="346">
        <v>45769.741388888884</v>
      </c>
      <c r="P1244" s="334" t="str">
        <f t="shared" si="4"/>
        <v>山陽特殊:MMＨＳ２</v>
      </c>
    </row>
    <row r="1245" ht="15.75" customHeight="1">
      <c r="A1245" s="335" t="s">
        <v>2434</v>
      </c>
      <c r="B1245" s="336">
        <v>45770.0</v>
      </c>
      <c r="C1245" s="335" t="s">
        <v>12</v>
      </c>
      <c r="D1245" s="335" t="s">
        <v>53</v>
      </c>
      <c r="E1245" s="337" t="str">
        <f t="shared" si="1"/>
        <v>山陽特殊:MM</v>
      </c>
      <c r="F1245" s="338" t="s">
        <v>105</v>
      </c>
      <c r="G1245" s="339" t="str">
        <f t="shared" si="2"/>
        <v>山陽特殊:MMＨＳ３</v>
      </c>
      <c r="H1245" s="340">
        <f t="shared" si="3"/>
        <v>45.8</v>
      </c>
      <c r="I1245" s="341">
        <v>-0.5</v>
      </c>
      <c r="J1245" s="332">
        <f>IFERROR(__xludf.DUMMYFUNCTION("IF(IF(COUNTIF(P$2:P1244, P1245)=0, """", INDEX(H$2:H1244,
MAX(FILTER(ROW(H$2:H1244) - ROW(H$2) + 1, P$2:P1244 = P1245))))=""単価"","""",
IF(COUNTIF(P$2:P1244, P1245)=0, """", INDEX(H$2:H1244,
MAX(FILTER(ROW(H$2:H1244) - ROW(H$2) + 1, P$2:P1244 = P1245)))))"),46.3)</f>
        <v>46.3</v>
      </c>
      <c r="N1245" s="335" t="str">
        <f>IF(MAXIFS('単価履歴'!$O:$O,'単価履歴'!$E:$E,E1245,'単価履歴'!$F:$F,F1245)=O1245,"●","")</f>
        <v/>
      </c>
      <c r="O1245" s="346">
        <v>45769.741388888884</v>
      </c>
      <c r="P1245" s="334" t="str">
        <f t="shared" si="4"/>
        <v>山陽特殊:MMＨＳ３</v>
      </c>
    </row>
    <row r="1246" ht="15.75" customHeight="1">
      <c r="A1246" s="335" t="s">
        <v>2435</v>
      </c>
      <c r="B1246" s="336">
        <v>45770.0</v>
      </c>
      <c r="C1246" s="335" t="s">
        <v>14</v>
      </c>
      <c r="D1246" s="335" t="s">
        <v>48</v>
      </c>
      <c r="E1246" s="337" t="str">
        <f t="shared" si="1"/>
        <v>愛知:ナベ</v>
      </c>
      <c r="F1246" s="338" t="s">
        <v>1199</v>
      </c>
      <c r="G1246" s="339" t="str">
        <f t="shared" si="2"/>
        <v>愛知:ナベＨＳ１(単体H1/電特A/HS))</v>
      </c>
      <c r="H1246" s="340">
        <f t="shared" si="3"/>
        <v>42</v>
      </c>
      <c r="I1246" s="341">
        <v>-0.5</v>
      </c>
      <c r="J1246" s="332">
        <f>IFERROR(__xludf.DUMMYFUNCTION("IF(IF(COUNTIF(P$2:P1245, P1246)=0, """", INDEX(H$2:H1245,
MAX(FILTER(ROW(H$2:H1245) - ROW(H$2) + 1, P$2:P1245 = P1246))))=""単価"","""",
IF(COUNTIF(P$2:P1245, P1246)=0, """", INDEX(H$2:H1245,
MAX(FILTER(ROW(H$2:H1245) - ROW(H$2) + 1, P$2:P1245 = P1246)))))"),42.5)</f>
        <v>42.5</v>
      </c>
      <c r="N1246" s="335" t="str">
        <f>IF(MAXIFS('単価履歴'!$O:$O,'単価履歴'!$E:$E,E1246,'単価履歴'!$F:$F,F1246)=O1246,"●","")</f>
        <v/>
      </c>
      <c r="O1246" s="346">
        <v>45769.742002314815</v>
      </c>
      <c r="P1246" s="334" t="str">
        <f t="shared" si="4"/>
        <v>愛知:ナベＨＳ１(単体H1/電特A/HS))</v>
      </c>
    </row>
    <row r="1247" ht="15.75" customHeight="1">
      <c r="A1247" s="335" t="s">
        <v>2436</v>
      </c>
      <c r="B1247" s="336">
        <v>45770.0</v>
      </c>
      <c r="C1247" s="335" t="s">
        <v>14</v>
      </c>
      <c r="D1247" s="335" t="s">
        <v>48</v>
      </c>
      <c r="E1247" s="337" t="str">
        <f t="shared" si="1"/>
        <v>愛知:ナベ</v>
      </c>
      <c r="F1247" s="338" t="s">
        <v>101</v>
      </c>
      <c r="G1247" s="339" t="str">
        <f t="shared" si="2"/>
        <v>愛知:ナベＨＳ２</v>
      </c>
      <c r="H1247" s="340">
        <f t="shared" si="3"/>
        <v>41.5</v>
      </c>
      <c r="I1247" s="341">
        <v>-0.5</v>
      </c>
      <c r="J1247" s="332">
        <f>IFERROR(__xludf.DUMMYFUNCTION("IF(IF(COUNTIF(P$2:P1246, P1247)=0, """", INDEX(H$2:H1246,
MAX(FILTER(ROW(H$2:H1246) - ROW(H$2) + 1, P$2:P1246 = P1247))))=""単価"","""",
IF(COUNTIF(P$2:P1246, P1247)=0, """", INDEX(H$2:H1246,
MAX(FILTER(ROW(H$2:H1246) - ROW(H$2) + 1, P$2:P1246 = P1247)))))"),42.0)</f>
        <v>42</v>
      </c>
      <c r="N1247" s="335" t="str">
        <f>IF(MAXIFS('単価履歴'!$O:$O,'単価履歴'!$E:$E,E1247,'単価履歴'!$F:$F,F1247)=O1247,"●","")</f>
        <v/>
      </c>
      <c r="O1247" s="346">
        <v>45769.742002314815</v>
      </c>
      <c r="P1247" s="334" t="str">
        <f t="shared" si="4"/>
        <v>愛知:ナベＨＳ２</v>
      </c>
    </row>
    <row r="1248" ht="15.75" customHeight="1">
      <c r="A1248" s="335" t="s">
        <v>2437</v>
      </c>
      <c r="B1248" s="336">
        <v>45770.0</v>
      </c>
      <c r="C1248" s="335" t="s">
        <v>14</v>
      </c>
      <c r="D1248" s="335" t="s">
        <v>48</v>
      </c>
      <c r="E1248" s="337" t="str">
        <f t="shared" si="1"/>
        <v>愛知:ナベ</v>
      </c>
      <c r="F1248" s="338" t="s">
        <v>111</v>
      </c>
      <c r="G1248" s="339" t="str">
        <f t="shared" si="2"/>
        <v>愛知:ナベＨ１(特A)</v>
      </c>
      <c r="H1248" s="340">
        <f t="shared" si="3"/>
        <v>41</v>
      </c>
      <c r="I1248" s="341">
        <v>-0.5</v>
      </c>
      <c r="J1248" s="332">
        <f>IFERROR(__xludf.DUMMYFUNCTION("IF(IF(COUNTIF(P$2:P1247, P1248)=0, """", INDEX(H$2:H1247,
MAX(FILTER(ROW(H$2:H1247) - ROW(H$2) + 1, P$2:P1247 = P1248))))=""単価"","""",
IF(COUNTIF(P$2:P1247, P1248)=0, """", INDEX(H$2:H1247,
MAX(FILTER(ROW(H$2:H1247) - ROW(H$2) + 1, P$2:P1247 = P1248)))))"),41.5)</f>
        <v>41.5</v>
      </c>
      <c r="N1248" s="335" t="str">
        <f>IF(MAXIFS('単価履歴'!$O:$O,'単価履歴'!$E:$E,E1248,'単価履歴'!$F:$F,F1248)=O1248,"●","")</f>
        <v/>
      </c>
      <c r="O1248" s="346">
        <v>45769.742002314815</v>
      </c>
      <c r="P1248" s="334" t="str">
        <f t="shared" si="4"/>
        <v>愛知:ナベＨ１(特A)</v>
      </c>
    </row>
    <row r="1249" ht="15.75" customHeight="1">
      <c r="A1249" s="335" t="s">
        <v>2438</v>
      </c>
      <c r="B1249" s="336">
        <v>45770.0</v>
      </c>
      <c r="C1249" s="335" t="s">
        <v>14</v>
      </c>
      <c r="D1249" s="335" t="s">
        <v>48</v>
      </c>
      <c r="E1249" s="337" t="str">
        <f t="shared" si="1"/>
        <v>愛知:ナベ</v>
      </c>
      <c r="F1249" s="338" t="s">
        <v>116</v>
      </c>
      <c r="G1249" s="339" t="str">
        <f t="shared" si="2"/>
        <v>愛知:ナベＨ２(特級)</v>
      </c>
      <c r="H1249" s="340">
        <f t="shared" si="3"/>
        <v>39.4</v>
      </c>
      <c r="I1249" s="341">
        <v>-0.5</v>
      </c>
      <c r="J1249" s="332">
        <f>IFERROR(__xludf.DUMMYFUNCTION("IF(IF(COUNTIF(P$2:P1248, P1249)=0, """", INDEX(H$2:H1248,
MAX(FILTER(ROW(H$2:H1248) - ROW(H$2) + 1, P$2:P1248 = P1249))))=""単価"","""",
IF(COUNTIF(P$2:P1248, P1249)=0, """", INDEX(H$2:H1248,
MAX(FILTER(ROW(H$2:H1248) - ROW(H$2) + 1, P$2:P1248 = P1249)))))"),39.9)</f>
        <v>39.9</v>
      </c>
      <c r="N1249" s="335" t="str">
        <f>IF(MAXIFS('単価履歴'!$O:$O,'単価履歴'!$E:$E,E1249,'単価履歴'!$F:$F,F1249)=O1249,"●","")</f>
        <v/>
      </c>
      <c r="O1249" s="346">
        <v>45769.742002314815</v>
      </c>
      <c r="P1249" s="334" t="str">
        <f t="shared" si="4"/>
        <v>愛知:ナベＨ２(特級)</v>
      </c>
    </row>
    <row r="1250" ht="15.75" customHeight="1">
      <c r="A1250" s="335" t="s">
        <v>2439</v>
      </c>
      <c r="B1250" s="336">
        <v>45770.0</v>
      </c>
      <c r="C1250" s="335" t="s">
        <v>14</v>
      </c>
      <c r="D1250" s="335" t="s">
        <v>48</v>
      </c>
      <c r="E1250" s="337" t="str">
        <f t="shared" si="1"/>
        <v>愛知:ナベ</v>
      </c>
      <c r="F1250" s="338" t="s">
        <v>119</v>
      </c>
      <c r="G1250" s="339" t="str">
        <f t="shared" si="2"/>
        <v>愛知:ナベＨ３(1級)</v>
      </c>
      <c r="H1250" s="340">
        <f t="shared" si="3"/>
        <v>38.4</v>
      </c>
      <c r="I1250" s="341">
        <v>-0.5</v>
      </c>
      <c r="J1250" s="332">
        <f>IFERROR(__xludf.DUMMYFUNCTION("IF(IF(COUNTIF(P$2:P1249, P1250)=0, """", INDEX(H$2:H1249,
MAX(FILTER(ROW(H$2:H1249) - ROW(H$2) + 1, P$2:P1249 = P1250))))=""単価"","""",
IF(COUNTIF(P$2:P1249, P1250)=0, """", INDEX(H$2:H1249,
MAX(FILTER(ROW(H$2:H1249) - ROW(H$2) + 1, P$2:P1249 = P1250)))))"),38.9)</f>
        <v>38.9</v>
      </c>
      <c r="N1250" s="335" t="str">
        <f>IF(MAXIFS('単価履歴'!$O:$O,'単価履歴'!$E:$E,E1250,'単価履歴'!$F:$F,F1250)=O1250,"●","")</f>
        <v/>
      </c>
      <c r="O1250" s="346">
        <v>45769.742002314815</v>
      </c>
      <c r="P1250" s="334" t="str">
        <f t="shared" si="4"/>
        <v>愛知:ナベＨ３(1級)</v>
      </c>
    </row>
    <row r="1251" ht="15.75" customHeight="1">
      <c r="A1251" s="335" t="s">
        <v>2440</v>
      </c>
      <c r="B1251" s="336">
        <v>45770.0</v>
      </c>
      <c r="C1251" s="335" t="s">
        <v>14</v>
      </c>
      <c r="D1251" s="335" t="s">
        <v>48</v>
      </c>
      <c r="E1251" s="337" t="str">
        <f t="shared" si="1"/>
        <v>愛知:ナベ</v>
      </c>
      <c r="F1251" s="338" t="s">
        <v>573</v>
      </c>
      <c r="G1251" s="339" t="str">
        <f t="shared" si="2"/>
        <v>愛知:ナベＬ２(H4･級外･L1ﾊﾞﾗ)</v>
      </c>
      <c r="H1251" s="340">
        <f t="shared" si="3"/>
        <v>34.4</v>
      </c>
      <c r="I1251" s="341">
        <v>-0.5</v>
      </c>
      <c r="J1251" s="332">
        <f>IFERROR(__xludf.DUMMYFUNCTION("IF(IF(COUNTIF(P$2:P1250, P1251)=0, """", INDEX(H$2:H1250,
MAX(FILTER(ROW(H$2:H1250) - ROW(H$2) + 1, P$2:P1250 = P1251))))=""単価"","""",
IF(COUNTIF(P$2:P1250, P1251)=0, """", INDEX(H$2:H1250,
MAX(FILTER(ROW(H$2:H1250) - ROW(H$2) + 1, P$2:P1250 = P1251)))))"),34.9)</f>
        <v>34.9</v>
      </c>
      <c r="N1251" s="335" t="str">
        <f>IF(MAXIFS('単価履歴'!$O:$O,'単価履歴'!$E:$E,E1251,'単価履歴'!$F:$F,F1251)=O1251,"●","")</f>
        <v/>
      </c>
      <c r="O1251" s="346">
        <v>45769.742002314815</v>
      </c>
      <c r="P1251" s="334" t="str">
        <f t="shared" si="4"/>
        <v>愛知:ナベＬ２(H4･級外･L1ﾊﾞﾗ)</v>
      </c>
    </row>
    <row r="1252" ht="15.75" customHeight="1">
      <c r="A1252" s="335" t="s">
        <v>2441</v>
      </c>
      <c r="B1252" s="336">
        <v>45770.0</v>
      </c>
      <c r="C1252" s="335" t="s">
        <v>14</v>
      </c>
      <c r="D1252" s="335" t="s">
        <v>48</v>
      </c>
      <c r="E1252" s="337" t="str">
        <f t="shared" si="1"/>
        <v>愛知:ナベ</v>
      </c>
      <c r="F1252" s="338" t="s">
        <v>575</v>
      </c>
      <c r="G1252" s="339" t="str">
        <f t="shared" si="2"/>
        <v>愛知:ナベ鋼ダライＡ</v>
      </c>
      <c r="H1252" s="340">
        <f t="shared" si="3"/>
        <v>1.5</v>
      </c>
      <c r="I1252" s="341">
        <v>-0.5</v>
      </c>
      <c r="J1252" s="332">
        <f>IFERROR(__xludf.DUMMYFUNCTION("IF(IF(COUNTIF(P$2:P1251, P1252)=0, """", INDEX(H$2:H1251,
MAX(FILTER(ROW(H$2:H1251) - ROW(H$2) + 1, P$2:P1251 = P1252))))=""単価"","""",
IF(COUNTIF(P$2:P1251, P1252)=0, """", INDEX(H$2:H1251,
MAX(FILTER(ROW(H$2:H1251) - ROW(H$2) + 1, P$2:P1251 = P1252)))))"),2.0)</f>
        <v>2</v>
      </c>
      <c r="N1252" s="335" t="str">
        <f>IF(MAXIFS('単価履歴'!$O:$O,'単価履歴'!$E:$E,E1252,'単価履歴'!$F:$F,F1252)=O1252,"●","")</f>
        <v/>
      </c>
      <c r="O1252" s="346">
        <v>45769.742002314815</v>
      </c>
      <c r="P1252" s="334" t="str">
        <f t="shared" si="4"/>
        <v>愛知:ナベ鋼ダライＡ</v>
      </c>
    </row>
    <row r="1253" ht="15.75" customHeight="1">
      <c r="A1253" s="335" t="s">
        <v>2442</v>
      </c>
      <c r="B1253" s="336">
        <v>45770.0</v>
      </c>
      <c r="C1253" s="335" t="s">
        <v>35</v>
      </c>
      <c r="D1253" s="335" t="s">
        <v>48</v>
      </c>
      <c r="E1253" s="337" t="str">
        <f t="shared" si="1"/>
        <v>ﾆｭｰｽｺﾝ稲永:ナベ</v>
      </c>
      <c r="F1253" s="338" t="s">
        <v>130</v>
      </c>
      <c r="G1253" s="339" t="str">
        <f t="shared" si="2"/>
        <v>ﾆｭｰｽｺﾝ稲永:ナベ新断Ａ</v>
      </c>
      <c r="H1253" s="340">
        <f t="shared" si="3"/>
        <v>43</v>
      </c>
      <c r="I1253" s="341">
        <v>-0.5</v>
      </c>
      <c r="J1253" s="332">
        <f>IFERROR(__xludf.DUMMYFUNCTION("IF(IF(COUNTIF(P$2:P1252, P1253)=0, """", INDEX(H$2:H1252,
MAX(FILTER(ROW(H$2:H1252) - ROW(H$2) + 1, P$2:P1252 = P1253))))=""単価"","""",
IF(COUNTIF(P$2:P1252, P1253)=0, """", INDEX(H$2:H1252,
MAX(FILTER(ROW(H$2:H1252) - ROW(H$2) + 1, P$2:P1252 = P1253)))))"),43.5)</f>
        <v>43.5</v>
      </c>
      <c r="N1253" s="335" t="str">
        <f>IF(MAXIFS('単価履歴'!$O:$O,'単価履歴'!$E:$E,E1253,'単価履歴'!$F:$F,F1253)=O1253,"●","")</f>
        <v/>
      </c>
      <c r="O1253" s="346">
        <v>45770.26688657407</v>
      </c>
      <c r="P1253" s="334" t="str">
        <f t="shared" si="4"/>
        <v>ﾆｭｰｽｺﾝ稲永:ナベ新断Ａ</v>
      </c>
    </row>
    <row r="1254" ht="15.75" customHeight="1">
      <c r="A1254" s="335" t="s">
        <v>2443</v>
      </c>
      <c r="B1254" s="336">
        <v>45770.0</v>
      </c>
      <c r="C1254" s="335" t="s">
        <v>37</v>
      </c>
      <c r="D1254" s="335" t="s">
        <v>48</v>
      </c>
      <c r="E1254" s="337" t="str">
        <f t="shared" si="1"/>
        <v>共英名古屋:ナベ</v>
      </c>
      <c r="F1254" s="338" t="s">
        <v>111</v>
      </c>
      <c r="G1254" s="339" t="str">
        <f t="shared" si="2"/>
        <v>共英名古屋:ナベＨ１(特A)</v>
      </c>
      <c r="H1254" s="340">
        <f t="shared" si="3"/>
        <v>43.2</v>
      </c>
      <c r="I1254" s="341">
        <v>-0.5</v>
      </c>
      <c r="J1254" s="332">
        <f>IFERROR(__xludf.DUMMYFUNCTION("IF(IF(COUNTIF(P$2:P1253, P1254)=0, """", INDEX(H$2:H1253,
MAX(FILTER(ROW(H$2:H1253) - ROW(H$2) + 1, P$2:P1253 = P1254))))=""単価"","""",
IF(COUNTIF(P$2:P1253, P1254)=0, """", INDEX(H$2:H1253,
MAX(FILTER(ROW(H$2:H1253) - ROW(H$2) + 1, P$2:P1253 = P1254)))))"),43.7)</f>
        <v>43.7</v>
      </c>
      <c r="N1254" s="335" t="str">
        <f>IF(MAXIFS('単価履歴'!$O:$O,'単価履歴'!$E:$E,E1254,'単価履歴'!$F:$F,F1254)=O1254,"●","")</f>
        <v/>
      </c>
      <c r="O1254" s="346">
        <v>45770.26799768519</v>
      </c>
      <c r="P1254" s="334" t="str">
        <f t="shared" si="4"/>
        <v>共英名古屋:ナベＨ１(特A)</v>
      </c>
    </row>
    <row r="1255" ht="15.75" customHeight="1">
      <c r="A1255" s="335" t="s">
        <v>2444</v>
      </c>
      <c r="B1255" s="336">
        <v>45770.0</v>
      </c>
      <c r="C1255" s="335" t="s">
        <v>37</v>
      </c>
      <c r="D1255" s="335" t="s">
        <v>48</v>
      </c>
      <c r="E1255" s="337" t="str">
        <f t="shared" si="1"/>
        <v>共英名古屋:ナベ</v>
      </c>
      <c r="F1255" s="338" t="s">
        <v>116</v>
      </c>
      <c r="G1255" s="339" t="str">
        <f t="shared" si="2"/>
        <v>共英名古屋:ナベＨ２(特級)</v>
      </c>
      <c r="H1255" s="340">
        <f t="shared" si="3"/>
        <v>40.5</v>
      </c>
      <c r="I1255" s="341">
        <v>-0.5</v>
      </c>
      <c r="J1255" s="332">
        <f>IFERROR(__xludf.DUMMYFUNCTION("IF(IF(COUNTIF(P$2:P1254, P1255)=0, """", INDEX(H$2:H1254,
MAX(FILTER(ROW(H$2:H1254) - ROW(H$2) + 1, P$2:P1254 = P1255))))=""単価"","""",
IF(COUNTIF(P$2:P1254, P1255)=0, """", INDEX(H$2:H1254,
MAX(FILTER(ROW(H$2:H1254) - ROW(H$2) + 1, P$2:P1254 = P1255)))))"),41.0)</f>
        <v>41</v>
      </c>
      <c r="N1255" s="335" t="str">
        <f>IF(MAXIFS('単価履歴'!$O:$O,'単価履歴'!$E:$E,E1255,'単価履歴'!$F:$F,F1255)=O1255,"●","")</f>
        <v/>
      </c>
      <c r="O1255" s="346">
        <v>45770.26799768519</v>
      </c>
      <c r="P1255" s="334" t="str">
        <f t="shared" si="4"/>
        <v>共英名古屋:ナベＨ２(特級)</v>
      </c>
    </row>
    <row r="1256" ht="15.75" customHeight="1">
      <c r="A1256" s="335" t="s">
        <v>2445</v>
      </c>
      <c r="B1256" s="336">
        <v>45770.0</v>
      </c>
      <c r="C1256" s="335" t="s">
        <v>37</v>
      </c>
      <c r="D1256" s="335" t="s">
        <v>48</v>
      </c>
      <c r="E1256" s="337" t="str">
        <f t="shared" si="1"/>
        <v>共英名古屋:ナベ</v>
      </c>
      <c r="F1256" s="338" t="s">
        <v>119</v>
      </c>
      <c r="G1256" s="339" t="str">
        <f t="shared" si="2"/>
        <v>共英名古屋:ナベＨ３(1級)</v>
      </c>
      <c r="H1256" s="340">
        <f t="shared" si="3"/>
        <v>39.5</v>
      </c>
      <c r="I1256" s="341">
        <v>-0.5</v>
      </c>
      <c r="J1256" s="332">
        <f>IFERROR(__xludf.DUMMYFUNCTION("IF(IF(COUNTIF(P$2:P1255, P1256)=0, """", INDEX(H$2:H1255,
MAX(FILTER(ROW(H$2:H1255) - ROW(H$2) + 1, P$2:P1255 = P1256))))=""単価"","""",
IF(COUNTIF(P$2:P1255, P1256)=0, """", INDEX(H$2:H1255,
MAX(FILTER(ROW(H$2:H1255) - ROW(H$2) + 1, P$2:P1255 = P1256)))))"),40.0)</f>
        <v>40</v>
      </c>
      <c r="N1256" s="335" t="str">
        <f>IF(MAXIFS('単価履歴'!$O:$O,'単価履歴'!$E:$E,E1256,'単価履歴'!$F:$F,F1256)=O1256,"●","")</f>
        <v/>
      </c>
      <c r="O1256" s="346">
        <v>45770.26799768519</v>
      </c>
      <c r="P1256" s="334" t="str">
        <f t="shared" si="4"/>
        <v>共英名古屋:ナベＨ３(1級)</v>
      </c>
    </row>
    <row r="1257" ht="15.75" customHeight="1">
      <c r="A1257" s="335" t="s">
        <v>2446</v>
      </c>
      <c r="B1257" s="336">
        <v>45770.0</v>
      </c>
      <c r="C1257" s="335" t="s">
        <v>37</v>
      </c>
      <c r="D1257" s="335" t="s">
        <v>48</v>
      </c>
      <c r="E1257" s="337" t="str">
        <f t="shared" si="1"/>
        <v>共英名古屋:ナベ</v>
      </c>
      <c r="F1257" s="338" t="s">
        <v>122</v>
      </c>
      <c r="G1257" s="339" t="str">
        <f t="shared" si="2"/>
        <v>共英名古屋:ナベＬ１(2級)</v>
      </c>
      <c r="H1257" s="340">
        <f t="shared" si="3"/>
        <v>36.5</v>
      </c>
      <c r="I1257" s="341">
        <v>-0.5</v>
      </c>
      <c r="J1257" s="332">
        <f>IFERROR(__xludf.DUMMYFUNCTION("IF(IF(COUNTIF(P$2:P1256, P1257)=0, """", INDEX(H$2:H1256,
MAX(FILTER(ROW(H$2:H1256) - ROW(H$2) + 1, P$2:P1256 = P1257))))=""単価"","""",
IF(COUNTIF(P$2:P1256, P1257)=0, """", INDEX(H$2:H1256,
MAX(FILTER(ROW(H$2:H1256) - ROW(H$2) + 1, P$2:P1256 = P1257)))))"),37.0)</f>
        <v>37</v>
      </c>
      <c r="N1257" s="335" t="str">
        <f>IF(MAXIFS('単価履歴'!$O:$O,'単価履歴'!$E:$E,E1257,'単価履歴'!$F:$F,F1257)=O1257,"●","")</f>
        <v/>
      </c>
      <c r="O1257" s="346">
        <v>45770.26799768519</v>
      </c>
      <c r="P1257" s="334" t="str">
        <f t="shared" si="4"/>
        <v>共英名古屋:ナベＬ１(2級)</v>
      </c>
    </row>
    <row r="1258" ht="15.75" customHeight="1">
      <c r="A1258" s="335" t="s">
        <v>2447</v>
      </c>
      <c r="B1258" s="336">
        <v>45771.0</v>
      </c>
      <c r="C1258" s="335" t="s">
        <v>12</v>
      </c>
      <c r="D1258" s="335" t="s">
        <v>53</v>
      </c>
      <c r="E1258" s="337" t="str">
        <f t="shared" si="1"/>
        <v>山陽特殊:MM</v>
      </c>
      <c r="F1258" s="338" t="s">
        <v>1199</v>
      </c>
      <c r="G1258" s="339" t="str">
        <f t="shared" si="2"/>
        <v>山陽特殊:MMＨＳ１(単体H1/電特A/HS))</v>
      </c>
      <c r="H1258" s="340">
        <f t="shared" si="3"/>
        <v>47.5</v>
      </c>
      <c r="I1258" s="341">
        <v>-0.5</v>
      </c>
      <c r="J1258" s="332">
        <f>IFERROR(__xludf.DUMMYFUNCTION("IF(IF(COUNTIF(P$2:P1257, P1258)=0, """", INDEX(H$2:H1257,
MAX(FILTER(ROW(H$2:H1257) - ROW(H$2) + 1, P$2:P1257 = P1258))))=""単価"","""",
IF(COUNTIF(P$2:P1257, P1258)=0, """", INDEX(H$2:H1257,
MAX(FILTER(ROW(H$2:H1257) - ROW(H$2) + 1, P$2:P1257 = P1258)))))"),48.0)</f>
        <v>48</v>
      </c>
      <c r="N1258" s="335" t="str">
        <f>IF(MAXIFS('単価履歴'!$O:$O,'単価履歴'!$E:$E,E1258,'単価履歴'!$F:$F,F1258)=O1258,"●","")</f>
        <v/>
      </c>
      <c r="O1258" s="346">
        <v>45770.71251157408</v>
      </c>
      <c r="P1258" s="334" t="str">
        <f t="shared" si="4"/>
        <v>山陽特殊:MMＨＳ１(単体H1/電特A/HS))</v>
      </c>
    </row>
    <row r="1259" ht="15.75" customHeight="1">
      <c r="A1259" s="335" t="s">
        <v>2448</v>
      </c>
      <c r="B1259" s="336">
        <v>45771.0</v>
      </c>
      <c r="C1259" s="335" t="s">
        <v>12</v>
      </c>
      <c r="D1259" s="335" t="s">
        <v>53</v>
      </c>
      <c r="E1259" s="337" t="str">
        <f t="shared" si="1"/>
        <v>山陽特殊:MM</v>
      </c>
      <c r="F1259" s="338" t="s">
        <v>101</v>
      </c>
      <c r="G1259" s="339" t="str">
        <f t="shared" si="2"/>
        <v>山陽特殊:MMＨＳ２</v>
      </c>
      <c r="H1259" s="340">
        <f t="shared" si="3"/>
        <v>47.3</v>
      </c>
      <c r="I1259" s="341">
        <v>-0.5</v>
      </c>
      <c r="J1259" s="332">
        <f>IFERROR(__xludf.DUMMYFUNCTION("IF(IF(COUNTIF(P$2:P1258, P1259)=0, """", INDEX(H$2:H1258,
MAX(FILTER(ROW(H$2:H1258) - ROW(H$2) + 1, P$2:P1258 = P1259))))=""単価"","""",
IF(COUNTIF(P$2:P1258, P1259)=0, """", INDEX(H$2:H1258,
MAX(FILTER(ROW(H$2:H1258) - ROW(H$2) + 1, P$2:P1258 = P1259)))))"),47.8)</f>
        <v>47.8</v>
      </c>
      <c r="N1259" s="335" t="str">
        <f>IF(MAXIFS('単価履歴'!$O:$O,'単価履歴'!$E:$E,E1259,'単価履歴'!$F:$F,F1259)=O1259,"●","")</f>
        <v/>
      </c>
      <c r="O1259" s="346">
        <v>45770.71251157408</v>
      </c>
      <c r="P1259" s="334" t="str">
        <f t="shared" si="4"/>
        <v>山陽特殊:MMＨＳ２</v>
      </c>
    </row>
    <row r="1260" ht="15.75" customHeight="1">
      <c r="A1260" s="335" t="s">
        <v>2449</v>
      </c>
      <c r="B1260" s="336">
        <v>45771.0</v>
      </c>
      <c r="C1260" s="335" t="s">
        <v>12</v>
      </c>
      <c r="D1260" s="335" t="s">
        <v>53</v>
      </c>
      <c r="E1260" s="337" t="str">
        <f t="shared" si="1"/>
        <v>山陽特殊:MM</v>
      </c>
      <c r="F1260" s="338" t="s">
        <v>105</v>
      </c>
      <c r="G1260" s="339" t="str">
        <f t="shared" si="2"/>
        <v>山陽特殊:MMＨＳ３</v>
      </c>
      <c r="H1260" s="340">
        <f t="shared" si="3"/>
        <v>45.3</v>
      </c>
      <c r="I1260" s="341">
        <v>-0.5</v>
      </c>
      <c r="J1260" s="332">
        <f>IFERROR(__xludf.DUMMYFUNCTION("IF(IF(COUNTIF(P$2:P1259, P1260)=0, """", INDEX(H$2:H1259,
MAX(FILTER(ROW(H$2:H1259) - ROW(H$2) + 1, P$2:P1259 = P1260))))=""単価"","""",
IF(COUNTIF(P$2:P1259, P1260)=0, """", INDEX(H$2:H1259,
MAX(FILTER(ROW(H$2:H1259) - ROW(H$2) + 1, P$2:P1259 = P1260)))))"),45.8)</f>
        <v>45.8</v>
      </c>
      <c r="N1260" s="335" t="str">
        <f>IF(MAXIFS('単価履歴'!$O:$O,'単価履歴'!$E:$E,E1260,'単価履歴'!$F:$F,F1260)=O1260,"●","")</f>
        <v/>
      </c>
      <c r="O1260" s="346">
        <v>45770.71251157408</v>
      </c>
      <c r="P1260" s="334" t="str">
        <f t="shared" si="4"/>
        <v>山陽特殊:MMＨＳ３</v>
      </c>
    </row>
    <row r="1261" ht="15.75" customHeight="1">
      <c r="A1261" s="335" t="s">
        <v>2450</v>
      </c>
      <c r="B1261" s="336">
        <v>45771.0</v>
      </c>
      <c r="C1261" s="335" t="s">
        <v>12</v>
      </c>
      <c r="D1261" s="335" t="s">
        <v>53</v>
      </c>
      <c r="E1261" s="337" t="str">
        <f t="shared" si="1"/>
        <v>山陽特殊:MM</v>
      </c>
      <c r="F1261" s="338" t="s">
        <v>122</v>
      </c>
      <c r="G1261" s="339" t="str">
        <f t="shared" si="2"/>
        <v>山陽特殊:MMＬ１(2級)</v>
      </c>
      <c r="H1261" s="340">
        <f t="shared" si="3"/>
        <v>3</v>
      </c>
      <c r="I1261" s="341">
        <v>-0.5</v>
      </c>
      <c r="J1261" s="332">
        <f>IFERROR(__xludf.DUMMYFUNCTION("IF(IF(COUNTIF(P$2:P1260, P1261)=0, """", INDEX(H$2:H1260,
MAX(FILTER(ROW(H$2:H1260) - ROW(H$2) + 1, P$2:P1260 = P1261))))=""単価"","""",
IF(COUNTIF(P$2:P1260, P1261)=0, """", INDEX(H$2:H1260,
MAX(FILTER(ROW(H$2:H1260) - ROW(H$2) + 1, P$2:P1260 = P1261)))))"),3.5)</f>
        <v>3.5</v>
      </c>
      <c r="N1261" s="335" t="str">
        <f>IF(MAXIFS('単価履歴'!$O:$O,'単価履歴'!$E:$E,E1261,'単価履歴'!$F:$F,F1261)=O1261,"●","")</f>
        <v/>
      </c>
      <c r="O1261" s="346">
        <v>45770.71251157408</v>
      </c>
      <c r="P1261" s="334" t="str">
        <f t="shared" si="4"/>
        <v>山陽特殊:MMＬ１(2級)</v>
      </c>
    </row>
    <row r="1262" ht="15.75" customHeight="1">
      <c r="A1262" s="335" t="s">
        <v>2451</v>
      </c>
      <c r="B1262" s="336">
        <v>45771.0</v>
      </c>
      <c r="C1262" s="335" t="s">
        <v>12</v>
      </c>
      <c r="D1262" s="335" t="s">
        <v>53</v>
      </c>
      <c r="E1262" s="337" t="str">
        <f t="shared" si="1"/>
        <v>山陽特殊:MM</v>
      </c>
      <c r="F1262" s="338" t="s">
        <v>130</v>
      </c>
      <c r="G1262" s="339" t="str">
        <f t="shared" si="2"/>
        <v>山陽特殊:MM新断Ａ</v>
      </c>
      <c r="H1262" s="340">
        <f t="shared" si="3"/>
        <v>46.5</v>
      </c>
      <c r="I1262" s="341">
        <v>-0.5</v>
      </c>
      <c r="J1262" s="332">
        <f>IFERROR(__xludf.DUMMYFUNCTION("IF(IF(COUNTIF(P$2:P1261, P1262)=0, """", INDEX(H$2:H1261,
MAX(FILTER(ROW(H$2:H1261) - ROW(H$2) + 1, P$2:P1261 = P1262))))=""単価"","""",
IF(COUNTIF(P$2:P1261, P1262)=0, """", INDEX(H$2:H1261,
MAX(FILTER(ROW(H$2:H1261) - ROW(H$2) + 1, P$2:P1261 = P1262)))))"),47.0)</f>
        <v>47</v>
      </c>
      <c r="N1262" s="335" t="str">
        <f>IF(MAXIFS('単価履歴'!$O:$O,'単価履歴'!$E:$E,E1262,'単価履歴'!$F:$F,F1262)=O1262,"●","")</f>
        <v/>
      </c>
      <c r="O1262" s="346">
        <v>45770.71251157408</v>
      </c>
      <c r="P1262" s="334" t="str">
        <f t="shared" si="4"/>
        <v>山陽特殊:MM新断Ａ</v>
      </c>
    </row>
    <row r="1263" ht="15.75" customHeight="1">
      <c r="A1263" s="335" t="s">
        <v>2452</v>
      </c>
      <c r="B1263" s="336">
        <v>45771.0</v>
      </c>
      <c r="C1263" s="335" t="s">
        <v>12</v>
      </c>
      <c r="D1263" s="335" t="s">
        <v>53</v>
      </c>
      <c r="E1263" s="337" t="str">
        <f t="shared" si="1"/>
        <v>山陽特殊:MM</v>
      </c>
      <c r="F1263" s="338" t="s">
        <v>131</v>
      </c>
      <c r="G1263" s="339" t="str">
        <f t="shared" si="2"/>
        <v>山陽特殊:MM新断Ｂ</v>
      </c>
      <c r="H1263" s="340">
        <f t="shared" si="3"/>
        <v>45.5</v>
      </c>
      <c r="I1263" s="341">
        <v>-0.5</v>
      </c>
      <c r="J1263" s="332">
        <f>IFERROR(__xludf.DUMMYFUNCTION("IF(IF(COUNTIF(P$2:P1262, P1263)=0, """", INDEX(H$2:H1262,
MAX(FILTER(ROW(H$2:H1262) - ROW(H$2) + 1, P$2:P1262 = P1263))))=""単価"","""",
IF(COUNTIF(P$2:P1262, P1263)=0, """", INDEX(H$2:H1262,
MAX(FILTER(ROW(H$2:H1262) - ROW(H$2) + 1, P$2:P1262 = P1263)))))"),46.0)</f>
        <v>46</v>
      </c>
      <c r="N1263" s="335" t="str">
        <f>IF(MAXIFS('単価履歴'!$O:$O,'単価履歴'!$E:$E,E1263,'単価履歴'!$F:$F,F1263)=O1263,"●","")</f>
        <v/>
      </c>
      <c r="O1263" s="346">
        <v>45770.71251157408</v>
      </c>
      <c r="P1263" s="334" t="str">
        <f t="shared" si="4"/>
        <v>山陽特殊:MM新断Ｂ</v>
      </c>
    </row>
    <row r="1264" ht="15.75" customHeight="1">
      <c r="A1264" s="335" t="s">
        <v>2453</v>
      </c>
      <c r="B1264" s="336">
        <v>45771.0</v>
      </c>
      <c r="C1264" s="335" t="s">
        <v>12</v>
      </c>
      <c r="D1264" s="335" t="s">
        <v>53</v>
      </c>
      <c r="E1264" s="337" t="str">
        <f t="shared" si="1"/>
        <v>山陽特殊:MM</v>
      </c>
      <c r="F1264" s="338" t="s">
        <v>574</v>
      </c>
      <c r="G1264" s="339" t="str">
        <f t="shared" si="2"/>
        <v>山陽特殊:MM新断Ｃ</v>
      </c>
      <c r="H1264" s="340">
        <f t="shared" si="3"/>
        <v>44.5</v>
      </c>
      <c r="I1264" s="341">
        <v>-0.5</v>
      </c>
      <c r="J1264" s="332">
        <f>IFERROR(__xludf.DUMMYFUNCTION("IF(IF(COUNTIF(P$2:P1263, P1264)=0, """", INDEX(H$2:H1263,
MAX(FILTER(ROW(H$2:H1263) - ROW(H$2) + 1, P$2:P1263 = P1264))))=""単価"","""",
IF(COUNTIF(P$2:P1263, P1264)=0, """", INDEX(H$2:H1263,
MAX(FILTER(ROW(H$2:H1263) - ROW(H$2) + 1, P$2:P1263 = P1264)))))"),45.0)</f>
        <v>45</v>
      </c>
      <c r="N1264" s="335" t="str">
        <f>IF(MAXIFS('単価履歴'!$O:$O,'単価履歴'!$E:$E,E1264,'単価履歴'!$F:$F,F1264)=O1264,"●","")</f>
        <v/>
      </c>
      <c r="O1264" s="346">
        <v>45770.71251157408</v>
      </c>
      <c r="P1264" s="334" t="str">
        <f t="shared" si="4"/>
        <v>山陽特殊:MM新断Ｃ</v>
      </c>
    </row>
    <row r="1265" ht="15.75" customHeight="1">
      <c r="A1265" s="335" t="s">
        <v>2454</v>
      </c>
      <c r="B1265" s="336">
        <v>45771.0</v>
      </c>
      <c r="C1265" s="335" t="s">
        <v>15</v>
      </c>
      <c r="D1265" s="335" t="s">
        <v>58</v>
      </c>
      <c r="E1265" s="337" t="str">
        <f t="shared" si="1"/>
        <v>山口鋼業:MM建材</v>
      </c>
      <c r="F1265" s="338" t="s">
        <v>1199</v>
      </c>
      <c r="G1265" s="339" t="str">
        <f t="shared" si="2"/>
        <v>山口鋼業:MM建材ＨＳ１(単体H1/電特A/HS))</v>
      </c>
      <c r="H1265" s="340">
        <f t="shared" si="3"/>
        <v>42</v>
      </c>
      <c r="I1265" s="341">
        <v>-0.5</v>
      </c>
      <c r="J1265" s="332">
        <f>IFERROR(__xludf.DUMMYFUNCTION("IF(IF(COUNTIF(P$2:P1264, P1265)=0, """", INDEX(H$2:H1264,
MAX(FILTER(ROW(H$2:H1264) - ROW(H$2) + 1, P$2:P1264 = P1265))))=""単価"","""",
IF(COUNTIF(P$2:P1264, P1265)=0, """", INDEX(H$2:H1264,
MAX(FILTER(ROW(H$2:H1264) - ROW(H$2) + 1, P$2:P1264 = P1265)))))"),42.5)</f>
        <v>42.5</v>
      </c>
      <c r="N1265" s="335" t="str">
        <f>IF(MAXIFS('単価履歴'!$O:$O,'単価履歴'!$E:$E,E1265,'単価履歴'!$F:$F,F1265)=O1265,"●","")</f>
        <v/>
      </c>
      <c r="O1265" s="346">
        <v>45770.713425925926</v>
      </c>
      <c r="P1265" s="334" t="str">
        <f t="shared" si="4"/>
        <v>山口鋼業:MM建材ＨＳ１(単体H1/電特A/HS))</v>
      </c>
    </row>
    <row r="1266" ht="15.75" customHeight="1">
      <c r="A1266" s="335" t="s">
        <v>2455</v>
      </c>
      <c r="B1266" s="336">
        <v>45771.0</v>
      </c>
      <c r="C1266" s="335" t="s">
        <v>15</v>
      </c>
      <c r="D1266" s="335" t="s">
        <v>58</v>
      </c>
      <c r="E1266" s="337" t="str">
        <f t="shared" si="1"/>
        <v>山口鋼業:MM建材</v>
      </c>
      <c r="F1266" s="338" t="s">
        <v>1237</v>
      </c>
      <c r="G1266" s="339" t="str">
        <f t="shared" si="2"/>
        <v>山口鋼業:MM建材ＪＨ１(H2T山口)鍛造ﾊﾞﾘ</v>
      </c>
      <c r="H1266" s="340">
        <f t="shared" si="3"/>
        <v>41.5</v>
      </c>
      <c r="I1266" s="341">
        <v>-0.5</v>
      </c>
      <c r="J1266" s="332">
        <f>IFERROR(__xludf.DUMMYFUNCTION("IF(IF(COUNTIF(P$2:P1265, P1266)=0, """", INDEX(H$2:H1265,
MAX(FILTER(ROW(H$2:H1265) - ROW(H$2) + 1, P$2:P1265 = P1266))))=""単価"","""",
IF(COUNTIF(P$2:P1265, P1266)=0, """", INDEX(H$2:H1265,
MAX(FILTER(ROW(H$2:H1265) - ROW(H$2) + 1, P$2:P1265 = P1266)))))"),42.0)</f>
        <v>42</v>
      </c>
      <c r="N1266" s="335" t="str">
        <f>IF(MAXIFS('単価履歴'!$O:$O,'単価履歴'!$E:$E,E1266,'単価履歴'!$F:$F,F1266)=O1266,"●","")</f>
        <v/>
      </c>
      <c r="O1266" s="346">
        <v>45770.713425925926</v>
      </c>
      <c r="P1266" s="334" t="str">
        <f t="shared" si="4"/>
        <v>山口鋼業:MM建材ＪＨ１(H2T山口)鍛造ﾊﾞﾘ</v>
      </c>
    </row>
    <row r="1267" ht="15.75" customHeight="1">
      <c r="A1267" s="335" t="s">
        <v>2456</v>
      </c>
      <c r="B1267" s="336">
        <v>45771.0</v>
      </c>
      <c r="C1267" s="335" t="s">
        <v>15</v>
      </c>
      <c r="D1267" s="335" t="s">
        <v>58</v>
      </c>
      <c r="E1267" s="337" t="str">
        <f t="shared" si="1"/>
        <v>山口鋼業:MM建材</v>
      </c>
      <c r="F1267" s="338" t="s">
        <v>116</v>
      </c>
      <c r="G1267" s="339" t="str">
        <f t="shared" si="2"/>
        <v>山口鋼業:MM建材Ｈ２(特級)</v>
      </c>
      <c r="H1267" s="340">
        <f t="shared" si="3"/>
        <v>40.5</v>
      </c>
      <c r="I1267" s="341">
        <v>-0.5</v>
      </c>
      <c r="J1267" s="332">
        <f>IFERROR(__xludf.DUMMYFUNCTION("IF(IF(COUNTIF(P$2:P1266, P1267)=0, """", INDEX(H$2:H1266,
MAX(FILTER(ROW(H$2:H1266) - ROW(H$2) + 1, P$2:P1266 = P1267))))=""単価"","""",
IF(COUNTIF(P$2:P1266, P1267)=0, """", INDEX(H$2:H1266,
MAX(FILTER(ROW(H$2:H1266) - ROW(H$2) + 1, P$2:P1266 = P1267)))))"),41.0)</f>
        <v>41</v>
      </c>
      <c r="N1267" s="335" t="str">
        <f>IF(MAXIFS('単価履歴'!$O:$O,'単価履歴'!$E:$E,E1267,'単価履歴'!$F:$F,F1267)=O1267,"●","")</f>
        <v/>
      </c>
      <c r="O1267" s="346">
        <v>45770.713425925926</v>
      </c>
      <c r="P1267" s="334" t="str">
        <f t="shared" si="4"/>
        <v>山口鋼業:MM建材Ｈ２(特級)</v>
      </c>
    </row>
    <row r="1268" ht="15.75" customHeight="1">
      <c r="A1268" s="335" t="s">
        <v>2457</v>
      </c>
      <c r="B1268" s="336">
        <v>45771.0</v>
      </c>
      <c r="C1268" s="335" t="s">
        <v>15</v>
      </c>
      <c r="D1268" s="335" t="s">
        <v>58</v>
      </c>
      <c r="E1268" s="337" t="str">
        <f t="shared" si="1"/>
        <v>山口鋼業:MM建材</v>
      </c>
      <c r="F1268" s="338" t="s">
        <v>119</v>
      </c>
      <c r="G1268" s="339" t="str">
        <f t="shared" si="2"/>
        <v>山口鋼業:MM建材Ｈ３(1級)</v>
      </c>
      <c r="H1268" s="340">
        <f t="shared" si="3"/>
        <v>39.5</v>
      </c>
      <c r="I1268" s="341">
        <v>-0.5</v>
      </c>
      <c r="J1268" s="332">
        <f>IFERROR(__xludf.DUMMYFUNCTION("IF(IF(COUNTIF(P$2:P1267, P1268)=0, """", INDEX(H$2:H1267,
MAX(FILTER(ROW(H$2:H1267) - ROW(H$2) + 1, P$2:P1267 = P1268))))=""単価"","""",
IF(COUNTIF(P$2:P1267, P1268)=0, """", INDEX(H$2:H1267,
MAX(FILTER(ROW(H$2:H1267) - ROW(H$2) + 1, P$2:P1267 = P1268)))))"),40.0)</f>
        <v>40</v>
      </c>
      <c r="N1268" s="335" t="str">
        <f>IF(MAXIFS('単価履歴'!$O:$O,'単価履歴'!$E:$E,E1268,'単価履歴'!$F:$F,F1268)=O1268,"●","")</f>
        <v/>
      </c>
      <c r="O1268" s="346">
        <v>45770.713425925926</v>
      </c>
      <c r="P1268" s="334" t="str">
        <f t="shared" si="4"/>
        <v>山口鋼業:MM建材Ｈ３(1級)</v>
      </c>
    </row>
    <row r="1269" ht="15.75" customHeight="1">
      <c r="A1269" s="335" t="s">
        <v>2458</v>
      </c>
      <c r="B1269" s="336">
        <v>45771.0</v>
      </c>
      <c r="C1269" s="335" t="s">
        <v>15</v>
      </c>
      <c r="D1269" s="335" t="s">
        <v>58</v>
      </c>
      <c r="E1269" s="337" t="str">
        <f t="shared" si="1"/>
        <v>山口鋼業:MM建材</v>
      </c>
      <c r="F1269" s="338" t="s">
        <v>573</v>
      </c>
      <c r="G1269" s="339" t="str">
        <f t="shared" si="2"/>
        <v>山口鋼業:MM建材Ｌ２(H4･級外･L1ﾊﾞﾗ)</v>
      </c>
      <c r="H1269" s="340">
        <f t="shared" si="3"/>
        <v>38</v>
      </c>
      <c r="I1269" s="341">
        <v>-0.5</v>
      </c>
      <c r="J1269" s="332">
        <f>IFERROR(__xludf.DUMMYFUNCTION("IF(IF(COUNTIF(P$2:P1268, P1269)=0, """", INDEX(H$2:H1268,
MAX(FILTER(ROW(H$2:H1268) - ROW(H$2) + 1, P$2:P1268 = P1269))))=""単価"","""",
IF(COUNTIF(P$2:P1268, P1269)=0, """", INDEX(H$2:H1268,
MAX(FILTER(ROW(H$2:H1268) - ROW(H$2) + 1, P$2:P1268 = P1269)))))"),38.5)</f>
        <v>38.5</v>
      </c>
      <c r="N1269" s="335" t="str">
        <f>IF(MAXIFS('単価履歴'!$O:$O,'単価履歴'!$E:$E,E1269,'単価履歴'!$F:$F,F1269)=O1269,"●","")</f>
        <v/>
      </c>
      <c r="O1269" s="346">
        <v>45770.713425925926</v>
      </c>
      <c r="P1269" s="334" t="str">
        <f t="shared" si="4"/>
        <v>山口鋼業:MM建材Ｌ２(H4･級外･L1ﾊﾞﾗ)</v>
      </c>
    </row>
    <row r="1270" ht="15.75" customHeight="1">
      <c r="A1270" s="335" t="s">
        <v>2459</v>
      </c>
      <c r="B1270" s="336">
        <v>45771.0</v>
      </c>
      <c r="C1270" s="335" t="s">
        <v>15</v>
      </c>
      <c r="D1270" s="335" t="s">
        <v>58</v>
      </c>
      <c r="E1270" s="337" t="str">
        <f t="shared" si="1"/>
        <v>山口鋼業:MM建材</v>
      </c>
      <c r="F1270" s="338" t="s">
        <v>575</v>
      </c>
      <c r="G1270" s="339" t="str">
        <f t="shared" si="2"/>
        <v>山口鋼業:MM建材鋼ダライＡ</v>
      </c>
      <c r="H1270" s="340">
        <f t="shared" si="3"/>
        <v>38.1</v>
      </c>
      <c r="I1270" s="341">
        <v>-0.5</v>
      </c>
      <c r="J1270" s="332">
        <f>IFERROR(__xludf.DUMMYFUNCTION("IF(IF(COUNTIF(P$2:P1269, P1270)=0, """", INDEX(H$2:H1269,
MAX(FILTER(ROW(H$2:H1269) - ROW(H$2) + 1, P$2:P1269 = P1270))))=""単価"","""",
IF(COUNTIF(P$2:P1269, P1270)=0, """", INDEX(H$2:H1269,
MAX(FILTER(ROW(H$2:H1269) - ROW(H$2) + 1, P$2:P1269 = P1270)))))"),38.6)</f>
        <v>38.6</v>
      </c>
      <c r="N1270" s="335" t="str">
        <f>IF(MAXIFS('単価履歴'!$O:$O,'単価履歴'!$E:$E,E1270,'単価履歴'!$F:$F,F1270)=O1270,"●","")</f>
        <v/>
      </c>
      <c r="O1270" s="346">
        <v>45770.713425925926</v>
      </c>
      <c r="P1270" s="334" t="str">
        <f t="shared" si="4"/>
        <v>山口鋼業:MM建材鋼ダライＡ</v>
      </c>
    </row>
    <row r="1271" ht="15.75" customHeight="1">
      <c r="A1271" s="335" t="s">
        <v>2460</v>
      </c>
      <c r="B1271" s="336">
        <v>45771.0</v>
      </c>
      <c r="C1271" s="335" t="s">
        <v>15</v>
      </c>
      <c r="D1271" s="335" t="s">
        <v>58</v>
      </c>
      <c r="E1271" s="337" t="str">
        <f t="shared" si="1"/>
        <v>山口鋼業:MM建材</v>
      </c>
      <c r="F1271" s="338" t="s">
        <v>577</v>
      </c>
      <c r="G1271" s="339" t="str">
        <f t="shared" si="2"/>
        <v>山口鋼業:MM建材鋳物・ﾀﾞｸﾀｲﾙ</v>
      </c>
      <c r="H1271" s="340">
        <f t="shared" si="3"/>
        <v>41</v>
      </c>
      <c r="I1271" s="341">
        <v>-0.5</v>
      </c>
      <c r="J1271" s="332">
        <f>IFERROR(__xludf.DUMMYFUNCTION("IF(IF(COUNTIF(P$2:P1270, P1271)=0, """", INDEX(H$2:H1270,
MAX(FILTER(ROW(H$2:H1270) - ROW(H$2) + 1, P$2:P1270 = P1271))))=""単価"","""",
IF(COUNTIF(P$2:P1270, P1271)=0, """", INDEX(H$2:H1270,
MAX(FILTER(ROW(H$2:H1270) - ROW(H$2) + 1, P$2:P1270 = P1271)))))"),41.5)</f>
        <v>41.5</v>
      </c>
      <c r="N1271" s="335" t="str">
        <f>IF(MAXIFS('単価履歴'!$O:$O,'単価履歴'!$E:$E,E1271,'単価履歴'!$F:$F,F1271)=O1271,"●","")</f>
        <v/>
      </c>
      <c r="O1271" s="346">
        <v>45770.713425925926</v>
      </c>
      <c r="P1271" s="334" t="str">
        <f t="shared" si="4"/>
        <v>山口鋼業:MM建材鋳物・ﾀﾞｸﾀｲﾙ</v>
      </c>
    </row>
    <row r="1272" ht="15.75" customHeight="1">
      <c r="A1272" s="335"/>
      <c r="B1272" s="336"/>
      <c r="C1272" s="335"/>
      <c r="D1272" s="335"/>
      <c r="E1272" s="337" t="str">
        <f t="shared" si="1"/>
        <v>:</v>
      </c>
      <c r="F1272" s="338"/>
      <c r="G1272" s="339" t="str">
        <f t="shared" si="2"/>
        <v>:</v>
      </c>
      <c r="H1272" s="340">
        <f t="shared" si="3"/>
        <v>0</v>
      </c>
      <c r="I1272" s="341"/>
      <c r="J1272" s="332">
        <f>IFERROR(__xludf.DUMMYFUNCTION("IF(IF(COUNTIF(P$2:P1271, P1272)=0, """", INDEX(H$2:H1271,
MAX(FILTER(ROW(H$2:H1271) - ROW(H$2) + 1, P$2:P1271 = P1272))))=""単価"","""",
IF(COUNTIF(P$2:P1271, P1272)=0, """", INDEX(H$2:H1271,
MAX(FILTER(ROW(H$2:H1271) - ROW(H$2) + 1, P$2:P1271 = P1272)))))"),0.0)</f>
        <v>0</v>
      </c>
      <c r="N1272" s="335" t="str">
        <f>IF(MAXIFS('単価履歴'!$O:$O,'単価履歴'!$E:$E,E1272,'単価履歴'!$F:$F,F1272)=O1272,"●","")</f>
        <v>●</v>
      </c>
      <c r="O1272" s="346"/>
      <c r="P1272" s="334" t="str">
        <f t="shared" si="4"/>
        <v>:</v>
      </c>
    </row>
    <row r="1273" ht="15.75" customHeight="1">
      <c r="A1273" s="335" t="s">
        <v>2461</v>
      </c>
      <c r="B1273" s="336">
        <v>45771.0</v>
      </c>
      <c r="C1273" s="335" t="s">
        <v>15</v>
      </c>
      <c r="D1273" s="335" t="s">
        <v>46</v>
      </c>
      <c r="E1273" s="337" t="str">
        <f t="shared" si="1"/>
        <v>山口鋼業:阪和</v>
      </c>
      <c r="F1273" s="338" t="s">
        <v>1199</v>
      </c>
      <c r="G1273" s="339" t="str">
        <f t="shared" si="2"/>
        <v>山口鋼業:阪和ＨＳ１(単体H1/電特A/HS))</v>
      </c>
      <c r="H1273" s="340">
        <f t="shared" si="3"/>
        <v>42.5</v>
      </c>
      <c r="I1273" s="341">
        <v>-0.5</v>
      </c>
      <c r="J1273" s="332">
        <f>IFERROR(__xludf.DUMMYFUNCTION("IF(IF(COUNTIF(P$2:P1272, P1273)=0, """", INDEX(H$2:H1272,
MAX(FILTER(ROW(H$2:H1272) - ROW(H$2) + 1, P$2:P1272 = P1273))))=""単価"","""",
IF(COUNTIF(P$2:P1272, P1273)=0, """", INDEX(H$2:H1272,
MAX(FILTER(ROW(H$2:H1272) - ROW(H$2) + 1, P$2:P1272 = P1273)))))"),43.0)</f>
        <v>43</v>
      </c>
      <c r="N1273" s="335" t="str">
        <f>IF(MAXIFS('単価履歴'!$O:$O,'単価履歴'!$E:$E,E1273,'単価履歴'!$F:$F,F1273)=O1273,"●","")</f>
        <v/>
      </c>
      <c r="O1273" s="346">
        <v>45770.713425925926</v>
      </c>
      <c r="P1273" s="334" t="str">
        <f t="shared" si="4"/>
        <v>山口鋼業:阪和ＨＳ１(単体H1/電特A/HS))</v>
      </c>
    </row>
    <row r="1274" ht="15.75" customHeight="1">
      <c r="A1274" s="335"/>
      <c r="B1274" s="336"/>
      <c r="C1274" s="335"/>
      <c r="D1274" s="335"/>
      <c r="E1274" s="337" t="str">
        <f t="shared" si="1"/>
        <v>:</v>
      </c>
      <c r="F1274" s="338"/>
      <c r="G1274" s="339" t="str">
        <f t="shared" si="2"/>
        <v>:</v>
      </c>
      <c r="H1274" s="340">
        <f t="shared" si="3"/>
        <v>0</v>
      </c>
      <c r="I1274" s="341"/>
      <c r="J1274" s="332">
        <f>IFERROR(__xludf.DUMMYFUNCTION("IF(IF(COUNTIF(P$2:P1273, P1274)=0, """", INDEX(H$2:H1273,
MAX(FILTER(ROW(H$2:H1273) - ROW(H$2) + 1, P$2:P1273 = P1274))))=""単価"","""",
IF(COUNTIF(P$2:P1273, P1274)=0, """", INDEX(H$2:H1273,
MAX(FILTER(ROW(H$2:H1273) - ROW(H$2) + 1, P$2:P1273 = P1274)))))"),0.0)</f>
        <v>0</v>
      </c>
      <c r="N1274" s="335" t="str">
        <f>IF(MAXIFS('単価履歴'!$O:$O,'単価履歴'!$E:$E,E1274,'単価履歴'!$F:$F,F1274)=O1274,"●","")</f>
        <v>●</v>
      </c>
      <c r="O1274" s="346"/>
      <c r="P1274" s="334" t="str">
        <f t="shared" si="4"/>
        <v>:</v>
      </c>
    </row>
    <row r="1275" ht="15.75" customHeight="1">
      <c r="A1275" s="335" t="s">
        <v>2462</v>
      </c>
      <c r="B1275" s="336">
        <v>45771.0</v>
      </c>
      <c r="C1275" s="335" t="s">
        <v>15</v>
      </c>
      <c r="D1275" s="335" t="s">
        <v>46</v>
      </c>
      <c r="E1275" s="337" t="str">
        <f t="shared" si="1"/>
        <v>山口鋼業:阪和</v>
      </c>
      <c r="F1275" s="338" t="s">
        <v>116</v>
      </c>
      <c r="G1275" s="339" t="str">
        <f t="shared" si="2"/>
        <v>山口鋼業:阪和Ｈ２(特級)</v>
      </c>
      <c r="H1275" s="340">
        <f t="shared" si="3"/>
        <v>40.5</v>
      </c>
      <c r="I1275" s="341">
        <v>-0.5</v>
      </c>
      <c r="J1275" s="332">
        <f>IFERROR(__xludf.DUMMYFUNCTION("IF(IF(COUNTIF(P$2:P1274, P1275)=0, """", INDEX(H$2:H1274,
MAX(FILTER(ROW(H$2:H1274) - ROW(H$2) + 1, P$2:P1274 = P1275))))=""単価"","""",
IF(COUNTIF(P$2:P1274, P1275)=0, """", INDEX(H$2:H1274,
MAX(FILTER(ROW(H$2:H1274) - ROW(H$2) + 1, P$2:P1274 = P1275)))))"),41.0)</f>
        <v>41</v>
      </c>
      <c r="N1275" s="335" t="str">
        <f>IF(MAXIFS('単価履歴'!$O:$O,'単価履歴'!$E:$E,E1275,'単価履歴'!$F:$F,F1275)=O1275,"●","")</f>
        <v/>
      </c>
      <c r="O1275" s="346">
        <v>45770.713425925926</v>
      </c>
      <c r="P1275" s="334" t="str">
        <f t="shared" si="4"/>
        <v>山口鋼業:阪和Ｈ２(特級)</v>
      </c>
    </row>
    <row r="1276" ht="15.75" customHeight="1">
      <c r="A1276" s="335" t="s">
        <v>2463</v>
      </c>
      <c r="B1276" s="336">
        <v>45771.0</v>
      </c>
      <c r="C1276" s="335" t="s">
        <v>15</v>
      </c>
      <c r="D1276" s="335" t="s">
        <v>46</v>
      </c>
      <c r="E1276" s="337" t="str">
        <f t="shared" si="1"/>
        <v>山口鋼業:阪和</v>
      </c>
      <c r="F1276" s="338" t="s">
        <v>119</v>
      </c>
      <c r="G1276" s="339" t="str">
        <f t="shared" si="2"/>
        <v>山口鋼業:阪和Ｈ３(1級)</v>
      </c>
      <c r="H1276" s="340">
        <f t="shared" si="3"/>
        <v>39.5</v>
      </c>
      <c r="I1276" s="341">
        <v>-0.5</v>
      </c>
      <c r="J1276" s="332">
        <f>IFERROR(__xludf.DUMMYFUNCTION("IF(IF(COUNTIF(P$2:P1275, P1276)=0, """", INDEX(H$2:H1275,
MAX(FILTER(ROW(H$2:H1275) - ROW(H$2) + 1, P$2:P1275 = P1276))))=""単価"","""",
IF(COUNTIF(P$2:P1275, P1276)=0, """", INDEX(H$2:H1275,
MAX(FILTER(ROW(H$2:H1275) - ROW(H$2) + 1, P$2:P1275 = P1276)))))"),40.0)</f>
        <v>40</v>
      </c>
      <c r="N1276" s="335" t="str">
        <f>IF(MAXIFS('単価履歴'!$O:$O,'単価履歴'!$E:$E,E1276,'単価履歴'!$F:$F,F1276)=O1276,"●","")</f>
        <v/>
      </c>
      <c r="O1276" s="346">
        <v>45770.713425925926</v>
      </c>
      <c r="P1276" s="334" t="str">
        <f t="shared" si="4"/>
        <v>山口鋼業:阪和Ｈ３(1級)</v>
      </c>
    </row>
    <row r="1277" ht="15.75" customHeight="1">
      <c r="A1277" s="335" t="s">
        <v>2464</v>
      </c>
      <c r="B1277" s="336">
        <v>45771.0</v>
      </c>
      <c r="C1277" s="335" t="s">
        <v>15</v>
      </c>
      <c r="D1277" s="335" t="s">
        <v>46</v>
      </c>
      <c r="E1277" s="337" t="str">
        <f t="shared" si="1"/>
        <v>山口鋼業:阪和</v>
      </c>
      <c r="F1277" s="338" t="s">
        <v>573</v>
      </c>
      <c r="G1277" s="339" t="str">
        <f t="shared" si="2"/>
        <v>山口鋼業:阪和Ｌ２(H4･級外･L1ﾊﾞﾗ)</v>
      </c>
      <c r="H1277" s="340">
        <f t="shared" si="3"/>
        <v>38</v>
      </c>
      <c r="I1277" s="341">
        <v>-0.5</v>
      </c>
      <c r="J1277" s="332">
        <f>IFERROR(__xludf.DUMMYFUNCTION("IF(IF(COUNTIF(P$2:P1276, P1277)=0, """", INDEX(H$2:H1276,
MAX(FILTER(ROW(H$2:H1276) - ROW(H$2) + 1, P$2:P1276 = P1277))))=""単価"","""",
IF(COUNTIF(P$2:P1276, P1277)=0, """", INDEX(H$2:H1276,
MAX(FILTER(ROW(H$2:H1276) - ROW(H$2) + 1, P$2:P1276 = P1277)))))"),38.5)</f>
        <v>38.5</v>
      </c>
      <c r="N1277" s="335" t="str">
        <f>IF(MAXIFS('単価履歴'!$O:$O,'単価履歴'!$E:$E,E1277,'単価履歴'!$F:$F,F1277)=O1277,"●","")</f>
        <v/>
      </c>
      <c r="O1277" s="346">
        <v>45770.713425925926</v>
      </c>
      <c r="P1277" s="334" t="str">
        <f t="shared" si="4"/>
        <v>山口鋼業:阪和Ｌ２(H4･級外･L1ﾊﾞﾗ)</v>
      </c>
    </row>
    <row r="1278" ht="15.75" customHeight="1">
      <c r="A1278" s="335" t="s">
        <v>2465</v>
      </c>
      <c r="B1278" s="336">
        <v>45771.0</v>
      </c>
      <c r="C1278" s="335" t="s">
        <v>15</v>
      </c>
      <c r="D1278" s="335" t="s">
        <v>46</v>
      </c>
      <c r="E1278" s="337" t="str">
        <f t="shared" si="1"/>
        <v>山口鋼業:阪和</v>
      </c>
      <c r="F1278" s="338" t="s">
        <v>575</v>
      </c>
      <c r="G1278" s="339" t="str">
        <f t="shared" si="2"/>
        <v>山口鋼業:阪和鋼ダライＡ</v>
      </c>
      <c r="H1278" s="340">
        <f t="shared" si="3"/>
        <v>2</v>
      </c>
      <c r="I1278" s="341">
        <v>-0.5</v>
      </c>
      <c r="J1278" s="332">
        <f>IFERROR(__xludf.DUMMYFUNCTION("IF(IF(COUNTIF(P$2:P1277, P1278)=0, """", INDEX(H$2:H1277,
MAX(FILTER(ROW(H$2:H1277) - ROW(H$2) + 1, P$2:P1277 = P1278))))=""単価"","""",
IF(COUNTIF(P$2:P1277, P1278)=0, """", INDEX(H$2:H1277,
MAX(FILTER(ROW(H$2:H1277) - ROW(H$2) + 1, P$2:P1277 = P1278)))))"),2.5)</f>
        <v>2.5</v>
      </c>
      <c r="N1278" s="335" t="str">
        <f>IF(MAXIFS('単価履歴'!$O:$O,'単価履歴'!$E:$E,E1278,'単価履歴'!$F:$F,F1278)=O1278,"●","")</f>
        <v/>
      </c>
      <c r="O1278" s="346">
        <v>45770.713425925926</v>
      </c>
      <c r="P1278" s="334" t="str">
        <f t="shared" si="4"/>
        <v>山口鋼業:阪和鋼ダライＡ</v>
      </c>
    </row>
    <row r="1279" ht="15.75" customHeight="1">
      <c r="A1279" s="335"/>
      <c r="B1279" s="336"/>
      <c r="C1279" s="335"/>
      <c r="D1279" s="335"/>
      <c r="E1279" s="337" t="str">
        <f t="shared" si="1"/>
        <v>:</v>
      </c>
      <c r="F1279" s="338"/>
      <c r="G1279" s="339" t="str">
        <f t="shared" si="2"/>
        <v>:</v>
      </c>
      <c r="H1279" s="340">
        <f t="shared" si="3"/>
        <v>0</v>
      </c>
      <c r="I1279" s="341"/>
      <c r="J1279" s="332">
        <f>IFERROR(__xludf.DUMMYFUNCTION("IF(IF(COUNTIF(P$2:P1278, P1279)=0, """", INDEX(H$2:H1278,
MAX(FILTER(ROW(H$2:H1278) - ROW(H$2) + 1, P$2:P1278 = P1279))))=""単価"","""",
IF(COUNTIF(P$2:P1278, P1279)=0, """", INDEX(H$2:H1278,
MAX(FILTER(ROW(H$2:H1278) - ROW(H$2) + 1, P$2:P1278 = P1279)))))"),0.0)</f>
        <v>0</v>
      </c>
      <c r="N1279" s="335" t="str">
        <f>IF(MAXIFS('単価履歴'!$O:$O,'単価履歴'!$E:$E,E1279,'単価履歴'!$F:$F,F1279)=O1279,"●","")</f>
        <v>●</v>
      </c>
      <c r="O1279" s="346"/>
      <c r="P1279" s="334" t="str">
        <f t="shared" si="4"/>
        <v>:</v>
      </c>
    </row>
    <row r="1280" ht="15.75" customHeight="1">
      <c r="A1280" s="335" t="s">
        <v>2466</v>
      </c>
      <c r="B1280" s="336">
        <v>45771.0</v>
      </c>
      <c r="C1280" s="335" t="s">
        <v>15</v>
      </c>
      <c r="D1280" s="335" t="s">
        <v>46</v>
      </c>
      <c r="E1280" s="337" t="str">
        <f t="shared" si="1"/>
        <v>山口鋼業:阪和</v>
      </c>
      <c r="F1280" s="338" t="s">
        <v>111</v>
      </c>
      <c r="G1280" s="339" t="str">
        <f t="shared" si="2"/>
        <v>山口鋼業:阪和Ｈ１(特A)</v>
      </c>
      <c r="H1280" s="340">
        <f t="shared" si="3"/>
        <v>41</v>
      </c>
      <c r="I1280" s="341">
        <v>-0.5</v>
      </c>
      <c r="J1280" s="332">
        <f>IFERROR(__xludf.DUMMYFUNCTION("IF(IF(COUNTIF(P$2:P1279, P1280)=0, """", INDEX(H$2:H1279,
MAX(FILTER(ROW(H$2:H1279) - ROW(H$2) + 1, P$2:P1279 = P1280))))=""単価"","""",
IF(COUNTIF(P$2:P1279, P1280)=0, """", INDEX(H$2:H1279,
MAX(FILTER(ROW(H$2:H1279) - ROW(H$2) + 1, P$2:P1279 = P1280)))))"),41.5)</f>
        <v>41.5</v>
      </c>
      <c r="N1280" s="335" t="str">
        <f>IF(MAXIFS('単価履歴'!$O:$O,'単価履歴'!$E:$E,E1280,'単価履歴'!$F:$F,F1280)=O1280,"●","")</f>
        <v/>
      </c>
      <c r="O1280" s="346">
        <v>45770.713425925926</v>
      </c>
      <c r="P1280" s="334" t="str">
        <f t="shared" si="4"/>
        <v>山口鋼業:阪和Ｈ１(特A)</v>
      </c>
    </row>
    <row r="1281" ht="15.75" customHeight="1">
      <c r="A1281" s="335" t="s">
        <v>2467</v>
      </c>
      <c r="B1281" s="336">
        <v>45771.0</v>
      </c>
      <c r="C1281" s="335" t="s">
        <v>537</v>
      </c>
      <c r="D1281" s="335" t="s">
        <v>59</v>
      </c>
      <c r="E1281" s="337" t="str">
        <f t="shared" si="1"/>
        <v>大同特殊鋼:大同興業</v>
      </c>
      <c r="F1281" s="338" t="s">
        <v>1199</v>
      </c>
      <c r="G1281" s="339" t="str">
        <f t="shared" si="2"/>
        <v>大同特殊鋼:大同興業ＨＳ１(単体H1/電特A/HS))</v>
      </c>
      <c r="H1281" s="340">
        <f t="shared" si="3"/>
        <v>44.5</v>
      </c>
      <c r="I1281" s="341">
        <v>-0.5</v>
      </c>
      <c r="J1281" s="332">
        <f>IFERROR(__xludf.DUMMYFUNCTION("IF(IF(COUNTIF(P$2:P1280, P1281)=0, """", INDEX(H$2:H1280,
MAX(FILTER(ROW(H$2:H1280) - ROW(H$2) + 1, P$2:P1280 = P1281))))=""単価"","""",
IF(COUNTIF(P$2:P1280, P1281)=0, """", INDEX(H$2:H1280,
MAX(FILTER(ROW(H$2:H1280) - ROW(H$2) + 1, P$2:P1280 = P1281)))))"),45.0)</f>
        <v>45</v>
      </c>
      <c r="N1281" s="335" t="str">
        <f>IF(MAXIFS('単価履歴'!$O:$O,'単価履歴'!$E:$E,E1281,'単価履歴'!$F:$F,F1281)=O1281,"●","")</f>
        <v/>
      </c>
      <c r="O1281" s="346">
        <v>45770.71368055556</v>
      </c>
      <c r="P1281" s="334" t="str">
        <f t="shared" si="4"/>
        <v>大同特殊鋼:大同興業ＨＳ１(単体H1/電特A/HS))</v>
      </c>
    </row>
    <row r="1282" ht="15.75" customHeight="1">
      <c r="A1282" s="335" t="s">
        <v>2468</v>
      </c>
      <c r="B1282" s="336">
        <v>45771.0</v>
      </c>
      <c r="C1282" s="335" t="s">
        <v>537</v>
      </c>
      <c r="D1282" s="335" t="s">
        <v>59</v>
      </c>
      <c r="E1282" s="337" t="str">
        <f t="shared" si="1"/>
        <v>大同特殊鋼:大同興業</v>
      </c>
      <c r="F1282" s="338" t="s">
        <v>575</v>
      </c>
      <c r="G1282" s="339" t="str">
        <f t="shared" si="2"/>
        <v>大同特殊鋼:大同興業鋼ダライＡ</v>
      </c>
      <c r="H1282" s="340">
        <f t="shared" si="3"/>
        <v>37.4</v>
      </c>
      <c r="I1282" s="341">
        <v>-0.5</v>
      </c>
      <c r="J1282" s="332">
        <f>IFERROR(__xludf.DUMMYFUNCTION("IF(IF(COUNTIF(P$2:P1281, P1282)=0, """", INDEX(H$2:H1281,
MAX(FILTER(ROW(H$2:H1281) - ROW(H$2) + 1, P$2:P1281 = P1282))))=""単価"","""",
IF(COUNTIF(P$2:P1281, P1282)=0, """", INDEX(H$2:H1281,
MAX(FILTER(ROW(H$2:H1281) - ROW(H$2) + 1, P$2:P1281 = P1282)))))"),37.9)</f>
        <v>37.9</v>
      </c>
      <c r="N1282" s="335" t="str">
        <f>IF(MAXIFS('単価履歴'!$O:$O,'単価履歴'!$E:$E,E1282,'単価履歴'!$F:$F,F1282)=O1282,"●","")</f>
        <v/>
      </c>
      <c r="O1282" s="346">
        <v>45770.71368055556</v>
      </c>
      <c r="P1282" s="334" t="str">
        <f t="shared" si="4"/>
        <v>大同特殊鋼:大同興業鋼ダライＡ</v>
      </c>
    </row>
    <row r="1283" ht="15.75" customHeight="1">
      <c r="A1283" s="335" t="s">
        <v>2469</v>
      </c>
      <c r="B1283" s="336">
        <v>45771.0</v>
      </c>
      <c r="C1283" s="335" t="s">
        <v>537</v>
      </c>
      <c r="D1283" s="335" t="s">
        <v>59</v>
      </c>
      <c r="E1283" s="337" t="str">
        <f t="shared" si="1"/>
        <v>大同特殊鋼:大同興業</v>
      </c>
      <c r="F1283" s="338" t="s">
        <v>116</v>
      </c>
      <c r="G1283" s="339" t="str">
        <f t="shared" si="2"/>
        <v>大同特殊鋼:大同興業Ｈ２(特級)</v>
      </c>
      <c r="H1283" s="340">
        <f t="shared" si="3"/>
        <v>1</v>
      </c>
      <c r="I1283" s="341">
        <v>-0.5</v>
      </c>
      <c r="J1283" s="332">
        <f>IFERROR(__xludf.DUMMYFUNCTION("IF(IF(COUNTIF(P$2:P1282, P1283)=0, """", INDEX(H$2:H1282,
MAX(FILTER(ROW(H$2:H1282) - ROW(H$2) + 1, P$2:P1282 = P1283))))=""単価"","""",
IF(COUNTIF(P$2:P1282, P1283)=0, """", INDEX(H$2:H1282,
MAX(FILTER(ROW(H$2:H1282) - ROW(H$2) + 1, P$2:P1282 = P1283)))))"),1.5)</f>
        <v>1.5</v>
      </c>
      <c r="N1283" s="335" t="str">
        <f>IF(MAXIFS('単価履歴'!$O:$O,'単価履歴'!$E:$E,E1283,'単価履歴'!$F:$F,F1283)=O1283,"●","")</f>
        <v/>
      </c>
      <c r="O1283" s="346">
        <v>45770.71368055556</v>
      </c>
      <c r="P1283" s="334" t="str">
        <f t="shared" si="4"/>
        <v>大同特殊鋼:大同興業Ｈ２(特級)</v>
      </c>
    </row>
    <row r="1284" ht="15.75" customHeight="1">
      <c r="A1284" s="335" t="s">
        <v>2470</v>
      </c>
      <c r="B1284" s="336">
        <v>45771.0</v>
      </c>
      <c r="C1284" s="335" t="s">
        <v>537</v>
      </c>
      <c r="D1284" s="335" t="s">
        <v>1404</v>
      </c>
      <c r="E1284" s="337" t="str">
        <f t="shared" si="1"/>
        <v>大同特殊鋼:JSE/大和ﾘﾃｯｸ</v>
      </c>
      <c r="F1284" s="338" t="s">
        <v>1199</v>
      </c>
      <c r="G1284" s="339" t="str">
        <f t="shared" si="2"/>
        <v>大同特殊鋼:JSE/大和ﾘﾃｯｸＨＳ１(単体H1/電特A/HS))</v>
      </c>
      <c r="H1284" s="340">
        <f t="shared" si="3"/>
        <v>45.5</v>
      </c>
      <c r="I1284" s="341">
        <v>-0.5</v>
      </c>
      <c r="J1284" s="332">
        <f>IFERROR(__xludf.DUMMYFUNCTION("IF(IF(COUNTIF(P$2:P1283, P1284)=0, """", INDEX(H$2:H1283,
MAX(FILTER(ROW(H$2:H1283) - ROW(H$2) + 1, P$2:P1283 = P1284))))=""単価"","""",
IF(COUNTIF(P$2:P1283, P1284)=0, """", INDEX(H$2:H1283,
MAX(FILTER(ROW(H$2:H1283) - ROW(H$2) + 1, P$2:P1283 = P1284)))))"),46.0)</f>
        <v>46</v>
      </c>
      <c r="N1284" s="335" t="str">
        <f>IF(MAXIFS('単価履歴'!$O:$O,'単価履歴'!$E:$E,E1284,'単価履歴'!$F:$F,F1284)=O1284,"●","")</f>
        <v/>
      </c>
      <c r="O1284" s="346">
        <v>45770.71368055556</v>
      </c>
      <c r="P1284" s="334" t="str">
        <f t="shared" si="4"/>
        <v>大同特殊鋼:JSE/大和ﾘﾃｯｸＨＳ１(単体H1/電特A/HS))</v>
      </c>
    </row>
    <row r="1285" ht="15.75" customHeight="1">
      <c r="A1285" s="335" t="s">
        <v>2471</v>
      </c>
      <c r="B1285" s="336">
        <v>45771.0</v>
      </c>
      <c r="C1285" s="335" t="s">
        <v>537</v>
      </c>
      <c r="D1285" s="335" t="s">
        <v>1404</v>
      </c>
      <c r="E1285" s="337" t="str">
        <f t="shared" si="1"/>
        <v>大同特殊鋼:JSE/大和ﾘﾃｯｸ</v>
      </c>
      <c r="F1285" s="338" t="s">
        <v>575</v>
      </c>
      <c r="G1285" s="339" t="str">
        <f t="shared" si="2"/>
        <v>大同特殊鋼:JSE/大和ﾘﾃｯｸ鋼ダライＡ</v>
      </c>
      <c r="H1285" s="340">
        <f t="shared" si="3"/>
        <v>40.8</v>
      </c>
      <c r="I1285" s="341">
        <v>-0.5</v>
      </c>
      <c r="J1285" s="332">
        <f>IFERROR(__xludf.DUMMYFUNCTION("IF(IF(COUNTIF(P$2:P1284, P1285)=0, """", INDEX(H$2:H1284,
MAX(FILTER(ROW(H$2:H1284) - ROW(H$2) + 1, P$2:P1284 = P1285))))=""単価"","""",
IF(COUNTIF(P$2:P1284, P1285)=0, """", INDEX(H$2:H1284,
MAX(FILTER(ROW(H$2:H1284) - ROW(H$2) + 1, P$2:P1284 = P1285)))))"),41.3)</f>
        <v>41.3</v>
      </c>
      <c r="N1285" s="335" t="str">
        <f>IF(MAXIFS('単価履歴'!$O:$O,'単価履歴'!$E:$E,E1285,'単価履歴'!$F:$F,F1285)=O1285,"●","")</f>
        <v/>
      </c>
      <c r="O1285" s="346">
        <v>45770.71368055556</v>
      </c>
      <c r="P1285" s="334" t="str">
        <f t="shared" si="4"/>
        <v>大同特殊鋼:JSE/大和ﾘﾃｯｸ鋼ダライＡ</v>
      </c>
    </row>
    <row r="1286" ht="15.75" customHeight="1">
      <c r="A1286" s="335" t="s">
        <v>2472</v>
      </c>
      <c r="B1286" s="336">
        <v>45771.0</v>
      </c>
      <c r="C1286" s="335" t="s">
        <v>537</v>
      </c>
      <c r="D1286" s="335" t="s">
        <v>1404</v>
      </c>
      <c r="E1286" s="337" t="str">
        <f t="shared" si="1"/>
        <v>大同特殊鋼:JSE/大和ﾘﾃｯｸ</v>
      </c>
      <c r="F1286" s="338" t="s">
        <v>116</v>
      </c>
      <c r="G1286" s="339" t="str">
        <f t="shared" si="2"/>
        <v>大同特殊鋼:JSE/大和ﾘﾃｯｸＨ２(特級)</v>
      </c>
      <c r="H1286" s="340">
        <f t="shared" si="3"/>
        <v>42</v>
      </c>
      <c r="I1286" s="341">
        <v>-0.5</v>
      </c>
      <c r="J1286" s="332">
        <f>IFERROR(__xludf.DUMMYFUNCTION("IF(IF(COUNTIF(P$2:P1285, P1286)=0, """", INDEX(H$2:H1285,
MAX(FILTER(ROW(H$2:H1285) - ROW(H$2) + 1, P$2:P1285 = P1286))))=""単価"","""",
IF(COUNTIF(P$2:P1285, P1286)=0, """", INDEX(H$2:H1285,
MAX(FILTER(ROW(H$2:H1285) - ROW(H$2) + 1, P$2:P1285 = P1286)))))"),42.5)</f>
        <v>42.5</v>
      </c>
      <c r="N1286" s="335" t="str">
        <f>IF(MAXIFS('単価履歴'!$O:$O,'単価履歴'!$E:$E,E1286,'単価履歴'!$F:$F,F1286)=O1286,"●","")</f>
        <v/>
      </c>
      <c r="O1286" s="346">
        <v>45770.71368055556</v>
      </c>
      <c r="P1286" s="334" t="str">
        <f t="shared" si="4"/>
        <v>大同特殊鋼:JSE/大和ﾘﾃｯｸＨ２(特級)</v>
      </c>
    </row>
    <row r="1287" ht="15.75" customHeight="1">
      <c r="A1287" s="335" t="s">
        <v>2473</v>
      </c>
      <c r="B1287" s="336">
        <v>45771.0</v>
      </c>
      <c r="C1287" s="335" t="s">
        <v>537</v>
      </c>
      <c r="D1287" s="335" t="s">
        <v>1407</v>
      </c>
      <c r="E1287" s="337" t="str">
        <f t="shared" si="1"/>
        <v>大同特殊鋼:JSE/第二＠2.3</v>
      </c>
      <c r="F1287" s="338" t="s">
        <v>1199</v>
      </c>
      <c r="G1287" s="339" t="str">
        <f t="shared" si="2"/>
        <v>大同特殊鋼:JSE/第二＠2.3ＨＳ１(単体H1/電特A/HS))</v>
      </c>
      <c r="H1287" s="340">
        <f t="shared" si="3"/>
        <v>43.2</v>
      </c>
      <c r="I1287" s="341">
        <v>-0.5</v>
      </c>
      <c r="J1287" s="332">
        <f>IFERROR(__xludf.DUMMYFUNCTION("IF(IF(COUNTIF(P$2:P1286, P1287)=0, """", INDEX(H$2:H1286,
MAX(FILTER(ROW(H$2:H1286) - ROW(H$2) + 1, P$2:P1286 = P1287))))=""単価"","""",
IF(COUNTIF(P$2:P1286, P1287)=0, """", INDEX(H$2:H1286,
MAX(FILTER(ROW(H$2:H1286) - ROW(H$2) + 1, P$2:P1286 = P1287)))))"),43.7)</f>
        <v>43.7</v>
      </c>
      <c r="N1287" s="335" t="str">
        <f>IF(MAXIFS('単価履歴'!$O:$O,'単価履歴'!$E:$E,E1287,'単価履歴'!$F:$F,F1287)=O1287,"●","")</f>
        <v/>
      </c>
      <c r="O1287" s="346">
        <v>45770.71368055556</v>
      </c>
      <c r="P1287" s="334" t="str">
        <f t="shared" si="4"/>
        <v>大同特殊鋼:JSE/第二＠2.3ＨＳ１(単体H1/電特A/HS))</v>
      </c>
    </row>
    <row r="1288" ht="15.75" customHeight="1">
      <c r="A1288" s="335" t="s">
        <v>2474</v>
      </c>
      <c r="B1288" s="336">
        <v>45771.0</v>
      </c>
      <c r="C1288" s="335" t="s">
        <v>537</v>
      </c>
      <c r="D1288" s="335" t="s">
        <v>1407</v>
      </c>
      <c r="E1288" s="337" t="str">
        <f t="shared" si="1"/>
        <v>大同特殊鋼:JSE/第二＠2.3</v>
      </c>
      <c r="F1288" s="338" t="s">
        <v>575</v>
      </c>
      <c r="G1288" s="339" t="str">
        <f t="shared" si="2"/>
        <v>大同特殊鋼:JSE/第二＠2.3鋼ダライＡ</v>
      </c>
      <c r="H1288" s="340">
        <f t="shared" si="3"/>
        <v>38.5</v>
      </c>
      <c r="I1288" s="341">
        <v>-0.5</v>
      </c>
      <c r="J1288" s="332">
        <f>IFERROR(__xludf.DUMMYFUNCTION("IF(IF(COUNTIF(P$2:P1287, P1288)=0, """", INDEX(H$2:H1287,
MAX(FILTER(ROW(H$2:H1287) - ROW(H$2) + 1, P$2:P1287 = P1288))))=""単価"","""",
IF(COUNTIF(P$2:P1287, P1288)=0, """", INDEX(H$2:H1287,
MAX(FILTER(ROW(H$2:H1287) - ROW(H$2) + 1, P$2:P1287 = P1288)))))"),39.0)</f>
        <v>39</v>
      </c>
      <c r="N1288" s="335" t="str">
        <f>IF(MAXIFS('単価履歴'!$O:$O,'単価履歴'!$E:$E,E1288,'単価履歴'!$F:$F,F1288)=O1288,"●","")</f>
        <v/>
      </c>
      <c r="O1288" s="346">
        <v>45770.71368055556</v>
      </c>
      <c r="P1288" s="334" t="str">
        <f t="shared" si="4"/>
        <v>大同特殊鋼:JSE/第二＠2.3鋼ダライＡ</v>
      </c>
    </row>
    <row r="1289" ht="15.75" customHeight="1">
      <c r="A1289" s="335" t="s">
        <v>2475</v>
      </c>
      <c r="B1289" s="336">
        <v>45771.0</v>
      </c>
      <c r="C1289" s="335" t="s">
        <v>537</v>
      </c>
      <c r="D1289" s="335" t="s">
        <v>1407</v>
      </c>
      <c r="E1289" s="337" t="str">
        <f t="shared" si="1"/>
        <v>大同特殊鋼:JSE/第二＠2.3</v>
      </c>
      <c r="F1289" s="338" t="s">
        <v>116</v>
      </c>
      <c r="G1289" s="339" t="str">
        <f t="shared" si="2"/>
        <v>大同特殊鋼:JSE/第二＠2.3Ｈ２(特級)</v>
      </c>
      <c r="H1289" s="340">
        <f t="shared" si="3"/>
        <v>39.7</v>
      </c>
      <c r="I1289" s="341">
        <v>-0.5</v>
      </c>
      <c r="J1289" s="332">
        <f>IFERROR(__xludf.DUMMYFUNCTION("IF(IF(COUNTIF(P$2:P1288, P1289)=0, """", INDEX(H$2:H1288,
MAX(FILTER(ROW(H$2:H1288) - ROW(H$2) + 1, P$2:P1288 = P1289))))=""単価"","""",
IF(COUNTIF(P$2:P1288, P1289)=0, """", INDEX(H$2:H1288,
MAX(FILTER(ROW(H$2:H1288) - ROW(H$2) + 1, P$2:P1288 = P1289)))))"),40.2)</f>
        <v>40.2</v>
      </c>
      <c r="N1289" s="335" t="str">
        <f>IF(MAXIFS('単価履歴'!$O:$O,'単価履歴'!$E:$E,E1289,'単価履歴'!$F:$F,F1289)=O1289,"●","")</f>
        <v/>
      </c>
      <c r="O1289" s="346">
        <v>45770.71368055556</v>
      </c>
      <c r="P1289" s="334" t="str">
        <f t="shared" si="4"/>
        <v>大同特殊鋼:JSE/第二＠2.3Ｈ２(特級)</v>
      </c>
    </row>
    <row r="1290" ht="15.75" customHeight="1">
      <c r="A1290" s="335" t="s">
        <v>2476</v>
      </c>
      <c r="B1290" s="336">
        <v>45771.0</v>
      </c>
      <c r="C1290" s="335" t="s">
        <v>537</v>
      </c>
      <c r="D1290" s="335" t="s">
        <v>1410</v>
      </c>
      <c r="E1290" s="337" t="str">
        <f t="shared" si="1"/>
        <v>大同特殊鋼:JSE/岐阜＠1.5</v>
      </c>
      <c r="F1290" s="338" t="s">
        <v>1199</v>
      </c>
      <c r="G1290" s="339" t="str">
        <f t="shared" si="2"/>
        <v>大同特殊鋼:JSE/岐阜＠1.5ＨＳ１(単体H1/電特A/HS))</v>
      </c>
      <c r="H1290" s="340">
        <f t="shared" si="3"/>
        <v>44</v>
      </c>
      <c r="I1290" s="341">
        <v>-0.5</v>
      </c>
      <c r="J1290" s="332">
        <f>IFERROR(__xludf.DUMMYFUNCTION("IF(IF(COUNTIF(P$2:P1289, P1290)=0, """", INDEX(H$2:H1289,
MAX(FILTER(ROW(H$2:H1289) - ROW(H$2) + 1, P$2:P1289 = P1290))))=""単価"","""",
IF(COUNTIF(P$2:P1289, P1290)=0, """", INDEX(H$2:H1289,
MAX(FILTER(ROW(H$2:H1289) - ROW(H$2) + 1, P$2:P1289 = P1290)))))"),44.5)</f>
        <v>44.5</v>
      </c>
      <c r="N1290" s="335" t="str">
        <f>IF(MAXIFS('単価履歴'!$O:$O,'単価履歴'!$E:$E,E1290,'単価履歴'!$F:$F,F1290)=O1290,"●","")</f>
        <v/>
      </c>
      <c r="O1290" s="346">
        <v>45770.71368055556</v>
      </c>
      <c r="P1290" s="334" t="str">
        <f t="shared" si="4"/>
        <v>大同特殊鋼:JSE/岐阜＠1.5ＨＳ１(単体H1/電特A/HS))</v>
      </c>
    </row>
    <row r="1291" ht="15.75" customHeight="1">
      <c r="A1291" s="335" t="s">
        <v>2477</v>
      </c>
      <c r="B1291" s="336">
        <v>45771.0</v>
      </c>
      <c r="C1291" s="335" t="s">
        <v>537</v>
      </c>
      <c r="D1291" s="335" t="s">
        <v>1410</v>
      </c>
      <c r="E1291" s="337" t="str">
        <f t="shared" si="1"/>
        <v>大同特殊鋼:JSE/岐阜＠1.5</v>
      </c>
      <c r="F1291" s="338" t="s">
        <v>575</v>
      </c>
      <c r="G1291" s="339" t="str">
        <f t="shared" si="2"/>
        <v>大同特殊鋼:JSE/岐阜＠1.5鋼ダライＡ</v>
      </c>
      <c r="H1291" s="340">
        <f t="shared" si="3"/>
        <v>39.3</v>
      </c>
      <c r="I1291" s="341">
        <v>-0.5</v>
      </c>
      <c r="J1291" s="332">
        <f>IFERROR(__xludf.DUMMYFUNCTION("IF(IF(COUNTIF(P$2:P1290, P1291)=0, """", INDEX(H$2:H1290,
MAX(FILTER(ROW(H$2:H1290) - ROW(H$2) + 1, P$2:P1290 = P1291))))=""単価"","""",
IF(COUNTIF(P$2:P1290, P1291)=0, """", INDEX(H$2:H1290,
MAX(FILTER(ROW(H$2:H1290) - ROW(H$2) + 1, P$2:P1290 = P1291)))))"),39.8)</f>
        <v>39.8</v>
      </c>
      <c r="N1291" s="335" t="str">
        <f>IF(MAXIFS('単価履歴'!$O:$O,'単価履歴'!$E:$E,E1291,'単価履歴'!$F:$F,F1291)=O1291,"●","")</f>
        <v/>
      </c>
      <c r="O1291" s="346">
        <v>45770.71368055556</v>
      </c>
      <c r="P1291" s="334" t="str">
        <f t="shared" si="4"/>
        <v>大同特殊鋼:JSE/岐阜＠1.5鋼ダライＡ</v>
      </c>
    </row>
    <row r="1292" ht="15.75" customHeight="1">
      <c r="A1292" s="335" t="s">
        <v>2478</v>
      </c>
      <c r="B1292" s="336">
        <v>45771.0</v>
      </c>
      <c r="C1292" s="335" t="s">
        <v>537</v>
      </c>
      <c r="D1292" s="335" t="s">
        <v>1410</v>
      </c>
      <c r="E1292" s="337" t="str">
        <f t="shared" si="1"/>
        <v>大同特殊鋼:JSE/岐阜＠1.5</v>
      </c>
      <c r="F1292" s="338" t="s">
        <v>116</v>
      </c>
      <c r="G1292" s="339" t="str">
        <f t="shared" si="2"/>
        <v>大同特殊鋼:JSE/岐阜＠1.5Ｈ２(特級)</v>
      </c>
      <c r="H1292" s="340">
        <f t="shared" si="3"/>
        <v>40.5</v>
      </c>
      <c r="I1292" s="341">
        <v>-0.5</v>
      </c>
      <c r="J1292" s="332">
        <f>IFERROR(__xludf.DUMMYFUNCTION("IF(IF(COUNTIF(P$2:P1291, P1292)=0, """", INDEX(H$2:H1291,
MAX(FILTER(ROW(H$2:H1291) - ROW(H$2) + 1, P$2:P1291 = P1292))))=""単価"","""",
IF(COUNTIF(P$2:P1291, P1292)=0, """", INDEX(H$2:H1291,
MAX(FILTER(ROW(H$2:H1291) - ROW(H$2) + 1, P$2:P1291 = P1292)))))"),41.0)</f>
        <v>41</v>
      </c>
      <c r="N1292" s="335" t="str">
        <f>IF(MAXIFS('単価履歴'!$O:$O,'単価履歴'!$E:$E,E1292,'単価履歴'!$F:$F,F1292)=O1292,"●","")</f>
        <v/>
      </c>
      <c r="O1292" s="346">
        <v>45770.71368055556</v>
      </c>
      <c r="P1292" s="334" t="str">
        <f t="shared" si="4"/>
        <v>大同特殊鋼:JSE/岐阜＠1.5Ｈ２(特級)</v>
      </c>
    </row>
    <row r="1293" ht="15.75" customHeight="1">
      <c r="A1293" s="335" t="s">
        <v>2479</v>
      </c>
      <c r="B1293" s="336">
        <v>45771.0</v>
      </c>
      <c r="C1293" s="335" t="s">
        <v>19</v>
      </c>
      <c r="D1293" s="335" t="s">
        <v>61</v>
      </c>
      <c r="E1293" s="337" t="str">
        <f t="shared" si="1"/>
        <v>トピー工業:ＭＭ</v>
      </c>
      <c r="F1293" s="338" t="s">
        <v>116</v>
      </c>
      <c r="G1293" s="339" t="str">
        <f t="shared" si="2"/>
        <v>トピー工業:ＭＭＨ２(特級)</v>
      </c>
      <c r="H1293" s="340">
        <f t="shared" si="3"/>
        <v>35.5</v>
      </c>
      <c r="I1293" s="341">
        <v>-1.0</v>
      </c>
      <c r="J1293" s="332">
        <f>IFERROR(__xludf.DUMMYFUNCTION("IF(IF(COUNTIF(P$2:P1292, P1293)=0, """", INDEX(H$2:H1292,
MAX(FILTER(ROW(H$2:H1292) - ROW(H$2) + 1, P$2:P1292 = P1293))))=""単価"","""",
IF(COUNTIF(P$2:P1292, P1293)=0, """", INDEX(H$2:H1292,
MAX(FILTER(ROW(H$2:H1292) - ROW(H$2) + 1, P$2:P1292 = P1293)))))"),36.5)</f>
        <v>36.5</v>
      </c>
      <c r="N1293" s="335" t="str">
        <f>IF(MAXIFS('単価履歴'!$O:$O,'単価履歴'!$E:$E,E1293,'単価履歴'!$F:$F,F1293)=O1293,"●","")</f>
        <v/>
      </c>
      <c r="O1293" s="346">
        <v>45770.71388888889</v>
      </c>
      <c r="P1293" s="334" t="str">
        <f t="shared" si="4"/>
        <v>トピー工業:ＭＭＨ２(特級)</v>
      </c>
    </row>
    <row r="1294" ht="15.75" customHeight="1">
      <c r="A1294" s="335" t="s">
        <v>2480</v>
      </c>
      <c r="B1294" s="336">
        <v>45771.0</v>
      </c>
      <c r="C1294" s="335" t="s">
        <v>14</v>
      </c>
      <c r="D1294" s="335" t="s">
        <v>46</v>
      </c>
      <c r="E1294" s="337" t="str">
        <f t="shared" si="1"/>
        <v>愛知:阪和</v>
      </c>
      <c r="F1294" s="338" t="s">
        <v>1199</v>
      </c>
      <c r="G1294" s="339" t="str">
        <f t="shared" si="2"/>
        <v>愛知:阪和ＨＳ１(単体H1/電特A/HS))</v>
      </c>
      <c r="H1294" s="340">
        <f t="shared" si="3"/>
        <v>44.2</v>
      </c>
      <c r="I1294" s="341">
        <v>-0.5</v>
      </c>
      <c r="J1294" s="332">
        <f>IFERROR(__xludf.DUMMYFUNCTION("IF(IF(COUNTIF(P$2:P1293, P1294)=0, """", INDEX(H$2:H1293,
MAX(FILTER(ROW(H$2:H1293) - ROW(H$2) + 1, P$2:P1293 = P1294))))=""単価"","""",
IF(COUNTIF(P$2:P1293, P1294)=0, """", INDEX(H$2:H1293,
MAX(FILTER(ROW(H$2:H1293) - ROW(H$2) + 1, P$2:P1293 = P1294)))))"),44.7)</f>
        <v>44.7</v>
      </c>
      <c r="N1294" s="335" t="str">
        <f>IF(MAXIFS('単価履歴'!$O:$O,'単価履歴'!$E:$E,E1294,'単価履歴'!$F:$F,F1294)=O1294,"●","")</f>
        <v/>
      </c>
      <c r="O1294" s="346">
        <v>45771.35150462963</v>
      </c>
      <c r="P1294" s="334" t="str">
        <f t="shared" si="4"/>
        <v>愛知:阪和ＨＳ１(単体H1/電特A/HS))</v>
      </c>
    </row>
    <row r="1295" ht="15.75" customHeight="1">
      <c r="A1295" s="335" t="s">
        <v>2481</v>
      </c>
      <c r="B1295" s="336">
        <v>45771.0</v>
      </c>
      <c r="C1295" s="335" t="s">
        <v>14</v>
      </c>
      <c r="D1295" s="335" t="s">
        <v>46</v>
      </c>
      <c r="E1295" s="337" t="str">
        <f t="shared" si="1"/>
        <v>愛知:阪和</v>
      </c>
      <c r="F1295" s="338" t="s">
        <v>101</v>
      </c>
      <c r="G1295" s="339" t="str">
        <f t="shared" si="2"/>
        <v>愛知:阪和ＨＳ２</v>
      </c>
      <c r="H1295" s="340">
        <f t="shared" si="3"/>
        <v>43.7</v>
      </c>
      <c r="I1295" s="341">
        <v>-0.5</v>
      </c>
      <c r="J1295" s="332">
        <f>IFERROR(__xludf.DUMMYFUNCTION("IF(IF(COUNTIF(P$2:P1294, P1295)=0, """", INDEX(H$2:H1294,
MAX(FILTER(ROW(H$2:H1294) - ROW(H$2) + 1, P$2:P1294 = P1295))))=""単価"","""",
IF(COUNTIF(P$2:P1294, P1295)=0, """", INDEX(H$2:H1294,
MAX(FILTER(ROW(H$2:H1294) - ROW(H$2) + 1, P$2:P1294 = P1295)))))"),44.2)</f>
        <v>44.2</v>
      </c>
      <c r="N1295" s="335" t="str">
        <f>IF(MAXIFS('単価履歴'!$O:$O,'単価履歴'!$E:$E,E1295,'単価履歴'!$F:$F,F1295)=O1295,"●","")</f>
        <v/>
      </c>
      <c r="O1295" s="346">
        <v>45771.35150462963</v>
      </c>
      <c r="P1295" s="334" t="str">
        <f t="shared" si="4"/>
        <v>愛知:阪和ＨＳ２</v>
      </c>
    </row>
    <row r="1296" ht="15.75" customHeight="1">
      <c r="A1296" s="335" t="s">
        <v>2482</v>
      </c>
      <c r="B1296" s="336">
        <v>45771.0</v>
      </c>
      <c r="C1296" s="335" t="s">
        <v>14</v>
      </c>
      <c r="D1296" s="335" t="s">
        <v>46</v>
      </c>
      <c r="E1296" s="337" t="str">
        <f t="shared" si="1"/>
        <v>愛知:阪和</v>
      </c>
      <c r="F1296" s="338" t="s">
        <v>111</v>
      </c>
      <c r="G1296" s="339" t="str">
        <f t="shared" si="2"/>
        <v>愛知:阪和Ｈ１(特A)</v>
      </c>
      <c r="H1296" s="340">
        <f t="shared" si="3"/>
        <v>39.2</v>
      </c>
      <c r="I1296" s="341">
        <v>-0.5</v>
      </c>
      <c r="J1296" s="332">
        <f>IFERROR(__xludf.DUMMYFUNCTION("IF(IF(COUNTIF(P$2:P1295, P1296)=0, """", INDEX(H$2:H1295,
MAX(FILTER(ROW(H$2:H1295) - ROW(H$2) + 1, P$2:P1295 = P1296))))=""単価"","""",
IF(COUNTIF(P$2:P1295, P1296)=0, """", INDEX(H$2:H1295,
MAX(FILTER(ROW(H$2:H1295) - ROW(H$2) + 1, P$2:P1295 = P1296)))))"),39.7)</f>
        <v>39.7</v>
      </c>
      <c r="N1296" s="335" t="str">
        <f>IF(MAXIFS('単価履歴'!$O:$O,'単価履歴'!$E:$E,E1296,'単価履歴'!$F:$F,F1296)=O1296,"●","")</f>
        <v/>
      </c>
      <c r="O1296" s="346">
        <v>45771.35150462963</v>
      </c>
      <c r="P1296" s="334" t="str">
        <f t="shared" si="4"/>
        <v>愛知:阪和Ｈ１(特A)</v>
      </c>
    </row>
    <row r="1297" ht="15.75" customHeight="1">
      <c r="A1297" s="335" t="s">
        <v>2483</v>
      </c>
      <c r="B1297" s="336">
        <v>45771.0</v>
      </c>
      <c r="C1297" s="335" t="s">
        <v>14</v>
      </c>
      <c r="D1297" s="335" t="s">
        <v>46</v>
      </c>
      <c r="E1297" s="337" t="str">
        <f t="shared" si="1"/>
        <v>愛知:阪和</v>
      </c>
      <c r="F1297" s="338" t="s">
        <v>116</v>
      </c>
      <c r="G1297" s="339" t="str">
        <f t="shared" si="2"/>
        <v>愛知:阪和Ｈ２(特級)</v>
      </c>
      <c r="H1297" s="340">
        <f t="shared" si="3"/>
        <v>38.7</v>
      </c>
      <c r="I1297" s="341">
        <v>-0.5</v>
      </c>
      <c r="J1297" s="332">
        <f>IFERROR(__xludf.DUMMYFUNCTION("IF(IF(COUNTIF(P$2:P1296, P1297)=0, """", INDEX(H$2:H1296,
MAX(FILTER(ROW(H$2:H1296) - ROW(H$2) + 1, P$2:P1296 = P1297))))=""単価"","""",
IF(COUNTIF(P$2:P1296, P1297)=0, """", INDEX(H$2:H1296,
MAX(FILTER(ROW(H$2:H1296) - ROW(H$2) + 1, P$2:P1296 = P1297)))))"),39.2)</f>
        <v>39.2</v>
      </c>
      <c r="N1297" s="335" t="str">
        <f>IF(MAXIFS('単価履歴'!$O:$O,'単価履歴'!$E:$E,E1297,'単価履歴'!$F:$F,F1297)=O1297,"●","")</f>
        <v/>
      </c>
      <c r="O1297" s="346">
        <v>45771.35150462963</v>
      </c>
      <c r="P1297" s="334" t="str">
        <f t="shared" si="4"/>
        <v>愛知:阪和Ｈ２(特級)</v>
      </c>
    </row>
    <row r="1298" ht="15.75" customHeight="1">
      <c r="A1298" s="335" t="s">
        <v>2484</v>
      </c>
      <c r="B1298" s="336">
        <v>45771.0</v>
      </c>
      <c r="C1298" s="335" t="s">
        <v>14</v>
      </c>
      <c r="D1298" s="335" t="s">
        <v>46</v>
      </c>
      <c r="E1298" s="337" t="str">
        <f t="shared" si="1"/>
        <v>愛知:阪和</v>
      </c>
      <c r="F1298" s="338" t="s">
        <v>119</v>
      </c>
      <c r="G1298" s="339" t="str">
        <f t="shared" si="2"/>
        <v>愛知:阪和Ｈ３(1級)</v>
      </c>
      <c r="H1298" s="340">
        <f t="shared" si="3"/>
        <v>37.7</v>
      </c>
      <c r="I1298" s="341">
        <v>-0.5</v>
      </c>
      <c r="J1298" s="332">
        <f>IFERROR(__xludf.DUMMYFUNCTION("IF(IF(COUNTIF(P$2:P1297, P1298)=0, """", INDEX(H$2:H1297,
MAX(FILTER(ROW(H$2:H1297) - ROW(H$2) + 1, P$2:P1297 = P1298))))=""単価"","""",
IF(COUNTIF(P$2:P1297, P1298)=0, """", INDEX(H$2:H1297,
MAX(FILTER(ROW(H$2:H1297) - ROW(H$2) + 1, P$2:P1297 = P1298)))))"),38.2)</f>
        <v>38.2</v>
      </c>
      <c r="N1298" s="335" t="str">
        <f>IF(MAXIFS('単価履歴'!$O:$O,'単価履歴'!$E:$E,E1298,'単価履歴'!$F:$F,F1298)=O1298,"●","")</f>
        <v/>
      </c>
      <c r="O1298" s="346">
        <v>45771.35150462963</v>
      </c>
      <c r="P1298" s="334" t="str">
        <f t="shared" si="4"/>
        <v>愛知:阪和Ｈ３(1級)</v>
      </c>
    </row>
    <row r="1299" ht="15.75" customHeight="1">
      <c r="A1299" s="335" t="s">
        <v>2485</v>
      </c>
      <c r="B1299" s="336">
        <v>45771.0</v>
      </c>
      <c r="C1299" s="335" t="s">
        <v>14</v>
      </c>
      <c r="D1299" s="335" t="s">
        <v>46</v>
      </c>
      <c r="E1299" s="337" t="str">
        <f t="shared" si="1"/>
        <v>愛知:阪和</v>
      </c>
      <c r="F1299" s="338" t="s">
        <v>573</v>
      </c>
      <c r="G1299" s="339" t="str">
        <f t="shared" si="2"/>
        <v>愛知:阪和Ｌ２(H4･級外･L1ﾊﾞﾗ)</v>
      </c>
      <c r="H1299" s="340">
        <f t="shared" si="3"/>
        <v>34.3</v>
      </c>
      <c r="I1299" s="341">
        <v>-0.5</v>
      </c>
      <c r="J1299" s="332">
        <f>IFERROR(__xludf.DUMMYFUNCTION("IF(IF(COUNTIF(P$2:P1298, P1299)=0, """", INDEX(H$2:H1298,
MAX(FILTER(ROW(H$2:H1298) - ROW(H$2) + 1, P$2:P1298 = P1299))))=""単価"","""",
IF(COUNTIF(P$2:P1298, P1299)=0, """", INDEX(H$2:H1298,
MAX(FILTER(ROW(H$2:H1298) - ROW(H$2) + 1, P$2:P1298 = P1299)))))"),34.8)</f>
        <v>34.8</v>
      </c>
      <c r="N1299" s="335" t="str">
        <f>IF(MAXIFS('単価履歴'!$O:$O,'単価履歴'!$E:$E,E1299,'単価履歴'!$F:$F,F1299)=O1299,"●","")</f>
        <v/>
      </c>
      <c r="O1299" s="346">
        <v>45771.35150462963</v>
      </c>
      <c r="P1299" s="334" t="str">
        <f t="shared" si="4"/>
        <v>愛知:阪和Ｌ２(H4･級外･L1ﾊﾞﾗ)</v>
      </c>
    </row>
    <row r="1300" ht="15.75" customHeight="1">
      <c r="A1300" s="335" t="s">
        <v>2486</v>
      </c>
      <c r="B1300" s="336">
        <v>45771.0</v>
      </c>
      <c r="C1300" s="335" t="s">
        <v>14</v>
      </c>
      <c r="D1300" s="335" t="s">
        <v>46</v>
      </c>
      <c r="E1300" s="337" t="str">
        <f t="shared" si="1"/>
        <v>愛知:阪和</v>
      </c>
      <c r="F1300" s="338" t="s">
        <v>130</v>
      </c>
      <c r="G1300" s="339" t="str">
        <f t="shared" si="2"/>
        <v>愛知:阪和新断Ａ</v>
      </c>
      <c r="H1300" s="340">
        <f t="shared" si="3"/>
        <v>44.5</v>
      </c>
      <c r="I1300" s="341">
        <v>-0.5</v>
      </c>
      <c r="J1300" s="332">
        <f>IFERROR(__xludf.DUMMYFUNCTION("IF(IF(COUNTIF(P$2:P1299, P1300)=0, """", INDEX(H$2:H1299,
MAX(FILTER(ROW(H$2:H1299) - ROW(H$2) + 1, P$2:P1299 = P1300))))=""単価"","""",
IF(COUNTIF(P$2:P1299, P1300)=0, """", INDEX(H$2:H1299,
MAX(FILTER(ROW(H$2:H1299) - ROW(H$2) + 1, P$2:P1299 = P1300)))))"),45.0)</f>
        <v>45</v>
      </c>
      <c r="N1300" s="335" t="str">
        <f>IF(MAXIFS('単価履歴'!$O:$O,'単価履歴'!$E:$E,E1300,'単価履歴'!$F:$F,F1300)=O1300,"●","")</f>
        <v/>
      </c>
      <c r="O1300" s="346">
        <v>45771.35150462963</v>
      </c>
      <c r="P1300" s="334" t="str">
        <f t="shared" si="4"/>
        <v>愛知:阪和新断Ａ</v>
      </c>
    </row>
    <row r="1301" ht="15.75" customHeight="1">
      <c r="A1301" s="335" t="s">
        <v>2487</v>
      </c>
      <c r="B1301" s="336">
        <v>45771.0</v>
      </c>
      <c r="C1301" s="335" t="s">
        <v>14</v>
      </c>
      <c r="D1301" s="335" t="s">
        <v>46</v>
      </c>
      <c r="E1301" s="337" t="str">
        <f t="shared" si="1"/>
        <v>愛知:阪和</v>
      </c>
      <c r="F1301" s="338" t="s">
        <v>131</v>
      </c>
      <c r="G1301" s="339" t="str">
        <f t="shared" si="2"/>
        <v>愛知:阪和新断Ｂ</v>
      </c>
      <c r="H1301" s="340">
        <f t="shared" si="3"/>
        <v>43.5</v>
      </c>
      <c r="I1301" s="341">
        <v>-0.5</v>
      </c>
      <c r="J1301" s="332">
        <f>IFERROR(__xludf.DUMMYFUNCTION("IF(IF(COUNTIF(P$2:P1300, P1301)=0, """", INDEX(H$2:H1300,
MAX(FILTER(ROW(H$2:H1300) - ROW(H$2) + 1, P$2:P1300 = P1301))))=""単価"","""",
IF(COUNTIF(P$2:P1300, P1301)=0, """", INDEX(H$2:H1300,
MAX(FILTER(ROW(H$2:H1300) - ROW(H$2) + 1, P$2:P1300 = P1301)))))"),44.0)</f>
        <v>44</v>
      </c>
      <c r="N1301" s="335" t="str">
        <f>IF(MAXIFS('単価履歴'!$O:$O,'単価履歴'!$E:$E,E1301,'単価履歴'!$F:$F,F1301)=O1301,"●","")</f>
        <v/>
      </c>
      <c r="O1301" s="346">
        <v>45771.35150462963</v>
      </c>
      <c r="P1301" s="334" t="str">
        <f t="shared" si="4"/>
        <v>愛知:阪和新断Ｂ</v>
      </c>
    </row>
    <row r="1302" ht="15.75" customHeight="1">
      <c r="A1302" s="335" t="s">
        <v>2488</v>
      </c>
      <c r="B1302" s="336">
        <v>45771.0</v>
      </c>
      <c r="C1302" s="335" t="s">
        <v>14</v>
      </c>
      <c r="D1302" s="335" t="s">
        <v>46</v>
      </c>
      <c r="E1302" s="337" t="str">
        <f t="shared" si="1"/>
        <v>愛知:阪和</v>
      </c>
      <c r="F1302" s="338" t="s">
        <v>145</v>
      </c>
      <c r="G1302" s="339" t="str">
        <f t="shared" si="2"/>
        <v>愛知:阪和シュレＡ</v>
      </c>
      <c r="H1302" s="340">
        <f t="shared" si="3"/>
        <v>44.5</v>
      </c>
      <c r="I1302" s="341">
        <v>-0.5</v>
      </c>
      <c r="J1302" s="332">
        <f>IFERROR(__xludf.DUMMYFUNCTION("IF(IF(COUNTIF(P$2:P1301, P1302)=0, """", INDEX(H$2:H1301,
MAX(FILTER(ROW(H$2:H1301) - ROW(H$2) + 1, P$2:P1301 = P1302))))=""単価"","""",
IF(COUNTIF(P$2:P1301, P1302)=0, """", INDEX(H$2:H1301,
MAX(FILTER(ROW(H$2:H1301) - ROW(H$2) + 1, P$2:P1301 = P1302)))))"),45.0)</f>
        <v>45</v>
      </c>
      <c r="N1302" s="335" t="str">
        <f>IF(MAXIFS('単価履歴'!$O:$O,'単価履歴'!$E:$E,E1302,'単価履歴'!$F:$F,F1302)=O1302,"●","")</f>
        <v/>
      </c>
      <c r="O1302" s="346">
        <v>45771.35150462963</v>
      </c>
      <c r="P1302" s="334" t="str">
        <f t="shared" si="4"/>
        <v>愛知:阪和シュレＡ</v>
      </c>
    </row>
    <row r="1303" ht="15.75" customHeight="1">
      <c r="A1303" s="335" t="s">
        <v>2489</v>
      </c>
      <c r="B1303" s="336">
        <v>45771.0</v>
      </c>
      <c r="C1303" s="335" t="s">
        <v>537</v>
      </c>
      <c r="D1303" s="335" t="s">
        <v>1404</v>
      </c>
      <c r="E1303" s="337" t="str">
        <f t="shared" si="1"/>
        <v>大同特殊鋼:JSE/大和ﾘﾃｯｸ</v>
      </c>
      <c r="F1303" s="338" t="s">
        <v>1199</v>
      </c>
      <c r="G1303" s="339" t="str">
        <f t="shared" si="2"/>
        <v>大同特殊鋼:JSE/大和ﾘﾃｯｸＨＳ１(単体H1/電特A/HS))</v>
      </c>
      <c r="H1303" s="340">
        <f t="shared" si="3"/>
        <v>45.8</v>
      </c>
      <c r="I1303" s="341">
        <v>0.3</v>
      </c>
      <c r="J1303" s="332">
        <f>IFERROR(__xludf.DUMMYFUNCTION("IF(IF(COUNTIF(P$2:P1302, P1303)=0, """", INDEX(H$2:H1302,
MAX(FILTER(ROW(H$2:H1302) - ROW(H$2) + 1, P$2:P1302 = P1303))))=""単価"","""",
IF(COUNTIF(P$2:P1302, P1303)=0, """", INDEX(H$2:H1302,
MAX(FILTER(ROW(H$2:H1302) - ROW(H$2) + 1, P$2:P1302 = P1303)))))"),45.5)</f>
        <v>45.5</v>
      </c>
      <c r="N1303" s="335" t="str">
        <f>IF(MAXIFS('単価履歴'!$O:$O,'単価履歴'!$E:$E,E1303,'単価履歴'!$F:$F,F1303)=O1303,"●","")</f>
        <v/>
      </c>
      <c r="O1303" s="346">
        <v>45772.42408564815</v>
      </c>
      <c r="P1303" s="334" t="str">
        <f t="shared" si="4"/>
        <v>大同特殊鋼:JSE/大和ﾘﾃｯｸＨＳ１(単体H1/電特A/HS))</v>
      </c>
    </row>
    <row r="1304" ht="15.75" customHeight="1">
      <c r="A1304" s="335" t="s">
        <v>2490</v>
      </c>
      <c r="B1304" s="336">
        <v>45771.0</v>
      </c>
      <c r="C1304" s="335" t="s">
        <v>537</v>
      </c>
      <c r="D1304" s="335" t="s">
        <v>1404</v>
      </c>
      <c r="E1304" s="337" t="str">
        <f t="shared" si="1"/>
        <v>大同特殊鋼:JSE/大和ﾘﾃｯｸ</v>
      </c>
      <c r="F1304" s="338" t="s">
        <v>116</v>
      </c>
      <c r="G1304" s="339" t="str">
        <f t="shared" si="2"/>
        <v>大同特殊鋼:JSE/大和ﾘﾃｯｸＨ２(特級)</v>
      </c>
      <c r="H1304" s="340">
        <f t="shared" si="3"/>
        <v>40.7</v>
      </c>
      <c r="I1304" s="341">
        <v>-1.3</v>
      </c>
      <c r="J1304" s="332">
        <f>IFERROR(__xludf.DUMMYFUNCTION("IF(IF(COUNTIF(P$2:P1303, P1304)=0, """", INDEX(H$2:H1303,
MAX(FILTER(ROW(H$2:H1303) - ROW(H$2) + 1, P$2:P1303 = P1304))))=""単価"","""",
IF(COUNTIF(P$2:P1303, P1304)=0, """", INDEX(H$2:H1303,
MAX(FILTER(ROW(H$2:H1303) - ROW(H$2) + 1, P$2:P1303 = P1304)))))"),42.0)</f>
        <v>42</v>
      </c>
      <c r="N1304" s="335" t="str">
        <f>IF(MAXIFS('単価履歴'!$O:$O,'単価履歴'!$E:$E,E1304,'単価履歴'!$F:$F,F1304)=O1304,"●","")</f>
        <v/>
      </c>
      <c r="O1304" s="346">
        <v>45772.424884259264</v>
      </c>
      <c r="P1304" s="334" t="str">
        <f t="shared" si="4"/>
        <v>大同特殊鋼:JSE/大和ﾘﾃｯｸＨ２(特級)</v>
      </c>
    </row>
    <row r="1305" ht="15.75" customHeight="1">
      <c r="A1305" s="335" t="s">
        <v>2491</v>
      </c>
      <c r="B1305" s="336">
        <v>45771.0</v>
      </c>
      <c r="C1305" s="335" t="s">
        <v>537</v>
      </c>
      <c r="D1305" s="335" t="s">
        <v>1404</v>
      </c>
      <c r="E1305" s="337" t="str">
        <f t="shared" si="1"/>
        <v>大同特殊鋼:JSE/大和ﾘﾃｯｸ</v>
      </c>
      <c r="F1305" s="338" t="s">
        <v>575</v>
      </c>
      <c r="G1305" s="339" t="str">
        <f t="shared" si="2"/>
        <v>大同特殊鋼:JSE/大和ﾘﾃｯｸ鋼ダライＡ</v>
      </c>
      <c r="H1305" s="340">
        <f t="shared" si="3"/>
        <v>39.5</v>
      </c>
      <c r="I1305" s="341">
        <v>-1.3</v>
      </c>
      <c r="J1305" s="332">
        <f>IFERROR(__xludf.DUMMYFUNCTION("IF(IF(COUNTIF(P$2:P1304, P1305)=0, """", INDEX(H$2:H1304,
MAX(FILTER(ROW(H$2:H1304) - ROW(H$2) + 1, P$2:P1304 = P1305))))=""単価"","""",
IF(COUNTIF(P$2:P1304, P1305)=0, """", INDEX(H$2:H1304,
MAX(FILTER(ROW(H$2:H1304) - ROW(H$2) + 1, P$2:P1304 = P1305)))))"),40.8)</f>
        <v>40.8</v>
      </c>
      <c r="N1305" s="335" t="str">
        <f>IF(MAXIFS('単価履歴'!$O:$O,'単価履歴'!$E:$E,E1305,'単価履歴'!$F:$F,F1305)=O1305,"●","")</f>
        <v/>
      </c>
      <c r="O1305" s="346">
        <v>45772.425405092596</v>
      </c>
      <c r="P1305" s="334" t="str">
        <f t="shared" si="4"/>
        <v>大同特殊鋼:JSE/大和ﾘﾃｯｸ鋼ダライＡ</v>
      </c>
    </row>
    <row r="1306" ht="15.75" customHeight="1">
      <c r="A1306" s="335" t="s">
        <v>2492</v>
      </c>
      <c r="B1306" s="336">
        <v>45771.0</v>
      </c>
      <c r="C1306" s="335" t="s">
        <v>537</v>
      </c>
      <c r="D1306" s="335" t="s">
        <v>1407</v>
      </c>
      <c r="E1306" s="337" t="str">
        <f t="shared" si="1"/>
        <v>大同特殊鋼:JSE/第二＠2.3</v>
      </c>
      <c r="F1306" s="338" t="s">
        <v>1199</v>
      </c>
      <c r="G1306" s="339" t="str">
        <f t="shared" si="2"/>
        <v>大同特殊鋼:JSE/第二＠2.3ＨＳ１(単体H1/電特A/HS))</v>
      </c>
      <c r="H1306" s="340">
        <f t="shared" si="3"/>
        <v>43.5</v>
      </c>
      <c r="I1306" s="341">
        <v>0.3</v>
      </c>
      <c r="J1306" s="332">
        <f>IFERROR(__xludf.DUMMYFUNCTION("IF(IF(COUNTIF(P$2:P1305, P1306)=0, """", INDEX(H$2:H1305,
MAX(FILTER(ROW(H$2:H1305) - ROW(H$2) + 1, P$2:P1305 = P1306))))=""単価"","""",
IF(COUNTIF(P$2:P1305, P1306)=0, """", INDEX(H$2:H1305,
MAX(FILTER(ROW(H$2:H1305) - ROW(H$2) + 1, P$2:P1305 = P1306)))))"),43.2)</f>
        <v>43.2</v>
      </c>
      <c r="N1306" s="335" t="str">
        <f>IF(MAXIFS('単価履歴'!$O:$O,'単価履歴'!$E:$E,E1306,'単価履歴'!$F:$F,F1306)=O1306,"●","")</f>
        <v/>
      </c>
      <c r="O1306" s="346">
        <v>45772.42618055556</v>
      </c>
      <c r="P1306" s="334" t="str">
        <f t="shared" si="4"/>
        <v>大同特殊鋼:JSE/第二＠2.3ＨＳ１(単体H1/電特A/HS))</v>
      </c>
    </row>
    <row r="1307" ht="15.75" customHeight="1">
      <c r="A1307" s="335" t="s">
        <v>2493</v>
      </c>
      <c r="B1307" s="336">
        <v>45771.0</v>
      </c>
      <c r="C1307" s="335" t="s">
        <v>537</v>
      </c>
      <c r="D1307" s="335" t="s">
        <v>1410</v>
      </c>
      <c r="E1307" s="337" t="str">
        <f t="shared" si="1"/>
        <v>大同特殊鋼:JSE/岐阜＠1.5</v>
      </c>
      <c r="F1307" s="338" t="s">
        <v>1199</v>
      </c>
      <c r="G1307" s="339" t="str">
        <f t="shared" si="2"/>
        <v>大同特殊鋼:JSE/岐阜＠1.5ＨＳ１(単体H1/電特A/HS))</v>
      </c>
      <c r="H1307" s="340">
        <f t="shared" si="3"/>
        <v>44.3</v>
      </c>
      <c r="I1307" s="341">
        <v>0.3</v>
      </c>
      <c r="J1307" s="332">
        <f>IFERROR(__xludf.DUMMYFUNCTION("IF(IF(COUNTIF(P$2:P1306, P1307)=0, """", INDEX(H$2:H1306,
MAX(FILTER(ROW(H$2:H1306) - ROW(H$2) + 1, P$2:P1306 = P1307))))=""単価"","""",
IF(COUNTIF(P$2:P1306, P1307)=0, """", INDEX(H$2:H1306,
MAX(FILTER(ROW(H$2:H1306) - ROW(H$2) + 1, P$2:P1306 = P1307)))))"),44.0)</f>
        <v>44</v>
      </c>
      <c r="N1307" s="335" t="str">
        <f>IF(MAXIFS('単価履歴'!$O:$O,'単価履歴'!$E:$E,E1307,'単価履歴'!$F:$F,F1307)=O1307,"●","")</f>
        <v/>
      </c>
      <c r="O1307" s="346">
        <v>45772.42618055556</v>
      </c>
      <c r="P1307" s="334" t="str">
        <f t="shared" si="4"/>
        <v>大同特殊鋼:JSE/岐阜＠1.5ＨＳ１(単体H1/電特A/HS))</v>
      </c>
    </row>
    <row r="1308" ht="15.75" customHeight="1">
      <c r="A1308" s="335" t="s">
        <v>2494</v>
      </c>
      <c r="B1308" s="336">
        <v>45771.0</v>
      </c>
      <c r="C1308" s="335" t="s">
        <v>537</v>
      </c>
      <c r="D1308" s="335" t="s">
        <v>1407</v>
      </c>
      <c r="E1308" s="337" t="str">
        <f t="shared" si="1"/>
        <v>大同特殊鋼:JSE/第二＠2.3</v>
      </c>
      <c r="F1308" s="338" t="s">
        <v>116</v>
      </c>
      <c r="G1308" s="339" t="str">
        <f t="shared" si="2"/>
        <v>大同特殊鋼:JSE/第二＠2.3Ｈ２(特級)</v>
      </c>
      <c r="H1308" s="340">
        <f t="shared" si="3"/>
        <v>38.4</v>
      </c>
      <c r="I1308" s="341">
        <v>-1.3</v>
      </c>
      <c r="J1308" s="332">
        <f>IFERROR(__xludf.DUMMYFUNCTION("IF(IF(COUNTIF(P$2:P1307, P1308)=0, """", INDEX(H$2:H1307,
MAX(FILTER(ROW(H$2:H1307) - ROW(H$2) + 1, P$2:P1307 = P1308))))=""単価"","""",
IF(COUNTIF(P$2:P1307, P1308)=0, """", INDEX(H$2:H1307,
MAX(FILTER(ROW(H$2:H1307) - ROW(H$2) + 1, P$2:P1307 = P1308)))))"),39.7)</f>
        <v>39.7</v>
      </c>
      <c r="N1308" s="335" t="str">
        <f>IF(MAXIFS('単価履歴'!$O:$O,'単価履歴'!$E:$E,E1308,'単価履歴'!$F:$F,F1308)=O1308,"●","")</f>
        <v/>
      </c>
      <c r="O1308" s="346">
        <v>45772.42810185185</v>
      </c>
      <c r="P1308" s="334" t="str">
        <f t="shared" si="4"/>
        <v>大同特殊鋼:JSE/第二＠2.3Ｈ２(特級)</v>
      </c>
    </row>
    <row r="1309" ht="15.75" customHeight="1">
      <c r="A1309" s="335" t="s">
        <v>2495</v>
      </c>
      <c r="B1309" s="336">
        <v>45771.0</v>
      </c>
      <c r="C1309" s="335" t="s">
        <v>537</v>
      </c>
      <c r="D1309" s="335" t="s">
        <v>1410</v>
      </c>
      <c r="E1309" s="337" t="str">
        <f t="shared" si="1"/>
        <v>大同特殊鋼:JSE/岐阜＠1.5</v>
      </c>
      <c r="F1309" s="338" t="s">
        <v>116</v>
      </c>
      <c r="G1309" s="339" t="str">
        <f t="shared" si="2"/>
        <v>大同特殊鋼:JSE/岐阜＠1.5Ｈ２(特級)</v>
      </c>
      <c r="H1309" s="340">
        <f t="shared" si="3"/>
        <v>39.2</v>
      </c>
      <c r="I1309" s="341">
        <v>-1.3</v>
      </c>
      <c r="J1309" s="332">
        <f>IFERROR(__xludf.DUMMYFUNCTION("IF(IF(COUNTIF(P$2:P1308, P1309)=0, """", INDEX(H$2:H1308,
MAX(FILTER(ROW(H$2:H1308) - ROW(H$2) + 1, P$2:P1308 = P1309))))=""単価"","""",
IF(COUNTIF(P$2:P1308, P1309)=0, """", INDEX(H$2:H1308,
MAX(FILTER(ROW(H$2:H1308) - ROW(H$2) + 1, P$2:P1308 = P1309)))))"),40.5)</f>
        <v>40.5</v>
      </c>
      <c r="N1309" s="335" t="str">
        <f>IF(MAXIFS('単価履歴'!$O:$O,'単価履歴'!$E:$E,E1309,'単価履歴'!$F:$F,F1309)=O1309,"●","")</f>
        <v/>
      </c>
      <c r="O1309" s="346">
        <v>45772.42810185185</v>
      </c>
      <c r="P1309" s="334" t="str">
        <f t="shared" si="4"/>
        <v>大同特殊鋼:JSE/岐阜＠1.5Ｈ２(特級)</v>
      </c>
    </row>
    <row r="1310" ht="15.75" customHeight="1">
      <c r="A1310" s="335" t="s">
        <v>2496</v>
      </c>
      <c r="B1310" s="336">
        <v>45771.0</v>
      </c>
      <c r="C1310" s="335" t="s">
        <v>537</v>
      </c>
      <c r="D1310" s="335" t="s">
        <v>1407</v>
      </c>
      <c r="E1310" s="337" t="str">
        <f t="shared" si="1"/>
        <v>大同特殊鋼:JSE/第二＠2.3</v>
      </c>
      <c r="F1310" s="338" t="s">
        <v>575</v>
      </c>
      <c r="G1310" s="339" t="str">
        <f t="shared" si="2"/>
        <v>大同特殊鋼:JSE/第二＠2.3鋼ダライＡ</v>
      </c>
      <c r="H1310" s="340">
        <f t="shared" si="3"/>
        <v>37.2</v>
      </c>
      <c r="I1310" s="341">
        <v>-1.3</v>
      </c>
      <c r="J1310" s="332">
        <f>IFERROR(__xludf.DUMMYFUNCTION("IF(IF(COUNTIF(P$2:P1309, P1310)=0, """", INDEX(H$2:H1309,
MAX(FILTER(ROW(H$2:H1309) - ROW(H$2) + 1, P$2:P1309 = P1310))))=""単価"","""",
IF(COUNTIF(P$2:P1309, P1310)=0, """", INDEX(H$2:H1309,
MAX(FILTER(ROW(H$2:H1309) - ROW(H$2) + 1, P$2:P1309 = P1310)))))"),38.5)</f>
        <v>38.5</v>
      </c>
      <c r="N1310" s="335" t="str">
        <f>IF(MAXIFS('単価履歴'!$O:$O,'単価履歴'!$E:$E,E1310,'単価履歴'!$F:$F,F1310)=O1310,"●","")</f>
        <v/>
      </c>
      <c r="O1310" s="346">
        <v>45772.42878472222</v>
      </c>
      <c r="P1310" s="334" t="str">
        <f t="shared" si="4"/>
        <v>大同特殊鋼:JSE/第二＠2.3鋼ダライＡ</v>
      </c>
    </row>
    <row r="1311" ht="15.75" customHeight="1">
      <c r="A1311" s="335" t="s">
        <v>2497</v>
      </c>
      <c r="B1311" s="336">
        <v>45771.0</v>
      </c>
      <c r="C1311" s="335" t="s">
        <v>537</v>
      </c>
      <c r="D1311" s="335" t="s">
        <v>1410</v>
      </c>
      <c r="E1311" s="337" t="str">
        <f t="shared" si="1"/>
        <v>大同特殊鋼:JSE/岐阜＠1.5</v>
      </c>
      <c r="F1311" s="338" t="s">
        <v>575</v>
      </c>
      <c r="G1311" s="339" t="str">
        <f t="shared" si="2"/>
        <v>大同特殊鋼:JSE/岐阜＠1.5鋼ダライＡ</v>
      </c>
      <c r="H1311" s="340">
        <f t="shared" si="3"/>
        <v>38</v>
      </c>
      <c r="I1311" s="341">
        <v>-1.3</v>
      </c>
      <c r="J1311" s="332">
        <f>IFERROR(__xludf.DUMMYFUNCTION("IF(IF(COUNTIF(P$2:P1310, P1311)=0, """", INDEX(H$2:H1310,
MAX(FILTER(ROW(H$2:H1310) - ROW(H$2) + 1, P$2:P1310 = P1311))))=""単価"","""",
IF(COUNTIF(P$2:P1310, P1311)=0, """", INDEX(H$2:H1310,
MAX(FILTER(ROW(H$2:H1310) - ROW(H$2) + 1, P$2:P1310 = P1311)))))"),39.3)</f>
        <v>39.3</v>
      </c>
      <c r="N1311" s="335" t="str">
        <f>IF(MAXIFS('単価履歴'!$O:$O,'単価履歴'!$E:$E,E1311,'単価履歴'!$F:$F,F1311)=O1311,"●","")</f>
        <v/>
      </c>
      <c r="O1311" s="346">
        <v>45772.42878472222</v>
      </c>
      <c r="P1311" s="334" t="str">
        <f t="shared" si="4"/>
        <v>大同特殊鋼:JSE/岐阜＠1.5鋼ダライＡ</v>
      </c>
    </row>
    <row r="1312" ht="15.75" customHeight="1">
      <c r="A1312" s="335" t="s">
        <v>2498</v>
      </c>
      <c r="B1312" s="336">
        <v>45771.0</v>
      </c>
      <c r="C1312" s="335" t="s">
        <v>15</v>
      </c>
      <c r="D1312" s="335" t="s">
        <v>58</v>
      </c>
      <c r="E1312" s="337" t="str">
        <f t="shared" si="1"/>
        <v>山口鋼業:MM建材</v>
      </c>
      <c r="F1312" s="338" t="s">
        <v>1199</v>
      </c>
      <c r="G1312" s="339" t="str">
        <f t="shared" si="2"/>
        <v>山口鋼業:MM建材ＨＳ１(単体H1/電特A/HS))</v>
      </c>
      <c r="H1312" s="340">
        <f t="shared" si="3"/>
        <v>41</v>
      </c>
      <c r="I1312" s="341">
        <v>-1.0</v>
      </c>
      <c r="J1312" s="332">
        <f>IFERROR(__xludf.DUMMYFUNCTION("IF(IF(COUNTIF(P$2:P1311, P1312)=0, """", INDEX(H$2:H1311,
MAX(FILTER(ROW(H$2:H1311) - ROW(H$2) + 1, P$2:P1311 = P1312))))=""単価"","""",
IF(COUNTIF(P$2:P1311, P1312)=0, """", INDEX(H$2:H1311,
MAX(FILTER(ROW(H$2:H1311) - ROW(H$2) + 1, P$2:P1311 = P1312)))))"),42.0)</f>
        <v>42</v>
      </c>
      <c r="N1312" s="335" t="str">
        <f>IF(MAXIFS('単価履歴'!$O:$O,'単価履歴'!$E:$E,E1312,'単価履歴'!$F:$F,F1312)=O1312,"●","")</f>
        <v/>
      </c>
      <c r="O1312" s="346">
        <v>45772.4312037037</v>
      </c>
      <c r="P1312" s="334" t="str">
        <f t="shared" si="4"/>
        <v>山口鋼業:MM建材ＨＳ１(単体H1/電特A/HS))</v>
      </c>
    </row>
    <row r="1313" ht="15.75" customHeight="1">
      <c r="A1313" s="335" t="s">
        <v>2499</v>
      </c>
      <c r="B1313" s="336">
        <v>45771.0</v>
      </c>
      <c r="C1313" s="335" t="s">
        <v>15</v>
      </c>
      <c r="D1313" s="335" t="s">
        <v>58</v>
      </c>
      <c r="E1313" s="337" t="str">
        <f t="shared" si="1"/>
        <v>山口鋼業:MM建材</v>
      </c>
      <c r="F1313" s="338" t="s">
        <v>1237</v>
      </c>
      <c r="G1313" s="339" t="str">
        <f t="shared" si="2"/>
        <v>山口鋼業:MM建材ＪＨ１(H2T山口)鍛造ﾊﾞﾘ</v>
      </c>
      <c r="H1313" s="340">
        <f t="shared" si="3"/>
        <v>40.5</v>
      </c>
      <c r="I1313" s="341">
        <v>-1.0</v>
      </c>
      <c r="J1313" s="332">
        <f>IFERROR(__xludf.DUMMYFUNCTION("IF(IF(COUNTIF(P$2:P1312, P1313)=0, """", INDEX(H$2:H1312,
MAX(FILTER(ROW(H$2:H1312) - ROW(H$2) + 1, P$2:P1312 = P1313))))=""単価"","""",
IF(COUNTIF(P$2:P1312, P1313)=0, """", INDEX(H$2:H1312,
MAX(FILTER(ROW(H$2:H1312) - ROW(H$2) + 1, P$2:P1312 = P1313)))))"),41.5)</f>
        <v>41.5</v>
      </c>
      <c r="N1313" s="335" t="str">
        <f>IF(MAXIFS('単価履歴'!$O:$O,'単価履歴'!$E:$E,E1313,'単価履歴'!$F:$F,F1313)=O1313,"●","")</f>
        <v/>
      </c>
      <c r="O1313" s="346">
        <v>45772.4312037037</v>
      </c>
      <c r="P1313" s="334" t="str">
        <f t="shared" si="4"/>
        <v>山口鋼業:MM建材ＪＨ１(H2T山口)鍛造ﾊﾞﾘ</v>
      </c>
    </row>
    <row r="1314" ht="15.75" customHeight="1">
      <c r="A1314" s="335" t="s">
        <v>2500</v>
      </c>
      <c r="B1314" s="336">
        <v>45771.0</v>
      </c>
      <c r="C1314" s="335" t="s">
        <v>15</v>
      </c>
      <c r="D1314" s="335" t="s">
        <v>58</v>
      </c>
      <c r="E1314" s="337" t="str">
        <f t="shared" si="1"/>
        <v>山口鋼業:MM建材</v>
      </c>
      <c r="F1314" s="338" t="s">
        <v>116</v>
      </c>
      <c r="G1314" s="339" t="str">
        <f t="shared" si="2"/>
        <v>山口鋼業:MM建材Ｈ２(特級)</v>
      </c>
      <c r="H1314" s="340">
        <f t="shared" si="3"/>
        <v>39.5</v>
      </c>
      <c r="I1314" s="341">
        <v>-1.0</v>
      </c>
      <c r="J1314" s="332">
        <f>IFERROR(__xludf.DUMMYFUNCTION("IF(IF(COUNTIF(P$2:P1313, P1314)=0, """", INDEX(H$2:H1313,
MAX(FILTER(ROW(H$2:H1313) - ROW(H$2) + 1, P$2:P1313 = P1314))))=""単価"","""",
IF(COUNTIF(P$2:P1313, P1314)=0, """", INDEX(H$2:H1313,
MAX(FILTER(ROW(H$2:H1313) - ROW(H$2) + 1, P$2:P1313 = P1314)))))"),40.5)</f>
        <v>40.5</v>
      </c>
      <c r="N1314" s="335" t="str">
        <f>IF(MAXIFS('単価履歴'!$O:$O,'単価履歴'!$E:$E,E1314,'単価履歴'!$F:$F,F1314)=O1314,"●","")</f>
        <v/>
      </c>
      <c r="O1314" s="346">
        <v>45772.4312037037</v>
      </c>
      <c r="P1314" s="334" t="str">
        <f t="shared" si="4"/>
        <v>山口鋼業:MM建材Ｈ２(特級)</v>
      </c>
    </row>
    <row r="1315" ht="15.75" customHeight="1">
      <c r="A1315" s="335" t="s">
        <v>2501</v>
      </c>
      <c r="B1315" s="336">
        <v>45771.0</v>
      </c>
      <c r="C1315" s="335" t="s">
        <v>15</v>
      </c>
      <c r="D1315" s="335" t="s">
        <v>58</v>
      </c>
      <c r="E1315" s="337" t="str">
        <f t="shared" si="1"/>
        <v>山口鋼業:MM建材</v>
      </c>
      <c r="F1315" s="338" t="s">
        <v>119</v>
      </c>
      <c r="G1315" s="339" t="str">
        <f t="shared" si="2"/>
        <v>山口鋼業:MM建材Ｈ３(1級)</v>
      </c>
      <c r="H1315" s="340">
        <f t="shared" si="3"/>
        <v>38.5</v>
      </c>
      <c r="I1315" s="341">
        <v>-1.0</v>
      </c>
      <c r="J1315" s="332">
        <f>IFERROR(__xludf.DUMMYFUNCTION("IF(IF(COUNTIF(P$2:P1314, P1315)=0, """", INDEX(H$2:H1314,
MAX(FILTER(ROW(H$2:H1314) - ROW(H$2) + 1, P$2:P1314 = P1315))))=""単価"","""",
IF(COUNTIF(P$2:P1314, P1315)=0, """", INDEX(H$2:H1314,
MAX(FILTER(ROW(H$2:H1314) - ROW(H$2) + 1, P$2:P1314 = P1315)))))"),39.5)</f>
        <v>39.5</v>
      </c>
      <c r="N1315" s="335" t="str">
        <f>IF(MAXIFS('単価履歴'!$O:$O,'単価履歴'!$E:$E,E1315,'単価履歴'!$F:$F,F1315)=O1315,"●","")</f>
        <v/>
      </c>
      <c r="O1315" s="346">
        <v>45772.4312037037</v>
      </c>
      <c r="P1315" s="334" t="str">
        <f t="shared" si="4"/>
        <v>山口鋼業:MM建材Ｈ３(1級)</v>
      </c>
    </row>
    <row r="1316" ht="15.75" customHeight="1">
      <c r="A1316" s="335" t="s">
        <v>2502</v>
      </c>
      <c r="B1316" s="336">
        <v>45771.0</v>
      </c>
      <c r="C1316" s="335" t="s">
        <v>15</v>
      </c>
      <c r="D1316" s="335" t="s">
        <v>58</v>
      </c>
      <c r="E1316" s="337" t="str">
        <f t="shared" si="1"/>
        <v>山口鋼業:MM建材</v>
      </c>
      <c r="F1316" s="338" t="s">
        <v>573</v>
      </c>
      <c r="G1316" s="339" t="str">
        <f t="shared" si="2"/>
        <v>山口鋼業:MM建材Ｌ２(H4･級外･L1ﾊﾞﾗ)</v>
      </c>
      <c r="H1316" s="340">
        <f t="shared" si="3"/>
        <v>37</v>
      </c>
      <c r="I1316" s="341">
        <v>-1.0</v>
      </c>
      <c r="J1316" s="332">
        <f>IFERROR(__xludf.DUMMYFUNCTION("IF(IF(COUNTIF(P$2:P1315, P1316)=0, """", INDEX(H$2:H1315,
MAX(FILTER(ROW(H$2:H1315) - ROW(H$2) + 1, P$2:P1315 = P1316))))=""単価"","""",
IF(COUNTIF(P$2:P1315, P1316)=0, """", INDEX(H$2:H1315,
MAX(FILTER(ROW(H$2:H1315) - ROW(H$2) + 1, P$2:P1315 = P1316)))))"),38.0)</f>
        <v>38</v>
      </c>
      <c r="N1316" s="335" t="str">
        <f>IF(MAXIFS('単価履歴'!$O:$O,'単価履歴'!$E:$E,E1316,'単価履歴'!$F:$F,F1316)=O1316,"●","")</f>
        <v/>
      </c>
      <c r="O1316" s="346">
        <v>45772.4312037037</v>
      </c>
      <c r="P1316" s="334" t="str">
        <f t="shared" si="4"/>
        <v>山口鋼業:MM建材Ｌ２(H4･級外･L1ﾊﾞﾗ)</v>
      </c>
    </row>
    <row r="1317" ht="15.75" customHeight="1">
      <c r="A1317" s="335" t="s">
        <v>2503</v>
      </c>
      <c r="B1317" s="336">
        <v>45771.0</v>
      </c>
      <c r="C1317" s="335" t="s">
        <v>15</v>
      </c>
      <c r="D1317" s="335" t="s">
        <v>58</v>
      </c>
      <c r="E1317" s="337" t="str">
        <f t="shared" si="1"/>
        <v>山口鋼業:MM建材</v>
      </c>
      <c r="F1317" s="338" t="s">
        <v>575</v>
      </c>
      <c r="G1317" s="339" t="str">
        <f t="shared" si="2"/>
        <v>山口鋼業:MM建材鋼ダライＡ</v>
      </c>
      <c r="H1317" s="340">
        <f t="shared" si="3"/>
        <v>37.1</v>
      </c>
      <c r="I1317" s="341">
        <v>-1.0</v>
      </c>
      <c r="J1317" s="332">
        <f>IFERROR(__xludf.DUMMYFUNCTION("IF(IF(COUNTIF(P$2:P1316, P1317)=0, """", INDEX(H$2:H1316,
MAX(FILTER(ROW(H$2:H1316) - ROW(H$2) + 1, P$2:P1316 = P1317))))=""単価"","""",
IF(COUNTIF(P$2:P1316, P1317)=0, """", INDEX(H$2:H1316,
MAX(FILTER(ROW(H$2:H1316) - ROW(H$2) + 1, P$2:P1316 = P1317)))))"),38.1)</f>
        <v>38.1</v>
      </c>
      <c r="N1317" s="335" t="str">
        <f>IF(MAXIFS('単価履歴'!$O:$O,'単価履歴'!$E:$E,E1317,'単価履歴'!$F:$F,F1317)=O1317,"●","")</f>
        <v/>
      </c>
      <c r="O1317" s="346">
        <v>45772.4312037037</v>
      </c>
      <c r="P1317" s="334" t="str">
        <f t="shared" si="4"/>
        <v>山口鋼業:MM建材鋼ダライＡ</v>
      </c>
    </row>
    <row r="1318" ht="15.75" customHeight="1">
      <c r="A1318" s="335" t="s">
        <v>2504</v>
      </c>
      <c r="B1318" s="336">
        <v>45771.0</v>
      </c>
      <c r="C1318" s="335" t="s">
        <v>12</v>
      </c>
      <c r="D1318" s="335" t="s">
        <v>53</v>
      </c>
      <c r="E1318" s="337" t="str">
        <f t="shared" si="1"/>
        <v>山陽特殊:MM</v>
      </c>
      <c r="F1318" s="338" t="s">
        <v>574</v>
      </c>
      <c r="G1318" s="339" t="str">
        <f t="shared" si="2"/>
        <v>山陽特殊:MM新断Ｃ</v>
      </c>
      <c r="H1318" s="340">
        <f t="shared" si="3"/>
        <v>45.8</v>
      </c>
      <c r="I1318" s="335">
        <v>1.3</v>
      </c>
      <c r="J1318" s="332">
        <f>IFERROR(__xludf.DUMMYFUNCTION("IF(IF(COUNTIF(P$2:P1317, P1318)=0, """", INDEX(H$2:H1317,
MAX(FILTER(ROW(H$2:H1317) - ROW(H$2) + 1, P$2:P1317 = P1318))))=""単価"","""",
IF(COUNTIF(P$2:P1317, P1318)=0, """", INDEX(H$2:H1317,
MAX(FILTER(ROW(H$2:H1317) - ROW(H$2) + 1, P$2:P1317 = P1318)))))"),44.5)</f>
        <v>44.5</v>
      </c>
      <c r="N1318" s="335" t="str">
        <f>IF(MAXIFS('単価履歴'!$O:$O,'単価履歴'!$E:$E,E1318,'単価履歴'!$F:$F,F1318)=O1318,"●","")</f>
        <v/>
      </c>
      <c r="O1318" s="346">
        <v>45772.43525462963</v>
      </c>
      <c r="P1318" s="334" t="str">
        <f t="shared" si="4"/>
        <v>山陽特殊:MM新断Ｃ</v>
      </c>
    </row>
    <row r="1319" ht="15.75" customHeight="1">
      <c r="A1319" s="335" t="s">
        <v>2505</v>
      </c>
      <c r="B1319" s="336">
        <v>45771.0</v>
      </c>
      <c r="C1319" s="335" t="s">
        <v>11</v>
      </c>
      <c r="D1319" s="335" t="s">
        <v>46</v>
      </c>
      <c r="E1319" s="337" t="str">
        <f t="shared" si="1"/>
        <v>ﾔﾏﾄ:阪和</v>
      </c>
      <c r="F1319" s="338" t="s">
        <v>116</v>
      </c>
      <c r="G1319" s="339" t="str">
        <f t="shared" si="2"/>
        <v>ﾔﾏﾄ:阪和Ｈ２(特級)</v>
      </c>
      <c r="H1319" s="340">
        <f t="shared" si="3"/>
        <v>43.1</v>
      </c>
      <c r="I1319" s="341">
        <v>-0.5</v>
      </c>
      <c r="J1319" s="332">
        <f>IFERROR(__xludf.DUMMYFUNCTION("IF(IF(COUNTIF(P$2:P1318, P1319)=0, """", INDEX(H$2:H1318,
MAX(FILTER(ROW(H$2:H1318) - ROW(H$2) + 1, P$2:P1318 = P1319))))=""単価"","""",
IF(COUNTIF(P$2:P1318, P1319)=0, """", INDEX(H$2:H1318,
MAX(FILTER(ROW(H$2:H1318) - ROW(H$2) + 1, P$2:P1318 = P1319)))))"),43.6)</f>
        <v>43.6</v>
      </c>
      <c r="N1319" s="335" t="str">
        <f>IF(MAXIFS('単価履歴'!$O:$O,'単価履歴'!$E:$E,E1319,'単価履歴'!$F:$F,F1319)=O1319,"●","")</f>
        <v/>
      </c>
      <c r="O1319" s="346">
        <v>45772.436261574076</v>
      </c>
      <c r="P1319" s="334" t="str">
        <f t="shared" si="4"/>
        <v>ﾔﾏﾄ:阪和Ｈ２(特級)</v>
      </c>
    </row>
    <row r="1320" ht="15.75" customHeight="1">
      <c r="A1320" s="335" t="s">
        <v>2506</v>
      </c>
      <c r="B1320" s="336">
        <v>45771.0</v>
      </c>
      <c r="C1320" s="335" t="s">
        <v>11</v>
      </c>
      <c r="D1320" s="335" t="s">
        <v>46</v>
      </c>
      <c r="E1320" s="337" t="str">
        <f t="shared" si="1"/>
        <v>ﾔﾏﾄ:阪和</v>
      </c>
      <c r="F1320" s="338" t="s">
        <v>119</v>
      </c>
      <c r="G1320" s="339" t="str">
        <f t="shared" si="2"/>
        <v>ﾔﾏﾄ:阪和Ｈ３(1級)</v>
      </c>
      <c r="H1320" s="340">
        <f t="shared" si="3"/>
        <v>42.1</v>
      </c>
      <c r="I1320" s="341">
        <v>-0.5</v>
      </c>
      <c r="J1320" s="332">
        <f>IFERROR(__xludf.DUMMYFUNCTION("IF(IF(COUNTIF(P$2:P1319, P1320)=0, """", INDEX(H$2:H1319,
MAX(FILTER(ROW(H$2:H1319) - ROW(H$2) + 1, P$2:P1319 = P1320))))=""単価"","""",
IF(COUNTIF(P$2:P1319, P1320)=0, """", INDEX(H$2:H1319,
MAX(FILTER(ROW(H$2:H1319) - ROW(H$2) + 1, P$2:P1319 = P1320)))))"),42.6)</f>
        <v>42.6</v>
      </c>
      <c r="N1320" s="335" t="str">
        <f>IF(MAXIFS('単価履歴'!$O:$O,'単価履歴'!$E:$E,E1320,'単価履歴'!$F:$F,F1320)=O1320,"●","")</f>
        <v/>
      </c>
      <c r="O1320" s="346">
        <v>45772.436261574076</v>
      </c>
      <c r="P1320" s="334" t="str">
        <f t="shared" si="4"/>
        <v>ﾔﾏﾄ:阪和Ｈ３(1級)</v>
      </c>
    </row>
    <row r="1321" ht="15.75" customHeight="1">
      <c r="A1321" s="335" t="s">
        <v>2507</v>
      </c>
      <c r="B1321" s="336">
        <v>45771.0</v>
      </c>
      <c r="C1321" s="335" t="s">
        <v>11</v>
      </c>
      <c r="D1321" s="335" t="s">
        <v>46</v>
      </c>
      <c r="E1321" s="337" t="str">
        <f t="shared" si="1"/>
        <v>ﾔﾏﾄ:阪和</v>
      </c>
      <c r="F1321" s="338" t="s">
        <v>122</v>
      </c>
      <c r="G1321" s="339" t="str">
        <f t="shared" si="2"/>
        <v>ﾔﾏﾄ:阪和Ｌ１(2級)</v>
      </c>
      <c r="H1321" s="340">
        <f t="shared" si="3"/>
        <v>40.1</v>
      </c>
      <c r="I1321" s="341">
        <v>-0.5</v>
      </c>
      <c r="J1321" s="332">
        <f>IFERROR(__xludf.DUMMYFUNCTION("IF(IF(COUNTIF(P$2:P1320, P1321)=0, """", INDEX(H$2:H1320,
MAX(FILTER(ROW(H$2:H1320) - ROW(H$2) + 1, P$2:P1320 = P1321))))=""単価"","""",
IF(COUNTIF(P$2:P1320, P1321)=0, """", INDEX(H$2:H1320,
MAX(FILTER(ROW(H$2:H1320) - ROW(H$2) + 1, P$2:P1320 = P1321)))))"),40.6)</f>
        <v>40.6</v>
      </c>
      <c r="N1321" s="335" t="str">
        <f>IF(MAXIFS('単価履歴'!$O:$O,'単価履歴'!$E:$E,E1321,'単価履歴'!$F:$F,F1321)=O1321,"●","")</f>
        <v/>
      </c>
      <c r="O1321" s="346">
        <v>45772.436261574076</v>
      </c>
      <c r="P1321" s="334" t="str">
        <f t="shared" si="4"/>
        <v>ﾔﾏﾄ:阪和Ｌ１(2級)</v>
      </c>
    </row>
    <row r="1322" ht="15.75" customHeight="1">
      <c r="A1322" s="335" t="s">
        <v>2508</v>
      </c>
      <c r="B1322" s="336">
        <v>45771.0</v>
      </c>
      <c r="C1322" s="335" t="s">
        <v>11</v>
      </c>
      <c r="D1322" s="335" t="s">
        <v>46</v>
      </c>
      <c r="E1322" s="337" t="str">
        <f t="shared" si="1"/>
        <v>ﾔﾏﾄ:阪和</v>
      </c>
      <c r="F1322" s="338" t="s">
        <v>111</v>
      </c>
      <c r="G1322" s="339" t="str">
        <f t="shared" si="2"/>
        <v>ﾔﾏﾄ:阪和Ｈ１(特A)</v>
      </c>
      <c r="H1322" s="340">
        <f t="shared" si="3"/>
        <v>44.1</v>
      </c>
      <c r="I1322" s="341">
        <v>-0.5</v>
      </c>
      <c r="J1322" s="332">
        <f>IFERROR(__xludf.DUMMYFUNCTION("IF(IF(COUNTIF(P$2:P1321, P1322)=0, """", INDEX(H$2:H1321,
MAX(FILTER(ROW(H$2:H1321) - ROW(H$2) + 1, P$2:P1321 = P1322))))=""単価"","""",
IF(COUNTIF(P$2:P1321, P1322)=0, """", INDEX(H$2:H1321,
MAX(FILTER(ROW(H$2:H1321) - ROW(H$2) + 1, P$2:P1321 = P1322)))))"),44.6)</f>
        <v>44.6</v>
      </c>
      <c r="N1322" s="335" t="str">
        <f>IF(MAXIFS('単価履歴'!$O:$O,'単価履歴'!$E:$E,E1322,'単価履歴'!$F:$F,F1322)=O1322,"●","")</f>
        <v/>
      </c>
      <c r="O1322" s="346">
        <v>45772.436261574076</v>
      </c>
      <c r="P1322" s="334" t="str">
        <f t="shared" si="4"/>
        <v>ﾔﾏﾄ:阪和Ｈ１(特A)</v>
      </c>
    </row>
    <row r="1323" ht="15.75" customHeight="1">
      <c r="A1323" s="335" t="s">
        <v>2509</v>
      </c>
      <c r="B1323" s="336">
        <v>45771.0</v>
      </c>
      <c r="C1323" s="335" t="s">
        <v>11</v>
      </c>
      <c r="D1323" s="335" t="s">
        <v>46</v>
      </c>
      <c r="E1323" s="337" t="str">
        <f t="shared" si="1"/>
        <v>ﾔﾏﾄ:阪和</v>
      </c>
      <c r="F1323" s="338" t="s">
        <v>573</v>
      </c>
      <c r="G1323" s="339" t="str">
        <f t="shared" si="2"/>
        <v>ﾔﾏﾄ:阪和Ｌ２(H4･級外･L1ﾊﾞﾗ)</v>
      </c>
      <c r="H1323" s="340">
        <f t="shared" si="3"/>
        <v>37.6</v>
      </c>
      <c r="I1323" s="341">
        <v>-0.5</v>
      </c>
      <c r="J1323" s="332">
        <f>IFERROR(__xludf.DUMMYFUNCTION("IF(IF(COUNTIF(P$2:P1322, P1323)=0, """", INDEX(H$2:H1322,
MAX(FILTER(ROW(H$2:H1322) - ROW(H$2) + 1, P$2:P1322 = P1323))))=""単価"","""",
IF(COUNTIF(P$2:P1322, P1323)=0, """", INDEX(H$2:H1322,
MAX(FILTER(ROW(H$2:H1322) - ROW(H$2) + 1, P$2:P1322 = P1323)))))"),38.1)</f>
        <v>38.1</v>
      </c>
      <c r="N1323" s="335" t="str">
        <f>IF(MAXIFS('単価履歴'!$O:$O,'単価履歴'!$E:$E,E1323,'単価履歴'!$F:$F,F1323)=O1323,"●","")</f>
        <v/>
      </c>
      <c r="O1323" s="346">
        <v>45772.436261574076</v>
      </c>
      <c r="P1323" s="334" t="str">
        <f t="shared" si="4"/>
        <v>ﾔﾏﾄ:阪和Ｌ２(H4･級外･L1ﾊﾞﾗ)</v>
      </c>
    </row>
    <row r="1324" ht="15.75" customHeight="1">
      <c r="A1324" s="335" t="s">
        <v>2510</v>
      </c>
      <c r="B1324" s="336">
        <v>45771.0</v>
      </c>
      <c r="C1324" s="335" t="s">
        <v>5</v>
      </c>
      <c r="D1324" s="335" t="s">
        <v>46</v>
      </c>
      <c r="E1324" s="337" t="str">
        <f t="shared" si="1"/>
        <v>中山製鋼:阪和</v>
      </c>
      <c r="F1324" s="338" t="s">
        <v>116</v>
      </c>
      <c r="G1324" s="339" t="str">
        <f t="shared" si="2"/>
        <v>中山製鋼:阪和Ｈ２(特級)</v>
      </c>
      <c r="H1324" s="340">
        <f t="shared" si="3"/>
        <v>37.8</v>
      </c>
      <c r="I1324" s="341">
        <v>5.0</v>
      </c>
      <c r="J1324" s="332">
        <f>IFERROR(__xludf.DUMMYFUNCTION("IF(IF(COUNTIF(P$2:P1323, P1324)=0, """", INDEX(H$2:H1323,
MAX(FILTER(ROW(H$2:H1323) - ROW(H$2) + 1, P$2:P1323 = P1324))))=""単価"","""",
IF(COUNTIF(P$2:P1323, P1324)=0, """", INDEX(H$2:H1323,
MAX(FILTER(ROW(H$2:H1323) - ROW(H$2) + 1, P$2:P1323 = P1324)))))"),32.8)</f>
        <v>32.8</v>
      </c>
      <c r="N1324" s="335" t="str">
        <f>IF(MAXIFS('単価履歴'!$O:$O,'単価履歴'!$E:$E,E1324,'単価履歴'!$F:$F,F1324)=O1324,"●","")</f>
        <v/>
      </c>
      <c r="O1324" s="346">
        <v>45772.43761574074</v>
      </c>
      <c r="P1324" s="334" t="str">
        <f t="shared" si="4"/>
        <v>中山製鋼:阪和Ｈ２(特級)</v>
      </c>
    </row>
    <row r="1325" ht="15.75" customHeight="1">
      <c r="A1325" s="335" t="s">
        <v>2511</v>
      </c>
      <c r="B1325" s="336">
        <v>45771.0</v>
      </c>
      <c r="C1325" s="335" t="s">
        <v>7</v>
      </c>
      <c r="D1325" s="335" t="s">
        <v>49</v>
      </c>
      <c r="E1325" s="337" t="str">
        <f t="shared" si="1"/>
        <v>合同大阪:伊藤忠</v>
      </c>
      <c r="F1325" s="338" t="s">
        <v>1199</v>
      </c>
      <c r="G1325" s="339" t="str">
        <f t="shared" si="2"/>
        <v>合同大阪:伊藤忠ＨＳ１(単体H1/電特A/HS))</v>
      </c>
      <c r="H1325" s="340">
        <f t="shared" si="3"/>
        <v>44.8</v>
      </c>
      <c r="I1325" s="341">
        <v>-0.5</v>
      </c>
      <c r="J1325" s="332">
        <f>IFERROR(__xludf.DUMMYFUNCTION("IF(IF(COUNTIF(P$2:P1324, P1325)=0, """", INDEX(H$2:H1324,
MAX(FILTER(ROW(H$2:H1324) - ROW(H$2) + 1, P$2:P1324 = P1325))))=""単価"","""",
IF(COUNTIF(P$2:P1324, P1325)=0, """", INDEX(H$2:H1324,
MAX(FILTER(ROW(H$2:H1324) - ROW(H$2) + 1, P$2:P1324 = P1325)))))"),45.3)</f>
        <v>45.3</v>
      </c>
      <c r="N1325" s="335" t="str">
        <f>IF(MAXIFS('単価履歴'!$O:$O,'単価履歴'!$E:$E,E1325,'単価履歴'!$F:$F,F1325)=O1325,"●","")</f>
        <v/>
      </c>
      <c r="O1325" s="346">
        <v>45772.4390162037</v>
      </c>
      <c r="P1325" s="334" t="str">
        <f t="shared" si="4"/>
        <v>合同大阪:伊藤忠ＨＳ１(単体H1/電特A/HS))</v>
      </c>
    </row>
    <row r="1326" ht="15.75" customHeight="1">
      <c r="A1326" s="335" t="s">
        <v>2512</v>
      </c>
      <c r="B1326" s="336">
        <v>45771.0</v>
      </c>
      <c r="C1326" s="335" t="s">
        <v>7</v>
      </c>
      <c r="D1326" s="335" t="s">
        <v>49</v>
      </c>
      <c r="E1326" s="337" t="str">
        <f t="shared" si="1"/>
        <v>合同大阪:伊藤忠</v>
      </c>
      <c r="F1326" s="338" t="s">
        <v>101</v>
      </c>
      <c r="G1326" s="339" t="str">
        <f t="shared" si="2"/>
        <v>合同大阪:伊藤忠ＨＳ２</v>
      </c>
      <c r="H1326" s="340">
        <f t="shared" si="3"/>
        <v>44.3</v>
      </c>
      <c r="I1326" s="341">
        <v>-0.5</v>
      </c>
      <c r="J1326" s="332">
        <f>IFERROR(__xludf.DUMMYFUNCTION("IF(IF(COUNTIF(P$2:P1325, P1326)=0, """", INDEX(H$2:H1325,
MAX(FILTER(ROW(H$2:H1325) - ROW(H$2) + 1, P$2:P1325 = P1326))))=""単価"","""",
IF(COUNTIF(P$2:P1325, P1326)=0, """", INDEX(H$2:H1325,
MAX(FILTER(ROW(H$2:H1325) - ROW(H$2) + 1, P$2:P1325 = P1326)))))"),44.8)</f>
        <v>44.8</v>
      </c>
      <c r="N1326" s="335" t="str">
        <f>IF(MAXIFS('単価履歴'!$O:$O,'単価履歴'!$E:$E,E1326,'単価履歴'!$F:$F,F1326)=O1326,"●","")</f>
        <v/>
      </c>
      <c r="O1326" s="346">
        <v>45772.4390162037</v>
      </c>
      <c r="P1326" s="334" t="str">
        <f t="shared" si="4"/>
        <v>合同大阪:伊藤忠ＨＳ２</v>
      </c>
    </row>
    <row r="1327" ht="15.75" customHeight="1">
      <c r="A1327" s="335" t="s">
        <v>2513</v>
      </c>
      <c r="B1327" s="336">
        <v>45771.0</v>
      </c>
      <c r="C1327" s="335" t="s">
        <v>7</v>
      </c>
      <c r="D1327" s="335" t="s">
        <v>49</v>
      </c>
      <c r="E1327" s="337" t="str">
        <f t="shared" si="1"/>
        <v>合同大阪:伊藤忠</v>
      </c>
      <c r="F1327" s="338" t="s">
        <v>130</v>
      </c>
      <c r="G1327" s="339" t="str">
        <f t="shared" si="2"/>
        <v>合同大阪:伊藤忠新断Ａ</v>
      </c>
      <c r="H1327" s="340">
        <f t="shared" si="3"/>
        <v>45.8</v>
      </c>
      <c r="I1327" s="341">
        <v>-1.0</v>
      </c>
      <c r="J1327" s="332">
        <f>IFERROR(__xludf.DUMMYFUNCTION("IF(IF(COUNTIF(P$2:P1326, P1327)=0, """", INDEX(H$2:H1326,
MAX(FILTER(ROW(H$2:H1326) - ROW(H$2) + 1, P$2:P1326 = P1327))))=""単価"","""",
IF(COUNTIF(P$2:P1326, P1327)=0, """", INDEX(H$2:H1326,
MAX(FILTER(ROW(H$2:H1326) - ROW(H$2) + 1, P$2:P1326 = P1327)))))"),46.8)</f>
        <v>46.8</v>
      </c>
      <c r="N1327" s="335" t="str">
        <f>IF(MAXIFS('単価履歴'!$O:$O,'単価履歴'!$E:$E,E1327,'単価履歴'!$F:$F,F1327)=O1327,"●","")</f>
        <v/>
      </c>
      <c r="O1327" s="346">
        <v>45772.439930555556</v>
      </c>
      <c r="P1327" s="334" t="str">
        <f t="shared" si="4"/>
        <v>合同大阪:伊藤忠新断Ａ</v>
      </c>
    </row>
    <row r="1328" ht="15.75" customHeight="1">
      <c r="A1328" s="335" t="s">
        <v>2514</v>
      </c>
      <c r="B1328" s="336">
        <v>45771.0</v>
      </c>
      <c r="C1328" s="335" t="s">
        <v>7</v>
      </c>
      <c r="D1328" s="335" t="s">
        <v>49</v>
      </c>
      <c r="E1328" s="337" t="str">
        <f t="shared" si="1"/>
        <v>合同大阪:伊藤忠</v>
      </c>
      <c r="F1328" s="338" t="s">
        <v>131</v>
      </c>
      <c r="G1328" s="339" t="str">
        <f t="shared" si="2"/>
        <v>合同大阪:伊藤忠新断Ｂ</v>
      </c>
      <c r="H1328" s="340">
        <f t="shared" si="3"/>
        <v>45.3</v>
      </c>
      <c r="I1328" s="341">
        <v>-1.0</v>
      </c>
      <c r="J1328" s="332">
        <f>IFERROR(__xludf.DUMMYFUNCTION("IF(IF(COUNTIF(P$2:P1327, P1328)=0, """", INDEX(H$2:H1327,
MAX(FILTER(ROW(H$2:H1327) - ROW(H$2) + 1, P$2:P1327 = P1328))))=""単価"","""",
IF(COUNTIF(P$2:P1327, P1328)=0, """", INDEX(H$2:H1327,
MAX(FILTER(ROW(H$2:H1327) - ROW(H$2) + 1, P$2:P1327 = P1328)))))"),46.3)</f>
        <v>46.3</v>
      </c>
      <c r="N1328" s="335" t="str">
        <f>IF(MAXIFS('単価履歴'!$O:$O,'単価履歴'!$E:$E,E1328,'単価履歴'!$F:$F,F1328)=O1328,"●","")</f>
        <v/>
      </c>
      <c r="O1328" s="346">
        <v>45772.439930555556</v>
      </c>
      <c r="P1328" s="334" t="str">
        <f t="shared" si="4"/>
        <v>合同大阪:伊藤忠新断Ｂ</v>
      </c>
    </row>
    <row r="1329" ht="15.75" customHeight="1">
      <c r="A1329" s="335" t="s">
        <v>2515</v>
      </c>
      <c r="B1329" s="336">
        <v>45773.0</v>
      </c>
      <c r="C1329" s="335" t="s">
        <v>531</v>
      </c>
      <c r="D1329" s="335" t="s">
        <v>77</v>
      </c>
      <c r="E1329" s="337" t="str">
        <f t="shared" si="1"/>
        <v>東鐵関西:直納</v>
      </c>
      <c r="F1329" s="338" t="s">
        <v>1199</v>
      </c>
      <c r="G1329" s="339" t="str">
        <f t="shared" si="2"/>
        <v>東鐵関西:直納ＨＳ１(単体H1/電特A/HS))</v>
      </c>
      <c r="H1329" s="340">
        <f t="shared" si="3"/>
        <v>43.5</v>
      </c>
      <c r="I1329" s="341">
        <v>-0.5</v>
      </c>
      <c r="J1329" s="332">
        <f>IFERROR(__xludf.DUMMYFUNCTION("IF(IF(COUNTIF(P$2:P1328, P1329)=0, """", INDEX(H$2:H1328,
MAX(FILTER(ROW(H$2:H1328) - ROW(H$2) + 1, P$2:P1328 = P1329))))=""単価"","""",
IF(COUNTIF(P$2:P1328, P1329)=0, """", INDEX(H$2:H1328,
MAX(FILTER(ROW(H$2:H1328) - ROW(H$2) + 1, P$2:P1328 = P1329)))))"),44.0)</f>
        <v>44</v>
      </c>
      <c r="N1329" s="335" t="str">
        <f>IF(MAXIFS('単価履歴'!$O:$O,'単価履歴'!$E:$E,E1329,'単価履歴'!$F:$F,F1329)=O1329,"●","")</f>
        <v/>
      </c>
      <c r="O1329" s="346">
        <v>45773.25335648148</v>
      </c>
      <c r="P1329" s="334" t="str">
        <f t="shared" si="4"/>
        <v>東鐵関西:直納ＨＳ１(単体H1/電特A/HS))</v>
      </c>
    </row>
    <row r="1330" ht="15.75" customHeight="1">
      <c r="A1330" s="335" t="s">
        <v>2516</v>
      </c>
      <c r="B1330" s="336">
        <v>45773.0</v>
      </c>
      <c r="C1330" s="335" t="s">
        <v>531</v>
      </c>
      <c r="D1330" s="335" t="s">
        <v>77</v>
      </c>
      <c r="E1330" s="337" t="str">
        <f t="shared" si="1"/>
        <v>東鐵関西:直納</v>
      </c>
      <c r="F1330" s="338" t="s">
        <v>111</v>
      </c>
      <c r="G1330" s="339" t="str">
        <f t="shared" si="2"/>
        <v>東鐵関西:直納Ｈ１(特A)</v>
      </c>
      <c r="H1330" s="340">
        <f t="shared" si="3"/>
        <v>43</v>
      </c>
      <c r="I1330" s="341">
        <v>-0.5</v>
      </c>
      <c r="J1330" s="332">
        <f>IFERROR(__xludf.DUMMYFUNCTION("IF(IF(COUNTIF(P$2:P1329, P1330)=0, """", INDEX(H$2:H1329,
MAX(FILTER(ROW(H$2:H1329) - ROW(H$2) + 1, P$2:P1329 = P1330))))=""単価"","""",
IF(COUNTIF(P$2:P1329, P1330)=0, """", INDEX(H$2:H1329,
MAX(FILTER(ROW(H$2:H1329) - ROW(H$2) + 1, P$2:P1329 = P1330)))))"),43.5)</f>
        <v>43.5</v>
      </c>
      <c r="N1330" s="335" t="str">
        <f>IF(MAXIFS('単価履歴'!$O:$O,'単価履歴'!$E:$E,E1330,'単価履歴'!$F:$F,F1330)=O1330,"●","")</f>
        <v/>
      </c>
      <c r="O1330" s="346">
        <v>45773.25335648148</v>
      </c>
      <c r="P1330" s="334" t="str">
        <f t="shared" si="4"/>
        <v>東鐵関西:直納Ｈ１(特A)</v>
      </c>
    </row>
    <row r="1331" ht="15.75" customHeight="1">
      <c r="A1331" s="335" t="s">
        <v>2517</v>
      </c>
      <c r="B1331" s="336">
        <v>45773.0</v>
      </c>
      <c r="C1331" s="335" t="s">
        <v>531</v>
      </c>
      <c r="D1331" s="335" t="s">
        <v>77</v>
      </c>
      <c r="E1331" s="337" t="str">
        <f t="shared" si="1"/>
        <v>東鐵関西:直納</v>
      </c>
      <c r="F1331" s="338" t="s">
        <v>116</v>
      </c>
      <c r="G1331" s="339" t="str">
        <f t="shared" si="2"/>
        <v>東鐵関西:直納Ｈ２(特級)</v>
      </c>
      <c r="H1331" s="340">
        <f t="shared" si="3"/>
        <v>41</v>
      </c>
      <c r="I1331" s="341">
        <v>-0.5</v>
      </c>
      <c r="J1331" s="332">
        <f>IFERROR(__xludf.DUMMYFUNCTION("IF(IF(COUNTIF(P$2:P1330, P1331)=0, """", INDEX(H$2:H1330,
MAX(FILTER(ROW(H$2:H1330) - ROW(H$2) + 1, P$2:P1330 = P1331))))=""単価"","""",
IF(COUNTIF(P$2:P1330, P1331)=0, """", INDEX(H$2:H1330,
MAX(FILTER(ROW(H$2:H1330) - ROW(H$2) + 1, P$2:P1330 = P1331)))))"),41.5)</f>
        <v>41.5</v>
      </c>
      <c r="N1331" s="335" t="str">
        <f>IF(MAXIFS('単価履歴'!$O:$O,'単価履歴'!$E:$E,E1331,'単価履歴'!$F:$F,F1331)=O1331,"●","")</f>
        <v/>
      </c>
      <c r="O1331" s="346">
        <v>45773.25335648148</v>
      </c>
      <c r="P1331" s="334" t="str">
        <f t="shared" si="4"/>
        <v>東鐵関西:直納Ｈ２(特級)</v>
      </c>
    </row>
    <row r="1332" ht="15.75" customHeight="1">
      <c r="A1332" s="335" t="s">
        <v>2518</v>
      </c>
      <c r="B1332" s="336">
        <v>45773.0</v>
      </c>
      <c r="C1332" s="335" t="s">
        <v>531</v>
      </c>
      <c r="D1332" s="335" t="s">
        <v>77</v>
      </c>
      <c r="E1332" s="337" t="str">
        <f t="shared" si="1"/>
        <v>東鐵関西:直納</v>
      </c>
      <c r="F1332" s="338" t="s">
        <v>119</v>
      </c>
      <c r="G1332" s="339" t="str">
        <f t="shared" si="2"/>
        <v>東鐵関西:直納Ｈ３(1級)</v>
      </c>
      <c r="H1332" s="340">
        <f t="shared" si="3"/>
        <v>41</v>
      </c>
      <c r="I1332" s="341">
        <v>-0.5</v>
      </c>
      <c r="J1332" s="332">
        <f>IFERROR(__xludf.DUMMYFUNCTION("IF(IF(COUNTIF(P$2:P1331, P1332)=0, """", INDEX(H$2:H1331,
MAX(FILTER(ROW(H$2:H1331) - ROW(H$2) + 1, P$2:P1331 = P1332))))=""単価"","""",
IF(COUNTIF(P$2:P1331, P1332)=0, """", INDEX(H$2:H1331,
MAX(FILTER(ROW(H$2:H1331) - ROW(H$2) + 1, P$2:P1331 = P1332)))))"),41.5)</f>
        <v>41.5</v>
      </c>
      <c r="N1332" s="335" t="str">
        <f>IF(MAXIFS('単価履歴'!$O:$O,'単価履歴'!$E:$E,E1332,'単価履歴'!$F:$F,F1332)=O1332,"●","")</f>
        <v/>
      </c>
      <c r="O1332" s="346">
        <v>45773.25335648148</v>
      </c>
      <c r="P1332" s="334" t="str">
        <f t="shared" si="4"/>
        <v>東鐵関西:直納Ｈ３(1級)</v>
      </c>
    </row>
    <row r="1333" ht="15.75" customHeight="1">
      <c r="A1333" s="335" t="s">
        <v>2519</v>
      </c>
      <c r="B1333" s="336">
        <v>45773.0</v>
      </c>
      <c r="C1333" s="335" t="s">
        <v>531</v>
      </c>
      <c r="D1333" s="335" t="s">
        <v>77</v>
      </c>
      <c r="E1333" s="337" t="str">
        <f t="shared" si="1"/>
        <v>東鐵関西:直納</v>
      </c>
      <c r="F1333" s="338" t="s">
        <v>122</v>
      </c>
      <c r="G1333" s="339" t="str">
        <f t="shared" si="2"/>
        <v>東鐵関西:直納Ｌ１(2級)</v>
      </c>
      <c r="H1333" s="340">
        <f t="shared" si="3"/>
        <v>39</v>
      </c>
      <c r="I1333" s="341">
        <v>-0.5</v>
      </c>
      <c r="J1333" s="332">
        <f>IFERROR(__xludf.DUMMYFUNCTION("IF(IF(COUNTIF(P$2:P1332, P1333)=0, """", INDEX(H$2:H1332,
MAX(FILTER(ROW(H$2:H1332) - ROW(H$2) + 1, P$2:P1332 = P1333))))=""単価"","""",
IF(COUNTIF(P$2:P1332, P1333)=0, """", INDEX(H$2:H1332,
MAX(FILTER(ROW(H$2:H1332) - ROW(H$2) + 1, P$2:P1332 = P1333)))))"),39.5)</f>
        <v>39.5</v>
      </c>
      <c r="N1333" s="335" t="str">
        <f>IF(MAXIFS('単価履歴'!$O:$O,'単価履歴'!$E:$E,E1333,'単価履歴'!$F:$F,F1333)=O1333,"●","")</f>
        <v/>
      </c>
      <c r="O1333" s="346">
        <v>45773.25335648148</v>
      </c>
      <c r="P1333" s="334" t="str">
        <f t="shared" si="4"/>
        <v>東鐵関西:直納Ｌ１(2級)</v>
      </c>
    </row>
    <row r="1334" ht="15.75" customHeight="1">
      <c r="A1334" s="335" t="s">
        <v>2520</v>
      </c>
      <c r="B1334" s="336">
        <v>45773.0</v>
      </c>
      <c r="C1334" s="335" t="s">
        <v>531</v>
      </c>
      <c r="D1334" s="335" t="s">
        <v>77</v>
      </c>
      <c r="E1334" s="337" t="str">
        <f t="shared" si="1"/>
        <v>東鐵関西:直納</v>
      </c>
      <c r="F1334" s="338" t="s">
        <v>573</v>
      </c>
      <c r="G1334" s="339" t="str">
        <f t="shared" si="2"/>
        <v>東鐵関西:直納Ｌ２(H4･級外･L1ﾊﾞﾗ)</v>
      </c>
      <c r="H1334" s="340">
        <f t="shared" si="3"/>
        <v>36</v>
      </c>
      <c r="I1334" s="341">
        <v>-0.5</v>
      </c>
      <c r="J1334" s="332">
        <f>IFERROR(__xludf.DUMMYFUNCTION("IF(IF(COUNTIF(P$2:P1333, P1334)=0, """", INDEX(H$2:H1333,
MAX(FILTER(ROW(H$2:H1333) - ROW(H$2) + 1, P$2:P1333 = P1334))))=""単価"","""",
IF(COUNTIF(P$2:P1333, P1334)=0, """", INDEX(H$2:H1333,
MAX(FILTER(ROW(H$2:H1333) - ROW(H$2) + 1, P$2:P1333 = P1334)))))"),36.5)</f>
        <v>36.5</v>
      </c>
      <c r="N1334" s="335" t="str">
        <f>IF(MAXIFS('単価履歴'!$O:$O,'単価履歴'!$E:$E,E1334,'単価履歴'!$F:$F,F1334)=O1334,"●","")</f>
        <v/>
      </c>
      <c r="O1334" s="346">
        <v>45773.25335648148</v>
      </c>
      <c r="P1334" s="334" t="str">
        <f t="shared" si="4"/>
        <v>東鐵関西:直納Ｌ２(H4･級外･L1ﾊﾞﾗ)</v>
      </c>
    </row>
    <row r="1335" ht="15.75" customHeight="1">
      <c r="A1335" s="335" t="s">
        <v>2521</v>
      </c>
      <c r="B1335" s="336">
        <v>45773.0</v>
      </c>
      <c r="C1335" s="335" t="s">
        <v>531</v>
      </c>
      <c r="D1335" s="335" t="s">
        <v>77</v>
      </c>
      <c r="E1335" s="337" t="str">
        <f t="shared" si="1"/>
        <v>東鐵関西:直納</v>
      </c>
      <c r="F1335" s="338" t="s">
        <v>145</v>
      </c>
      <c r="G1335" s="339" t="str">
        <f t="shared" si="2"/>
        <v>東鐵関西:直納シュレＡ</v>
      </c>
      <c r="H1335" s="340">
        <f t="shared" si="3"/>
        <v>43</v>
      </c>
      <c r="I1335" s="341">
        <v>-0.5</v>
      </c>
      <c r="J1335" s="332">
        <f>IFERROR(__xludf.DUMMYFUNCTION("IF(IF(COUNTIF(P$2:P1334, P1335)=0, """", INDEX(H$2:H1334,
MAX(FILTER(ROW(H$2:H1334) - ROW(H$2) + 1, P$2:P1334 = P1335))))=""単価"","""",
IF(COUNTIF(P$2:P1334, P1335)=0, """", INDEX(H$2:H1334,
MAX(FILTER(ROW(H$2:H1334) - ROW(H$2) + 1, P$2:P1334 = P1335)))))"),43.5)</f>
        <v>43.5</v>
      </c>
      <c r="N1335" s="335" t="str">
        <f>IF(MAXIFS('単価履歴'!$O:$O,'単価履歴'!$E:$E,E1335,'単価履歴'!$F:$F,F1335)=O1335,"●","")</f>
        <v/>
      </c>
      <c r="O1335" s="346">
        <v>45773.25335648148</v>
      </c>
      <c r="P1335" s="334" t="str">
        <f t="shared" si="4"/>
        <v>東鐵関西:直納シュレＡ</v>
      </c>
    </row>
    <row r="1336" ht="15.75" customHeight="1">
      <c r="A1336" s="335" t="s">
        <v>2522</v>
      </c>
      <c r="B1336" s="336">
        <v>45773.0</v>
      </c>
      <c r="C1336" s="335" t="s">
        <v>531</v>
      </c>
      <c r="D1336" s="335" t="s">
        <v>77</v>
      </c>
      <c r="E1336" s="337" t="str">
        <f t="shared" si="1"/>
        <v>東鐵関西:直納</v>
      </c>
      <c r="F1336" s="338" t="s">
        <v>151</v>
      </c>
      <c r="G1336" s="339" t="str">
        <f t="shared" si="2"/>
        <v>東鐵関西:直納シュレＣ</v>
      </c>
      <c r="H1336" s="340">
        <f t="shared" si="3"/>
        <v>42</v>
      </c>
      <c r="I1336" s="341">
        <v>-0.5</v>
      </c>
      <c r="J1336" s="332">
        <f>IFERROR(__xludf.DUMMYFUNCTION("IF(IF(COUNTIF(P$2:P1335, P1336)=0, """", INDEX(H$2:H1335,
MAX(FILTER(ROW(H$2:H1335) - ROW(H$2) + 1, P$2:P1335 = P1336))))=""単価"","""",
IF(COUNTIF(P$2:P1335, P1336)=0, """", INDEX(H$2:H1335,
MAX(FILTER(ROW(H$2:H1335) - ROW(H$2) + 1, P$2:P1335 = P1336)))))"),42.5)</f>
        <v>42.5</v>
      </c>
      <c r="N1336" s="335" t="str">
        <f>IF(MAXIFS('単価履歴'!$O:$O,'単価履歴'!$E:$E,E1336,'単価履歴'!$F:$F,F1336)=O1336,"●","")</f>
        <v/>
      </c>
      <c r="O1336" s="346">
        <v>45773.25335648148</v>
      </c>
      <c r="P1336" s="334" t="str">
        <f t="shared" si="4"/>
        <v>東鐵関西:直納シュレＣ</v>
      </c>
    </row>
    <row r="1337" ht="15.75" customHeight="1">
      <c r="A1337" s="335" t="s">
        <v>2523</v>
      </c>
      <c r="B1337" s="336">
        <v>45773.0</v>
      </c>
      <c r="C1337" s="335" t="s">
        <v>5</v>
      </c>
      <c r="D1337" s="335" t="s">
        <v>46</v>
      </c>
      <c r="E1337" s="337" t="str">
        <f t="shared" si="1"/>
        <v>中山製鋼:阪和</v>
      </c>
      <c r="F1337" s="338" t="s">
        <v>101</v>
      </c>
      <c r="G1337" s="339" t="str">
        <f t="shared" si="2"/>
        <v>中山製鋼:阪和ＨＳ２</v>
      </c>
      <c r="H1337" s="340">
        <f t="shared" si="3"/>
        <v>44.4</v>
      </c>
      <c r="I1337" s="341">
        <v>-0.5</v>
      </c>
      <c r="J1337" s="332">
        <f>IFERROR(__xludf.DUMMYFUNCTION("IF(IF(COUNTIF(P$2:P1336, P1337)=0, """", INDEX(H$2:H1336,
MAX(FILTER(ROW(H$2:H1336) - ROW(H$2) + 1, P$2:P1336 = P1337))))=""単価"","""",
IF(COUNTIF(P$2:P1336, P1337)=0, """", INDEX(H$2:H1336,
MAX(FILTER(ROW(H$2:H1336) - ROW(H$2) + 1, P$2:P1336 = P1337)))))"),44.9)</f>
        <v>44.9</v>
      </c>
      <c r="N1337" s="335" t="str">
        <f>IF(MAXIFS('単価履歴'!$O:$O,'単価履歴'!$E:$E,E1337,'単価履歴'!$F:$F,F1337)=O1337,"●","")</f>
        <v/>
      </c>
      <c r="O1337" s="346">
        <v>45773.25375</v>
      </c>
      <c r="P1337" s="334" t="str">
        <f t="shared" si="4"/>
        <v>中山製鋼:阪和ＨＳ２</v>
      </c>
    </row>
    <row r="1338" ht="15.75" customHeight="1">
      <c r="A1338" s="335" t="s">
        <v>2524</v>
      </c>
      <c r="B1338" s="336">
        <v>45773.0</v>
      </c>
      <c r="C1338" s="335" t="s">
        <v>5</v>
      </c>
      <c r="D1338" s="335" t="s">
        <v>46</v>
      </c>
      <c r="E1338" s="337" t="str">
        <f t="shared" si="1"/>
        <v>中山製鋼:阪和</v>
      </c>
      <c r="F1338" s="338" t="s">
        <v>108</v>
      </c>
      <c r="G1338" s="339" t="str">
        <f t="shared" si="2"/>
        <v>中山製鋼:阪和Ｈ１/ｻﾑﾃｯｸ</v>
      </c>
      <c r="H1338" s="340">
        <f t="shared" si="3"/>
        <v>1.5</v>
      </c>
      <c r="I1338" s="341">
        <v>-0.5</v>
      </c>
      <c r="J1338" s="332">
        <f>IFERROR(__xludf.DUMMYFUNCTION("IF(IF(COUNTIF(P$2:P1337, P1338)=0, """", INDEX(H$2:H1337,
MAX(FILTER(ROW(H$2:H1337) - ROW(H$2) + 1, P$2:P1337 = P1338))))=""単価"","""",
IF(COUNTIF(P$2:P1337, P1338)=0, """", INDEX(H$2:H1337,
MAX(FILTER(ROW(H$2:H1337) - ROW(H$2) + 1, P$2:P1337 = P1338)))))"),2.0)</f>
        <v>2</v>
      </c>
      <c r="N1338" s="335" t="str">
        <f>IF(MAXIFS('単価履歴'!$O:$O,'単価履歴'!$E:$E,E1338,'単価履歴'!$F:$F,F1338)=O1338,"●","")</f>
        <v/>
      </c>
      <c r="O1338" s="346">
        <v>45773.25375</v>
      </c>
      <c r="P1338" s="334" t="str">
        <f t="shared" si="4"/>
        <v>中山製鋼:阪和Ｈ１/ｻﾑﾃｯｸ</v>
      </c>
    </row>
    <row r="1339" ht="15.75" customHeight="1">
      <c r="A1339" s="335" t="s">
        <v>2525</v>
      </c>
      <c r="B1339" s="336">
        <v>45773.0</v>
      </c>
      <c r="C1339" s="335" t="s">
        <v>5</v>
      </c>
      <c r="D1339" s="335" t="s">
        <v>46</v>
      </c>
      <c r="E1339" s="337" t="str">
        <f t="shared" si="1"/>
        <v>中山製鋼:阪和</v>
      </c>
      <c r="F1339" s="338" t="s">
        <v>111</v>
      </c>
      <c r="G1339" s="339" t="str">
        <f t="shared" si="2"/>
        <v>中山製鋼:阪和Ｈ１(特A)</v>
      </c>
      <c r="H1339" s="340">
        <f t="shared" si="3"/>
        <v>42</v>
      </c>
      <c r="I1339" s="341">
        <v>-0.5</v>
      </c>
      <c r="J1339" s="332">
        <f>IFERROR(__xludf.DUMMYFUNCTION("IF(IF(COUNTIF(P$2:P1338, P1339)=0, """", INDEX(H$2:H1338,
MAX(FILTER(ROW(H$2:H1338) - ROW(H$2) + 1, P$2:P1338 = P1339))))=""単価"","""",
IF(COUNTIF(P$2:P1338, P1339)=0, """", INDEX(H$2:H1338,
MAX(FILTER(ROW(H$2:H1338) - ROW(H$2) + 1, P$2:P1338 = P1339)))))"),42.5)</f>
        <v>42.5</v>
      </c>
      <c r="N1339" s="335" t="str">
        <f>IF(MAXIFS('単価履歴'!$O:$O,'単価履歴'!$E:$E,E1339,'単価履歴'!$F:$F,F1339)=O1339,"●","")</f>
        <v/>
      </c>
      <c r="O1339" s="346">
        <v>45773.25375</v>
      </c>
      <c r="P1339" s="334" t="str">
        <f t="shared" si="4"/>
        <v>中山製鋼:阪和Ｈ１(特A)</v>
      </c>
    </row>
    <row r="1340" ht="15.75" customHeight="1">
      <c r="A1340" s="335" t="s">
        <v>2526</v>
      </c>
      <c r="B1340" s="336">
        <v>45773.0</v>
      </c>
      <c r="C1340" s="335" t="s">
        <v>5</v>
      </c>
      <c r="D1340" s="335" t="s">
        <v>46</v>
      </c>
      <c r="E1340" s="337" t="str">
        <f t="shared" si="1"/>
        <v>中山製鋼:阪和</v>
      </c>
      <c r="F1340" s="338" t="s">
        <v>116</v>
      </c>
      <c r="G1340" s="339" t="str">
        <f t="shared" si="2"/>
        <v>中山製鋼:阪和Ｈ２(特級)</v>
      </c>
      <c r="H1340" s="340">
        <f t="shared" si="3"/>
        <v>37.3</v>
      </c>
      <c r="I1340" s="341">
        <v>-0.5</v>
      </c>
      <c r="J1340" s="332">
        <f>IFERROR(__xludf.DUMMYFUNCTION("IF(IF(COUNTIF(P$2:P1339, P1340)=0, """", INDEX(H$2:H1339,
MAX(FILTER(ROW(H$2:H1339) - ROW(H$2) + 1, P$2:P1339 = P1340))))=""単価"","""",
IF(COUNTIF(P$2:P1339, P1340)=0, """", INDEX(H$2:H1339,
MAX(FILTER(ROW(H$2:H1339) - ROW(H$2) + 1, P$2:P1339 = P1340)))))"),37.8)</f>
        <v>37.8</v>
      </c>
      <c r="N1340" s="335" t="str">
        <f>IF(MAXIFS('単価履歴'!$O:$O,'単価履歴'!$E:$E,E1340,'単価履歴'!$F:$F,F1340)=O1340,"●","")</f>
        <v/>
      </c>
      <c r="O1340" s="346">
        <v>45773.25375</v>
      </c>
      <c r="P1340" s="334" t="str">
        <f t="shared" si="4"/>
        <v>中山製鋼:阪和Ｈ２(特級)</v>
      </c>
    </row>
    <row r="1341" ht="15.75" customHeight="1">
      <c r="A1341" s="335" t="s">
        <v>2527</v>
      </c>
      <c r="B1341" s="336">
        <v>45773.0</v>
      </c>
      <c r="C1341" s="335" t="s">
        <v>5</v>
      </c>
      <c r="D1341" s="335" t="s">
        <v>46</v>
      </c>
      <c r="E1341" s="337" t="str">
        <f t="shared" si="1"/>
        <v>中山製鋼:阪和</v>
      </c>
      <c r="F1341" s="338" t="s">
        <v>119</v>
      </c>
      <c r="G1341" s="339" t="str">
        <f t="shared" si="2"/>
        <v>中山製鋼:阪和Ｈ３(1級)</v>
      </c>
      <c r="H1341" s="340">
        <f t="shared" si="3"/>
        <v>33.3</v>
      </c>
      <c r="I1341" s="341">
        <v>-0.5</v>
      </c>
      <c r="J1341" s="332">
        <f>IFERROR(__xludf.DUMMYFUNCTION("IF(IF(COUNTIF(P$2:P1340, P1341)=0, """", INDEX(H$2:H1340,
MAX(FILTER(ROW(H$2:H1340) - ROW(H$2) + 1, P$2:P1340 = P1341))))=""単価"","""",
IF(COUNTIF(P$2:P1340, P1341)=0, """", INDEX(H$2:H1340,
MAX(FILTER(ROW(H$2:H1340) - ROW(H$2) + 1, P$2:P1340 = P1341)))))"),33.8)</f>
        <v>33.8</v>
      </c>
      <c r="N1341" s="335" t="str">
        <f>IF(MAXIFS('単価履歴'!$O:$O,'単価履歴'!$E:$E,E1341,'単価履歴'!$F:$F,F1341)=O1341,"●","")</f>
        <v/>
      </c>
      <c r="O1341" s="346">
        <v>45773.25375</v>
      </c>
      <c r="P1341" s="334" t="str">
        <f t="shared" si="4"/>
        <v>中山製鋼:阪和Ｈ３(1級)</v>
      </c>
    </row>
    <row r="1342" ht="15.75" customHeight="1">
      <c r="A1342" s="335" t="s">
        <v>2528</v>
      </c>
      <c r="B1342" s="336">
        <v>45773.0</v>
      </c>
      <c r="C1342" s="335" t="s">
        <v>5</v>
      </c>
      <c r="D1342" s="335" t="s">
        <v>46</v>
      </c>
      <c r="E1342" s="337" t="str">
        <f t="shared" si="1"/>
        <v>中山製鋼:阪和</v>
      </c>
      <c r="F1342" s="338" t="s">
        <v>122</v>
      </c>
      <c r="G1342" s="339" t="str">
        <f t="shared" si="2"/>
        <v>中山製鋼:阪和Ｌ１(2級)</v>
      </c>
      <c r="H1342" s="340">
        <f t="shared" si="3"/>
        <v>26.8</v>
      </c>
      <c r="I1342" s="341">
        <v>-0.5</v>
      </c>
      <c r="J1342" s="332">
        <f>IFERROR(__xludf.DUMMYFUNCTION("IF(IF(COUNTIF(P$2:P1341, P1342)=0, """", INDEX(H$2:H1341,
MAX(FILTER(ROW(H$2:H1341) - ROW(H$2) + 1, P$2:P1341 = P1342))))=""単価"","""",
IF(COUNTIF(P$2:P1341, P1342)=0, """", INDEX(H$2:H1341,
MAX(FILTER(ROW(H$2:H1341) - ROW(H$2) + 1, P$2:P1341 = P1342)))))"),27.3)</f>
        <v>27.3</v>
      </c>
      <c r="N1342" s="335" t="str">
        <f>IF(MAXIFS('単価履歴'!$O:$O,'単価履歴'!$E:$E,E1342,'単価履歴'!$F:$F,F1342)=O1342,"●","")</f>
        <v/>
      </c>
      <c r="O1342" s="346">
        <v>45773.25375</v>
      </c>
      <c r="P1342" s="334" t="str">
        <f t="shared" si="4"/>
        <v>中山製鋼:阪和Ｌ１(2級)</v>
      </c>
    </row>
    <row r="1343" ht="15.75" customHeight="1">
      <c r="A1343" s="335" t="s">
        <v>2529</v>
      </c>
      <c r="B1343" s="336">
        <v>45773.0</v>
      </c>
      <c r="C1343" s="335" t="s">
        <v>5</v>
      </c>
      <c r="D1343" s="335" t="s">
        <v>46</v>
      </c>
      <c r="E1343" s="337" t="str">
        <f t="shared" si="1"/>
        <v>中山製鋼:阪和</v>
      </c>
      <c r="F1343" s="338" t="s">
        <v>130</v>
      </c>
      <c r="G1343" s="339" t="str">
        <f t="shared" si="2"/>
        <v>中山製鋼:阪和新断Ａ</v>
      </c>
      <c r="H1343" s="340">
        <f t="shared" si="3"/>
        <v>45.8</v>
      </c>
      <c r="I1343" s="341">
        <v>-0.5</v>
      </c>
      <c r="J1343" s="332">
        <f>IFERROR(__xludf.DUMMYFUNCTION("IF(IF(COUNTIF(P$2:P1342, P1343)=0, """", INDEX(H$2:H1342,
MAX(FILTER(ROW(H$2:H1342) - ROW(H$2) + 1, P$2:P1342 = P1343))))=""単価"","""",
IF(COUNTIF(P$2:P1342, P1343)=0, """", INDEX(H$2:H1342,
MAX(FILTER(ROW(H$2:H1342) - ROW(H$2) + 1, P$2:P1342 = P1343)))))"),46.3)</f>
        <v>46.3</v>
      </c>
      <c r="N1343" s="335" t="str">
        <f>IF(MAXIFS('単価履歴'!$O:$O,'単価履歴'!$E:$E,E1343,'単価履歴'!$F:$F,F1343)=O1343,"●","")</f>
        <v/>
      </c>
      <c r="O1343" s="346">
        <v>45773.25375</v>
      </c>
      <c r="P1343" s="334" t="str">
        <f t="shared" si="4"/>
        <v>中山製鋼:阪和新断Ａ</v>
      </c>
    </row>
    <row r="1344" ht="15.75" customHeight="1">
      <c r="A1344" s="335" t="s">
        <v>2530</v>
      </c>
      <c r="B1344" s="336">
        <v>45773.0</v>
      </c>
      <c r="C1344" s="335" t="s">
        <v>5</v>
      </c>
      <c r="D1344" s="335" t="s">
        <v>46</v>
      </c>
      <c r="E1344" s="337" t="str">
        <f t="shared" si="1"/>
        <v>中山製鋼:阪和</v>
      </c>
      <c r="F1344" s="338" t="s">
        <v>131</v>
      </c>
      <c r="G1344" s="339" t="str">
        <f t="shared" si="2"/>
        <v>中山製鋼:阪和新断Ｂ</v>
      </c>
      <c r="H1344" s="340">
        <f t="shared" si="3"/>
        <v>44.8</v>
      </c>
      <c r="I1344" s="341">
        <v>-0.5</v>
      </c>
      <c r="J1344" s="332">
        <f>IFERROR(__xludf.DUMMYFUNCTION("IF(IF(COUNTIF(P$2:P1343, P1344)=0, """", INDEX(H$2:H1343,
MAX(FILTER(ROW(H$2:H1343) - ROW(H$2) + 1, P$2:P1343 = P1344))))=""単価"","""",
IF(COUNTIF(P$2:P1343, P1344)=0, """", INDEX(H$2:H1343,
MAX(FILTER(ROW(H$2:H1343) - ROW(H$2) + 1, P$2:P1343 = P1344)))))"),45.3)</f>
        <v>45.3</v>
      </c>
      <c r="N1344" s="335" t="str">
        <f>IF(MAXIFS('単価履歴'!$O:$O,'単価履歴'!$E:$E,E1344,'単価履歴'!$F:$F,F1344)=O1344,"●","")</f>
        <v/>
      </c>
      <c r="O1344" s="346">
        <v>45773.25375</v>
      </c>
      <c r="P1344" s="334" t="str">
        <f t="shared" si="4"/>
        <v>中山製鋼:阪和新断Ｂ</v>
      </c>
    </row>
    <row r="1345" ht="15.75" customHeight="1">
      <c r="A1345" s="335" t="s">
        <v>2531</v>
      </c>
      <c r="B1345" s="336">
        <v>45773.0</v>
      </c>
      <c r="C1345" s="335" t="s">
        <v>5</v>
      </c>
      <c r="D1345" s="335" t="s">
        <v>46</v>
      </c>
      <c r="E1345" s="337" t="str">
        <f t="shared" si="1"/>
        <v>中山製鋼:阪和</v>
      </c>
      <c r="F1345" s="338" t="s">
        <v>574</v>
      </c>
      <c r="G1345" s="339" t="str">
        <f t="shared" si="2"/>
        <v>中山製鋼:阪和新断Ｃ</v>
      </c>
      <c r="H1345" s="340">
        <f t="shared" si="3"/>
        <v>43.8</v>
      </c>
      <c r="I1345" s="341">
        <v>-0.5</v>
      </c>
      <c r="J1345" s="332">
        <f>IFERROR(__xludf.DUMMYFUNCTION("IF(IF(COUNTIF(P$2:P1344, P1345)=0, """", INDEX(H$2:H1344,
MAX(FILTER(ROW(H$2:H1344) - ROW(H$2) + 1, P$2:P1344 = P1345))))=""単価"","""",
IF(COUNTIF(P$2:P1344, P1345)=0, """", INDEX(H$2:H1344,
MAX(FILTER(ROW(H$2:H1344) - ROW(H$2) + 1, P$2:P1344 = P1345)))))"),44.3)</f>
        <v>44.3</v>
      </c>
      <c r="N1345" s="335" t="str">
        <f>IF(MAXIFS('単価履歴'!$O:$O,'単価履歴'!$E:$E,E1345,'単価履歴'!$F:$F,F1345)=O1345,"●","")</f>
        <v/>
      </c>
      <c r="O1345" s="346">
        <v>45773.25375</v>
      </c>
      <c r="P1345" s="334" t="str">
        <f t="shared" si="4"/>
        <v>中山製鋼:阪和新断Ｃ</v>
      </c>
    </row>
    <row r="1346" ht="15.75" customHeight="1">
      <c r="A1346" s="335" t="s">
        <v>2532</v>
      </c>
      <c r="B1346" s="336">
        <v>45773.0</v>
      </c>
      <c r="C1346" s="335" t="s">
        <v>5</v>
      </c>
      <c r="D1346" s="335" t="s">
        <v>46</v>
      </c>
      <c r="E1346" s="337" t="str">
        <f t="shared" si="1"/>
        <v>中山製鋼:阪和</v>
      </c>
      <c r="F1346" s="338" t="s">
        <v>1199</v>
      </c>
      <c r="G1346" s="339" t="str">
        <f t="shared" si="2"/>
        <v>中山製鋼:阪和ＨＳ１(単体H1/電特A/HS))</v>
      </c>
      <c r="H1346" s="340">
        <f t="shared" si="3"/>
        <v>1</v>
      </c>
      <c r="I1346" s="341">
        <v>-0.5</v>
      </c>
      <c r="J1346" s="332">
        <f>IFERROR(__xludf.DUMMYFUNCTION("IF(IF(COUNTIF(P$2:P1345, P1346)=0, """", INDEX(H$2:H1345,
MAX(FILTER(ROW(H$2:H1345) - ROW(H$2) + 1, P$2:P1345 = P1346))))=""単価"","""",
IF(COUNTIF(P$2:P1345, P1346)=0, """", INDEX(H$2:H1345,
MAX(FILTER(ROW(H$2:H1345) - ROW(H$2) + 1, P$2:P1345 = P1346)))))"),1.5)</f>
        <v>1.5</v>
      </c>
      <c r="N1346" s="335" t="str">
        <f>IF(MAXIFS('単価履歴'!$O:$O,'単価履歴'!$E:$E,E1346,'単価履歴'!$F:$F,F1346)=O1346,"●","")</f>
        <v/>
      </c>
      <c r="O1346" s="346">
        <v>45773.25375</v>
      </c>
      <c r="P1346" s="334" t="str">
        <f t="shared" si="4"/>
        <v>中山製鋼:阪和ＨＳ１(単体H1/電特A/HS))</v>
      </c>
    </row>
    <row r="1347" ht="15.75" customHeight="1">
      <c r="A1347" s="335" t="s">
        <v>2533</v>
      </c>
      <c r="B1347" s="336">
        <v>45773.0</v>
      </c>
      <c r="C1347" s="335" t="s">
        <v>5</v>
      </c>
      <c r="D1347" s="335" t="s">
        <v>47</v>
      </c>
      <c r="E1347" s="337" t="str">
        <f t="shared" si="1"/>
        <v>中山製鋼:豊通</v>
      </c>
      <c r="F1347" s="338" t="s">
        <v>101</v>
      </c>
      <c r="G1347" s="339" t="str">
        <f t="shared" si="2"/>
        <v>中山製鋼:豊通ＨＳ２</v>
      </c>
      <c r="H1347" s="340">
        <f t="shared" si="3"/>
        <v>44.3</v>
      </c>
      <c r="I1347" s="341">
        <v>-0.5</v>
      </c>
      <c r="J1347" s="332">
        <f>IFERROR(__xludf.DUMMYFUNCTION("IF(IF(COUNTIF(P$2:P1346, P1347)=0, """", INDEX(H$2:H1346,
MAX(FILTER(ROW(H$2:H1346) - ROW(H$2) + 1, P$2:P1346 = P1347))))=""単価"","""",
IF(COUNTIF(P$2:P1346, P1347)=0, """", INDEX(H$2:H1346,
MAX(FILTER(ROW(H$2:H1346) - ROW(H$2) + 1, P$2:P1346 = P1347)))))"),44.8)</f>
        <v>44.8</v>
      </c>
      <c r="N1347" s="335" t="str">
        <f>IF(MAXIFS('単価履歴'!$O:$O,'単価履歴'!$E:$E,E1347,'単価履歴'!$F:$F,F1347)=O1347,"●","")</f>
        <v/>
      </c>
      <c r="O1347" s="346">
        <v>45773.25375</v>
      </c>
      <c r="P1347" s="334" t="str">
        <f t="shared" si="4"/>
        <v>中山製鋼:豊通ＨＳ２</v>
      </c>
    </row>
    <row r="1348" ht="15.75" customHeight="1">
      <c r="A1348" s="335" t="s">
        <v>2534</v>
      </c>
      <c r="B1348" s="336">
        <v>45773.0</v>
      </c>
      <c r="C1348" s="335" t="s">
        <v>5</v>
      </c>
      <c r="D1348" s="335" t="s">
        <v>47</v>
      </c>
      <c r="E1348" s="337" t="str">
        <f t="shared" si="1"/>
        <v>中山製鋼:豊通</v>
      </c>
      <c r="F1348" s="338" t="s">
        <v>108</v>
      </c>
      <c r="G1348" s="339" t="str">
        <f t="shared" si="2"/>
        <v>中山製鋼:豊通Ｈ１/ｻﾑﾃｯｸ</v>
      </c>
      <c r="H1348" s="340">
        <f t="shared" si="3"/>
        <v>1.5</v>
      </c>
      <c r="I1348" s="341">
        <v>-0.5</v>
      </c>
      <c r="J1348" s="332">
        <f>IFERROR(__xludf.DUMMYFUNCTION("IF(IF(COUNTIF(P$2:P1347, P1348)=0, """", INDEX(H$2:H1347,
MAX(FILTER(ROW(H$2:H1347) - ROW(H$2) + 1, P$2:P1347 = P1348))))=""単価"","""",
IF(COUNTIF(P$2:P1347, P1348)=0, """", INDEX(H$2:H1347,
MAX(FILTER(ROW(H$2:H1347) - ROW(H$2) + 1, P$2:P1347 = P1348)))))"),2.0)</f>
        <v>2</v>
      </c>
      <c r="N1348" s="335" t="str">
        <f>IF(MAXIFS('単価履歴'!$O:$O,'単価履歴'!$E:$E,E1348,'単価履歴'!$F:$F,F1348)=O1348,"●","")</f>
        <v/>
      </c>
      <c r="O1348" s="346">
        <v>45773.25375</v>
      </c>
      <c r="P1348" s="334" t="str">
        <f t="shared" si="4"/>
        <v>中山製鋼:豊通Ｈ１/ｻﾑﾃｯｸ</v>
      </c>
    </row>
    <row r="1349" ht="15.75" customHeight="1">
      <c r="A1349" s="335" t="s">
        <v>2535</v>
      </c>
      <c r="B1349" s="336">
        <v>45773.0</v>
      </c>
      <c r="C1349" s="335" t="s">
        <v>5</v>
      </c>
      <c r="D1349" s="335" t="s">
        <v>47</v>
      </c>
      <c r="E1349" s="337" t="str">
        <f t="shared" si="1"/>
        <v>中山製鋼:豊通</v>
      </c>
      <c r="F1349" s="338" t="s">
        <v>111</v>
      </c>
      <c r="G1349" s="339" t="str">
        <f t="shared" si="2"/>
        <v>中山製鋼:豊通Ｈ１(特A)</v>
      </c>
      <c r="H1349" s="340">
        <f t="shared" si="3"/>
        <v>43.3</v>
      </c>
      <c r="I1349" s="341">
        <v>-0.5</v>
      </c>
      <c r="J1349" s="332">
        <f>IFERROR(__xludf.DUMMYFUNCTION("IF(IF(COUNTIF(P$2:P1348, P1349)=0, """", INDEX(H$2:H1348,
MAX(FILTER(ROW(H$2:H1348) - ROW(H$2) + 1, P$2:P1348 = P1349))))=""単価"","""",
IF(COUNTIF(P$2:P1348, P1349)=0, """", INDEX(H$2:H1348,
MAX(FILTER(ROW(H$2:H1348) - ROW(H$2) + 1, P$2:P1348 = P1349)))))"),43.8)</f>
        <v>43.8</v>
      </c>
      <c r="N1349" s="335" t="str">
        <f>IF(MAXIFS('単価履歴'!$O:$O,'単価履歴'!$E:$E,E1349,'単価履歴'!$F:$F,F1349)=O1349,"●","")</f>
        <v/>
      </c>
      <c r="O1349" s="346">
        <v>45773.25375</v>
      </c>
      <c r="P1349" s="334" t="str">
        <f t="shared" si="4"/>
        <v>中山製鋼:豊通Ｈ１(特A)</v>
      </c>
    </row>
    <row r="1350" ht="15.75" customHeight="1">
      <c r="A1350" s="335" t="s">
        <v>2536</v>
      </c>
      <c r="B1350" s="336">
        <v>45773.0</v>
      </c>
      <c r="C1350" s="335" t="s">
        <v>5</v>
      </c>
      <c r="D1350" s="335" t="s">
        <v>47</v>
      </c>
      <c r="E1350" s="337" t="str">
        <f t="shared" si="1"/>
        <v>中山製鋼:豊通</v>
      </c>
      <c r="F1350" s="338" t="s">
        <v>116</v>
      </c>
      <c r="G1350" s="339" t="str">
        <f t="shared" si="2"/>
        <v>中山製鋼:豊通Ｈ２(特級)</v>
      </c>
      <c r="H1350" s="340">
        <f t="shared" si="3"/>
        <v>37.3</v>
      </c>
      <c r="I1350" s="341">
        <v>-0.5</v>
      </c>
      <c r="J1350" s="332">
        <f>IFERROR(__xludf.DUMMYFUNCTION("IF(IF(COUNTIF(P$2:P1349, P1350)=0, """", INDEX(H$2:H1349,
MAX(FILTER(ROW(H$2:H1349) - ROW(H$2) + 1, P$2:P1349 = P1350))))=""単価"","""",
IF(COUNTIF(P$2:P1349, P1350)=0, """", INDEX(H$2:H1349,
MAX(FILTER(ROW(H$2:H1349) - ROW(H$2) + 1, P$2:P1349 = P1350)))))"),37.8)</f>
        <v>37.8</v>
      </c>
      <c r="N1350" s="335" t="str">
        <f>IF(MAXIFS('単価履歴'!$O:$O,'単価履歴'!$E:$E,E1350,'単価履歴'!$F:$F,F1350)=O1350,"●","")</f>
        <v/>
      </c>
      <c r="O1350" s="346">
        <v>45773.25375</v>
      </c>
      <c r="P1350" s="334" t="str">
        <f t="shared" si="4"/>
        <v>中山製鋼:豊通Ｈ２(特級)</v>
      </c>
    </row>
    <row r="1351" ht="15.75" customHeight="1">
      <c r="A1351" s="335" t="s">
        <v>2537</v>
      </c>
      <c r="B1351" s="336">
        <v>45773.0</v>
      </c>
      <c r="C1351" s="335" t="s">
        <v>5</v>
      </c>
      <c r="D1351" s="335" t="s">
        <v>47</v>
      </c>
      <c r="E1351" s="337" t="str">
        <f t="shared" si="1"/>
        <v>中山製鋼:豊通</v>
      </c>
      <c r="F1351" s="338" t="s">
        <v>119</v>
      </c>
      <c r="G1351" s="339" t="str">
        <f t="shared" si="2"/>
        <v>中山製鋼:豊通Ｈ３(1級)</v>
      </c>
      <c r="H1351" s="340">
        <f t="shared" si="3"/>
        <v>33.3</v>
      </c>
      <c r="I1351" s="341">
        <v>-0.5</v>
      </c>
      <c r="J1351" s="332">
        <f>IFERROR(__xludf.DUMMYFUNCTION("IF(IF(COUNTIF(P$2:P1350, P1351)=0, """", INDEX(H$2:H1350,
MAX(FILTER(ROW(H$2:H1350) - ROW(H$2) + 1, P$2:P1350 = P1351))))=""単価"","""",
IF(COUNTIF(P$2:P1350, P1351)=0, """", INDEX(H$2:H1350,
MAX(FILTER(ROW(H$2:H1350) - ROW(H$2) + 1, P$2:P1350 = P1351)))))"),33.8)</f>
        <v>33.8</v>
      </c>
      <c r="N1351" s="335" t="str">
        <f>IF(MAXIFS('単価履歴'!$O:$O,'単価履歴'!$E:$E,E1351,'単価履歴'!$F:$F,F1351)=O1351,"●","")</f>
        <v/>
      </c>
      <c r="O1351" s="346">
        <v>45773.25375</v>
      </c>
      <c r="P1351" s="334" t="str">
        <f t="shared" si="4"/>
        <v>中山製鋼:豊通Ｈ３(1級)</v>
      </c>
    </row>
    <row r="1352" ht="15.75" customHeight="1">
      <c r="A1352" s="335" t="s">
        <v>2538</v>
      </c>
      <c r="B1352" s="336">
        <v>45773.0</v>
      </c>
      <c r="C1352" s="335" t="s">
        <v>5</v>
      </c>
      <c r="D1352" s="335" t="s">
        <v>47</v>
      </c>
      <c r="E1352" s="337" t="str">
        <f t="shared" si="1"/>
        <v>中山製鋼:豊通</v>
      </c>
      <c r="F1352" s="338" t="s">
        <v>122</v>
      </c>
      <c r="G1352" s="339" t="str">
        <f t="shared" si="2"/>
        <v>中山製鋼:豊通Ｌ１(2級)</v>
      </c>
      <c r="H1352" s="340">
        <f t="shared" si="3"/>
        <v>26.8</v>
      </c>
      <c r="I1352" s="341">
        <v>-0.5</v>
      </c>
      <c r="J1352" s="332">
        <f>IFERROR(__xludf.DUMMYFUNCTION("IF(IF(COUNTIF(P$2:P1351, P1352)=0, """", INDEX(H$2:H1351,
MAX(FILTER(ROW(H$2:H1351) - ROW(H$2) + 1, P$2:P1351 = P1352))))=""単価"","""",
IF(COUNTIF(P$2:P1351, P1352)=0, """", INDEX(H$2:H1351,
MAX(FILTER(ROW(H$2:H1351) - ROW(H$2) + 1, P$2:P1351 = P1352)))))"),27.3)</f>
        <v>27.3</v>
      </c>
      <c r="N1352" s="335" t="str">
        <f>IF(MAXIFS('単価履歴'!$O:$O,'単価履歴'!$E:$E,E1352,'単価履歴'!$F:$F,F1352)=O1352,"●","")</f>
        <v/>
      </c>
      <c r="O1352" s="346">
        <v>45773.25375</v>
      </c>
      <c r="P1352" s="334" t="str">
        <f t="shared" si="4"/>
        <v>中山製鋼:豊通Ｌ１(2級)</v>
      </c>
    </row>
    <row r="1353" ht="15.75" customHeight="1">
      <c r="A1353" s="335" t="s">
        <v>2539</v>
      </c>
      <c r="B1353" s="336">
        <v>45773.0</v>
      </c>
      <c r="C1353" s="335" t="s">
        <v>5</v>
      </c>
      <c r="D1353" s="335" t="s">
        <v>47</v>
      </c>
      <c r="E1353" s="337" t="str">
        <f t="shared" si="1"/>
        <v>中山製鋼:豊通</v>
      </c>
      <c r="F1353" s="338" t="s">
        <v>130</v>
      </c>
      <c r="G1353" s="339" t="str">
        <f t="shared" si="2"/>
        <v>中山製鋼:豊通新断Ａ</v>
      </c>
      <c r="H1353" s="340">
        <f t="shared" si="3"/>
        <v>45.8</v>
      </c>
      <c r="I1353" s="341">
        <v>-0.5</v>
      </c>
      <c r="J1353" s="332">
        <f>IFERROR(__xludf.DUMMYFUNCTION("IF(IF(COUNTIF(P$2:P1352, P1353)=0, """", INDEX(H$2:H1352,
MAX(FILTER(ROW(H$2:H1352) - ROW(H$2) + 1, P$2:P1352 = P1353))))=""単価"","""",
IF(COUNTIF(P$2:P1352, P1353)=0, """", INDEX(H$2:H1352,
MAX(FILTER(ROW(H$2:H1352) - ROW(H$2) + 1, P$2:P1352 = P1353)))))"),46.3)</f>
        <v>46.3</v>
      </c>
      <c r="N1353" s="335" t="str">
        <f>IF(MAXIFS('単価履歴'!$O:$O,'単価履歴'!$E:$E,E1353,'単価履歴'!$F:$F,F1353)=O1353,"●","")</f>
        <v/>
      </c>
      <c r="O1353" s="346">
        <v>45773.25375</v>
      </c>
      <c r="P1353" s="334" t="str">
        <f t="shared" si="4"/>
        <v>中山製鋼:豊通新断Ａ</v>
      </c>
    </row>
    <row r="1354" ht="15.75" customHeight="1">
      <c r="A1354" s="335" t="s">
        <v>2540</v>
      </c>
      <c r="B1354" s="336">
        <v>45773.0</v>
      </c>
      <c r="C1354" s="335" t="s">
        <v>5</v>
      </c>
      <c r="D1354" s="335" t="s">
        <v>47</v>
      </c>
      <c r="E1354" s="337" t="str">
        <f t="shared" si="1"/>
        <v>中山製鋼:豊通</v>
      </c>
      <c r="F1354" s="338" t="s">
        <v>131</v>
      </c>
      <c r="G1354" s="339" t="str">
        <f t="shared" si="2"/>
        <v>中山製鋼:豊通新断Ｂ</v>
      </c>
      <c r="H1354" s="340">
        <f t="shared" si="3"/>
        <v>44.8</v>
      </c>
      <c r="I1354" s="341">
        <v>-0.5</v>
      </c>
      <c r="J1354" s="332">
        <f>IFERROR(__xludf.DUMMYFUNCTION("IF(IF(COUNTIF(P$2:P1353, P1354)=0, """", INDEX(H$2:H1353,
MAX(FILTER(ROW(H$2:H1353) - ROW(H$2) + 1, P$2:P1353 = P1354))))=""単価"","""",
IF(COUNTIF(P$2:P1353, P1354)=0, """", INDEX(H$2:H1353,
MAX(FILTER(ROW(H$2:H1353) - ROW(H$2) + 1, P$2:P1353 = P1354)))))"),45.3)</f>
        <v>45.3</v>
      </c>
      <c r="N1354" s="335" t="str">
        <f>IF(MAXIFS('単価履歴'!$O:$O,'単価履歴'!$E:$E,E1354,'単価履歴'!$F:$F,F1354)=O1354,"●","")</f>
        <v/>
      </c>
      <c r="O1354" s="346">
        <v>45773.25375</v>
      </c>
      <c r="P1354" s="334" t="str">
        <f t="shared" si="4"/>
        <v>中山製鋼:豊通新断Ｂ</v>
      </c>
    </row>
    <row r="1355" ht="15.75" customHeight="1">
      <c r="A1355" s="335" t="s">
        <v>2541</v>
      </c>
      <c r="B1355" s="336">
        <v>45773.0</v>
      </c>
      <c r="C1355" s="335" t="s">
        <v>5</v>
      </c>
      <c r="D1355" s="335" t="s">
        <v>47</v>
      </c>
      <c r="E1355" s="337" t="str">
        <f t="shared" si="1"/>
        <v>中山製鋼:豊通</v>
      </c>
      <c r="F1355" s="338" t="s">
        <v>574</v>
      </c>
      <c r="G1355" s="339" t="str">
        <f t="shared" si="2"/>
        <v>中山製鋼:豊通新断Ｃ</v>
      </c>
      <c r="H1355" s="340">
        <f t="shared" si="3"/>
        <v>43.8</v>
      </c>
      <c r="I1355" s="341">
        <v>-0.5</v>
      </c>
      <c r="J1355" s="332">
        <f>IFERROR(__xludf.DUMMYFUNCTION("IF(IF(COUNTIF(P$2:P1354, P1355)=0, """", INDEX(H$2:H1354,
MAX(FILTER(ROW(H$2:H1354) - ROW(H$2) + 1, P$2:P1354 = P1355))))=""単価"","""",
IF(COUNTIF(P$2:P1354, P1355)=0, """", INDEX(H$2:H1354,
MAX(FILTER(ROW(H$2:H1354) - ROW(H$2) + 1, P$2:P1354 = P1355)))))"),44.3)</f>
        <v>44.3</v>
      </c>
      <c r="N1355" s="335" t="str">
        <f>IF(MAXIFS('単価履歴'!$O:$O,'単価履歴'!$E:$E,E1355,'単価履歴'!$F:$F,F1355)=O1355,"●","")</f>
        <v/>
      </c>
      <c r="O1355" s="346">
        <v>45773.25375</v>
      </c>
      <c r="P1355" s="334" t="str">
        <f t="shared" si="4"/>
        <v>中山製鋼:豊通新断Ｃ</v>
      </c>
    </row>
    <row r="1356" ht="15.75" customHeight="1">
      <c r="A1356" s="335" t="s">
        <v>2542</v>
      </c>
      <c r="B1356" s="336">
        <v>45773.0</v>
      </c>
      <c r="C1356" s="335" t="s">
        <v>5</v>
      </c>
      <c r="D1356" s="335" t="s">
        <v>47</v>
      </c>
      <c r="E1356" s="337" t="str">
        <f t="shared" si="1"/>
        <v>中山製鋼:豊通</v>
      </c>
      <c r="F1356" s="338" t="s">
        <v>1199</v>
      </c>
      <c r="G1356" s="339" t="str">
        <f t="shared" si="2"/>
        <v>中山製鋼:豊通ＨＳ１(単体H1/電特A/HS))</v>
      </c>
      <c r="H1356" s="340">
        <f t="shared" si="3"/>
        <v>44.3</v>
      </c>
      <c r="I1356" s="341">
        <v>-0.5</v>
      </c>
      <c r="J1356" s="332">
        <f>IFERROR(__xludf.DUMMYFUNCTION("IF(IF(COUNTIF(P$2:P1355, P1356)=0, """", INDEX(H$2:H1355,
MAX(FILTER(ROW(H$2:H1355) - ROW(H$2) + 1, P$2:P1355 = P1356))))=""単価"","""",
IF(COUNTIF(P$2:P1355, P1356)=0, """", INDEX(H$2:H1355,
MAX(FILTER(ROW(H$2:H1355) - ROW(H$2) + 1, P$2:P1355 = P1356)))))"),44.8)</f>
        <v>44.8</v>
      </c>
      <c r="N1356" s="335" t="str">
        <f>IF(MAXIFS('単価履歴'!$O:$O,'単価履歴'!$E:$E,E1356,'単価履歴'!$F:$F,F1356)=O1356,"●","")</f>
        <v/>
      </c>
      <c r="O1356" s="346">
        <v>45773.25375</v>
      </c>
      <c r="P1356" s="334" t="str">
        <f t="shared" si="4"/>
        <v>中山製鋼:豊通ＨＳ１(単体H1/電特A/HS))</v>
      </c>
    </row>
    <row r="1357" ht="15.75" customHeight="1">
      <c r="A1357" s="335" t="s">
        <v>2543</v>
      </c>
      <c r="B1357" s="336">
        <v>45773.0</v>
      </c>
      <c r="C1357" s="335" t="s">
        <v>5</v>
      </c>
      <c r="D1357" s="335" t="s">
        <v>1232</v>
      </c>
      <c r="E1357" s="337" t="str">
        <f t="shared" si="1"/>
        <v>中山製鋼:豊通/出張商店</v>
      </c>
      <c r="F1357" s="338" t="s">
        <v>101</v>
      </c>
      <c r="G1357" s="339" t="str">
        <f t="shared" si="2"/>
        <v>中山製鋼:豊通/出張商店ＨＳ２</v>
      </c>
      <c r="H1357" s="340">
        <f t="shared" si="3"/>
        <v>0.5</v>
      </c>
      <c r="I1357" s="341">
        <v>-0.5</v>
      </c>
      <c r="J1357" s="332">
        <f>IFERROR(__xludf.DUMMYFUNCTION("IF(IF(COUNTIF(P$2:P1356, P1357)=0, """", INDEX(H$2:H1356,
MAX(FILTER(ROW(H$2:H1356) - ROW(H$2) + 1, P$2:P1356 = P1357))))=""単価"","""",
IF(COUNTIF(P$2:P1356, P1357)=0, """", INDEX(H$2:H1356,
MAX(FILTER(ROW(H$2:H1356) - ROW(H$2) + 1, P$2:P1356 = P1357)))))"),1.0)</f>
        <v>1</v>
      </c>
      <c r="N1357" s="335" t="str">
        <f>IF(MAXIFS('単価履歴'!$O:$O,'単価履歴'!$E:$E,E1357,'単価履歴'!$F:$F,F1357)=O1357,"●","")</f>
        <v>●</v>
      </c>
      <c r="O1357" s="346">
        <v>45773.25375</v>
      </c>
      <c r="P1357" s="334" t="str">
        <f t="shared" si="4"/>
        <v>中山製鋼:豊通/出張商店ＨＳ２</v>
      </c>
    </row>
    <row r="1358" ht="15.75" customHeight="1">
      <c r="A1358" s="335" t="s">
        <v>2544</v>
      </c>
      <c r="B1358" s="336">
        <v>45773.0</v>
      </c>
      <c r="C1358" s="335" t="s">
        <v>5</v>
      </c>
      <c r="D1358" s="335" t="s">
        <v>1232</v>
      </c>
      <c r="E1358" s="337" t="str">
        <f t="shared" si="1"/>
        <v>中山製鋼:豊通/出張商店</v>
      </c>
      <c r="F1358" s="338" t="s">
        <v>108</v>
      </c>
      <c r="G1358" s="339" t="str">
        <f t="shared" si="2"/>
        <v>中山製鋼:豊通/出張商店Ｈ１/ｻﾑﾃｯｸ</v>
      </c>
      <c r="H1358" s="340">
        <f t="shared" si="3"/>
        <v>0.5</v>
      </c>
      <c r="I1358" s="341">
        <v>-0.5</v>
      </c>
      <c r="J1358" s="332">
        <f>IFERROR(__xludf.DUMMYFUNCTION("IF(IF(COUNTIF(P$2:P1357, P1358)=0, """", INDEX(H$2:H1357,
MAX(FILTER(ROW(H$2:H1357) - ROW(H$2) + 1, P$2:P1357 = P1358))))=""単価"","""",
IF(COUNTIF(P$2:P1357, P1358)=0, """", INDEX(H$2:H1357,
MAX(FILTER(ROW(H$2:H1357) - ROW(H$2) + 1, P$2:P1357 = P1358)))))"),1.0)</f>
        <v>1</v>
      </c>
      <c r="N1358" s="335" t="str">
        <f>IF(MAXIFS('単価履歴'!$O:$O,'単価履歴'!$E:$E,E1358,'単価履歴'!$F:$F,F1358)=O1358,"●","")</f>
        <v>●</v>
      </c>
      <c r="O1358" s="346">
        <v>45773.25375</v>
      </c>
      <c r="P1358" s="334" t="str">
        <f t="shared" si="4"/>
        <v>中山製鋼:豊通/出張商店Ｈ１/ｻﾑﾃｯｸ</v>
      </c>
    </row>
    <row r="1359" ht="15.75" customHeight="1">
      <c r="A1359" s="335" t="s">
        <v>2545</v>
      </c>
      <c r="B1359" s="336">
        <v>45773.0</v>
      </c>
      <c r="C1359" s="335" t="s">
        <v>5</v>
      </c>
      <c r="D1359" s="335" t="s">
        <v>1232</v>
      </c>
      <c r="E1359" s="337" t="str">
        <f t="shared" si="1"/>
        <v>中山製鋼:豊通/出張商店</v>
      </c>
      <c r="F1359" s="338" t="s">
        <v>111</v>
      </c>
      <c r="G1359" s="339" t="str">
        <f t="shared" si="2"/>
        <v>中山製鋼:豊通/出張商店Ｈ１(特A)</v>
      </c>
      <c r="H1359" s="340">
        <f t="shared" si="3"/>
        <v>0.5</v>
      </c>
      <c r="I1359" s="341">
        <v>-0.5</v>
      </c>
      <c r="J1359" s="332">
        <f>IFERROR(__xludf.DUMMYFUNCTION("IF(IF(COUNTIF(P$2:P1358, P1359)=0, """", INDEX(H$2:H1358,
MAX(FILTER(ROW(H$2:H1358) - ROW(H$2) + 1, P$2:P1358 = P1359))))=""単価"","""",
IF(COUNTIF(P$2:P1358, P1359)=0, """", INDEX(H$2:H1358,
MAX(FILTER(ROW(H$2:H1358) - ROW(H$2) + 1, P$2:P1358 = P1359)))))"),1.0)</f>
        <v>1</v>
      </c>
      <c r="N1359" s="335" t="str">
        <f>IF(MAXIFS('単価履歴'!$O:$O,'単価履歴'!$E:$E,E1359,'単価履歴'!$F:$F,F1359)=O1359,"●","")</f>
        <v>●</v>
      </c>
      <c r="O1359" s="346">
        <v>45773.25375</v>
      </c>
      <c r="P1359" s="334" t="str">
        <f t="shared" si="4"/>
        <v>中山製鋼:豊通/出張商店Ｈ１(特A)</v>
      </c>
    </row>
    <row r="1360" ht="15.75" customHeight="1">
      <c r="A1360" s="335" t="s">
        <v>2546</v>
      </c>
      <c r="B1360" s="336">
        <v>45773.0</v>
      </c>
      <c r="C1360" s="335" t="s">
        <v>5</v>
      </c>
      <c r="D1360" s="335" t="s">
        <v>1232</v>
      </c>
      <c r="E1360" s="337" t="str">
        <f t="shared" si="1"/>
        <v>中山製鋼:豊通/出張商店</v>
      </c>
      <c r="F1360" s="338" t="s">
        <v>116</v>
      </c>
      <c r="G1360" s="339" t="str">
        <f t="shared" si="2"/>
        <v>中山製鋼:豊通/出張商店Ｈ２(特級)</v>
      </c>
      <c r="H1360" s="340">
        <f t="shared" si="3"/>
        <v>0.5</v>
      </c>
      <c r="I1360" s="341">
        <v>-0.5</v>
      </c>
      <c r="J1360" s="332">
        <f>IFERROR(__xludf.DUMMYFUNCTION("IF(IF(COUNTIF(P$2:P1359, P1360)=0, """", INDEX(H$2:H1359,
MAX(FILTER(ROW(H$2:H1359) - ROW(H$2) + 1, P$2:P1359 = P1360))))=""単価"","""",
IF(COUNTIF(P$2:P1359, P1360)=0, """", INDEX(H$2:H1359,
MAX(FILTER(ROW(H$2:H1359) - ROW(H$2) + 1, P$2:P1359 = P1360)))))"),1.0)</f>
        <v>1</v>
      </c>
      <c r="N1360" s="335" t="str">
        <f>IF(MAXIFS('単価履歴'!$O:$O,'単価履歴'!$E:$E,E1360,'単価履歴'!$F:$F,F1360)=O1360,"●","")</f>
        <v>●</v>
      </c>
      <c r="O1360" s="346">
        <v>45773.25375</v>
      </c>
      <c r="P1360" s="334" t="str">
        <f t="shared" si="4"/>
        <v>中山製鋼:豊通/出張商店Ｈ２(特級)</v>
      </c>
    </row>
    <row r="1361" ht="15.75" customHeight="1">
      <c r="A1361" s="335" t="s">
        <v>2547</v>
      </c>
      <c r="B1361" s="336">
        <v>45773.0</v>
      </c>
      <c r="C1361" s="335" t="s">
        <v>5</v>
      </c>
      <c r="D1361" s="335" t="s">
        <v>1232</v>
      </c>
      <c r="E1361" s="337" t="str">
        <f t="shared" si="1"/>
        <v>中山製鋼:豊通/出張商店</v>
      </c>
      <c r="F1361" s="338" t="s">
        <v>119</v>
      </c>
      <c r="G1361" s="339" t="str">
        <f t="shared" si="2"/>
        <v>中山製鋼:豊通/出張商店Ｈ３(1級)</v>
      </c>
      <c r="H1361" s="340">
        <f t="shared" si="3"/>
        <v>0.5</v>
      </c>
      <c r="I1361" s="341">
        <v>-0.5</v>
      </c>
      <c r="J1361" s="332">
        <f>IFERROR(__xludf.DUMMYFUNCTION("IF(IF(COUNTIF(P$2:P1360, P1361)=0, """", INDEX(H$2:H1360,
MAX(FILTER(ROW(H$2:H1360) - ROW(H$2) + 1, P$2:P1360 = P1361))))=""単価"","""",
IF(COUNTIF(P$2:P1360, P1361)=0, """", INDEX(H$2:H1360,
MAX(FILTER(ROW(H$2:H1360) - ROW(H$2) + 1, P$2:P1360 = P1361)))))"),1.0)</f>
        <v>1</v>
      </c>
      <c r="N1361" s="335" t="str">
        <f>IF(MAXIFS('単価履歴'!$O:$O,'単価履歴'!$E:$E,E1361,'単価履歴'!$F:$F,F1361)=O1361,"●","")</f>
        <v>●</v>
      </c>
      <c r="O1361" s="346">
        <v>45773.25375</v>
      </c>
      <c r="P1361" s="334" t="str">
        <f t="shared" si="4"/>
        <v>中山製鋼:豊通/出張商店Ｈ３(1級)</v>
      </c>
    </row>
    <row r="1362" ht="15.75" customHeight="1">
      <c r="A1362" s="335" t="s">
        <v>2548</v>
      </c>
      <c r="B1362" s="336">
        <v>45773.0</v>
      </c>
      <c r="C1362" s="335" t="s">
        <v>5</v>
      </c>
      <c r="D1362" s="335" t="s">
        <v>1232</v>
      </c>
      <c r="E1362" s="337" t="str">
        <f t="shared" si="1"/>
        <v>中山製鋼:豊通/出張商店</v>
      </c>
      <c r="F1362" s="338" t="s">
        <v>122</v>
      </c>
      <c r="G1362" s="339" t="str">
        <f t="shared" si="2"/>
        <v>中山製鋼:豊通/出張商店Ｌ１(2級)</v>
      </c>
      <c r="H1362" s="340">
        <f t="shared" si="3"/>
        <v>0.5</v>
      </c>
      <c r="I1362" s="341">
        <v>-0.5</v>
      </c>
      <c r="J1362" s="332">
        <f>IFERROR(__xludf.DUMMYFUNCTION("IF(IF(COUNTIF(P$2:P1361, P1362)=0, """", INDEX(H$2:H1361,
MAX(FILTER(ROW(H$2:H1361) - ROW(H$2) + 1, P$2:P1361 = P1362))))=""単価"","""",
IF(COUNTIF(P$2:P1361, P1362)=0, """", INDEX(H$2:H1361,
MAX(FILTER(ROW(H$2:H1361) - ROW(H$2) + 1, P$2:P1361 = P1362)))))"),1.0)</f>
        <v>1</v>
      </c>
      <c r="N1362" s="335" t="str">
        <f>IF(MAXIFS('単価履歴'!$O:$O,'単価履歴'!$E:$E,E1362,'単価履歴'!$F:$F,F1362)=O1362,"●","")</f>
        <v>●</v>
      </c>
      <c r="O1362" s="346">
        <v>45773.25375</v>
      </c>
      <c r="P1362" s="334" t="str">
        <f t="shared" si="4"/>
        <v>中山製鋼:豊通/出張商店Ｌ１(2級)</v>
      </c>
    </row>
    <row r="1363" ht="15.75" customHeight="1">
      <c r="A1363" s="335" t="s">
        <v>2549</v>
      </c>
      <c r="B1363" s="336">
        <v>45773.0</v>
      </c>
      <c r="C1363" s="335" t="s">
        <v>5</v>
      </c>
      <c r="D1363" s="335" t="s">
        <v>1232</v>
      </c>
      <c r="E1363" s="337" t="str">
        <f t="shared" si="1"/>
        <v>中山製鋼:豊通/出張商店</v>
      </c>
      <c r="F1363" s="338" t="s">
        <v>130</v>
      </c>
      <c r="G1363" s="339" t="str">
        <f t="shared" si="2"/>
        <v>中山製鋼:豊通/出張商店新断Ａ</v>
      </c>
      <c r="H1363" s="340">
        <f t="shared" si="3"/>
        <v>44.8</v>
      </c>
      <c r="I1363" s="341">
        <v>-0.5</v>
      </c>
      <c r="J1363" s="332">
        <f>IFERROR(__xludf.DUMMYFUNCTION("IF(IF(COUNTIF(P$2:P1362, P1363)=0, """", INDEX(H$2:H1362,
MAX(FILTER(ROW(H$2:H1362) - ROW(H$2) + 1, P$2:P1362 = P1363))))=""単価"","""",
IF(COUNTIF(P$2:P1362, P1363)=0, """", INDEX(H$2:H1362,
MAX(FILTER(ROW(H$2:H1362) - ROW(H$2) + 1, P$2:P1362 = P1363)))))"),45.3)</f>
        <v>45.3</v>
      </c>
      <c r="N1363" s="335" t="str">
        <f>IF(MAXIFS('単価履歴'!$O:$O,'単価履歴'!$E:$E,E1363,'単価履歴'!$F:$F,F1363)=O1363,"●","")</f>
        <v/>
      </c>
      <c r="O1363" s="346">
        <v>45773.25375</v>
      </c>
      <c r="P1363" s="334" t="str">
        <f t="shared" si="4"/>
        <v>中山製鋼:豊通/出張商店新断Ａ</v>
      </c>
    </row>
    <row r="1364" ht="15.75" customHeight="1">
      <c r="A1364" s="335" t="s">
        <v>2550</v>
      </c>
      <c r="B1364" s="336">
        <v>45773.0</v>
      </c>
      <c r="C1364" s="335" t="s">
        <v>5</v>
      </c>
      <c r="D1364" s="335" t="s">
        <v>1232</v>
      </c>
      <c r="E1364" s="337" t="str">
        <f t="shared" si="1"/>
        <v>中山製鋼:豊通/出張商店</v>
      </c>
      <c r="F1364" s="338" t="s">
        <v>131</v>
      </c>
      <c r="G1364" s="339" t="str">
        <f t="shared" si="2"/>
        <v>中山製鋼:豊通/出張商店新断Ｂ</v>
      </c>
      <c r="H1364" s="340">
        <f t="shared" si="3"/>
        <v>0.5</v>
      </c>
      <c r="I1364" s="341">
        <v>-0.5</v>
      </c>
      <c r="J1364" s="332">
        <f>IFERROR(__xludf.DUMMYFUNCTION("IF(IF(COUNTIF(P$2:P1363, P1364)=0, """", INDEX(H$2:H1363,
MAX(FILTER(ROW(H$2:H1363) - ROW(H$2) + 1, P$2:P1363 = P1364))))=""単価"","""",
IF(COUNTIF(P$2:P1363, P1364)=0, """", INDEX(H$2:H1363,
MAX(FILTER(ROW(H$2:H1363) - ROW(H$2) + 1, P$2:P1363 = P1364)))))"),1.0)</f>
        <v>1</v>
      </c>
      <c r="N1364" s="335" t="str">
        <f>IF(MAXIFS('単価履歴'!$O:$O,'単価履歴'!$E:$E,E1364,'単価履歴'!$F:$F,F1364)=O1364,"●","")</f>
        <v>●</v>
      </c>
      <c r="O1364" s="346">
        <v>45773.25375</v>
      </c>
      <c r="P1364" s="334" t="str">
        <f t="shared" si="4"/>
        <v>中山製鋼:豊通/出張商店新断Ｂ</v>
      </c>
    </row>
    <row r="1365" ht="15.75" customHeight="1">
      <c r="A1365" s="335" t="s">
        <v>2551</v>
      </c>
      <c r="B1365" s="336">
        <v>45773.0</v>
      </c>
      <c r="C1365" s="335" t="s">
        <v>5</v>
      </c>
      <c r="D1365" s="335" t="s">
        <v>1232</v>
      </c>
      <c r="E1365" s="337" t="str">
        <f t="shared" si="1"/>
        <v>中山製鋼:豊通/出張商店</v>
      </c>
      <c r="F1365" s="338" t="s">
        <v>574</v>
      </c>
      <c r="G1365" s="339" t="str">
        <f t="shared" si="2"/>
        <v>中山製鋼:豊通/出張商店新断Ｃ</v>
      </c>
      <c r="H1365" s="340">
        <f t="shared" si="3"/>
        <v>0.5</v>
      </c>
      <c r="I1365" s="341">
        <v>-0.5</v>
      </c>
      <c r="J1365" s="332">
        <f>IFERROR(__xludf.DUMMYFUNCTION("IF(IF(COUNTIF(P$2:P1364, P1365)=0, """", INDEX(H$2:H1364,
MAX(FILTER(ROW(H$2:H1364) - ROW(H$2) + 1, P$2:P1364 = P1365))))=""単価"","""",
IF(COUNTIF(P$2:P1364, P1365)=0, """", INDEX(H$2:H1364,
MAX(FILTER(ROW(H$2:H1364) - ROW(H$2) + 1, P$2:P1364 = P1365)))))"),1.0)</f>
        <v>1</v>
      </c>
      <c r="N1365" s="335" t="str">
        <f>IF(MAXIFS('単価履歴'!$O:$O,'単価履歴'!$E:$E,E1365,'単価履歴'!$F:$F,F1365)=O1365,"●","")</f>
        <v>●</v>
      </c>
      <c r="O1365" s="346">
        <v>45773.25375</v>
      </c>
      <c r="P1365" s="334" t="str">
        <f t="shared" si="4"/>
        <v>中山製鋼:豊通/出張商店新断Ｃ</v>
      </c>
    </row>
    <row r="1366" ht="15.75" customHeight="1">
      <c r="A1366" s="335" t="s">
        <v>2552</v>
      </c>
      <c r="B1366" s="336">
        <v>45773.0</v>
      </c>
      <c r="C1366" s="335" t="s">
        <v>5</v>
      </c>
      <c r="D1366" s="335" t="s">
        <v>1232</v>
      </c>
      <c r="E1366" s="337" t="str">
        <f t="shared" si="1"/>
        <v>中山製鋼:豊通/出張商店</v>
      </c>
      <c r="F1366" s="338" t="s">
        <v>1199</v>
      </c>
      <c r="G1366" s="339" t="str">
        <f t="shared" si="2"/>
        <v>中山製鋼:豊通/出張商店ＨＳ１(単体H1/電特A/HS))</v>
      </c>
      <c r="H1366" s="340">
        <f t="shared" si="3"/>
        <v>0.5</v>
      </c>
      <c r="I1366" s="341">
        <v>-0.5</v>
      </c>
      <c r="J1366" s="332">
        <f>IFERROR(__xludf.DUMMYFUNCTION("IF(IF(COUNTIF(P$2:P1365, P1366)=0, """", INDEX(H$2:H1365,
MAX(FILTER(ROW(H$2:H1365) - ROW(H$2) + 1, P$2:P1365 = P1366))))=""単価"","""",
IF(COUNTIF(P$2:P1365, P1366)=0, """", INDEX(H$2:H1365,
MAX(FILTER(ROW(H$2:H1365) - ROW(H$2) + 1, P$2:P1365 = P1366)))))"),1.0)</f>
        <v>1</v>
      </c>
      <c r="N1366" s="335" t="str">
        <f>IF(MAXIFS('単価履歴'!$O:$O,'単価履歴'!$E:$E,E1366,'単価履歴'!$F:$F,F1366)=O1366,"●","")</f>
        <v>●</v>
      </c>
      <c r="O1366" s="346">
        <v>45773.25375</v>
      </c>
      <c r="P1366" s="334" t="str">
        <f t="shared" si="4"/>
        <v>中山製鋼:豊通/出張商店ＨＳ１(単体H1/電特A/HS))</v>
      </c>
    </row>
    <row r="1367" ht="15.75" customHeight="1">
      <c r="A1367" s="335" t="s">
        <v>2553</v>
      </c>
      <c r="B1367" s="336">
        <v>45773.0</v>
      </c>
      <c r="C1367" s="335" t="s">
        <v>5</v>
      </c>
      <c r="D1367" s="335" t="s">
        <v>1234</v>
      </c>
      <c r="E1367" s="337" t="str">
        <f t="shared" si="1"/>
        <v>中山製鋼:豊通/中川嘉弘商店</v>
      </c>
      <c r="F1367" s="338" t="s">
        <v>101</v>
      </c>
      <c r="G1367" s="339" t="str">
        <f t="shared" si="2"/>
        <v>中山製鋼:豊通/中川嘉弘商店ＨＳ２</v>
      </c>
      <c r="H1367" s="340">
        <f t="shared" si="3"/>
        <v>-0.5</v>
      </c>
      <c r="I1367" s="341">
        <v>-0.5</v>
      </c>
      <c r="J1367" s="332" t="str">
        <f>IFERROR(__xludf.DUMMYFUNCTION("IF(IF(COUNTIF(P$2:P1366, P1367)=0, """", INDEX(H$2:H1366,
MAX(FILTER(ROW(H$2:H1366) - ROW(H$2) + 1, P$2:P1366 = P1367))))=""単価"","""",
IF(COUNTIF(P$2:P1366, P1367)=0, """", INDEX(H$2:H1366,
MAX(FILTER(ROW(H$2:H1366) - ROW(H$2) + 1, P$2:P1366 = P1367)))))"),"")</f>
        <v/>
      </c>
      <c r="N1367" s="335" t="str">
        <f>IF(MAXIFS('単価履歴'!$O:$O,'単価履歴'!$E:$E,E1367,'単価履歴'!$F:$F,F1367)=O1367,"●","")</f>
        <v>●</v>
      </c>
      <c r="O1367" s="346">
        <v>45773.25375</v>
      </c>
      <c r="P1367" s="334" t="str">
        <f t="shared" si="4"/>
        <v>中山製鋼:豊通/中川嘉弘商店ＨＳ２</v>
      </c>
    </row>
    <row r="1368" ht="15.75" customHeight="1">
      <c r="A1368" s="335" t="s">
        <v>2554</v>
      </c>
      <c r="B1368" s="336">
        <v>45773.0</v>
      </c>
      <c r="C1368" s="335" t="s">
        <v>5</v>
      </c>
      <c r="D1368" s="335" t="s">
        <v>1234</v>
      </c>
      <c r="E1368" s="337" t="str">
        <f t="shared" si="1"/>
        <v>中山製鋼:豊通/中川嘉弘商店</v>
      </c>
      <c r="F1368" s="338" t="s">
        <v>108</v>
      </c>
      <c r="G1368" s="339" t="str">
        <f t="shared" si="2"/>
        <v>中山製鋼:豊通/中川嘉弘商店Ｈ１/ｻﾑﾃｯｸ</v>
      </c>
      <c r="H1368" s="340">
        <f t="shared" si="3"/>
        <v>-0.5</v>
      </c>
      <c r="I1368" s="341">
        <v>-0.5</v>
      </c>
      <c r="J1368" s="332" t="str">
        <f>IFERROR(__xludf.DUMMYFUNCTION("IF(IF(COUNTIF(P$2:P1367, P1368)=0, """", INDEX(H$2:H1367,
MAX(FILTER(ROW(H$2:H1367) - ROW(H$2) + 1, P$2:P1367 = P1368))))=""単価"","""",
IF(COUNTIF(P$2:P1367, P1368)=0, """", INDEX(H$2:H1367,
MAX(FILTER(ROW(H$2:H1367) - ROW(H$2) + 1, P$2:P1367 = P1368)))))"),"")</f>
        <v/>
      </c>
      <c r="N1368" s="335" t="str">
        <f>IF(MAXIFS('単価履歴'!$O:$O,'単価履歴'!$E:$E,E1368,'単価履歴'!$F:$F,F1368)=O1368,"●","")</f>
        <v>●</v>
      </c>
      <c r="O1368" s="346">
        <v>45773.25375</v>
      </c>
      <c r="P1368" s="334" t="str">
        <f t="shared" si="4"/>
        <v>中山製鋼:豊通/中川嘉弘商店Ｈ１/ｻﾑﾃｯｸ</v>
      </c>
    </row>
    <row r="1369" ht="15.75" customHeight="1">
      <c r="A1369" s="335" t="s">
        <v>2555</v>
      </c>
      <c r="B1369" s="336">
        <v>45773.0</v>
      </c>
      <c r="C1369" s="335" t="s">
        <v>5</v>
      </c>
      <c r="D1369" s="335" t="s">
        <v>1234</v>
      </c>
      <c r="E1369" s="337" t="str">
        <f t="shared" si="1"/>
        <v>中山製鋼:豊通/中川嘉弘商店</v>
      </c>
      <c r="F1369" s="338" t="s">
        <v>111</v>
      </c>
      <c r="G1369" s="339" t="str">
        <f t="shared" si="2"/>
        <v>中山製鋼:豊通/中川嘉弘商店Ｈ１(特A)</v>
      </c>
      <c r="H1369" s="340">
        <f t="shared" si="3"/>
        <v>-0.5</v>
      </c>
      <c r="I1369" s="341">
        <v>-0.5</v>
      </c>
      <c r="J1369" s="332" t="str">
        <f>IFERROR(__xludf.DUMMYFUNCTION("IF(IF(COUNTIF(P$2:P1368, P1369)=0, """", INDEX(H$2:H1368,
MAX(FILTER(ROW(H$2:H1368) - ROW(H$2) + 1, P$2:P1368 = P1369))))=""単価"","""",
IF(COUNTIF(P$2:P1368, P1369)=0, """", INDEX(H$2:H1368,
MAX(FILTER(ROW(H$2:H1368) - ROW(H$2) + 1, P$2:P1368 = P1369)))))"),"")</f>
        <v/>
      </c>
      <c r="N1369" s="335" t="str">
        <f>IF(MAXIFS('単価履歴'!$O:$O,'単価履歴'!$E:$E,E1369,'単価履歴'!$F:$F,F1369)=O1369,"●","")</f>
        <v>●</v>
      </c>
      <c r="O1369" s="346">
        <v>45773.25375</v>
      </c>
      <c r="P1369" s="334" t="str">
        <f t="shared" si="4"/>
        <v>中山製鋼:豊通/中川嘉弘商店Ｈ１(特A)</v>
      </c>
    </row>
    <row r="1370" ht="15.75" customHeight="1">
      <c r="A1370" s="335" t="s">
        <v>2556</v>
      </c>
      <c r="B1370" s="336">
        <v>45773.0</v>
      </c>
      <c r="C1370" s="335" t="s">
        <v>5</v>
      </c>
      <c r="D1370" s="335" t="s">
        <v>1234</v>
      </c>
      <c r="E1370" s="337" t="str">
        <f t="shared" si="1"/>
        <v>中山製鋼:豊通/中川嘉弘商店</v>
      </c>
      <c r="F1370" s="338" t="s">
        <v>116</v>
      </c>
      <c r="G1370" s="339" t="str">
        <f t="shared" si="2"/>
        <v>中山製鋼:豊通/中川嘉弘商店Ｈ２(特級)</v>
      </c>
      <c r="H1370" s="340">
        <f t="shared" si="3"/>
        <v>-0.5</v>
      </c>
      <c r="I1370" s="341">
        <v>-0.5</v>
      </c>
      <c r="J1370" s="332" t="str">
        <f>IFERROR(__xludf.DUMMYFUNCTION("IF(IF(COUNTIF(P$2:P1369, P1370)=0, """", INDEX(H$2:H1369,
MAX(FILTER(ROW(H$2:H1369) - ROW(H$2) + 1, P$2:P1369 = P1370))))=""単価"","""",
IF(COUNTIF(P$2:P1369, P1370)=0, """", INDEX(H$2:H1369,
MAX(FILTER(ROW(H$2:H1369) - ROW(H$2) + 1, P$2:P1369 = P1370)))))"),"")</f>
        <v/>
      </c>
      <c r="N1370" s="335" t="str">
        <f>IF(MAXIFS('単価履歴'!$O:$O,'単価履歴'!$E:$E,E1370,'単価履歴'!$F:$F,F1370)=O1370,"●","")</f>
        <v>●</v>
      </c>
      <c r="O1370" s="346">
        <v>45773.25375</v>
      </c>
      <c r="P1370" s="334" t="str">
        <f t="shared" si="4"/>
        <v>中山製鋼:豊通/中川嘉弘商店Ｈ２(特級)</v>
      </c>
    </row>
    <row r="1371" ht="15.75" customHeight="1">
      <c r="A1371" s="335" t="s">
        <v>2557</v>
      </c>
      <c r="B1371" s="336">
        <v>45773.0</v>
      </c>
      <c r="C1371" s="335" t="s">
        <v>5</v>
      </c>
      <c r="D1371" s="335" t="s">
        <v>1234</v>
      </c>
      <c r="E1371" s="337" t="str">
        <f t="shared" si="1"/>
        <v>中山製鋼:豊通/中川嘉弘商店</v>
      </c>
      <c r="F1371" s="338" t="s">
        <v>119</v>
      </c>
      <c r="G1371" s="339" t="str">
        <f t="shared" si="2"/>
        <v>中山製鋼:豊通/中川嘉弘商店Ｈ３(1級)</v>
      </c>
      <c r="H1371" s="340">
        <f t="shared" si="3"/>
        <v>-0.5</v>
      </c>
      <c r="I1371" s="341">
        <v>-0.5</v>
      </c>
      <c r="J1371" s="332" t="str">
        <f>IFERROR(__xludf.DUMMYFUNCTION("IF(IF(COUNTIF(P$2:P1370, P1371)=0, """", INDEX(H$2:H1370,
MAX(FILTER(ROW(H$2:H1370) - ROW(H$2) + 1, P$2:P1370 = P1371))))=""単価"","""",
IF(COUNTIF(P$2:P1370, P1371)=0, """", INDEX(H$2:H1370,
MAX(FILTER(ROW(H$2:H1370) - ROW(H$2) + 1, P$2:P1370 = P1371)))))"),"")</f>
        <v/>
      </c>
      <c r="N1371" s="335" t="str">
        <f>IF(MAXIFS('単価履歴'!$O:$O,'単価履歴'!$E:$E,E1371,'単価履歴'!$F:$F,F1371)=O1371,"●","")</f>
        <v>●</v>
      </c>
      <c r="O1371" s="346">
        <v>45773.25375</v>
      </c>
      <c r="P1371" s="334" t="str">
        <f t="shared" si="4"/>
        <v>中山製鋼:豊通/中川嘉弘商店Ｈ３(1級)</v>
      </c>
    </row>
    <row r="1372" ht="15.75" customHeight="1">
      <c r="A1372" s="335" t="s">
        <v>2558</v>
      </c>
      <c r="B1372" s="336">
        <v>45773.0</v>
      </c>
      <c r="C1372" s="335" t="s">
        <v>5</v>
      </c>
      <c r="D1372" s="335" t="s">
        <v>1234</v>
      </c>
      <c r="E1372" s="337" t="str">
        <f t="shared" si="1"/>
        <v>中山製鋼:豊通/中川嘉弘商店</v>
      </c>
      <c r="F1372" s="338" t="s">
        <v>122</v>
      </c>
      <c r="G1372" s="339" t="str">
        <f t="shared" si="2"/>
        <v>中山製鋼:豊通/中川嘉弘商店Ｌ１(2級)</v>
      </c>
      <c r="H1372" s="340">
        <f t="shared" si="3"/>
        <v>-0.5</v>
      </c>
      <c r="I1372" s="341">
        <v>-0.5</v>
      </c>
      <c r="J1372" s="332" t="str">
        <f>IFERROR(__xludf.DUMMYFUNCTION("IF(IF(COUNTIF(P$2:P1371, P1372)=0, """", INDEX(H$2:H1371,
MAX(FILTER(ROW(H$2:H1371) - ROW(H$2) + 1, P$2:P1371 = P1372))))=""単価"","""",
IF(COUNTIF(P$2:P1371, P1372)=0, """", INDEX(H$2:H1371,
MAX(FILTER(ROW(H$2:H1371) - ROW(H$2) + 1, P$2:P1371 = P1372)))))"),"")</f>
        <v/>
      </c>
      <c r="N1372" s="335" t="str">
        <f>IF(MAXIFS('単価履歴'!$O:$O,'単価履歴'!$E:$E,E1372,'単価履歴'!$F:$F,F1372)=O1372,"●","")</f>
        <v>●</v>
      </c>
      <c r="O1372" s="346">
        <v>45773.25375</v>
      </c>
      <c r="P1372" s="334" t="str">
        <f t="shared" si="4"/>
        <v>中山製鋼:豊通/中川嘉弘商店Ｌ１(2級)</v>
      </c>
    </row>
    <row r="1373" ht="15.75" customHeight="1">
      <c r="A1373" s="335" t="s">
        <v>2559</v>
      </c>
      <c r="B1373" s="336">
        <v>45773.0</v>
      </c>
      <c r="C1373" s="335" t="s">
        <v>5</v>
      </c>
      <c r="D1373" s="335" t="s">
        <v>1234</v>
      </c>
      <c r="E1373" s="337" t="str">
        <f t="shared" si="1"/>
        <v>中山製鋼:豊通/中川嘉弘商店</v>
      </c>
      <c r="F1373" s="338" t="s">
        <v>130</v>
      </c>
      <c r="G1373" s="339" t="str">
        <f t="shared" si="2"/>
        <v>中山製鋼:豊通/中川嘉弘商店新断Ａ</v>
      </c>
      <c r="H1373" s="340">
        <f t="shared" si="3"/>
        <v>43.3</v>
      </c>
      <c r="I1373" s="341">
        <v>-0.5</v>
      </c>
      <c r="J1373" s="332">
        <f>IFERROR(__xludf.DUMMYFUNCTION("IF(IF(COUNTIF(P$2:P1372, P1373)=0, """", INDEX(H$2:H1372,
MAX(FILTER(ROW(H$2:H1372) - ROW(H$2) + 1, P$2:P1372 = P1373))))=""単価"","""",
IF(COUNTIF(P$2:P1372, P1373)=0, """", INDEX(H$2:H1372,
MAX(FILTER(ROW(H$2:H1372) - ROW(H$2) + 1, P$2:P1372 = P1373)))))"),43.8)</f>
        <v>43.8</v>
      </c>
      <c r="N1373" s="335" t="str">
        <f>IF(MAXIFS('単価履歴'!$O:$O,'単価履歴'!$E:$E,E1373,'単価履歴'!$F:$F,F1373)=O1373,"●","")</f>
        <v/>
      </c>
      <c r="O1373" s="346">
        <v>45773.29157407407</v>
      </c>
      <c r="P1373" s="334" t="str">
        <f t="shared" si="4"/>
        <v>中山製鋼:豊通/中川嘉弘商店新断Ａ</v>
      </c>
    </row>
    <row r="1374" ht="15.75" customHeight="1">
      <c r="A1374" s="335" t="s">
        <v>2560</v>
      </c>
      <c r="B1374" s="336">
        <v>45773.0</v>
      </c>
      <c r="C1374" s="335" t="s">
        <v>5</v>
      </c>
      <c r="D1374" s="335" t="s">
        <v>1234</v>
      </c>
      <c r="E1374" s="337" t="str">
        <f t="shared" si="1"/>
        <v>中山製鋼:豊通/中川嘉弘商店</v>
      </c>
      <c r="F1374" s="338" t="s">
        <v>131</v>
      </c>
      <c r="G1374" s="339" t="str">
        <f t="shared" si="2"/>
        <v>中山製鋼:豊通/中川嘉弘商店新断Ｂ</v>
      </c>
      <c r="H1374" s="340">
        <f t="shared" si="3"/>
        <v>-0.5</v>
      </c>
      <c r="I1374" s="341">
        <v>-0.5</v>
      </c>
      <c r="J1374" s="332" t="str">
        <f>IFERROR(__xludf.DUMMYFUNCTION("IF(IF(COUNTIF(P$2:P1373, P1374)=0, """", INDEX(H$2:H1373,
MAX(FILTER(ROW(H$2:H1373) - ROW(H$2) + 1, P$2:P1373 = P1374))))=""単価"","""",
IF(COUNTIF(P$2:P1373, P1374)=0, """", INDEX(H$2:H1373,
MAX(FILTER(ROW(H$2:H1373) - ROW(H$2) + 1, P$2:P1373 = P1374)))))"),"")</f>
        <v/>
      </c>
      <c r="N1374" s="335" t="str">
        <f>IF(MAXIFS('単価履歴'!$O:$O,'単価履歴'!$E:$E,E1374,'単価履歴'!$F:$F,F1374)=O1374,"●","")</f>
        <v>●</v>
      </c>
      <c r="O1374" s="346">
        <v>45773.25375</v>
      </c>
      <c r="P1374" s="334" t="str">
        <f t="shared" si="4"/>
        <v>中山製鋼:豊通/中川嘉弘商店新断Ｂ</v>
      </c>
    </row>
    <row r="1375" ht="15.75" customHeight="1">
      <c r="A1375" s="335" t="s">
        <v>2561</v>
      </c>
      <c r="B1375" s="336">
        <v>45773.0</v>
      </c>
      <c r="C1375" s="335" t="s">
        <v>5</v>
      </c>
      <c r="D1375" s="335" t="s">
        <v>1234</v>
      </c>
      <c r="E1375" s="337" t="str">
        <f t="shared" si="1"/>
        <v>中山製鋼:豊通/中川嘉弘商店</v>
      </c>
      <c r="F1375" s="338" t="s">
        <v>574</v>
      </c>
      <c r="G1375" s="339" t="str">
        <f t="shared" si="2"/>
        <v>中山製鋼:豊通/中川嘉弘商店新断Ｃ</v>
      </c>
      <c r="H1375" s="340">
        <f t="shared" si="3"/>
        <v>-0.5</v>
      </c>
      <c r="I1375" s="341">
        <v>-0.5</v>
      </c>
      <c r="J1375" s="332" t="str">
        <f>IFERROR(__xludf.DUMMYFUNCTION("IF(IF(COUNTIF(P$2:P1374, P1375)=0, """", INDEX(H$2:H1374,
MAX(FILTER(ROW(H$2:H1374) - ROW(H$2) + 1, P$2:P1374 = P1375))))=""単価"","""",
IF(COUNTIF(P$2:P1374, P1375)=0, """", INDEX(H$2:H1374,
MAX(FILTER(ROW(H$2:H1374) - ROW(H$2) + 1, P$2:P1374 = P1375)))))"),"")</f>
        <v/>
      </c>
      <c r="N1375" s="335" t="str">
        <f>IF(MAXIFS('単価履歴'!$O:$O,'単価履歴'!$E:$E,E1375,'単価履歴'!$F:$F,F1375)=O1375,"●","")</f>
        <v>●</v>
      </c>
      <c r="O1375" s="346">
        <v>45773.25375</v>
      </c>
      <c r="P1375" s="334" t="str">
        <f t="shared" si="4"/>
        <v>中山製鋼:豊通/中川嘉弘商店新断Ｃ</v>
      </c>
    </row>
    <row r="1376" ht="15.75" customHeight="1">
      <c r="A1376" s="335" t="s">
        <v>2562</v>
      </c>
      <c r="B1376" s="336">
        <v>45773.0</v>
      </c>
      <c r="C1376" s="335" t="s">
        <v>5</v>
      </c>
      <c r="D1376" s="335" t="s">
        <v>1234</v>
      </c>
      <c r="E1376" s="337" t="str">
        <f t="shared" si="1"/>
        <v>中山製鋼:豊通/中川嘉弘商店</v>
      </c>
      <c r="F1376" s="338" t="s">
        <v>1199</v>
      </c>
      <c r="G1376" s="339" t="str">
        <f t="shared" si="2"/>
        <v>中山製鋼:豊通/中川嘉弘商店ＨＳ１(単体H1/電特A/HS))</v>
      </c>
      <c r="H1376" s="340">
        <f t="shared" si="3"/>
        <v>-0.5</v>
      </c>
      <c r="I1376" s="341">
        <v>-0.5</v>
      </c>
      <c r="J1376" s="332" t="str">
        <f>IFERROR(__xludf.DUMMYFUNCTION("IF(IF(COUNTIF(P$2:P1375, P1376)=0, """", INDEX(H$2:H1375,
MAX(FILTER(ROW(H$2:H1375) - ROW(H$2) + 1, P$2:P1375 = P1376))))=""単価"","""",
IF(COUNTIF(P$2:P1375, P1376)=0, """", INDEX(H$2:H1375,
MAX(FILTER(ROW(H$2:H1375) - ROW(H$2) + 1, P$2:P1375 = P1376)))))"),"")</f>
        <v/>
      </c>
      <c r="N1376" s="335" t="str">
        <f>IF(MAXIFS('単価履歴'!$O:$O,'単価履歴'!$E:$E,E1376,'単価履歴'!$F:$F,F1376)=O1376,"●","")</f>
        <v>●</v>
      </c>
      <c r="O1376" s="346">
        <v>45773.25375</v>
      </c>
      <c r="P1376" s="334" t="str">
        <f t="shared" si="4"/>
        <v>中山製鋼:豊通/中川嘉弘商店ＨＳ１(単体H1/電特A/HS))</v>
      </c>
    </row>
    <row r="1377" ht="15.75" customHeight="1">
      <c r="A1377" s="335" t="s">
        <v>2563</v>
      </c>
      <c r="B1377" s="336">
        <v>45773.0</v>
      </c>
      <c r="C1377" s="335" t="s">
        <v>6</v>
      </c>
      <c r="D1377" s="335" t="s">
        <v>48</v>
      </c>
      <c r="E1377" s="337" t="str">
        <f t="shared" si="1"/>
        <v>中山鋼業:ナベ</v>
      </c>
      <c r="F1377" s="338" t="s">
        <v>111</v>
      </c>
      <c r="G1377" s="339" t="str">
        <f t="shared" si="2"/>
        <v>中山鋼業:ナベＨ１(特A)</v>
      </c>
      <c r="H1377" s="340">
        <f t="shared" si="3"/>
        <v>45</v>
      </c>
      <c r="I1377" s="341">
        <v>-0.5</v>
      </c>
      <c r="J1377" s="332">
        <f>IFERROR(__xludf.DUMMYFUNCTION("IF(IF(COUNTIF(P$2:P1376, P1377)=0, """", INDEX(H$2:H1376,
MAX(FILTER(ROW(H$2:H1376) - ROW(H$2) + 1, P$2:P1376 = P1377))))=""単価"","""",
IF(COUNTIF(P$2:P1376, P1377)=0, """", INDEX(H$2:H1376,
MAX(FILTER(ROW(H$2:H1376) - ROW(H$2) + 1, P$2:P1376 = P1377)))))"),45.5)</f>
        <v>45.5</v>
      </c>
      <c r="N1377" s="335" t="str">
        <f>IF(MAXIFS('単価履歴'!$O:$O,'単価履歴'!$E:$E,E1377,'単価履歴'!$F:$F,F1377)=O1377,"●","")</f>
        <v/>
      </c>
      <c r="O1377" s="346">
        <v>45773.26023148149</v>
      </c>
      <c r="P1377" s="334" t="str">
        <f t="shared" si="4"/>
        <v>中山鋼業:ナベＨ１(特A)</v>
      </c>
    </row>
    <row r="1378" ht="15.75" customHeight="1">
      <c r="A1378" s="335" t="s">
        <v>2564</v>
      </c>
      <c r="B1378" s="336">
        <v>45773.0</v>
      </c>
      <c r="C1378" s="335" t="s">
        <v>6</v>
      </c>
      <c r="D1378" s="335" t="s">
        <v>48</v>
      </c>
      <c r="E1378" s="337" t="str">
        <f t="shared" si="1"/>
        <v>中山鋼業:ナベ</v>
      </c>
      <c r="F1378" s="338" t="s">
        <v>1237</v>
      </c>
      <c r="G1378" s="339" t="str">
        <f t="shared" si="2"/>
        <v>中山鋼業:ナベＪＨ１(H2T山口)鍛造ﾊﾞﾘ</v>
      </c>
      <c r="H1378" s="340">
        <f t="shared" si="3"/>
        <v>43.7</v>
      </c>
      <c r="I1378" s="341">
        <v>-0.5</v>
      </c>
      <c r="J1378" s="332">
        <f>IFERROR(__xludf.DUMMYFUNCTION("IF(IF(COUNTIF(P$2:P1377, P1378)=0, """", INDEX(H$2:H1377,
MAX(FILTER(ROW(H$2:H1377) - ROW(H$2) + 1, P$2:P1377 = P1378))))=""単価"","""",
IF(COUNTIF(P$2:P1377, P1378)=0, """", INDEX(H$2:H1377,
MAX(FILTER(ROW(H$2:H1377) - ROW(H$2) + 1, P$2:P1377 = P1378)))))"),44.2)</f>
        <v>44.2</v>
      </c>
      <c r="N1378" s="335" t="str">
        <f>IF(MAXIFS('単価履歴'!$O:$O,'単価履歴'!$E:$E,E1378,'単価履歴'!$F:$F,F1378)=O1378,"●","")</f>
        <v/>
      </c>
      <c r="O1378" s="346">
        <v>45773.26023148149</v>
      </c>
      <c r="P1378" s="334" t="str">
        <f t="shared" si="4"/>
        <v>中山鋼業:ナベＪＨ１(H2T山口)鍛造ﾊﾞﾘ</v>
      </c>
    </row>
    <row r="1379" ht="15.75" customHeight="1">
      <c r="A1379" s="335" t="s">
        <v>2565</v>
      </c>
      <c r="B1379" s="336">
        <v>45773.0</v>
      </c>
      <c r="C1379" s="335" t="s">
        <v>6</v>
      </c>
      <c r="D1379" s="335" t="s">
        <v>48</v>
      </c>
      <c r="E1379" s="337" t="str">
        <f t="shared" si="1"/>
        <v>中山鋼業:ナベ</v>
      </c>
      <c r="F1379" s="338" t="s">
        <v>116</v>
      </c>
      <c r="G1379" s="339" t="str">
        <f t="shared" si="2"/>
        <v>中山鋼業:ナベＨ２(特級)</v>
      </c>
      <c r="H1379" s="340">
        <f t="shared" si="3"/>
        <v>42.5</v>
      </c>
      <c r="I1379" s="341">
        <v>-0.5</v>
      </c>
      <c r="J1379" s="332">
        <f>IFERROR(__xludf.DUMMYFUNCTION("IF(IF(COUNTIF(P$2:P1378, P1379)=0, """", INDEX(H$2:H1378,
MAX(FILTER(ROW(H$2:H1378) - ROW(H$2) + 1, P$2:P1378 = P1379))))=""単価"","""",
IF(COUNTIF(P$2:P1378, P1379)=0, """", INDEX(H$2:H1378,
MAX(FILTER(ROW(H$2:H1378) - ROW(H$2) + 1, P$2:P1378 = P1379)))))"),43.0)</f>
        <v>43</v>
      </c>
      <c r="N1379" s="335" t="str">
        <f>IF(MAXIFS('単価履歴'!$O:$O,'単価履歴'!$E:$E,E1379,'単価履歴'!$F:$F,F1379)=O1379,"●","")</f>
        <v/>
      </c>
      <c r="O1379" s="346">
        <v>45773.26023148149</v>
      </c>
      <c r="P1379" s="334" t="str">
        <f t="shared" si="4"/>
        <v>中山鋼業:ナベＨ２(特級)</v>
      </c>
    </row>
    <row r="1380" ht="15.75" customHeight="1">
      <c r="A1380" s="335" t="s">
        <v>2566</v>
      </c>
      <c r="B1380" s="336">
        <v>45773.0</v>
      </c>
      <c r="C1380" s="335" t="s">
        <v>6</v>
      </c>
      <c r="D1380" s="335" t="s">
        <v>48</v>
      </c>
      <c r="E1380" s="337" t="str">
        <f t="shared" si="1"/>
        <v>中山鋼業:ナベ</v>
      </c>
      <c r="F1380" s="338" t="s">
        <v>119</v>
      </c>
      <c r="G1380" s="339" t="str">
        <f t="shared" si="2"/>
        <v>中山鋼業:ナベＨ３(1級)</v>
      </c>
      <c r="H1380" s="340">
        <f t="shared" si="3"/>
        <v>41</v>
      </c>
      <c r="I1380" s="341">
        <v>-0.5</v>
      </c>
      <c r="J1380" s="332">
        <f>IFERROR(__xludf.DUMMYFUNCTION("IF(IF(COUNTIF(P$2:P1379, P1380)=0, """", INDEX(H$2:H1379,
MAX(FILTER(ROW(H$2:H1379) - ROW(H$2) + 1, P$2:P1379 = P1380))))=""単価"","""",
IF(COUNTIF(P$2:P1379, P1380)=0, """", INDEX(H$2:H1379,
MAX(FILTER(ROW(H$2:H1379) - ROW(H$2) + 1, P$2:P1379 = P1380)))))"),41.5)</f>
        <v>41.5</v>
      </c>
      <c r="N1380" s="335" t="str">
        <f>IF(MAXIFS('単価履歴'!$O:$O,'単価履歴'!$E:$E,E1380,'単価履歴'!$F:$F,F1380)=O1380,"●","")</f>
        <v/>
      </c>
      <c r="O1380" s="346">
        <v>45773.26023148149</v>
      </c>
      <c r="P1380" s="334" t="str">
        <f t="shared" si="4"/>
        <v>中山鋼業:ナベＨ３(1級)</v>
      </c>
    </row>
    <row r="1381" ht="15.75" customHeight="1">
      <c r="A1381" s="335" t="s">
        <v>2567</v>
      </c>
      <c r="B1381" s="336">
        <v>45773.0</v>
      </c>
      <c r="C1381" s="335" t="s">
        <v>6</v>
      </c>
      <c r="D1381" s="335" t="s">
        <v>48</v>
      </c>
      <c r="E1381" s="337" t="str">
        <f t="shared" si="1"/>
        <v>中山鋼業:ナベ</v>
      </c>
      <c r="F1381" s="338" t="s">
        <v>122</v>
      </c>
      <c r="G1381" s="339" t="str">
        <f t="shared" si="2"/>
        <v>中山鋼業:ナベＬ１(2級)</v>
      </c>
      <c r="H1381" s="340">
        <f t="shared" si="3"/>
        <v>40.5</v>
      </c>
      <c r="I1381" s="341">
        <v>-0.5</v>
      </c>
      <c r="J1381" s="332">
        <f>IFERROR(__xludf.DUMMYFUNCTION("IF(IF(COUNTIF(P$2:P1380, P1381)=0, """", INDEX(H$2:H1380,
MAX(FILTER(ROW(H$2:H1380) - ROW(H$2) + 1, P$2:P1380 = P1381))))=""単価"","""",
IF(COUNTIF(P$2:P1380, P1381)=0, """", INDEX(H$2:H1380,
MAX(FILTER(ROW(H$2:H1380) - ROW(H$2) + 1, P$2:P1380 = P1381)))))"),41.0)</f>
        <v>41</v>
      </c>
      <c r="N1381" s="335" t="str">
        <f>IF(MAXIFS('単価履歴'!$O:$O,'単価履歴'!$E:$E,E1381,'単価履歴'!$F:$F,F1381)=O1381,"●","")</f>
        <v/>
      </c>
      <c r="O1381" s="346">
        <v>45773.26023148149</v>
      </c>
      <c r="P1381" s="334" t="str">
        <f t="shared" si="4"/>
        <v>中山鋼業:ナベＬ１(2級)</v>
      </c>
    </row>
    <row r="1382" ht="15.75" customHeight="1">
      <c r="A1382" s="335" t="s">
        <v>2568</v>
      </c>
      <c r="B1382" s="336">
        <v>45773.0</v>
      </c>
      <c r="C1382" s="335" t="s">
        <v>6</v>
      </c>
      <c r="D1382" s="335" t="s">
        <v>48</v>
      </c>
      <c r="E1382" s="337" t="str">
        <f t="shared" si="1"/>
        <v>中山鋼業:ナベ</v>
      </c>
      <c r="F1382" s="338" t="s">
        <v>573</v>
      </c>
      <c r="G1382" s="339" t="str">
        <f t="shared" si="2"/>
        <v>中山鋼業:ナベＬ２(H4･級外･L1ﾊﾞﾗ)</v>
      </c>
      <c r="H1382" s="340">
        <f t="shared" si="3"/>
        <v>37</v>
      </c>
      <c r="I1382" s="341">
        <v>-0.5</v>
      </c>
      <c r="J1382" s="332">
        <f>IFERROR(__xludf.DUMMYFUNCTION("IF(IF(COUNTIF(P$2:P1381, P1382)=0, """", INDEX(H$2:H1381,
MAX(FILTER(ROW(H$2:H1381) - ROW(H$2) + 1, P$2:P1381 = P1382))))=""単価"","""",
IF(COUNTIF(P$2:P1381, P1382)=0, """", INDEX(H$2:H1381,
MAX(FILTER(ROW(H$2:H1381) - ROW(H$2) + 1, P$2:P1381 = P1382)))))"),37.5)</f>
        <v>37.5</v>
      </c>
      <c r="N1382" s="335" t="str">
        <f>IF(MAXIFS('単価履歴'!$O:$O,'単価履歴'!$E:$E,E1382,'単価履歴'!$F:$F,F1382)=O1382,"●","")</f>
        <v/>
      </c>
      <c r="O1382" s="346">
        <v>45773.26023148149</v>
      </c>
      <c r="P1382" s="334" t="str">
        <f t="shared" si="4"/>
        <v>中山鋼業:ナベＬ２(H4･級外･L1ﾊﾞﾗ)</v>
      </c>
    </row>
    <row r="1383" ht="15.75" customHeight="1">
      <c r="A1383" s="335" t="s">
        <v>2569</v>
      </c>
      <c r="B1383" s="336">
        <v>45773.0</v>
      </c>
      <c r="C1383" s="335" t="s">
        <v>6</v>
      </c>
      <c r="D1383" s="335" t="s">
        <v>48</v>
      </c>
      <c r="E1383" s="337" t="str">
        <f t="shared" si="1"/>
        <v>中山鋼業:ナベ</v>
      </c>
      <c r="F1383" s="338" t="s">
        <v>130</v>
      </c>
      <c r="G1383" s="339" t="str">
        <f t="shared" si="2"/>
        <v>中山鋼業:ナベ新断Ａ</v>
      </c>
      <c r="H1383" s="340">
        <f t="shared" si="3"/>
        <v>0.5</v>
      </c>
      <c r="I1383" s="341">
        <v>-0.5</v>
      </c>
      <c r="J1383" s="332">
        <f>IFERROR(__xludf.DUMMYFUNCTION("IF(IF(COUNTIF(P$2:P1382, P1383)=0, """", INDEX(H$2:H1382,
MAX(FILTER(ROW(H$2:H1382) - ROW(H$2) + 1, P$2:P1382 = P1383))))=""単価"","""",
IF(COUNTIF(P$2:P1382, P1383)=0, """", INDEX(H$2:H1382,
MAX(FILTER(ROW(H$2:H1382) - ROW(H$2) + 1, P$2:P1382 = P1383)))))"),1.0)</f>
        <v>1</v>
      </c>
      <c r="N1383" s="335" t="str">
        <f>IF(MAXIFS('単価履歴'!$O:$O,'単価履歴'!$E:$E,E1383,'単価履歴'!$F:$F,F1383)=O1383,"●","")</f>
        <v/>
      </c>
      <c r="O1383" s="346">
        <v>45773.26023148149</v>
      </c>
      <c r="P1383" s="334" t="str">
        <f t="shared" si="4"/>
        <v>中山鋼業:ナベ新断Ａ</v>
      </c>
    </row>
    <row r="1384" ht="15.75" customHeight="1">
      <c r="A1384" s="335" t="s">
        <v>2570</v>
      </c>
      <c r="B1384" s="336">
        <v>45773.0</v>
      </c>
      <c r="C1384" s="335" t="s">
        <v>6</v>
      </c>
      <c r="D1384" s="335" t="s">
        <v>48</v>
      </c>
      <c r="E1384" s="337" t="str">
        <f t="shared" si="1"/>
        <v>中山鋼業:ナベ</v>
      </c>
      <c r="F1384" s="338" t="s">
        <v>575</v>
      </c>
      <c r="G1384" s="339" t="str">
        <f t="shared" si="2"/>
        <v>中山鋼業:ナベ鋼ダライＡ</v>
      </c>
      <c r="H1384" s="340">
        <f t="shared" si="3"/>
        <v>35.2</v>
      </c>
      <c r="I1384" s="341">
        <v>-0.5</v>
      </c>
      <c r="J1384" s="332">
        <f>IFERROR(__xludf.DUMMYFUNCTION("IF(IF(COUNTIF(P$2:P1383, P1384)=0, """", INDEX(H$2:H1383,
MAX(FILTER(ROW(H$2:H1383) - ROW(H$2) + 1, P$2:P1383 = P1384))))=""単価"","""",
IF(COUNTIF(P$2:P1383, P1384)=0, """", INDEX(H$2:H1383,
MAX(FILTER(ROW(H$2:H1383) - ROW(H$2) + 1, P$2:P1383 = P1384)))))"),35.7)</f>
        <v>35.7</v>
      </c>
      <c r="N1384" s="335" t="str">
        <f>IF(MAXIFS('単価履歴'!$O:$O,'単価履歴'!$E:$E,E1384,'単価履歴'!$F:$F,F1384)=O1384,"●","")</f>
        <v/>
      </c>
      <c r="O1384" s="346">
        <v>45773.26023148149</v>
      </c>
      <c r="P1384" s="334" t="str">
        <f t="shared" si="4"/>
        <v>中山鋼業:ナベ鋼ダライＡ</v>
      </c>
    </row>
    <row r="1385" ht="15.75" customHeight="1">
      <c r="A1385" s="335" t="s">
        <v>2571</v>
      </c>
      <c r="B1385" s="336">
        <v>45773.0</v>
      </c>
      <c r="C1385" s="335" t="s">
        <v>31</v>
      </c>
      <c r="D1385" s="335" t="s">
        <v>64</v>
      </c>
      <c r="E1385" s="337" t="str">
        <f t="shared" si="1"/>
        <v>泉北中谷:ナベ双葉</v>
      </c>
      <c r="F1385" s="338" t="s">
        <v>1199</v>
      </c>
      <c r="G1385" s="339" t="str">
        <f t="shared" si="2"/>
        <v>泉北中谷:ナベ双葉ＨＳ１(単体H1/電特A/HS))</v>
      </c>
      <c r="H1385" s="340">
        <f t="shared" si="3"/>
        <v>42.5</v>
      </c>
      <c r="I1385" s="341">
        <v>-1.0</v>
      </c>
      <c r="J1385" s="332">
        <f>IFERROR(__xludf.DUMMYFUNCTION("IF(IF(COUNTIF(P$2:P1384, P1385)=0, """", INDEX(H$2:H1384,
MAX(FILTER(ROW(H$2:H1384) - ROW(H$2) + 1, P$2:P1384 = P1385))))=""単価"","""",
IF(COUNTIF(P$2:P1384, P1385)=0, """", INDEX(H$2:H1384,
MAX(FILTER(ROW(H$2:H1384) - ROW(H$2) + 1, P$2:P1384 = P1385)))))"),43.5)</f>
        <v>43.5</v>
      </c>
      <c r="N1385" s="335" t="str">
        <f>IF(MAXIFS('単価履歴'!$O:$O,'単価履歴'!$E:$E,E1385,'単価履歴'!$F:$F,F1385)=O1385,"●","")</f>
        <v/>
      </c>
      <c r="O1385" s="346">
        <v>45773.26268518518</v>
      </c>
      <c r="P1385" s="334" t="str">
        <f t="shared" si="4"/>
        <v>泉北中谷:ナベ双葉ＨＳ１(単体H1/電特A/HS))</v>
      </c>
    </row>
    <row r="1386" ht="15.75" customHeight="1">
      <c r="A1386" s="335" t="s">
        <v>2572</v>
      </c>
      <c r="B1386" s="336">
        <v>45773.0</v>
      </c>
      <c r="C1386" s="335" t="s">
        <v>31</v>
      </c>
      <c r="D1386" s="335" t="s">
        <v>64</v>
      </c>
      <c r="E1386" s="337" t="str">
        <f t="shared" si="1"/>
        <v>泉北中谷:ナベ双葉</v>
      </c>
      <c r="F1386" s="338" t="s">
        <v>116</v>
      </c>
      <c r="G1386" s="339" t="str">
        <f t="shared" si="2"/>
        <v>泉北中谷:ナベ双葉Ｈ２(特級)</v>
      </c>
      <c r="H1386" s="340">
        <f t="shared" si="3"/>
        <v>38.5</v>
      </c>
      <c r="I1386" s="341">
        <v>-1.0</v>
      </c>
      <c r="J1386" s="332">
        <f>IFERROR(__xludf.DUMMYFUNCTION("IF(IF(COUNTIF(P$2:P1385, P1386)=0, """", INDEX(H$2:H1385,
MAX(FILTER(ROW(H$2:H1385) - ROW(H$2) + 1, P$2:P1385 = P1386))))=""単価"","""",
IF(COUNTIF(P$2:P1385, P1386)=0, """", INDEX(H$2:H1385,
MAX(FILTER(ROW(H$2:H1385) - ROW(H$2) + 1, P$2:P1385 = P1386)))))"),39.5)</f>
        <v>39.5</v>
      </c>
      <c r="N1386" s="335" t="str">
        <f>IF(MAXIFS('単価履歴'!$O:$O,'単価履歴'!$E:$E,E1386,'単価履歴'!$F:$F,F1386)=O1386,"●","")</f>
        <v/>
      </c>
      <c r="O1386" s="346">
        <v>45773.26268518518</v>
      </c>
      <c r="P1386" s="334" t="str">
        <f t="shared" si="4"/>
        <v>泉北中谷:ナベ双葉Ｈ２(特級)</v>
      </c>
    </row>
    <row r="1387" ht="15.75" customHeight="1">
      <c r="A1387" s="335" t="s">
        <v>2573</v>
      </c>
      <c r="B1387" s="336">
        <v>45773.0</v>
      </c>
      <c r="C1387" s="335" t="s">
        <v>31</v>
      </c>
      <c r="D1387" s="335" t="s">
        <v>64</v>
      </c>
      <c r="E1387" s="337" t="str">
        <f t="shared" si="1"/>
        <v>泉北中谷:ナベ双葉</v>
      </c>
      <c r="F1387" s="338" t="s">
        <v>130</v>
      </c>
      <c r="G1387" s="339" t="str">
        <f t="shared" si="2"/>
        <v>泉北中谷:ナベ双葉新断Ａ</v>
      </c>
      <c r="H1387" s="340">
        <f t="shared" si="3"/>
        <v>42</v>
      </c>
      <c r="I1387" s="341">
        <v>-1.0</v>
      </c>
      <c r="J1387" s="332">
        <f>IFERROR(__xludf.DUMMYFUNCTION("IF(IF(COUNTIF(P$2:P1386, P1387)=0, """", INDEX(H$2:H1386,
MAX(FILTER(ROW(H$2:H1386) - ROW(H$2) + 1, P$2:P1386 = P1387))))=""単価"","""",
IF(COUNTIF(P$2:P1386, P1387)=0, """", INDEX(H$2:H1386,
MAX(FILTER(ROW(H$2:H1386) - ROW(H$2) + 1, P$2:P1386 = P1387)))))"),43.0)</f>
        <v>43</v>
      </c>
      <c r="N1387" s="335" t="str">
        <f>IF(MAXIFS('単価履歴'!$O:$O,'単価履歴'!$E:$E,E1387,'単価履歴'!$F:$F,F1387)=O1387,"●","")</f>
        <v/>
      </c>
      <c r="O1387" s="346">
        <v>45773.26268518518</v>
      </c>
      <c r="P1387" s="334" t="str">
        <f t="shared" si="4"/>
        <v>泉北中谷:ナベ双葉新断Ａ</v>
      </c>
    </row>
    <row r="1388" ht="15.75" customHeight="1">
      <c r="A1388" s="335" t="s">
        <v>2574</v>
      </c>
      <c r="B1388" s="336">
        <v>45773.0</v>
      </c>
      <c r="C1388" s="335" t="s">
        <v>36</v>
      </c>
      <c r="D1388" s="335" t="s">
        <v>1303</v>
      </c>
      <c r="E1388" s="337" t="str">
        <f t="shared" si="1"/>
        <v>共英枚方:ナベ/置場単価</v>
      </c>
      <c r="F1388" s="338" t="s">
        <v>111</v>
      </c>
      <c r="G1388" s="339" t="str">
        <f t="shared" si="2"/>
        <v>共英枚方:ナベ/置場単価Ｈ１(特A)</v>
      </c>
      <c r="H1388" s="340">
        <f t="shared" si="3"/>
        <v>42</v>
      </c>
      <c r="I1388" s="341">
        <v>-0.5</v>
      </c>
      <c r="J1388" s="332">
        <f>IFERROR(__xludf.DUMMYFUNCTION("IF(IF(COUNTIF(P$2:P1387, P1388)=0, """", INDEX(H$2:H1387,
MAX(FILTER(ROW(H$2:H1387) - ROW(H$2) + 1, P$2:P1387 = P1388))))=""単価"","""",
IF(COUNTIF(P$2:P1387, P1388)=0, """", INDEX(H$2:H1387,
MAX(FILTER(ROW(H$2:H1387) - ROW(H$2) + 1, P$2:P1387 = P1388)))))"),42.5)</f>
        <v>42.5</v>
      </c>
      <c r="N1388" s="335" t="str">
        <f>IF(MAXIFS('単価履歴'!$O:$O,'単価履歴'!$E:$E,E1388,'単価履歴'!$F:$F,F1388)=O1388,"●","")</f>
        <v/>
      </c>
      <c r="O1388" s="346">
        <v>45773.263506944444</v>
      </c>
      <c r="P1388" s="334" t="str">
        <f t="shared" si="4"/>
        <v>共英枚方:ナベ/置場単価Ｈ１(特A)</v>
      </c>
    </row>
    <row r="1389" ht="15.75" customHeight="1">
      <c r="A1389" s="335" t="s">
        <v>2575</v>
      </c>
      <c r="B1389" s="336">
        <v>45773.0</v>
      </c>
      <c r="C1389" s="335" t="s">
        <v>36</v>
      </c>
      <c r="D1389" s="335" t="s">
        <v>1303</v>
      </c>
      <c r="E1389" s="337" t="str">
        <f t="shared" si="1"/>
        <v>共英枚方:ナベ/置場単価</v>
      </c>
      <c r="F1389" s="338" t="s">
        <v>116</v>
      </c>
      <c r="G1389" s="339" t="str">
        <f t="shared" si="2"/>
        <v>共英枚方:ナベ/置場単価Ｈ２(特級)</v>
      </c>
      <c r="H1389" s="340">
        <f t="shared" si="3"/>
        <v>40</v>
      </c>
      <c r="I1389" s="341">
        <v>-0.5</v>
      </c>
      <c r="J1389" s="332">
        <f>IFERROR(__xludf.DUMMYFUNCTION("IF(IF(COUNTIF(P$2:P1388, P1389)=0, """", INDEX(H$2:H1388,
MAX(FILTER(ROW(H$2:H1388) - ROW(H$2) + 1, P$2:P1388 = P1389))))=""単価"","""",
IF(COUNTIF(P$2:P1388, P1389)=0, """", INDEX(H$2:H1388,
MAX(FILTER(ROW(H$2:H1388) - ROW(H$2) + 1, P$2:P1388 = P1389)))))"),40.5)</f>
        <v>40.5</v>
      </c>
      <c r="N1389" s="335" t="str">
        <f>IF(MAXIFS('単価履歴'!$O:$O,'単価履歴'!$E:$E,E1389,'単価履歴'!$F:$F,F1389)=O1389,"●","")</f>
        <v/>
      </c>
      <c r="O1389" s="346">
        <v>45773.263506944444</v>
      </c>
      <c r="P1389" s="334" t="str">
        <f t="shared" si="4"/>
        <v>共英枚方:ナベ/置場単価Ｈ２(特級)</v>
      </c>
    </row>
    <row r="1390" ht="15.75" customHeight="1">
      <c r="A1390" s="335" t="s">
        <v>2576</v>
      </c>
      <c r="B1390" s="336">
        <v>45773.0</v>
      </c>
      <c r="C1390" s="335" t="s">
        <v>36</v>
      </c>
      <c r="D1390" s="335" t="s">
        <v>1303</v>
      </c>
      <c r="E1390" s="337" t="str">
        <f t="shared" si="1"/>
        <v>共英枚方:ナベ/置場単価</v>
      </c>
      <c r="F1390" s="338" t="s">
        <v>119</v>
      </c>
      <c r="G1390" s="339" t="str">
        <f t="shared" si="2"/>
        <v>共英枚方:ナベ/置場単価Ｈ３(1級)</v>
      </c>
      <c r="H1390" s="340">
        <f t="shared" si="3"/>
        <v>39.5</v>
      </c>
      <c r="I1390" s="341">
        <v>-0.5</v>
      </c>
      <c r="J1390" s="332">
        <f>IFERROR(__xludf.DUMMYFUNCTION("IF(IF(COUNTIF(P$2:P1389, P1390)=0, """", INDEX(H$2:H1389,
MAX(FILTER(ROW(H$2:H1389) - ROW(H$2) + 1, P$2:P1389 = P1390))))=""単価"","""",
IF(COUNTIF(P$2:P1389, P1390)=0, """", INDEX(H$2:H1389,
MAX(FILTER(ROW(H$2:H1389) - ROW(H$2) + 1, P$2:P1389 = P1390)))))"),40.0)</f>
        <v>40</v>
      </c>
      <c r="N1390" s="335" t="str">
        <f>IF(MAXIFS('単価履歴'!$O:$O,'単価履歴'!$E:$E,E1390,'単価履歴'!$F:$F,F1390)=O1390,"●","")</f>
        <v/>
      </c>
      <c r="O1390" s="346">
        <v>45773.263506944444</v>
      </c>
      <c r="P1390" s="334" t="str">
        <f t="shared" si="4"/>
        <v>共英枚方:ナベ/置場単価Ｈ３(1級)</v>
      </c>
    </row>
    <row r="1391" ht="15.75" customHeight="1">
      <c r="A1391" s="335" t="s">
        <v>2577</v>
      </c>
      <c r="B1391" s="336">
        <v>45773.0</v>
      </c>
      <c r="C1391" s="335" t="s">
        <v>36</v>
      </c>
      <c r="D1391" s="335" t="s">
        <v>1303</v>
      </c>
      <c r="E1391" s="337" t="str">
        <f t="shared" si="1"/>
        <v>共英枚方:ナベ/置場単価</v>
      </c>
      <c r="F1391" s="338" t="s">
        <v>122</v>
      </c>
      <c r="G1391" s="339" t="str">
        <f t="shared" si="2"/>
        <v>共英枚方:ナベ/置場単価Ｌ１(2級)</v>
      </c>
      <c r="H1391" s="340">
        <f t="shared" si="3"/>
        <v>39</v>
      </c>
      <c r="I1391" s="341">
        <v>-0.5</v>
      </c>
      <c r="J1391" s="332">
        <f>IFERROR(__xludf.DUMMYFUNCTION("IF(IF(COUNTIF(P$2:P1390, P1391)=0, """", INDEX(H$2:H1390,
MAX(FILTER(ROW(H$2:H1390) - ROW(H$2) + 1, P$2:P1390 = P1391))))=""単価"","""",
IF(COUNTIF(P$2:P1390, P1391)=0, """", INDEX(H$2:H1390,
MAX(FILTER(ROW(H$2:H1390) - ROW(H$2) + 1, P$2:P1390 = P1391)))))"),39.5)</f>
        <v>39.5</v>
      </c>
      <c r="N1391" s="335" t="str">
        <f>IF(MAXIFS('単価履歴'!$O:$O,'単価履歴'!$E:$E,E1391,'単価履歴'!$F:$F,F1391)=O1391,"●","")</f>
        <v/>
      </c>
      <c r="O1391" s="346">
        <v>45773.263506944444</v>
      </c>
      <c r="P1391" s="334" t="str">
        <f t="shared" si="4"/>
        <v>共英枚方:ナベ/置場単価Ｌ１(2級)</v>
      </c>
    </row>
    <row r="1392" ht="15.75" customHeight="1">
      <c r="A1392" s="335" t="s">
        <v>2578</v>
      </c>
      <c r="B1392" s="336">
        <v>45773.0</v>
      </c>
      <c r="C1392" s="335" t="s">
        <v>36</v>
      </c>
      <c r="D1392" s="335" t="s">
        <v>1303</v>
      </c>
      <c r="E1392" s="337" t="str">
        <f t="shared" si="1"/>
        <v>共英枚方:ナベ/置場単価</v>
      </c>
      <c r="F1392" s="338" t="s">
        <v>154</v>
      </c>
      <c r="G1392" s="339" t="str">
        <f t="shared" si="2"/>
        <v>共英枚方:ナベ/置場単価ＣＰ Ａ</v>
      </c>
      <c r="H1392" s="340">
        <f t="shared" si="3"/>
        <v>45.5</v>
      </c>
      <c r="I1392" s="341">
        <v>-0.5</v>
      </c>
      <c r="J1392" s="332">
        <f>IFERROR(__xludf.DUMMYFUNCTION("IF(IF(COUNTIF(P$2:P1391, P1392)=0, """", INDEX(H$2:H1391,
MAX(FILTER(ROW(H$2:H1391) - ROW(H$2) + 1, P$2:P1391 = P1392))))=""単価"","""",
IF(COUNTIF(P$2:P1391, P1392)=0, """", INDEX(H$2:H1391,
MAX(FILTER(ROW(H$2:H1391) - ROW(H$2) + 1, P$2:P1391 = P1392)))))"),46.0)</f>
        <v>46</v>
      </c>
      <c r="N1392" s="335" t="str">
        <f>IF(MAXIFS('単価履歴'!$O:$O,'単価履歴'!$E:$E,E1392,'単価履歴'!$F:$F,F1392)=O1392,"●","")</f>
        <v/>
      </c>
      <c r="O1392" s="346">
        <v>45773.263506944444</v>
      </c>
      <c r="P1392" s="334" t="str">
        <f t="shared" si="4"/>
        <v>共英枚方:ナベ/置場単価ＣＰ Ａ</v>
      </c>
    </row>
    <row r="1393" ht="15.75" customHeight="1">
      <c r="A1393" s="335" t="s">
        <v>2579</v>
      </c>
      <c r="B1393" s="336">
        <v>45773.0</v>
      </c>
      <c r="C1393" s="335" t="s">
        <v>9</v>
      </c>
      <c r="D1393" s="335" t="s">
        <v>51</v>
      </c>
      <c r="E1393" s="337" t="str">
        <f t="shared" si="1"/>
        <v>大鉄　堺:大鉄堺</v>
      </c>
      <c r="F1393" s="338" t="s">
        <v>111</v>
      </c>
      <c r="G1393" s="339" t="str">
        <f t="shared" si="2"/>
        <v>大鉄　堺:大鉄堺Ｈ１(特A)</v>
      </c>
      <c r="H1393" s="340">
        <f t="shared" si="3"/>
        <v>44.5</v>
      </c>
      <c r="I1393" s="341">
        <v>-0.5</v>
      </c>
      <c r="J1393" s="332">
        <f>IFERROR(__xludf.DUMMYFUNCTION("IF(IF(COUNTIF(P$2:P1392, P1393)=0, """", INDEX(H$2:H1392,
MAX(FILTER(ROW(H$2:H1392) - ROW(H$2) + 1, P$2:P1392 = P1393))))=""単価"","""",
IF(COUNTIF(P$2:P1392, P1393)=0, """", INDEX(H$2:H1392,
MAX(FILTER(ROW(H$2:H1392) - ROW(H$2) + 1, P$2:P1392 = P1393)))))"),45.0)</f>
        <v>45</v>
      </c>
      <c r="N1393" s="335" t="str">
        <f>IF(MAXIFS('単価履歴'!$O:$O,'単価履歴'!$E:$E,E1393,'単価履歴'!$F:$F,F1393)=O1393,"●","")</f>
        <v/>
      </c>
      <c r="O1393" s="346">
        <v>45773.26502314815</v>
      </c>
      <c r="P1393" s="334" t="str">
        <f t="shared" si="4"/>
        <v>大鉄　堺:大鉄堺Ｈ１(特A)</v>
      </c>
    </row>
    <row r="1394" ht="15.75" customHeight="1">
      <c r="A1394" s="335" t="s">
        <v>2580</v>
      </c>
      <c r="B1394" s="336">
        <v>45773.0</v>
      </c>
      <c r="C1394" s="335" t="s">
        <v>9</v>
      </c>
      <c r="D1394" s="335" t="s">
        <v>51</v>
      </c>
      <c r="E1394" s="337" t="str">
        <f t="shared" si="1"/>
        <v>大鉄　堺:大鉄堺</v>
      </c>
      <c r="F1394" s="338" t="s">
        <v>116</v>
      </c>
      <c r="G1394" s="339" t="str">
        <f t="shared" si="2"/>
        <v>大鉄　堺:大鉄堺Ｈ２(特級)</v>
      </c>
      <c r="H1394" s="340">
        <f t="shared" si="3"/>
        <v>41.5</v>
      </c>
      <c r="I1394" s="341">
        <v>-0.5</v>
      </c>
      <c r="J1394" s="332">
        <f>IFERROR(__xludf.DUMMYFUNCTION("IF(IF(COUNTIF(P$2:P1393, P1394)=0, """", INDEX(H$2:H1393,
MAX(FILTER(ROW(H$2:H1393) - ROW(H$2) + 1, P$2:P1393 = P1394))))=""単価"","""",
IF(COUNTIF(P$2:P1393, P1394)=0, """", INDEX(H$2:H1393,
MAX(FILTER(ROW(H$2:H1393) - ROW(H$2) + 1, P$2:P1393 = P1394)))))"),42.0)</f>
        <v>42</v>
      </c>
      <c r="N1394" s="335" t="str">
        <f>IF(MAXIFS('単価履歴'!$O:$O,'単価履歴'!$E:$E,E1394,'単価履歴'!$F:$F,F1394)=O1394,"●","")</f>
        <v/>
      </c>
      <c r="O1394" s="346">
        <v>45773.26502314815</v>
      </c>
      <c r="P1394" s="334" t="str">
        <f t="shared" si="4"/>
        <v>大鉄　堺:大鉄堺Ｈ２(特級)</v>
      </c>
    </row>
    <row r="1395" ht="15.75" customHeight="1">
      <c r="A1395" s="335" t="s">
        <v>2581</v>
      </c>
      <c r="B1395" s="336">
        <v>45773.0</v>
      </c>
      <c r="C1395" s="335" t="s">
        <v>9</v>
      </c>
      <c r="D1395" s="335" t="s">
        <v>51</v>
      </c>
      <c r="E1395" s="337" t="str">
        <f t="shared" si="1"/>
        <v>大鉄　堺:大鉄堺</v>
      </c>
      <c r="F1395" s="338" t="s">
        <v>1237</v>
      </c>
      <c r="G1395" s="339" t="str">
        <f t="shared" si="2"/>
        <v>大鉄　堺:大鉄堺ＪＨ１(H2T山口)鍛造ﾊﾞﾘ</v>
      </c>
      <c r="H1395" s="340">
        <f t="shared" si="3"/>
        <v>43.5</v>
      </c>
      <c r="I1395" s="341">
        <v>-0.5</v>
      </c>
      <c r="J1395" s="332">
        <f>IFERROR(__xludf.DUMMYFUNCTION("IF(IF(COUNTIF(P$2:P1394, P1395)=0, """", INDEX(H$2:H1394,
MAX(FILTER(ROW(H$2:H1394) - ROW(H$2) + 1, P$2:P1394 = P1395))))=""単価"","""",
IF(COUNTIF(P$2:P1394, P1395)=0, """", INDEX(H$2:H1394,
MAX(FILTER(ROW(H$2:H1394) - ROW(H$2) + 1, P$2:P1394 = P1395)))))"),44.0)</f>
        <v>44</v>
      </c>
      <c r="N1395" s="335" t="str">
        <f>IF(MAXIFS('単価履歴'!$O:$O,'単価履歴'!$E:$E,E1395,'単価履歴'!$F:$F,F1395)=O1395,"●","")</f>
        <v/>
      </c>
      <c r="O1395" s="346">
        <v>45773.26502314815</v>
      </c>
      <c r="P1395" s="334" t="str">
        <f t="shared" si="4"/>
        <v>大鉄　堺:大鉄堺ＪＨ１(H2T山口)鍛造ﾊﾞﾘ</v>
      </c>
    </row>
    <row r="1396" ht="15.75" customHeight="1">
      <c r="A1396" s="335" t="s">
        <v>2582</v>
      </c>
      <c r="B1396" s="336">
        <v>45773.0</v>
      </c>
      <c r="C1396" s="335" t="s">
        <v>9</v>
      </c>
      <c r="D1396" s="335" t="s">
        <v>51</v>
      </c>
      <c r="E1396" s="337" t="str">
        <f t="shared" si="1"/>
        <v>大鉄　堺:大鉄堺</v>
      </c>
      <c r="F1396" s="338" t="s">
        <v>119</v>
      </c>
      <c r="G1396" s="339" t="str">
        <f t="shared" si="2"/>
        <v>大鉄　堺:大鉄堺Ｈ３(1級)</v>
      </c>
      <c r="H1396" s="340">
        <f t="shared" si="3"/>
        <v>41</v>
      </c>
      <c r="I1396" s="341">
        <v>-0.5</v>
      </c>
      <c r="J1396" s="332">
        <f>IFERROR(__xludf.DUMMYFUNCTION("IF(IF(COUNTIF(P$2:P1395, P1396)=0, """", INDEX(H$2:H1395,
MAX(FILTER(ROW(H$2:H1395) - ROW(H$2) + 1, P$2:P1395 = P1396))))=""単価"","""",
IF(COUNTIF(P$2:P1395, P1396)=0, """", INDEX(H$2:H1395,
MAX(FILTER(ROW(H$2:H1395) - ROW(H$2) + 1, P$2:P1395 = P1396)))))"),41.5)</f>
        <v>41.5</v>
      </c>
      <c r="N1396" s="335" t="str">
        <f>IF(MAXIFS('単価履歴'!$O:$O,'単価履歴'!$E:$E,E1396,'単価履歴'!$F:$F,F1396)=O1396,"●","")</f>
        <v/>
      </c>
      <c r="O1396" s="346">
        <v>45773.26502314815</v>
      </c>
      <c r="P1396" s="334" t="str">
        <f t="shared" si="4"/>
        <v>大鉄　堺:大鉄堺Ｈ３(1級)</v>
      </c>
    </row>
    <row r="1397" ht="15.75" customHeight="1">
      <c r="A1397" s="335" t="s">
        <v>2583</v>
      </c>
      <c r="B1397" s="336">
        <v>45773.0</v>
      </c>
      <c r="C1397" s="335" t="s">
        <v>9</v>
      </c>
      <c r="D1397" s="335" t="s">
        <v>51</v>
      </c>
      <c r="E1397" s="337" t="str">
        <f t="shared" si="1"/>
        <v>大鉄　堺:大鉄堺</v>
      </c>
      <c r="F1397" s="338" t="s">
        <v>122</v>
      </c>
      <c r="G1397" s="339" t="str">
        <f t="shared" si="2"/>
        <v>大鉄　堺:大鉄堺Ｌ１(2級)</v>
      </c>
      <c r="H1397" s="340">
        <f t="shared" si="3"/>
        <v>40.5</v>
      </c>
      <c r="I1397" s="341">
        <v>-0.5</v>
      </c>
      <c r="J1397" s="332">
        <f>IFERROR(__xludf.DUMMYFUNCTION("IF(IF(COUNTIF(P$2:P1396, P1397)=0, """", INDEX(H$2:H1396,
MAX(FILTER(ROW(H$2:H1396) - ROW(H$2) + 1, P$2:P1396 = P1397))))=""単価"","""",
IF(COUNTIF(P$2:P1396, P1397)=0, """", INDEX(H$2:H1396,
MAX(FILTER(ROW(H$2:H1396) - ROW(H$2) + 1, P$2:P1396 = P1397)))))"),41.0)</f>
        <v>41</v>
      </c>
      <c r="N1397" s="335" t="str">
        <f>IF(MAXIFS('単価履歴'!$O:$O,'単価履歴'!$E:$E,E1397,'単価履歴'!$F:$F,F1397)=O1397,"●","")</f>
        <v/>
      </c>
      <c r="O1397" s="346">
        <v>45773.26502314815</v>
      </c>
      <c r="P1397" s="334" t="str">
        <f t="shared" si="4"/>
        <v>大鉄　堺:大鉄堺Ｌ１(2級)</v>
      </c>
    </row>
    <row r="1398" ht="15.75" customHeight="1">
      <c r="A1398" s="335" t="s">
        <v>2584</v>
      </c>
      <c r="B1398" s="336">
        <v>45773.0</v>
      </c>
      <c r="C1398" s="335" t="s">
        <v>9</v>
      </c>
      <c r="D1398" s="335" t="s">
        <v>51</v>
      </c>
      <c r="E1398" s="337" t="str">
        <f t="shared" si="1"/>
        <v>大鉄　堺:大鉄堺</v>
      </c>
      <c r="F1398" s="338" t="s">
        <v>130</v>
      </c>
      <c r="G1398" s="339" t="str">
        <f t="shared" si="2"/>
        <v>大鉄　堺:大鉄堺新断Ａ</v>
      </c>
      <c r="H1398" s="340">
        <f t="shared" si="3"/>
        <v>28</v>
      </c>
      <c r="I1398" s="341">
        <v>-0.5</v>
      </c>
      <c r="J1398" s="332">
        <f>IFERROR(__xludf.DUMMYFUNCTION("IF(IF(COUNTIF(P$2:P1397, P1398)=0, """", INDEX(H$2:H1397,
MAX(FILTER(ROW(H$2:H1397) - ROW(H$2) + 1, P$2:P1397 = P1398))))=""単価"","""",
IF(COUNTIF(P$2:P1397, P1398)=0, """", INDEX(H$2:H1397,
MAX(FILTER(ROW(H$2:H1397) - ROW(H$2) + 1, P$2:P1397 = P1398)))))"),28.5)</f>
        <v>28.5</v>
      </c>
      <c r="N1398" s="335" t="str">
        <f>IF(MAXIFS('単価履歴'!$O:$O,'単価履歴'!$E:$E,E1398,'単価履歴'!$F:$F,F1398)=O1398,"●","")</f>
        <v/>
      </c>
      <c r="O1398" s="346">
        <v>45773.26502314815</v>
      </c>
      <c r="P1398" s="334" t="str">
        <f t="shared" si="4"/>
        <v>大鉄　堺:大鉄堺新断Ａ</v>
      </c>
    </row>
    <row r="1399" ht="15.75" customHeight="1">
      <c r="A1399" s="335" t="s">
        <v>2585</v>
      </c>
      <c r="B1399" s="336">
        <v>45773.0</v>
      </c>
      <c r="C1399" s="335" t="s">
        <v>9</v>
      </c>
      <c r="D1399" s="335" t="s">
        <v>51</v>
      </c>
      <c r="E1399" s="337" t="str">
        <f t="shared" si="1"/>
        <v>大鉄　堺:大鉄堺</v>
      </c>
      <c r="F1399" s="338" t="s">
        <v>131</v>
      </c>
      <c r="G1399" s="339" t="str">
        <f t="shared" si="2"/>
        <v>大鉄　堺:大鉄堺新断Ｂ</v>
      </c>
      <c r="H1399" s="340">
        <f t="shared" si="3"/>
        <v>27.5</v>
      </c>
      <c r="I1399" s="341">
        <v>-0.5</v>
      </c>
      <c r="J1399" s="332">
        <f>IFERROR(__xludf.DUMMYFUNCTION("IF(IF(COUNTIF(P$2:P1398, P1399)=0, """", INDEX(H$2:H1398,
MAX(FILTER(ROW(H$2:H1398) - ROW(H$2) + 1, P$2:P1398 = P1399))))=""単価"","""",
IF(COUNTIF(P$2:P1398, P1399)=0, """", INDEX(H$2:H1398,
MAX(FILTER(ROW(H$2:H1398) - ROW(H$2) + 1, P$2:P1398 = P1399)))))"),28.0)</f>
        <v>28</v>
      </c>
      <c r="N1399" s="335" t="str">
        <f>IF(MAXIFS('単価履歴'!$O:$O,'単価履歴'!$E:$E,E1399,'単価履歴'!$F:$F,F1399)=O1399,"●","")</f>
        <v/>
      </c>
      <c r="O1399" s="346">
        <v>45773.26502314815</v>
      </c>
      <c r="P1399" s="334" t="str">
        <f t="shared" si="4"/>
        <v>大鉄　堺:大鉄堺新断Ｂ</v>
      </c>
    </row>
    <row r="1400" ht="15.75" customHeight="1">
      <c r="A1400" s="335" t="s">
        <v>2586</v>
      </c>
      <c r="B1400" s="336">
        <v>45773.0</v>
      </c>
      <c r="C1400" s="335" t="s">
        <v>9</v>
      </c>
      <c r="D1400" s="335" t="s">
        <v>51</v>
      </c>
      <c r="E1400" s="337" t="str">
        <f t="shared" si="1"/>
        <v>大鉄　堺:大鉄堺</v>
      </c>
      <c r="F1400" s="338" t="s">
        <v>575</v>
      </c>
      <c r="G1400" s="339" t="str">
        <f t="shared" si="2"/>
        <v>大鉄　堺:大鉄堺鋼ダライＡ</v>
      </c>
      <c r="H1400" s="340">
        <f t="shared" si="3"/>
        <v>28.5</v>
      </c>
      <c r="I1400" s="341">
        <v>-0.5</v>
      </c>
      <c r="J1400" s="332">
        <f>IFERROR(__xludf.DUMMYFUNCTION("IF(IF(COUNTIF(P$2:P1399, P1400)=0, """", INDEX(H$2:H1399,
MAX(FILTER(ROW(H$2:H1399) - ROW(H$2) + 1, P$2:P1399 = P1400))))=""単価"","""",
IF(COUNTIF(P$2:P1399, P1400)=0, """", INDEX(H$2:H1399,
MAX(FILTER(ROW(H$2:H1399) - ROW(H$2) + 1, P$2:P1399 = P1400)))))"),29.0)</f>
        <v>29</v>
      </c>
      <c r="N1400" s="335" t="str">
        <f>IF(MAXIFS('単価履歴'!$O:$O,'単価履歴'!$E:$E,E1400,'単価履歴'!$F:$F,F1400)=O1400,"●","")</f>
        <v/>
      </c>
      <c r="O1400" s="346">
        <v>45773.26502314815</v>
      </c>
      <c r="P1400" s="334" t="str">
        <f t="shared" si="4"/>
        <v>大鉄　堺:大鉄堺鋼ダライＡ</v>
      </c>
    </row>
    <row r="1401" ht="15.75" customHeight="1">
      <c r="A1401" s="335" t="s">
        <v>2587</v>
      </c>
      <c r="B1401" s="336">
        <v>45773.0</v>
      </c>
      <c r="C1401" s="335" t="s">
        <v>9</v>
      </c>
      <c r="D1401" s="335" t="s">
        <v>51</v>
      </c>
      <c r="E1401" s="337" t="str">
        <f t="shared" si="1"/>
        <v>大鉄　堺:大鉄堺</v>
      </c>
      <c r="F1401" s="338" t="s">
        <v>576</v>
      </c>
      <c r="G1401" s="339" t="str">
        <f t="shared" si="2"/>
        <v>大鉄　堺:大鉄堺鋼ダライＢ</v>
      </c>
      <c r="H1401" s="340">
        <f t="shared" si="3"/>
        <v>28.5</v>
      </c>
      <c r="I1401" s="341">
        <v>-0.5</v>
      </c>
      <c r="J1401" s="332">
        <f>IFERROR(__xludf.DUMMYFUNCTION("IF(IF(COUNTIF(P$2:P1400, P1401)=0, """", INDEX(H$2:H1400,
MAX(FILTER(ROW(H$2:H1400) - ROW(H$2) + 1, P$2:P1400 = P1401))))=""単価"","""",
IF(COUNTIF(P$2:P1400, P1401)=0, """", INDEX(H$2:H1400,
MAX(FILTER(ROW(H$2:H1400) - ROW(H$2) + 1, P$2:P1400 = P1401)))))"),29.0)</f>
        <v>29</v>
      </c>
      <c r="N1401" s="335" t="str">
        <f>IF(MAXIFS('単価履歴'!$O:$O,'単価履歴'!$E:$E,E1401,'単価履歴'!$F:$F,F1401)=O1401,"●","")</f>
        <v/>
      </c>
      <c r="O1401" s="346">
        <v>45773.26502314815</v>
      </c>
      <c r="P1401" s="334" t="str">
        <f t="shared" si="4"/>
        <v>大鉄　堺:大鉄堺鋼ダライＢ</v>
      </c>
    </row>
    <row r="1402" ht="15.75" customHeight="1">
      <c r="A1402" s="335" t="s">
        <v>2588</v>
      </c>
      <c r="B1402" s="336">
        <v>45773.0</v>
      </c>
      <c r="C1402" s="335" t="s">
        <v>9</v>
      </c>
      <c r="D1402" s="335" t="s">
        <v>51</v>
      </c>
      <c r="E1402" s="337" t="str">
        <f t="shared" si="1"/>
        <v>大鉄　堺:大鉄堺</v>
      </c>
      <c r="F1402" s="338" t="s">
        <v>145</v>
      </c>
      <c r="G1402" s="339" t="str">
        <f t="shared" si="2"/>
        <v>大鉄　堺:大鉄堺シュレＡ</v>
      </c>
      <c r="H1402" s="340">
        <f t="shared" si="3"/>
        <v>30.5</v>
      </c>
      <c r="I1402" s="341">
        <v>-0.5</v>
      </c>
      <c r="J1402" s="332">
        <f>IFERROR(__xludf.DUMMYFUNCTION("IF(IF(COUNTIF(P$2:P1401, P1402)=0, """", INDEX(H$2:H1401,
MAX(FILTER(ROW(H$2:H1401) - ROW(H$2) + 1, P$2:P1401 = P1402))))=""単価"","""",
IF(COUNTIF(P$2:P1401, P1402)=0, """", INDEX(H$2:H1401,
MAX(FILTER(ROW(H$2:H1401) - ROW(H$2) + 1, P$2:P1401 = P1402)))))"),31.0)</f>
        <v>31</v>
      </c>
      <c r="N1402" s="335" t="str">
        <f>IF(MAXIFS('単価履歴'!$O:$O,'単価履歴'!$E:$E,E1402,'単価履歴'!$F:$F,F1402)=O1402,"●","")</f>
        <v/>
      </c>
      <c r="O1402" s="346">
        <v>45773.26502314815</v>
      </c>
      <c r="P1402" s="334" t="str">
        <f t="shared" si="4"/>
        <v>大鉄　堺:大鉄堺シュレＡ</v>
      </c>
    </row>
    <row r="1403" ht="15.75" customHeight="1">
      <c r="A1403" s="335" t="s">
        <v>2589</v>
      </c>
      <c r="B1403" s="336">
        <v>45773.0</v>
      </c>
      <c r="C1403" s="335" t="s">
        <v>9</v>
      </c>
      <c r="D1403" s="335" t="s">
        <v>51</v>
      </c>
      <c r="E1403" s="337" t="str">
        <f t="shared" si="1"/>
        <v>大鉄　堺:大鉄堺</v>
      </c>
      <c r="F1403" s="338" t="s">
        <v>149</v>
      </c>
      <c r="G1403" s="339" t="str">
        <f t="shared" si="2"/>
        <v>大鉄　堺:大鉄堺シュレＢ</v>
      </c>
      <c r="H1403" s="340">
        <f t="shared" si="3"/>
        <v>29.8</v>
      </c>
      <c r="I1403" s="341">
        <v>-0.5</v>
      </c>
      <c r="J1403" s="332">
        <f>IFERROR(__xludf.DUMMYFUNCTION("IF(IF(COUNTIF(P$2:P1402, P1403)=0, """", INDEX(H$2:H1402,
MAX(FILTER(ROW(H$2:H1402) - ROW(H$2) + 1, P$2:P1402 = P1403))))=""単価"","""",
IF(COUNTIF(P$2:P1402, P1403)=0, """", INDEX(H$2:H1402,
MAX(FILTER(ROW(H$2:H1402) - ROW(H$2) + 1, P$2:P1402 = P1403)))))"),30.3)</f>
        <v>30.3</v>
      </c>
      <c r="N1403" s="335" t="str">
        <f>IF(MAXIFS('単価履歴'!$O:$O,'単価履歴'!$E:$E,E1403,'単価履歴'!$F:$F,F1403)=O1403,"●","")</f>
        <v/>
      </c>
      <c r="O1403" s="346">
        <v>45773.26502314815</v>
      </c>
      <c r="P1403" s="334" t="str">
        <f t="shared" si="4"/>
        <v>大鉄　堺:大鉄堺シュレＢ</v>
      </c>
    </row>
    <row r="1404" ht="15.75" customHeight="1">
      <c r="A1404" s="335" t="s">
        <v>2590</v>
      </c>
      <c r="B1404" s="336">
        <v>45773.0</v>
      </c>
      <c r="C1404" s="335" t="s">
        <v>9</v>
      </c>
      <c r="D1404" s="335" t="s">
        <v>51</v>
      </c>
      <c r="E1404" s="337" t="str">
        <f t="shared" si="1"/>
        <v>大鉄　堺:大鉄堺</v>
      </c>
      <c r="F1404" s="338" t="s">
        <v>151</v>
      </c>
      <c r="G1404" s="339" t="str">
        <f t="shared" si="2"/>
        <v>大鉄　堺:大鉄堺シュレＣ</v>
      </c>
      <c r="H1404" s="340">
        <f t="shared" si="3"/>
        <v>28.4</v>
      </c>
      <c r="I1404" s="341">
        <v>-0.5</v>
      </c>
      <c r="J1404" s="332">
        <f>IFERROR(__xludf.DUMMYFUNCTION("IF(IF(COUNTIF(P$2:P1403, P1404)=0, """", INDEX(H$2:H1403,
MAX(FILTER(ROW(H$2:H1403) - ROW(H$2) + 1, P$2:P1403 = P1404))))=""単価"","""",
IF(COUNTIF(P$2:P1403, P1404)=0, """", INDEX(H$2:H1403,
MAX(FILTER(ROW(H$2:H1403) - ROW(H$2) + 1, P$2:P1403 = P1404)))))"),28.9)</f>
        <v>28.9</v>
      </c>
      <c r="N1404" s="335" t="str">
        <f>IF(MAXIFS('単価履歴'!$O:$O,'単価履歴'!$E:$E,E1404,'単価履歴'!$F:$F,F1404)=O1404,"●","")</f>
        <v/>
      </c>
      <c r="O1404" s="346">
        <v>45773.26502314815</v>
      </c>
      <c r="P1404" s="334" t="str">
        <f t="shared" si="4"/>
        <v>大鉄　堺:大鉄堺シュレＣ</v>
      </c>
    </row>
    <row r="1405" ht="15.75" customHeight="1">
      <c r="A1405" s="335" t="s">
        <v>2591</v>
      </c>
      <c r="B1405" s="336">
        <v>45773.0</v>
      </c>
      <c r="C1405" s="335" t="s">
        <v>9</v>
      </c>
      <c r="D1405" s="335" t="s">
        <v>51</v>
      </c>
      <c r="E1405" s="337" t="str">
        <f t="shared" si="1"/>
        <v>大鉄　堺:大鉄堺</v>
      </c>
      <c r="F1405" s="338" t="s">
        <v>154</v>
      </c>
      <c r="G1405" s="339" t="str">
        <f t="shared" si="2"/>
        <v>大鉄　堺:大鉄堺ＣＰ Ａ</v>
      </c>
      <c r="H1405" s="340">
        <f t="shared" si="3"/>
        <v>36</v>
      </c>
      <c r="I1405" s="341">
        <v>-0.5</v>
      </c>
      <c r="J1405" s="332">
        <f>IFERROR(__xludf.DUMMYFUNCTION("IF(IF(COUNTIF(P$2:P1404, P1405)=0, """", INDEX(H$2:H1404,
MAX(FILTER(ROW(H$2:H1404) - ROW(H$2) + 1, P$2:P1404 = P1405))))=""単価"","""",
IF(COUNTIF(P$2:P1404, P1405)=0, """", INDEX(H$2:H1404,
MAX(FILTER(ROW(H$2:H1404) - ROW(H$2) + 1, P$2:P1404 = P1405)))))"),36.5)</f>
        <v>36.5</v>
      </c>
      <c r="N1405" s="335" t="str">
        <f>IF(MAXIFS('単価履歴'!$O:$O,'単価履歴'!$E:$E,E1405,'単価履歴'!$F:$F,F1405)=O1405,"●","")</f>
        <v/>
      </c>
      <c r="O1405" s="346">
        <v>45773.26502314815</v>
      </c>
      <c r="P1405" s="334" t="str">
        <f t="shared" si="4"/>
        <v>大鉄　堺:大鉄堺ＣＰ Ａ</v>
      </c>
    </row>
    <row r="1406" ht="15.75" customHeight="1">
      <c r="A1406" s="335" t="s">
        <v>2592</v>
      </c>
      <c r="B1406" s="336">
        <v>45773.0</v>
      </c>
      <c r="C1406" s="335" t="s">
        <v>9</v>
      </c>
      <c r="D1406" s="335" t="s">
        <v>51</v>
      </c>
      <c r="E1406" s="337" t="str">
        <f t="shared" si="1"/>
        <v>大鉄　堺:大鉄堺</v>
      </c>
      <c r="F1406" s="338" t="s">
        <v>156</v>
      </c>
      <c r="G1406" s="339" t="str">
        <f t="shared" si="2"/>
        <v>大鉄　堺:大鉄堺ＣＰ Ｂ一斗缶</v>
      </c>
      <c r="H1406" s="340">
        <f t="shared" si="3"/>
        <v>29.5</v>
      </c>
      <c r="I1406" s="341">
        <v>-0.5</v>
      </c>
      <c r="J1406" s="332">
        <f>IFERROR(__xludf.DUMMYFUNCTION("IF(IF(COUNTIF(P$2:P1405, P1406)=0, """", INDEX(H$2:H1405,
MAX(FILTER(ROW(H$2:H1405) - ROW(H$2) + 1, P$2:P1405 = P1406))))=""単価"","""",
IF(COUNTIF(P$2:P1405, P1406)=0, """", INDEX(H$2:H1405,
MAX(FILTER(ROW(H$2:H1405) - ROW(H$2) + 1, P$2:P1405 = P1406)))))"),30.0)</f>
        <v>30</v>
      </c>
      <c r="N1406" s="335" t="str">
        <f>IF(MAXIFS('単価履歴'!$O:$O,'単価履歴'!$E:$E,E1406,'単価履歴'!$F:$F,F1406)=O1406,"●","")</f>
        <v/>
      </c>
      <c r="O1406" s="346">
        <v>45773.26502314815</v>
      </c>
      <c r="P1406" s="334" t="str">
        <f t="shared" si="4"/>
        <v>大鉄　堺:大鉄堺ＣＰ Ｂ一斗缶</v>
      </c>
    </row>
    <row r="1407" ht="15.75" customHeight="1">
      <c r="A1407" s="335" t="s">
        <v>2593</v>
      </c>
      <c r="B1407" s="336">
        <v>45773.0</v>
      </c>
      <c r="C1407" s="335" t="s">
        <v>9</v>
      </c>
      <c r="D1407" s="335" t="s">
        <v>47</v>
      </c>
      <c r="E1407" s="337" t="str">
        <f t="shared" si="1"/>
        <v>大鉄　堺:豊通</v>
      </c>
      <c r="F1407" s="338" t="s">
        <v>111</v>
      </c>
      <c r="G1407" s="339" t="str">
        <f t="shared" si="2"/>
        <v>大鉄　堺:豊通Ｈ１(特A)</v>
      </c>
      <c r="H1407" s="340">
        <f t="shared" si="3"/>
        <v>29.4</v>
      </c>
      <c r="I1407" s="341">
        <v>-0.5</v>
      </c>
      <c r="J1407" s="332">
        <f>IFERROR(__xludf.DUMMYFUNCTION("IF(IF(COUNTIF(P$2:P1406, P1407)=0, """", INDEX(H$2:H1406,
MAX(FILTER(ROW(H$2:H1406) - ROW(H$2) + 1, P$2:P1406 = P1407))))=""単価"","""",
IF(COUNTIF(P$2:P1406, P1407)=0, """", INDEX(H$2:H1406,
MAX(FILTER(ROW(H$2:H1406) - ROW(H$2) + 1, P$2:P1406 = P1407)))))"),29.9)</f>
        <v>29.9</v>
      </c>
      <c r="N1407" s="335" t="str">
        <f>IF(MAXIFS('単価履歴'!$O:$O,'単価履歴'!$E:$E,E1407,'単価履歴'!$F:$F,F1407)=O1407,"●","")</f>
        <v/>
      </c>
      <c r="O1407" s="346">
        <v>45773.26502314815</v>
      </c>
      <c r="P1407" s="334" t="str">
        <f t="shared" si="4"/>
        <v>大鉄　堺:豊通Ｈ１(特A)</v>
      </c>
    </row>
    <row r="1408" ht="15.75" customHeight="1">
      <c r="A1408" s="335" t="s">
        <v>2594</v>
      </c>
      <c r="B1408" s="336">
        <v>45773.0</v>
      </c>
      <c r="C1408" s="335" t="s">
        <v>9</v>
      </c>
      <c r="D1408" s="335" t="s">
        <v>47</v>
      </c>
      <c r="E1408" s="337" t="str">
        <f t="shared" si="1"/>
        <v>大鉄　堺:豊通</v>
      </c>
      <c r="F1408" s="338" t="s">
        <v>116</v>
      </c>
      <c r="G1408" s="339" t="str">
        <f t="shared" si="2"/>
        <v>大鉄　堺:豊通Ｈ２(特級)</v>
      </c>
      <c r="H1408" s="340">
        <f t="shared" si="3"/>
        <v>25.2</v>
      </c>
      <c r="I1408" s="341">
        <v>-0.5</v>
      </c>
      <c r="J1408" s="332">
        <f>IFERROR(__xludf.DUMMYFUNCTION("IF(IF(COUNTIF(P$2:P1407, P1408)=0, """", INDEX(H$2:H1407,
MAX(FILTER(ROW(H$2:H1407) - ROW(H$2) + 1, P$2:P1407 = P1408))))=""単価"","""",
IF(COUNTIF(P$2:P1407, P1408)=0, """", INDEX(H$2:H1407,
MAX(FILTER(ROW(H$2:H1407) - ROW(H$2) + 1, P$2:P1407 = P1408)))))"),25.7)</f>
        <v>25.7</v>
      </c>
      <c r="N1408" s="335" t="str">
        <f>IF(MAXIFS('単価履歴'!$O:$O,'単価履歴'!$E:$E,E1408,'単価履歴'!$F:$F,F1408)=O1408,"●","")</f>
        <v/>
      </c>
      <c r="O1408" s="346">
        <v>45773.26502314815</v>
      </c>
      <c r="P1408" s="334" t="str">
        <f t="shared" si="4"/>
        <v>大鉄　堺:豊通Ｈ２(特級)</v>
      </c>
    </row>
    <row r="1409" ht="15.75" customHeight="1">
      <c r="A1409" s="335" t="s">
        <v>2595</v>
      </c>
      <c r="B1409" s="336">
        <v>45773.0</v>
      </c>
      <c r="C1409" s="335" t="s">
        <v>9</v>
      </c>
      <c r="D1409" s="335" t="s">
        <v>47</v>
      </c>
      <c r="E1409" s="337" t="str">
        <f t="shared" si="1"/>
        <v>大鉄　堺:豊通</v>
      </c>
      <c r="F1409" s="338" t="s">
        <v>1237</v>
      </c>
      <c r="G1409" s="339" t="str">
        <f t="shared" si="2"/>
        <v>大鉄　堺:豊通ＪＨ１(H2T山口)鍛造ﾊﾞﾘ</v>
      </c>
      <c r="H1409" s="340">
        <f t="shared" si="3"/>
        <v>28.4</v>
      </c>
      <c r="I1409" s="341">
        <v>-0.5</v>
      </c>
      <c r="J1409" s="332">
        <f>IFERROR(__xludf.DUMMYFUNCTION("IF(IF(COUNTIF(P$2:P1408, P1409)=0, """", INDEX(H$2:H1408,
MAX(FILTER(ROW(H$2:H1408) - ROW(H$2) + 1, P$2:P1408 = P1409))))=""単価"","""",
IF(COUNTIF(P$2:P1408, P1409)=0, """", INDEX(H$2:H1408,
MAX(FILTER(ROW(H$2:H1408) - ROW(H$2) + 1, P$2:P1408 = P1409)))))"),28.9)</f>
        <v>28.9</v>
      </c>
      <c r="N1409" s="335" t="str">
        <f>IF(MAXIFS('単価履歴'!$O:$O,'単価履歴'!$E:$E,E1409,'単価履歴'!$F:$F,F1409)=O1409,"●","")</f>
        <v/>
      </c>
      <c r="O1409" s="346">
        <v>45773.26502314815</v>
      </c>
      <c r="P1409" s="334" t="str">
        <f t="shared" si="4"/>
        <v>大鉄　堺:豊通ＪＨ１(H2T山口)鍛造ﾊﾞﾘ</v>
      </c>
    </row>
    <row r="1410" ht="15.75" customHeight="1">
      <c r="A1410" s="335" t="s">
        <v>2596</v>
      </c>
      <c r="B1410" s="336">
        <v>45773.0</v>
      </c>
      <c r="C1410" s="335" t="s">
        <v>9</v>
      </c>
      <c r="D1410" s="335" t="s">
        <v>47</v>
      </c>
      <c r="E1410" s="337" t="str">
        <f t="shared" si="1"/>
        <v>大鉄　堺:豊通</v>
      </c>
      <c r="F1410" s="338" t="s">
        <v>119</v>
      </c>
      <c r="G1410" s="339" t="str">
        <f t="shared" si="2"/>
        <v>大鉄　堺:豊通Ｈ３(1級)</v>
      </c>
      <c r="H1410" s="340">
        <f t="shared" si="3"/>
        <v>24.2</v>
      </c>
      <c r="I1410" s="341">
        <v>-0.5</v>
      </c>
      <c r="J1410" s="332">
        <f>IFERROR(__xludf.DUMMYFUNCTION("IF(IF(COUNTIF(P$2:P1409, P1410)=0, """", INDEX(H$2:H1409,
MAX(FILTER(ROW(H$2:H1409) - ROW(H$2) + 1, P$2:P1409 = P1410))))=""単価"","""",
IF(COUNTIF(P$2:P1409, P1410)=0, """", INDEX(H$2:H1409,
MAX(FILTER(ROW(H$2:H1409) - ROW(H$2) + 1, P$2:P1409 = P1410)))))"),24.7)</f>
        <v>24.7</v>
      </c>
      <c r="N1410" s="335" t="str">
        <f>IF(MAXIFS('単価履歴'!$O:$O,'単価履歴'!$E:$E,E1410,'単価履歴'!$F:$F,F1410)=O1410,"●","")</f>
        <v/>
      </c>
      <c r="O1410" s="346">
        <v>45773.26502314815</v>
      </c>
      <c r="P1410" s="334" t="str">
        <f t="shared" si="4"/>
        <v>大鉄　堺:豊通Ｈ３(1級)</v>
      </c>
    </row>
    <row r="1411" ht="15.75" customHeight="1">
      <c r="A1411" s="335" t="s">
        <v>2597</v>
      </c>
      <c r="B1411" s="336">
        <v>45773.0</v>
      </c>
      <c r="C1411" s="335" t="s">
        <v>9</v>
      </c>
      <c r="D1411" s="335" t="s">
        <v>47</v>
      </c>
      <c r="E1411" s="337" t="str">
        <f t="shared" si="1"/>
        <v>大鉄　堺:豊通</v>
      </c>
      <c r="F1411" s="338" t="s">
        <v>122</v>
      </c>
      <c r="G1411" s="339" t="str">
        <f t="shared" si="2"/>
        <v>大鉄　堺:豊通Ｌ１(2級)</v>
      </c>
      <c r="H1411" s="340">
        <f t="shared" si="3"/>
        <v>22.7</v>
      </c>
      <c r="I1411" s="341">
        <v>-0.5</v>
      </c>
      <c r="J1411" s="332">
        <f>IFERROR(__xludf.DUMMYFUNCTION("IF(IF(COUNTIF(P$2:P1410, P1411)=0, """", INDEX(H$2:H1410,
MAX(FILTER(ROW(H$2:H1410) - ROW(H$2) + 1, P$2:P1410 = P1411))))=""単価"","""",
IF(COUNTIF(P$2:P1410, P1411)=0, """", INDEX(H$2:H1410,
MAX(FILTER(ROW(H$2:H1410) - ROW(H$2) + 1, P$2:P1410 = P1411)))))"),23.2)</f>
        <v>23.2</v>
      </c>
      <c r="N1411" s="335" t="str">
        <f>IF(MAXIFS('単価履歴'!$O:$O,'単価履歴'!$E:$E,E1411,'単価履歴'!$F:$F,F1411)=O1411,"●","")</f>
        <v/>
      </c>
      <c r="O1411" s="346">
        <v>45773.26502314815</v>
      </c>
      <c r="P1411" s="334" t="str">
        <f t="shared" si="4"/>
        <v>大鉄　堺:豊通Ｌ１(2級)</v>
      </c>
    </row>
    <row r="1412" ht="15.75" customHeight="1">
      <c r="A1412" s="335" t="s">
        <v>2598</v>
      </c>
      <c r="B1412" s="336">
        <v>45773.0</v>
      </c>
      <c r="C1412" s="335" t="s">
        <v>9</v>
      </c>
      <c r="D1412" s="335" t="s">
        <v>47</v>
      </c>
      <c r="E1412" s="337" t="str">
        <f t="shared" si="1"/>
        <v>大鉄　堺:豊通</v>
      </c>
      <c r="F1412" s="338" t="s">
        <v>130</v>
      </c>
      <c r="G1412" s="339" t="str">
        <f t="shared" si="2"/>
        <v>大鉄　堺:豊通新断Ａ</v>
      </c>
      <c r="H1412" s="340">
        <f t="shared" si="3"/>
        <v>26.2</v>
      </c>
      <c r="I1412" s="341">
        <v>-0.5</v>
      </c>
      <c r="J1412" s="332">
        <f>IFERROR(__xludf.DUMMYFUNCTION("IF(IF(COUNTIF(P$2:P1411, P1412)=0, """", INDEX(H$2:H1411,
MAX(FILTER(ROW(H$2:H1411) - ROW(H$2) + 1, P$2:P1411 = P1412))))=""単価"","""",
IF(COUNTIF(P$2:P1411, P1412)=0, """", INDEX(H$2:H1411,
MAX(FILTER(ROW(H$2:H1411) - ROW(H$2) + 1, P$2:P1411 = P1412)))))"),26.7)</f>
        <v>26.7</v>
      </c>
      <c r="N1412" s="335" t="str">
        <f>IF(MAXIFS('単価履歴'!$O:$O,'単価履歴'!$E:$E,E1412,'単価履歴'!$F:$F,F1412)=O1412,"●","")</f>
        <v/>
      </c>
      <c r="O1412" s="346">
        <v>45773.26502314815</v>
      </c>
      <c r="P1412" s="334" t="str">
        <f t="shared" si="4"/>
        <v>大鉄　堺:豊通新断Ａ</v>
      </c>
    </row>
    <row r="1413" ht="15.75" customHeight="1">
      <c r="A1413" s="335" t="s">
        <v>2599</v>
      </c>
      <c r="B1413" s="336">
        <v>45773.0</v>
      </c>
      <c r="C1413" s="335" t="s">
        <v>9</v>
      </c>
      <c r="D1413" s="335" t="s">
        <v>47</v>
      </c>
      <c r="E1413" s="337" t="str">
        <f t="shared" si="1"/>
        <v>大鉄　堺:豊通</v>
      </c>
      <c r="F1413" s="338" t="s">
        <v>131</v>
      </c>
      <c r="G1413" s="339" t="str">
        <f t="shared" si="2"/>
        <v>大鉄　堺:豊通新断Ｂ</v>
      </c>
      <c r="H1413" s="340">
        <f t="shared" si="3"/>
        <v>25.7</v>
      </c>
      <c r="I1413" s="341">
        <v>-0.5</v>
      </c>
      <c r="J1413" s="332">
        <f>IFERROR(__xludf.DUMMYFUNCTION("IF(IF(COUNTIF(P$2:P1412, P1413)=0, """", INDEX(H$2:H1412,
MAX(FILTER(ROW(H$2:H1412) - ROW(H$2) + 1, P$2:P1412 = P1413))))=""単価"","""",
IF(COUNTIF(P$2:P1412, P1413)=0, """", INDEX(H$2:H1412,
MAX(FILTER(ROW(H$2:H1412) - ROW(H$2) + 1, P$2:P1412 = P1413)))))"),26.2)</f>
        <v>26.2</v>
      </c>
      <c r="N1413" s="335" t="str">
        <f>IF(MAXIFS('単価履歴'!$O:$O,'単価履歴'!$E:$E,E1413,'単価履歴'!$F:$F,F1413)=O1413,"●","")</f>
        <v/>
      </c>
      <c r="O1413" s="346">
        <v>45773.26502314815</v>
      </c>
      <c r="P1413" s="334" t="str">
        <f t="shared" si="4"/>
        <v>大鉄　堺:豊通新断Ｂ</v>
      </c>
    </row>
    <row r="1414" ht="15.75" customHeight="1">
      <c r="A1414" s="335" t="s">
        <v>2600</v>
      </c>
      <c r="B1414" s="336">
        <v>45773.0</v>
      </c>
      <c r="C1414" s="335" t="s">
        <v>9</v>
      </c>
      <c r="D1414" s="335" t="s">
        <v>47</v>
      </c>
      <c r="E1414" s="337" t="str">
        <f t="shared" si="1"/>
        <v>大鉄　堺:豊通</v>
      </c>
      <c r="F1414" s="338" t="s">
        <v>575</v>
      </c>
      <c r="G1414" s="339" t="str">
        <f t="shared" si="2"/>
        <v>大鉄　堺:豊通鋼ダライＡ</v>
      </c>
      <c r="H1414" s="340">
        <f t="shared" si="3"/>
        <v>28.2</v>
      </c>
      <c r="I1414" s="341">
        <v>-0.5</v>
      </c>
      <c r="J1414" s="332">
        <f>IFERROR(__xludf.DUMMYFUNCTION("IF(IF(COUNTIF(P$2:P1413, P1414)=0, """", INDEX(H$2:H1413,
MAX(FILTER(ROW(H$2:H1413) - ROW(H$2) + 1, P$2:P1413 = P1414))))=""単価"","""",
IF(COUNTIF(P$2:P1413, P1414)=0, """", INDEX(H$2:H1413,
MAX(FILTER(ROW(H$2:H1413) - ROW(H$2) + 1, P$2:P1413 = P1414)))))"),28.7)</f>
        <v>28.7</v>
      </c>
      <c r="N1414" s="335" t="str">
        <f>IF(MAXIFS('単価履歴'!$O:$O,'単価履歴'!$E:$E,E1414,'単価履歴'!$F:$F,F1414)=O1414,"●","")</f>
        <v/>
      </c>
      <c r="O1414" s="346">
        <v>45773.26502314815</v>
      </c>
      <c r="P1414" s="334" t="str">
        <f t="shared" si="4"/>
        <v>大鉄　堺:豊通鋼ダライＡ</v>
      </c>
    </row>
    <row r="1415" ht="15.75" customHeight="1">
      <c r="A1415" s="335" t="s">
        <v>2601</v>
      </c>
      <c r="B1415" s="336">
        <v>45773.0</v>
      </c>
      <c r="C1415" s="335" t="s">
        <v>9</v>
      </c>
      <c r="D1415" s="335" t="s">
        <v>47</v>
      </c>
      <c r="E1415" s="337" t="str">
        <f t="shared" si="1"/>
        <v>大鉄　堺:豊通</v>
      </c>
      <c r="F1415" s="338" t="s">
        <v>576</v>
      </c>
      <c r="G1415" s="339" t="str">
        <f t="shared" si="2"/>
        <v>大鉄　堺:豊通鋼ダライＢ</v>
      </c>
      <c r="H1415" s="340">
        <f t="shared" si="3"/>
        <v>28.2</v>
      </c>
      <c r="I1415" s="341">
        <v>-0.5</v>
      </c>
      <c r="J1415" s="332">
        <f>IFERROR(__xludf.DUMMYFUNCTION("IF(IF(COUNTIF(P$2:P1414, P1415)=0, """", INDEX(H$2:H1414,
MAX(FILTER(ROW(H$2:H1414) - ROW(H$2) + 1, P$2:P1414 = P1415))))=""単価"","""",
IF(COUNTIF(P$2:P1414, P1415)=0, """", INDEX(H$2:H1414,
MAX(FILTER(ROW(H$2:H1414) - ROW(H$2) + 1, P$2:P1414 = P1415)))))"),28.7)</f>
        <v>28.7</v>
      </c>
      <c r="N1415" s="335" t="str">
        <f>IF(MAXIFS('単価履歴'!$O:$O,'単価履歴'!$E:$E,E1415,'単価履歴'!$F:$F,F1415)=O1415,"●","")</f>
        <v/>
      </c>
      <c r="O1415" s="346">
        <v>45773.26502314815</v>
      </c>
      <c r="P1415" s="334" t="str">
        <f t="shared" si="4"/>
        <v>大鉄　堺:豊通鋼ダライＢ</v>
      </c>
    </row>
    <row r="1416" ht="15.75" customHeight="1">
      <c r="A1416" s="335" t="s">
        <v>2602</v>
      </c>
      <c r="B1416" s="336">
        <v>45773.0</v>
      </c>
      <c r="C1416" s="335" t="s">
        <v>9</v>
      </c>
      <c r="D1416" s="335" t="s">
        <v>47</v>
      </c>
      <c r="E1416" s="337" t="str">
        <f t="shared" si="1"/>
        <v>大鉄　堺:豊通</v>
      </c>
      <c r="F1416" s="338" t="s">
        <v>145</v>
      </c>
      <c r="G1416" s="339" t="str">
        <f t="shared" si="2"/>
        <v>大鉄　堺:豊通シュレＡ</v>
      </c>
      <c r="H1416" s="340">
        <f t="shared" si="3"/>
        <v>29.7</v>
      </c>
      <c r="I1416" s="341">
        <v>-0.5</v>
      </c>
      <c r="J1416" s="332">
        <f>IFERROR(__xludf.DUMMYFUNCTION("IF(IF(COUNTIF(P$2:P1415, P1416)=0, """", INDEX(H$2:H1415,
MAX(FILTER(ROW(H$2:H1415) - ROW(H$2) + 1, P$2:P1415 = P1416))))=""単価"","""",
IF(COUNTIF(P$2:P1415, P1416)=0, """", INDEX(H$2:H1415,
MAX(FILTER(ROW(H$2:H1415) - ROW(H$2) + 1, P$2:P1415 = P1416)))))"),30.2)</f>
        <v>30.2</v>
      </c>
      <c r="N1416" s="335" t="str">
        <f>IF(MAXIFS('単価履歴'!$O:$O,'単価履歴'!$E:$E,E1416,'単価履歴'!$F:$F,F1416)=O1416,"●","")</f>
        <v/>
      </c>
      <c r="O1416" s="346">
        <v>45773.26502314815</v>
      </c>
      <c r="P1416" s="334" t="str">
        <f t="shared" si="4"/>
        <v>大鉄　堺:豊通シュレＡ</v>
      </c>
    </row>
    <row r="1417" ht="15.75" customHeight="1">
      <c r="A1417" s="335" t="s">
        <v>2603</v>
      </c>
      <c r="B1417" s="336">
        <v>45773.0</v>
      </c>
      <c r="C1417" s="335" t="s">
        <v>9</v>
      </c>
      <c r="D1417" s="335" t="s">
        <v>47</v>
      </c>
      <c r="E1417" s="337" t="str">
        <f t="shared" si="1"/>
        <v>大鉄　堺:豊通</v>
      </c>
      <c r="F1417" s="338" t="s">
        <v>149</v>
      </c>
      <c r="G1417" s="339" t="str">
        <f t="shared" si="2"/>
        <v>大鉄　堺:豊通シュレＢ</v>
      </c>
      <c r="H1417" s="340">
        <f t="shared" si="3"/>
        <v>29</v>
      </c>
      <c r="I1417" s="341">
        <v>-0.5</v>
      </c>
      <c r="J1417" s="332">
        <f>IFERROR(__xludf.DUMMYFUNCTION("IF(IF(COUNTIF(P$2:P1416, P1417)=0, """", INDEX(H$2:H1416,
MAX(FILTER(ROW(H$2:H1416) - ROW(H$2) + 1, P$2:P1416 = P1417))))=""単価"","""",
IF(COUNTIF(P$2:P1416, P1417)=0, """", INDEX(H$2:H1416,
MAX(FILTER(ROW(H$2:H1416) - ROW(H$2) + 1, P$2:P1416 = P1417)))))"),29.5)</f>
        <v>29.5</v>
      </c>
      <c r="N1417" s="335" t="str">
        <f>IF(MAXIFS('単価履歴'!$O:$O,'単価履歴'!$E:$E,E1417,'単価履歴'!$F:$F,F1417)=O1417,"●","")</f>
        <v/>
      </c>
      <c r="O1417" s="346">
        <v>45773.26502314815</v>
      </c>
      <c r="P1417" s="334" t="str">
        <f t="shared" si="4"/>
        <v>大鉄　堺:豊通シュレＢ</v>
      </c>
    </row>
    <row r="1418" ht="15.75" customHeight="1">
      <c r="A1418" s="335" t="s">
        <v>2604</v>
      </c>
      <c r="B1418" s="336">
        <v>45773.0</v>
      </c>
      <c r="C1418" s="335" t="s">
        <v>9</v>
      </c>
      <c r="D1418" s="335" t="s">
        <v>47</v>
      </c>
      <c r="E1418" s="337" t="str">
        <f t="shared" si="1"/>
        <v>大鉄　堺:豊通</v>
      </c>
      <c r="F1418" s="338" t="s">
        <v>151</v>
      </c>
      <c r="G1418" s="339" t="str">
        <f t="shared" si="2"/>
        <v>大鉄　堺:豊通シュレＣ</v>
      </c>
      <c r="H1418" s="340">
        <f t="shared" si="3"/>
        <v>27.6</v>
      </c>
      <c r="I1418" s="341">
        <v>-0.5</v>
      </c>
      <c r="J1418" s="332">
        <f>IFERROR(__xludf.DUMMYFUNCTION("IF(IF(COUNTIF(P$2:P1417, P1418)=0, """", INDEX(H$2:H1417,
MAX(FILTER(ROW(H$2:H1417) - ROW(H$2) + 1, P$2:P1417 = P1418))))=""単価"","""",
IF(COUNTIF(P$2:P1417, P1418)=0, """", INDEX(H$2:H1417,
MAX(FILTER(ROW(H$2:H1417) - ROW(H$2) + 1, P$2:P1417 = P1418)))))"),28.1)</f>
        <v>28.1</v>
      </c>
      <c r="N1418" s="335" t="str">
        <f>IF(MAXIFS('単価履歴'!$O:$O,'単価履歴'!$E:$E,E1418,'単価履歴'!$F:$F,F1418)=O1418,"●","")</f>
        <v/>
      </c>
      <c r="O1418" s="346">
        <v>45773.26502314815</v>
      </c>
      <c r="P1418" s="334" t="str">
        <f t="shared" si="4"/>
        <v>大鉄　堺:豊通シュレＣ</v>
      </c>
    </row>
    <row r="1419" ht="15.75" customHeight="1">
      <c r="A1419" s="335" t="s">
        <v>2605</v>
      </c>
      <c r="B1419" s="336">
        <v>45773.0</v>
      </c>
      <c r="C1419" s="335" t="s">
        <v>9</v>
      </c>
      <c r="D1419" s="335" t="s">
        <v>47</v>
      </c>
      <c r="E1419" s="337" t="str">
        <f t="shared" si="1"/>
        <v>大鉄　堺:豊通</v>
      </c>
      <c r="F1419" s="338" t="s">
        <v>154</v>
      </c>
      <c r="G1419" s="339" t="str">
        <f t="shared" si="2"/>
        <v>大鉄　堺:豊通ＣＰ Ａ</v>
      </c>
      <c r="H1419" s="340">
        <f t="shared" si="3"/>
        <v>40.2</v>
      </c>
      <c r="I1419" s="341">
        <v>-0.5</v>
      </c>
      <c r="J1419" s="332">
        <f>IFERROR(__xludf.DUMMYFUNCTION("IF(IF(COUNTIF(P$2:P1418, P1419)=0, """", INDEX(H$2:H1418,
MAX(FILTER(ROW(H$2:H1418) - ROW(H$2) + 1, P$2:P1418 = P1419))))=""単価"","""",
IF(COUNTIF(P$2:P1418, P1419)=0, """", INDEX(H$2:H1418,
MAX(FILTER(ROW(H$2:H1418) - ROW(H$2) + 1, P$2:P1418 = P1419)))))"),40.7)</f>
        <v>40.7</v>
      </c>
      <c r="N1419" s="335" t="str">
        <f>IF(MAXIFS('単価履歴'!$O:$O,'単価履歴'!$E:$E,E1419,'単価履歴'!$F:$F,F1419)=O1419,"●","")</f>
        <v/>
      </c>
      <c r="O1419" s="346">
        <v>45773.26502314815</v>
      </c>
      <c r="P1419" s="334" t="str">
        <f t="shared" si="4"/>
        <v>大鉄　堺:豊通ＣＰ Ａ</v>
      </c>
    </row>
    <row r="1420" ht="15.75" customHeight="1">
      <c r="A1420" s="335" t="s">
        <v>2606</v>
      </c>
      <c r="B1420" s="336">
        <v>45773.0</v>
      </c>
      <c r="C1420" s="335" t="s">
        <v>9</v>
      </c>
      <c r="D1420" s="335" t="s">
        <v>47</v>
      </c>
      <c r="E1420" s="337" t="str">
        <f t="shared" si="1"/>
        <v>大鉄　堺:豊通</v>
      </c>
      <c r="F1420" s="338" t="s">
        <v>156</v>
      </c>
      <c r="G1420" s="339" t="str">
        <f t="shared" si="2"/>
        <v>大鉄　堺:豊通ＣＰ Ｂ一斗缶</v>
      </c>
      <c r="H1420" s="340">
        <f t="shared" si="3"/>
        <v>33.7</v>
      </c>
      <c r="I1420" s="341">
        <v>-0.5</v>
      </c>
      <c r="J1420" s="332">
        <f>IFERROR(__xludf.DUMMYFUNCTION("IF(IF(COUNTIF(P$2:P1419, P1420)=0, """", INDEX(H$2:H1419,
MAX(FILTER(ROW(H$2:H1419) - ROW(H$2) + 1, P$2:P1419 = P1420))))=""単価"","""",
IF(COUNTIF(P$2:P1419, P1420)=0, """", INDEX(H$2:H1419,
MAX(FILTER(ROW(H$2:H1419) - ROW(H$2) + 1, P$2:P1419 = P1420)))))"),34.2)</f>
        <v>34.2</v>
      </c>
      <c r="N1420" s="335" t="str">
        <f>IF(MAXIFS('単価履歴'!$O:$O,'単価履歴'!$E:$E,E1420,'単価履歴'!$F:$F,F1420)=O1420,"●","")</f>
        <v/>
      </c>
      <c r="O1420" s="346">
        <v>45773.26502314815</v>
      </c>
      <c r="P1420" s="334" t="str">
        <f t="shared" si="4"/>
        <v>大鉄　堺:豊通ＣＰ Ｂ一斗缶</v>
      </c>
    </row>
    <row r="1421" ht="15.75" customHeight="1">
      <c r="A1421" s="335" t="s">
        <v>2607</v>
      </c>
      <c r="B1421" s="336">
        <v>45773.0</v>
      </c>
      <c r="C1421" s="335" t="s">
        <v>9</v>
      </c>
      <c r="D1421" s="335" t="s">
        <v>50</v>
      </c>
      <c r="E1421" s="337" t="str">
        <f t="shared" si="1"/>
        <v>大鉄　堺:産振</v>
      </c>
      <c r="F1421" s="338" t="s">
        <v>111</v>
      </c>
      <c r="G1421" s="339" t="str">
        <f t="shared" si="2"/>
        <v>大鉄　堺:産振Ｈ１(特A)</v>
      </c>
      <c r="H1421" s="340">
        <f t="shared" si="3"/>
        <v>43.2</v>
      </c>
      <c r="I1421" s="341">
        <v>-0.5</v>
      </c>
      <c r="J1421" s="332">
        <f>IFERROR(__xludf.DUMMYFUNCTION("IF(IF(COUNTIF(P$2:P1420, P1421)=0, """", INDEX(H$2:H1420,
MAX(FILTER(ROW(H$2:H1420) - ROW(H$2) + 1, P$2:P1420 = P1421))))=""単価"","""",
IF(COUNTIF(P$2:P1420, P1421)=0, """", INDEX(H$2:H1420,
MAX(FILTER(ROW(H$2:H1420) - ROW(H$2) + 1, P$2:P1420 = P1421)))))"),43.7)</f>
        <v>43.7</v>
      </c>
      <c r="N1421" s="335" t="str">
        <f>IF(MAXIFS('単価履歴'!$O:$O,'単価履歴'!$E:$E,E1421,'単価履歴'!$F:$F,F1421)=O1421,"●","")</f>
        <v/>
      </c>
      <c r="O1421" s="346">
        <v>45773.26502314815</v>
      </c>
      <c r="P1421" s="334" t="str">
        <f t="shared" si="4"/>
        <v>大鉄　堺:産振Ｈ１(特A)</v>
      </c>
    </row>
    <row r="1422" ht="15.75" customHeight="1">
      <c r="A1422" s="335" t="s">
        <v>2608</v>
      </c>
      <c r="B1422" s="336">
        <v>45773.0</v>
      </c>
      <c r="C1422" s="335" t="s">
        <v>9</v>
      </c>
      <c r="D1422" s="335" t="s">
        <v>50</v>
      </c>
      <c r="E1422" s="337" t="str">
        <f t="shared" si="1"/>
        <v>大鉄　堺:産振</v>
      </c>
      <c r="F1422" s="338" t="s">
        <v>116</v>
      </c>
      <c r="G1422" s="339" t="str">
        <f t="shared" si="2"/>
        <v>大鉄　堺:産振Ｈ２(特級)</v>
      </c>
      <c r="H1422" s="340">
        <f t="shared" si="3"/>
        <v>40.2</v>
      </c>
      <c r="I1422" s="341">
        <v>-0.5</v>
      </c>
      <c r="J1422" s="332">
        <f>IFERROR(__xludf.DUMMYFUNCTION("IF(IF(COUNTIF(P$2:P1421, P1422)=0, """", INDEX(H$2:H1421,
MAX(FILTER(ROW(H$2:H1421) - ROW(H$2) + 1, P$2:P1421 = P1422))))=""単価"","""",
IF(COUNTIF(P$2:P1421, P1422)=0, """", INDEX(H$2:H1421,
MAX(FILTER(ROW(H$2:H1421) - ROW(H$2) + 1, P$2:P1421 = P1422)))))"),40.7)</f>
        <v>40.7</v>
      </c>
      <c r="N1422" s="335" t="str">
        <f>IF(MAXIFS('単価履歴'!$O:$O,'単価履歴'!$E:$E,E1422,'単価履歴'!$F:$F,F1422)=O1422,"●","")</f>
        <v/>
      </c>
      <c r="O1422" s="346">
        <v>45773.26502314815</v>
      </c>
      <c r="P1422" s="334" t="str">
        <f t="shared" si="4"/>
        <v>大鉄　堺:産振Ｈ２(特級)</v>
      </c>
    </row>
    <row r="1423" ht="15.75" customHeight="1">
      <c r="A1423" s="335" t="s">
        <v>2609</v>
      </c>
      <c r="B1423" s="336">
        <v>45773.0</v>
      </c>
      <c r="C1423" s="335" t="s">
        <v>9</v>
      </c>
      <c r="D1423" s="335" t="s">
        <v>50</v>
      </c>
      <c r="E1423" s="337" t="str">
        <f t="shared" si="1"/>
        <v>大鉄　堺:産振</v>
      </c>
      <c r="F1423" s="338" t="s">
        <v>1237</v>
      </c>
      <c r="G1423" s="339" t="str">
        <f t="shared" si="2"/>
        <v>大鉄　堺:産振ＪＨ１(H2T山口)鍛造ﾊﾞﾘ</v>
      </c>
      <c r="H1423" s="340">
        <f t="shared" si="3"/>
        <v>-0.5</v>
      </c>
      <c r="I1423" s="341">
        <v>-0.5</v>
      </c>
      <c r="J1423" s="332" t="str">
        <f>IFERROR(__xludf.DUMMYFUNCTION("IF(IF(COUNTIF(P$2:P1422, P1423)=0, """", INDEX(H$2:H1422,
MAX(FILTER(ROW(H$2:H1422) - ROW(H$2) + 1, P$2:P1422 = P1423))))=""単価"","""",
IF(COUNTIF(P$2:P1422, P1423)=0, """", INDEX(H$2:H1422,
MAX(FILTER(ROW(H$2:H1422) - ROW(H$2) + 1, P$2:P1422 = P1423)))))"),"")</f>
        <v/>
      </c>
      <c r="N1423" s="335" t="str">
        <f>IF(MAXIFS('単価履歴'!$O:$O,'単価履歴'!$E:$E,E1423,'単価履歴'!$F:$F,F1423)=O1423,"●","")</f>
        <v/>
      </c>
      <c r="O1423" s="346">
        <v>45773.26502314815</v>
      </c>
      <c r="P1423" s="334" t="str">
        <f t="shared" si="4"/>
        <v>大鉄　堺:産振ＪＨ１(H2T山口)鍛造ﾊﾞﾘ</v>
      </c>
    </row>
    <row r="1424" ht="15.75" customHeight="1">
      <c r="A1424" s="335" t="s">
        <v>2610</v>
      </c>
      <c r="B1424" s="336">
        <v>45773.0</v>
      </c>
      <c r="C1424" s="335" t="s">
        <v>9</v>
      </c>
      <c r="D1424" s="335" t="s">
        <v>50</v>
      </c>
      <c r="E1424" s="337" t="str">
        <f t="shared" si="1"/>
        <v>大鉄　堺:産振</v>
      </c>
      <c r="F1424" s="338" t="s">
        <v>119</v>
      </c>
      <c r="G1424" s="339" t="str">
        <f t="shared" si="2"/>
        <v>大鉄　堺:産振Ｈ３(1級)</v>
      </c>
      <c r="H1424" s="340">
        <f t="shared" si="3"/>
        <v>39.7</v>
      </c>
      <c r="I1424" s="341">
        <v>-0.5</v>
      </c>
      <c r="J1424" s="332">
        <f>IFERROR(__xludf.DUMMYFUNCTION("IF(IF(COUNTIF(P$2:P1423, P1424)=0, """", INDEX(H$2:H1423,
MAX(FILTER(ROW(H$2:H1423) - ROW(H$2) + 1, P$2:P1423 = P1424))))=""単価"","""",
IF(COUNTIF(P$2:P1423, P1424)=0, """", INDEX(H$2:H1423,
MAX(FILTER(ROW(H$2:H1423) - ROW(H$2) + 1, P$2:P1423 = P1424)))))"),40.2)</f>
        <v>40.2</v>
      </c>
      <c r="N1424" s="335" t="str">
        <f>IF(MAXIFS('単価履歴'!$O:$O,'単価履歴'!$E:$E,E1424,'単価履歴'!$F:$F,F1424)=O1424,"●","")</f>
        <v/>
      </c>
      <c r="O1424" s="346">
        <v>45773.26502314815</v>
      </c>
      <c r="P1424" s="334" t="str">
        <f t="shared" si="4"/>
        <v>大鉄　堺:産振Ｈ３(1級)</v>
      </c>
    </row>
    <row r="1425" ht="15.75" customHeight="1">
      <c r="A1425" s="335" t="s">
        <v>2611</v>
      </c>
      <c r="B1425" s="336">
        <v>45773.0</v>
      </c>
      <c r="C1425" s="335" t="s">
        <v>9</v>
      </c>
      <c r="D1425" s="335" t="s">
        <v>50</v>
      </c>
      <c r="E1425" s="337" t="str">
        <f t="shared" si="1"/>
        <v>大鉄　堺:産振</v>
      </c>
      <c r="F1425" s="338" t="s">
        <v>122</v>
      </c>
      <c r="G1425" s="339" t="str">
        <f t="shared" si="2"/>
        <v>大鉄　堺:産振Ｌ１(2級)</v>
      </c>
      <c r="H1425" s="340">
        <f t="shared" si="3"/>
        <v>38.7</v>
      </c>
      <c r="I1425" s="341">
        <v>-0.5</v>
      </c>
      <c r="J1425" s="332">
        <f>IFERROR(__xludf.DUMMYFUNCTION("IF(IF(COUNTIF(P$2:P1424, P1425)=0, """", INDEX(H$2:H1424,
MAX(FILTER(ROW(H$2:H1424) - ROW(H$2) + 1, P$2:P1424 = P1425))))=""単価"","""",
IF(COUNTIF(P$2:P1424, P1425)=0, """", INDEX(H$2:H1424,
MAX(FILTER(ROW(H$2:H1424) - ROW(H$2) + 1, P$2:P1424 = P1425)))))"),39.2)</f>
        <v>39.2</v>
      </c>
      <c r="N1425" s="335" t="str">
        <f>IF(MAXIFS('単価履歴'!$O:$O,'単価履歴'!$E:$E,E1425,'単価履歴'!$F:$F,F1425)=O1425,"●","")</f>
        <v/>
      </c>
      <c r="O1425" s="346">
        <v>45773.26502314815</v>
      </c>
      <c r="P1425" s="334" t="str">
        <f t="shared" si="4"/>
        <v>大鉄　堺:産振Ｌ１(2級)</v>
      </c>
    </row>
    <row r="1426" ht="15.75" customHeight="1">
      <c r="A1426" s="335" t="s">
        <v>2612</v>
      </c>
      <c r="B1426" s="336">
        <v>45773.0</v>
      </c>
      <c r="C1426" s="335" t="s">
        <v>9</v>
      </c>
      <c r="D1426" s="335" t="s">
        <v>50</v>
      </c>
      <c r="E1426" s="337" t="str">
        <f t="shared" si="1"/>
        <v>大鉄　堺:産振</v>
      </c>
      <c r="F1426" s="338" t="s">
        <v>130</v>
      </c>
      <c r="G1426" s="339" t="str">
        <f t="shared" si="2"/>
        <v>大鉄　堺:産振新断Ａ</v>
      </c>
      <c r="H1426" s="340">
        <f t="shared" si="3"/>
        <v>41.7</v>
      </c>
      <c r="I1426" s="341">
        <v>-0.5</v>
      </c>
      <c r="J1426" s="332">
        <f>IFERROR(__xludf.DUMMYFUNCTION("IF(IF(COUNTIF(P$2:P1425, P1426)=0, """", INDEX(H$2:H1425,
MAX(FILTER(ROW(H$2:H1425) - ROW(H$2) + 1, P$2:P1425 = P1426))))=""単価"","""",
IF(COUNTIF(P$2:P1425, P1426)=0, """", INDEX(H$2:H1425,
MAX(FILTER(ROW(H$2:H1425) - ROW(H$2) + 1, P$2:P1425 = P1426)))))"),42.2)</f>
        <v>42.2</v>
      </c>
      <c r="N1426" s="335" t="str">
        <f>IF(MAXIFS('単価履歴'!$O:$O,'単価履歴'!$E:$E,E1426,'単価履歴'!$F:$F,F1426)=O1426,"●","")</f>
        <v/>
      </c>
      <c r="O1426" s="346">
        <v>45773.26502314815</v>
      </c>
      <c r="P1426" s="334" t="str">
        <f t="shared" si="4"/>
        <v>大鉄　堺:産振新断Ａ</v>
      </c>
    </row>
    <row r="1427" ht="15.75" customHeight="1">
      <c r="A1427" s="335" t="s">
        <v>2613</v>
      </c>
      <c r="B1427" s="336">
        <v>45773.0</v>
      </c>
      <c r="C1427" s="335" t="s">
        <v>9</v>
      </c>
      <c r="D1427" s="335" t="s">
        <v>50</v>
      </c>
      <c r="E1427" s="337" t="str">
        <f t="shared" si="1"/>
        <v>大鉄　堺:産振</v>
      </c>
      <c r="F1427" s="338" t="s">
        <v>131</v>
      </c>
      <c r="G1427" s="339" t="str">
        <f t="shared" si="2"/>
        <v>大鉄　堺:産振新断Ｂ</v>
      </c>
      <c r="H1427" s="340">
        <f t="shared" si="3"/>
        <v>41.2</v>
      </c>
      <c r="I1427" s="341">
        <v>-0.5</v>
      </c>
      <c r="J1427" s="332">
        <f>IFERROR(__xludf.DUMMYFUNCTION("IF(IF(COUNTIF(P$2:P1426, P1427)=0, """", INDEX(H$2:H1426,
MAX(FILTER(ROW(H$2:H1426) - ROW(H$2) + 1, P$2:P1426 = P1427))))=""単価"","""",
IF(COUNTIF(P$2:P1426, P1427)=0, """", INDEX(H$2:H1426,
MAX(FILTER(ROW(H$2:H1426) - ROW(H$2) + 1, P$2:P1426 = P1427)))))"),41.7)</f>
        <v>41.7</v>
      </c>
      <c r="N1427" s="335" t="str">
        <f>IF(MAXIFS('単価履歴'!$O:$O,'単価履歴'!$E:$E,E1427,'単価履歴'!$F:$F,F1427)=O1427,"●","")</f>
        <v/>
      </c>
      <c r="O1427" s="346">
        <v>45773.26502314815</v>
      </c>
      <c r="P1427" s="334" t="str">
        <f t="shared" si="4"/>
        <v>大鉄　堺:産振新断Ｂ</v>
      </c>
    </row>
    <row r="1428" ht="15.75" customHeight="1">
      <c r="A1428" s="335" t="s">
        <v>2614</v>
      </c>
      <c r="B1428" s="336">
        <v>45773.0</v>
      </c>
      <c r="C1428" s="335" t="s">
        <v>9</v>
      </c>
      <c r="D1428" s="335" t="s">
        <v>50</v>
      </c>
      <c r="E1428" s="337" t="str">
        <f t="shared" si="1"/>
        <v>大鉄　堺:産振</v>
      </c>
      <c r="F1428" s="338" t="s">
        <v>575</v>
      </c>
      <c r="G1428" s="339" t="str">
        <f t="shared" si="2"/>
        <v>大鉄　堺:産振鋼ダライＡ</v>
      </c>
      <c r="H1428" s="340">
        <f t="shared" si="3"/>
        <v>36.2</v>
      </c>
      <c r="I1428" s="341">
        <v>-0.5</v>
      </c>
      <c r="J1428" s="332">
        <f>IFERROR(__xludf.DUMMYFUNCTION("IF(IF(COUNTIF(P$2:P1427, P1428)=0, """", INDEX(H$2:H1427,
MAX(FILTER(ROW(H$2:H1427) - ROW(H$2) + 1, P$2:P1427 = P1428))))=""単価"","""",
IF(COUNTIF(P$2:P1427, P1428)=0, """", INDEX(H$2:H1427,
MAX(FILTER(ROW(H$2:H1427) - ROW(H$2) + 1, P$2:P1427 = P1428)))))"),36.7)</f>
        <v>36.7</v>
      </c>
      <c r="N1428" s="335" t="str">
        <f>IF(MAXIFS('単価履歴'!$O:$O,'単価履歴'!$E:$E,E1428,'単価履歴'!$F:$F,F1428)=O1428,"●","")</f>
        <v/>
      </c>
      <c r="O1428" s="346">
        <v>45773.26502314815</v>
      </c>
      <c r="P1428" s="334" t="str">
        <f t="shared" si="4"/>
        <v>大鉄　堺:産振鋼ダライＡ</v>
      </c>
    </row>
    <row r="1429" ht="15.75" customHeight="1">
      <c r="A1429" s="335" t="s">
        <v>2615</v>
      </c>
      <c r="B1429" s="336">
        <v>45773.0</v>
      </c>
      <c r="C1429" s="335" t="s">
        <v>9</v>
      </c>
      <c r="D1429" s="335" t="s">
        <v>50</v>
      </c>
      <c r="E1429" s="337" t="str">
        <f t="shared" si="1"/>
        <v>大鉄　堺:産振</v>
      </c>
      <c r="F1429" s="338" t="s">
        <v>576</v>
      </c>
      <c r="G1429" s="339" t="str">
        <f t="shared" si="2"/>
        <v>大鉄　堺:産振鋼ダライＢ</v>
      </c>
      <c r="H1429" s="340">
        <f t="shared" si="3"/>
        <v>-0.5</v>
      </c>
      <c r="I1429" s="341">
        <v>-0.5</v>
      </c>
      <c r="J1429" s="332" t="str">
        <f>IFERROR(__xludf.DUMMYFUNCTION("IF(IF(COUNTIF(P$2:P1428, P1429)=0, """", INDEX(H$2:H1428,
MAX(FILTER(ROW(H$2:H1428) - ROW(H$2) + 1, P$2:P1428 = P1429))))=""単価"","""",
IF(COUNTIF(P$2:P1428, P1429)=0, """", INDEX(H$2:H1428,
MAX(FILTER(ROW(H$2:H1428) - ROW(H$2) + 1, P$2:P1428 = P1429)))))"),"")</f>
        <v/>
      </c>
      <c r="N1429" s="335" t="str">
        <f>IF(MAXIFS('単価履歴'!$O:$O,'単価履歴'!$E:$E,E1429,'単価履歴'!$F:$F,F1429)=O1429,"●","")</f>
        <v/>
      </c>
      <c r="O1429" s="346">
        <v>45773.26502314815</v>
      </c>
      <c r="P1429" s="334" t="str">
        <f t="shared" si="4"/>
        <v>大鉄　堺:産振鋼ダライＢ</v>
      </c>
    </row>
    <row r="1430" ht="15.75" customHeight="1">
      <c r="A1430" s="335" t="s">
        <v>2616</v>
      </c>
      <c r="B1430" s="336">
        <v>45773.0</v>
      </c>
      <c r="C1430" s="335" t="s">
        <v>9</v>
      </c>
      <c r="D1430" s="335" t="s">
        <v>50</v>
      </c>
      <c r="E1430" s="337" t="str">
        <f t="shared" si="1"/>
        <v>大鉄　堺:産振</v>
      </c>
      <c r="F1430" s="338" t="s">
        <v>145</v>
      </c>
      <c r="G1430" s="339" t="str">
        <f t="shared" si="2"/>
        <v>大鉄　堺:産振シュレＡ</v>
      </c>
      <c r="H1430" s="340">
        <f t="shared" si="3"/>
        <v>-0.5</v>
      </c>
      <c r="I1430" s="341">
        <v>-0.5</v>
      </c>
      <c r="J1430" s="332" t="str">
        <f>IFERROR(__xludf.DUMMYFUNCTION("IF(IF(COUNTIF(P$2:P1429, P1430)=0, """", INDEX(H$2:H1429,
MAX(FILTER(ROW(H$2:H1429) - ROW(H$2) + 1, P$2:P1429 = P1430))))=""単価"","""",
IF(COUNTIF(P$2:P1429, P1430)=0, """", INDEX(H$2:H1429,
MAX(FILTER(ROW(H$2:H1429) - ROW(H$2) + 1, P$2:P1429 = P1430)))))"),"")</f>
        <v/>
      </c>
      <c r="N1430" s="335" t="str">
        <f>IF(MAXIFS('単価履歴'!$O:$O,'単価履歴'!$E:$E,E1430,'単価履歴'!$F:$F,F1430)=O1430,"●","")</f>
        <v/>
      </c>
      <c r="O1430" s="346">
        <v>45773.26502314815</v>
      </c>
      <c r="P1430" s="334" t="str">
        <f t="shared" si="4"/>
        <v>大鉄　堺:産振シュレＡ</v>
      </c>
    </row>
    <row r="1431" ht="15.75" customHeight="1">
      <c r="A1431" s="335" t="s">
        <v>2617</v>
      </c>
      <c r="B1431" s="336">
        <v>45773.0</v>
      </c>
      <c r="C1431" s="335" t="s">
        <v>9</v>
      </c>
      <c r="D1431" s="335" t="s">
        <v>50</v>
      </c>
      <c r="E1431" s="337" t="str">
        <f t="shared" si="1"/>
        <v>大鉄　堺:産振</v>
      </c>
      <c r="F1431" s="338" t="s">
        <v>149</v>
      </c>
      <c r="G1431" s="339" t="str">
        <f t="shared" si="2"/>
        <v>大鉄　堺:産振シュレＢ</v>
      </c>
      <c r="H1431" s="340">
        <f t="shared" si="3"/>
        <v>-0.5</v>
      </c>
      <c r="I1431" s="341">
        <v>-0.5</v>
      </c>
      <c r="J1431" s="332" t="str">
        <f>IFERROR(__xludf.DUMMYFUNCTION("IF(IF(COUNTIF(P$2:P1430, P1431)=0, """", INDEX(H$2:H1430,
MAX(FILTER(ROW(H$2:H1430) - ROW(H$2) + 1, P$2:P1430 = P1431))))=""単価"","""",
IF(COUNTIF(P$2:P1430, P1431)=0, """", INDEX(H$2:H1430,
MAX(FILTER(ROW(H$2:H1430) - ROW(H$2) + 1, P$2:P1430 = P1431)))))"),"")</f>
        <v/>
      </c>
      <c r="N1431" s="335" t="str">
        <f>IF(MAXIFS('単価履歴'!$O:$O,'単価履歴'!$E:$E,E1431,'単価履歴'!$F:$F,F1431)=O1431,"●","")</f>
        <v/>
      </c>
      <c r="O1431" s="346">
        <v>45773.26502314815</v>
      </c>
      <c r="P1431" s="334" t="str">
        <f t="shared" si="4"/>
        <v>大鉄　堺:産振シュレＢ</v>
      </c>
    </row>
    <row r="1432" ht="15.75" customHeight="1">
      <c r="A1432" s="335" t="s">
        <v>2618</v>
      </c>
      <c r="B1432" s="336">
        <v>45773.0</v>
      </c>
      <c r="C1432" s="335" t="s">
        <v>9</v>
      </c>
      <c r="D1432" s="335" t="s">
        <v>50</v>
      </c>
      <c r="E1432" s="337" t="str">
        <f t="shared" si="1"/>
        <v>大鉄　堺:産振</v>
      </c>
      <c r="F1432" s="338" t="s">
        <v>151</v>
      </c>
      <c r="G1432" s="339" t="str">
        <f t="shared" si="2"/>
        <v>大鉄　堺:産振シュレＣ</v>
      </c>
      <c r="H1432" s="340">
        <f t="shared" si="3"/>
        <v>-0.5</v>
      </c>
      <c r="I1432" s="341">
        <v>-0.5</v>
      </c>
      <c r="J1432" s="332" t="str">
        <f>IFERROR(__xludf.DUMMYFUNCTION("IF(IF(COUNTIF(P$2:P1431, P1432)=0, """", INDEX(H$2:H1431,
MAX(FILTER(ROW(H$2:H1431) - ROW(H$2) + 1, P$2:P1431 = P1432))))=""単価"","""",
IF(COUNTIF(P$2:P1431, P1432)=0, """", INDEX(H$2:H1431,
MAX(FILTER(ROW(H$2:H1431) - ROW(H$2) + 1, P$2:P1431 = P1432)))))"),"")</f>
        <v/>
      </c>
      <c r="N1432" s="335" t="str">
        <f>IF(MAXIFS('単価履歴'!$O:$O,'単価履歴'!$E:$E,E1432,'単価履歴'!$F:$F,F1432)=O1432,"●","")</f>
        <v/>
      </c>
      <c r="O1432" s="346">
        <v>45773.26502314815</v>
      </c>
      <c r="P1432" s="334" t="str">
        <f t="shared" si="4"/>
        <v>大鉄　堺:産振シュレＣ</v>
      </c>
    </row>
    <row r="1433" ht="15.75" customHeight="1">
      <c r="A1433" s="335" t="s">
        <v>2619</v>
      </c>
      <c r="B1433" s="336">
        <v>45773.0</v>
      </c>
      <c r="C1433" s="335" t="s">
        <v>9</v>
      </c>
      <c r="D1433" s="335" t="s">
        <v>50</v>
      </c>
      <c r="E1433" s="337" t="str">
        <f t="shared" si="1"/>
        <v>大鉄　堺:産振</v>
      </c>
      <c r="F1433" s="338" t="s">
        <v>154</v>
      </c>
      <c r="G1433" s="339" t="str">
        <f t="shared" si="2"/>
        <v>大鉄　堺:産振ＣＰ Ａ</v>
      </c>
      <c r="H1433" s="340">
        <f t="shared" si="3"/>
        <v>45.7</v>
      </c>
      <c r="I1433" s="341">
        <v>-0.5</v>
      </c>
      <c r="J1433" s="332">
        <f>IFERROR(__xludf.DUMMYFUNCTION("IF(IF(COUNTIF(P$2:P1432, P1433)=0, """", INDEX(H$2:H1432,
MAX(FILTER(ROW(H$2:H1432) - ROW(H$2) + 1, P$2:P1432 = P1433))))=""単価"","""",
IF(COUNTIF(P$2:P1432, P1433)=0, """", INDEX(H$2:H1432,
MAX(FILTER(ROW(H$2:H1432) - ROW(H$2) + 1, P$2:P1432 = P1433)))))"),46.2)</f>
        <v>46.2</v>
      </c>
      <c r="N1433" s="335" t="str">
        <f>IF(MAXIFS('単価履歴'!$O:$O,'単価履歴'!$E:$E,E1433,'単価履歴'!$F:$F,F1433)=O1433,"●","")</f>
        <v/>
      </c>
      <c r="O1433" s="346">
        <v>45773.26502314815</v>
      </c>
      <c r="P1433" s="334" t="str">
        <f t="shared" si="4"/>
        <v>大鉄　堺:産振ＣＰ Ａ</v>
      </c>
    </row>
    <row r="1434" ht="15.75" customHeight="1">
      <c r="A1434" s="335" t="s">
        <v>2620</v>
      </c>
      <c r="B1434" s="336">
        <v>45773.0</v>
      </c>
      <c r="C1434" s="335" t="s">
        <v>9</v>
      </c>
      <c r="D1434" s="335" t="s">
        <v>50</v>
      </c>
      <c r="E1434" s="337" t="str">
        <f t="shared" si="1"/>
        <v>大鉄　堺:産振</v>
      </c>
      <c r="F1434" s="338" t="s">
        <v>156</v>
      </c>
      <c r="G1434" s="339" t="str">
        <f t="shared" si="2"/>
        <v>大鉄　堺:産振ＣＰ Ｂ一斗缶</v>
      </c>
      <c r="H1434" s="340">
        <f t="shared" si="3"/>
        <v>35.5</v>
      </c>
      <c r="I1434" s="341">
        <v>-0.5</v>
      </c>
      <c r="J1434" s="332">
        <f>IFERROR(__xludf.DUMMYFUNCTION("IF(IF(COUNTIF(P$2:P1433, P1434)=0, """", INDEX(H$2:H1433,
MAX(FILTER(ROW(H$2:H1433) - ROW(H$2) + 1, P$2:P1433 = P1434))))=""単価"","""",
IF(COUNTIF(P$2:P1433, P1434)=0, """", INDEX(H$2:H1433,
MAX(FILTER(ROW(H$2:H1433) - ROW(H$2) + 1, P$2:P1433 = P1434)))))"),36.0)</f>
        <v>36</v>
      </c>
      <c r="N1434" s="335" t="str">
        <f>IF(MAXIFS('単価履歴'!$O:$O,'単価履歴'!$E:$E,E1434,'単価履歴'!$F:$F,F1434)=O1434,"●","")</f>
        <v/>
      </c>
      <c r="O1434" s="346">
        <v>45773.26502314815</v>
      </c>
      <c r="P1434" s="334" t="str">
        <f t="shared" si="4"/>
        <v>大鉄　堺:産振ＣＰ Ｂ一斗缶</v>
      </c>
    </row>
    <row r="1435" ht="15.75" customHeight="1">
      <c r="A1435" s="335" t="s">
        <v>2621</v>
      </c>
      <c r="B1435" s="336">
        <v>45773.0</v>
      </c>
      <c r="C1435" s="335" t="s">
        <v>9</v>
      </c>
      <c r="D1435" s="335" t="s">
        <v>49</v>
      </c>
      <c r="E1435" s="337" t="str">
        <f t="shared" si="1"/>
        <v>大鉄　堺:伊藤忠</v>
      </c>
      <c r="F1435" s="338" t="s">
        <v>111</v>
      </c>
      <c r="G1435" s="339" t="str">
        <f t="shared" si="2"/>
        <v>大鉄　堺:伊藤忠Ｈ１(特A)</v>
      </c>
      <c r="H1435" s="340">
        <f t="shared" si="3"/>
        <v>28.3</v>
      </c>
      <c r="I1435" s="341">
        <v>-0.5</v>
      </c>
      <c r="J1435" s="332">
        <f>IFERROR(__xludf.DUMMYFUNCTION("IF(IF(COUNTIF(P$2:P1434, P1435)=0, """", INDEX(H$2:H1434,
MAX(FILTER(ROW(H$2:H1434) - ROW(H$2) + 1, P$2:P1434 = P1435))))=""単価"","""",
IF(COUNTIF(P$2:P1434, P1435)=0, """", INDEX(H$2:H1434,
MAX(FILTER(ROW(H$2:H1434) - ROW(H$2) + 1, P$2:P1434 = P1435)))))"),28.8)</f>
        <v>28.8</v>
      </c>
      <c r="N1435" s="335" t="str">
        <f>IF(MAXIFS('単価履歴'!$O:$O,'単価履歴'!$E:$E,E1435,'単価履歴'!$F:$F,F1435)=O1435,"●","")</f>
        <v/>
      </c>
      <c r="O1435" s="346">
        <v>45773.26502314815</v>
      </c>
      <c r="P1435" s="334" t="str">
        <f t="shared" si="4"/>
        <v>大鉄　堺:伊藤忠Ｈ１(特A)</v>
      </c>
    </row>
    <row r="1436" ht="15.75" customHeight="1">
      <c r="A1436" s="335" t="s">
        <v>2622</v>
      </c>
      <c r="B1436" s="336">
        <v>45773.0</v>
      </c>
      <c r="C1436" s="335" t="s">
        <v>9</v>
      </c>
      <c r="D1436" s="335" t="s">
        <v>49</v>
      </c>
      <c r="E1436" s="337" t="str">
        <f t="shared" si="1"/>
        <v>大鉄　堺:伊藤忠</v>
      </c>
      <c r="F1436" s="338" t="s">
        <v>116</v>
      </c>
      <c r="G1436" s="339" t="str">
        <f t="shared" si="2"/>
        <v>大鉄　堺:伊藤忠Ｈ２(特級)</v>
      </c>
      <c r="H1436" s="340">
        <f t="shared" si="3"/>
        <v>33.5</v>
      </c>
      <c r="I1436" s="341">
        <v>-0.5</v>
      </c>
      <c r="J1436" s="332">
        <f>IFERROR(__xludf.DUMMYFUNCTION("IF(IF(COUNTIF(P$2:P1435, P1436)=0, """", INDEX(H$2:H1435,
MAX(FILTER(ROW(H$2:H1435) - ROW(H$2) + 1, P$2:P1435 = P1436))))=""単価"","""",
IF(COUNTIF(P$2:P1435, P1436)=0, """", INDEX(H$2:H1435,
MAX(FILTER(ROW(H$2:H1435) - ROW(H$2) + 1, P$2:P1435 = P1436)))))"),34.0)</f>
        <v>34</v>
      </c>
      <c r="N1436" s="335" t="str">
        <f>IF(MAXIFS('単価履歴'!$O:$O,'単価履歴'!$E:$E,E1436,'単価履歴'!$F:$F,F1436)=O1436,"●","")</f>
        <v/>
      </c>
      <c r="O1436" s="346">
        <v>45773.26502314815</v>
      </c>
      <c r="P1436" s="334" t="str">
        <f t="shared" si="4"/>
        <v>大鉄　堺:伊藤忠Ｈ２(特級)</v>
      </c>
    </row>
    <row r="1437" ht="15.75" customHeight="1">
      <c r="A1437" s="335" t="s">
        <v>2623</v>
      </c>
      <c r="B1437" s="336">
        <v>45773.0</v>
      </c>
      <c r="C1437" s="335" t="s">
        <v>9</v>
      </c>
      <c r="D1437" s="335" t="s">
        <v>49</v>
      </c>
      <c r="E1437" s="337" t="str">
        <f t="shared" si="1"/>
        <v>大鉄　堺:伊藤忠</v>
      </c>
      <c r="F1437" s="338" t="s">
        <v>1237</v>
      </c>
      <c r="G1437" s="339" t="str">
        <f t="shared" si="2"/>
        <v>大鉄　堺:伊藤忠ＪＨ１(H2T山口)鍛造ﾊﾞﾘ</v>
      </c>
      <c r="H1437" s="340">
        <f t="shared" si="3"/>
        <v>35.7</v>
      </c>
      <c r="I1437" s="341">
        <v>-0.5</v>
      </c>
      <c r="J1437" s="332">
        <f>IFERROR(__xludf.DUMMYFUNCTION("IF(IF(COUNTIF(P$2:P1436, P1437)=0, """", INDEX(H$2:H1436,
MAX(FILTER(ROW(H$2:H1436) - ROW(H$2) + 1, P$2:P1436 = P1437))))=""単価"","""",
IF(COUNTIF(P$2:P1436, P1437)=0, """", INDEX(H$2:H1436,
MAX(FILTER(ROW(H$2:H1436) - ROW(H$2) + 1, P$2:P1436 = P1437)))))"),36.2)</f>
        <v>36.2</v>
      </c>
      <c r="N1437" s="335" t="str">
        <f>IF(MAXIFS('単価履歴'!$O:$O,'単価履歴'!$E:$E,E1437,'単価履歴'!$F:$F,F1437)=O1437,"●","")</f>
        <v/>
      </c>
      <c r="O1437" s="346">
        <v>45773.26502314815</v>
      </c>
      <c r="P1437" s="334" t="str">
        <f t="shared" si="4"/>
        <v>大鉄　堺:伊藤忠ＪＨ１(H2T山口)鍛造ﾊﾞﾘ</v>
      </c>
    </row>
    <row r="1438" ht="15.75" customHeight="1">
      <c r="A1438" s="335" t="s">
        <v>2624</v>
      </c>
      <c r="B1438" s="336">
        <v>45773.0</v>
      </c>
      <c r="C1438" s="335" t="s">
        <v>9</v>
      </c>
      <c r="D1438" s="335" t="s">
        <v>49</v>
      </c>
      <c r="E1438" s="337" t="str">
        <f t="shared" si="1"/>
        <v>大鉄　堺:伊藤忠</v>
      </c>
      <c r="F1438" s="338" t="s">
        <v>119</v>
      </c>
      <c r="G1438" s="339" t="str">
        <f t="shared" si="2"/>
        <v>大鉄　堺:伊藤忠Ｈ３(1級)</v>
      </c>
      <c r="H1438" s="340">
        <f t="shared" si="3"/>
        <v>32.5</v>
      </c>
      <c r="I1438" s="341">
        <v>-0.5</v>
      </c>
      <c r="J1438" s="332">
        <f>IFERROR(__xludf.DUMMYFUNCTION("IF(IF(COUNTIF(P$2:P1437, P1438)=0, """", INDEX(H$2:H1437,
MAX(FILTER(ROW(H$2:H1437) - ROW(H$2) + 1, P$2:P1437 = P1438))))=""単価"","""",
IF(COUNTIF(P$2:P1437, P1438)=0, """", INDEX(H$2:H1437,
MAX(FILTER(ROW(H$2:H1437) - ROW(H$2) + 1, P$2:P1437 = P1438)))))"),33.0)</f>
        <v>33</v>
      </c>
      <c r="N1438" s="335" t="str">
        <f>IF(MAXIFS('単価履歴'!$O:$O,'単価履歴'!$E:$E,E1438,'単価履歴'!$F:$F,F1438)=O1438,"●","")</f>
        <v/>
      </c>
      <c r="O1438" s="346">
        <v>45773.26502314815</v>
      </c>
      <c r="P1438" s="334" t="str">
        <f t="shared" si="4"/>
        <v>大鉄　堺:伊藤忠Ｈ３(1級)</v>
      </c>
    </row>
    <row r="1439" ht="15.75" customHeight="1">
      <c r="A1439" s="335" t="s">
        <v>2625</v>
      </c>
      <c r="B1439" s="336">
        <v>45773.0</v>
      </c>
      <c r="C1439" s="335" t="s">
        <v>9</v>
      </c>
      <c r="D1439" s="335" t="s">
        <v>49</v>
      </c>
      <c r="E1439" s="337" t="str">
        <f t="shared" si="1"/>
        <v>大鉄　堺:伊藤忠</v>
      </c>
      <c r="F1439" s="338" t="s">
        <v>122</v>
      </c>
      <c r="G1439" s="339" t="str">
        <f t="shared" si="2"/>
        <v>大鉄　堺:伊藤忠Ｌ１(2級)</v>
      </c>
      <c r="H1439" s="340">
        <f t="shared" si="3"/>
        <v>31.5</v>
      </c>
      <c r="I1439" s="341">
        <v>-0.5</v>
      </c>
      <c r="J1439" s="332">
        <f>IFERROR(__xludf.DUMMYFUNCTION("IF(IF(COUNTIF(P$2:P1438, P1439)=0, """", INDEX(H$2:H1438,
MAX(FILTER(ROW(H$2:H1438) - ROW(H$2) + 1, P$2:P1438 = P1439))))=""単価"","""",
IF(COUNTIF(P$2:P1438, P1439)=0, """", INDEX(H$2:H1438,
MAX(FILTER(ROW(H$2:H1438) - ROW(H$2) + 1, P$2:P1438 = P1439)))))"),32.0)</f>
        <v>32</v>
      </c>
      <c r="N1439" s="335" t="str">
        <f>IF(MAXIFS('単価履歴'!$O:$O,'単価履歴'!$E:$E,E1439,'単価履歴'!$F:$F,F1439)=O1439,"●","")</f>
        <v/>
      </c>
      <c r="O1439" s="346">
        <v>45773.26502314815</v>
      </c>
      <c r="P1439" s="334" t="str">
        <f t="shared" si="4"/>
        <v>大鉄　堺:伊藤忠Ｌ１(2級)</v>
      </c>
    </row>
    <row r="1440" ht="15.75" customHeight="1">
      <c r="A1440" s="335" t="s">
        <v>2626</v>
      </c>
      <c r="B1440" s="336">
        <v>45773.0</v>
      </c>
      <c r="C1440" s="335" t="s">
        <v>9</v>
      </c>
      <c r="D1440" s="335" t="s">
        <v>49</v>
      </c>
      <c r="E1440" s="337" t="str">
        <f t="shared" si="1"/>
        <v>大鉄　堺:伊藤忠</v>
      </c>
      <c r="F1440" s="338" t="s">
        <v>130</v>
      </c>
      <c r="G1440" s="339" t="str">
        <f t="shared" si="2"/>
        <v>大鉄　堺:伊藤忠新断Ａ</v>
      </c>
      <c r="H1440" s="340">
        <f t="shared" si="3"/>
        <v>27.8</v>
      </c>
      <c r="I1440" s="341">
        <v>-0.5</v>
      </c>
      <c r="J1440" s="332">
        <f>IFERROR(__xludf.DUMMYFUNCTION("IF(IF(COUNTIF(P$2:P1439, P1440)=0, """", INDEX(H$2:H1439,
MAX(FILTER(ROW(H$2:H1439) - ROW(H$2) + 1, P$2:P1439 = P1440))))=""単価"","""",
IF(COUNTIF(P$2:P1439, P1440)=0, """", INDEX(H$2:H1439,
MAX(FILTER(ROW(H$2:H1439) - ROW(H$2) + 1, P$2:P1439 = P1440)))))"),28.3)</f>
        <v>28.3</v>
      </c>
      <c r="N1440" s="335" t="str">
        <f>IF(MAXIFS('単価履歴'!$O:$O,'単価履歴'!$E:$E,E1440,'単価履歴'!$F:$F,F1440)=O1440,"●","")</f>
        <v/>
      </c>
      <c r="O1440" s="346">
        <v>45773.26502314815</v>
      </c>
      <c r="P1440" s="334" t="str">
        <f t="shared" si="4"/>
        <v>大鉄　堺:伊藤忠新断Ａ</v>
      </c>
    </row>
    <row r="1441" ht="15.75" customHeight="1">
      <c r="A1441" s="335" t="s">
        <v>2627</v>
      </c>
      <c r="B1441" s="336">
        <v>45773.0</v>
      </c>
      <c r="C1441" s="335" t="s">
        <v>9</v>
      </c>
      <c r="D1441" s="335" t="s">
        <v>49</v>
      </c>
      <c r="E1441" s="337" t="str">
        <f t="shared" si="1"/>
        <v>大鉄　堺:伊藤忠</v>
      </c>
      <c r="F1441" s="338" t="s">
        <v>131</v>
      </c>
      <c r="G1441" s="339" t="str">
        <f t="shared" si="2"/>
        <v>大鉄　堺:伊藤忠新断Ｂ</v>
      </c>
      <c r="H1441" s="340">
        <f t="shared" si="3"/>
        <v>27.3</v>
      </c>
      <c r="I1441" s="341">
        <v>-0.5</v>
      </c>
      <c r="J1441" s="332">
        <f>IFERROR(__xludf.DUMMYFUNCTION("IF(IF(COUNTIF(P$2:P1440, P1441)=0, """", INDEX(H$2:H1440,
MAX(FILTER(ROW(H$2:H1440) - ROW(H$2) + 1, P$2:P1440 = P1441))))=""単価"","""",
IF(COUNTIF(P$2:P1440, P1441)=0, """", INDEX(H$2:H1440,
MAX(FILTER(ROW(H$2:H1440) - ROW(H$2) + 1, P$2:P1440 = P1441)))))"),27.8)</f>
        <v>27.8</v>
      </c>
      <c r="N1441" s="335" t="str">
        <f>IF(MAXIFS('単価履歴'!$O:$O,'単価履歴'!$E:$E,E1441,'単価履歴'!$F:$F,F1441)=O1441,"●","")</f>
        <v/>
      </c>
      <c r="O1441" s="346">
        <v>45773.26502314815</v>
      </c>
      <c r="P1441" s="334" t="str">
        <f t="shared" si="4"/>
        <v>大鉄　堺:伊藤忠新断Ｂ</v>
      </c>
    </row>
    <row r="1442" ht="15.75" customHeight="1">
      <c r="A1442" s="335" t="s">
        <v>2628</v>
      </c>
      <c r="B1442" s="336">
        <v>45773.0</v>
      </c>
      <c r="C1442" s="335" t="s">
        <v>9</v>
      </c>
      <c r="D1442" s="335" t="s">
        <v>49</v>
      </c>
      <c r="E1442" s="337" t="str">
        <f t="shared" si="1"/>
        <v>大鉄　堺:伊藤忠</v>
      </c>
      <c r="F1442" s="338" t="s">
        <v>575</v>
      </c>
      <c r="G1442" s="339" t="str">
        <f t="shared" si="2"/>
        <v>大鉄　堺:伊藤忠鋼ダライＡ</v>
      </c>
      <c r="H1442" s="340">
        <f t="shared" si="3"/>
        <v>-0.5</v>
      </c>
      <c r="I1442" s="341">
        <v>-0.5</v>
      </c>
      <c r="J1442" s="332" t="str">
        <f>IFERROR(__xludf.DUMMYFUNCTION("IF(IF(COUNTIF(P$2:P1441, P1442)=0, """", INDEX(H$2:H1441,
MAX(FILTER(ROW(H$2:H1441) - ROW(H$2) + 1, P$2:P1441 = P1442))))=""単価"","""",
IF(COUNTIF(P$2:P1441, P1442)=0, """", INDEX(H$2:H1441,
MAX(FILTER(ROW(H$2:H1441) - ROW(H$2) + 1, P$2:P1441 = P1442)))))"),"")</f>
        <v/>
      </c>
      <c r="N1442" s="335" t="str">
        <f>IF(MAXIFS('単価履歴'!$O:$O,'単価履歴'!$E:$E,E1442,'単価履歴'!$F:$F,F1442)=O1442,"●","")</f>
        <v/>
      </c>
      <c r="O1442" s="346">
        <v>45773.26502314815</v>
      </c>
      <c r="P1442" s="334" t="str">
        <f t="shared" si="4"/>
        <v>大鉄　堺:伊藤忠鋼ダライＡ</v>
      </c>
    </row>
    <row r="1443" ht="15.75" customHeight="1">
      <c r="A1443" s="335" t="s">
        <v>2629</v>
      </c>
      <c r="B1443" s="336">
        <v>45773.0</v>
      </c>
      <c r="C1443" s="335" t="s">
        <v>9</v>
      </c>
      <c r="D1443" s="335" t="s">
        <v>49</v>
      </c>
      <c r="E1443" s="337" t="str">
        <f t="shared" si="1"/>
        <v>大鉄　堺:伊藤忠</v>
      </c>
      <c r="F1443" s="338" t="s">
        <v>576</v>
      </c>
      <c r="G1443" s="339" t="str">
        <f t="shared" si="2"/>
        <v>大鉄　堺:伊藤忠鋼ダライＢ</v>
      </c>
      <c r="H1443" s="340">
        <f t="shared" si="3"/>
        <v>-0.5</v>
      </c>
      <c r="I1443" s="341">
        <v>-0.5</v>
      </c>
      <c r="J1443" s="332" t="str">
        <f>IFERROR(__xludf.DUMMYFUNCTION("IF(IF(COUNTIF(P$2:P1442, P1443)=0, """", INDEX(H$2:H1442,
MAX(FILTER(ROW(H$2:H1442) - ROW(H$2) + 1, P$2:P1442 = P1443))))=""単価"","""",
IF(COUNTIF(P$2:P1442, P1443)=0, """", INDEX(H$2:H1442,
MAX(FILTER(ROW(H$2:H1442) - ROW(H$2) + 1, P$2:P1442 = P1443)))))"),"")</f>
        <v/>
      </c>
      <c r="N1443" s="335" t="str">
        <f>IF(MAXIFS('単価履歴'!$O:$O,'単価履歴'!$E:$E,E1443,'単価履歴'!$F:$F,F1443)=O1443,"●","")</f>
        <v/>
      </c>
      <c r="O1443" s="346">
        <v>45773.26502314815</v>
      </c>
      <c r="P1443" s="334" t="str">
        <f t="shared" si="4"/>
        <v>大鉄　堺:伊藤忠鋼ダライＢ</v>
      </c>
    </row>
    <row r="1444" ht="15.75" customHeight="1">
      <c r="A1444" s="335" t="s">
        <v>2630</v>
      </c>
      <c r="B1444" s="336">
        <v>45773.0</v>
      </c>
      <c r="C1444" s="335" t="s">
        <v>9</v>
      </c>
      <c r="D1444" s="335" t="s">
        <v>49</v>
      </c>
      <c r="E1444" s="337" t="str">
        <f t="shared" si="1"/>
        <v>大鉄　堺:伊藤忠</v>
      </c>
      <c r="F1444" s="338" t="s">
        <v>145</v>
      </c>
      <c r="G1444" s="339" t="str">
        <f t="shared" si="2"/>
        <v>大鉄　堺:伊藤忠シュレＡ</v>
      </c>
      <c r="H1444" s="340">
        <f t="shared" si="3"/>
        <v>-0.5</v>
      </c>
      <c r="I1444" s="341">
        <v>-0.5</v>
      </c>
      <c r="J1444" s="332" t="str">
        <f>IFERROR(__xludf.DUMMYFUNCTION("IF(IF(COUNTIF(P$2:P1443, P1444)=0, """", INDEX(H$2:H1443,
MAX(FILTER(ROW(H$2:H1443) - ROW(H$2) + 1, P$2:P1443 = P1444))))=""単価"","""",
IF(COUNTIF(P$2:P1443, P1444)=0, """", INDEX(H$2:H1443,
MAX(FILTER(ROW(H$2:H1443) - ROW(H$2) + 1, P$2:P1443 = P1444)))))"),"")</f>
        <v/>
      </c>
      <c r="N1444" s="335" t="str">
        <f>IF(MAXIFS('単価履歴'!$O:$O,'単価履歴'!$E:$E,E1444,'単価履歴'!$F:$F,F1444)=O1444,"●","")</f>
        <v/>
      </c>
      <c r="O1444" s="346">
        <v>45773.26502314815</v>
      </c>
      <c r="P1444" s="334" t="str">
        <f t="shared" si="4"/>
        <v>大鉄　堺:伊藤忠シュレＡ</v>
      </c>
    </row>
    <row r="1445" ht="15.75" customHeight="1">
      <c r="A1445" s="335" t="s">
        <v>2631</v>
      </c>
      <c r="B1445" s="336">
        <v>45773.0</v>
      </c>
      <c r="C1445" s="335" t="s">
        <v>9</v>
      </c>
      <c r="D1445" s="335" t="s">
        <v>49</v>
      </c>
      <c r="E1445" s="337" t="str">
        <f t="shared" si="1"/>
        <v>大鉄　堺:伊藤忠</v>
      </c>
      <c r="F1445" s="338" t="s">
        <v>149</v>
      </c>
      <c r="G1445" s="339" t="str">
        <f t="shared" si="2"/>
        <v>大鉄　堺:伊藤忠シュレＢ</v>
      </c>
      <c r="H1445" s="340">
        <f t="shared" si="3"/>
        <v>-0.5</v>
      </c>
      <c r="I1445" s="341">
        <v>-0.5</v>
      </c>
      <c r="J1445" s="332" t="str">
        <f>IFERROR(__xludf.DUMMYFUNCTION("IF(IF(COUNTIF(P$2:P1444, P1445)=0, """", INDEX(H$2:H1444,
MAX(FILTER(ROW(H$2:H1444) - ROW(H$2) + 1, P$2:P1444 = P1445))))=""単価"","""",
IF(COUNTIF(P$2:P1444, P1445)=0, """", INDEX(H$2:H1444,
MAX(FILTER(ROW(H$2:H1444) - ROW(H$2) + 1, P$2:P1444 = P1445)))))"),"")</f>
        <v/>
      </c>
      <c r="N1445" s="335" t="str">
        <f>IF(MAXIFS('単価履歴'!$O:$O,'単価履歴'!$E:$E,E1445,'単価履歴'!$F:$F,F1445)=O1445,"●","")</f>
        <v/>
      </c>
      <c r="O1445" s="346">
        <v>45773.26502314815</v>
      </c>
      <c r="P1445" s="334" t="str">
        <f t="shared" si="4"/>
        <v>大鉄　堺:伊藤忠シュレＢ</v>
      </c>
    </row>
    <row r="1446" ht="15.75" customHeight="1">
      <c r="A1446" s="335" t="s">
        <v>2632</v>
      </c>
      <c r="B1446" s="336">
        <v>45773.0</v>
      </c>
      <c r="C1446" s="335" t="s">
        <v>9</v>
      </c>
      <c r="D1446" s="335" t="s">
        <v>49</v>
      </c>
      <c r="E1446" s="337" t="str">
        <f t="shared" si="1"/>
        <v>大鉄　堺:伊藤忠</v>
      </c>
      <c r="F1446" s="338" t="s">
        <v>151</v>
      </c>
      <c r="G1446" s="339" t="str">
        <f t="shared" si="2"/>
        <v>大鉄　堺:伊藤忠シュレＣ</v>
      </c>
      <c r="H1446" s="340">
        <f t="shared" si="3"/>
        <v>-0.5</v>
      </c>
      <c r="I1446" s="341">
        <v>-0.5</v>
      </c>
      <c r="J1446" s="332" t="str">
        <f>IFERROR(__xludf.DUMMYFUNCTION("IF(IF(COUNTIF(P$2:P1445, P1446)=0, """", INDEX(H$2:H1445,
MAX(FILTER(ROW(H$2:H1445) - ROW(H$2) + 1, P$2:P1445 = P1446))))=""単価"","""",
IF(COUNTIF(P$2:P1445, P1446)=0, """", INDEX(H$2:H1445,
MAX(FILTER(ROW(H$2:H1445) - ROW(H$2) + 1, P$2:P1445 = P1446)))))"),"")</f>
        <v/>
      </c>
      <c r="N1446" s="335" t="str">
        <f>IF(MAXIFS('単価履歴'!$O:$O,'単価履歴'!$E:$E,E1446,'単価履歴'!$F:$F,F1446)=O1446,"●","")</f>
        <v/>
      </c>
      <c r="O1446" s="346">
        <v>45773.26502314815</v>
      </c>
      <c r="P1446" s="334" t="str">
        <f t="shared" si="4"/>
        <v>大鉄　堺:伊藤忠シュレＣ</v>
      </c>
    </row>
    <row r="1447" ht="15.75" customHeight="1">
      <c r="A1447" s="335" t="s">
        <v>2633</v>
      </c>
      <c r="B1447" s="336">
        <v>45773.0</v>
      </c>
      <c r="C1447" s="335" t="s">
        <v>9</v>
      </c>
      <c r="D1447" s="335" t="s">
        <v>49</v>
      </c>
      <c r="E1447" s="337" t="str">
        <f t="shared" si="1"/>
        <v>大鉄　堺:伊藤忠</v>
      </c>
      <c r="F1447" s="338" t="s">
        <v>154</v>
      </c>
      <c r="G1447" s="339" t="str">
        <f t="shared" si="2"/>
        <v>大鉄　堺:伊藤忠ＣＰ Ａ</v>
      </c>
      <c r="H1447" s="340">
        <f t="shared" si="3"/>
        <v>-0.5</v>
      </c>
      <c r="I1447" s="341">
        <v>-0.5</v>
      </c>
      <c r="J1447" s="332" t="str">
        <f>IFERROR(__xludf.DUMMYFUNCTION("IF(IF(COUNTIF(P$2:P1446, P1447)=0, """", INDEX(H$2:H1446,
MAX(FILTER(ROW(H$2:H1446) - ROW(H$2) + 1, P$2:P1446 = P1447))))=""単価"","""",
IF(COUNTIF(P$2:P1446, P1447)=0, """", INDEX(H$2:H1446,
MAX(FILTER(ROW(H$2:H1446) - ROW(H$2) + 1, P$2:P1446 = P1447)))))"),"")</f>
        <v/>
      </c>
      <c r="N1447" s="335" t="str">
        <f>IF(MAXIFS('単価履歴'!$O:$O,'単価履歴'!$E:$E,E1447,'単価履歴'!$F:$F,F1447)=O1447,"●","")</f>
        <v/>
      </c>
      <c r="O1447" s="346">
        <v>45773.26502314815</v>
      </c>
      <c r="P1447" s="334" t="str">
        <f t="shared" si="4"/>
        <v>大鉄　堺:伊藤忠ＣＰ Ａ</v>
      </c>
    </row>
    <row r="1448" ht="15.75" customHeight="1">
      <c r="A1448" s="335" t="s">
        <v>2634</v>
      </c>
      <c r="B1448" s="336">
        <v>45773.0</v>
      </c>
      <c r="C1448" s="335" t="s">
        <v>9</v>
      </c>
      <c r="D1448" s="335" t="s">
        <v>49</v>
      </c>
      <c r="E1448" s="337" t="str">
        <f t="shared" si="1"/>
        <v>大鉄　堺:伊藤忠</v>
      </c>
      <c r="F1448" s="338" t="s">
        <v>156</v>
      </c>
      <c r="G1448" s="339" t="str">
        <f t="shared" si="2"/>
        <v>大鉄　堺:伊藤忠ＣＰ Ｂ一斗缶</v>
      </c>
      <c r="H1448" s="340">
        <f t="shared" si="3"/>
        <v>-0.5</v>
      </c>
      <c r="I1448" s="341">
        <v>-0.5</v>
      </c>
      <c r="J1448" s="332" t="str">
        <f>IFERROR(__xludf.DUMMYFUNCTION("IF(IF(COUNTIF(P$2:P1447, P1448)=0, """", INDEX(H$2:H1447,
MAX(FILTER(ROW(H$2:H1447) - ROW(H$2) + 1, P$2:P1447 = P1448))))=""単価"","""",
IF(COUNTIF(P$2:P1447, P1448)=0, """", INDEX(H$2:H1447,
MAX(FILTER(ROW(H$2:H1447) - ROW(H$2) + 1, P$2:P1447 = P1448)))))"),"")</f>
        <v/>
      </c>
      <c r="N1448" s="335" t="str">
        <f>IF(MAXIFS('単価履歴'!$O:$O,'単価履歴'!$E:$E,E1448,'単価履歴'!$F:$F,F1448)=O1448,"●","")</f>
        <v/>
      </c>
      <c r="O1448" s="346">
        <v>45773.26502314815</v>
      </c>
      <c r="P1448" s="334" t="str">
        <f t="shared" si="4"/>
        <v>大鉄　堺:伊藤忠ＣＰ Ｂ一斗缶</v>
      </c>
    </row>
    <row r="1449" ht="15.75" customHeight="1">
      <c r="A1449" s="335" t="s">
        <v>2635</v>
      </c>
      <c r="B1449" s="336">
        <v>45773.0</v>
      </c>
      <c r="C1449" s="335" t="s">
        <v>10</v>
      </c>
      <c r="D1449" s="335" t="s">
        <v>47</v>
      </c>
      <c r="E1449" s="337" t="str">
        <f t="shared" si="1"/>
        <v>岸和田:豊通</v>
      </c>
      <c r="F1449" s="338" t="s">
        <v>111</v>
      </c>
      <c r="G1449" s="339" t="str">
        <f t="shared" si="2"/>
        <v>岸和田:豊通Ｈ１(特A)</v>
      </c>
      <c r="H1449" s="340">
        <f t="shared" si="3"/>
        <v>43</v>
      </c>
      <c r="I1449" s="341">
        <v>-0.5</v>
      </c>
      <c r="J1449" s="332">
        <f>IFERROR(__xludf.DUMMYFUNCTION("IF(IF(COUNTIF(P$2:P1448, P1449)=0, """", INDEX(H$2:H1448,
MAX(FILTER(ROW(H$2:H1448) - ROW(H$2) + 1, P$2:P1448 = P1449))))=""単価"","""",
IF(COUNTIF(P$2:P1448, P1449)=0, """", INDEX(H$2:H1448,
MAX(FILTER(ROW(H$2:H1448) - ROW(H$2) + 1, P$2:P1448 = P1449)))))"),43.5)</f>
        <v>43.5</v>
      </c>
      <c r="N1449" s="335" t="str">
        <f>IF(MAXIFS('単価履歴'!$O:$O,'単価履歴'!$E:$E,E1449,'単価履歴'!$F:$F,F1449)=O1449,"●","")</f>
        <v/>
      </c>
      <c r="O1449" s="346">
        <v>45773.26788194444</v>
      </c>
      <c r="P1449" s="334" t="str">
        <f t="shared" si="4"/>
        <v>岸和田:豊通Ｈ１(特A)</v>
      </c>
    </row>
    <row r="1450" ht="15.75" customHeight="1">
      <c r="A1450" s="335" t="s">
        <v>2636</v>
      </c>
      <c r="B1450" s="336">
        <v>45773.0</v>
      </c>
      <c r="C1450" s="335" t="s">
        <v>10</v>
      </c>
      <c r="D1450" s="335" t="s">
        <v>47</v>
      </c>
      <c r="E1450" s="337" t="str">
        <f t="shared" si="1"/>
        <v>岸和田:豊通</v>
      </c>
      <c r="F1450" s="338" t="s">
        <v>116</v>
      </c>
      <c r="G1450" s="339" t="str">
        <f t="shared" si="2"/>
        <v>岸和田:豊通Ｈ２(特級)</v>
      </c>
      <c r="H1450" s="340">
        <f t="shared" si="3"/>
        <v>41</v>
      </c>
      <c r="I1450" s="341">
        <v>-0.5</v>
      </c>
      <c r="J1450" s="332">
        <f>IFERROR(__xludf.DUMMYFUNCTION("IF(IF(COUNTIF(P$2:P1449, P1450)=0, """", INDEX(H$2:H1449,
MAX(FILTER(ROW(H$2:H1449) - ROW(H$2) + 1, P$2:P1449 = P1450))))=""単価"","""",
IF(COUNTIF(P$2:P1449, P1450)=0, """", INDEX(H$2:H1449,
MAX(FILTER(ROW(H$2:H1449) - ROW(H$2) + 1, P$2:P1449 = P1450)))))"),41.5)</f>
        <v>41.5</v>
      </c>
      <c r="N1450" s="335" t="str">
        <f>IF(MAXIFS('単価履歴'!$O:$O,'単価履歴'!$E:$E,E1450,'単価履歴'!$F:$F,F1450)=O1450,"●","")</f>
        <v/>
      </c>
      <c r="O1450" s="346">
        <v>45773.26788194444</v>
      </c>
      <c r="P1450" s="334" t="str">
        <f t="shared" si="4"/>
        <v>岸和田:豊通Ｈ２(特級)</v>
      </c>
    </row>
    <row r="1451" ht="15.75" customHeight="1">
      <c r="A1451" s="335" t="s">
        <v>2637</v>
      </c>
      <c r="B1451" s="336">
        <v>45773.0</v>
      </c>
      <c r="C1451" s="335" t="s">
        <v>10</v>
      </c>
      <c r="D1451" s="335" t="s">
        <v>47</v>
      </c>
      <c r="E1451" s="337" t="str">
        <f t="shared" si="1"/>
        <v>岸和田:豊通</v>
      </c>
      <c r="F1451" s="338" t="s">
        <v>119</v>
      </c>
      <c r="G1451" s="339" t="str">
        <f t="shared" si="2"/>
        <v>岸和田:豊通Ｈ３(1級)</v>
      </c>
      <c r="H1451" s="340">
        <f t="shared" si="3"/>
        <v>40.5</v>
      </c>
      <c r="I1451" s="341">
        <v>-0.5</v>
      </c>
      <c r="J1451" s="332">
        <f>IFERROR(__xludf.DUMMYFUNCTION("IF(IF(COUNTIF(P$2:P1450, P1451)=0, """", INDEX(H$2:H1450,
MAX(FILTER(ROW(H$2:H1450) - ROW(H$2) + 1, P$2:P1450 = P1451))))=""単価"","""",
IF(COUNTIF(P$2:P1450, P1451)=0, """", INDEX(H$2:H1450,
MAX(FILTER(ROW(H$2:H1450) - ROW(H$2) + 1, P$2:P1450 = P1451)))))"),41.0)</f>
        <v>41</v>
      </c>
      <c r="N1451" s="335" t="str">
        <f>IF(MAXIFS('単価履歴'!$O:$O,'単価履歴'!$E:$E,E1451,'単価履歴'!$F:$F,F1451)=O1451,"●","")</f>
        <v/>
      </c>
      <c r="O1451" s="346">
        <v>45773.26788194444</v>
      </c>
      <c r="P1451" s="334" t="str">
        <f t="shared" si="4"/>
        <v>岸和田:豊通Ｈ３(1級)</v>
      </c>
    </row>
    <row r="1452" ht="15.75" customHeight="1">
      <c r="A1452" s="335" t="s">
        <v>2638</v>
      </c>
      <c r="B1452" s="336">
        <v>45773.0</v>
      </c>
      <c r="C1452" s="335" t="s">
        <v>10</v>
      </c>
      <c r="D1452" s="335" t="s">
        <v>47</v>
      </c>
      <c r="E1452" s="337" t="str">
        <f t="shared" si="1"/>
        <v>岸和田:豊通</v>
      </c>
      <c r="F1452" s="338" t="s">
        <v>122</v>
      </c>
      <c r="G1452" s="339" t="str">
        <f t="shared" si="2"/>
        <v>岸和田:豊通Ｌ１(2級)</v>
      </c>
      <c r="H1452" s="340">
        <f t="shared" si="3"/>
        <v>40</v>
      </c>
      <c r="I1452" s="341">
        <v>-0.5</v>
      </c>
      <c r="J1452" s="332">
        <f>IFERROR(__xludf.DUMMYFUNCTION("IF(IF(COUNTIF(P$2:P1451, P1452)=0, """", INDEX(H$2:H1451,
MAX(FILTER(ROW(H$2:H1451) - ROW(H$2) + 1, P$2:P1451 = P1452))))=""単価"","""",
IF(COUNTIF(P$2:P1451, P1452)=0, """", INDEX(H$2:H1451,
MAX(FILTER(ROW(H$2:H1451) - ROW(H$2) + 1, P$2:P1451 = P1452)))))"),40.5)</f>
        <v>40.5</v>
      </c>
      <c r="N1452" s="335" t="str">
        <f>IF(MAXIFS('単価履歴'!$O:$O,'単価履歴'!$E:$E,E1452,'単価履歴'!$F:$F,F1452)=O1452,"●","")</f>
        <v/>
      </c>
      <c r="O1452" s="346">
        <v>45773.26788194444</v>
      </c>
      <c r="P1452" s="334" t="str">
        <f t="shared" si="4"/>
        <v>岸和田:豊通Ｌ１(2級)</v>
      </c>
    </row>
    <row r="1453" ht="15.75" customHeight="1">
      <c r="A1453" s="335" t="s">
        <v>2639</v>
      </c>
      <c r="B1453" s="336">
        <v>45773.0</v>
      </c>
      <c r="C1453" s="335" t="s">
        <v>10</v>
      </c>
      <c r="D1453" s="335" t="s">
        <v>47</v>
      </c>
      <c r="E1453" s="337" t="str">
        <f t="shared" si="1"/>
        <v>岸和田:豊通</v>
      </c>
      <c r="F1453" s="338" t="s">
        <v>154</v>
      </c>
      <c r="G1453" s="339" t="str">
        <f t="shared" si="2"/>
        <v>岸和田:豊通ＣＰ Ａ</v>
      </c>
      <c r="H1453" s="340">
        <f t="shared" si="3"/>
        <v>43.2</v>
      </c>
      <c r="I1453" s="341">
        <v>-0.5</v>
      </c>
      <c r="J1453" s="332">
        <f>IFERROR(__xludf.DUMMYFUNCTION("IF(IF(COUNTIF(P$2:P1452, P1453)=0, """", INDEX(H$2:H1452,
MAX(FILTER(ROW(H$2:H1452) - ROW(H$2) + 1, P$2:P1452 = P1453))))=""単価"","""",
IF(COUNTIF(P$2:P1452, P1453)=0, """", INDEX(H$2:H1452,
MAX(FILTER(ROW(H$2:H1452) - ROW(H$2) + 1, P$2:P1452 = P1453)))))"),43.7)</f>
        <v>43.7</v>
      </c>
      <c r="N1453" s="335" t="str">
        <f>IF(MAXIFS('単価履歴'!$O:$O,'単価履歴'!$E:$E,E1453,'単価履歴'!$F:$F,F1453)=O1453,"●","")</f>
        <v/>
      </c>
      <c r="O1453" s="346">
        <v>45773.26788194444</v>
      </c>
      <c r="P1453" s="334" t="str">
        <f t="shared" si="4"/>
        <v>岸和田:豊通ＣＰ Ａ</v>
      </c>
    </row>
    <row r="1454" ht="15.75" customHeight="1">
      <c r="A1454" s="335" t="s">
        <v>2640</v>
      </c>
      <c r="B1454" s="336">
        <v>45773.0</v>
      </c>
      <c r="C1454" s="335" t="s">
        <v>13</v>
      </c>
      <c r="D1454" s="335" t="s">
        <v>49</v>
      </c>
      <c r="E1454" s="337" t="str">
        <f t="shared" si="1"/>
        <v>ｸﾎﾞﾀ:伊藤忠</v>
      </c>
      <c r="F1454" s="338" t="s">
        <v>130</v>
      </c>
      <c r="G1454" s="339" t="str">
        <f t="shared" si="2"/>
        <v>ｸﾎﾞﾀ:伊藤忠新断Ａ</v>
      </c>
      <c r="H1454" s="340">
        <f t="shared" si="3"/>
        <v>48.2</v>
      </c>
      <c r="I1454" s="341">
        <v>-1.0</v>
      </c>
      <c r="J1454" s="332">
        <f>IFERROR(__xludf.DUMMYFUNCTION("IF(IF(COUNTIF(P$2:P1453, P1454)=0, """", INDEX(H$2:H1453,
MAX(FILTER(ROW(H$2:H1453) - ROW(H$2) + 1, P$2:P1453 = P1454))))=""単価"","""",
IF(COUNTIF(P$2:P1453, P1454)=0, """", INDEX(H$2:H1453,
MAX(FILTER(ROW(H$2:H1453) - ROW(H$2) + 1, P$2:P1453 = P1454)))))"),49.2)</f>
        <v>49.2</v>
      </c>
      <c r="N1454" s="335" t="str">
        <f>IF(MAXIFS('単価履歴'!$O:$O,'単価履歴'!$E:$E,E1454,'単価履歴'!$F:$F,F1454)=O1454,"●","")</f>
        <v/>
      </c>
      <c r="O1454" s="346">
        <v>45773.26972222222</v>
      </c>
      <c r="P1454" s="334" t="str">
        <f t="shared" si="4"/>
        <v>ｸﾎﾞﾀ:伊藤忠新断Ａ</v>
      </c>
    </row>
    <row r="1455" ht="15.75" customHeight="1">
      <c r="A1455" s="335" t="s">
        <v>2641</v>
      </c>
      <c r="B1455" s="336">
        <v>45773.0</v>
      </c>
      <c r="C1455" s="335" t="s">
        <v>22</v>
      </c>
      <c r="D1455" s="335" t="s">
        <v>47</v>
      </c>
      <c r="E1455" s="337" t="str">
        <f t="shared" si="1"/>
        <v>栗本鐵工:豊通</v>
      </c>
      <c r="F1455" s="338" t="s">
        <v>1199</v>
      </c>
      <c r="G1455" s="339" t="str">
        <f t="shared" si="2"/>
        <v>栗本鐵工:豊通ＨＳ１(単体H1/電特A/HS))</v>
      </c>
      <c r="H1455" s="340">
        <f t="shared" si="3"/>
        <v>47.8</v>
      </c>
      <c r="I1455" s="341">
        <v>-0.5</v>
      </c>
      <c r="J1455" s="332">
        <f>IFERROR(__xludf.DUMMYFUNCTION("IF(IF(COUNTIF(P$2:P1454, P1455)=0, """", INDEX(H$2:H1454,
MAX(FILTER(ROW(H$2:H1454) - ROW(H$2) + 1, P$2:P1454 = P1455))))=""単価"","""",
IF(COUNTIF(P$2:P1454, P1455)=0, """", INDEX(H$2:H1454,
MAX(FILTER(ROW(H$2:H1454) - ROW(H$2) + 1, P$2:P1454 = P1455)))))"),48.3)</f>
        <v>48.3</v>
      </c>
      <c r="N1455" s="335" t="str">
        <f>IF(MAXIFS('単価履歴'!$O:$O,'単価履歴'!$E:$E,E1455,'単価履歴'!$F:$F,F1455)=O1455,"●","")</f>
        <v/>
      </c>
      <c r="O1455" s="346">
        <v>45773.27101851851</v>
      </c>
      <c r="P1455" s="334" t="str">
        <f t="shared" si="4"/>
        <v>栗本鐵工:豊通ＨＳ１(単体H1/電特A/HS))</v>
      </c>
    </row>
    <row r="1456" ht="15.75" customHeight="1">
      <c r="A1456" s="335" t="s">
        <v>2642</v>
      </c>
      <c r="B1456" s="336">
        <v>45773.0</v>
      </c>
      <c r="C1456" s="335" t="s">
        <v>22</v>
      </c>
      <c r="D1456" s="335" t="s">
        <v>47</v>
      </c>
      <c r="E1456" s="337" t="str">
        <f t="shared" si="1"/>
        <v>栗本鐵工:豊通</v>
      </c>
      <c r="F1456" s="338" t="s">
        <v>101</v>
      </c>
      <c r="G1456" s="339" t="str">
        <f t="shared" si="2"/>
        <v>栗本鐵工:豊通ＨＳ２</v>
      </c>
      <c r="H1456" s="340">
        <f t="shared" si="3"/>
        <v>47.5</v>
      </c>
      <c r="I1456" s="341">
        <v>-0.5</v>
      </c>
      <c r="J1456" s="332">
        <f>IFERROR(__xludf.DUMMYFUNCTION("IF(IF(COUNTIF(P$2:P1455, P1456)=0, """", INDEX(H$2:H1455,
MAX(FILTER(ROW(H$2:H1455) - ROW(H$2) + 1, P$2:P1455 = P1456))))=""単価"","""",
IF(COUNTIF(P$2:P1455, P1456)=0, """", INDEX(H$2:H1455,
MAX(FILTER(ROW(H$2:H1455) - ROW(H$2) + 1, P$2:P1455 = P1456)))))"),48.0)</f>
        <v>48</v>
      </c>
      <c r="N1456" s="335" t="str">
        <f>IF(MAXIFS('単価履歴'!$O:$O,'単価履歴'!$E:$E,E1456,'単価履歴'!$F:$F,F1456)=O1456,"●","")</f>
        <v/>
      </c>
      <c r="O1456" s="346">
        <v>45773.27101851851</v>
      </c>
      <c r="P1456" s="334" t="str">
        <f t="shared" si="4"/>
        <v>栗本鐵工:豊通ＨＳ２</v>
      </c>
    </row>
    <row r="1457" ht="15.75" customHeight="1">
      <c r="A1457" s="335" t="s">
        <v>2643</v>
      </c>
      <c r="B1457" s="336">
        <v>45773.0</v>
      </c>
      <c r="C1457" s="335" t="s">
        <v>22</v>
      </c>
      <c r="D1457" s="335" t="s">
        <v>47</v>
      </c>
      <c r="E1457" s="337" t="str">
        <f t="shared" si="1"/>
        <v>栗本鐵工:豊通</v>
      </c>
      <c r="F1457" s="338" t="s">
        <v>105</v>
      </c>
      <c r="G1457" s="339" t="str">
        <f t="shared" si="2"/>
        <v>栗本鐵工:豊通ＨＳ３</v>
      </c>
      <c r="H1457" s="340">
        <f t="shared" si="3"/>
        <v>46.6</v>
      </c>
      <c r="I1457" s="341">
        <v>-0.5</v>
      </c>
      <c r="J1457" s="332">
        <f>IFERROR(__xludf.DUMMYFUNCTION("IF(IF(COUNTIF(P$2:P1456, P1457)=0, """", INDEX(H$2:H1456,
MAX(FILTER(ROW(H$2:H1456) - ROW(H$2) + 1, P$2:P1456 = P1457))))=""単価"","""",
IF(COUNTIF(P$2:P1456, P1457)=0, """", INDEX(H$2:H1456,
MAX(FILTER(ROW(H$2:H1456) - ROW(H$2) + 1, P$2:P1456 = P1457)))))"),47.1)</f>
        <v>47.1</v>
      </c>
      <c r="N1457" s="335" t="str">
        <f>IF(MAXIFS('単価履歴'!$O:$O,'単価履歴'!$E:$E,E1457,'単価履歴'!$F:$F,F1457)=O1457,"●","")</f>
        <v/>
      </c>
      <c r="O1457" s="346">
        <v>45773.27101851851</v>
      </c>
      <c r="P1457" s="334" t="str">
        <f t="shared" si="4"/>
        <v>栗本鐵工:豊通ＨＳ３</v>
      </c>
    </row>
    <row r="1458" ht="15.75" customHeight="1">
      <c r="A1458" s="335" t="s">
        <v>2644</v>
      </c>
      <c r="B1458" s="336">
        <v>45773.0</v>
      </c>
      <c r="C1458" s="335" t="s">
        <v>532</v>
      </c>
      <c r="D1458" s="335" t="s">
        <v>77</v>
      </c>
      <c r="E1458" s="337" t="str">
        <f t="shared" si="1"/>
        <v>東鐵岡山:直納</v>
      </c>
      <c r="F1458" s="338" t="s">
        <v>1199</v>
      </c>
      <c r="G1458" s="339" t="str">
        <f t="shared" si="2"/>
        <v>東鐵岡山:直納ＨＳ１(単体H1/電特A/HS))</v>
      </c>
      <c r="H1458" s="340">
        <f t="shared" si="3"/>
        <v>43</v>
      </c>
      <c r="I1458" s="341">
        <v>-0.5</v>
      </c>
      <c r="J1458" s="332">
        <f>IFERROR(__xludf.DUMMYFUNCTION("IF(IF(COUNTIF(P$2:P1457, P1458)=0, """", INDEX(H$2:H1457,
MAX(FILTER(ROW(H$2:H1457) - ROW(H$2) + 1, P$2:P1457 = P1458))))=""単価"","""",
IF(COUNTIF(P$2:P1457, P1458)=0, """", INDEX(H$2:H1457,
MAX(FILTER(ROW(H$2:H1457) - ROW(H$2) + 1, P$2:P1457 = P1458)))))"),43.5)</f>
        <v>43.5</v>
      </c>
      <c r="N1458" s="335" t="str">
        <f>IF(MAXIFS('単価履歴'!$O:$O,'単価履歴'!$E:$E,E1458,'単価履歴'!$F:$F,F1458)=O1458,"●","")</f>
        <v/>
      </c>
      <c r="O1458" s="346">
        <v>45773.27275462963</v>
      </c>
      <c r="P1458" s="334" t="str">
        <f t="shared" si="4"/>
        <v>東鐵岡山:直納ＨＳ１(単体H1/電特A/HS))</v>
      </c>
    </row>
    <row r="1459" ht="15.75" customHeight="1">
      <c r="A1459" s="335" t="s">
        <v>2645</v>
      </c>
      <c r="B1459" s="336">
        <v>45773.0</v>
      </c>
      <c r="C1459" s="335" t="s">
        <v>532</v>
      </c>
      <c r="D1459" s="335" t="s">
        <v>77</v>
      </c>
      <c r="E1459" s="337" t="str">
        <f t="shared" si="1"/>
        <v>東鐵岡山:直納</v>
      </c>
      <c r="F1459" s="338" t="s">
        <v>111</v>
      </c>
      <c r="G1459" s="339" t="str">
        <f t="shared" si="2"/>
        <v>東鐵岡山:直納Ｈ１(特A)</v>
      </c>
      <c r="H1459" s="340">
        <f t="shared" si="3"/>
        <v>41.7</v>
      </c>
      <c r="I1459" s="341">
        <v>-0.5</v>
      </c>
      <c r="J1459" s="332">
        <f>IFERROR(__xludf.DUMMYFUNCTION("IF(IF(COUNTIF(P$2:P1458, P1459)=0, """", INDEX(H$2:H1458,
MAX(FILTER(ROW(H$2:H1458) - ROW(H$2) + 1, P$2:P1458 = P1459))))=""単価"","""",
IF(COUNTIF(P$2:P1458, P1459)=0, """", INDEX(H$2:H1458,
MAX(FILTER(ROW(H$2:H1458) - ROW(H$2) + 1, P$2:P1458 = P1459)))))"),42.2)</f>
        <v>42.2</v>
      </c>
      <c r="N1459" s="335" t="str">
        <f>IF(MAXIFS('単価履歴'!$O:$O,'単価履歴'!$E:$E,E1459,'単価履歴'!$F:$F,F1459)=O1459,"●","")</f>
        <v/>
      </c>
      <c r="O1459" s="346">
        <v>45773.27275462963</v>
      </c>
      <c r="P1459" s="334" t="str">
        <f t="shared" si="4"/>
        <v>東鐵岡山:直納Ｈ１(特A)</v>
      </c>
    </row>
    <row r="1460" ht="15.75" customHeight="1">
      <c r="A1460" s="335" t="s">
        <v>2646</v>
      </c>
      <c r="B1460" s="336">
        <v>45773.0</v>
      </c>
      <c r="C1460" s="335" t="s">
        <v>532</v>
      </c>
      <c r="D1460" s="335" t="s">
        <v>77</v>
      </c>
      <c r="E1460" s="337" t="str">
        <f t="shared" si="1"/>
        <v>東鐵岡山:直納</v>
      </c>
      <c r="F1460" s="338" t="s">
        <v>116</v>
      </c>
      <c r="G1460" s="339" t="str">
        <f t="shared" si="2"/>
        <v>東鐵岡山:直納Ｈ２(特級)</v>
      </c>
      <c r="H1460" s="340">
        <f t="shared" si="3"/>
        <v>41</v>
      </c>
      <c r="I1460" s="341">
        <v>-0.5</v>
      </c>
      <c r="J1460" s="332">
        <f>IFERROR(__xludf.DUMMYFUNCTION("IF(IF(COUNTIF(P$2:P1459, P1460)=0, """", INDEX(H$2:H1459,
MAX(FILTER(ROW(H$2:H1459) - ROW(H$2) + 1, P$2:P1459 = P1460))))=""単価"","""",
IF(COUNTIF(P$2:P1459, P1460)=0, """", INDEX(H$2:H1459,
MAX(FILTER(ROW(H$2:H1459) - ROW(H$2) + 1, P$2:P1459 = P1460)))))"),41.5)</f>
        <v>41.5</v>
      </c>
      <c r="N1460" s="335" t="str">
        <f>IF(MAXIFS('単価履歴'!$O:$O,'単価履歴'!$E:$E,E1460,'単価履歴'!$F:$F,F1460)=O1460,"●","")</f>
        <v/>
      </c>
      <c r="O1460" s="346">
        <v>45773.27275462963</v>
      </c>
      <c r="P1460" s="334" t="str">
        <f t="shared" si="4"/>
        <v>東鐵岡山:直納Ｈ２(特級)</v>
      </c>
    </row>
    <row r="1461" ht="15.75" customHeight="1">
      <c r="A1461" s="335" t="s">
        <v>2647</v>
      </c>
      <c r="B1461" s="336">
        <v>45773.0</v>
      </c>
      <c r="C1461" s="335" t="s">
        <v>532</v>
      </c>
      <c r="D1461" s="335" t="s">
        <v>77</v>
      </c>
      <c r="E1461" s="337" t="str">
        <f t="shared" si="1"/>
        <v>東鐵岡山:直納</v>
      </c>
      <c r="F1461" s="338" t="s">
        <v>119</v>
      </c>
      <c r="G1461" s="339" t="str">
        <f t="shared" si="2"/>
        <v>東鐵岡山:直納Ｈ３(1級)</v>
      </c>
      <c r="H1461" s="340">
        <f t="shared" si="3"/>
        <v>40.5</v>
      </c>
      <c r="I1461" s="341">
        <v>-0.5</v>
      </c>
      <c r="J1461" s="332">
        <f>IFERROR(__xludf.DUMMYFUNCTION("IF(IF(COUNTIF(P$2:P1460, P1461)=0, """", INDEX(H$2:H1460,
MAX(FILTER(ROW(H$2:H1460) - ROW(H$2) + 1, P$2:P1460 = P1461))))=""単価"","""",
IF(COUNTIF(P$2:P1460, P1461)=0, """", INDEX(H$2:H1460,
MAX(FILTER(ROW(H$2:H1460) - ROW(H$2) + 1, P$2:P1460 = P1461)))))"),41.0)</f>
        <v>41</v>
      </c>
      <c r="N1461" s="335" t="str">
        <f>IF(MAXIFS('単価履歴'!$O:$O,'単価履歴'!$E:$E,E1461,'単価履歴'!$F:$F,F1461)=O1461,"●","")</f>
        <v/>
      </c>
      <c r="O1461" s="346">
        <v>45773.27275462963</v>
      </c>
      <c r="P1461" s="334" t="str">
        <f t="shared" si="4"/>
        <v>東鐵岡山:直納Ｈ３(1級)</v>
      </c>
    </row>
    <row r="1462" ht="15.75" customHeight="1">
      <c r="A1462" s="335" t="s">
        <v>2648</v>
      </c>
      <c r="B1462" s="336">
        <v>45773.0</v>
      </c>
      <c r="C1462" s="335" t="s">
        <v>532</v>
      </c>
      <c r="D1462" s="335" t="s">
        <v>77</v>
      </c>
      <c r="E1462" s="337" t="str">
        <f t="shared" si="1"/>
        <v>東鐵岡山:直納</v>
      </c>
      <c r="F1462" s="338" t="s">
        <v>122</v>
      </c>
      <c r="G1462" s="339" t="str">
        <f t="shared" si="2"/>
        <v>東鐵岡山:直納Ｌ１(2級)</v>
      </c>
      <c r="H1462" s="340">
        <f t="shared" si="3"/>
        <v>39</v>
      </c>
      <c r="I1462" s="341">
        <v>-0.5</v>
      </c>
      <c r="J1462" s="332">
        <f>IFERROR(__xludf.DUMMYFUNCTION("IF(IF(COUNTIF(P$2:P1461, P1462)=0, """", INDEX(H$2:H1461,
MAX(FILTER(ROW(H$2:H1461) - ROW(H$2) + 1, P$2:P1461 = P1462))))=""単価"","""",
IF(COUNTIF(P$2:P1461, P1462)=0, """", INDEX(H$2:H1461,
MAX(FILTER(ROW(H$2:H1461) - ROW(H$2) + 1, P$2:P1461 = P1462)))))"),39.5)</f>
        <v>39.5</v>
      </c>
      <c r="N1462" s="335" t="str">
        <f>IF(MAXIFS('単価履歴'!$O:$O,'単価履歴'!$E:$E,E1462,'単価履歴'!$F:$F,F1462)=O1462,"●","")</f>
        <v/>
      </c>
      <c r="O1462" s="346">
        <v>45773.27275462963</v>
      </c>
      <c r="P1462" s="334" t="str">
        <f t="shared" si="4"/>
        <v>東鐵岡山:直納Ｌ１(2級)</v>
      </c>
    </row>
    <row r="1463" ht="15.75" customHeight="1">
      <c r="A1463" s="335" t="s">
        <v>2649</v>
      </c>
      <c r="B1463" s="336">
        <v>45773.0</v>
      </c>
      <c r="C1463" s="335" t="s">
        <v>532</v>
      </c>
      <c r="D1463" s="335" t="s">
        <v>77</v>
      </c>
      <c r="E1463" s="337" t="str">
        <f t="shared" si="1"/>
        <v>東鐵岡山:直納</v>
      </c>
      <c r="F1463" s="338" t="s">
        <v>573</v>
      </c>
      <c r="G1463" s="339" t="str">
        <f t="shared" si="2"/>
        <v>東鐵岡山:直納Ｌ２(H4･級外･L1ﾊﾞﾗ)</v>
      </c>
      <c r="H1463" s="340">
        <f t="shared" si="3"/>
        <v>36</v>
      </c>
      <c r="I1463" s="341">
        <v>-0.5</v>
      </c>
      <c r="J1463" s="332">
        <f>IFERROR(__xludf.DUMMYFUNCTION("IF(IF(COUNTIF(P$2:P1462, P1463)=0, """", INDEX(H$2:H1462,
MAX(FILTER(ROW(H$2:H1462) - ROW(H$2) + 1, P$2:P1462 = P1463))))=""単価"","""",
IF(COUNTIF(P$2:P1462, P1463)=0, """", INDEX(H$2:H1462,
MAX(FILTER(ROW(H$2:H1462) - ROW(H$2) + 1, P$2:P1462 = P1463)))))"),36.5)</f>
        <v>36.5</v>
      </c>
      <c r="N1463" s="335" t="str">
        <f>IF(MAXIFS('単価履歴'!$O:$O,'単価履歴'!$E:$E,E1463,'単価履歴'!$F:$F,F1463)=O1463,"●","")</f>
        <v/>
      </c>
      <c r="O1463" s="346">
        <v>45773.27275462963</v>
      </c>
      <c r="P1463" s="334" t="str">
        <f t="shared" si="4"/>
        <v>東鐵岡山:直納Ｌ２(H4･級外･L1ﾊﾞﾗ)</v>
      </c>
    </row>
    <row r="1464" ht="15.75" customHeight="1">
      <c r="A1464" s="335" t="s">
        <v>2650</v>
      </c>
      <c r="B1464" s="336">
        <v>45773.0</v>
      </c>
      <c r="C1464" s="335" t="s">
        <v>532</v>
      </c>
      <c r="D1464" s="335" t="s">
        <v>77</v>
      </c>
      <c r="E1464" s="337" t="str">
        <f t="shared" si="1"/>
        <v>東鐵岡山:直納</v>
      </c>
      <c r="F1464" s="338" t="s">
        <v>145</v>
      </c>
      <c r="G1464" s="339" t="str">
        <f t="shared" si="2"/>
        <v>東鐵岡山:直納シュレＡ</v>
      </c>
      <c r="H1464" s="340">
        <f t="shared" si="3"/>
        <v>41.5</v>
      </c>
      <c r="I1464" s="341">
        <v>-0.5</v>
      </c>
      <c r="J1464" s="332">
        <f>IFERROR(__xludf.DUMMYFUNCTION("IF(IF(COUNTIF(P$2:P1463, P1464)=0, """", INDEX(H$2:H1463,
MAX(FILTER(ROW(H$2:H1463) - ROW(H$2) + 1, P$2:P1463 = P1464))))=""単価"","""",
IF(COUNTIF(P$2:P1463, P1464)=0, """", INDEX(H$2:H1463,
MAX(FILTER(ROW(H$2:H1463) - ROW(H$2) + 1, P$2:P1463 = P1464)))))"),42.0)</f>
        <v>42</v>
      </c>
      <c r="N1464" s="335" t="str">
        <f>IF(MAXIFS('単価履歴'!$O:$O,'単価履歴'!$E:$E,E1464,'単価履歴'!$F:$F,F1464)=O1464,"●","")</f>
        <v/>
      </c>
      <c r="O1464" s="346">
        <v>45773.27275462963</v>
      </c>
      <c r="P1464" s="334" t="str">
        <f t="shared" si="4"/>
        <v>東鐵岡山:直納シュレＡ</v>
      </c>
    </row>
    <row r="1465" ht="15.75" customHeight="1">
      <c r="A1465" s="335" t="s">
        <v>2651</v>
      </c>
      <c r="B1465" s="336">
        <v>45773.0</v>
      </c>
      <c r="C1465" s="335" t="s">
        <v>532</v>
      </c>
      <c r="D1465" s="335" t="s">
        <v>77</v>
      </c>
      <c r="E1465" s="337" t="str">
        <f t="shared" si="1"/>
        <v>東鐵岡山:直納</v>
      </c>
      <c r="F1465" s="338" t="s">
        <v>151</v>
      </c>
      <c r="G1465" s="339" t="str">
        <f t="shared" si="2"/>
        <v>東鐵岡山:直納シュレＣ</v>
      </c>
      <c r="H1465" s="340">
        <f t="shared" si="3"/>
        <v>41</v>
      </c>
      <c r="I1465" s="341">
        <v>-0.5</v>
      </c>
      <c r="J1465" s="332">
        <f>IFERROR(__xludf.DUMMYFUNCTION("IF(IF(COUNTIF(P$2:P1464, P1465)=0, """", INDEX(H$2:H1464,
MAX(FILTER(ROW(H$2:H1464) - ROW(H$2) + 1, P$2:P1464 = P1465))))=""単価"","""",
IF(COUNTIF(P$2:P1464, P1465)=0, """", INDEX(H$2:H1464,
MAX(FILTER(ROW(H$2:H1464) - ROW(H$2) + 1, P$2:P1464 = P1465)))))"),41.5)</f>
        <v>41.5</v>
      </c>
      <c r="N1465" s="335" t="str">
        <f>IF(MAXIFS('単価履歴'!$O:$O,'単価履歴'!$E:$E,E1465,'単価履歴'!$F:$F,F1465)=O1465,"●","")</f>
        <v/>
      </c>
      <c r="O1465" s="346">
        <v>45773.27275462963</v>
      </c>
      <c r="P1465" s="334" t="str">
        <f t="shared" si="4"/>
        <v>東鐵岡山:直納シュレＣ</v>
      </c>
    </row>
    <row r="1466" ht="15.75" customHeight="1">
      <c r="A1466" s="335" t="s">
        <v>2652</v>
      </c>
      <c r="B1466" s="336">
        <v>45773.0</v>
      </c>
      <c r="C1466" s="335" t="s">
        <v>532</v>
      </c>
      <c r="D1466" s="335" t="s">
        <v>77</v>
      </c>
      <c r="E1466" s="337" t="str">
        <f t="shared" si="1"/>
        <v>東鐵岡山:直納</v>
      </c>
      <c r="F1466" s="338" t="s">
        <v>130</v>
      </c>
      <c r="G1466" s="339" t="str">
        <f t="shared" si="2"/>
        <v>東鐵岡山:直納新断Ａ</v>
      </c>
      <c r="H1466" s="340">
        <f t="shared" si="3"/>
        <v>42</v>
      </c>
      <c r="I1466" s="341">
        <v>-0.5</v>
      </c>
      <c r="J1466" s="332">
        <f>IFERROR(__xludf.DUMMYFUNCTION("IF(IF(COUNTIF(P$2:P1465, P1466)=0, """", INDEX(H$2:H1465,
MAX(FILTER(ROW(H$2:H1465) - ROW(H$2) + 1, P$2:P1465 = P1466))))=""単価"","""",
IF(COUNTIF(P$2:P1465, P1466)=0, """", INDEX(H$2:H1465,
MAX(FILTER(ROW(H$2:H1465) - ROW(H$2) + 1, P$2:P1465 = P1466)))))"),42.5)</f>
        <v>42.5</v>
      </c>
      <c r="N1466" s="335" t="str">
        <f>IF(MAXIFS('単価履歴'!$O:$O,'単価履歴'!$E:$E,E1466,'単価履歴'!$F:$F,F1466)=O1466,"●","")</f>
        <v/>
      </c>
      <c r="O1466" s="346">
        <v>45773.27275462963</v>
      </c>
      <c r="P1466" s="334" t="str">
        <f t="shared" si="4"/>
        <v>東鐵岡山:直納新断Ａ</v>
      </c>
    </row>
    <row r="1467" ht="15.75" customHeight="1">
      <c r="A1467" s="335" t="s">
        <v>2653</v>
      </c>
      <c r="B1467" s="336">
        <v>45773.0</v>
      </c>
      <c r="C1467" s="335" t="s">
        <v>532</v>
      </c>
      <c r="D1467" s="335" t="s">
        <v>77</v>
      </c>
      <c r="E1467" s="337" t="str">
        <f t="shared" si="1"/>
        <v>東鐵岡山:直納</v>
      </c>
      <c r="F1467" s="338" t="s">
        <v>131</v>
      </c>
      <c r="G1467" s="339" t="str">
        <f t="shared" si="2"/>
        <v>東鐵岡山:直納新断Ｂ</v>
      </c>
      <c r="H1467" s="340">
        <f t="shared" si="3"/>
        <v>42</v>
      </c>
      <c r="I1467" s="341">
        <v>-0.5</v>
      </c>
      <c r="J1467" s="332">
        <f>IFERROR(__xludf.DUMMYFUNCTION("IF(IF(COUNTIF(P$2:P1466, P1467)=0, """", INDEX(H$2:H1466,
MAX(FILTER(ROW(H$2:H1466) - ROW(H$2) + 1, P$2:P1466 = P1467))))=""単価"","""",
IF(COUNTIF(P$2:P1466, P1467)=0, """", INDEX(H$2:H1466,
MAX(FILTER(ROW(H$2:H1466) - ROW(H$2) + 1, P$2:P1466 = P1467)))))"),42.5)</f>
        <v>42.5</v>
      </c>
      <c r="N1467" s="335" t="str">
        <f>IF(MAXIFS('単価履歴'!$O:$O,'単価履歴'!$E:$E,E1467,'単価履歴'!$F:$F,F1467)=O1467,"●","")</f>
        <v/>
      </c>
      <c r="O1467" s="346">
        <v>45773.27275462963</v>
      </c>
      <c r="P1467" s="334" t="str">
        <f t="shared" si="4"/>
        <v>東鐵岡山:直納新断Ｂ</v>
      </c>
    </row>
    <row r="1468" ht="15.75" customHeight="1">
      <c r="A1468" s="335" t="s">
        <v>2654</v>
      </c>
      <c r="B1468" s="336">
        <v>45773.0</v>
      </c>
      <c r="C1468" s="335" t="s">
        <v>532</v>
      </c>
      <c r="D1468" s="335" t="s">
        <v>77</v>
      </c>
      <c r="E1468" s="337" t="str">
        <f t="shared" si="1"/>
        <v>東鐵岡山:直納</v>
      </c>
      <c r="F1468" s="338" t="s">
        <v>575</v>
      </c>
      <c r="G1468" s="339" t="str">
        <f t="shared" si="2"/>
        <v>東鐵岡山:直納鋼ダライＡ</v>
      </c>
      <c r="H1468" s="340">
        <f t="shared" si="3"/>
        <v>37</v>
      </c>
      <c r="I1468" s="341">
        <v>-0.5</v>
      </c>
      <c r="J1468" s="332">
        <f>IFERROR(__xludf.DUMMYFUNCTION("IF(IF(COUNTIF(P$2:P1467, P1468)=0, """", INDEX(H$2:H1467,
MAX(FILTER(ROW(H$2:H1467) - ROW(H$2) + 1, P$2:P1467 = P1468))))=""単価"","""",
IF(COUNTIF(P$2:P1467, P1468)=0, """", INDEX(H$2:H1467,
MAX(FILTER(ROW(H$2:H1467) - ROW(H$2) + 1, P$2:P1467 = P1468)))))"),37.5)</f>
        <v>37.5</v>
      </c>
      <c r="N1468" s="335" t="str">
        <f>IF(MAXIFS('単価履歴'!$O:$O,'単価履歴'!$E:$E,E1468,'単価履歴'!$F:$F,F1468)=O1468,"●","")</f>
        <v/>
      </c>
      <c r="O1468" s="346">
        <v>45773.27275462963</v>
      </c>
      <c r="P1468" s="334" t="str">
        <f t="shared" si="4"/>
        <v>東鐵岡山:直納鋼ダライＡ</v>
      </c>
    </row>
    <row r="1469" ht="15.75" customHeight="1">
      <c r="A1469" s="335" t="s">
        <v>2655</v>
      </c>
      <c r="B1469" s="336">
        <v>45773.0</v>
      </c>
      <c r="C1469" s="335" t="s">
        <v>532</v>
      </c>
      <c r="D1469" s="335" t="s">
        <v>77</v>
      </c>
      <c r="E1469" s="337" t="str">
        <f t="shared" si="1"/>
        <v>東鐵岡山:直納</v>
      </c>
      <c r="F1469" s="338" t="s">
        <v>25</v>
      </c>
      <c r="G1469" s="339" t="str">
        <f t="shared" si="2"/>
        <v>東鐵岡山:直納銑ダライ</v>
      </c>
      <c r="H1469" s="340">
        <f t="shared" si="3"/>
        <v>33.5</v>
      </c>
      <c r="I1469" s="341">
        <v>-0.5</v>
      </c>
      <c r="J1469" s="332">
        <f>IFERROR(__xludf.DUMMYFUNCTION("IF(IF(COUNTIF(P$2:P1468, P1469)=0, """", INDEX(H$2:H1468,
MAX(FILTER(ROW(H$2:H1468) - ROW(H$2) + 1, P$2:P1468 = P1469))))=""単価"","""",
IF(COUNTIF(P$2:P1468, P1469)=0, """", INDEX(H$2:H1468,
MAX(FILTER(ROW(H$2:H1468) - ROW(H$2) + 1, P$2:P1468 = P1469)))))"),34.0)</f>
        <v>34</v>
      </c>
      <c r="N1469" s="335" t="str">
        <f>IF(MAXIFS('単価履歴'!$O:$O,'単価履歴'!$E:$E,E1469,'単価履歴'!$F:$F,F1469)=O1469,"●","")</f>
        <v/>
      </c>
      <c r="O1469" s="346">
        <v>45773.27275462963</v>
      </c>
      <c r="P1469" s="334" t="str">
        <f t="shared" si="4"/>
        <v>東鐵岡山:直納銑ダライ</v>
      </c>
    </row>
    <row r="1470" ht="15.75" customHeight="1">
      <c r="A1470" s="335" t="s">
        <v>2656</v>
      </c>
      <c r="B1470" s="336">
        <v>45773.0</v>
      </c>
      <c r="C1470" s="335" t="s">
        <v>532</v>
      </c>
      <c r="D1470" s="335" t="s">
        <v>77</v>
      </c>
      <c r="E1470" s="337" t="str">
        <f t="shared" si="1"/>
        <v>東鐵岡山:直納</v>
      </c>
      <c r="F1470" s="338" t="s">
        <v>154</v>
      </c>
      <c r="G1470" s="339" t="str">
        <f t="shared" si="2"/>
        <v>東鐵岡山:直納ＣＰ Ａ</v>
      </c>
      <c r="H1470" s="340">
        <f t="shared" si="3"/>
        <v>39.5</v>
      </c>
      <c r="I1470" s="341">
        <v>-0.5</v>
      </c>
      <c r="J1470" s="332">
        <f>IFERROR(__xludf.DUMMYFUNCTION("IF(IF(COUNTIF(P$2:P1469, P1470)=0, """", INDEX(H$2:H1469,
MAX(FILTER(ROW(H$2:H1469) - ROW(H$2) + 1, P$2:P1469 = P1470))))=""単価"","""",
IF(COUNTIF(P$2:P1469, P1470)=0, """", INDEX(H$2:H1469,
MAX(FILTER(ROW(H$2:H1469) - ROW(H$2) + 1, P$2:P1469 = P1470)))))"),40.0)</f>
        <v>40</v>
      </c>
      <c r="N1470" s="335" t="str">
        <f>IF(MAXIFS('単価履歴'!$O:$O,'単価履歴'!$E:$E,E1470,'単価履歴'!$F:$F,F1470)=O1470,"●","")</f>
        <v/>
      </c>
      <c r="O1470" s="346">
        <v>45773.27275462963</v>
      </c>
      <c r="P1470" s="334" t="str">
        <f t="shared" si="4"/>
        <v>東鐵岡山:直納ＣＰ Ａ</v>
      </c>
    </row>
    <row r="1471" ht="15.75" customHeight="1">
      <c r="A1471" s="335" t="s">
        <v>2657</v>
      </c>
      <c r="B1471" s="336">
        <v>45773.0</v>
      </c>
      <c r="C1471" s="335" t="s">
        <v>11</v>
      </c>
      <c r="D1471" s="335" t="s">
        <v>46</v>
      </c>
      <c r="E1471" s="337" t="str">
        <f t="shared" si="1"/>
        <v>ﾔﾏﾄ:阪和</v>
      </c>
      <c r="F1471" s="338" t="s">
        <v>116</v>
      </c>
      <c r="G1471" s="339" t="str">
        <f t="shared" si="2"/>
        <v>ﾔﾏﾄ:阪和Ｈ２(特級)</v>
      </c>
      <c r="H1471" s="340">
        <f t="shared" si="3"/>
        <v>42.6</v>
      </c>
      <c r="I1471" s="341">
        <v>-0.5</v>
      </c>
      <c r="J1471" s="332">
        <f>IFERROR(__xludf.DUMMYFUNCTION("IF(IF(COUNTIF(P$2:P1470, P1471)=0, """", INDEX(H$2:H1470,
MAX(FILTER(ROW(H$2:H1470) - ROW(H$2) + 1, P$2:P1470 = P1471))))=""単価"","""",
IF(COUNTIF(P$2:P1470, P1471)=0, """", INDEX(H$2:H1470,
MAX(FILTER(ROW(H$2:H1470) - ROW(H$2) + 1, P$2:P1470 = P1471)))))"),43.1)</f>
        <v>43.1</v>
      </c>
      <c r="N1471" s="335" t="str">
        <f>IF(MAXIFS('単価履歴'!$O:$O,'単価履歴'!$E:$E,E1471,'単価履歴'!$F:$F,F1471)=O1471,"●","")</f>
        <v/>
      </c>
      <c r="O1471" s="346">
        <v>45773.27377314815</v>
      </c>
      <c r="P1471" s="334" t="str">
        <f t="shared" si="4"/>
        <v>ﾔﾏﾄ:阪和Ｈ２(特級)</v>
      </c>
    </row>
    <row r="1472" ht="15.75" customHeight="1">
      <c r="A1472" s="335" t="s">
        <v>2658</v>
      </c>
      <c r="B1472" s="336">
        <v>45773.0</v>
      </c>
      <c r="C1472" s="335" t="s">
        <v>11</v>
      </c>
      <c r="D1472" s="335" t="s">
        <v>46</v>
      </c>
      <c r="E1472" s="337" t="str">
        <f t="shared" si="1"/>
        <v>ﾔﾏﾄ:阪和</v>
      </c>
      <c r="F1472" s="338" t="s">
        <v>119</v>
      </c>
      <c r="G1472" s="339" t="str">
        <f t="shared" si="2"/>
        <v>ﾔﾏﾄ:阪和Ｈ３(1級)</v>
      </c>
      <c r="H1472" s="340">
        <f t="shared" si="3"/>
        <v>41.6</v>
      </c>
      <c r="I1472" s="341">
        <v>-0.5</v>
      </c>
      <c r="J1472" s="332">
        <f>IFERROR(__xludf.DUMMYFUNCTION("IF(IF(COUNTIF(P$2:P1471, P1472)=0, """", INDEX(H$2:H1471,
MAX(FILTER(ROW(H$2:H1471) - ROW(H$2) + 1, P$2:P1471 = P1472))))=""単価"","""",
IF(COUNTIF(P$2:P1471, P1472)=0, """", INDEX(H$2:H1471,
MAX(FILTER(ROW(H$2:H1471) - ROW(H$2) + 1, P$2:P1471 = P1472)))))"),42.1)</f>
        <v>42.1</v>
      </c>
      <c r="N1472" s="335" t="str">
        <f>IF(MAXIFS('単価履歴'!$O:$O,'単価履歴'!$E:$E,E1472,'単価履歴'!$F:$F,F1472)=O1472,"●","")</f>
        <v/>
      </c>
      <c r="O1472" s="346">
        <v>45773.27377314815</v>
      </c>
      <c r="P1472" s="334" t="str">
        <f t="shared" si="4"/>
        <v>ﾔﾏﾄ:阪和Ｈ３(1級)</v>
      </c>
    </row>
    <row r="1473" ht="15.75" customHeight="1">
      <c r="A1473" s="335" t="s">
        <v>2659</v>
      </c>
      <c r="B1473" s="336">
        <v>45773.0</v>
      </c>
      <c r="C1473" s="335" t="s">
        <v>11</v>
      </c>
      <c r="D1473" s="335" t="s">
        <v>46</v>
      </c>
      <c r="E1473" s="337" t="str">
        <f t="shared" si="1"/>
        <v>ﾔﾏﾄ:阪和</v>
      </c>
      <c r="F1473" s="338" t="s">
        <v>122</v>
      </c>
      <c r="G1473" s="339" t="str">
        <f t="shared" si="2"/>
        <v>ﾔﾏﾄ:阪和Ｌ１(2級)</v>
      </c>
      <c r="H1473" s="340">
        <f t="shared" si="3"/>
        <v>39.6</v>
      </c>
      <c r="I1473" s="341">
        <v>-0.5</v>
      </c>
      <c r="J1473" s="332">
        <f>IFERROR(__xludf.DUMMYFUNCTION("IF(IF(COUNTIF(P$2:P1472, P1473)=0, """", INDEX(H$2:H1472,
MAX(FILTER(ROW(H$2:H1472) - ROW(H$2) + 1, P$2:P1472 = P1473))))=""単価"","""",
IF(COUNTIF(P$2:P1472, P1473)=0, """", INDEX(H$2:H1472,
MAX(FILTER(ROW(H$2:H1472) - ROW(H$2) + 1, P$2:P1472 = P1473)))))"),40.1)</f>
        <v>40.1</v>
      </c>
      <c r="N1473" s="335" t="str">
        <f>IF(MAXIFS('単価履歴'!$O:$O,'単価履歴'!$E:$E,E1473,'単価履歴'!$F:$F,F1473)=O1473,"●","")</f>
        <v/>
      </c>
      <c r="O1473" s="346">
        <v>45773.27377314815</v>
      </c>
      <c r="P1473" s="334" t="str">
        <f t="shared" si="4"/>
        <v>ﾔﾏﾄ:阪和Ｌ１(2級)</v>
      </c>
    </row>
    <row r="1474" ht="15.75" customHeight="1">
      <c r="A1474" s="335" t="s">
        <v>2660</v>
      </c>
      <c r="B1474" s="336">
        <v>45773.0</v>
      </c>
      <c r="C1474" s="335" t="s">
        <v>11</v>
      </c>
      <c r="D1474" s="335" t="s">
        <v>46</v>
      </c>
      <c r="E1474" s="337" t="str">
        <f t="shared" si="1"/>
        <v>ﾔﾏﾄ:阪和</v>
      </c>
      <c r="F1474" s="338" t="s">
        <v>111</v>
      </c>
      <c r="G1474" s="339" t="str">
        <f t="shared" si="2"/>
        <v>ﾔﾏﾄ:阪和Ｈ１(特A)</v>
      </c>
      <c r="H1474" s="340">
        <f t="shared" si="3"/>
        <v>43.6</v>
      </c>
      <c r="I1474" s="341">
        <v>-0.5</v>
      </c>
      <c r="J1474" s="332">
        <f>IFERROR(__xludf.DUMMYFUNCTION("IF(IF(COUNTIF(P$2:P1473, P1474)=0, """", INDEX(H$2:H1473,
MAX(FILTER(ROW(H$2:H1473) - ROW(H$2) + 1, P$2:P1473 = P1474))))=""単価"","""",
IF(COUNTIF(P$2:P1473, P1474)=0, """", INDEX(H$2:H1473,
MAX(FILTER(ROW(H$2:H1473) - ROW(H$2) + 1, P$2:P1473 = P1474)))))"),44.1)</f>
        <v>44.1</v>
      </c>
      <c r="N1474" s="335" t="str">
        <f>IF(MAXIFS('単価履歴'!$O:$O,'単価履歴'!$E:$E,E1474,'単価履歴'!$F:$F,F1474)=O1474,"●","")</f>
        <v/>
      </c>
      <c r="O1474" s="346">
        <v>45773.27377314815</v>
      </c>
      <c r="P1474" s="334" t="str">
        <f t="shared" si="4"/>
        <v>ﾔﾏﾄ:阪和Ｈ１(特A)</v>
      </c>
    </row>
    <row r="1475" ht="15.75" customHeight="1">
      <c r="A1475" s="335" t="s">
        <v>2661</v>
      </c>
      <c r="B1475" s="336">
        <v>45773.0</v>
      </c>
      <c r="C1475" s="335" t="s">
        <v>11</v>
      </c>
      <c r="D1475" s="335" t="s">
        <v>46</v>
      </c>
      <c r="E1475" s="337" t="str">
        <f t="shared" si="1"/>
        <v>ﾔﾏﾄ:阪和</v>
      </c>
      <c r="F1475" s="338" t="s">
        <v>573</v>
      </c>
      <c r="G1475" s="339" t="str">
        <f t="shared" si="2"/>
        <v>ﾔﾏﾄ:阪和Ｌ２(H4･級外･L1ﾊﾞﾗ)</v>
      </c>
      <c r="H1475" s="340">
        <f t="shared" si="3"/>
        <v>37.1</v>
      </c>
      <c r="I1475" s="341">
        <v>-0.5</v>
      </c>
      <c r="J1475" s="332">
        <f>IFERROR(__xludf.DUMMYFUNCTION("IF(IF(COUNTIF(P$2:P1474, P1475)=0, """", INDEX(H$2:H1474,
MAX(FILTER(ROW(H$2:H1474) - ROW(H$2) + 1, P$2:P1474 = P1475))))=""単価"","""",
IF(COUNTIF(P$2:P1474, P1475)=0, """", INDEX(H$2:H1474,
MAX(FILTER(ROW(H$2:H1474) - ROW(H$2) + 1, P$2:P1474 = P1475)))))"),37.6)</f>
        <v>37.6</v>
      </c>
      <c r="N1475" s="335" t="str">
        <f>IF(MAXIFS('単価履歴'!$O:$O,'単価履歴'!$E:$E,E1475,'単価履歴'!$F:$F,F1475)=O1475,"●","")</f>
        <v/>
      </c>
      <c r="O1475" s="346">
        <v>45773.27377314815</v>
      </c>
      <c r="P1475" s="334" t="str">
        <f t="shared" si="4"/>
        <v>ﾔﾏﾄ:阪和Ｌ２(H4･級外･L1ﾊﾞﾗ)</v>
      </c>
    </row>
    <row r="1476" ht="15.75" customHeight="1">
      <c r="A1476" s="335" t="s">
        <v>2662</v>
      </c>
      <c r="B1476" s="336">
        <v>45773.0</v>
      </c>
      <c r="C1476" s="335" t="s">
        <v>12</v>
      </c>
      <c r="D1476" s="335" t="s">
        <v>50</v>
      </c>
      <c r="E1476" s="337" t="str">
        <f t="shared" si="1"/>
        <v>山陽特殊:産振</v>
      </c>
      <c r="F1476" s="338" t="s">
        <v>1199</v>
      </c>
      <c r="G1476" s="339" t="str">
        <f t="shared" si="2"/>
        <v>山陽特殊:産振ＨＳ１(単体H1/電特A/HS))</v>
      </c>
      <c r="H1476" s="340">
        <f t="shared" si="3"/>
        <v>44.1</v>
      </c>
      <c r="I1476" s="341">
        <v>-0.5</v>
      </c>
      <c r="J1476" s="332">
        <f>IFERROR(__xludf.DUMMYFUNCTION("IF(IF(COUNTIF(P$2:P1475, P1476)=0, """", INDEX(H$2:H1475,
MAX(FILTER(ROW(H$2:H1475) - ROW(H$2) + 1, P$2:P1475 = P1476))))=""単価"","""",
IF(COUNTIF(P$2:P1475, P1476)=0, """", INDEX(H$2:H1475,
MAX(FILTER(ROW(H$2:H1475) - ROW(H$2) + 1, P$2:P1475 = P1476)))))"),44.6)</f>
        <v>44.6</v>
      </c>
      <c r="N1476" s="335" t="str">
        <f>IF(MAXIFS('単価履歴'!$O:$O,'単価履歴'!$E:$E,E1476,'単価履歴'!$F:$F,F1476)=O1476,"●","")</f>
        <v/>
      </c>
      <c r="O1476" s="346">
        <v>45773.27517361111</v>
      </c>
      <c r="P1476" s="334" t="str">
        <f t="shared" si="4"/>
        <v>山陽特殊:産振ＨＳ１(単体H1/電特A/HS))</v>
      </c>
    </row>
    <row r="1477" ht="15.75" customHeight="1">
      <c r="A1477" s="335" t="s">
        <v>2663</v>
      </c>
      <c r="B1477" s="336">
        <v>45773.0</v>
      </c>
      <c r="C1477" s="335" t="s">
        <v>12</v>
      </c>
      <c r="D1477" s="335" t="s">
        <v>50</v>
      </c>
      <c r="E1477" s="337" t="str">
        <f t="shared" si="1"/>
        <v>山陽特殊:産振</v>
      </c>
      <c r="F1477" s="338" t="s">
        <v>101</v>
      </c>
      <c r="G1477" s="339" t="str">
        <f t="shared" si="2"/>
        <v>山陽特殊:産振ＨＳ２</v>
      </c>
      <c r="H1477" s="340">
        <f t="shared" si="3"/>
        <v>43.9</v>
      </c>
      <c r="I1477" s="341">
        <v>-0.5</v>
      </c>
      <c r="J1477" s="332">
        <f>IFERROR(__xludf.DUMMYFUNCTION("IF(IF(COUNTIF(P$2:P1476, P1477)=0, """", INDEX(H$2:H1476,
MAX(FILTER(ROW(H$2:H1476) - ROW(H$2) + 1, P$2:P1476 = P1477))))=""単価"","""",
IF(COUNTIF(P$2:P1476, P1477)=0, """", INDEX(H$2:H1476,
MAX(FILTER(ROW(H$2:H1476) - ROW(H$2) + 1, P$2:P1476 = P1477)))))"),44.4)</f>
        <v>44.4</v>
      </c>
      <c r="N1477" s="335" t="str">
        <f>IF(MAXIFS('単価履歴'!$O:$O,'単価履歴'!$E:$E,E1477,'単価履歴'!$F:$F,F1477)=O1477,"●","")</f>
        <v/>
      </c>
      <c r="O1477" s="346">
        <v>45773.27517361111</v>
      </c>
      <c r="P1477" s="334" t="str">
        <f t="shared" si="4"/>
        <v>山陽特殊:産振ＨＳ２</v>
      </c>
    </row>
    <row r="1478" ht="15.75" customHeight="1">
      <c r="A1478" s="335" t="s">
        <v>2664</v>
      </c>
      <c r="B1478" s="336">
        <v>45773.0</v>
      </c>
      <c r="C1478" s="335" t="s">
        <v>12</v>
      </c>
      <c r="D1478" s="335" t="s">
        <v>50</v>
      </c>
      <c r="E1478" s="337" t="str">
        <f t="shared" si="1"/>
        <v>山陽特殊:産振</v>
      </c>
      <c r="F1478" s="338" t="s">
        <v>105</v>
      </c>
      <c r="G1478" s="339" t="str">
        <f t="shared" si="2"/>
        <v>山陽特殊:産振ＨＳ３</v>
      </c>
      <c r="H1478" s="340">
        <f t="shared" si="3"/>
        <v>41.9</v>
      </c>
      <c r="I1478" s="341">
        <v>-0.5</v>
      </c>
      <c r="J1478" s="332">
        <f>IFERROR(__xludf.DUMMYFUNCTION("IF(IF(COUNTIF(P$2:P1477, P1478)=0, """", INDEX(H$2:H1477,
MAX(FILTER(ROW(H$2:H1477) - ROW(H$2) + 1, P$2:P1477 = P1478))))=""単価"","""",
IF(COUNTIF(P$2:P1477, P1478)=0, """", INDEX(H$2:H1477,
MAX(FILTER(ROW(H$2:H1477) - ROW(H$2) + 1, P$2:P1477 = P1478)))))"),42.4)</f>
        <v>42.4</v>
      </c>
      <c r="N1478" s="335" t="str">
        <f>IF(MAXIFS('単価履歴'!$O:$O,'単価履歴'!$E:$E,E1478,'単価履歴'!$F:$F,F1478)=O1478,"●","")</f>
        <v/>
      </c>
      <c r="O1478" s="346">
        <v>45773.27517361111</v>
      </c>
      <c r="P1478" s="334" t="str">
        <f t="shared" si="4"/>
        <v>山陽特殊:産振ＨＳ３</v>
      </c>
    </row>
    <row r="1479" ht="15.75" customHeight="1">
      <c r="A1479" s="335" t="s">
        <v>2665</v>
      </c>
      <c r="B1479" s="336">
        <v>45773.0</v>
      </c>
      <c r="C1479" s="335" t="s">
        <v>12</v>
      </c>
      <c r="D1479" s="335" t="s">
        <v>53</v>
      </c>
      <c r="E1479" s="337" t="str">
        <f t="shared" si="1"/>
        <v>山陽特殊:MM</v>
      </c>
      <c r="F1479" s="338" t="s">
        <v>130</v>
      </c>
      <c r="G1479" s="339" t="str">
        <f t="shared" si="2"/>
        <v>山陽特殊:MM新断Ａ</v>
      </c>
      <c r="H1479" s="340">
        <f t="shared" si="3"/>
        <v>45.5</v>
      </c>
      <c r="I1479" s="341">
        <v>-1.0</v>
      </c>
      <c r="J1479" s="332">
        <f>IFERROR(__xludf.DUMMYFUNCTION("IF(IF(COUNTIF(P$2:P1478, P1479)=0, """", INDEX(H$2:H1478,
MAX(FILTER(ROW(H$2:H1478) - ROW(H$2) + 1, P$2:P1478 = P1479))))=""単価"","""",
IF(COUNTIF(P$2:P1478, P1479)=0, """", INDEX(H$2:H1478,
MAX(FILTER(ROW(H$2:H1478) - ROW(H$2) + 1, P$2:P1478 = P1479)))))"),46.5)</f>
        <v>46.5</v>
      </c>
      <c r="N1479" s="335" t="str">
        <f>IF(MAXIFS('単価履歴'!$O:$O,'単価履歴'!$E:$E,E1479,'単価履歴'!$F:$F,F1479)=O1479,"●","")</f>
        <v/>
      </c>
      <c r="O1479" s="346">
        <v>45773.27621527778</v>
      </c>
      <c r="P1479" s="334" t="str">
        <f t="shared" si="4"/>
        <v>山陽特殊:MM新断Ａ</v>
      </c>
    </row>
    <row r="1480" ht="15.75" customHeight="1">
      <c r="A1480" s="335" t="s">
        <v>2666</v>
      </c>
      <c r="B1480" s="336">
        <v>45773.0</v>
      </c>
      <c r="C1480" s="335" t="s">
        <v>12</v>
      </c>
      <c r="D1480" s="335" t="s">
        <v>53</v>
      </c>
      <c r="E1480" s="337" t="str">
        <f t="shared" si="1"/>
        <v>山陽特殊:MM</v>
      </c>
      <c r="F1480" s="338" t="s">
        <v>131</v>
      </c>
      <c r="G1480" s="339" t="str">
        <f t="shared" si="2"/>
        <v>山陽特殊:MM新断Ｂ</v>
      </c>
      <c r="H1480" s="340">
        <f t="shared" si="3"/>
        <v>44.5</v>
      </c>
      <c r="I1480" s="341">
        <v>-1.0</v>
      </c>
      <c r="J1480" s="332">
        <f>IFERROR(__xludf.DUMMYFUNCTION("IF(IF(COUNTIF(P$2:P1479, P1480)=0, """", INDEX(H$2:H1479,
MAX(FILTER(ROW(H$2:H1479) - ROW(H$2) + 1, P$2:P1479 = P1480))))=""単価"","""",
IF(COUNTIF(P$2:P1479, P1480)=0, """", INDEX(H$2:H1479,
MAX(FILTER(ROW(H$2:H1479) - ROW(H$2) + 1, P$2:P1479 = P1480)))))"),45.5)</f>
        <v>45.5</v>
      </c>
      <c r="N1480" s="335" t="str">
        <f>IF(MAXIFS('単価履歴'!$O:$O,'単価履歴'!$E:$E,E1480,'単価履歴'!$F:$F,F1480)=O1480,"●","")</f>
        <v/>
      </c>
      <c r="O1480" s="346">
        <v>45773.27621527778</v>
      </c>
      <c r="P1480" s="334" t="str">
        <f t="shared" si="4"/>
        <v>山陽特殊:MM新断Ｂ</v>
      </c>
    </row>
    <row r="1481" ht="15.75" customHeight="1">
      <c r="A1481" s="335" t="s">
        <v>2667</v>
      </c>
      <c r="B1481" s="336">
        <v>45773.0</v>
      </c>
      <c r="C1481" s="335" t="s">
        <v>12</v>
      </c>
      <c r="D1481" s="335" t="s">
        <v>53</v>
      </c>
      <c r="E1481" s="337" t="str">
        <f t="shared" si="1"/>
        <v>山陽特殊:MM</v>
      </c>
      <c r="F1481" s="338" t="s">
        <v>574</v>
      </c>
      <c r="G1481" s="339" t="str">
        <f t="shared" si="2"/>
        <v>山陽特殊:MM新断Ｃ</v>
      </c>
      <c r="H1481" s="340">
        <f t="shared" si="3"/>
        <v>44.8</v>
      </c>
      <c r="I1481" s="341">
        <v>-1.0</v>
      </c>
      <c r="J1481" s="332">
        <f>IFERROR(__xludf.DUMMYFUNCTION("IF(IF(COUNTIF(P$2:P1480, P1481)=0, """", INDEX(H$2:H1480,
MAX(FILTER(ROW(H$2:H1480) - ROW(H$2) + 1, P$2:P1480 = P1481))))=""単価"","""",
IF(COUNTIF(P$2:P1480, P1481)=0, """", INDEX(H$2:H1480,
MAX(FILTER(ROW(H$2:H1480) - ROW(H$2) + 1, P$2:P1480 = P1481)))))"),45.8)</f>
        <v>45.8</v>
      </c>
      <c r="N1481" s="335" t="str">
        <f>IF(MAXIFS('単価履歴'!$O:$O,'単価履歴'!$E:$E,E1481,'単価履歴'!$F:$F,F1481)=O1481,"●","")</f>
        <v/>
      </c>
      <c r="O1481" s="346">
        <v>45773.27621527778</v>
      </c>
      <c r="P1481" s="334" t="str">
        <f t="shared" si="4"/>
        <v>山陽特殊:MM新断Ｃ</v>
      </c>
    </row>
    <row r="1482" ht="15.75" customHeight="1">
      <c r="A1482" s="335" t="s">
        <v>2668</v>
      </c>
      <c r="B1482" s="336">
        <v>45773.0</v>
      </c>
      <c r="C1482" s="335" t="s">
        <v>12</v>
      </c>
      <c r="D1482" s="335" t="s">
        <v>53</v>
      </c>
      <c r="E1482" s="337" t="str">
        <f t="shared" si="1"/>
        <v>山陽特殊:MM</v>
      </c>
      <c r="F1482" s="338" t="s">
        <v>1199</v>
      </c>
      <c r="G1482" s="339" t="str">
        <f t="shared" si="2"/>
        <v>山陽特殊:MMＨＳ１(単体H1/電特A/HS))</v>
      </c>
      <c r="H1482" s="340">
        <f t="shared" si="3"/>
        <v>47</v>
      </c>
      <c r="I1482" s="341">
        <v>-0.5</v>
      </c>
      <c r="J1482" s="332">
        <f>IFERROR(__xludf.DUMMYFUNCTION("IF(IF(COUNTIF(P$2:P1481, P1482)=0, """", INDEX(H$2:H1481,
MAX(FILTER(ROW(H$2:H1481) - ROW(H$2) + 1, P$2:P1481 = P1482))))=""単価"","""",
IF(COUNTIF(P$2:P1481, P1482)=0, """", INDEX(H$2:H1481,
MAX(FILTER(ROW(H$2:H1481) - ROW(H$2) + 1, P$2:P1481 = P1482)))))"),47.5)</f>
        <v>47.5</v>
      </c>
      <c r="N1482" s="335" t="str">
        <f>IF(MAXIFS('単価履歴'!$O:$O,'単価履歴'!$E:$E,E1482,'単価履歴'!$F:$F,F1482)=O1482,"●","")</f>
        <v/>
      </c>
      <c r="O1482" s="346">
        <v>45773.27686342593</v>
      </c>
      <c r="P1482" s="334" t="str">
        <f t="shared" si="4"/>
        <v>山陽特殊:MMＨＳ１(単体H1/電特A/HS))</v>
      </c>
    </row>
    <row r="1483" ht="15.75" customHeight="1">
      <c r="A1483" s="335" t="s">
        <v>2669</v>
      </c>
      <c r="B1483" s="336">
        <v>45773.0</v>
      </c>
      <c r="C1483" s="335" t="s">
        <v>12</v>
      </c>
      <c r="D1483" s="335" t="s">
        <v>53</v>
      </c>
      <c r="E1483" s="337" t="str">
        <f t="shared" si="1"/>
        <v>山陽特殊:MM</v>
      </c>
      <c r="F1483" s="338" t="s">
        <v>101</v>
      </c>
      <c r="G1483" s="339" t="str">
        <f t="shared" si="2"/>
        <v>山陽特殊:MMＨＳ２</v>
      </c>
      <c r="H1483" s="340">
        <f t="shared" si="3"/>
        <v>46.8</v>
      </c>
      <c r="I1483" s="341">
        <v>-0.5</v>
      </c>
      <c r="J1483" s="332">
        <f>IFERROR(__xludf.DUMMYFUNCTION("IF(IF(COUNTIF(P$2:P1482, P1483)=0, """", INDEX(H$2:H1482,
MAX(FILTER(ROW(H$2:H1482) - ROW(H$2) + 1, P$2:P1482 = P1483))))=""単価"","""",
IF(COUNTIF(P$2:P1482, P1483)=0, """", INDEX(H$2:H1482,
MAX(FILTER(ROW(H$2:H1482) - ROW(H$2) + 1, P$2:P1482 = P1483)))))"),47.3)</f>
        <v>47.3</v>
      </c>
      <c r="N1483" s="335" t="str">
        <f>IF(MAXIFS('単価履歴'!$O:$O,'単価履歴'!$E:$E,E1483,'単価履歴'!$F:$F,F1483)=O1483,"●","")</f>
        <v/>
      </c>
      <c r="O1483" s="346">
        <v>45773.27686342593</v>
      </c>
      <c r="P1483" s="334" t="str">
        <f t="shared" si="4"/>
        <v>山陽特殊:MMＨＳ２</v>
      </c>
    </row>
    <row r="1484" ht="15.75" customHeight="1">
      <c r="A1484" s="335" t="s">
        <v>2670</v>
      </c>
      <c r="B1484" s="336">
        <v>45773.0</v>
      </c>
      <c r="C1484" s="335" t="s">
        <v>12</v>
      </c>
      <c r="D1484" s="335" t="s">
        <v>53</v>
      </c>
      <c r="E1484" s="337" t="str">
        <f t="shared" si="1"/>
        <v>山陽特殊:MM</v>
      </c>
      <c r="F1484" s="338" t="s">
        <v>105</v>
      </c>
      <c r="G1484" s="339" t="str">
        <f t="shared" si="2"/>
        <v>山陽特殊:MMＨＳ３</v>
      </c>
      <c r="H1484" s="340">
        <f t="shared" si="3"/>
        <v>44.8</v>
      </c>
      <c r="I1484" s="341">
        <v>-0.5</v>
      </c>
      <c r="J1484" s="332">
        <f>IFERROR(__xludf.DUMMYFUNCTION("IF(IF(COUNTIF(P$2:P1483, P1484)=0, """", INDEX(H$2:H1483,
MAX(FILTER(ROW(H$2:H1483) - ROW(H$2) + 1, P$2:P1483 = P1484))))=""単価"","""",
IF(COUNTIF(P$2:P1483, P1484)=0, """", INDEX(H$2:H1483,
MAX(FILTER(ROW(H$2:H1483) - ROW(H$2) + 1, P$2:P1483 = P1484)))))"),45.3)</f>
        <v>45.3</v>
      </c>
      <c r="N1484" s="335" t="str">
        <f>IF(MAXIFS('単価履歴'!$O:$O,'単価履歴'!$E:$E,E1484,'単価履歴'!$F:$F,F1484)=O1484,"●","")</f>
        <v/>
      </c>
      <c r="O1484" s="346">
        <v>45773.27686342593</v>
      </c>
      <c r="P1484" s="334" t="str">
        <f t="shared" si="4"/>
        <v>山陽特殊:MMＨＳ３</v>
      </c>
    </row>
    <row r="1485" ht="15.75" customHeight="1">
      <c r="A1485" s="335" t="s">
        <v>2671</v>
      </c>
      <c r="B1485" s="336">
        <v>45773.0</v>
      </c>
      <c r="C1485" s="335" t="s">
        <v>12</v>
      </c>
      <c r="D1485" s="335" t="s">
        <v>53</v>
      </c>
      <c r="E1485" s="337" t="str">
        <f t="shared" si="1"/>
        <v>山陽特殊:MM</v>
      </c>
      <c r="F1485" s="338" t="s">
        <v>122</v>
      </c>
      <c r="G1485" s="339" t="str">
        <f t="shared" si="2"/>
        <v>山陽特殊:MMＬ１(2級)</v>
      </c>
      <c r="H1485" s="340">
        <f t="shared" si="3"/>
        <v>2.5</v>
      </c>
      <c r="I1485" s="341">
        <v>-0.5</v>
      </c>
      <c r="J1485" s="332">
        <f>IFERROR(__xludf.DUMMYFUNCTION("IF(IF(COUNTIF(P$2:P1484, P1485)=0, """", INDEX(H$2:H1484,
MAX(FILTER(ROW(H$2:H1484) - ROW(H$2) + 1, P$2:P1484 = P1485))))=""単価"","""",
IF(COUNTIF(P$2:P1484, P1485)=0, """", INDEX(H$2:H1484,
MAX(FILTER(ROW(H$2:H1484) - ROW(H$2) + 1, P$2:P1484 = P1485)))))"),3.0)</f>
        <v>3</v>
      </c>
      <c r="N1485" s="335" t="str">
        <f>IF(MAXIFS('単価履歴'!$O:$O,'単価履歴'!$E:$E,E1485,'単価履歴'!$F:$F,F1485)=O1485,"●","")</f>
        <v/>
      </c>
      <c r="O1485" s="346">
        <v>45773.27686342593</v>
      </c>
      <c r="P1485" s="334" t="str">
        <f t="shared" si="4"/>
        <v>山陽特殊:MMＬ１(2級)</v>
      </c>
    </row>
    <row r="1486" ht="15.75" customHeight="1">
      <c r="A1486" s="335" t="s">
        <v>2672</v>
      </c>
      <c r="B1486" s="336">
        <v>45773.0</v>
      </c>
      <c r="C1486" s="335" t="s">
        <v>535</v>
      </c>
      <c r="D1486" s="335" t="s">
        <v>77</v>
      </c>
      <c r="E1486" s="337" t="str">
        <f t="shared" si="1"/>
        <v>東鐵名古屋:直納</v>
      </c>
      <c r="F1486" s="338" t="s">
        <v>1199</v>
      </c>
      <c r="G1486" s="339" t="str">
        <f t="shared" si="2"/>
        <v>東鐵名古屋:直納ＨＳ１(単体H1/電特A/HS))</v>
      </c>
      <c r="H1486" s="340">
        <f t="shared" si="3"/>
        <v>43</v>
      </c>
      <c r="I1486" s="341">
        <v>-0.5</v>
      </c>
      <c r="J1486" s="332">
        <f>IFERROR(__xludf.DUMMYFUNCTION("IF(IF(COUNTIF(P$2:P1485, P1486)=0, """", INDEX(H$2:H1485,
MAX(FILTER(ROW(H$2:H1485) - ROW(H$2) + 1, P$2:P1485 = P1486))))=""単価"","""",
IF(COUNTIF(P$2:P1485, P1486)=0, """", INDEX(H$2:H1485,
MAX(FILTER(ROW(H$2:H1485) - ROW(H$2) + 1, P$2:P1485 = P1486)))))"),43.5)</f>
        <v>43.5</v>
      </c>
      <c r="N1486" s="335" t="str">
        <f>IF(MAXIFS('単価履歴'!$O:$O,'単価履歴'!$E:$E,E1486,'単価履歴'!$F:$F,F1486)=O1486,"●","")</f>
        <v/>
      </c>
      <c r="O1486" s="346">
        <v>45773.277604166666</v>
      </c>
      <c r="P1486" s="334" t="str">
        <f t="shared" si="4"/>
        <v>東鐵名古屋:直納ＨＳ１(単体H1/電特A/HS))</v>
      </c>
    </row>
    <row r="1487" ht="15.75" customHeight="1">
      <c r="A1487" s="335" t="s">
        <v>2673</v>
      </c>
      <c r="B1487" s="336">
        <v>45773.0</v>
      </c>
      <c r="C1487" s="335" t="s">
        <v>535</v>
      </c>
      <c r="D1487" s="335" t="s">
        <v>77</v>
      </c>
      <c r="E1487" s="337" t="str">
        <f t="shared" si="1"/>
        <v>東鐵名古屋:直納</v>
      </c>
      <c r="F1487" s="338" t="s">
        <v>111</v>
      </c>
      <c r="G1487" s="339" t="str">
        <f t="shared" si="2"/>
        <v>東鐵名古屋:直納Ｈ１(特A)</v>
      </c>
      <c r="H1487" s="340">
        <f t="shared" si="3"/>
        <v>41.2</v>
      </c>
      <c r="I1487" s="341">
        <v>-0.5</v>
      </c>
      <c r="J1487" s="332">
        <f>IFERROR(__xludf.DUMMYFUNCTION("IF(IF(COUNTIF(P$2:P1486, P1487)=0, """", INDEX(H$2:H1486,
MAX(FILTER(ROW(H$2:H1486) - ROW(H$2) + 1, P$2:P1486 = P1487))))=""単価"","""",
IF(COUNTIF(P$2:P1486, P1487)=0, """", INDEX(H$2:H1486,
MAX(FILTER(ROW(H$2:H1486) - ROW(H$2) + 1, P$2:P1486 = P1487)))))"),41.7)</f>
        <v>41.7</v>
      </c>
      <c r="N1487" s="335" t="str">
        <f>IF(MAXIFS('単価履歴'!$O:$O,'単価履歴'!$E:$E,E1487,'単価履歴'!$F:$F,F1487)=O1487,"●","")</f>
        <v/>
      </c>
      <c r="O1487" s="346">
        <v>45773.277604166666</v>
      </c>
      <c r="P1487" s="334" t="str">
        <f t="shared" si="4"/>
        <v>東鐵名古屋:直納Ｈ１(特A)</v>
      </c>
    </row>
    <row r="1488" ht="15.75" customHeight="1">
      <c r="A1488" s="335" t="s">
        <v>2674</v>
      </c>
      <c r="B1488" s="336">
        <v>45773.0</v>
      </c>
      <c r="C1488" s="335" t="s">
        <v>535</v>
      </c>
      <c r="D1488" s="335" t="s">
        <v>77</v>
      </c>
      <c r="E1488" s="337" t="str">
        <f t="shared" si="1"/>
        <v>東鐵名古屋:直納</v>
      </c>
      <c r="F1488" s="338" t="s">
        <v>116</v>
      </c>
      <c r="G1488" s="339" t="str">
        <f t="shared" si="2"/>
        <v>東鐵名古屋:直納Ｈ２(特級)</v>
      </c>
      <c r="H1488" s="340">
        <f t="shared" si="3"/>
        <v>40.5</v>
      </c>
      <c r="I1488" s="341">
        <v>-0.5</v>
      </c>
      <c r="J1488" s="332">
        <f>IFERROR(__xludf.DUMMYFUNCTION("IF(IF(COUNTIF(P$2:P1487, P1488)=0, """", INDEX(H$2:H1487,
MAX(FILTER(ROW(H$2:H1487) - ROW(H$2) + 1, P$2:P1487 = P1488))))=""単価"","""",
IF(COUNTIF(P$2:P1487, P1488)=0, """", INDEX(H$2:H1487,
MAX(FILTER(ROW(H$2:H1487) - ROW(H$2) + 1, P$2:P1487 = P1488)))))"),41.0)</f>
        <v>41</v>
      </c>
      <c r="N1488" s="335" t="str">
        <f>IF(MAXIFS('単価履歴'!$O:$O,'単価履歴'!$E:$E,E1488,'単価履歴'!$F:$F,F1488)=O1488,"●","")</f>
        <v/>
      </c>
      <c r="O1488" s="346">
        <v>45773.277604166666</v>
      </c>
      <c r="P1488" s="334" t="str">
        <f t="shared" si="4"/>
        <v>東鐵名古屋:直納Ｈ２(特級)</v>
      </c>
    </row>
    <row r="1489" ht="15.75" customHeight="1">
      <c r="A1489" s="335" t="s">
        <v>2675</v>
      </c>
      <c r="B1489" s="336">
        <v>45773.0</v>
      </c>
      <c r="C1489" s="335" t="s">
        <v>535</v>
      </c>
      <c r="D1489" s="335" t="s">
        <v>77</v>
      </c>
      <c r="E1489" s="337" t="str">
        <f t="shared" si="1"/>
        <v>東鐵名古屋:直納</v>
      </c>
      <c r="F1489" s="338" t="s">
        <v>119</v>
      </c>
      <c r="G1489" s="339" t="str">
        <f t="shared" si="2"/>
        <v>東鐵名古屋:直納Ｈ３(1級)</v>
      </c>
      <c r="H1489" s="340">
        <f t="shared" si="3"/>
        <v>40</v>
      </c>
      <c r="I1489" s="341">
        <v>-0.5</v>
      </c>
      <c r="J1489" s="332">
        <f>IFERROR(__xludf.DUMMYFUNCTION("IF(IF(COUNTIF(P$2:P1488, P1489)=0, """", INDEX(H$2:H1488,
MAX(FILTER(ROW(H$2:H1488) - ROW(H$2) + 1, P$2:P1488 = P1489))))=""単価"","""",
IF(COUNTIF(P$2:P1488, P1489)=0, """", INDEX(H$2:H1488,
MAX(FILTER(ROW(H$2:H1488) - ROW(H$2) + 1, P$2:P1488 = P1489)))))"),40.5)</f>
        <v>40.5</v>
      </c>
      <c r="N1489" s="335" t="str">
        <f>IF(MAXIFS('単価履歴'!$O:$O,'単価履歴'!$E:$E,E1489,'単価履歴'!$F:$F,F1489)=O1489,"●","")</f>
        <v/>
      </c>
      <c r="O1489" s="346">
        <v>45773.277604166666</v>
      </c>
      <c r="P1489" s="334" t="str">
        <f t="shared" si="4"/>
        <v>東鐵名古屋:直納Ｈ３(1級)</v>
      </c>
    </row>
    <row r="1490" ht="15.75" customHeight="1">
      <c r="A1490" s="335" t="s">
        <v>2676</v>
      </c>
      <c r="B1490" s="336">
        <v>45773.0</v>
      </c>
      <c r="C1490" s="335" t="s">
        <v>535</v>
      </c>
      <c r="D1490" s="335" t="s">
        <v>77</v>
      </c>
      <c r="E1490" s="337" t="str">
        <f t="shared" si="1"/>
        <v>東鐵名古屋:直納</v>
      </c>
      <c r="F1490" s="338" t="s">
        <v>122</v>
      </c>
      <c r="G1490" s="339" t="str">
        <f t="shared" si="2"/>
        <v>東鐵名古屋:直納Ｌ１(2級)</v>
      </c>
      <c r="H1490" s="340">
        <f t="shared" si="3"/>
        <v>38.5</v>
      </c>
      <c r="I1490" s="341">
        <v>-0.5</v>
      </c>
      <c r="J1490" s="332">
        <f>IFERROR(__xludf.DUMMYFUNCTION("IF(IF(COUNTIF(P$2:P1489, P1490)=0, """", INDEX(H$2:H1489,
MAX(FILTER(ROW(H$2:H1489) - ROW(H$2) + 1, P$2:P1489 = P1490))))=""単価"","""",
IF(COUNTIF(P$2:P1489, P1490)=0, """", INDEX(H$2:H1489,
MAX(FILTER(ROW(H$2:H1489) - ROW(H$2) + 1, P$2:P1489 = P1490)))))"),39.0)</f>
        <v>39</v>
      </c>
      <c r="N1490" s="335" t="str">
        <f>IF(MAXIFS('単価履歴'!$O:$O,'単価履歴'!$E:$E,E1490,'単価履歴'!$F:$F,F1490)=O1490,"●","")</f>
        <v/>
      </c>
      <c r="O1490" s="346">
        <v>45773.277604166666</v>
      </c>
      <c r="P1490" s="334" t="str">
        <f t="shared" si="4"/>
        <v>東鐵名古屋:直納Ｌ１(2級)</v>
      </c>
    </row>
    <row r="1491" ht="15.75" customHeight="1">
      <c r="A1491" s="335" t="s">
        <v>2677</v>
      </c>
      <c r="B1491" s="336">
        <v>45773.0</v>
      </c>
      <c r="C1491" s="335" t="s">
        <v>535</v>
      </c>
      <c r="D1491" s="335" t="s">
        <v>77</v>
      </c>
      <c r="E1491" s="337" t="str">
        <f t="shared" si="1"/>
        <v>東鐵名古屋:直納</v>
      </c>
      <c r="F1491" s="338" t="s">
        <v>573</v>
      </c>
      <c r="G1491" s="339" t="str">
        <f t="shared" si="2"/>
        <v>東鐵名古屋:直納Ｌ２(H4･級外･L1ﾊﾞﾗ)</v>
      </c>
      <c r="H1491" s="340">
        <f t="shared" si="3"/>
        <v>35.5</v>
      </c>
      <c r="I1491" s="341">
        <v>-0.5</v>
      </c>
      <c r="J1491" s="332">
        <f>IFERROR(__xludf.DUMMYFUNCTION("IF(IF(COUNTIF(P$2:P1490, P1491)=0, """", INDEX(H$2:H1490,
MAX(FILTER(ROW(H$2:H1490) - ROW(H$2) + 1, P$2:P1490 = P1491))))=""単価"","""",
IF(COUNTIF(P$2:P1490, P1491)=0, """", INDEX(H$2:H1490,
MAX(FILTER(ROW(H$2:H1490) - ROW(H$2) + 1, P$2:P1490 = P1491)))))"),36.0)</f>
        <v>36</v>
      </c>
      <c r="N1491" s="335" t="str">
        <f>IF(MAXIFS('単価履歴'!$O:$O,'単価履歴'!$E:$E,E1491,'単価履歴'!$F:$F,F1491)=O1491,"●","")</f>
        <v/>
      </c>
      <c r="O1491" s="346">
        <v>45773.277604166666</v>
      </c>
      <c r="P1491" s="334" t="str">
        <f t="shared" si="4"/>
        <v>東鐵名古屋:直納Ｌ２(H4･級外･L1ﾊﾞﾗ)</v>
      </c>
    </row>
    <row r="1492" ht="15.75" customHeight="1">
      <c r="A1492" s="335" t="s">
        <v>2678</v>
      </c>
      <c r="B1492" s="336">
        <v>45773.0</v>
      </c>
      <c r="C1492" s="335" t="s">
        <v>535</v>
      </c>
      <c r="D1492" s="335" t="s">
        <v>77</v>
      </c>
      <c r="E1492" s="337" t="str">
        <f t="shared" si="1"/>
        <v>東鐵名古屋:直納</v>
      </c>
      <c r="F1492" s="338" t="s">
        <v>145</v>
      </c>
      <c r="G1492" s="339" t="str">
        <f t="shared" si="2"/>
        <v>東鐵名古屋:直納シュレＡ</v>
      </c>
      <c r="H1492" s="340">
        <f t="shared" si="3"/>
        <v>41.5</v>
      </c>
      <c r="I1492" s="341">
        <v>-0.5</v>
      </c>
      <c r="J1492" s="332">
        <f>IFERROR(__xludf.DUMMYFUNCTION("IF(IF(COUNTIF(P$2:P1491, P1492)=0, """", INDEX(H$2:H1491,
MAX(FILTER(ROW(H$2:H1491) - ROW(H$2) + 1, P$2:P1491 = P1492))))=""単価"","""",
IF(COUNTIF(P$2:P1491, P1492)=0, """", INDEX(H$2:H1491,
MAX(FILTER(ROW(H$2:H1491) - ROW(H$2) + 1, P$2:P1491 = P1492)))))"),42.0)</f>
        <v>42</v>
      </c>
      <c r="N1492" s="335" t="str">
        <f>IF(MAXIFS('単価履歴'!$O:$O,'単価履歴'!$E:$E,E1492,'単価履歴'!$F:$F,F1492)=O1492,"●","")</f>
        <v/>
      </c>
      <c r="O1492" s="346">
        <v>45773.277604166666</v>
      </c>
      <c r="P1492" s="334" t="str">
        <f t="shared" si="4"/>
        <v>東鐵名古屋:直納シュレＡ</v>
      </c>
    </row>
    <row r="1493" ht="15.75" customHeight="1">
      <c r="A1493" s="335" t="s">
        <v>2679</v>
      </c>
      <c r="B1493" s="336">
        <v>45773.0</v>
      </c>
      <c r="C1493" s="335" t="s">
        <v>535</v>
      </c>
      <c r="D1493" s="335" t="s">
        <v>77</v>
      </c>
      <c r="E1493" s="337" t="str">
        <f t="shared" si="1"/>
        <v>東鐵名古屋:直納</v>
      </c>
      <c r="F1493" s="338" t="s">
        <v>151</v>
      </c>
      <c r="G1493" s="339" t="str">
        <f t="shared" si="2"/>
        <v>東鐵名古屋:直納シュレＣ</v>
      </c>
      <c r="H1493" s="340">
        <f t="shared" si="3"/>
        <v>41</v>
      </c>
      <c r="I1493" s="341">
        <v>-0.5</v>
      </c>
      <c r="J1493" s="332">
        <f>IFERROR(__xludf.DUMMYFUNCTION("IF(IF(COUNTIF(P$2:P1492, P1493)=0, """", INDEX(H$2:H1492,
MAX(FILTER(ROW(H$2:H1492) - ROW(H$2) + 1, P$2:P1492 = P1493))))=""単価"","""",
IF(COUNTIF(P$2:P1492, P1493)=0, """", INDEX(H$2:H1492,
MAX(FILTER(ROW(H$2:H1492) - ROW(H$2) + 1, P$2:P1492 = P1493)))))"),41.5)</f>
        <v>41.5</v>
      </c>
      <c r="N1493" s="335" t="str">
        <f>IF(MAXIFS('単価履歴'!$O:$O,'単価履歴'!$E:$E,E1493,'単価履歴'!$F:$F,F1493)=O1493,"●","")</f>
        <v/>
      </c>
      <c r="O1493" s="346">
        <v>45773.277604166666</v>
      </c>
      <c r="P1493" s="334" t="str">
        <f t="shared" si="4"/>
        <v>東鐵名古屋:直納シュレＣ</v>
      </c>
    </row>
    <row r="1494" ht="15.75" customHeight="1">
      <c r="A1494" s="335" t="s">
        <v>2680</v>
      </c>
      <c r="B1494" s="336">
        <v>45773.0</v>
      </c>
      <c r="C1494" s="335" t="s">
        <v>536</v>
      </c>
      <c r="D1494" s="335" t="s">
        <v>77</v>
      </c>
      <c r="E1494" s="337" t="str">
        <f t="shared" si="1"/>
        <v>東鐵田原:直納</v>
      </c>
      <c r="F1494" s="338" t="s">
        <v>1199</v>
      </c>
      <c r="G1494" s="339" t="str">
        <f t="shared" si="2"/>
        <v>東鐵田原:直納ＨＳ１(単体H1/電特A/HS))</v>
      </c>
      <c r="H1494" s="340">
        <f t="shared" si="3"/>
        <v>44</v>
      </c>
      <c r="I1494" s="341">
        <v>-0.5</v>
      </c>
      <c r="J1494" s="332">
        <f>IFERROR(__xludf.DUMMYFUNCTION("IF(IF(COUNTIF(P$2:P1493, P1494)=0, """", INDEX(H$2:H1493,
MAX(FILTER(ROW(H$2:H1493) - ROW(H$2) + 1, P$2:P1493 = P1494))))=""単価"","""",
IF(COUNTIF(P$2:P1493, P1494)=0, """", INDEX(H$2:H1493,
MAX(FILTER(ROW(H$2:H1493) - ROW(H$2) + 1, P$2:P1493 = P1494)))))"),44.5)</f>
        <v>44.5</v>
      </c>
      <c r="N1494" s="335" t="str">
        <f>IF(MAXIFS('単価履歴'!$O:$O,'単価履歴'!$E:$E,E1494,'単価履歴'!$F:$F,F1494)=O1494,"●","")</f>
        <v/>
      </c>
      <c r="O1494" s="346">
        <v>45773.279375</v>
      </c>
      <c r="P1494" s="334" t="str">
        <f t="shared" si="4"/>
        <v>東鐵田原:直納ＨＳ１(単体H1/電特A/HS))</v>
      </c>
    </row>
    <row r="1495" ht="15.75" customHeight="1">
      <c r="A1495" s="335" t="s">
        <v>2681</v>
      </c>
      <c r="B1495" s="336">
        <v>45773.0</v>
      </c>
      <c r="C1495" s="335" t="s">
        <v>536</v>
      </c>
      <c r="D1495" s="335" t="s">
        <v>77</v>
      </c>
      <c r="E1495" s="337" t="str">
        <f t="shared" si="1"/>
        <v>東鐵田原:直納</v>
      </c>
      <c r="F1495" s="338" t="s">
        <v>111</v>
      </c>
      <c r="G1495" s="339" t="str">
        <f t="shared" si="2"/>
        <v>東鐵田原:直納Ｈ１(特A)</v>
      </c>
      <c r="H1495" s="340">
        <f t="shared" si="3"/>
        <v>43.2</v>
      </c>
      <c r="I1495" s="341">
        <v>-0.5</v>
      </c>
      <c r="J1495" s="332">
        <f>IFERROR(__xludf.DUMMYFUNCTION("IF(IF(COUNTIF(P$2:P1494, P1495)=0, """", INDEX(H$2:H1494,
MAX(FILTER(ROW(H$2:H1494) - ROW(H$2) + 1, P$2:P1494 = P1495))))=""単価"","""",
IF(COUNTIF(P$2:P1494, P1495)=0, """", INDEX(H$2:H1494,
MAX(FILTER(ROW(H$2:H1494) - ROW(H$2) + 1, P$2:P1494 = P1495)))))"),43.7)</f>
        <v>43.7</v>
      </c>
      <c r="N1495" s="335" t="str">
        <f>IF(MAXIFS('単価履歴'!$O:$O,'単価履歴'!$E:$E,E1495,'単価履歴'!$F:$F,F1495)=O1495,"●","")</f>
        <v/>
      </c>
      <c r="O1495" s="346">
        <v>45773.279375</v>
      </c>
      <c r="P1495" s="334" t="str">
        <f t="shared" si="4"/>
        <v>東鐵田原:直納Ｈ１(特A)</v>
      </c>
    </row>
    <row r="1496" ht="15.75" customHeight="1">
      <c r="A1496" s="335" t="s">
        <v>2682</v>
      </c>
      <c r="B1496" s="336">
        <v>45773.0</v>
      </c>
      <c r="C1496" s="335" t="s">
        <v>536</v>
      </c>
      <c r="D1496" s="335" t="s">
        <v>77</v>
      </c>
      <c r="E1496" s="337" t="str">
        <f t="shared" si="1"/>
        <v>東鐵田原:直納</v>
      </c>
      <c r="F1496" s="338" t="s">
        <v>116</v>
      </c>
      <c r="G1496" s="339" t="str">
        <f t="shared" si="2"/>
        <v>東鐵田原:直納Ｈ２(特級)</v>
      </c>
      <c r="H1496" s="340">
        <f t="shared" si="3"/>
        <v>41.5</v>
      </c>
      <c r="I1496" s="341">
        <v>-0.5</v>
      </c>
      <c r="J1496" s="332">
        <f>IFERROR(__xludf.DUMMYFUNCTION("IF(IF(COUNTIF(P$2:P1495, P1496)=0, """", INDEX(H$2:H1495,
MAX(FILTER(ROW(H$2:H1495) - ROW(H$2) + 1, P$2:P1495 = P1496))))=""単価"","""",
IF(COUNTIF(P$2:P1495, P1496)=0, """", INDEX(H$2:H1495,
MAX(FILTER(ROW(H$2:H1495) - ROW(H$2) + 1, P$2:P1495 = P1496)))))"),42.0)</f>
        <v>42</v>
      </c>
      <c r="N1496" s="335" t="str">
        <f>IF(MAXIFS('単価履歴'!$O:$O,'単価履歴'!$E:$E,E1496,'単価履歴'!$F:$F,F1496)=O1496,"●","")</f>
        <v/>
      </c>
      <c r="O1496" s="346">
        <v>45773.279375</v>
      </c>
      <c r="P1496" s="334" t="str">
        <f t="shared" si="4"/>
        <v>東鐵田原:直納Ｈ２(特級)</v>
      </c>
    </row>
    <row r="1497" ht="15.75" customHeight="1">
      <c r="A1497" s="335" t="s">
        <v>2683</v>
      </c>
      <c r="B1497" s="336">
        <v>45773.0</v>
      </c>
      <c r="C1497" s="335" t="s">
        <v>536</v>
      </c>
      <c r="D1497" s="335" t="s">
        <v>77</v>
      </c>
      <c r="E1497" s="337" t="str">
        <f t="shared" si="1"/>
        <v>東鐵田原:直納</v>
      </c>
      <c r="F1497" s="338" t="s">
        <v>119</v>
      </c>
      <c r="G1497" s="339" t="str">
        <f t="shared" si="2"/>
        <v>東鐵田原:直納Ｈ３(1級)</v>
      </c>
      <c r="H1497" s="340">
        <f t="shared" si="3"/>
        <v>41</v>
      </c>
      <c r="I1497" s="341">
        <v>-0.5</v>
      </c>
      <c r="J1497" s="332">
        <f>IFERROR(__xludf.DUMMYFUNCTION("IF(IF(COUNTIF(P$2:P1496, P1497)=0, """", INDEX(H$2:H1496,
MAX(FILTER(ROW(H$2:H1496) - ROW(H$2) + 1, P$2:P1496 = P1497))))=""単価"","""",
IF(COUNTIF(P$2:P1496, P1497)=0, """", INDEX(H$2:H1496,
MAX(FILTER(ROW(H$2:H1496) - ROW(H$2) + 1, P$2:P1496 = P1497)))))"),41.5)</f>
        <v>41.5</v>
      </c>
      <c r="N1497" s="335" t="str">
        <f>IF(MAXIFS('単価履歴'!$O:$O,'単価履歴'!$E:$E,E1497,'単価履歴'!$F:$F,F1497)=O1497,"●","")</f>
        <v/>
      </c>
      <c r="O1497" s="346">
        <v>45773.279375</v>
      </c>
      <c r="P1497" s="334" t="str">
        <f t="shared" si="4"/>
        <v>東鐵田原:直納Ｈ３(1級)</v>
      </c>
    </row>
    <row r="1498" ht="15.75" customHeight="1">
      <c r="A1498" s="335" t="s">
        <v>2684</v>
      </c>
      <c r="B1498" s="336">
        <v>45773.0</v>
      </c>
      <c r="C1498" s="335" t="s">
        <v>536</v>
      </c>
      <c r="D1498" s="335" t="s">
        <v>77</v>
      </c>
      <c r="E1498" s="337" t="str">
        <f t="shared" si="1"/>
        <v>東鐵田原:直納</v>
      </c>
      <c r="F1498" s="338" t="s">
        <v>122</v>
      </c>
      <c r="G1498" s="339" t="str">
        <f t="shared" si="2"/>
        <v>東鐵田原:直納Ｌ１(2級)</v>
      </c>
      <c r="H1498" s="340">
        <f t="shared" si="3"/>
        <v>39.5</v>
      </c>
      <c r="I1498" s="341">
        <v>-0.5</v>
      </c>
      <c r="J1498" s="332">
        <f>IFERROR(__xludf.DUMMYFUNCTION("IF(IF(COUNTIF(P$2:P1497, P1498)=0, """", INDEX(H$2:H1497,
MAX(FILTER(ROW(H$2:H1497) - ROW(H$2) + 1, P$2:P1497 = P1498))))=""単価"","""",
IF(COUNTIF(P$2:P1497, P1498)=0, """", INDEX(H$2:H1497,
MAX(FILTER(ROW(H$2:H1497) - ROW(H$2) + 1, P$2:P1497 = P1498)))))"),40.0)</f>
        <v>40</v>
      </c>
      <c r="N1498" s="335" t="str">
        <f>IF(MAXIFS('単価履歴'!$O:$O,'単価履歴'!$E:$E,E1498,'単価履歴'!$F:$F,F1498)=O1498,"●","")</f>
        <v/>
      </c>
      <c r="O1498" s="346">
        <v>45773.279375</v>
      </c>
      <c r="P1498" s="334" t="str">
        <f t="shared" si="4"/>
        <v>東鐵田原:直納Ｌ１(2級)</v>
      </c>
    </row>
    <row r="1499" ht="15.75" customHeight="1">
      <c r="A1499" s="335" t="s">
        <v>2685</v>
      </c>
      <c r="B1499" s="336">
        <v>45773.0</v>
      </c>
      <c r="C1499" s="335" t="s">
        <v>536</v>
      </c>
      <c r="D1499" s="335" t="s">
        <v>77</v>
      </c>
      <c r="E1499" s="337" t="str">
        <f t="shared" si="1"/>
        <v>東鐵田原:直納</v>
      </c>
      <c r="F1499" s="338" t="s">
        <v>573</v>
      </c>
      <c r="G1499" s="339" t="str">
        <f t="shared" si="2"/>
        <v>東鐵田原:直納Ｌ２(H4･級外･L1ﾊﾞﾗ)</v>
      </c>
      <c r="H1499" s="340">
        <f t="shared" si="3"/>
        <v>36.5</v>
      </c>
      <c r="I1499" s="341">
        <v>-0.5</v>
      </c>
      <c r="J1499" s="332">
        <f>IFERROR(__xludf.DUMMYFUNCTION("IF(IF(COUNTIF(P$2:P1498, P1499)=0, """", INDEX(H$2:H1498,
MAX(FILTER(ROW(H$2:H1498) - ROW(H$2) + 1, P$2:P1498 = P1499))))=""単価"","""",
IF(COUNTIF(P$2:P1498, P1499)=0, """", INDEX(H$2:H1498,
MAX(FILTER(ROW(H$2:H1498) - ROW(H$2) + 1, P$2:P1498 = P1499)))))"),37.0)</f>
        <v>37</v>
      </c>
      <c r="N1499" s="335" t="str">
        <f>IF(MAXIFS('単価履歴'!$O:$O,'単価履歴'!$E:$E,E1499,'単価履歴'!$F:$F,F1499)=O1499,"●","")</f>
        <v/>
      </c>
      <c r="O1499" s="346">
        <v>45773.279375</v>
      </c>
      <c r="P1499" s="334" t="str">
        <f t="shared" si="4"/>
        <v>東鐵田原:直納Ｌ２(H4･級外･L1ﾊﾞﾗ)</v>
      </c>
    </row>
    <row r="1500" ht="15.75" customHeight="1">
      <c r="A1500" s="335" t="s">
        <v>2686</v>
      </c>
      <c r="B1500" s="336">
        <v>45773.0</v>
      </c>
      <c r="C1500" s="335" t="s">
        <v>536</v>
      </c>
      <c r="D1500" s="335" t="s">
        <v>77</v>
      </c>
      <c r="E1500" s="337" t="str">
        <f t="shared" si="1"/>
        <v>東鐵田原:直納</v>
      </c>
      <c r="F1500" s="338" t="s">
        <v>130</v>
      </c>
      <c r="G1500" s="339" t="str">
        <f t="shared" si="2"/>
        <v>東鐵田原:直納新断Ａ</v>
      </c>
      <c r="H1500" s="340">
        <f t="shared" si="3"/>
        <v>43.5</v>
      </c>
      <c r="I1500" s="341">
        <v>-0.5</v>
      </c>
      <c r="J1500" s="332">
        <f>IFERROR(__xludf.DUMMYFUNCTION("IF(IF(COUNTIF(P$2:P1499, P1500)=0, """", INDEX(H$2:H1499,
MAX(FILTER(ROW(H$2:H1499) - ROW(H$2) + 1, P$2:P1499 = P1500))))=""単価"","""",
IF(COUNTIF(P$2:P1499, P1500)=0, """", INDEX(H$2:H1499,
MAX(FILTER(ROW(H$2:H1499) - ROW(H$2) + 1, P$2:P1499 = P1500)))))"),44.0)</f>
        <v>44</v>
      </c>
      <c r="N1500" s="335" t="str">
        <f>IF(MAXIFS('単価履歴'!$O:$O,'単価履歴'!$E:$E,E1500,'単価履歴'!$F:$F,F1500)=O1500,"●","")</f>
        <v/>
      </c>
      <c r="O1500" s="346">
        <v>45773.279375</v>
      </c>
      <c r="P1500" s="334" t="str">
        <f t="shared" si="4"/>
        <v>東鐵田原:直納新断Ａ</v>
      </c>
    </row>
    <row r="1501" ht="15.75" customHeight="1">
      <c r="A1501" s="335" t="s">
        <v>2687</v>
      </c>
      <c r="B1501" s="336">
        <v>45773.0</v>
      </c>
      <c r="C1501" s="335" t="s">
        <v>536</v>
      </c>
      <c r="D1501" s="335" t="s">
        <v>77</v>
      </c>
      <c r="E1501" s="337" t="str">
        <f t="shared" si="1"/>
        <v>東鐵田原:直納</v>
      </c>
      <c r="F1501" s="338" t="s">
        <v>131</v>
      </c>
      <c r="G1501" s="339" t="str">
        <f t="shared" si="2"/>
        <v>東鐵田原:直納新断Ｂ</v>
      </c>
      <c r="H1501" s="340">
        <f t="shared" si="3"/>
        <v>43.5</v>
      </c>
      <c r="I1501" s="341">
        <v>-0.5</v>
      </c>
      <c r="J1501" s="332">
        <f>IFERROR(__xludf.DUMMYFUNCTION("IF(IF(COUNTIF(P$2:P1500, P1501)=0, """", INDEX(H$2:H1500,
MAX(FILTER(ROW(H$2:H1500) - ROW(H$2) + 1, P$2:P1500 = P1501))))=""単価"","""",
IF(COUNTIF(P$2:P1500, P1501)=0, """", INDEX(H$2:H1500,
MAX(FILTER(ROW(H$2:H1500) - ROW(H$2) + 1, P$2:P1500 = P1501)))))"),44.0)</f>
        <v>44</v>
      </c>
      <c r="N1501" s="335" t="str">
        <f>IF(MAXIFS('単価履歴'!$O:$O,'単価履歴'!$E:$E,E1501,'単価履歴'!$F:$F,F1501)=O1501,"●","")</f>
        <v/>
      </c>
      <c r="O1501" s="346">
        <v>45773.279375</v>
      </c>
      <c r="P1501" s="334" t="str">
        <f t="shared" si="4"/>
        <v>東鐵田原:直納新断Ｂ</v>
      </c>
    </row>
    <row r="1502" ht="15.75" customHeight="1">
      <c r="A1502" s="335" t="s">
        <v>2688</v>
      </c>
      <c r="B1502" s="336">
        <v>45773.0</v>
      </c>
      <c r="C1502" s="335" t="s">
        <v>536</v>
      </c>
      <c r="D1502" s="335" t="s">
        <v>77</v>
      </c>
      <c r="E1502" s="337" t="str">
        <f t="shared" si="1"/>
        <v>東鐵田原:直納</v>
      </c>
      <c r="F1502" s="338" t="s">
        <v>575</v>
      </c>
      <c r="G1502" s="339" t="str">
        <f t="shared" si="2"/>
        <v>東鐵田原:直納鋼ダライＡ</v>
      </c>
      <c r="H1502" s="340">
        <f t="shared" si="3"/>
        <v>40</v>
      </c>
      <c r="I1502" s="341">
        <v>-0.5</v>
      </c>
      <c r="J1502" s="332">
        <f>IFERROR(__xludf.DUMMYFUNCTION("IF(IF(COUNTIF(P$2:P1501, P1502)=0, """", INDEX(H$2:H1501,
MAX(FILTER(ROW(H$2:H1501) - ROW(H$2) + 1, P$2:P1501 = P1502))))=""単価"","""",
IF(COUNTIF(P$2:P1501, P1502)=0, """", INDEX(H$2:H1501,
MAX(FILTER(ROW(H$2:H1501) - ROW(H$2) + 1, P$2:P1501 = P1502)))))"),40.5)</f>
        <v>40.5</v>
      </c>
      <c r="N1502" s="335" t="str">
        <f>IF(MAXIFS('単価履歴'!$O:$O,'単価履歴'!$E:$E,E1502,'単価履歴'!$F:$F,F1502)=O1502,"●","")</f>
        <v/>
      </c>
      <c r="O1502" s="346">
        <v>45773.279375</v>
      </c>
      <c r="P1502" s="334" t="str">
        <f t="shared" si="4"/>
        <v>東鐵田原:直納鋼ダライＡ</v>
      </c>
    </row>
    <row r="1503" ht="15.75" customHeight="1">
      <c r="A1503" s="335" t="s">
        <v>2689</v>
      </c>
      <c r="B1503" s="336">
        <v>45773.0</v>
      </c>
      <c r="C1503" s="335" t="s">
        <v>536</v>
      </c>
      <c r="D1503" s="335" t="s">
        <v>77</v>
      </c>
      <c r="E1503" s="337" t="str">
        <f t="shared" si="1"/>
        <v>東鐵田原:直納</v>
      </c>
      <c r="F1503" s="338" t="s">
        <v>145</v>
      </c>
      <c r="G1503" s="339" t="str">
        <f t="shared" si="2"/>
        <v>東鐵田原:直納シュレＡ</v>
      </c>
      <c r="H1503" s="340">
        <f t="shared" si="3"/>
        <v>42.5</v>
      </c>
      <c r="I1503" s="341">
        <v>-0.5</v>
      </c>
      <c r="J1503" s="332">
        <f>IFERROR(__xludf.DUMMYFUNCTION("IF(IF(COUNTIF(P$2:P1502, P1503)=0, """", INDEX(H$2:H1502,
MAX(FILTER(ROW(H$2:H1502) - ROW(H$2) + 1, P$2:P1502 = P1503))))=""単価"","""",
IF(COUNTIF(P$2:P1502, P1503)=0, """", INDEX(H$2:H1502,
MAX(FILTER(ROW(H$2:H1502) - ROW(H$2) + 1, P$2:P1502 = P1503)))))"),43.0)</f>
        <v>43</v>
      </c>
      <c r="N1503" s="335" t="str">
        <f>IF(MAXIFS('単価履歴'!$O:$O,'単価履歴'!$E:$E,E1503,'単価履歴'!$F:$F,F1503)=O1503,"●","")</f>
        <v/>
      </c>
      <c r="O1503" s="346">
        <v>45773.279375</v>
      </c>
      <c r="P1503" s="334" t="str">
        <f t="shared" si="4"/>
        <v>東鐵田原:直納シュレＡ</v>
      </c>
    </row>
    <row r="1504" ht="15.75" customHeight="1">
      <c r="A1504" s="335" t="s">
        <v>2690</v>
      </c>
      <c r="B1504" s="336">
        <v>45773.0</v>
      </c>
      <c r="C1504" s="335" t="s">
        <v>536</v>
      </c>
      <c r="D1504" s="335" t="s">
        <v>77</v>
      </c>
      <c r="E1504" s="337" t="str">
        <f t="shared" si="1"/>
        <v>東鐵田原:直納</v>
      </c>
      <c r="F1504" s="338" t="s">
        <v>151</v>
      </c>
      <c r="G1504" s="339" t="str">
        <f t="shared" si="2"/>
        <v>東鐵田原:直納シュレＣ</v>
      </c>
      <c r="H1504" s="340">
        <f t="shared" si="3"/>
        <v>42</v>
      </c>
      <c r="I1504" s="341">
        <v>-0.5</v>
      </c>
      <c r="J1504" s="332">
        <f>IFERROR(__xludf.DUMMYFUNCTION("IF(IF(COUNTIF(P$2:P1503, P1504)=0, """", INDEX(H$2:H1503,
MAX(FILTER(ROW(H$2:H1503) - ROW(H$2) + 1, P$2:P1503 = P1504))))=""単価"","""",
IF(COUNTIF(P$2:P1503, P1504)=0, """", INDEX(H$2:H1503,
MAX(FILTER(ROW(H$2:H1503) - ROW(H$2) + 1, P$2:P1503 = P1504)))))"),42.5)</f>
        <v>42.5</v>
      </c>
      <c r="N1504" s="335" t="str">
        <f>IF(MAXIFS('単価履歴'!$O:$O,'単価履歴'!$E:$E,E1504,'単価履歴'!$F:$F,F1504)=O1504,"●","")</f>
        <v/>
      </c>
      <c r="O1504" s="346">
        <v>45773.279375</v>
      </c>
      <c r="P1504" s="334" t="str">
        <f t="shared" si="4"/>
        <v>東鐵田原:直納シュレＣ</v>
      </c>
    </row>
    <row r="1505" ht="15.75" customHeight="1">
      <c r="A1505" s="335" t="s">
        <v>2691</v>
      </c>
      <c r="B1505" s="336">
        <v>45773.0</v>
      </c>
      <c r="C1505" s="335" t="s">
        <v>536</v>
      </c>
      <c r="D1505" s="335" t="s">
        <v>77</v>
      </c>
      <c r="E1505" s="337" t="str">
        <f t="shared" si="1"/>
        <v>東鐵田原:直納</v>
      </c>
      <c r="F1505" s="338" t="s">
        <v>154</v>
      </c>
      <c r="G1505" s="339" t="str">
        <f t="shared" si="2"/>
        <v>東鐵田原:直納ＣＰ Ａ</v>
      </c>
      <c r="H1505" s="340">
        <f t="shared" si="3"/>
        <v>40</v>
      </c>
      <c r="I1505" s="341">
        <v>-0.5</v>
      </c>
      <c r="J1505" s="332">
        <f>IFERROR(__xludf.DUMMYFUNCTION("IF(IF(COUNTIF(P$2:P1504, P1505)=0, """", INDEX(H$2:H1504,
MAX(FILTER(ROW(H$2:H1504) - ROW(H$2) + 1, P$2:P1504 = P1505))))=""単価"","""",
IF(COUNTIF(P$2:P1504, P1505)=0, """", INDEX(H$2:H1504,
MAX(FILTER(ROW(H$2:H1504) - ROW(H$2) + 1, P$2:P1504 = P1505)))))"),40.5)</f>
        <v>40.5</v>
      </c>
      <c r="N1505" s="335" t="str">
        <f>IF(MAXIFS('単価履歴'!$O:$O,'単価履歴'!$E:$E,E1505,'単価履歴'!$F:$F,F1505)=O1505,"●","")</f>
        <v/>
      </c>
      <c r="O1505" s="346">
        <v>45773.279375</v>
      </c>
      <c r="P1505" s="334" t="str">
        <f t="shared" si="4"/>
        <v>東鐵田原:直納ＣＰ Ａ</v>
      </c>
    </row>
    <row r="1506" ht="15.75" customHeight="1">
      <c r="A1506" s="335" t="s">
        <v>2692</v>
      </c>
      <c r="B1506" s="336">
        <v>45773.0</v>
      </c>
      <c r="C1506" s="335" t="s">
        <v>14</v>
      </c>
      <c r="D1506" s="335" t="s">
        <v>46</v>
      </c>
      <c r="E1506" s="337" t="str">
        <f t="shared" si="1"/>
        <v>愛知:阪和</v>
      </c>
      <c r="F1506" s="338" t="s">
        <v>1199</v>
      </c>
      <c r="G1506" s="339" t="str">
        <f t="shared" si="2"/>
        <v>愛知:阪和ＨＳ１(単体H1/電特A/HS))</v>
      </c>
      <c r="H1506" s="340">
        <f t="shared" si="3"/>
        <v>43.7</v>
      </c>
      <c r="I1506" s="341">
        <v>-0.5</v>
      </c>
      <c r="J1506" s="332">
        <f>IFERROR(__xludf.DUMMYFUNCTION("IF(IF(COUNTIF(P$2:P1505, P1506)=0, """", INDEX(H$2:H1505,
MAX(FILTER(ROW(H$2:H1505) - ROW(H$2) + 1, P$2:P1505 = P1506))))=""単価"","""",
IF(COUNTIF(P$2:P1505, P1506)=0, """", INDEX(H$2:H1505,
MAX(FILTER(ROW(H$2:H1505) - ROW(H$2) + 1, P$2:P1505 = P1506)))))"),44.2)</f>
        <v>44.2</v>
      </c>
      <c r="N1506" s="335" t="str">
        <f>IF(MAXIFS('単価履歴'!$O:$O,'単価履歴'!$E:$E,E1506,'単価履歴'!$F:$F,F1506)=O1506,"●","")</f>
        <v/>
      </c>
      <c r="O1506" s="346">
        <v>45773.281689814816</v>
      </c>
      <c r="P1506" s="334" t="str">
        <f t="shared" si="4"/>
        <v>愛知:阪和ＨＳ１(単体H1/電特A/HS))</v>
      </c>
    </row>
    <row r="1507" ht="15.75" customHeight="1">
      <c r="A1507" s="335" t="s">
        <v>2693</v>
      </c>
      <c r="B1507" s="336">
        <v>45773.0</v>
      </c>
      <c r="C1507" s="335" t="s">
        <v>14</v>
      </c>
      <c r="D1507" s="335" t="s">
        <v>46</v>
      </c>
      <c r="E1507" s="337" t="str">
        <f t="shared" si="1"/>
        <v>愛知:阪和</v>
      </c>
      <c r="F1507" s="338" t="s">
        <v>101</v>
      </c>
      <c r="G1507" s="339" t="str">
        <f t="shared" si="2"/>
        <v>愛知:阪和ＨＳ２</v>
      </c>
      <c r="H1507" s="340">
        <f t="shared" si="3"/>
        <v>43.2</v>
      </c>
      <c r="I1507" s="341">
        <v>-0.5</v>
      </c>
      <c r="J1507" s="332">
        <f>IFERROR(__xludf.DUMMYFUNCTION("IF(IF(COUNTIF(P$2:P1506, P1507)=0, """", INDEX(H$2:H1506,
MAX(FILTER(ROW(H$2:H1506) - ROW(H$2) + 1, P$2:P1506 = P1507))))=""単価"","""",
IF(COUNTIF(P$2:P1506, P1507)=0, """", INDEX(H$2:H1506,
MAX(FILTER(ROW(H$2:H1506) - ROW(H$2) + 1, P$2:P1506 = P1507)))))"),43.7)</f>
        <v>43.7</v>
      </c>
      <c r="N1507" s="335" t="str">
        <f>IF(MAXIFS('単価履歴'!$O:$O,'単価履歴'!$E:$E,E1507,'単価履歴'!$F:$F,F1507)=O1507,"●","")</f>
        <v/>
      </c>
      <c r="O1507" s="346">
        <v>45773.281689814816</v>
      </c>
      <c r="P1507" s="334" t="str">
        <f t="shared" si="4"/>
        <v>愛知:阪和ＨＳ２</v>
      </c>
    </row>
    <row r="1508" ht="15.75" customHeight="1">
      <c r="A1508" s="335" t="s">
        <v>2694</v>
      </c>
      <c r="B1508" s="336">
        <v>45773.0</v>
      </c>
      <c r="C1508" s="335" t="s">
        <v>14</v>
      </c>
      <c r="D1508" s="335" t="s">
        <v>46</v>
      </c>
      <c r="E1508" s="337" t="str">
        <f t="shared" si="1"/>
        <v>愛知:阪和</v>
      </c>
      <c r="F1508" s="338" t="s">
        <v>111</v>
      </c>
      <c r="G1508" s="339" t="str">
        <f t="shared" si="2"/>
        <v>愛知:阪和Ｈ１(特A)</v>
      </c>
      <c r="H1508" s="340">
        <f t="shared" si="3"/>
        <v>38.7</v>
      </c>
      <c r="I1508" s="341">
        <v>-0.5</v>
      </c>
      <c r="J1508" s="332">
        <f>IFERROR(__xludf.DUMMYFUNCTION("IF(IF(COUNTIF(P$2:P1507, P1508)=0, """", INDEX(H$2:H1507,
MAX(FILTER(ROW(H$2:H1507) - ROW(H$2) + 1, P$2:P1507 = P1508))))=""単価"","""",
IF(COUNTIF(P$2:P1507, P1508)=0, """", INDEX(H$2:H1507,
MAX(FILTER(ROW(H$2:H1507) - ROW(H$2) + 1, P$2:P1507 = P1508)))))"),39.2)</f>
        <v>39.2</v>
      </c>
      <c r="N1508" s="335" t="str">
        <f>IF(MAXIFS('単価履歴'!$O:$O,'単価履歴'!$E:$E,E1508,'単価履歴'!$F:$F,F1508)=O1508,"●","")</f>
        <v/>
      </c>
      <c r="O1508" s="346">
        <v>45773.281689814816</v>
      </c>
      <c r="P1508" s="334" t="str">
        <f t="shared" si="4"/>
        <v>愛知:阪和Ｈ１(特A)</v>
      </c>
    </row>
    <row r="1509" ht="15.75" customHeight="1">
      <c r="A1509" s="335" t="s">
        <v>2695</v>
      </c>
      <c r="B1509" s="336">
        <v>45773.0</v>
      </c>
      <c r="C1509" s="335" t="s">
        <v>14</v>
      </c>
      <c r="D1509" s="335" t="s">
        <v>46</v>
      </c>
      <c r="E1509" s="337" t="str">
        <f t="shared" si="1"/>
        <v>愛知:阪和</v>
      </c>
      <c r="F1509" s="338" t="s">
        <v>116</v>
      </c>
      <c r="G1509" s="339" t="str">
        <f t="shared" si="2"/>
        <v>愛知:阪和Ｈ２(特級)</v>
      </c>
      <c r="H1509" s="340">
        <f t="shared" si="3"/>
        <v>38.2</v>
      </c>
      <c r="I1509" s="341">
        <v>-0.5</v>
      </c>
      <c r="J1509" s="332">
        <f>IFERROR(__xludf.DUMMYFUNCTION("IF(IF(COUNTIF(P$2:P1508, P1509)=0, """", INDEX(H$2:H1508,
MAX(FILTER(ROW(H$2:H1508) - ROW(H$2) + 1, P$2:P1508 = P1509))))=""単価"","""",
IF(COUNTIF(P$2:P1508, P1509)=0, """", INDEX(H$2:H1508,
MAX(FILTER(ROW(H$2:H1508) - ROW(H$2) + 1, P$2:P1508 = P1509)))))"),38.7)</f>
        <v>38.7</v>
      </c>
      <c r="N1509" s="335" t="str">
        <f>IF(MAXIFS('単価履歴'!$O:$O,'単価履歴'!$E:$E,E1509,'単価履歴'!$F:$F,F1509)=O1509,"●","")</f>
        <v/>
      </c>
      <c r="O1509" s="346">
        <v>45773.281689814816</v>
      </c>
      <c r="P1509" s="334" t="str">
        <f t="shared" si="4"/>
        <v>愛知:阪和Ｈ２(特級)</v>
      </c>
    </row>
    <row r="1510" ht="15.75" customHeight="1">
      <c r="A1510" s="335" t="s">
        <v>2696</v>
      </c>
      <c r="B1510" s="336">
        <v>45773.0</v>
      </c>
      <c r="C1510" s="335" t="s">
        <v>14</v>
      </c>
      <c r="D1510" s="335" t="s">
        <v>46</v>
      </c>
      <c r="E1510" s="337" t="str">
        <f t="shared" si="1"/>
        <v>愛知:阪和</v>
      </c>
      <c r="F1510" s="338" t="s">
        <v>119</v>
      </c>
      <c r="G1510" s="339" t="str">
        <f t="shared" si="2"/>
        <v>愛知:阪和Ｈ３(1級)</v>
      </c>
      <c r="H1510" s="340">
        <f t="shared" si="3"/>
        <v>37.2</v>
      </c>
      <c r="I1510" s="341">
        <v>-0.5</v>
      </c>
      <c r="J1510" s="332">
        <f>IFERROR(__xludf.DUMMYFUNCTION("IF(IF(COUNTIF(P$2:P1509, P1510)=0, """", INDEX(H$2:H1509,
MAX(FILTER(ROW(H$2:H1509) - ROW(H$2) + 1, P$2:P1509 = P1510))))=""単価"","""",
IF(COUNTIF(P$2:P1509, P1510)=0, """", INDEX(H$2:H1509,
MAX(FILTER(ROW(H$2:H1509) - ROW(H$2) + 1, P$2:P1509 = P1510)))))"),37.7)</f>
        <v>37.7</v>
      </c>
      <c r="N1510" s="335" t="str">
        <f>IF(MAXIFS('単価履歴'!$O:$O,'単価履歴'!$E:$E,E1510,'単価履歴'!$F:$F,F1510)=O1510,"●","")</f>
        <v/>
      </c>
      <c r="O1510" s="346">
        <v>45773.281689814816</v>
      </c>
      <c r="P1510" s="334" t="str">
        <f t="shared" si="4"/>
        <v>愛知:阪和Ｈ３(1級)</v>
      </c>
    </row>
    <row r="1511" ht="15.75" customHeight="1">
      <c r="A1511" s="335" t="s">
        <v>2697</v>
      </c>
      <c r="B1511" s="336">
        <v>45773.0</v>
      </c>
      <c r="C1511" s="335" t="s">
        <v>14</v>
      </c>
      <c r="D1511" s="335" t="s">
        <v>46</v>
      </c>
      <c r="E1511" s="337" t="str">
        <f t="shared" si="1"/>
        <v>愛知:阪和</v>
      </c>
      <c r="F1511" s="338" t="s">
        <v>573</v>
      </c>
      <c r="G1511" s="339" t="str">
        <f t="shared" si="2"/>
        <v>愛知:阪和Ｌ２(H4･級外･L1ﾊﾞﾗ)</v>
      </c>
      <c r="H1511" s="340">
        <f t="shared" si="3"/>
        <v>33.8</v>
      </c>
      <c r="I1511" s="341">
        <v>-0.5</v>
      </c>
      <c r="J1511" s="332">
        <f>IFERROR(__xludf.DUMMYFUNCTION("IF(IF(COUNTIF(P$2:P1510, P1511)=0, """", INDEX(H$2:H1510,
MAX(FILTER(ROW(H$2:H1510) - ROW(H$2) + 1, P$2:P1510 = P1511))))=""単価"","""",
IF(COUNTIF(P$2:P1510, P1511)=0, """", INDEX(H$2:H1510,
MAX(FILTER(ROW(H$2:H1510) - ROW(H$2) + 1, P$2:P1510 = P1511)))))"),34.3)</f>
        <v>34.3</v>
      </c>
      <c r="N1511" s="335" t="str">
        <f>IF(MAXIFS('単価履歴'!$O:$O,'単価履歴'!$E:$E,E1511,'単価履歴'!$F:$F,F1511)=O1511,"●","")</f>
        <v/>
      </c>
      <c r="O1511" s="346">
        <v>45773.281689814816</v>
      </c>
      <c r="P1511" s="334" t="str">
        <f t="shared" si="4"/>
        <v>愛知:阪和Ｌ２(H4･級外･L1ﾊﾞﾗ)</v>
      </c>
    </row>
    <row r="1512" ht="15.75" customHeight="1">
      <c r="A1512" s="335" t="s">
        <v>2698</v>
      </c>
      <c r="B1512" s="336">
        <v>45773.0</v>
      </c>
      <c r="C1512" s="335" t="s">
        <v>14</v>
      </c>
      <c r="D1512" s="335" t="s">
        <v>46</v>
      </c>
      <c r="E1512" s="337" t="str">
        <f t="shared" si="1"/>
        <v>愛知:阪和</v>
      </c>
      <c r="F1512" s="338" t="s">
        <v>130</v>
      </c>
      <c r="G1512" s="339" t="str">
        <f t="shared" si="2"/>
        <v>愛知:阪和新断Ａ</v>
      </c>
      <c r="H1512" s="340">
        <f t="shared" si="3"/>
        <v>43.5</v>
      </c>
      <c r="I1512" s="341">
        <v>-1.0</v>
      </c>
      <c r="J1512" s="332">
        <f>IFERROR(__xludf.DUMMYFUNCTION("IF(IF(COUNTIF(P$2:P1511, P1512)=0, """", INDEX(H$2:H1511,
MAX(FILTER(ROW(H$2:H1511) - ROW(H$2) + 1, P$2:P1511 = P1512))))=""単価"","""",
IF(COUNTIF(P$2:P1511, P1512)=0, """", INDEX(H$2:H1511,
MAX(FILTER(ROW(H$2:H1511) - ROW(H$2) + 1, P$2:P1511 = P1512)))))"),44.5)</f>
        <v>44.5</v>
      </c>
      <c r="N1512" s="335" t="str">
        <f>IF(MAXIFS('単価履歴'!$O:$O,'単価履歴'!$E:$E,E1512,'単価履歴'!$F:$F,F1512)=O1512,"●","")</f>
        <v/>
      </c>
      <c r="O1512" s="346">
        <v>45773.28208333333</v>
      </c>
      <c r="P1512" s="334" t="str">
        <f t="shared" si="4"/>
        <v>愛知:阪和新断Ａ</v>
      </c>
    </row>
    <row r="1513" ht="15.75" customHeight="1">
      <c r="A1513" s="335" t="s">
        <v>2699</v>
      </c>
      <c r="B1513" s="336">
        <v>45773.0</v>
      </c>
      <c r="C1513" s="335" t="s">
        <v>14</v>
      </c>
      <c r="D1513" s="335" t="s">
        <v>46</v>
      </c>
      <c r="E1513" s="337" t="str">
        <f t="shared" si="1"/>
        <v>愛知:阪和</v>
      </c>
      <c r="F1513" s="338" t="s">
        <v>131</v>
      </c>
      <c r="G1513" s="339" t="str">
        <f t="shared" si="2"/>
        <v>愛知:阪和新断Ｂ</v>
      </c>
      <c r="H1513" s="340">
        <f t="shared" si="3"/>
        <v>42.5</v>
      </c>
      <c r="I1513" s="341">
        <v>-1.0</v>
      </c>
      <c r="J1513" s="332">
        <f>IFERROR(__xludf.DUMMYFUNCTION("IF(IF(COUNTIF(P$2:P1512, P1513)=0, """", INDEX(H$2:H1512,
MAX(FILTER(ROW(H$2:H1512) - ROW(H$2) + 1, P$2:P1512 = P1513))))=""単価"","""",
IF(COUNTIF(P$2:P1512, P1513)=0, """", INDEX(H$2:H1512,
MAX(FILTER(ROW(H$2:H1512) - ROW(H$2) + 1, P$2:P1512 = P1513)))))"),43.5)</f>
        <v>43.5</v>
      </c>
      <c r="N1513" s="335" t="str">
        <f>IF(MAXIFS('単価履歴'!$O:$O,'単価履歴'!$E:$E,E1513,'単価履歴'!$F:$F,F1513)=O1513,"●","")</f>
        <v/>
      </c>
      <c r="O1513" s="346">
        <v>45773.28208333333</v>
      </c>
      <c r="P1513" s="334" t="str">
        <f t="shared" si="4"/>
        <v>愛知:阪和新断Ｂ</v>
      </c>
    </row>
    <row r="1514" ht="15.75" customHeight="1">
      <c r="A1514" s="335" t="s">
        <v>2700</v>
      </c>
      <c r="B1514" s="336">
        <v>45773.0</v>
      </c>
      <c r="C1514" s="335" t="s">
        <v>14</v>
      </c>
      <c r="D1514" s="335" t="s">
        <v>48</v>
      </c>
      <c r="E1514" s="337" t="str">
        <f t="shared" si="1"/>
        <v>愛知:ナベ</v>
      </c>
      <c r="F1514" s="338" t="s">
        <v>1199</v>
      </c>
      <c r="G1514" s="339" t="str">
        <f t="shared" si="2"/>
        <v>愛知:ナベＨＳ１(単体H1/電特A/HS))</v>
      </c>
      <c r="H1514" s="340">
        <f t="shared" si="3"/>
        <v>41.5</v>
      </c>
      <c r="I1514" s="341">
        <v>-0.5</v>
      </c>
      <c r="J1514" s="332">
        <f>IFERROR(__xludf.DUMMYFUNCTION("IF(IF(COUNTIF(P$2:P1513, P1514)=0, """", INDEX(H$2:H1513,
MAX(FILTER(ROW(H$2:H1513) - ROW(H$2) + 1, P$2:P1513 = P1514))))=""単価"","""",
IF(COUNTIF(P$2:P1513, P1514)=0, """", INDEX(H$2:H1513,
MAX(FILTER(ROW(H$2:H1513) - ROW(H$2) + 1, P$2:P1513 = P1514)))))"),42.0)</f>
        <v>42</v>
      </c>
      <c r="N1514" s="335" t="str">
        <f>IF(MAXIFS('単価履歴'!$O:$O,'単価履歴'!$E:$E,E1514,'単価履歴'!$F:$F,F1514)=O1514,"●","")</f>
        <v/>
      </c>
      <c r="O1514" s="346">
        <v>45773.28291666666</v>
      </c>
      <c r="P1514" s="334" t="str">
        <f t="shared" si="4"/>
        <v>愛知:ナベＨＳ１(単体H1/電特A/HS))</v>
      </c>
    </row>
    <row r="1515" ht="15.75" customHeight="1">
      <c r="A1515" s="335" t="s">
        <v>2701</v>
      </c>
      <c r="B1515" s="336">
        <v>45773.0</v>
      </c>
      <c r="C1515" s="335" t="s">
        <v>14</v>
      </c>
      <c r="D1515" s="335" t="s">
        <v>48</v>
      </c>
      <c r="E1515" s="337" t="str">
        <f t="shared" si="1"/>
        <v>愛知:ナベ</v>
      </c>
      <c r="F1515" s="338" t="s">
        <v>101</v>
      </c>
      <c r="G1515" s="339" t="str">
        <f t="shared" si="2"/>
        <v>愛知:ナベＨＳ２</v>
      </c>
      <c r="H1515" s="340">
        <f t="shared" si="3"/>
        <v>41</v>
      </c>
      <c r="I1515" s="341">
        <v>-0.5</v>
      </c>
      <c r="J1515" s="332">
        <f>IFERROR(__xludf.DUMMYFUNCTION("IF(IF(COUNTIF(P$2:P1514, P1515)=0, """", INDEX(H$2:H1514,
MAX(FILTER(ROW(H$2:H1514) - ROW(H$2) + 1, P$2:P1514 = P1515))))=""単価"","""",
IF(COUNTIF(P$2:P1514, P1515)=0, """", INDEX(H$2:H1514,
MAX(FILTER(ROW(H$2:H1514) - ROW(H$2) + 1, P$2:P1514 = P1515)))))"),41.5)</f>
        <v>41.5</v>
      </c>
      <c r="N1515" s="335" t="str">
        <f>IF(MAXIFS('単価履歴'!$O:$O,'単価履歴'!$E:$E,E1515,'単価履歴'!$F:$F,F1515)=O1515,"●","")</f>
        <v/>
      </c>
      <c r="O1515" s="346">
        <v>45773.28291666666</v>
      </c>
      <c r="P1515" s="334" t="str">
        <f t="shared" si="4"/>
        <v>愛知:ナベＨＳ２</v>
      </c>
    </row>
    <row r="1516" ht="15.75" customHeight="1">
      <c r="A1516" s="335" t="s">
        <v>2702</v>
      </c>
      <c r="B1516" s="336">
        <v>45773.0</v>
      </c>
      <c r="C1516" s="335" t="s">
        <v>14</v>
      </c>
      <c r="D1516" s="335" t="s">
        <v>48</v>
      </c>
      <c r="E1516" s="337" t="str">
        <f t="shared" si="1"/>
        <v>愛知:ナベ</v>
      </c>
      <c r="F1516" s="338" t="s">
        <v>111</v>
      </c>
      <c r="G1516" s="339" t="str">
        <f t="shared" si="2"/>
        <v>愛知:ナベＨ１(特A)</v>
      </c>
      <c r="H1516" s="340">
        <f t="shared" si="3"/>
        <v>40.5</v>
      </c>
      <c r="I1516" s="341">
        <v>-0.5</v>
      </c>
      <c r="J1516" s="332">
        <f>IFERROR(__xludf.DUMMYFUNCTION("IF(IF(COUNTIF(P$2:P1515, P1516)=0, """", INDEX(H$2:H1515,
MAX(FILTER(ROW(H$2:H1515) - ROW(H$2) + 1, P$2:P1515 = P1516))))=""単価"","""",
IF(COUNTIF(P$2:P1515, P1516)=0, """", INDEX(H$2:H1515,
MAX(FILTER(ROW(H$2:H1515) - ROW(H$2) + 1, P$2:P1515 = P1516)))))"),41.0)</f>
        <v>41</v>
      </c>
      <c r="N1516" s="335" t="str">
        <f>IF(MAXIFS('単価履歴'!$O:$O,'単価履歴'!$E:$E,E1516,'単価履歴'!$F:$F,F1516)=O1516,"●","")</f>
        <v/>
      </c>
      <c r="O1516" s="346">
        <v>45773.28291666666</v>
      </c>
      <c r="P1516" s="334" t="str">
        <f t="shared" si="4"/>
        <v>愛知:ナベＨ１(特A)</v>
      </c>
    </row>
    <row r="1517" ht="15.75" customHeight="1">
      <c r="A1517" s="335" t="s">
        <v>2703</v>
      </c>
      <c r="B1517" s="336">
        <v>45773.0</v>
      </c>
      <c r="C1517" s="335" t="s">
        <v>14</v>
      </c>
      <c r="D1517" s="335" t="s">
        <v>48</v>
      </c>
      <c r="E1517" s="337" t="str">
        <f t="shared" si="1"/>
        <v>愛知:ナベ</v>
      </c>
      <c r="F1517" s="338" t="s">
        <v>116</v>
      </c>
      <c r="G1517" s="339" t="str">
        <f t="shared" si="2"/>
        <v>愛知:ナベＨ２(特級)</v>
      </c>
      <c r="H1517" s="340">
        <f t="shared" si="3"/>
        <v>38.9</v>
      </c>
      <c r="I1517" s="341">
        <v>-0.5</v>
      </c>
      <c r="J1517" s="332">
        <f>IFERROR(__xludf.DUMMYFUNCTION("IF(IF(COUNTIF(P$2:P1516, P1517)=0, """", INDEX(H$2:H1516,
MAX(FILTER(ROW(H$2:H1516) - ROW(H$2) + 1, P$2:P1516 = P1517))))=""単価"","""",
IF(COUNTIF(P$2:P1516, P1517)=0, """", INDEX(H$2:H1516,
MAX(FILTER(ROW(H$2:H1516) - ROW(H$2) + 1, P$2:P1516 = P1517)))))"),39.4)</f>
        <v>39.4</v>
      </c>
      <c r="N1517" s="335" t="str">
        <f>IF(MAXIFS('単価履歴'!$O:$O,'単価履歴'!$E:$E,E1517,'単価履歴'!$F:$F,F1517)=O1517,"●","")</f>
        <v/>
      </c>
      <c r="O1517" s="346">
        <v>45773.28291666666</v>
      </c>
      <c r="P1517" s="334" t="str">
        <f t="shared" si="4"/>
        <v>愛知:ナベＨ２(特級)</v>
      </c>
    </row>
    <row r="1518" ht="15.75" customHeight="1">
      <c r="A1518" s="335" t="s">
        <v>2704</v>
      </c>
      <c r="B1518" s="336">
        <v>45773.0</v>
      </c>
      <c r="C1518" s="335" t="s">
        <v>14</v>
      </c>
      <c r="D1518" s="335" t="s">
        <v>48</v>
      </c>
      <c r="E1518" s="337" t="str">
        <f t="shared" si="1"/>
        <v>愛知:ナベ</v>
      </c>
      <c r="F1518" s="338" t="s">
        <v>119</v>
      </c>
      <c r="G1518" s="339" t="str">
        <f t="shared" si="2"/>
        <v>愛知:ナベＨ３(1級)</v>
      </c>
      <c r="H1518" s="340">
        <f t="shared" si="3"/>
        <v>37.9</v>
      </c>
      <c r="I1518" s="341">
        <v>-0.5</v>
      </c>
      <c r="J1518" s="332">
        <f>IFERROR(__xludf.DUMMYFUNCTION("IF(IF(COUNTIF(P$2:P1517, P1518)=0, """", INDEX(H$2:H1517,
MAX(FILTER(ROW(H$2:H1517) - ROW(H$2) + 1, P$2:P1517 = P1518))))=""単価"","""",
IF(COUNTIF(P$2:P1517, P1518)=0, """", INDEX(H$2:H1517,
MAX(FILTER(ROW(H$2:H1517) - ROW(H$2) + 1, P$2:P1517 = P1518)))))"),38.4)</f>
        <v>38.4</v>
      </c>
      <c r="N1518" s="335" t="str">
        <f>IF(MAXIFS('単価履歴'!$O:$O,'単価履歴'!$E:$E,E1518,'単価履歴'!$F:$F,F1518)=O1518,"●","")</f>
        <v/>
      </c>
      <c r="O1518" s="346">
        <v>45773.28291666666</v>
      </c>
      <c r="P1518" s="334" t="str">
        <f t="shared" si="4"/>
        <v>愛知:ナベＨ３(1級)</v>
      </c>
    </row>
    <row r="1519" ht="15.75" customHeight="1">
      <c r="A1519" s="335" t="s">
        <v>2705</v>
      </c>
      <c r="B1519" s="336">
        <v>45773.0</v>
      </c>
      <c r="C1519" s="335" t="s">
        <v>14</v>
      </c>
      <c r="D1519" s="335" t="s">
        <v>48</v>
      </c>
      <c r="E1519" s="337" t="str">
        <f t="shared" si="1"/>
        <v>愛知:ナベ</v>
      </c>
      <c r="F1519" s="338" t="s">
        <v>573</v>
      </c>
      <c r="G1519" s="339" t="str">
        <f t="shared" si="2"/>
        <v>愛知:ナベＬ２(H4･級外･L1ﾊﾞﾗ)</v>
      </c>
      <c r="H1519" s="340">
        <f t="shared" si="3"/>
        <v>33.9</v>
      </c>
      <c r="I1519" s="341">
        <v>-0.5</v>
      </c>
      <c r="J1519" s="332">
        <f>IFERROR(__xludf.DUMMYFUNCTION("IF(IF(COUNTIF(P$2:P1518, P1519)=0, """", INDEX(H$2:H1518,
MAX(FILTER(ROW(H$2:H1518) - ROW(H$2) + 1, P$2:P1518 = P1519))))=""単価"","""",
IF(COUNTIF(P$2:P1518, P1519)=0, """", INDEX(H$2:H1518,
MAX(FILTER(ROW(H$2:H1518) - ROW(H$2) + 1, P$2:P1518 = P1519)))))"),34.4)</f>
        <v>34.4</v>
      </c>
      <c r="N1519" s="335" t="str">
        <f>IF(MAXIFS('単価履歴'!$O:$O,'単価履歴'!$E:$E,E1519,'単価履歴'!$F:$F,F1519)=O1519,"●","")</f>
        <v/>
      </c>
      <c r="O1519" s="346">
        <v>45773.28291666666</v>
      </c>
      <c r="P1519" s="334" t="str">
        <f t="shared" si="4"/>
        <v>愛知:ナベＬ２(H4･級外･L1ﾊﾞﾗ)</v>
      </c>
    </row>
    <row r="1520" ht="15.75" customHeight="1">
      <c r="A1520" s="335" t="s">
        <v>2706</v>
      </c>
      <c r="B1520" s="336">
        <v>45773.0</v>
      </c>
      <c r="C1520" s="335" t="s">
        <v>14</v>
      </c>
      <c r="D1520" s="335" t="s">
        <v>48</v>
      </c>
      <c r="E1520" s="337" t="str">
        <f t="shared" si="1"/>
        <v>愛知:ナベ</v>
      </c>
      <c r="F1520" s="338" t="s">
        <v>575</v>
      </c>
      <c r="G1520" s="339" t="str">
        <f t="shared" si="2"/>
        <v>愛知:ナベ鋼ダライＡ</v>
      </c>
      <c r="H1520" s="340">
        <f t="shared" si="3"/>
        <v>1</v>
      </c>
      <c r="I1520" s="341">
        <v>-0.5</v>
      </c>
      <c r="J1520" s="332">
        <f>IFERROR(__xludf.DUMMYFUNCTION("IF(IF(COUNTIF(P$2:P1519, P1520)=0, """", INDEX(H$2:H1519,
MAX(FILTER(ROW(H$2:H1519) - ROW(H$2) + 1, P$2:P1519 = P1520))))=""単価"","""",
IF(COUNTIF(P$2:P1519, P1520)=0, """", INDEX(H$2:H1519,
MAX(FILTER(ROW(H$2:H1519) - ROW(H$2) + 1, P$2:P1519 = P1520)))))"),1.5)</f>
        <v>1.5</v>
      </c>
      <c r="N1520" s="335" t="str">
        <f>IF(MAXIFS('単価履歴'!$O:$O,'単価履歴'!$E:$E,E1520,'単価履歴'!$F:$F,F1520)=O1520,"●","")</f>
        <v/>
      </c>
      <c r="O1520" s="346">
        <v>45773.28291666666</v>
      </c>
      <c r="P1520" s="334" t="str">
        <f t="shared" si="4"/>
        <v>愛知:ナベ鋼ダライＡ</v>
      </c>
    </row>
    <row r="1521" ht="15.75" customHeight="1">
      <c r="A1521" s="335" t="s">
        <v>2707</v>
      </c>
      <c r="B1521" s="336">
        <v>45773.0</v>
      </c>
      <c r="C1521" s="335" t="s">
        <v>14</v>
      </c>
      <c r="D1521" s="335" t="s">
        <v>46</v>
      </c>
      <c r="E1521" s="337" t="str">
        <f t="shared" si="1"/>
        <v>愛知:阪和</v>
      </c>
      <c r="F1521" s="338" t="s">
        <v>145</v>
      </c>
      <c r="G1521" s="339" t="str">
        <f t="shared" si="2"/>
        <v>愛知:阪和シュレＡ</v>
      </c>
      <c r="H1521" s="340">
        <f t="shared" si="3"/>
        <v>43.5</v>
      </c>
      <c r="I1521" s="341">
        <v>-1.0</v>
      </c>
      <c r="J1521" s="332">
        <f>IFERROR(__xludf.DUMMYFUNCTION("IF(IF(COUNTIF(P$2:P1520, P1521)=0, """", INDEX(H$2:H1520,
MAX(FILTER(ROW(H$2:H1520) - ROW(H$2) + 1, P$2:P1520 = P1521))))=""単価"","""",
IF(COUNTIF(P$2:P1520, P1521)=0, """", INDEX(H$2:H1520,
MAX(FILTER(ROW(H$2:H1520) - ROW(H$2) + 1, P$2:P1520 = P1521)))))"),44.5)</f>
        <v>44.5</v>
      </c>
      <c r="N1521" s="335" t="str">
        <f>IF(MAXIFS('単価履歴'!$O:$O,'単価履歴'!$E:$E,E1521,'単価履歴'!$F:$F,F1521)=O1521,"●","")</f>
        <v/>
      </c>
      <c r="O1521" s="346">
        <v>45773.28337962963</v>
      </c>
      <c r="P1521" s="334" t="str">
        <f t="shared" si="4"/>
        <v>愛知:阪和シュレＡ</v>
      </c>
    </row>
    <row r="1522" ht="15.75" customHeight="1">
      <c r="A1522" s="335" t="s">
        <v>2708</v>
      </c>
      <c r="B1522" s="336">
        <v>45773.0</v>
      </c>
      <c r="C1522" s="335" t="s">
        <v>15</v>
      </c>
      <c r="D1522" s="335" t="s">
        <v>58</v>
      </c>
      <c r="E1522" s="337" t="str">
        <f t="shared" si="1"/>
        <v>山口鋼業:MM建材</v>
      </c>
      <c r="F1522" s="338" t="s">
        <v>1199</v>
      </c>
      <c r="G1522" s="339" t="str">
        <f t="shared" si="2"/>
        <v>山口鋼業:MM建材ＨＳ１(単体H1/電特A/HS))</v>
      </c>
      <c r="H1522" s="340">
        <f t="shared" si="3"/>
        <v>40.5</v>
      </c>
      <c r="I1522" s="341">
        <v>-0.5</v>
      </c>
      <c r="J1522" s="332">
        <f>IFERROR(__xludf.DUMMYFUNCTION("IF(IF(COUNTIF(P$2:P1521, P1522)=0, """", INDEX(H$2:H1521,
MAX(FILTER(ROW(H$2:H1521) - ROW(H$2) + 1, P$2:P1521 = P1522))))=""単価"","""",
IF(COUNTIF(P$2:P1521, P1522)=0, """", INDEX(H$2:H1521,
MAX(FILTER(ROW(H$2:H1521) - ROW(H$2) + 1, P$2:P1521 = P1522)))))"),41.0)</f>
        <v>41</v>
      </c>
      <c r="N1522" s="335" t="str">
        <f>IF(MAXIFS('単価履歴'!$O:$O,'単価履歴'!$E:$E,E1522,'単価履歴'!$F:$F,F1522)=O1522,"●","")</f>
        <v/>
      </c>
      <c r="O1522" s="346">
        <v>45773.284537037034</v>
      </c>
      <c r="P1522" s="334" t="str">
        <f t="shared" si="4"/>
        <v>山口鋼業:MM建材ＨＳ１(単体H1/電特A/HS))</v>
      </c>
    </row>
    <row r="1523" ht="15.75" customHeight="1">
      <c r="A1523" s="335" t="s">
        <v>2709</v>
      </c>
      <c r="B1523" s="336">
        <v>45773.0</v>
      </c>
      <c r="C1523" s="335" t="s">
        <v>15</v>
      </c>
      <c r="D1523" s="335" t="s">
        <v>58</v>
      </c>
      <c r="E1523" s="337" t="str">
        <f t="shared" si="1"/>
        <v>山口鋼業:MM建材</v>
      </c>
      <c r="F1523" s="338" t="s">
        <v>1237</v>
      </c>
      <c r="G1523" s="339" t="str">
        <f t="shared" si="2"/>
        <v>山口鋼業:MM建材ＪＨ１(H2T山口)鍛造ﾊﾞﾘ</v>
      </c>
      <c r="H1523" s="340">
        <f t="shared" si="3"/>
        <v>40</v>
      </c>
      <c r="I1523" s="341">
        <v>-0.5</v>
      </c>
      <c r="J1523" s="332">
        <f>IFERROR(__xludf.DUMMYFUNCTION("IF(IF(COUNTIF(P$2:P1522, P1523)=0, """", INDEX(H$2:H1522,
MAX(FILTER(ROW(H$2:H1522) - ROW(H$2) + 1, P$2:P1522 = P1523))))=""単価"","""",
IF(COUNTIF(P$2:P1522, P1523)=0, """", INDEX(H$2:H1522,
MAX(FILTER(ROW(H$2:H1522) - ROW(H$2) + 1, P$2:P1522 = P1523)))))"),40.5)</f>
        <v>40.5</v>
      </c>
      <c r="N1523" s="335" t="str">
        <f>IF(MAXIFS('単価履歴'!$O:$O,'単価履歴'!$E:$E,E1523,'単価履歴'!$F:$F,F1523)=O1523,"●","")</f>
        <v/>
      </c>
      <c r="O1523" s="346">
        <v>45773.284537037034</v>
      </c>
      <c r="P1523" s="334" t="str">
        <f t="shared" si="4"/>
        <v>山口鋼業:MM建材ＪＨ１(H2T山口)鍛造ﾊﾞﾘ</v>
      </c>
    </row>
    <row r="1524" ht="15.75" customHeight="1">
      <c r="A1524" s="335" t="s">
        <v>2710</v>
      </c>
      <c r="B1524" s="336">
        <v>45773.0</v>
      </c>
      <c r="C1524" s="335" t="s">
        <v>15</v>
      </c>
      <c r="D1524" s="335" t="s">
        <v>58</v>
      </c>
      <c r="E1524" s="337" t="str">
        <f t="shared" si="1"/>
        <v>山口鋼業:MM建材</v>
      </c>
      <c r="F1524" s="338" t="s">
        <v>116</v>
      </c>
      <c r="G1524" s="339" t="str">
        <f t="shared" si="2"/>
        <v>山口鋼業:MM建材Ｈ２(特級)</v>
      </c>
      <c r="H1524" s="340">
        <f t="shared" si="3"/>
        <v>39</v>
      </c>
      <c r="I1524" s="341">
        <v>-0.5</v>
      </c>
      <c r="J1524" s="332">
        <f>IFERROR(__xludf.DUMMYFUNCTION("IF(IF(COUNTIF(P$2:P1523, P1524)=0, """", INDEX(H$2:H1523,
MAX(FILTER(ROW(H$2:H1523) - ROW(H$2) + 1, P$2:P1523 = P1524))))=""単価"","""",
IF(COUNTIF(P$2:P1523, P1524)=0, """", INDEX(H$2:H1523,
MAX(FILTER(ROW(H$2:H1523) - ROW(H$2) + 1, P$2:P1523 = P1524)))))"),39.5)</f>
        <v>39.5</v>
      </c>
      <c r="N1524" s="335" t="str">
        <f>IF(MAXIFS('単価履歴'!$O:$O,'単価履歴'!$E:$E,E1524,'単価履歴'!$F:$F,F1524)=O1524,"●","")</f>
        <v/>
      </c>
      <c r="O1524" s="346">
        <v>45773.284537037034</v>
      </c>
      <c r="P1524" s="334" t="str">
        <f t="shared" si="4"/>
        <v>山口鋼業:MM建材Ｈ２(特級)</v>
      </c>
    </row>
    <row r="1525" ht="15.75" customHeight="1">
      <c r="A1525" s="335" t="s">
        <v>2711</v>
      </c>
      <c r="B1525" s="336">
        <v>45773.0</v>
      </c>
      <c r="C1525" s="335" t="s">
        <v>15</v>
      </c>
      <c r="D1525" s="335" t="s">
        <v>58</v>
      </c>
      <c r="E1525" s="337" t="str">
        <f t="shared" si="1"/>
        <v>山口鋼業:MM建材</v>
      </c>
      <c r="F1525" s="338" t="s">
        <v>119</v>
      </c>
      <c r="G1525" s="339" t="str">
        <f t="shared" si="2"/>
        <v>山口鋼業:MM建材Ｈ３(1級)</v>
      </c>
      <c r="H1525" s="340">
        <f t="shared" si="3"/>
        <v>38</v>
      </c>
      <c r="I1525" s="341">
        <v>-0.5</v>
      </c>
      <c r="J1525" s="332">
        <f>IFERROR(__xludf.DUMMYFUNCTION("IF(IF(COUNTIF(P$2:P1524, P1525)=0, """", INDEX(H$2:H1524,
MAX(FILTER(ROW(H$2:H1524) - ROW(H$2) + 1, P$2:P1524 = P1525))))=""単価"","""",
IF(COUNTIF(P$2:P1524, P1525)=0, """", INDEX(H$2:H1524,
MAX(FILTER(ROW(H$2:H1524) - ROW(H$2) + 1, P$2:P1524 = P1525)))))"),38.5)</f>
        <v>38.5</v>
      </c>
      <c r="N1525" s="335" t="str">
        <f>IF(MAXIFS('単価履歴'!$O:$O,'単価履歴'!$E:$E,E1525,'単価履歴'!$F:$F,F1525)=O1525,"●","")</f>
        <v/>
      </c>
      <c r="O1525" s="346">
        <v>45773.284537037034</v>
      </c>
      <c r="P1525" s="334" t="str">
        <f t="shared" si="4"/>
        <v>山口鋼業:MM建材Ｈ３(1級)</v>
      </c>
    </row>
    <row r="1526" ht="15.75" customHeight="1">
      <c r="A1526" s="335" t="s">
        <v>2712</v>
      </c>
      <c r="B1526" s="336">
        <v>45773.0</v>
      </c>
      <c r="C1526" s="335" t="s">
        <v>15</v>
      </c>
      <c r="D1526" s="335" t="s">
        <v>58</v>
      </c>
      <c r="E1526" s="337" t="str">
        <f t="shared" si="1"/>
        <v>山口鋼業:MM建材</v>
      </c>
      <c r="F1526" s="338" t="s">
        <v>573</v>
      </c>
      <c r="G1526" s="339" t="str">
        <f t="shared" si="2"/>
        <v>山口鋼業:MM建材Ｌ２(H4･級外･L1ﾊﾞﾗ)</v>
      </c>
      <c r="H1526" s="340">
        <f t="shared" si="3"/>
        <v>36.5</v>
      </c>
      <c r="I1526" s="341">
        <v>-0.5</v>
      </c>
      <c r="J1526" s="332">
        <f>IFERROR(__xludf.DUMMYFUNCTION("IF(IF(COUNTIF(P$2:P1525, P1526)=0, """", INDEX(H$2:H1525,
MAX(FILTER(ROW(H$2:H1525) - ROW(H$2) + 1, P$2:P1525 = P1526))))=""単価"","""",
IF(COUNTIF(P$2:P1525, P1526)=0, """", INDEX(H$2:H1525,
MAX(FILTER(ROW(H$2:H1525) - ROW(H$2) + 1, P$2:P1525 = P1526)))))"),37.0)</f>
        <v>37</v>
      </c>
      <c r="N1526" s="335" t="str">
        <f>IF(MAXIFS('単価履歴'!$O:$O,'単価履歴'!$E:$E,E1526,'単価履歴'!$F:$F,F1526)=O1526,"●","")</f>
        <v/>
      </c>
      <c r="O1526" s="346">
        <v>45773.284537037034</v>
      </c>
      <c r="P1526" s="334" t="str">
        <f t="shared" si="4"/>
        <v>山口鋼業:MM建材Ｌ２(H4･級外･L1ﾊﾞﾗ)</v>
      </c>
    </row>
    <row r="1527" ht="15.75" customHeight="1">
      <c r="A1527" s="335" t="s">
        <v>2713</v>
      </c>
      <c r="B1527" s="336">
        <v>45773.0</v>
      </c>
      <c r="C1527" s="335" t="s">
        <v>15</v>
      </c>
      <c r="D1527" s="335" t="s">
        <v>58</v>
      </c>
      <c r="E1527" s="337" t="str">
        <f t="shared" si="1"/>
        <v>山口鋼業:MM建材</v>
      </c>
      <c r="F1527" s="338" t="s">
        <v>575</v>
      </c>
      <c r="G1527" s="339" t="str">
        <f t="shared" si="2"/>
        <v>山口鋼業:MM建材鋼ダライＡ</v>
      </c>
      <c r="H1527" s="340">
        <f t="shared" si="3"/>
        <v>36.6</v>
      </c>
      <c r="I1527" s="341">
        <v>-0.5</v>
      </c>
      <c r="J1527" s="332">
        <f>IFERROR(__xludf.DUMMYFUNCTION("IF(IF(COUNTIF(P$2:P1526, P1527)=0, """", INDEX(H$2:H1526,
MAX(FILTER(ROW(H$2:H1526) - ROW(H$2) + 1, P$2:P1526 = P1527))))=""単価"","""",
IF(COUNTIF(P$2:P1526, P1527)=0, """", INDEX(H$2:H1526,
MAX(FILTER(ROW(H$2:H1526) - ROW(H$2) + 1, P$2:P1526 = P1527)))))"),37.1)</f>
        <v>37.1</v>
      </c>
      <c r="N1527" s="335" t="str">
        <f>IF(MAXIFS('単価履歴'!$O:$O,'単価履歴'!$E:$E,E1527,'単価履歴'!$F:$F,F1527)=O1527,"●","")</f>
        <v/>
      </c>
      <c r="O1527" s="346">
        <v>45773.284537037034</v>
      </c>
      <c r="P1527" s="334" t="str">
        <f t="shared" si="4"/>
        <v>山口鋼業:MM建材鋼ダライＡ</v>
      </c>
    </row>
    <row r="1528" ht="15.75" customHeight="1">
      <c r="A1528" s="335" t="s">
        <v>2714</v>
      </c>
      <c r="B1528" s="336">
        <v>45773.0</v>
      </c>
      <c r="C1528" s="335" t="s">
        <v>15</v>
      </c>
      <c r="D1528" s="335" t="s">
        <v>58</v>
      </c>
      <c r="E1528" s="337" t="str">
        <f t="shared" si="1"/>
        <v>山口鋼業:MM建材</v>
      </c>
      <c r="F1528" s="338" t="s">
        <v>577</v>
      </c>
      <c r="G1528" s="339" t="str">
        <f t="shared" si="2"/>
        <v>山口鋼業:MM建材鋳物・ﾀﾞｸﾀｲﾙ</v>
      </c>
      <c r="H1528" s="340">
        <f t="shared" si="3"/>
        <v>40.5</v>
      </c>
      <c r="I1528" s="341">
        <v>-0.5</v>
      </c>
      <c r="J1528" s="332">
        <f>IFERROR(__xludf.DUMMYFUNCTION("IF(IF(COUNTIF(P$2:P1527, P1528)=0, """", INDEX(H$2:H1527,
MAX(FILTER(ROW(H$2:H1527) - ROW(H$2) + 1, P$2:P1527 = P1528))))=""単価"","""",
IF(COUNTIF(P$2:P1527, P1528)=0, """", INDEX(H$2:H1527,
MAX(FILTER(ROW(H$2:H1527) - ROW(H$2) + 1, P$2:P1527 = P1528)))))"),41.0)</f>
        <v>41</v>
      </c>
      <c r="N1528" s="335" t="str">
        <f>IF(MAXIFS('単価履歴'!$O:$O,'単価履歴'!$E:$E,E1528,'単価履歴'!$F:$F,F1528)=O1528,"●","")</f>
        <v/>
      </c>
      <c r="O1528" s="346">
        <v>45773.284537037034</v>
      </c>
      <c r="P1528" s="334" t="str">
        <f t="shared" si="4"/>
        <v>山口鋼業:MM建材鋳物・ﾀﾞｸﾀｲﾙ</v>
      </c>
    </row>
    <row r="1529" ht="15.75" customHeight="1">
      <c r="A1529" s="335"/>
      <c r="B1529" s="336"/>
      <c r="C1529" s="335"/>
      <c r="D1529" s="335"/>
      <c r="E1529" s="337" t="str">
        <f t="shared" si="1"/>
        <v>:</v>
      </c>
      <c r="F1529" s="338"/>
      <c r="G1529" s="339" t="str">
        <f t="shared" si="2"/>
        <v>:</v>
      </c>
      <c r="H1529" s="340">
        <f t="shared" si="3"/>
        <v>0</v>
      </c>
      <c r="I1529" s="341"/>
      <c r="J1529" s="332">
        <f>IFERROR(__xludf.DUMMYFUNCTION("IF(IF(COUNTIF(P$2:P1528, P1529)=0, """", INDEX(H$2:H1528,
MAX(FILTER(ROW(H$2:H1528) - ROW(H$2) + 1, P$2:P1528 = P1529))))=""単価"","""",
IF(COUNTIF(P$2:P1528, P1529)=0, """", INDEX(H$2:H1528,
MAX(FILTER(ROW(H$2:H1528) - ROW(H$2) + 1, P$2:P1528 = P1529)))))"),0.0)</f>
        <v>0</v>
      </c>
      <c r="N1529" s="335" t="str">
        <f>IF(MAXIFS('単価履歴'!$O:$O,'単価履歴'!$E:$E,E1529,'単価履歴'!$F:$F,F1529)=O1529,"●","")</f>
        <v>●</v>
      </c>
      <c r="O1529" s="346"/>
      <c r="P1529" s="334" t="str">
        <f t="shared" si="4"/>
        <v>:</v>
      </c>
    </row>
    <row r="1530" ht="15.75" customHeight="1">
      <c r="A1530" s="335" t="s">
        <v>2715</v>
      </c>
      <c r="B1530" s="336">
        <v>45773.0</v>
      </c>
      <c r="C1530" s="335" t="s">
        <v>15</v>
      </c>
      <c r="D1530" s="335" t="s">
        <v>46</v>
      </c>
      <c r="E1530" s="337" t="str">
        <f t="shared" si="1"/>
        <v>山口鋼業:阪和</v>
      </c>
      <c r="F1530" s="338" t="s">
        <v>1199</v>
      </c>
      <c r="G1530" s="339" t="str">
        <f t="shared" si="2"/>
        <v>山口鋼業:阪和ＨＳ１(単体H1/電特A/HS))</v>
      </c>
      <c r="H1530" s="340">
        <f t="shared" si="3"/>
        <v>42</v>
      </c>
      <c r="I1530" s="341">
        <v>-0.5</v>
      </c>
      <c r="J1530" s="332">
        <f>IFERROR(__xludf.DUMMYFUNCTION("IF(IF(COUNTIF(P$2:P1529, P1530)=0, """", INDEX(H$2:H1529,
MAX(FILTER(ROW(H$2:H1529) - ROW(H$2) + 1, P$2:P1529 = P1530))))=""単価"","""",
IF(COUNTIF(P$2:P1529, P1530)=0, """", INDEX(H$2:H1529,
MAX(FILTER(ROW(H$2:H1529) - ROW(H$2) + 1, P$2:P1529 = P1530)))))"),42.5)</f>
        <v>42.5</v>
      </c>
      <c r="N1530" s="335" t="str">
        <f>IF(MAXIFS('単価履歴'!$O:$O,'単価履歴'!$E:$E,E1530,'単価履歴'!$F:$F,F1530)=O1530,"●","")</f>
        <v/>
      </c>
      <c r="O1530" s="346">
        <v>45773.284537037034</v>
      </c>
      <c r="P1530" s="334" t="str">
        <f t="shared" si="4"/>
        <v>山口鋼業:阪和ＨＳ１(単体H1/電特A/HS))</v>
      </c>
    </row>
    <row r="1531" ht="15.75" customHeight="1">
      <c r="A1531" s="335"/>
      <c r="B1531" s="336"/>
      <c r="C1531" s="335"/>
      <c r="D1531" s="335"/>
      <c r="E1531" s="337" t="str">
        <f t="shared" si="1"/>
        <v>:</v>
      </c>
      <c r="F1531" s="338"/>
      <c r="G1531" s="339" t="str">
        <f t="shared" si="2"/>
        <v>:</v>
      </c>
      <c r="H1531" s="340">
        <f t="shared" si="3"/>
        <v>0</v>
      </c>
      <c r="I1531" s="341"/>
      <c r="J1531" s="332">
        <f>IFERROR(__xludf.DUMMYFUNCTION("IF(IF(COUNTIF(P$2:P1530, P1531)=0, """", INDEX(H$2:H1530,
MAX(FILTER(ROW(H$2:H1530) - ROW(H$2) + 1, P$2:P1530 = P1531))))=""単価"","""",
IF(COUNTIF(P$2:P1530, P1531)=0, """", INDEX(H$2:H1530,
MAX(FILTER(ROW(H$2:H1530) - ROW(H$2) + 1, P$2:P1530 = P1531)))))"),0.0)</f>
        <v>0</v>
      </c>
      <c r="N1531" s="335" t="str">
        <f>IF(MAXIFS('単価履歴'!$O:$O,'単価履歴'!$E:$E,E1531,'単価履歴'!$F:$F,F1531)=O1531,"●","")</f>
        <v>●</v>
      </c>
      <c r="O1531" s="346"/>
      <c r="P1531" s="334" t="str">
        <f t="shared" si="4"/>
        <v>:</v>
      </c>
    </row>
    <row r="1532" ht="15.75" customHeight="1">
      <c r="A1532" s="335" t="s">
        <v>2716</v>
      </c>
      <c r="B1532" s="336">
        <v>45773.0</v>
      </c>
      <c r="C1532" s="335" t="s">
        <v>15</v>
      </c>
      <c r="D1532" s="335" t="s">
        <v>46</v>
      </c>
      <c r="E1532" s="337" t="str">
        <f t="shared" si="1"/>
        <v>山口鋼業:阪和</v>
      </c>
      <c r="F1532" s="338" t="s">
        <v>116</v>
      </c>
      <c r="G1532" s="339" t="str">
        <f t="shared" si="2"/>
        <v>山口鋼業:阪和Ｈ２(特級)</v>
      </c>
      <c r="H1532" s="340">
        <f t="shared" si="3"/>
        <v>40</v>
      </c>
      <c r="I1532" s="341">
        <v>-0.5</v>
      </c>
      <c r="J1532" s="332">
        <f>IFERROR(__xludf.DUMMYFUNCTION("IF(IF(COUNTIF(P$2:P1531, P1532)=0, """", INDEX(H$2:H1531,
MAX(FILTER(ROW(H$2:H1531) - ROW(H$2) + 1, P$2:P1531 = P1532))))=""単価"","""",
IF(COUNTIF(P$2:P1531, P1532)=0, """", INDEX(H$2:H1531,
MAX(FILTER(ROW(H$2:H1531) - ROW(H$2) + 1, P$2:P1531 = P1532)))))"),40.5)</f>
        <v>40.5</v>
      </c>
      <c r="N1532" s="335" t="str">
        <f>IF(MAXIFS('単価履歴'!$O:$O,'単価履歴'!$E:$E,E1532,'単価履歴'!$F:$F,F1532)=O1532,"●","")</f>
        <v/>
      </c>
      <c r="O1532" s="346">
        <v>45773.284537037034</v>
      </c>
      <c r="P1532" s="334" t="str">
        <f t="shared" si="4"/>
        <v>山口鋼業:阪和Ｈ２(特級)</v>
      </c>
    </row>
    <row r="1533" ht="15.75" customHeight="1">
      <c r="A1533" s="335" t="s">
        <v>2717</v>
      </c>
      <c r="B1533" s="336">
        <v>45773.0</v>
      </c>
      <c r="C1533" s="335" t="s">
        <v>15</v>
      </c>
      <c r="D1533" s="335" t="s">
        <v>46</v>
      </c>
      <c r="E1533" s="337" t="str">
        <f t="shared" si="1"/>
        <v>山口鋼業:阪和</v>
      </c>
      <c r="F1533" s="338" t="s">
        <v>119</v>
      </c>
      <c r="G1533" s="339" t="str">
        <f t="shared" si="2"/>
        <v>山口鋼業:阪和Ｈ３(1級)</v>
      </c>
      <c r="H1533" s="340">
        <f t="shared" si="3"/>
        <v>39</v>
      </c>
      <c r="I1533" s="341">
        <v>-0.5</v>
      </c>
      <c r="J1533" s="332">
        <f>IFERROR(__xludf.DUMMYFUNCTION("IF(IF(COUNTIF(P$2:P1532, P1533)=0, """", INDEX(H$2:H1532,
MAX(FILTER(ROW(H$2:H1532) - ROW(H$2) + 1, P$2:P1532 = P1533))))=""単価"","""",
IF(COUNTIF(P$2:P1532, P1533)=0, """", INDEX(H$2:H1532,
MAX(FILTER(ROW(H$2:H1532) - ROW(H$2) + 1, P$2:P1532 = P1533)))))"),39.5)</f>
        <v>39.5</v>
      </c>
      <c r="N1533" s="335" t="str">
        <f>IF(MAXIFS('単価履歴'!$O:$O,'単価履歴'!$E:$E,E1533,'単価履歴'!$F:$F,F1533)=O1533,"●","")</f>
        <v/>
      </c>
      <c r="O1533" s="346">
        <v>45773.284537037034</v>
      </c>
      <c r="P1533" s="334" t="str">
        <f t="shared" si="4"/>
        <v>山口鋼業:阪和Ｈ３(1級)</v>
      </c>
    </row>
    <row r="1534" ht="15.75" customHeight="1">
      <c r="A1534" s="335" t="s">
        <v>2718</v>
      </c>
      <c r="B1534" s="336">
        <v>45773.0</v>
      </c>
      <c r="C1534" s="335" t="s">
        <v>15</v>
      </c>
      <c r="D1534" s="335" t="s">
        <v>46</v>
      </c>
      <c r="E1534" s="337" t="str">
        <f t="shared" si="1"/>
        <v>山口鋼業:阪和</v>
      </c>
      <c r="F1534" s="338" t="s">
        <v>573</v>
      </c>
      <c r="G1534" s="339" t="str">
        <f t="shared" si="2"/>
        <v>山口鋼業:阪和Ｌ２(H4･級外･L1ﾊﾞﾗ)</v>
      </c>
      <c r="H1534" s="340">
        <f t="shared" si="3"/>
        <v>37.5</v>
      </c>
      <c r="I1534" s="341">
        <v>-0.5</v>
      </c>
      <c r="J1534" s="332">
        <f>IFERROR(__xludf.DUMMYFUNCTION("IF(IF(COUNTIF(P$2:P1533, P1534)=0, """", INDEX(H$2:H1533,
MAX(FILTER(ROW(H$2:H1533) - ROW(H$2) + 1, P$2:P1533 = P1534))))=""単価"","""",
IF(COUNTIF(P$2:P1533, P1534)=0, """", INDEX(H$2:H1533,
MAX(FILTER(ROW(H$2:H1533) - ROW(H$2) + 1, P$2:P1533 = P1534)))))"),38.0)</f>
        <v>38</v>
      </c>
      <c r="N1534" s="335" t="str">
        <f>IF(MAXIFS('単価履歴'!$O:$O,'単価履歴'!$E:$E,E1534,'単価履歴'!$F:$F,F1534)=O1534,"●","")</f>
        <v/>
      </c>
      <c r="O1534" s="346">
        <v>45773.284537037034</v>
      </c>
      <c r="P1534" s="334" t="str">
        <f t="shared" si="4"/>
        <v>山口鋼業:阪和Ｌ２(H4･級外･L1ﾊﾞﾗ)</v>
      </c>
    </row>
    <row r="1535" ht="15.75" customHeight="1">
      <c r="A1535" s="335" t="s">
        <v>2719</v>
      </c>
      <c r="B1535" s="336">
        <v>45773.0</v>
      </c>
      <c r="C1535" s="335" t="s">
        <v>15</v>
      </c>
      <c r="D1535" s="335" t="s">
        <v>46</v>
      </c>
      <c r="E1535" s="337" t="str">
        <f t="shared" si="1"/>
        <v>山口鋼業:阪和</v>
      </c>
      <c r="F1535" s="338" t="s">
        <v>575</v>
      </c>
      <c r="G1535" s="339" t="str">
        <f t="shared" si="2"/>
        <v>山口鋼業:阪和鋼ダライＡ</v>
      </c>
      <c r="H1535" s="340">
        <f t="shared" si="3"/>
        <v>1.5</v>
      </c>
      <c r="I1535" s="341">
        <v>-0.5</v>
      </c>
      <c r="J1535" s="332">
        <f>IFERROR(__xludf.DUMMYFUNCTION("IF(IF(COUNTIF(P$2:P1534, P1535)=0, """", INDEX(H$2:H1534,
MAX(FILTER(ROW(H$2:H1534) - ROW(H$2) + 1, P$2:P1534 = P1535))))=""単価"","""",
IF(COUNTIF(P$2:P1534, P1535)=0, """", INDEX(H$2:H1534,
MAX(FILTER(ROW(H$2:H1534) - ROW(H$2) + 1, P$2:P1534 = P1535)))))"),2.0)</f>
        <v>2</v>
      </c>
      <c r="N1535" s="335" t="str">
        <f>IF(MAXIFS('単価履歴'!$O:$O,'単価履歴'!$E:$E,E1535,'単価履歴'!$F:$F,F1535)=O1535,"●","")</f>
        <v/>
      </c>
      <c r="O1535" s="346">
        <v>45773.284537037034</v>
      </c>
      <c r="P1535" s="334" t="str">
        <f t="shared" si="4"/>
        <v>山口鋼業:阪和鋼ダライＡ</v>
      </c>
    </row>
    <row r="1536" ht="15.75" customHeight="1">
      <c r="A1536" s="335"/>
      <c r="B1536" s="336"/>
      <c r="C1536" s="335"/>
      <c r="D1536" s="335"/>
      <c r="E1536" s="337" t="str">
        <f t="shared" si="1"/>
        <v>:</v>
      </c>
      <c r="F1536" s="338"/>
      <c r="G1536" s="339" t="str">
        <f t="shared" si="2"/>
        <v>:</v>
      </c>
      <c r="H1536" s="340">
        <f t="shared" si="3"/>
        <v>0</v>
      </c>
      <c r="I1536" s="341"/>
      <c r="J1536" s="332">
        <f>IFERROR(__xludf.DUMMYFUNCTION("IF(IF(COUNTIF(P$2:P1535, P1536)=0, """", INDEX(H$2:H1535,
MAX(FILTER(ROW(H$2:H1535) - ROW(H$2) + 1, P$2:P1535 = P1536))))=""単価"","""",
IF(COUNTIF(P$2:P1535, P1536)=0, """", INDEX(H$2:H1535,
MAX(FILTER(ROW(H$2:H1535) - ROW(H$2) + 1, P$2:P1535 = P1536)))))"),0.0)</f>
        <v>0</v>
      </c>
      <c r="N1536" s="335" t="str">
        <f>IF(MAXIFS('単価履歴'!$O:$O,'単価履歴'!$E:$E,E1536,'単価履歴'!$F:$F,F1536)=O1536,"●","")</f>
        <v>●</v>
      </c>
      <c r="O1536" s="346"/>
      <c r="P1536" s="334" t="str">
        <f t="shared" si="4"/>
        <v>:</v>
      </c>
    </row>
    <row r="1537" ht="15.75" customHeight="1">
      <c r="A1537" s="335" t="s">
        <v>2720</v>
      </c>
      <c r="B1537" s="336">
        <v>45773.0</v>
      </c>
      <c r="C1537" s="335" t="s">
        <v>15</v>
      </c>
      <c r="D1537" s="335" t="s">
        <v>46</v>
      </c>
      <c r="E1537" s="337" t="str">
        <f t="shared" si="1"/>
        <v>山口鋼業:阪和</v>
      </c>
      <c r="F1537" s="338" t="s">
        <v>111</v>
      </c>
      <c r="G1537" s="339" t="str">
        <f t="shared" si="2"/>
        <v>山口鋼業:阪和Ｈ１(特A)</v>
      </c>
      <c r="H1537" s="340">
        <f t="shared" si="3"/>
        <v>40.5</v>
      </c>
      <c r="I1537" s="341">
        <v>-0.5</v>
      </c>
      <c r="J1537" s="332">
        <f>IFERROR(__xludf.DUMMYFUNCTION("IF(IF(COUNTIF(P$2:P1536, P1537)=0, """", INDEX(H$2:H1536,
MAX(FILTER(ROW(H$2:H1536) - ROW(H$2) + 1, P$2:P1536 = P1537))))=""単価"","""",
IF(COUNTIF(P$2:P1536, P1537)=0, """", INDEX(H$2:H1536,
MAX(FILTER(ROW(H$2:H1536) - ROW(H$2) + 1, P$2:P1536 = P1537)))))"),41.0)</f>
        <v>41</v>
      </c>
      <c r="N1537" s="335" t="str">
        <f>IF(MAXIFS('単価履歴'!$O:$O,'単価履歴'!$E:$E,E1537,'単価履歴'!$F:$F,F1537)=O1537,"●","")</f>
        <v/>
      </c>
      <c r="O1537" s="346">
        <v>45773.284537037034</v>
      </c>
      <c r="P1537" s="334" t="str">
        <f t="shared" si="4"/>
        <v>山口鋼業:阪和Ｈ１(特A)</v>
      </c>
    </row>
    <row r="1538" ht="15.75" customHeight="1">
      <c r="A1538" s="335" t="s">
        <v>2721</v>
      </c>
      <c r="B1538" s="336">
        <v>45773.0</v>
      </c>
      <c r="C1538" s="335" t="s">
        <v>537</v>
      </c>
      <c r="D1538" s="335" t="s">
        <v>59</v>
      </c>
      <c r="E1538" s="337" t="str">
        <f t="shared" si="1"/>
        <v>大同特殊鋼:大同興業</v>
      </c>
      <c r="F1538" s="338" t="s">
        <v>1199</v>
      </c>
      <c r="G1538" s="339" t="str">
        <f t="shared" si="2"/>
        <v>大同特殊鋼:大同興業ＨＳ１(単体H1/電特A/HS))</v>
      </c>
      <c r="H1538" s="340">
        <f t="shared" si="3"/>
        <v>44</v>
      </c>
      <c r="I1538" s="341">
        <v>-0.5</v>
      </c>
      <c r="J1538" s="332">
        <f>IFERROR(__xludf.DUMMYFUNCTION("IF(IF(COUNTIF(P$2:P1537, P1538)=0, """", INDEX(H$2:H1537,
MAX(FILTER(ROW(H$2:H1537) - ROW(H$2) + 1, P$2:P1537 = P1538))))=""単価"","""",
IF(COUNTIF(P$2:P1537, P1538)=0, """", INDEX(H$2:H1537,
MAX(FILTER(ROW(H$2:H1537) - ROW(H$2) + 1, P$2:P1537 = P1538)))))"),44.5)</f>
        <v>44.5</v>
      </c>
      <c r="N1538" s="335" t="str">
        <f>IF(MAXIFS('単価履歴'!$O:$O,'単価履歴'!$E:$E,E1538,'単価履歴'!$F:$F,F1538)=O1538,"●","")</f>
        <v/>
      </c>
      <c r="O1538" s="346">
        <v>45773.28596064815</v>
      </c>
      <c r="P1538" s="334" t="str">
        <f t="shared" si="4"/>
        <v>大同特殊鋼:大同興業ＨＳ１(単体H1/電特A/HS))</v>
      </c>
    </row>
    <row r="1539" ht="15.75" customHeight="1">
      <c r="A1539" s="335" t="s">
        <v>2722</v>
      </c>
      <c r="B1539" s="336">
        <v>45773.0</v>
      </c>
      <c r="C1539" s="335" t="s">
        <v>537</v>
      </c>
      <c r="D1539" s="335" t="s">
        <v>59</v>
      </c>
      <c r="E1539" s="337" t="str">
        <f t="shared" si="1"/>
        <v>大同特殊鋼:大同興業</v>
      </c>
      <c r="F1539" s="338" t="s">
        <v>575</v>
      </c>
      <c r="G1539" s="339" t="str">
        <f t="shared" si="2"/>
        <v>大同特殊鋼:大同興業鋼ダライＡ</v>
      </c>
      <c r="H1539" s="340">
        <f t="shared" si="3"/>
        <v>36.9</v>
      </c>
      <c r="I1539" s="341">
        <v>-0.5</v>
      </c>
      <c r="J1539" s="332">
        <f>IFERROR(__xludf.DUMMYFUNCTION("IF(IF(COUNTIF(P$2:P1538, P1539)=0, """", INDEX(H$2:H1538,
MAX(FILTER(ROW(H$2:H1538) - ROW(H$2) + 1, P$2:P1538 = P1539))))=""単価"","""",
IF(COUNTIF(P$2:P1538, P1539)=0, """", INDEX(H$2:H1538,
MAX(FILTER(ROW(H$2:H1538) - ROW(H$2) + 1, P$2:P1538 = P1539)))))"),37.4)</f>
        <v>37.4</v>
      </c>
      <c r="N1539" s="335" t="str">
        <f>IF(MAXIFS('単価履歴'!$O:$O,'単価履歴'!$E:$E,E1539,'単価履歴'!$F:$F,F1539)=O1539,"●","")</f>
        <v/>
      </c>
      <c r="O1539" s="346">
        <v>45773.28596064815</v>
      </c>
      <c r="P1539" s="334" t="str">
        <f t="shared" si="4"/>
        <v>大同特殊鋼:大同興業鋼ダライＡ</v>
      </c>
    </row>
    <row r="1540" ht="15.75" customHeight="1">
      <c r="A1540" s="335" t="s">
        <v>2723</v>
      </c>
      <c r="B1540" s="336">
        <v>45773.0</v>
      </c>
      <c r="C1540" s="335" t="s">
        <v>537</v>
      </c>
      <c r="D1540" s="335" t="s">
        <v>59</v>
      </c>
      <c r="E1540" s="337" t="str">
        <f t="shared" si="1"/>
        <v>大同特殊鋼:大同興業</v>
      </c>
      <c r="F1540" s="338" t="s">
        <v>116</v>
      </c>
      <c r="G1540" s="339" t="str">
        <f t="shared" si="2"/>
        <v>大同特殊鋼:大同興業Ｈ２(特級)</v>
      </c>
      <c r="H1540" s="340">
        <f t="shared" si="3"/>
        <v>0.5</v>
      </c>
      <c r="I1540" s="341">
        <v>-0.5</v>
      </c>
      <c r="J1540" s="332">
        <f>IFERROR(__xludf.DUMMYFUNCTION("IF(IF(COUNTIF(P$2:P1539, P1540)=0, """", INDEX(H$2:H1539,
MAX(FILTER(ROW(H$2:H1539) - ROW(H$2) + 1, P$2:P1539 = P1540))))=""単価"","""",
IF(COUNTIF(P$2:P1539, P1540)=0, """", INDEX(H$2:H1539,
MAX(FILTER(ROW(H$2:H1539) - ROW(H$2) + 1, P$2:P1539 = P1540)))))"),1.0)</f>
        <v>1</v>
      </c>
      <c r="N1540" s="335" t="str">
        <f>IF(MAXIFS('単価履歴'!$O:$O,'単価履歴'!$E:$E,E1540,'単価履歴'!$F:$F,F1540)=O1540,"●","")</f>
        <v/>
      </c>
      <c r="O1540" s="346">
        <v>45773.28596064815</v>
      </c>
      <c r="P1540" s="334" t="str">
        <f t="shared" si="4"/>
        <v>大同特殊鋼:大同興業Ｈ２(特級)</v>
      </c>
    </row>
    <row r="1541" ht="15.75" customHeight="1">
      <c r="A1541" s="335" t="s">
        <v>2724</v>
      </c>
      <c r="B1541" s="336">
        <v>45773.0</v>
      </c>
      <c r="C1541" s="335" t="s">
        <v>537</v>
      </c>
      <c r="D1541" s="335" t="s">
        <v>1404</v>
      </c>
      <c r="E1541" s="337" t="str">
        <f t="shared" si="1"/>
        <v>大同特殊鋼:JSE/大和ﾘﾃｯｸ</v>
      </c>
      <c r="F1541" s="338" t="s">
        <v>1199</v>
      </c>
      <c r="G1541" s="339" t="str">
        <f t="shared" si="2"/>
        <v>大同特殊鋼:JSE/大和ﾘﾃｯｸＨＳ１(単体H1/電特A/HS))</v>
      </c>
      <c r="H1541" s="340">
        <f t="shared" si="3"/>
        <v>45.3</v>
      </c>
      <c r="I1541" s="341">
        <v>-0.5</v>
      </c>
      <c r="J1541" s="332">
        <f>IFERROR(__xludf.DUMMYFUNCTION("IF(IF(COUNTIF(P$2:P1540, P1541)=0, """", INDEX(H$2:H1540,
MAX(FILTER(ROW(H$2:H1540) - ROW(H$2) + 1, P$2:P1540 = P1541))))=""単価"","""",
IF(COUNTIF(P$2:P1540, P1541)=0, """", INDEX(H$2:H1540,
MAX(FILTER(ROW(H$2:H1540) - ROW(H$2) + 1, P$2:P1540 = P1541)))))"),45.8)</f>
        <v>45.8</v>
      </c>
      <c r="N1541" s="335" t="str">
        <f>IF(MAXIFS('単価履歴'!$O:$O,'単価履歴'!$E:$E,E1541,'単価履歴'!$F:$F,F1541)=O1541,"●","")</f>
        <v/>
      </c>
      <c r="O1541" s="346">
        <v>45773.28596064815</v>
      </c>
      <c r="P1541" s="334" t="str">
        <f t="shared" si="4"/>
        <v>大同特殊鋼:JSE/大和ﾘﾃｯｸＨＳ１(単体H1/電特A/HS))</v>
      </c>
    </row>
    <row r="1542" ht="15.75" customHeight="1">
      <c r="A1542" s="335" t="s">
        <v>2725</v>
      </c>
      <c r="B1542" s="336">
        <v>45773.0</v>
      </c>
      <c r="C1542" s="335" t="s">
        <v>537</v>
      </c>
      <c r="D1542" s="335" t="s">
        <v>1404</v>
      </c>
      <c r="E1542" s="337" t="str">
        <f t="shared" si="1"/>
        <v>大同特殊鋼:JSE/大和ﾘﾃｯｸ</v>
      </c>
      <c r="F1542" s="338" t="s">
        <v>575</v>
      </c>
      <c r="G1542" s="339" t="str">
        <f t="shared" si="2"/>
        <v>大同特殊鋼:JSE/大和ﾘﾃｯｸ鋼ダライＡ</v>
      </c>
      <c r="H1542" s="340">
        <f t="shared" si="3"/>
        <v>39</v>
      </c>
      <c r="I1542" s="341">
        <v>-0.5</v>
      </c>
      <c r="J1542" s="332">
        <f>IFERROR(__xludf.DUMMYFUNCTION("IF(IF(COUNTIF(P$2:P1541, P1542)=0, """", INDEX(H$2:H1541,
MAX(FILTER(ROW(H$2:H1541) - ROW(H$2) + 1, P$2:P1541 = P1542))))=""単価"","""",
IF(COUNTIF(P$2:P1541, P1542)=0, """", INDEX(H$2:H1541,
MAX(FILTER(ROW(H$2:H1541) - ROW(H$2) + 1, P$2:P1541 = P1542)))))"),39.5)</f>
        <v>39.5</v>
      </c>
      <c r="N1542" s="335" t="str">
        <f>IF(MAXIFS('単価履歴'!$O:$O,'単価履歴'!$E:$E,E1542,'単価履歴'!$F:$F,F1542)=O1542,"●","")</f>
        <v/>
      </c>
      <c r="O1542" s="346">
        <v>45773.28596064815</v>
      </c>
      <c r="P1542" s="334" t="str">
        <f t="shared" si="4"/>
        <v>大同特殊鋼:JSE/大和ﾘﾃｯｸ鋼ダライＡ</v>
      </c>
    </row>
    <row r="1543" ht="15.75" customHeight="1">
      <c r="A1543" s="335" t="s">
        <v>2726</v>
      </c>
      <c r="B1543" s="336">
        <v>45773.0</v>
      </c>
      <c r="C1543" s="335" t="s">
        <v>537</v>
      </c>
      <c r="D1543" s="335" t="s">
        <v>1404</v>
      </c>
      <c r="E1543" s="337" t="str">
        <f t="shared" si="1"/>
        <v>大同特殊鋼:JSE/大和ﾘﾃｯｸ</v>
      </c>
      <c r="F1543" s="338" t="s">
        <v>116</v>
      </c>
      <c r="G1543" s="339" t="str">
        <f t="shared" si="2"/>
        <v>大同特殊鋼:JSE/大和ﾘﾃｯｸＨ２(特級)</v>
      </c>
      <c r="H1543" s="340">
        <f t="shared" si="3"/>
        <v>40.2</v>
      </c>
      <c r="I1543" s="341">
        <v>-0.5</v>
      </c>
      <c r="J1543" s="332">
        <f>IFERROR(__xludf.DUMMYFUNCTION("IF(IF(COUNTIF(P$2:P1542, P1543)=0, """", INDEX(H$2:H1542,
MAX(FILTER(ROW(H$2:H1542) - ROW(H$2) + 1, P$2:P1542 = P1543))))=""単価"","""",
IF(COUNTIF(P$2:P1542, P1543)=0, """", INDEX(H$2:H1542,
MAX(FILTER(ROW(H$2:H1542) - ROW(H$2) + 1, P$2:P1542 = P1543)))))"),40.7)</f>
        <v>40.7</v>
      </c>
      <c r="N1543" s="335" t="str">
        <f>IF(MAXIFS('単価履歴'!$O:$O,'単価履歴'!$E:$E,E1543,'単価履歴'!$F:$F,F1543)=O1543,"●","")</f>
        <v/>
      </c>
      <c r="O1543" s="346">
        <v>45773.28596064815</v>
      </c>
      <c r="P1543" s="334" t="str">
        <f t="shared" si="4"/>
        <v>大同特殊鋼:JSE/大和ﾘﾃｯｸＨ２(特級)</v>
      </c>
    </row>
    <row r="1544" ht="15.75" customHeight="1">
      <c r="A1544" s="335" t="s">
        <v>2727</v>
      </c>
      <c r="B1544" s="336">
        <v>45773.0</v>
      </c>
      <c r="C1544" s="335" t="s">
        <v>537</v>
      </c>
      <c r="D1544" s="335" t="s">
        <v>1407</v>
      </c>
      <c r="E1544" s="337" t="str">
        <f t="shared" si="1"/>
        <v>大同特殊鋼:JSE/第二＠2.3</v>
      </c>
      <c r="F1544" s="338" t="s">
        <v>1199</v>
      </c>
      <c r="G1544" s="339" t="str">
        <f t="shared" si="2"/>
        <v>大同特殊鋼:JSE/第二＠2.3ＨＳ１(単体H1/電特A/HS))</v>
      </c>
      <c r="H1544" s="340">
        <f t="shared" si="3"/>
        <v>43</v>
      </c>
      <c r="I1544" s="341">
        <v>-0.5</v>
      </c>
      <c r="J1544" s="332">
        <f>IFERROR(__xludf.DUMMYFUNCTION("IF(IF(COUNTIF(P$2:P1543, P1544)=0, """", INDEX(H$2:H1543,
MAX(FILTER(ROW(H$2:H1543) - ROW(H$2) + 1, P$2:P1543 = P1544))))=""単価"","""",
IF(COUNTIF(P$2:P1543, P1544)=0, """", INDEX(H$2:H1543,
MAX(FILTER(ROW(H$2:H1543) - ROW(H$2) + 1, P$2:P1543 = P1544)))))"),43.5)</f>
        <v>43.5</v>
      </c>
      <c r="N1544" s="335" t="str">
        <f>IF(MAXIFS('単価履歴'!$O:$O,'単価履歴'!$E:$E,E1544,'単価履歴'!$F:$F,F1544)=O1544,"●","")</f>
        <v/>
      </c>
      <c r="O1544" s="346">
        <v>45773.28596064815</v>
      </c>
      <c r="P1544" s="334" t="str">
        <f t="shared" si="4"/>
        <v>大同特殊鋼:JSE/第二＠2.3ＨＳ１(単体H1/電特A/HS))</v>
      </c>
    </row>
    <row r="1545" ht="15.75" customHeight="1">
      <c r="A1545" s="335" t="s">
        <v>2728</v>
      </c>
      <c r="B1545" s="336">
        <v>45773.0</v>
      </c>
      <c r="C1545" s="335" t="s">
        <v>537</v>
      </c>
      <c r="D1545" s="335" t="s">
        <v>1407</v>
      </c>
      <c r="E1545" s="337" t="str">
        <f t="shared" si="1"/>
        <v>大同特殊鋼:JSE/第二＠2.3</v>
      </c>
      <c r="F1545" s="338" t="s">
        <v>575</v>
      </c>
      <c r="G1545" s="339" t="str">
        <f t="shared" si="2"/>
        <v>大同特殊鋼:JSE/第二＠2.3鋼ダライＡ</v>
      </c>
      <c r="H1545" s="340">
        <f t="shared" si="3"/>
        <v>36.7</v>
      </c>
      <c r="I1545" s="341">
        <v>-0.5</v>
      </c>
      <c r="J1545" s="332">
        <f>IFERROR(__xludf.DUMMYFUNCTION("IF(IF(COUNTIF(P$2:P1544, P1545)=0, """", INDEX(H$2:H1544,
MAX(FILTER(ROW(H$2:H1544) - ROW(H$2) + 1, P$2:P1544 = P1545))))=""単価"","""",
IF(COUNTIF(P$2:P1544, P1545)=0, """", INDEX(H$2:H1544,
MAX(FILTER(ROW(H$2:H1544) - ROW(H$2) + 1, P$2:P1544 = P1545)))))"),37.2)</f>
        <v>37.2</v>
      </c>
      <c r="N1545" s="335" t="str">
        <f>IF(MAXIFS('単価履歴'!$O:$O,'単価履歴'!$E:$E,E1545,'単価履歴'!$F:$F,F1545)=O1545,"●","")</f>
        <v/>
      </c>
      <c r="O1545" s="346">
        <v>45773.28596064815</v>
      </c>
      <c r="P1545" s="334" t="str">
        <f t="shared" si="4"/>
        <v>大同特殊鋼:JSE/第二＠2.3鋼ダライＡ</v>
      </c>
    </row>
    <row r="1546" ht="15.75" customHeight="1">
      <c r="A1546" s="335" t="s">
        <v>2729</v>
      </c>
      <c r="B1546" s="336">
        <v>45773.0</v>
      </c>
      <c r="C1546" s="335" t="s">
        <v>537</v>
      </c>
      <c r="D1546" s="335" t="s">
        <v>1407</v>
      </c>
      <c r="E1546" s="337" t="str">
        <f t="shared" si="1"/>
        <v>大同特殊鋼:JSE/第二＠2.3</v>
      </c>
      <c r="F1546" s="338" t="s">
        <v>116</v>
      </c>
      <c r="G1546" s="339" t="str">
        <f t="shared" si="2"/>
        <v>大同特殊鋼:JSE/第二＠2.3Ｈ２(特級)</v>
      </c>
      <c r="H1546" s="340">
        <f t="shared" si="3"/>
        <v>37.9</v>
      </c>
      <c r="I1546" s="341">
        <v>-0.5</v>
      </c>
      <c r="J1546" s="332">
        <f>IFERROR(__xludf.DUMMYFUNCTION("IF(IF(COUNTIF(P$2:P1545, P1546)=0, """", INDEX(H$2:H1545,
MAX(FILTER(ROW(H$2:H1545) - ROW(H$2) + 1, P$2:P1545 = P1546))))=""単価"","""",
IF(COUNTIF(P$2:P1545, P1546)=0, """", INDEX(H$2:H1545,
MAX(FILTER(ROW(H$2:H1545) - ROW(H$2) + 1, P$2:P1545 = P1546)))))"),38.400000000000006)</f>
        <v>38.4</v>
      </c>
      <c r="N1546" s="335" t="str">
        <f>IF(MAXIFS('単価履歴'!$O:$O,'単価履歴'!$E:$E,E1546,'単価履歴'!$F:$F,F1546)=O1546,"●","")</f>
        <v/>
      </c>
      <c r="O1546" s="346">
        <v>45773.28596064815</v>
      </c>
      <c r="P1546" s="334" t="str">
        <f t="shared" si="4"/>
        <v>大同特殊鋼:JSE/第二＠2.3Ｈ２(特級)</v>
      </c>
    </row>
    <row r="1547" ht="15.75" customHeight="1">
      <c r="A1547" s="335" t="s">
        <v>2730</v>
      </c>
      <c r="B1547" s="336">
        <v>45773.0</v>
      </c>
      <c r="C1547" s="335" t="s">
        <v>537</v>
      </c>
      <c r="D1547" s="335" t="s">
        <v>1410</v>
      </c>
      <c r="E1547" s="337" t="str">
        <f t="shared" si="1"/>
        <v>大同特殊鋼:JSE/岐阜＠1.5</v>
      </c>
      <c r="F1547" s="338" t="s">
        <v>1199</v>
      </c>
      <c r="G1547" s="339" t="str">
        <f t="shared" si="2"/>
        <v>大同特殊鋼:JSE/岐阜＠1.5ＨＳ１(単体H1/電特A/HS))</v>
      </c>
      <c r="H1547" s="340">
        <f t="shared" si="3"/>
        <v>43.8</v>
      </c>
      <c r="I1547" s="341">
        <v>-0.5</v>
      </c>
      <c r="J1547" s="332">
        <f>IFERROR(__xludf.DUMMYFUNCTION("IF(IF(COUNTIF(P$2:P1546, P1547)=0, """", INDEX(H$2:H1546,
MAX(FILTER(ROW(H$2:H1546) - ROW(H$2) + 1, P$2:P1546 = P1547))))=""単価"","""",
IF(COUNTIF(P$2:P1546, P1547)=0, """", INDEX(H$2:H1546,
MAX(FILTER(ROW(H$2:H1546) - ROW(H$2) + 1, P$2:P1546 = P1547)))))"),44.3)</f>
        <v>44.3</v>
      </c>
      <c r="N1547" s="335" t="str">
        <f>IF(MAXIFS('単価履歴'!$O:$O,'単価履歴'!$E:$E,E1547,'単価履歴'!$F:$F,F1547)=O1547,"●","")</f>
        <v/>
      </c>
      <c r="O1547" s="346">
        <v>45773.28596064815</v>
      </c>
      <c r="P1547" s="334" t="str">
        <f t="shared" si="4"/>
        <v>大同特殊鋼:JSE/岐阜＠1.5ＨＳ１(単体H1/電特A/HS))</v>
      </c>
    </row>
    <row r="1548" ht="15.75" customHeight="1">
      <c r="A1548" s="335" t="s">
        <v>2731</v>
      </c>
      <c r="B1548" s="336">
        <v>45773.0</v>
      </c>
      <c r="C1548" s="335" t="s">
        <v>537</v>
      </c>
      <c r="D1548" s="335" t="s">
        <v>1410</v>
      </c>
      <c r="E1548" s="337" t="str">
        <f t="shared" si="1"/>
        <v>大同特殊鋼:JSE/岐阜＠1.5</v>
      </c>
      <c r="F1548" s="338" t="s">
        <v>575</v>
      </c>
      <c r="G1548" s="339" t="str">
        <f t="shared" si="2"/>
        <v>大同特殊鋼:JSE/岐阜＠1.5鋼ダライＡ</v>
      </c>
      <c r="H1548" s="340">
        <f t="shared" si="3"/>
        <v>37.5</v>
      </c>
      <c r="I1548" s="341">
        <v>-0.5</v>
      </c>
      <c r="J1548" s="332">
        <f>IFERROR(__xludf.DUMMYFUNCTION("IF(IF(COUNTIF(P$2:P1547, P1548)=0, """", INDEX(H$2:H1547,
MAX(FILTER(ROW(H$2:H1547) - ROW(H$2) + 1, P$2:P1547 = P1548))))=""単価"","""",
IF(COUNTIF(P$2:P1547, P1548)=0, """", INDEX(H$2:H1547,
MAX(FILTER(ROW(H$2:H1547) - ROW(H$2) + 1, P$2:P1547 = P1548)))))"),38.0)</f>
        <v>38</v>
      </c>
      <c r="N1548" s="335" t="str">
        <f>IF(MAXIFS('単価履歴'!$O:$O,'単価履歴'!$E:$E,E1548,'単価履歴'!$F:$F,F1548)=O1548,"●","")</f>
        <v/>
      </c>
      <c r="O1548" s="346">
        <v>45773.28596064815</v>
      </c>
      <c r="P1548" s="334" t="str">
        <f t="shared" si="4"/>
        <v>大同特殊鋼:JSE/岐阜＠1.5鋼ダライＡ</v>
      </c>
    </row>
    <row r="1549" ht="15.75" customHeight="1">
      <c r="A1549" s="335" t="s">
        <v>2732</v>
      </c>
      <c r="B1549" s="336">
        <v>45773.0</v>
      </c>
      <c r="C1549" s="335" t="s">
        <v>537</v>
      </c>
      <c r="D1549" s="335" t="s">
        <v>1410</v>
      </c>
      <c r="E1549" s="337" t="str">
        <f t="shared" si="1"/>
        <v>大同特殊鋼:JSE/岐阜＠1.5</v>
      </c>
      <c r="F1549" s="338" t="s">
        <v>116</v>
      </c>
      <c r="G1549" s="339" t="str">
        <f t="shared" si="2"/>
        <v>大同特殊鋼:JSE/岐阜＠1.5Ｈ２(特級)</v>
      </c>
      <c r="H1549" s="340">
        <f t="shared" si="3"/>
        <v>38.7</v>
      </c>
      <c r="I1549" s="341">
        <v>-0.5</v>
      </c>
      <c r="J1549" s="332">
        <f>IFERROR(__xludf.DUMMYFUNCTION("IF(IF(COUNTIF(P$2:P1548, P1549)=0, """", INDEX(H$2:H1548,
MAX(FILTER(ROW(H$2:H1548) - ROW(H$2) + 1, P$2:P1548 = P1549))))=""単価"","""",
IF(COUNTIF(P$2:P1548, P1549)=0, """", INDEX(H$2:H1548,
MAX(FILTER(ROW(H$2:H1548) - ROW(H$2) + 1, P$2:P1548 = P1549)))))"),39.2)</f>
        <v>39.2</v>
      </c>
      <c r="N1549" s="335" t="str">
        <f>IF(MAXIFS('単価履歴'!$O:$O,'単価履歴'!$E:$E,E1549,'単価履歴'!$F:$F,F1549)=O1549,"●","")</f>
        <v/>
      </c>
      <c r="O1549" s="346">
        <v>45773.28596064815</v>
      </c>
      <c r="P1549" s="334" t="str">
        <f t="shared" si="4"/>
        <v>大同特殊鋼:JSE/岐阜＠1.5Ｈ２(特級)</v>
      </c>
    </row>
    <row r="1550" ht="15.75" customHeight="1">
      <c r="A1550" s="335" t="s">
        <v>2733</v>
      </c>
      <c r="B1550" s="336">
        <v>45773.0</v>
      </c>
      <c r="C1550" s="335" t="s">
        <v>35</v>
      </c>
      <c r="D1550" s="335" t="s">
        <v>48</v>
      </c>
      <c r="E1550" s="337" t="str">
        <f t="shared" si="1"/>
        <v>ﾆｭｰｽｺﾝ稲永:ナベ</v>
      </c>
      <c r="F1550" s="338" t="s">
        <v>130</v>
      </c>
      <c r="G1550" s="339" t="str">
        <f t="shared" si="2"/>
        <v>ﾆｭｰｽｺﾝ稲永:ナベ新断Ａ</v>
      </c>
      <c r="H1550" s="340">
        <f t="shared" si="3"/>
        <v>42.5</v>
      </c>
      <c r="I1550" s="341">
        <v>-0.5</v>
      </c>
      <c r="J1550" s="332">
        <f>IFERROR(__xludf.DUMMYFUNCTION("IF(IF(COUNTIF(P$2:P1549, P1550)=0, """", INDEX(H$2:H1549,
MAX(FILTER(ROW(H$2:H1549) - ROW(H$2) + 1, P$2:P1549 = P1550))))=""単価"","""",
IF(COUNTIF(P$2:P1549, P1550)=0, """", INDEX(H$2:H1549,
MAX(FILTER(ROW(H$2:H1549) - ROW(H$2) + 1, P$2:P1549 = P1550)))))"),43.0)</f>
        <v>43</v>
      </c>
      <c r="N1550" s="335" t="str">
        <f>IF(MAXIFS('単価履歴'!$O:$O,'単価履歴'!$E:$E,E1550,'単価履歴'!$F:$F,F1550)=O1550,"●","")</f>
        <v/>
      </c>
      <c r="O1550" s="346">
        <v>45773.28712962963</v>
      </c>
      <c r="P1550" s="334" t="str">
        <f t="shared" si="4"/>
        <v>ﾆｭｰｽｺﾝ稲永:ナベ新断Ａ</v>
      </c>
    </row>
    <row r="1551" ht="15.75" customHeight="1">
      <c r="A1551" s="335" t="s">
        <v>2734</v>
      </c>
      <c r="B1551" s="336">
        <v>45773.0</v>
      </c>
      <c r="C1551" s="335" t="s">
        <v>37</v>
      </c>
      <c r="D1551" s="335" t="s">
        <v>48</v>
      </c>
      <c r="E1551" s="337" t="str">
        <f t="shared" si="1"/>
        <v>共英名古屋:ナベ</v>
      </c>
      <c r="F1551" s="338" t="s">
        <v>111</v>
      </c>
      <c r="G1551" s="339" t="str">
        <f t="shared" si="2"/>
        <v>共英名古屋:ナベＨ１(特A)</v>
      </c>
      <c r="H1551" s="340">
        <f t="shared" si="3"/>
        <v>42.7</v>
      </c>
      <c r="I1551" s="341">
        <v>-0.5</v>
      </c>
      <c r="J1551" s="332">
        <f>IFERROR(__xludf.DUMMYFUNCTION("IF(IF(COUNTIF(P$2:P1550, P1551)=0, """", INDEX(H$2:H1550,
MAX(FILTER(ROW(H$2:H1550) - ROW(H$2) + 1, P$2:P1550 = P1551))))=""単価"","""",
IF(COUNTIF(P$2:P1550, P1551)=0, """", INDEX(H$2:H1550,
MAX(FILTER(ROW(H$2:H1550) - ROW(H$2) + 1, P$2:P1550 = P1551)))))"),43.2)</f>
        <v>43.2</v>
      </c>
      <c r="N1551" s="335" t="str">
        <f>IF(MAXIFS('単価履歴'!$O:$O,'単価履歴'!$E:$E,E1551,'単価履歴'!$F:$F,F1551)=O1551,"●","")</f>
        <v/>
      </c>
      <c r="O1551" s="346">
        <v>45773.28743055556</v>
      </c>
      <c r="P1551" s="334" t="str">
        <f t="shared" si="4"/>
        <v>共英名古屋:ナベＨ１(特A)</v>
      </c>
    </row>
    <row r="1552" ht="15.75" customHeight="1">
      <c r="A1552" s="335" t="s">
        <v>2735</v>
      </c>
      <c r="B1552" s="336">
        <v>45773.0</v>
      </c>
      <c r="C1552" s="335" t="s">
        <v>37</v>
      </c>
      <c r="D1552" s="335" t="s">
        <v>48</v>
      </c>
      <c r="E1552" s="337" t="str">
        <f t="shared" si="1"/>
        <v>共英名古屋:ナベ</v>
      </c>
      <c r="F1552" s="338" t="s">
        <v>116</v>
      </c>
      <c r="G1552" s="339" t="str">
        <f t="shared" si="2"/>
        <v>共英名古屋:ナベＨ２(特級)</v>
      </c>
      <c r="H1552" s="340">
        <f t="shared" si="3"/>
        <v>40</v>
      </c>
      <c r="I1552" s="341">
        <v>-0.5</v>
      </c>
      <c r="J1552" s="332">
        <f>IFERROR(__xludf.DUMMYFUNCTION("IF(IF(COUNTIF(P$2:P1551, P1552)=0, """", INDEX(H$2:H1551,
MAX(FILTER(ROW(H$2:H1551) - ROW(H$2) + 1, P$2:P1551 = P1552))))=""単価"","""",
IF(COUNTIF(P$2:P1551, P1552)=0, """", INDEX(H$2:H1551,
MAX(FILTER(ROW(H$2:H1551) - ROW(H$2) + 1, P$2:P1551 = P1552)))))"),40.5)</f>
        <v>40.5</v>
      </c>
      <c r="N1552" s="335" t="str">
        <f>IF(MAXIFS('単価履歴'!$O:$O,'単価履歴'!$E:$E,E1552,'単価履歴'!$F:$F,F1552)=O1552,"●","")</f>
        <v/>
      </c>
      <c r="O1552" s="346">
        <v>45773.28743055556</v>
      </c>
      <c r="P1552" s="334" t="str">
        <f t="shared" si="4"/>
        <v>共英名古屋:ナベＨ２(特級)</v>
      </c>
    </row>
    <row r="1553" ht="15.75" customHeight="1">
      <c r="A1553" s="335" t="s">
        <v>2736</v>
      </c>
      <c r="B1553" s="336">
        <v>45773.0</v>
      </c>
      <c r="C1553" s="335" t="s">
        <v>37</v>
      </c>
      <c r="D1553" s="335" t="s">
        <v>48</v>
      </c>
      <c r="E1553" s="337" t="str">
        <f t="shared" si="1"/>
        <v>共英名古屋:ナベ</v>
      </c>
      <c r="F1553" s="338" t="s">
        <v>119</v>
      </c>
      <c r="G1553" s="339" t="str">
        <f t="shared" si="2"/>
        <v>共英名古屋:ナベＨ３(1級)</v>
      </c>
      <c r="H1553" s="340">
        <f t="shared" si="3"/>
        <v>39</v>
      </c>
      <c r="I1553" s="341">
        <v>-0.5</v>
      </c>
      <c r="J1553" s="332">
        <f>IFERROR(__xludf.DUMMYFUNCTION("IF(IF(COUNTIF(P$2:P1552, P1553)=0, """", INDEX(H$2:H1552,
MAX(FILTER(ROW(H$2:H1552) - ROW(H$2) + 1, P$2:P1552 = P1553))))=""単価"","""",
IF(COUNTIF(P$2:P1552, P1553)=0, """", INDEX(H$2:H1552,
MAX(FILTER(ROW(H$2:H1552) - ROW(H$2) + 1, P$2:P1552 = P1553)))))"),39.5)</f>
        <v>39.5</v>
      </c>
      <c r="N1553" s="335" t="str">
        <f>IF(MAXIFS('単価履歴'!$O:$O,'単価履歴'!$E:$E,E1553,'単価履歴'!$F:$F,F1553)=O1553,"●","")</f>
        <v/>
      </c>
      <c r="O1553" s="346">
        <v>45773.28743055556</v>
      </c>
      <c r="P1553" s="334" t="str">
        <f t="shared" si="4"/>
        <v>共英名古屋:ナベＨ３(1級)</v>
      </c>
    </row>
    <row r="1554" ht="15.75" customHeight="1">
      <c r="A1554" s="335" t="s">
        <v>2737</v>
      </c>
      <c r="B1554" s="336">
        <v>45773.0</v>
      </c>
      <c r="C1554" s="335" t="s">
        <v>37</v>
      </c>
      <c r="D1554" s="335" t="s">
        <v>48</v>
      </c>
      <c r="E1554" s="337" t="str">
        <f t="shared" si="1"/>
        <v>共英名古屋:ナベ</v>
      </c>
      <c r="F1554" s="338" t="s">
        <v>122</v>
      </c>
      <c r="G1554" s="339" t="str">
        <f t="shared" si="2"/>
        <v>共英名古屋:ナベＬ１(2級)</v>
      </c>
      <c r="H1554" s="340">
        <f t="shared" si="3"/>
        <v>36</v>
      </c>
      <c r="I1554" s="341">
        <v>-0.5</v>
      </c>
      <c r="J1554" s="332">
        <f>IFERROR(__xludf.DUMMYFUNCTION("IF(IF(COUNTIF(P$2:P1553, P1554)=0, """", INDEX(H$2:H1553,
MAX(FILTER(ROW(H$2:H1553) - ROW(H$2) + 1, P$2:P1553 = P1554))))=""単価"","""",
IF(COUNTIF(P$2:P1553, P1554)=0, """", INDEX(H$2:H1553,
MAX(FILTER(ROW(H$2:H1553) - ROW(H$2) + 1, P$2:P1553 = P1554)))))"),36.5)</f>
        <v>36.5</v>
      </c>
      <c r="N1554" s="335" t="str">
        <f>IF(MAXIFS('単価履歴'!$O:$O,'単価履歴'!$E:$E,E1554,'単価履歴'!$F:$F,F1554)=O1554,"●","")</f>
        <v/>
      </c>
      <c r="O1554" s="346">
        <v>45773.28743055556</v>
      </c>
      <c r="P1554" s="334" t="str">
        <f t="shared" si="4"/>
        <v>共英名古屋:ナベＬ１(2級)</v>
      </c>
    </row>
    <row r="1555" ht="15.75" customHeight="1">
      <c r="A1555" s="335" t="s">
        <v>2738</v>
      </c>
      <c r="B1555" s="336">
        <v>45773.0</v>
      </c>
      <c r="C1555" s="335" t="s">
        <v>19</v>
      </c>
      <c r="D1555" s="335" t="s">
        <v>61</v>
      </c>
      <c r="E1555" s="337" t="str">
        <f t="shared" si="1"/>
        <v>トピー工業:ＭＭ</v>
      </c>
      <c r="F1555" s="338" t="s">
        <v>116</v>
      </c>
      <c r="G1555" s="339" t="str">
        <f t="shared" si="2"/>
        <v>トピー工業:ＭＭＨ２(特級)</v>
      </c>
      <c r="H1555" s="340">
        <f t="shared" si="3"/>
        <v>35</v>
      </c>
      <c r="I1555" s="341">
        <v>-0.5</v>
      </c>
      <c r="J1555" s="332">
        <f>IFERROR(__xludf.DUMMYFUNCTION("IF(IF(COUNTIF(P$2:P1554, P1555)=0, """", INDEX(H$2:H1554,
MAX(FILTER(ROW(H$2:H1554) - ROW(H$2) + 1, P$2:P1554 = P1555))))=""単価"","""",
IF(COUNTIF(P$2:P1554, P1555)=0, """", INDEX(H$2:H1554,
MAX(FILTER(ROW(H$2:H1554) - ROW(H$2) + 1, P$2:P1554 = P1555)))))"),35.5)</f>
        <v>35.5</v>
      </c>
      <c r="N1555" s="335" t="str">
        <f>IF(MAXIFS('単価履歴'!$O:$O,'単価履歴'!$E:$E,E1555,'単価履歴'!$F:$F,F1555)=O1555,"●","")</f>
        <v/>
      </c>
      <c r="O1555" s="346">
        <v>45773.29664351852</v>
      </c>
      <c r="P1555" s="334" t="str">
        <f t="shared" si="4"/>
        <v>トピー工業:ＭＭＨ２(特級)</v>
      </c>
    </row>
    <row r="1556" ht="15.75" customHeight="1">
      <c r="A1556" s="335" t="s">
        <v>2739</v>
      </c>
      <c r="B1556" s="336">
        <v>45778.0</v>
      </c>
      <c r="C1556" s="335" t="s">
        <v>7</v>
      </c>
      <c r="D1556" s="335" t="s">
        <v>49</v>
      </c>
      <c r="E1556" s="337" t="str">
        <f t="shared" si="1"/>
        <v>合同大阪:伊藤忠</v>
      </c>
      <c r="F1556" s="338" t="s">
        <v>1199</v>
      </c>
      <c r="G1556" s="339" t="str">
        <f t="shared" si="2"/>
        <v>合同大阪:伊藤忠ＨＳ１(単体H1/電特A/HS))</v>
      </c>
      <c r="H1556" s="340">
        <f t="shared" si="3"/>
        <v>44.3</v>
      </c>
      <c r="I1556" s="341">
        <v>-0.5</v>
      </c>
      <c r="J1556" s="332">
        <f>IFERROR(__xludf.DUMMYFUNCTION("IF(IF(COUNTIF(P$2:P1555, P1556)=0, """", INDEX(H$2:H1555,
MAX(FILTER(ROW(H$2:H1555) - ROW(H$2) + 1, P$2:P1555 = P1556))))=""単価"","""",
IF(COUNTIF(P$2:P1555, P1556)=0, """", INDEX(H$2:H1555,
MAX(FILTER(ROW(H$2:H1555) - ROW(H$2) + 1, P$2:P1555 = P1556)))))"),44.8)</f>
        <v>44.8</v>
      </c>
      <c r="N1556" s="335" t="str">
        <f>IF(MAXIFS('単価履歴'!$O:$O,'単価履歴'!$E:$E,E1556,'単価履歴'!$F:$F,F1556)=O1556,"●","")</f>
        <v/>
      </c>
      <c r="O1556" s="346">
        <v>45777.749201388884</v>
      </c>
      <c r="P1556" s="334" t="str">
        <f t="shared" si="4"/>
        <v>合同大阪:伊藤忠ＨＳ１(単体H1/電特A/HS))</v>
      </c>
    </row>
    <row r="1557" ht="15.75" customHeight="1">
      <c r="A1557" s="335" t="s">
        <v>2740</v>
      </c>
      <c r="B1557" s="336">
        <v>45778.0</v>
      </c>
      <c r="C1557" s="335" t="s">
        <v>7</v>
      </c>
      <c r="D1557" s="335" t="s">
        <v>49</v>
      </c>
      <c r="E1557" s="337" t="str">
        <f t="shared" si="1"/>
        <v>合同大阪:伊藤忠</v>
      </c>
      <c r="F1557" s="338" t="s">
        <v>101</v>
      </c>
      <c r="G1557" s="339" t="str">
        <f t="shared" si="2"/>
        <v>合同大阪:伊藤忠ＨＳ２</v>
      </c>
      <c r="H1557" s="340">
        <f t="shared" si="3"/>
        <v>43.8</v>
      </c>
      <c r="I1557" s="341">
        <v>-0.5</v>
      </c>
      <c r="J1557" s="332">
        <f>IFERROR(__xludf.DUMMYFUNCTION("IF(IF(COUNTIF(P$2:P1556, P1557)=0, """", INDEX(H$2:H1556,
MAX(FILTER(ROW(H$2:H1556) - ROW(H$2) + 1, P$2:P1556 = P1557))))=""単価"","""",
IF(COUNTIF(P$2:P1556, P1557)=0, """", INDEX(H$2:H1556,
MAX(FILTER(ROW(H$2:H1556) - ROW(H$2) + 1, P$2:P1556 = P1557)))))"),44.3)</f>
        <v>44.3</v>
      </c>
      <c r="N1557" s="335" t="str">
        <f>IF(MAXIFS('単価履歴'!$O:$O,'単価履歴'!$E:$E,E1557,'単価履歴'!$F:$F,F1557)=O1557,"●","")</f>
        <v/>
      </c>
      <c r="O1557" s="346">
        <v>45777.749201388884</v>
      </c>
      <c r="P1557" s="334" t="str">
        <f t="shared" si="4"/>
        <v>合同大阪:伊藤忠ＨＳ２</v>
      </c>
    </row>
    <row r="1558" ht="15.75" customHeight="1">
      <c r="A1558" s="335" t="s">
        <v>2741</v>
      </c>
      <c r="B1558" s="336">
        <v>45778.0</v>
      </c>
      <c r="C1558" s="335" t="s">
        <v>7</v>
      </c>
      <c r="D1558" s="335" t="s">
        <v>49</v>
      </c>
      <c r="E1558" s="337" t="str">
        <f t="shared" si="1"/>
        <v>合同大阪:伊藤忠</v>
      </c>
      <c r="F1558" s="338" t="s">
        <v>111</v>
      </c>
      <c r="G1558" s="339" t="str">
        <f t="shared" si="2"/>
        <v>合同大阪:伊藤忠Ｈ１(特A)</v>
      </c>
      <c r="H1558" s="340">
        <f t="shared" si="3"/>
        <v>44.8</v>
      </c>
      <c r="I1558" s="341">
        <v>-0.5</v>
      </c>
      <c r="J1558" s="332">
        <f>IFERROR(__xludf.DUMMYFUNCTION("IF(IF(COUNTIF(P$2:P1557, P1558)=0, """", INDEX(H$2:H1557,
MAX(FILTER(ROW(H$2:H1557) - ROW(H$2) + 1, P$2:P1557 = P1558))))=""単価"","""",
IF(COUNTIF(P$2:P1557, P1558)=0, """", INDEX(H$2:H1557,
MAX(FILTER(ROW(H$2:H1557) - ROW(H$2) + 1, P$2:P1557 = P1558)))))"),45.3)</f>
        <v>45.3</v>
      </c>
      <c r="N1558" s="335" t="str">
        <f>IF(MAXIFS('単価履歴'!$O:$O,'単価履歴'!$E:$E,E1558,'単価履歴'!$F:$F,F1558)=O1558,"●","")</f>
        <v/>
      </c>
      <c r="O1558" s="346">
        <v>45777.749201388884</v>
      </c>
      <c r="P1558" s="334" t="str">
        <f t="shared" si="4"/>
        <v>合同大阪:伊藤忠Ｈ１(特A)</v>
      </c>
    </row>
    <row r="1559" ht="15.75" customHeight="1">
      <c r="A1559" s="335" t="s">
        <v>2742</v>
      </c>
      <c r="B1559" s="336">
        <v>45778.0</v>
      </c>
      <c r="C1559" s="335" t="s">
        <v>7</v>
      </c>
      <c r="D1559" s="335" t="s">
        <v>49</v>
      </c>
      <c r="E1559" s="337" t="str">
        <f t="shared" si="1"/>
        <v>合同大阪:伊藤忠</v>
      </c>
      <c r="F1559" s="338" t="s">
        <v>116</v>
      </c>
      <c r="G1559" s="339" t="str">
        <f t="shared" si="2"/>
        <v>合同大阪:伊藤忠Ｈ２(特級)</v>
      </c>
      <c r="H1559" s="340">
        <f t="shared" si="3"/>
        <v>43.3</v>
      </c>
      <c r="I1559" s="341">
        <v>-0.5</v>
      </c>
      <c r="J1559" s="332">
        <f>IFERROR(__xludf.DUMMYFUNCTION("IF(IF(COUNTIF(P$2:P1558, P1559)=0, """", INDEX(H$2:H1558,
MAX(FILTER(ROW(H$2:H1558) - ROW(H$2) + 1, P$2:P1558 = P1559))))=""単価"","""",
IF(COUNTIF(P$2:P1558, P1559)=0, """", INDEX(H$2:H1558,
MAX(FILTER(ROW(H$2:H1558) - ROW(H$2) + 1, P$2:P1558 = P1559)))))"),43.8)</f>
        <v>43.8</v>
      </c>
      <c r="N1559" s="335" t="str">
        <f>IF(MAXIFS('単価履歴'!$O:$O,'単価履歴'!$E:$E,E1559,'単価履歴'!$F:$F,F1559)=O1559,"●","")</f>
        <v/>
      </c>
      <c r="O1559" s="346">
        <v>45777.749201388884</v>
      </c>
      <c r="P1559" s="334" t="str">
        <f t="shared" si="4"/>
        <v>合同大阪:伊藤忠Ｈ２(特級)</v>
      </c>
    </row>
    <row r="1560" ht="15.75" customHeight="1">
      <c r="A1560" s="335" t="s">
        <v>2743</v>
      </c>
      <c r="B1560" s="336">
        <v>45778.0</v>
      </c>
      <c r="C1560" s="335" t="s">
        <v>7</v>
      </c>
      <c r="D1560" s="335" t="s">
        <v>49</v>
      </c>
      <c r="E1560" s="337" t="str">
        <f t="shared" si="1"/>
        <v>合同大阪:伊藤忠</v>
      </c>
      <c r="F1560" s="338" t="s">
        <v>119</v>
      </c>
      <c r="G1560" s="339" t="str">
        <f t="shared" si="2"/>
        <v>合同大阪:伊藤忠Ｈ３(1級)</v>
      </c>
      <c r="H1560" s="340">
        <f t="shared" si="3"/>
        <v>42.8</v>
      </c>
      <c r="I1560" s="341">
        <v>-0.5</v>
      </c>
      <c r="J1560" s="332">
        <f>IFERROR(__xludf.DUMMYFUNCTION("IF(IF(COUNTIF(P$2:P1559, P1560)=0, """", INDEX(H$2:H1559,
MAX(FILTER(ROW(H$2:H1559) - ROW(H$2) + 1, P$2:P1559 = P1560))))=""単価"","""",
IF(COUNTIF(P$2:P1559, P1560)=0, """", INDEX(H$2:H1559,
MAX(FILTER(ROW(H$2:H1559) - ROW(H$2) + 1, P$2:P1559 = P1560)))))"),43.3)</f>
        <v>43.3</v>
      </c>
      <c r="N1560" s="335" t="str">
        <f>IF(MAXIFS('単価履歴'!$O:$O,'単価履歴'!$E:$E,E1560,'単価履歴'!$F:$F,F1560)=O1560,"●","")</f>
        <v/>
      </c>
      <c r="O1560" s="346">
        <v>45777.749201388884</v>
      </c>
      <c r="P1560" s="334" t="str">
        <f t="shared" si="4"/>
        <v>合同大阪:伊藤忠Ｈ３(1級)</v>
      </c>
    </row>
    <row r="1561" ht="15.75" customHeight="1">
      <c r="A1561" s="335" t="s">
        <v>2744</v>
      </c>
      <c r="B1561" s="336">
        <v>45778.0</v>
      </c>
      <c r="C1561" s="335" t="s">
        <v>7</v>
      </c>
      <c r="D1561" s="335" t="s">
        <v>49</v>
      </c>
      <c r="E1561" s="337" t="str">
        <f t="shared" si="1"/>
        <v>合同大阪:伊藤忠</v>
      </c>
      <c r="F1561" s="338" t="s">
        <v>122</v>
      </c>
      <c r="G1561" s="339" t="str">
        <f t="shared" si="2"/>
        <v>合同大阪:伊藤忠Ｌ１(2級)</v>
      </c>
      <c r="H1561" s="340">
        <f t="shared" si="3"/>
        <v>41.8</v>
      </c>
      <c r="I1561" s="341">
        <v>-0.5</v>
      </c>
      <c r="J1561" s="332">
        <f>IFERROR(__xludf.DUMMYFUNCTION("IF(IF(COUNTIF(P$2:P1560, P1561)=0, """", INDEX(H$2:H1560,
MAX(FILTER(ROW(H$2:H1560) - ROW(H$2) + 1, P$2:P1560 = P1561))))=""単価"","""",
IF(COUNTIF(P$2:P1560, P1561)=0, """", INDEX(H$2:H1560,
MAX(FILTER(ROW(H$2:H1560) - ROW(H$2) + 1, P$2:P1560 = P1561)))))"),42.3)</f>
        <v>42.3</v>
      </c>
      <c r="N1561" s="335" t="str">
        <f>IF(MAXIFS('単価履歴'!$O:$O,'単価履歴'!$E:$E,E1561,'単価履歴'!$F:$F,F1561)=O1561,"●","")</f>
        <v/>
      </c>
      <c r="O1561" s="346">
        <v>45777.749201388884</v>
      </c>
      <c r="P1561" s="334" t="str">
        <f t="shared" si="4"/>
        <v>合同大阪:伊藤忠Ｌ１(2級)</v>
      </c>
    </row>
    <row r="1562" ht="15.75" customHeight="1">
      <c r="A1562" s="335" t="s">
        <v>2745</v>
      </c>
      <c r="B1562" s="336">
        <v>45778.0</v>
      </c>
      <c r="C1562" s="335" t="s">
        <v>7</v>
      </c>
      <c r="D1562" s="335" t="s">
        <v>49</v>
      </c>
      <c r="E1562" s="337" t="str">
        <f t="shared" si="1"/>
        <v>合同大阪:伊藤忠</v>
      </c>
      <c r="F1562" s="338" t="s">
        <v>130</v>
      </c>
      <c r="G1562" s="339" t="str">
        <f t="shared" si="2"/>
        <v>合同大阪:伊藤忠新断Ａ</v>
      </c>
      <c r="H1562" s="340">
        <f t="shared" si="3"/>
        <v>45.3</v>
      </c>
      <c r="I1562" s="341">
        <v>-0.5</v>
      </c>
      <c r="J1562" s="332">
        <f>IFERROR(__xludf.DUMMYFUNCTION("IF(IF(COUNTIF(P$2:P1561, P1562)=0, """", INDEX(H$2:H1561,
MAX(FILTER(ROW(H$2:H1561) - ROW(H$2) + 1, P$2:P1561 = P1562))))=""単価"","""",
IF(COUNTIF(P$2:P1561, P1562)=0, """", INDEX(H$2:H1561,
MAX(FILTER(ROW(H$2:H1561) - ROW(H$2) + 1, P$2:P1561 = P1562)))))"),45.8)</f>
        <v>45.8</v>
      </c>
      <c r="N1562" s="335" t="str">
        <f>IF(MAXIFS('単価履歴'!$O:$O,'単価履歴'!$E:$E,E1562,'単価履歴'!$F:$F,F1562)=O1562,"●","")</f>
        <v/>
      </c>
      <c r="O1562" s="346">
        <v>45777.749201388884</v>
      </c>
      <c r="P1562" s="334" t="str">
        <f t="shared" si="4"/>
        <v>合同大阪:伊藤忠新断Ａ</v>
      </c>
    </row>
    <row r="1563" ht="15.75" customHeight="1">
      <c r="A1563" s="335" t="s">
        <v>2746</v>
      </c>
      <c r="B1563" s="336">
        <v>45778.0</v>
      </c>
      <c r="C1563" s="335" t="s">
        <v>7</v>
      </c>
      <c r="D1563" s="335" t="s">
        <v>49</v>
      </c>
      <c r="E1563" s="337" t="str">
        <f t="shared" si="1"/>
        <v>合同大阪:伊藤忠</v>
      </c>
      <c r="F1563" s="338" t="s">
        <v>131</v>
      </c>
      <c r="G1563" s="339" t="str">
        <f t="shared" si="2"/>
        <v>合同大阪:伊藤忠新断Ｂ</v>
      </c>
      <c r="H1563" s="340">
        <f t="shared" si="3"/>
        <v>44.8</v>
      </c>
      <c r="I1563" s="341">
        <v>-0.5</v>
      </c>
      <c r="J1563" s="332">
        <f>IFERROR(__xludf.DUMMYFUNCTION("IF(IF(COUNTIF(P$2:P1562, P1563)=0, """", INDEX(H$2:H1562,
MAX(FILTER(ROW(H$2:H1562) - ROW(H$2) + 1, P$2:P1562 = P1563))))=""単価"","""",
IF(COUNTIF(P$2:P1562, P1563)=0, """", INDEX(H$2:H1562,
MAX(FILTER(ROW(H$2:H1562) - ROW(H$2) + 1, P$2:P1562 = P1563)))))"),45.3)</f>
        <v>45.3</v>
      </c>
      <c r="N1563" s="335" t="str">
        <f>IF(MAXIFS('単価履歴'!$O:$O,'単価履歴'!$E:$E,E1563,'単価履歴'!$F:$F,F1563)=O1563,"●","")</f>
        <v/>
      </c>
      <c r="O1563" s="346">
        <v>45777.749201388884</v>
      </c>
      <c r="P1563" s="334" t="str">
        <f t="shared" si="4"/>
        <v>合同大阪:伊藤忠新断Ｂ</v>
      </c>
    </row>
    <row r="1564" ht="15.75" customHeight="1">
      <c r="A1564" s="335" t="s">
        <v>2747</v>
      </c>
      <c r="B1564" s="336">
        <v>45778.0</v>
      </c>
      <c r="C1564" s="335" t="s">
        <v>7</v>
      </c>
      <c r="D1564" s="335" t="s">
        <v>49</v>
      </c>
      <c r="E1564" s="337" t="str">
        <f t="shared" si="1"/>
        <v>合同大阪:伊藤忠</v>
      </c>
      <c r="F1564" s="338" t="s">
        <v>575</v>
      </c>
      <c r="G1564" s="339" t="str">
        <f t="shared" si="2"/>
        <v>合同大阪:伊藤忠鋼ダライＡ</v>
      </c>
      <c r="H1564" s="340">
        <f t="shared" si="3"/>
        <v>33.3</v>
      </c>
      <c r="I1564" s="341">
        <v>-0.5</v>
      </c>
      <c r="J1564" s="332">
        <f>IFERROR(__xludf.DUMMYFUNCTION("IF(IF(COUNTIF(P$2:P1563, P1564)=0, """", INDEX(H$2:H1563,
MAX(FILTER(ROW(H$2:H1563) - ROW(H$2) + 1, P$2:P1563 = P1564))))=""単価"","""",
IF(COUNTIF(P$2:P1563, P1564)=0, """", INDEX(H$2:H1563,
MAX(FILTER(ROW(H$2:H1563) - ROW(H$2) + 1, P$2:P1563 = P1564)))))"),33.8)</f>
        <v>33.8</v>
      </c>
      <c r="N1564" s="335" t="str">
        <f>IF(MAXIFS('単価履歴'!$O:$O,'単価履歴'!$E:$E,E1564,'単価履歴'!$F:$F,F1564)=O1564,"●","")</f>
        <v/>
      </c>
      <c r="O1564" s="346">
        <v>45777.749201388884</v>
      </c>
      <c r="P1564" s="334" t="str">
        <f t="shared" si="4"/>
        <v>合同大阪:伊藤忠鋼ダライＡ</v>
      </c>
    </row>
    <row r="1565" ht="15.75" customHeight="1">
      <c r="A1565" s="335" t="s">
        <v>2748</v>
      </c>
      <c r="B1565" s="336">
        <v>45778.0</v>
      </c>
      <c r="C1565" s="335" t="s">
        <v>7</v>
      </c>
      <c r="D1565" s="335" t="s">
        <v>49</v>
      </c>
      <c r="E1565" s="337" t="str">
        <f t="shared" si="1"/>
        <v>合同大阪:伊藤忠</v>
      </c>
      <c r="F1565" s="338" t="s">
        <v>576</v>
      </c>
      <c r="G1565" s="339" t="str">
        <f t="shared" si="2"/>
        <v>合同大阪:伊藤忠鋼ダライＢ</v>
      </c>
      <c r="H1565" s="340">
        <f t="shared" si="3"/>
        <v>32.8</v>
      </c>
      <c r="I1565" s="341">
        <v>-0.5</v>
      </c>
      <c r="J1565" s="332">
        <f>IFERROR(__xludf.DUMMYFUNCTION("IF(IF(COUNTIF(P$2:P1564, P1565)=0, """", INDEX(H$2:H1564,
MAX(FILTER(ROW(H$2:H1564) - ROW(H$2) + 1, P$2:P1564 = P1565))))=""単価"","""",
IF(COUNTIF(P$2:P1564, P1565)=0, """", INDEX(H$2:H1564,
MAX(FILTER(ROW(H$2:H1564) - ROW(H$2) + 1, P$2:P1564 = P1565)))))"),33.3)</f>
        <v>33.3</v>
      </c>
      <c r="N1565" s="335" t="str">
        <f>IF(MAXIFS('単価履歴'!$O:$O,'単価履歴'!$E:$E,E1565,'単価履歴'!$F:$F,F1565)=O1565,"●","")</f>
        <v/>
      </c>
      <c r="O1565" s="346">
        <v>45777.749201388884</v>
      </c>
      <c r="P1565" s="334" t="str">
        <f t="shared" si="4"/>
        <v>合同大阪:伊藤忠鋼ダライＢ</v>
      </c>
    </row>
    <row r="1566" ht="15.75" customHeight="1">
      <c r="A1566" s="335" t="s">
        <v>2749</v>
      </c>
      <c r="B1566" s="336">
        <v>45778.0</v>
      </c>
      <c r="C1566" s="335" t="s">
        <v>28</v>
      </c>
      <c r="D1566" s="335" t="s">
        <v>52</v>
      </c>
      <c r="E1566" s="337" t="str">
        <f t="shared" si="1"/>
        <v>ＪＦＥ条鋼:リバイブ</v>
      </c>
      <c r="F1566" s="338" t="s">
        <v>111</v>
      </c>
      <c r="G1566" s="339" t="str">
        <f t="shared" si="2"/>
        <v>ＪＦＥ条鋼:リバイブＨ１(特A)</v>
      </c>
      <c r="H1566" s="340">
        <f t="shared" si="3"/>
        <v>41</v>
      </c>
      <c r="I1566" s="341">
        <v>-0.5</v>
      </c>
      <c r="J1566" s="332">
        <f>IFERROR(__xludf.DUMMYFUNCTION("IF(IF(COUNTIF(P$2:P1565, P1566)=0, """", INDEX(H$2:H1565,
MAX(FILTER(ROW(H$2:H1565) - ROW(H$2) + 1, P$2:P1565 = P1566))))=""単価"","""",
IF(COUNTIF(P$2:P1565, P1566)=0, """", INDEX(H$2:H1565,
MAX(FILTER(ROW(H$2:H1565) - ROW(H$2) + 1, P$2:P1565 = P1566)))))"),41.5)</f>
        <v>41.5</v>
      </c>
      <c r="N1566" s="335" t="str">
        <f>IF(MAXIFS('単価履歴'!$O:$O,'単価履歴'!$E:$E,E1566,'単価履歴'!$F:$F,F1566)=O1566,"●","")</f>
        <v/>
      </c>
      <c r="O1566" s="346">
        <v>45777.75074074074</v>
      </c>
      <c r="P1566" s="334" t="str">
        <f t="shared" si="4"/>
        <v>ＪＦＥ条鋼:リバイブＨ１(特A)</v>
      </c>
    </row>
    <row r="1567" ht="15.75" customHeight="1">
      <c r="A1567" s="335" t="s">
        <v>2750</v>
      </c>
      <c r="B1567" s="336">
        <v>45778.0</v>
      </c>
      <c r="C1567" s="335" t="s">
        <v>28</v>
      </c>
      <c r="D1567" s="335" t="s">
        <v>52</v>
      </c>
      <c r="E1567" s="337" t="str">
        <f t="shared" si="1"/>
        <v>ＪＦＥ条鋼:リバイブ</v>
      </c>
      <c r="F1567" s="338" t="s">
        <v>116</v>
      </c>
      <c r="G1567" s="339" t="str">
        <f t="shared" si="2"/>
        <v>ＪＦＥ条鋼:リバイブＨ２(特級)</v>
      </c>
      <c r="H1567" s="340">
        <f t="shared" si="3"/>
        <v>40</v>
      </c>
      <c r="I1567" s="341">
        <v>-0.5</v>
      </c>
      <c r="J1567" s="332">
        <f>IFERROR(__xludf.DUMMYFUNCTION("IF(IF(COUNTIF(P$2:P1566, P1567)=0, """", INDEX(H$2:H1566,
MAX(FILTER(ROW(H$2:H1566) - ROW(H$2) + 1, P$2:P1566 = P1567))))=""単価"","""",
IF(COUNTIF(P$2:P1566, P1567)=0, """", INDEX(H$2:H1566,
MAX(FILTER(ROW(H$2:H1566) - ROW(H$2) + 1, P$2:P1566 = P1567)))))"),40.5)</f>
        <v>40.5</v>
      </c>
      <c r="N1567" s="335" t="str">
        <f>IF(MAXIFS('単価履歴'!$O:$O,'単価履歴'!$E:$E,E1567,'単価履歴'!$F:$F,F1567)=O1567,"●","")</f>
        <v/>
      </c>
      <c r="O1567" s="346">
        <v>45777.75074074074</v>
      </c>
      <c r="P1567" s="334" t="str">
        <f t="shared" si="4"/>
        <v>ＪＦＥ条鋼:リバイブＨ２(特級)</v>
      </c>
    </row>
    <row r="1568" ht="15.75" customHeight="1">
      <c r="A1568" s="335" t="s">
        <v>2751</v>
      </c>
      <c r="B1568" s="336">
        <v>45778.0</v>
      </c>
      <c r="C1568" s="335" t="s">
        <v>28</v>
      </c>
      <c r="D1568" s="335" t="s">
        <v>52</v>
      </c>
      <c r="E1568" s="337" t="str">
        <f t="shared" si="1"/>
        <v>ＪＦＥ条鋼:リバイブ</v>
      </c>
      <c r="F1568" s="338" t="s">
        <v>119</v>
      </c>
      <c r="G1568" s="339" t="str">
        <f t="shared" si="2"/>
        <v>ＪＦＥ条鋼:リバイブＨ３(1級)</v>
      </c>
      <c r="H1568" s="340">
        <f t="shared" si="3"/>
        <v>39</v>
      </c>
      <c r="I1568" s="341">
        <v>-0.5</v>
      </c>
      <c r="J1568" s="332">
        <f>IFERROR(__xludf.DUMMYFUNCTION("IF(IF(COUNTIF(P$2:P1567, P1568)=0, """", INDEX(H$2:H1567,
MAX(FILTER(ROW(H$2:H1567) - ROW(H$2) + 1, P$2:P1567 = P1568))))=""単価"","""",
IF(COUNTIF(P$2:P1567, P1568)=0, """", INDEX(H$2:H1567,
MAX(FILTER(ROW(H$2:H1567) - ROW(H$2) + 1, P$2:P1567 = P1568)))))"),39.5)</f>
        <v>39.5</v>
      </c>
      <c r="N1568" s="335" t="str">
        <f>IF(MAXIFS('単価履歴'!$O:$O,'単価履歴'!$E:$E,E1568,'単価履歴'!$F:$F,F1568)=O1568,"●","")</f>
        <v/>
      </c>
      <c r="O1568" s="346">
        <v>45777.75074074074</v>
      </c>
      <c r="P1568" s="334" t="str">
        <f t="shared" si="4"/>
        <v>ＪＦＥ条鋼:リバイブＨ３(1級)</v>
      </c>
    </row>
    <row r="1569" ht="15.75" customHeight="1">
      <c r="A1569" s="335" t="s">
        <v>2752</v>
      </c>
      <c r="B1569" s="336">
        <v>45778.0</v>
      </c>
      <c r="C1569" s="335" t="s">
        <v>28</v>
      </c>
      <c r="D1569" s="335" t="s">
        <v>52</v>
      </c>
      <c r="E1569" s="337" t="str">
        <f t="shared" si="1"/>
        <v>ＪＦＥ条鋼:リバイブ</v>
      </c>
      <c r="F1569" s="338" t="s">
        <v>122</v>
      </c>
      <c r="G1569" s="339" t="str">
        <f t="shared" si="2"/>
        <v>ＪＦＥ条鋼:リバイブＬ１(2級)</v>
      </c>
      <c r="H1569" s="340">
        <f t="shared" si="3"/>
        <v>35.8</v>
      </c>
      <c r="I1569" s="341">
        <v>-0.5</v>
      </c>
      <c r="J1569" s="332">
        <f>IFERROR(__xludf.DUMMYFUNCTION("IF(IF(COUNTIF(P$2:P1568, P1569)=0, """", INDEX(H$2:H1568,
MAX(FILTER(ROW(H$2:H1568) - ROW(H$2) + 1, P$2:P1568 = P1569))))=""単価"","""",
IF(COUNTIF(P$2:P1568, P1569)=0, """", INDEX(H$2:H1568,
MAX(FILTER(ROW(H$2:H1568) - ROW(H$2) + 1, P$2:P1568 = P1569)))))"),36.3)</f>
        <v>36.3</v>
      </c>
      <c r="N1569" s="335" t="str">
        <f>IF(MAXIFS('単価履歴'!$O:$O,'単価履歴'!$E:$E,E1569,'単価履歴'!$F:$F,F1569)=O1569,"●","")</f>
        <v/>
      </c>
      <c r="O1569" s="346">
        <v>45777.75074074074</v>
      </c>
      <c r="P1569" s="334" t="str">
        <f t="shared" si="4"/>
        <v>ＪＦＥ条鋼:リバイブＬ１(2級)</v>
      </c>
    </row>
    <row r="1570" ht="15.75" customHeight="1">
      <c r="A1570" s="335" t="s">
        <v>2753</v>
      </c>
      <c r="B1570" s="336">
        <v>45778.0</v>
      </c>
      <c r="C1570" s="335" t="s">
        <v>28</v>
      </c>
      <c r="D1570" s="335" t="s">
        <v>52</v>
      </c>
      <c r="E1570" s="337" t="str">
        <f t="shared" si="1"/>
        <v>ＪＦＥ条鋼:リバイブ</v>
      </c>
      <c r="F1570" s="338" t="s">
        <v>573</v>
      </c>
      <c r="G1570" s="339" t="str">
        <f t="shared" si="2"/>
        <v>ＪＦＥ条鋼:リバイブＬ２(H4･級外･L1ﾊﾞﾗ)</v>
      </c>
      <c r="H1570" s="340">
        <f t="shared" si="3"/>
        <v>39.9</v>
      </c>
      <c r="I1570" s="341">
        <v>-0.5</v>
      </c>
      <c r="J1570" s="332">
        <f>IFERROR(__xludf.DUMMYFUNCTION("IF(IF(COUNTIF(P$2:P1569, P1570)=0, """", INDEX(H$2:H1569,
MAX(FILTER(ROW(H$2:H1569) - ROW(H$2) + 1, P$2:P1569 = P1570))))=""単価"","""",
IF(COUNTIF(P$2:P1569, P1570)=0, """", INDEX(H$2:H1569,
MAX(FILTER(ROW(H$2:H1569) - ROW(H$2) + 1, P$2:P1569 = P1570)))))"),40.4)</f>
        <v>40.4</v>
      </c>
      <c r="N1570" s="335" t="str">
        <f>IF(MAXIFS('単価履歴'!$O:$O,'単価履歴'!$E:$E,E1570,'単価履歴'!$F:$F,F1570)=O1570,"●","")</f>
        <v/>
      </c>
      <c r="O1570" s="346">
        <v>45777.75074074074</v>
      </c>
      <c r="P1570" s="334" t="str">
        <f t="shared" si="4"/>
        <v>ＪＦＥ条鋼:リバイブＬ２(H4･級外･L1ﾊﾞﾗ)</v>
      </c>
    </row>
    <row r="1571" ht="15.75" customHeight="1">
      <c r="A1571" s="335" t="s">
        <v>2754</v>
      </c>
      <c r="B1571" s="336">
        <v>45778.0</v>
      </c>
      <c r="C1571" s="335" t="s">
        <v>28</v>
      </c>
      <c r="D1571" s="335" t="s">
        <v>52</v>
      </c>
      <c r="E1571" s="337" t="str">
        <f t="shared" si="1"/>
        <v>ＪＦＥ条鋼:リバイブ</v>
      </c>
      <c r="F1571" s="338" t="s">
        <v>130</v>
      </c>
      <c r="G1571" s="339" t="str">
        <f t="shared" si="2"/>
        <v>ＪＦＥ条鋼:リバイブ新断Ａ</v>
      </c>
      <c r="H1571" s="340">
        <f t="shared" si="3"/>
        <v>45</v>
      </c>
      <c r="I1571" s="341">
        <v>-0.5</v>
      </c>
      <c r="J1571" s="332">
        <f>IFERROR(__xludf.DUMMYFUNCTION("IF(IF(COUNTIF(P$2:P1570, P1571)=0, """", INDEX(H$2:H1570,
MAX(FILTER(ROW(H$2:H1570) - ROW(H$2) + 1, P$2:P1570 = P1571))))=""単価"","""",
IF(COUNTIF(P$2:P1570, P1571)=0, """", INDEX(H$2:H1570,
MAX(FILTER(ROW(H$2:H1570) - ROW(H$2) + 1, P$2:P1570 = P1571)))))"),45.5)</f>
        <v>45.5</v>
      </c>
      <c r="N1571" s="335" t="str">
        <f>IF(MAXIFS('単価履歴'!$O:$O,'単価履歴'!$E:$E,E1571,'単価履歴'!$F:$F,F1571)=O1571,"●","")</f>
        <v/>
      </c>
      <c r="O1571" s="346">
        <v>45777.75074074074</v>
      </c>
      <c r="P1571" s="334" t="str">
        <f t="shared" si="4"/>
        <v>ＪＦＥ条鋼:リバイブ新断Ａ</v>
      </c>
    </row>
    <row r="1572" ht="15.75" customHeight="1">
      <c r="A1572" s="335" t="s">
        <v>2755</v>
      </c>
      <c r="B1572" s="336">
        <v>45778.0</v>
      </c>
      <c r="C1572" s="335" t="s">
        <v>28</v>
      </c>
      <c r="D1572" s="335" t="s">
        <v>52</v>
      </c>
      <c r="E1572" s="337" t="str">
        <f t="shared" si="1"/>
        <v>ＪＦＥ条鋼:リバイブ</v>
      </c>
      <c r="F1572" s="338" t="s">
        <v>131</v>
      </c>
      <c r="G1572" s="339" t="str">
        <f t="shared" si="2"/>
        <v>ＪＦＥ条鋼:リバイブ新断Ｂ</v>
      </c>
      <c r="H1572" s="340">
        <f t="shared" si="3"/>
        <v>44</v>
      </c>
      <c r="I1572" s="341">
        <v>-0.5</v>
      </c>
      <c r="J1572" s="332">
        <f>IFERROR(__xludf.DUMMYFUNCTION("IF(IF(COUNTIF(P$2:P1571, P1572)=0, """", INDEX(H$2:H1571,
MAX(FILTER(ROW(H$2:H1571) - ROW(H$2) + 1, P$2:P1571 = P1572))))=""単価"","""",
IF(COUNTIF(P$2:P1571, P1572)=0, """", INDEX(H$2:H1571,
MAX(FILTER(ROW(H$2:H1571) - ROW(H$2) + 1, P$2:P1571 = P1572)))))"),44.5)</f>
        <v>44.5</v>
      </c>
      <c r="N1572" s="335" t="str">
        <f>IF(MAXIFS('単価履歴'!$O:$O,'単価履歴'!$E:$E,E1572,'単価履歴'!$F:$F,F1572)=O1572,"●","")</f>
        <v/>
      </c>
      <c r="O1572" s="346">
        <v>45777.75074074074</v>
      </c>
      <c r="P1572" s="334" t="str">
        <f t="shared" si="4"/>
        <v>ＪＦＥ条鋼:リバイブ新断Ｂ</v>
      </c>
    </row>
    <row r="1573" ht="15.75" customHeight="1">
      <c r="A1573" s="335" t="s">
        <v>2756</v>
      </c>
      <c r="B1573" s="336">
        <v>45778.0</v>
      </c>
      <c r="C1573" s="335" t="s">
        <v>28</v>
      </c>
      <c r="D1573" s="335" t="s">
        <v>52</v>
      </c>
      <c r="E1573" s="337" t="str">
        <f t="shared" si="1"/>
        <v>ＪＦＥ条鋼:リバイブ</v>
      </c>
      <c r="F1573" s="338" t="s">
        <v>575</v>
      </c>
      <c r="G1573" s="339" t="str">
        <f t="shared" si="2"/>
        <v>ＪＦＥ条鋼:リバイブ鋼ダライＡ</v>
      </c>
      <c r="H1573" s="340">
        <f t="shared" si="3"/>
        <v>38.5</v>
      </c>
      <c r="I1573" s="341">
        <v>-0.5</v>
      </c>
      <c r="J1573" s="332">
        <f>IFERROR(__xludf.DUMMYFUNCTION("IF(IF(COUNTIF(P$2:P1572, P1573)=0, """", INDEX(H$2:H1572,
MAX(FILTER(ROW(H$2:H1572) - ROW(H$2) + 1, P$2:P1572 = P1573))))=""単価"","""",
IF(COUNTIF(P$2:P1572, P1573)=0, """", INDEX(H$2:H1572,
MAX(FILTER(ROW(H$2:H1572) - ROW(H$2) + 1, P$2:P1572 = P1573)))))"),39.0)</f>
        <v>39</v>
      </c>
      <c r="N1573" s="335" t="str">
        <f>IF(MAXIFS('単価履歴'!$O:$O,'単価履歴'!$E:$E,E1573,'単価履歴'!$F:$F,F1573)=O1573,"●","")</f>
        <v/>
      </c>
      <c r="O1573" s="346">
        <v>45777.75074074074</v>
      </c>
      <c r="P1573" s="334" t="str">
        <f t="shared" si="4"/>
        <v>ＪＦＥ条鋼:リバイブ鋼ダライＡ</v>
      </c>
    </row>
    <row r="1574" ht="15.75" customHeight="1">
      <c r="A1574" s="335" t="s">
        <v>2757</v>
      </c>
      <c r="B1574" s="336">
        <v>45778.0</v>
      </c>
      <c r="C1574" s="335" t="s">
        <v>28</v>
      </c>
      <c r="D1574" s="335" t="s">
        <v>52</v>
      </c>
      <c r="E1574" s="337" t="str">
        <f t="shared" si="1"/>
        <v>ＪＦＥ条鋼:リバイブ</v>
      </c>
      <c r="F1574" s="338" t="s">
        <v>154</v>
      </c>
      <c r="G1574" s="339" t="str">
        <f t="shared" si="2"/>
        <v>ＪＦＥ条鋼:リバイブＣＰ Ａ</v>
      </c>
      <c r="H1574" s="340">
        <f t="shared" si="3"/>
        <v>43.5</v>
      </c>
      <c r="I1574" s="341">
        <v>-0.5</v>
      </c>
      <c r="J1574" s="332">
        <f>IFERROR(__xludf.DUMMYFUNCTION("IF(IF(COUNTIF(P$2:P1573, P1574)=0, """", INDEX(H$2:H1573,
MAX(FILTER(ROW(H$2:H1573) - ROW(H$2) + 1, P$2:P1573 = P1574))))=""単価"","""",
IF(COUNTIF(P$2:P1573, P1574)=0, """", INDEX(H$2:H1573,
MAX(FILTER(ROW(H$2:H1573) - ROW(H$2) + 1, P$2:P1573 = P1574)))))"),44.0)</f>
        <v>44</v>
      </c>
      <c r="N1574" s="335" t="str">
        <f>IF(MAXIFS('単価履歴'!$O:$O,'単価履歴'!$E:$E,E1574,'単価履歴'!$F:$F,F1574)=O1574,"●","")</f>
        <v/>
      </c>
      <c r="O1574" s="346">
        <v>45777.75074074074</v>
      </c>
      <c r="P1574" s="334" t="str">
        <f t="shared" si="4"/>
        <v>ＪＦＥ条鋼:リバイブＣＰ Ａ</v>
      </c>
    </row>
    <row r="1575" ht="15.75" customHeight="1">
      <c r="A1575" s="335" t="s">
        <v>2758</v>
      </c>
      <c r="B1575" s="336">
        <v>45777.0</v>
      </c>
      <c r="C1575" s="335" t="s">
        <v>537</v>
      </c>
      <c r="D1575" s="335" t="s">
        <v>1404</v>
      </c>
      <c r="E1575" s="337" t="str">
        <f t="shared" si="1"/>
        <v>大同特殊鋼:JSE/大和ﾘﾃｯｸ</v>
      </c>
      <c r="F1575" s="338" t="s">
        <v>1199</v>
      </c>
      <c r="G1575" s="339" t="str">
        <f t="shared" si="2"/>
        <v>大同特殊鋼:JSE/大和ﾘﾃｯｸＨＳ１(単体H1/電特A/HS))</v>
      </c>
      <c r="H1575" s="340">
        <f t="shared" si="3"/>
        <v>43.3</v>
      </c>
      <c r="I1575" s="341">
        <v>-2.0</v>
      </c>
      <c r="J1575" s="332">
        <f>IFERROR(__xludf.DUMMYFUNCTION("IF(IF(COUNTIF(P$2:P1574, P1575)=0, """", INDEX(H$2:H1574,
MAX(FILTER(ROW(H$2:H1574) - ROW(H$2) + 1, P$2:P1574 = P1575))))=""単価"","""",
IF(COUNTIF(P$2:P1574, P1575)=0, """", INDEX(H$2:H1574,
MAX(FILTER(ROW(H$2:H1574) - ROW(H$2) + 1, P$2:P1574 = P1575)))))"),45.3)</f>
        <v>45.3</v>
      </c>
      <c r="N1575" s="335" t="str">
        <f>IF(MAXIFS('単価履歴'!$O:$O,'単価履歴'!$E:$E,E1575,'単価履歴'!$F:$F,F1575)=O1575,"●","")</f>
        <v/>
      </c>
      <c r="O1575" s="346">
        <v>45778.350393518514</v>
      </c>
      <c r="P1575" s="334" t="str">
        <f t="shared" si="4"/>
        <v>大同特殊鋼:JSE/大和ﾘﾃｯｸＨＳ１(単体H1/電特A/HS))</v>
      </c>
    </row>
    <row r="1576" ht="15.75" customHeight="1">
      <c r="A1576" s="335" t="s">
        <v>2759</v>
      </c>
      <c r="B1576" s="336">
        <v>45777.0</v>
      </c>
      <c r="C1576" s="335" t="s">
        <v>537</v>
      </c>
      <c r="D1576" s="335" t="s">
        <v>1407</v>
      </c>
      <c r="E1576" s="337" t="str">
        <f t="shared" si="1"/>
        <v>大同特殊鋼:JSE/第二＠2.3</v>
      </c>
      <c r="F1576" s="338" t="s">
        <v>1199</v>
      </c>
      <c r="G1576" s="339" t="str">
        <f t="shared" si="2"/>
        <v>大同特殊鋼:JSE/第二＠2.3ＨＳ１(単体H1/電特A/HS))</v>
      </c>
      <c r="H1576" s="340">
        <f t="shared" si="3"/>
        <v>41</v>
      </c>
      <c r="I1576" s="341">
        <v>-2.0</v>
      </c>
      <c r="J1576" s="332">
        <f>IFERROR(__xludf.DUMMYFUNCTION("IF(IF(COUNTIF(P$2:P1575, P1576)=0, """", INDEX(H$2:H1575,
MAX(FILTER(ROW(H$2:H1575) - ROW(H$2) + 1, P$2:P1575 = P1576))))=""単価"","""",
IF(COUNTIF(P$2:P1575, P1576)=0, """", INDEX(H$2:H1575,
MAX(FILTER(ROW(H$2:H1575) - ROW(H$2) + 1, P$2:P1575 = P1576)))))"),43.0)</f>
        <v>43</v>
      </c>
      <c r="N1576" s="335" t="str">
        <f>IF(MAXIFS('単価履歴'!$O:$O,'単価履歴'!$E:$E,E1576,'単価履歴'!$F:$F,F1576)=O1576,"●","")</f>
        <v/>
      </c>
      <c r="O1576" s="346">
        <v>45778.350393518514</v>
      </c>
      <c r="P1576" s="334" t="str">
        <f t="shared" si="4"/>
        <v>大同特殊鋼:JSE/第二＠2.3ＨＳ１(単体H1/電特A/HS))</v>
      </c>
    </row>
    <row r="1577" ht="15.75" customHeight="1">
      <c r="A1577" s="335" t="s">
        <v>2760</v>
      </c>
      <c r="B1577" s="336">
        <v>45777.0</v>
      </c>
      <c r="C1577" s="335" t="s">
        <v>537</v>
      </c>
      <c r="D1577" s="335" t="s">
        <v>1410</v>
      </c>
      <c r="E1577" s="337" t="str">
        <f t="shared" si="1"/>
        <v>大同特殊鋼:JSE/岐阜＠1.5</v>
      </c>
      <c r="F1577" s="338" t="s">
        <v>1199</v>
      </c>
      <c r="G1577" s="339" t="str">
        <f t="shared" si="2"/>
        <v>大同特殊鋼:JSE/岐阜＠1.5ＨＳ１(単体H1/電特A/HS))</v>
      </c>
      <c r="H1577" s="340">
        <f t="shared" si="3"/>
        <v>41.8</v>
      </c>
      <c r="I1577" s="341">
        <v>-2.0</v>
      </c>
      <c r="J1577" s="332">
        <f>IFERROR(__xludf.DUMMYFUNCTION("IF(IF(COUNTIF(P$2:P1576, P1577)=0, """", INDEX(H$2:H1576,
MAX(FILTER(ROW(H$2:H1576) - ROW(H$2) + 1, P$2:P1576 = P1577))))=""単価"","""",
IF(COUNTIF(P$2:P1576, P1577)=0, """", INDEX(H$2:H1576,
MAX(FILTER(ROW(H$2:H1576) - ROW(H$2) + 1, P$2:P1576 = P1577)))))"),43.8)</f>
        <v>43.8</v>
      </c>
      <c r="N1577" s="335" t="str">
        <f>IF(MAXIFS('単価履歴'!$O:$O,'単価履歴'!$E:$E,E1577,'単価履歴'!$F:$F,F1577)=O1577,"●","")</f>
        <v/>
      </c>
      <c r="O1577" s="346">
        <v>45778.350393518514</v>
      </c>
      <c r="P1577" s="334" t="str">
        <f t="shared" si="4"/>
        <v>大同特殊鋼:JSE/岐阜＠1.5ＨＳ１(単体H1/電特A/HS))</v>
      </c>
    </row>
    <row r="1578" ht="15.75" customHeight="1">
      <c r="A1578" s="335" t="s">
        <v>2761</v>
      </c>
      <c r="B1578" s="336">
        <v>45778.0</v>
      </c>
      <c r="C1578" s="335" t="s">
        <v>29</v>
      </c>
      <c r="D1578" s="335" t="s">
        <v>63</v>
      </c>
      <c r="E1578" s="337" t="str">
        <f t="shared" si="1"/>
        <v>南港:ﾅﾝｾｲ</v>
      </c>
      <c r="F1578" s="338" t="s">
        <v>1199</v>
      </c>
      <c r="G1578" s="339" t="str">
        <f t="shared" si="2"/>
        <v>南港:ﾅﾝｾｲＨＳ１(単体H1/電特A/HS))</v>
      </c>
      <c r="H1578" s="340">
        <f t="shared" si="3"/>
        <v>42</v>
      </c>
      <c r="I1578" s="341">
        <v>-3.5</v>
      </c>
      <c r="J1578" s="332">
        <f>IFERROR(__xludf.DUMMYFUNCTION("IF(IF(COUNTIF(P$2:P1577, P1578)=0, """", INDEX(H$2:H1577,
MAX(FILTER(ROW(H$2:H1577) - ROW(H$2) + 1, P$2:P1577 = P1578))))=""単価"","""",
IF(COUNTIF(P$2:P1577, P1578)=0, """", INDEX(H$2:H1577,
MAX(FILTER(ROW(H$2:H1577) - ROW(H$2) + 1, P$2:P1577 = P1578)))))"),45.5)</f>
        <v>45.5</v>
      </c>
      <c r="N1578" s="335" t="str">
        <f>IF(MAXIFS('単価履歴'!$O:$O,'単価履歴'!$E:$E,E1578,'単価履歴'!$F:$F,F1578)=O1578,"●","")</f>
        <v/>
      </c>
      <c r="O1578" s="346">
        <v>45779.27836805556</v>
      </c>
      <c r="P1578" s="334" t="str">
        <f t="shared" si="4"/>
        <v>南港:ﾅﾝｾｲＨＳ１(単体H1/電特A/HS))</v>
      </c>
    </row>
    <row r="1579" ht="15.75" customHeight="1">
      <c r="A1579" s="335" t="s">
        <v>2762</v>
      </c>
      <c r="B1579" s="336">
        <v>45778.0</v>
      </c>
      <c r="C1579" s="335" t="s">
        <v>29</v>
      </c>
      <c r="D1579" s="335" t="s">
        <v>63</v>
      </c>
      <c r="E1579" s="337" t="str">
        <f t="shared" si="1"/>
        <v>南港:ﾅﾝｾｲ</v>
      </c>
      <c r="F1579" s="338" t="s">
        <v>116</v>
      </c>
      <c r="G1579" s="339" t="str">
        <f t="shared" si="2"/>
        <v>南港:ﾅﾝｾｲＨ２(特級)</v>
      </c>
      <c r="H1579" s="340">
        <f t="shared" si="3"/>
        <v>37</v>
      </c>
      <c r="I1579" s="341">
        <v>-3.0</v>
      </c>
      <c r="J1579" s="332">
        <f>IFERROR(__xludf.DUMMYFUNCTION("IF(IF(COUNTIF(P$2:P1578, P1579)=0, """", INDEX(H$2:H1578,
MAX(FILTER(ROW(H$2:H1578) - ROW(H$2) + 1, P$2:P1578 = P1579))))=""単価"","""",
IF(COUNTIF(P$2:P1578, P1579)=0, """", INDEX(H$2:H1578,
MAX(FILTER(ROW(H$2:H1578) - ROW(H$2) + 1, P$2:P1578 = P1579)))))"),40.0)</f>
        <v>40</v>
      </c>
      <c r="N1579" s="335" t="str">
        <f>IF(MAXIFS('単価履歴'!$O:$O,'単価履歴'!$E:$E,E1579,'単価履歴'!$F:$F,F1579)=O1579,"●","")</f>
        <v/>
      </c>
      <c r="O1579" s="346">
        <v>45779.27892361111</v>
      </c>
      <c r="P1579" s="334" t="str">
        <f t="shared" si="4"/>
        <v>南港:ﾅﾝｾｲＨ２(特級)</v>
      </c>
    </row>
    <row r="1580" ht="15.75" customHeight="1">
      <c r="A1580" s="335" t="s">
        <v>2763</v>
      </c>
      <c r="B1580" s="336">
        <v>45778.0</v>
      </c>
      <c r="C1580" s="335" t="s">
        <v>29</v>
      </c>
      <c r="D1580" s="335" t="s">
        <v>63</v>
      </c>
      <c r="E1580" s="337" t="str">
        <f t="shared" si="1"/>
        <v>南港:ﾅﾝｾｲ</v>
      </c>
      <c r="F1580" s="338" t="s">
        <v>130</v>
      </c>
      <c r="G1580" s="339" t="str">
        <f t="shared" si="2"/>
        <v>南港:ﾅﾝｾｲ新断Ａ</v>
      </c>
      <c r="H1580" s="340">
        <f t="shared" si="3"/>
        <v>42</v>
      </c>
      <c r="I1580" s="341">
        <v>-4.0</v>
      </c>
      <c r="J1580" s="332">
        <f>IFERROR(__xludf.DUMMYFUNCTION("IF(IF(COUNTIF(P$2:P1579, P1580)=0, """", INDEX(H$2:H1579,
MAX(FILTER(ROW(H$2:H1579) - ROW(H$2) + 1, P$2:P1579 = P1580))))=""単価"","""",
IF(COUNTIF(P$2:P1579, P1580)=0, """", INDEX(H$2:H1579,
MAX(FILTER(ROW(H$2:H1579) - ROW(H$2) + 1, P$2:P1579 = P1580)))))"),46.0)</f>
        <v>46</v>
      </c>
      <c r="N1580" s="335" t="str">
        <f>IF(MAXIFS('単価履歴'!$O:$O,'単価履歴'!$E:$E,E1580,'単価履歴'!$F:$F,F1580)=O1580,"●","")</f>
        <v/>
      </c>
      <c r="O1580" s="346">
        <v>45785.56417824074</v>
      </c>
      <c r="P1580" s="334" t="str">
        <f t="shared" si="4"/>
        <v>南港:ﾅﾝｾｲ新断Ａ</v>
      </c>
    </row>
    <row r="1581" ht="15.75" customHeight="1">
      <c r="A1581" s="335" t="s">
        <v>2764</v>
      </c>
      <c r="B1581" s="336">
        <v>45785.0</v>
      </c>
      <c r="C1581" s="335" t="s">
        <v>17</v>
      </c>
      <c r="D1581" s="335" t="s">
        <v>563</v>
      </c>
      <c r="E1581" s="337" t="str">
        <f t="shared" si="1"/>
        <v>RTA:第二置場単価</v>
      </c>
      <c r="F1581" s="338" t="s">
        <v>575</v>
      </c>
      <c r="G1581" s="339" t="str">
        <f t="shared" si="2"/>
        <v>RTA:第二置場単価鋼ダライＡ</v>
      </c>
      <c r="H1581" s="340">
        <f t="shared" si="3"/>
        <v>38</v>
      </c>
      <c r="I1581" s="341">
        <v>1.0</v>
      </c>
      <c r="J1581" s="332">
        <f>IFERROR(__xludf.DUMMYFUNCTION("IF(IF(COUNTIF(P$2:P1580, P1581)=0, """", INDEX(H$2:H1580,
MAX(FILTER(ROW(H$2:H1580) - ROW(H$2) + 1, P$2:P1580 = P1581))))=""単価"","""",
IF(COUNTIF(P$2:P1580, P1581)=0, """", INDEX(H$2:H1580,
MAX(FILTER(ROW(H$2:H1580) - ROW(H$2) + 1, P$2:P1580 = P1581)))))"),37.0)</f>
        <v>37</v>
      </c>
      <c r="N1581" s="335" t="str">
        <f>IF(MAXIFS('単価履歴'!$O:$O,'単価履歴'!$E:$E,E1581,'単価履歴'!$F:$F,F1581)=O1581,"●","")</f>
        <v/>
      </c>
      <c r="O1581" s="346">
        <v>45785.687210648146</v>
      </c>
      <c r="P1581" s="334" t="str">
        <f t="shared" si="4"/>
        <v>RTA:第二置場単価鋼ダライＡ</v>
      </c>
    </row>
    <row r="1582" ht="15.75" customHeight="1">
      <c r="A1582" s="335" t="s">
        <v>2765</v>
      </c>
      <c r="B1582" s="336">
        <v>45787.0</v>
      </c>
      <c r="C1582" s="335" t="s">
        <v>7</v>
      </c>
      <c r="D1582" s="335" t="s">
        <v>49</v>
      </c>
      <c r="E1582" s="337" t="str">
        <f t="shared" si="1"/>
        <v>合同大阪:伊藤忠</v>
      </c>
      <c r="F1582" s="338" t="s">
        <v>1199</v>
      </c>
      <c r="G1582" s="339" t="str">
        <f t="shared" si="2"/>
        <v>合同大阪:伊藤忠ＨＳ１(単体H1/電特A/HS))</v>
      </c>
      <c r="H1582" s="340">
        <f t="shared" si="3"/>
        <v>43.8</v>
      </c>
      <c r="I1582" s="341">
        <v>-0.5</v>
      </c>
      <c r="J1582" s="332">
        <f>IFERROR(__xludf.DUMMYFUNCTION("IF(IF(COUNTIF(P$2:P1581, P1582)=0, """", INDEX(H$2:H1581,
MAX(FILTER(ROW(H$2:H1581) - ROW(H$2) + 1, P$2:P1581 = P1582))))=""単価"","""",
IF(COUNTIF(P$2:P1581, P1582)=0, """", INDEX(H$2:H1581,
MAX(FILTER(ROW(H$2:H1581) - ROW(H$2) + 1, P$2:P1581 = P1582)))))"),44.3)</f>
        <v>44.3</v>
      </c>
      <c r="N1582" s="335" t="str">
        <f>IF(MAXIFS('単価履歴'!$O:$O,'単価履歴'!$E:$E,E1582,'単価履歴'!$F:$F,F1582)=O1582,"●","")</f>
        <v/>
      </c>
      <c r="O1582" s="346">
        <v>45786.74012731481</v>
      </c>
      <c r="P1582" s="334" t="str">
        <f t="shared" si="4"/>
        <v>合同大阪:伊藤忠ＨＳ１(単体H1/電特A/HS))</v>
      </c>
    </row>
    <row r="1583" ht="15.75" customHeight="1">
      <c r="A1583" s="335" t="s">
        <v>2766</v>
      </c>
      <c r="B1583" s="336">
        <v>45787.0</v>
      </c>
      <c r="C1583" s="335" t="s">
        <v>7</v>
      </c>
      <c r="D1583" s="335" t="s">
        <v>49</v>
      </c>
      <c r="E1583" s="337" t="str">
        <f t="shared" si="1"/>
        <v>合同大阪:伊藤忠</v>
      </c>
      <c r="F1583" s="338" t="s">
        <v>101</v>
      </c>
      <c r="G1583" s="339" t="str">
        <f t="shared" si="2"/>
        <v>合同大阪:伊藤忠ＨＳ２</v>
      </c>
      <c r="H1583" s="340">
        <f t="shared" si="3"/>
        <v>43.3</v>
      </c>
      <c r="I1583" s="341">
        <v>-0.5</v>
      </c>
      <c r="J1583" s="332">
        <f>IFERROR(__xludf.DUMMYFUNCTION("IF(IF(COUNTIF(P$2:P1582, P1583)=0, """", INDEX(H$2:H1582,
MAX(FILTER(ROW(H$2:H1582) - ROW(H$2) + 1, P$2:P1582 = P1583))))=""単価"","""",
IF(COUNTIF(P$2:P1582, P1583)=0, """", INDEX(H$2:H1582,
MAX(FILTER(ROW(H$2:H1582) - ROW(H$2) + 1, P$2:P1582 = P1583)))))"),43.8)</f>
        <v>43.8</v>
      </c>
      <c r="N1583" s="335" t="str">
        <f>IF(MAXIFS('単価履歴'!$O:$O,'単価履歴'!$E:$E,E1583,'単価履歴'!$F:$F,F1583)=O1583,"●","")</f>
        <v/>
      </c>
      <c r="O1583" s="346">
        <v>45786.74012731481</v>
      </c>
      <c r="P1583" s="334" t="str">
        <f t="shared" si="4"/>
        <v>合同大阪:伊藤忠ＨＳ２</v>
      </c>
    </row>
    <row r="1584" ht="15.75" customHeight="1">
      <c r="A1584" s="335" t="s">
        <v>2767</v>
      </c>
      <c r="B1584" s="336">
        <v>45787.0</v>
      </c>
      <c r="C1584" s="335" t="s">
        <v>7</v>
      </c>
      <c r="D1584" s="335" t="s">
        <v>49</v>
      </c>
      <c r="E1584" s="337" t="str">
        <f t="shared" si="1"/>
        <v>合同大阪:伊藤忠</v>
      </c>
      <c r="F1584" s="338" t="s">
        <v>111</v>
      </c>
      <c r="G1584" s="339" t="str">
        <f t="shared" si="2"/>
        <v>合同大阪:伊藤忠Ｈ１(特A)</v>
      </c>
      <c r="H1584" s="340">
        <f t="shared" si="3"/>
        <v>44.3</v>
      </c>
      <c r="I1584" s="341">
        <v>-0.5</v>
      </c>
      <c r="J1584" s="332">
        <f>IFERROR(__xludf.DUMMYFUNCTION("IF(IF(COUNTIF(P$2:P1583, P1584)=0, """", INDEX(H$2:H1583,
MAX(FILTER(ROW(H$2:H1583) - ROW(H$2) + 1, P$2:P1583 = P1584))))=""単価"","""",
IF(COUNTIF(P$2:P1583, P1584)=0, """", INDEX(H$2:H1583,
MAX(FILTER(ROW(H$2:H1583) - ROW(H$2) + 1, P$2:P1583 = P1584)))))"),44.8)</f>
        <v>44.8</v>
      </c>
      <c r="N1584" s="335" t="str">
        <f>IF(MAXIFS('単価履歴'!$O:$O,'単価履歴'!$E:$E,E1584,'単価履歴'!$F:$F,F1584)=O1584,"●","")</f>
        <v/>
      </c>
      <c r="O1584" s="346">
        <v>45786.74012731481</v>
      </c>
      <c r="P1584" s="334" t="str">
        <f t="shared" si="4"/>
        <v>合同大阪:伊藤忠Ｈ１(特A)</v>
      </c>
    </row>
    <row r="1585" ht="15.75" customHeight="1">
      <c r="A1585" s="335" t="s">
        <v>2768</v>
      </c>
      <c r="B1585" s="336">
        <v>45787.0</v>
      </c>
      <c r="C1585" s="335" t="s">
        <v>7</v>
      </c>
      <c r="D1585" s="335" t="s">
        <v>49</v>
      </c>
      <c r="E1585" s="337" t="str">
        <f t="shared" si="1"/>
        <v>合同大阪:伊藤忠</v>
      </c>
      <c r="F1585" s="338" t="s">
        <v>116</v>
      </c>
      <c r="G1585" s="339" t="str">
        <f t="shared" si="2"/>
        <v>合同大阪:伊藤忠Ｈ２(特級)</v>
      </c>
      <c r="H1585" s="340">
        <f t="shared" si="3"/>
        <v>42.8</v>
      </c>
      <c r="I1585" s="341">
        <v>-0.5</v>
      </c>
      <c r="J1585" s="332">
        <f>IFERROR(__xludf.DUMMYFUNCTION("IF(IF(COUNTIF(P$2:P1584, P1585)=0, """", INDEX(H$2:H1584,
MAX(FILTER(ROW(H$2:H1584) - ROW(H$2) + 1, P$2:P1584 = P1585))))=""単価"","""",
IF(COUNTIF(P$2:P1584, P1585)=0, """", INDEX(H$2:H1584,
MAX(FILTER(ROW(H$2:H1584) - ROW(H$2) + 1, P$2:P1584 = P1585)))))"),43.3)</f>
        <v>43.3</v>
      </c>
      <c r="N1585" s="335" t="str">
        <f>IF(MAXIFS('単価履歴'!$O:$O,'単価履歴'!$E:$E,E1585,'単価履歴'!$F:$F,F1585)=O1585,"●","")</f>
        <v/>
      </c>
      <c r="O1585" s="346">
        <v>45786.74012731481</v>
      </c>
      <c r="P1585" s="334" t="str">
        <f t="shared" si="4"/>
        <v>合同大阪:伊藤忠Ｈ２(特級)</v>
      </c>
    </row>
    <row r="1586" ht="15.75" customHeight="1">
      <c r="A1586" s="335" t="s">
        <v>2769</v>
      </c>
      <c r="B1586" s="336">
        <v>45787.0</v>
      </c>
      <c r="C1586" s="335" t="s">
        <v>7</v>
      </c>
      <c r="D1586" s="335" t="s">
        <v>49</v>
      </c>
      <c r="E1586" s="337" t="str">
        <f t="shared" si="1"/>
        <v>合同大阪:伊藤忠</v>
      </c>
      <c r="F1586" s="338" t="s">
        <v>119</v>
      </c>
      <c r="G1586" s="339" t="str">
        <f t="shared" si="2"/>
        <v>合同大阪:伊藤忠Ｈ３(1級)</v>
      </c>
      <c r="H1586" s="340">
        <f t="shared" si="3"/>
        <v>42.3</v>
      </c>
      <c r="I1586" s="341">
        <v>-0.5</v>
      </c>
      <c r="J1586" s="332">
        <f>IFERROR(__xludf.DUMMYFUNCTION("IF(IF(COUNTIF(P$2:P1585, P1586)=0, """", INDEX(H$2:H1585,
MAX(FILTER(ROW(H$2:H1585) - ROW(H$2) + 1, P$2:P1585 = P1586))))=""単価"","""",
IF(COUNTIF(P$2:P1585, P1586)=0, """", INDEX(H$2:H1585,
MAX(FILTER(ROW(H$2:H1585) - ROW(H$2) + 1, P$2:P1585 = P1586)))))"),42.8)</f>
        <v>42.8</v>
      </c>
      <c r="N1586" s="335" t="str">
        <f>IF(MAXIFS('単価履歴'!$O:$O,'単価履歴'!$E:$E,E1586,'単価履歴'!$F:$F,F1586)=O1586,"●","")</f>
        <v/>
      </c>
      <c r="O1586" s="346">
        <v>45786.74012731481</v>
      </c>
      <c r="P1586" s="334" t="str">
        <f t="shared" si="4"/>
        <v>合同大阪:伊藤忠Ｈ３(1級)</v>
      </c>
    </row>
    <row r="1587" ht="15.75" customHeight="1">
      <c r="A1587" s="335" t="s">
        <v>2770</v>
      </c>
      <c r="B1587" s="336">
        <v>45787.0</v>
      </c>
      <c r="C1587" s="335" t="s">
        <v>7</v>
      </c>
      <c r="D1587" s="335" t="s">
        <v>49</v>
      </c>
      <c r="E1587" s="337" t="str">
        <f t="shared" si="1"/>
        <v>合同大阪:伊藤忠</v>
      </c>
      <c r="F1587" s="338" t="s">
        <v>122</v>
      </c>
      <c r="G1587" s="339" t="str">
        <f t="shared" si="2"/>
        <v>合同大阪:伊藤忠Ｌ１(2級)</v>
      </c>
      <c r="H1587" s="340">
        <f t="shared" si="3"/>
        <v>41.3</v>
      </c>
      <c r="I1587" s="341">
        <v>-0.5</v>
      </c>
      <c r="J1587" s="332">
        <f>IFERROR(__xludf.DUMMYFUNCTION("IF(IF(COUNTIF(P$2:P1586, P1587)=0, """", INDEX(H$2:H1586,
MAX(FILTER(ROW(H$2:H1586) - ROW(H$2) + 1, P$2:P1586 = P1587))))=""単価"","""",
IF(COUNTIF(P$2:P1586, P1587)=0, """", INDEX(H$2:H1586,
MAX(FILTER(ROW(H$2:H1586) - ROW(H$2) + 1, P$2:P1586 = P1587)))))"),41.8)</f>
        <v>41.8</v>
      </c>
      <c r="N1587" s="335" t="str">
        <f>IF(MAXIFS('単価履歴'!$O:$O,'単価履歴'!$E:$E,E1587,'単価履歴'!$F:$F,F1587)=O1587,"●","")</f>
        <v/>
      </c>
      <c r="O1587" s="346">
        <v>45786.74012731481</v>
      </c>
      <c r="P1587" s="334" t="str">
        <f t="shared" si="4"/>
        <v>合同大阪:伊藤忠Ｌ１(2級)</v>
      </c>
    </row>
    <row r="1588" ht="15.75" customHeight="1">
      <c r="A1588" s="335" t="s">
        <v>2771</v>
      </c>
      <c r="B1588" s="336">
        <v>45787.0</v>
      </c>
      <c r="C1588" s="335" t="s">
        <v>7</v>
      </c>
      <c r="D1588" s="335" t="s">
        <v>49</v>
      </c>
      <c r="E1588" s="337" t="str">
        <f t="shared" si="1"/>
        <v>合同大阪:伊藤忠</v>
      </c>
      <c r="F1588" s="338" t="s">
        <v>130</v>
      </c>
      <c r="G1588" s="339" t="str">
        <f t="shared" si="2"/>
        <v>合同大阪:伊藤忠新断Ａ</v>
      </c>
      <c r="H1588" s="340">
        <f t="shared" si="3"/>
        <v>44.8</v>
      </c>
      <c r="I1588" s="341">
        <v>-0.5</v>
      </c>
      <c r="J1588" s="332">
        <f>IFERROR(__xludf.DUMMYFUNCTION("IF(IF(COUNTIF(P$2:P1587, P1588)=0, """", INDEX(H$2:H1587,
MAX(FILTER(ROW(H$2:H1587) - ROW(H$2) + 1, P$2:P1587 = P1588))))=""単価"","""",
IF(COUNTIF(P$2:P1587, P1588)=0, """", INDEX(H$2:H1587,
MAX(FILTER(ROW(H$2:H1587) - ROW(H$2) + 1, P$2:P1587 = P1588)))))"),45.3)</f>
        <v>45.3</v>
      </c>
      <c r="N1588" s="335" t="str">
        <f>IF(MAXIFS('単価履歴'!$O:$O,'単価履歴'!$E:$E,E1588,'単価履歴'!$F:$F,F1588)=O1588,"●","")</f>
        <v/>
      </c>
      <c r="O1588" s="346">
        <v>45786.74012731481</v>
      </c>
      <c r="P1588" s="334" t="str">
        <f t="shared" si="4"/>
        <v>合同大阪:伊藤忠新断Ａ</v>
      </c>
    </row>
    <row r="1589" ht="15.75" customHeight="1">
      <c r="A1589" s="335" t="s">
        <v>2772</v>
      </c>
      <c r="B1589" s="336">
        <v>45787.0</v>
      </c>
      <c r="C1589" s="335" t="s">
        <v>7</v>
      </c>
      <c r="D1589" s="335" t="s">
        <v>49</v>
      </c>
      <c r="E1589" s="337" t="str">
        <f t="shared" si="1"/>
        <v>合同大阪:伊藤忠</v>
      </c>
      <c r="F1589" s="338" t="s">
        <v>131</v>
      </c>
      <c r="G1589" s="339" t="str">
        <f t="shared" si="2"/>
        <v>合同大阪:伊藤忠新断Ｂ</v>
      </c>
      <c r="H1589" s="340">
        <f t="shared" si="3"/>
        <v>44.3</v>
      </c>
      <c r="I1589" s="341">
        <v>-0.5</v>
      </c>
      <c r="J1589" s="332">
        <f>IFERROR(__xludf.DUMMYFUNCTION("IF(IF(COUNTIF(P$2:P1588, P1589)=0, """", INDEX(H$2:H1588,
MAX(FILTER(ROW(H$2:H1588) - ROW(H$2) + 1, P$2:P1588 = P1589))))=""単価"","""",
IF(COUNTIF(P$2:P1588, P1589)=0, """", INDEX(H$2:H1588,
MAX(FILTER(ROW(H$2:H1588) - ROW(H$2) + 1, P$2:P1588 = P1589)))))"),44.8)</f>
        <v>44.8</v>
      </c>
      <c r="N1589" s="335" t="str">
        <f>IF(MAXIFS('単価履歴'!$O:$O,'単価履歴'!$E:$E,E1589,'単価履歴'!$F:$F,F1589)=O1589,"●","")</f>
        <v/>
      </c>
      <c r="O1589" s="346">
        <v>45786.74012731481</v>
      </c>
      <c r="P1589" s="334" t="str">
        <f t="shared" si="4"/>
        <v>合同大阪:伊藤忠新断Ｂ</v>
      </c>
    </row>
    <row r="1590" ht="15.75" customHeight="1">
      <c r="A1590" s="335" t="s">
        <v>2773</v>
      </c>
      <c r="B1590" s="336">
        <v>45787.0</v>
      </c>
      <c r="C1590" s="335" t="s">
        <v>7</v>
      </c>
      <c r="D1590" s="335" t="s">
        <v>49</v>
      </c>
      <c r="E1590" s="337" t="str">
        <f t="shared" si="1"/>
        <v>合同大阪:伊藤忠</v>
      </c>
      <c r="F1590" s="338" t="s">
        <v>575</v>
      </c>
      <c r="G1590" s="339" t="str">
        <f t="shared" si="2"/>
        <v>合同大阪:伊藤忠鋼ダライＡ</v>
      </c>
      <c r="H1590" s="340">
        <f t="shared" si="3"/>
        <v>32.8</v>
      </c>
      <c r="I1590" s="341">
        <v>-0.5</v>
      </c>
      <c r="J1590" s="332">
        <f>IFERROR(__xludf.DUMMYFUNCTION("IF(IF(COUNTIF(P$2:P1589, P1590)=0, """", INDEX(H$2:H1589,
MAX(FILTER(ROW(H$2:H1589) - ROW(H$2) + 1, P$2:P1589 = P1590))))=""単価"","""",
IF(COUNTIF(P$2:P1589, P1590)=0, """", INDEX(H$2:H1589,
MAX(FILTER(ROW(H$2:H1589) - ROW(H$2) + 1, P$2:P1589 = P1590)))))"),33.3)</f>
        <v>33.3</v>
      </c>
      <c r="N1590" s="335" t="str">
        <f>IF(MAXIFS('単価履歴'!$O:$O,'単価履歴'!$E:$E,E1590,'単価履歴'!$F:$F,F1590)=O1590,"●","")</f>
        <v/>
      </c>
      <c r="O1590" s="346">
        <v>45786.74012731481</v>
      </c>
      <c r="P1590" s="334" t="str">
        <f t="shared" si="4"/>
        <v>合同大阪:伊藤忠鋼ダライＡ</v>
      </c>
    </row>
    <row r="1591" ht="15.75" customHeight="1">
      <c r="A1591" s="335" t="s">
        <v>2774</v>
      </c>
      <c r="B1591" s="336">
        <v>45787.0</v>
      </c>
      <c r="C1591" s="335" t="s">
        <v>7</v>
      </c>
      <c r="D1591" s="335" t="s">
        <v>49</v>
      </c>
      <c r="E1591" s="337" t="str">
        <f t="shared" si="1"/>
        <v>合同大阪:伊藤忠</v>
      </c>
      <c r="F1591" s="338" t="s">
        <v>576</v>
      </c>
      <c r="G1591" s="339" t="str">
        <f t="shared" si="2"/>
        <v>合同大阪:伊藤忠鋼ダライＢ</v>
      </c>
      <c r="H1591" s="340">
        <f t="shared" si="3"/>
        <v>32.3</v>
      </c>
      <c r="I1591" s="341">
        <v>-0.5</v>
      </c>
      <c r="J1591" s="332">
        <f>IFERROR(__xludf.DUMMYFUNCTION("IF(IF(COUNTIF(P$2:P1590, P1591)=0, """", INDEX(H$2:H1590,
MAX(FILTER(ROW(H$2:H1590) - ROW(H$2) + 1, P$2:P1590 = P1591))))=""単価"","""",
IF(COUNTIF(P$2:P1590, P1591)=0, """", INDEX(H$2:H1590,
MAX(FILTER(ROW(H$2:H1590) - ROW(H$2) + 1, P$2:P1590 = P1591)))))"),32.8)</f>
        <v>32.8</v>
      </c>
      <c r="N1591" s="335" t="str">
        <f>IF(MAXIFS('単価履歴'!$O:$O,'単価履歴'!$E:$E,E1591,'単価履歴'!$F:$F,F1591)=O1591,"●","")</f>
        <v/>
      </c>
      <c r="O1591" s="346">
        <v>45786.74012731481</v>
      </c>
      <c r="P1591" s="334" t="str">
        <f t="shared" si="4"/>
        <v>合同大阪:伊藤忠鋼ダライＢ</v>
      </c>
    </row>
    <row r="1592" ht="15.75" customHeight="1">
      <c r="A1592" s="335"/>
      <c r="B1592" s="336"/>
      <c r="C1592" s="335"/>
      <c r="D1592" s="335"/>
      <c r="E1592" s="337" t="str">
        <f t="shared" si="1"/>
        <v>:</v>
      </c>
      <c r="F1592" s="338"/>
      <c r="G1592" s="339" t="str">
        <f t="shared" si="2"/>
        <v>:</v>
      </c>
      <c r="H1592" s="340">
        <f t="shared" si="3"/>
        <v>0</v>
      </c>
      <c r="I1592" s="341"/>
      <c r="J1592" s="332">
        <f>IFERROR(__xludf.DUMMYFUNCTION("IF(IF(COUNTIF(P$2:P1591, P1592)=0, """", INDEX(H$2:H1591,
MAX(FILTER(ROW(H$2:H1591) - ROW(H$2) + 1, P$2:P1591 = P1592))))=""単価"","""",
IF(COUNTIF(P$2:P1591, P1592)=0, """", INDEX(H$2:H1591,
MAX(FILTER(ROW(H$2:H1591) - ROW(H$2) + 1, P$2:P1591 = P1592)))))"),0.0)</f>
        <v>0</v>
      </c>
      <c r="N1592" s="335" t="str">
        <f>IF(MAXIFS('単価履歴'!$O:$O,'単価履歴'!$E:$E,E1592,'単価履歴'!$F:$F,F1592)=O1592,"●","")</f>
        <v>●</v>
      </c>
      <c r="O1592" s="346"/>
      <c r="P1592" s="334" t="str">
        <f t="shared" si="4"/>
        <v>:</v>
      </c>
    </row>
    <row r="1593" ht="15.75" customHeight="1">
      <c r="A1593" s="335"/>
      <c r="B1593" s="336"/>
      <c r="C1593" s="335"/>
      <c r="D1593" s="335"/>
      <c r="E1593" s="337" t="str">
        <f t="shared" si="1"/>
        <v>:</v>
      </c>
      <c r="F1593" s="338"/>
      <c r="G1593" s="339" t="str">
        <f t="shared" si="2"/>
        <v>:</v>
      </c>
      <c r="H1593" s="340">
        <f t="shared" si="3"/>
        <v>0</v>
      </c>
      <c r="I1593" s="341"/>
      <c r="J1593" s="332">
        <f>IFERROR(__xludf.DUMMYFUNCTION("IF(IF(COUNTIF(P$2:P1592, P1593)=0, """", INDEX(H$2:H1592,
MAX(FILTER(ROW(H$2:H1592) - ROW(H$2) + 1, P$2:P1592 = P1593))))=""単価"","""",
IF(COUNTIF(P$2:P1592, P1593)=0, """", INDEX(H$2:H1592,
MAX(FILTER(ROW(H$2:H1592) - ROW(H$2) + 1, P$2:P1592 = P1593)))))"),0.0)</f>
        <v>0</v>
      </c>
      <c r="N1593" s="335" t="str">
        <f>IF(MAXIFS('単価履歴'!$O:$O,'単価履歴'!$E:$E,E1593,'単価履歴'!$F:$F,F1593)=O1593,"●","")</f>
        <v>●</v>
      </c>
      <c r="O1593" s="346"/>
      <c r="P1593" s="334" t="str">
        <f t="shared" si="4"/>
        <v>:</v>
      </c>
    </row>
    <row r="1594" ht="15.75" customHeight="1">
      <c r="A1594" s="335"/>
      <c r="B1594" s="336"/>
      <c r="C1594" s="335"/>
      <c r="D1594" s="335"/>
      <c r="E1594" s="337" t="str">
        <f t="shared" si="1"/>
        <v>:</v>
      </c>
      <c r="F1594" s="338"/>
      <c r="G1594" s="339" t="str">
        <f t="shared" si="2"/>
        <v>:</v>
      </c>
      <c r="H1594" s="340">
        <f t="shared" si="3"/>
        <v>0</v>
      </c>
      <c r="I1594" s="341"/>
      <c r="J1594" s="332">
        <f>IFERROR(__xludf.DUMMYFUNCTION("IF(IF(COUNTIF(P$2:P1593, P1594)=0, """", INDEX(H$2:H1593,
MAX(FILTER(ROW(H$2:H1593) - ROW(H$2) + 1, P$2:P1593 = P1594))))=""単価"","""",
IF(COUNTIF(P$2:P1593, P1594)=0, """", INDEX(H$2:H1593,
MAX(FILTER(ROW(H$2:H1593) - ROW(H$2) + 1, P$2:P1593 = P1594)))))"),0.0)</f>
        <v>0</v>
      </c>
      <c r="N1594" s="335" t="str">
        <f>IF(MAXIFS('単価履歴'!$O:$O,'単価履歴'!$E:$E,E1594,'単価履歴'!$F:$F,F1594)=O1594,"●","")</f>
        <v>●</v>
      </c>
      <c r="O1594" s="346"/>
      <c r="P1594" s="334" t="str">
        <f t="shared" si="4"/>
        <v>:</v>
      </c>
    </row>
    <row r="1595" ht="15.75" customHeight="1">
      <c r="A1595" s="335"/>
      <c r="B1595" s="336"/>
      <c r="C1595" s="335"/>
      <c r="D1595" s="335"/>
      <c r="E1595" s="337" t="str">
        <f t="shared" si="1"/>
        <v>:</v>
      </c>
      <c r="F1595" s="338"/>
      <c r="G1595" s="339" t="str">
        <f t="shared" si="2"/>
        <v>:</v>
      </c>
      <c r="H1595" s="340">
        <f t="shared" si="3"/>
        <v>0</v>
      </c>
      <c r="I1595" s="341"/>
      <c r="J1595" s="332">
        <f>IFERROR(__xludf.DUMMYFUNCTION("IF(IF(COUNTIF(P$2:P1594, P1595)=0, """", INDEX(H$2:H1594,
MAX(FILTER(ROW(H$2:H1594) - ROW(H$2) + 1, P$2:P1594 = P1595))))=""単価"","""",
IF(COUNTIF(P$2:P1594, P1595)=0, """", INDEX(H$2:H1594,
MAX(FILTER(ROW(H$2:H1594) - ROW(H$2) + 1, P$2:P1594 = P1595)))))"),0.0)</f>
        <v>0</v>
      </c>
      <c r="N1595" s="335" t="str">
        <f>IF(MAXIFS('単価履歴'!$O:$O,'単価履歴'!$E:$E,E1595,'単価履歴'!$F:$F,F1595)=O1595,"●","")</f>
        <v>●</v>
      </c>
      <c r="O1595" s="346"/>
      <c r="P1595" s="334" t="str">
        <f t="shared" si="4"/>
        <v>:</v>
      </c>
    </row>
    <row r="1596" ht="15.75" customHeight="1">
      <c r="A1596" s="335"/>
      <c r="B1596" s="336"/>
      <c r="C1596" s="335"/>
      <c r="D1596" s="335"/>
      <c r="E1596" s="337" t="str">
        <f t="shared" si="1"/>
        <v>:</v>
      </c>
      <c r="F1596" s="338"/>
      <c r="G1596" s="339" t="str">
        <f t="shared" si="2"/>
        <v>:</v>
      </c>
      <c r="H1596" s="340">
        <f t="shared" si="3"/>
        <v>0</v>
      </c>
      <c r="I1596" s="341"/>
      <c r="J1596" s="332">
        <f>IFERROR(__xludf.DUMMYFUNCTION("IF(IF(COUNTIF(P$2:P1595, P1596)=0, """", INDEX(H$2:H1595,
MAX(FILTER(ROW(H$2:H1595) - ROW(H$2) + 1, P$2:P1595 = P1596))))=""単価"","""",
IF(COUNTIF(P$2:P1595, P1596)=0, """", INDEX(H$2:H1595,
MAX(FILTER(ROW(H$2:H1595) - ROW(H$2) + 1, P$2:P1595 = P1596)))))"),0.0)</f>
        <v>0</v>
      </c>
      <c r="N1596" s="335" t="str">
        <f>IF(MAXIFS('単価履歴'!$O:$O,'単価履歴'!$E:$E,E1596,'単価履歴'!$F:$F,F1596)=O1596,"●","")</f>
        <v>●</v>
      </c>
      <c r="O1596" s="346"/>
      <c r="P1596" s="334" t="str">
        <f t="shared" si="4"/>
        <v>:</v>
      </c>
    </row>
    <row r="1597" ht="15.75" customHeight="1">
      <c r="A1597" s="335" t="s">
        <v>2775</v>
      </c>
      <c r="B1597" s="336">
        <v>45787.0</v>
      </c>
      <c r="C1597" s="335" t="s">
        <v>31</v>
      </c>
      <c r="D1597" s="335" t="s">
        <v>64</v>
      </c>
      <c r="E1597" s="337" t="str">
        <f t="shared" si="1"/>
        <v>泉北中谷:ナベ双葉</v>
      </c>
      <c r="F1597" s="338" t="s">
        <v>1199</v>
      </c>
      <c r="G1597" s="339" t="str">
        <f t="shared" si="2"/>
        <v>泉北中谷:ナベ双葉ＨＳ１(単体H1/電特A/HS))</v>
      </c>
      <c r="H1597" s="340">
        <f t="shared" si="3"/>
        <v>41.5</v>
      </c>
      <c r="I1597" s="341">
        <v>-1.0</v>
      </c>
      <c r="J1597" s="332">
        <f>IFERROR(__xludf.DUMMYFUNCTION("IF(IF(COUNTIF(P$2:P1596, P1597)=0, """", INDEX(H$2:H1596,
MAX(FILTER(ROW(H$2:H1596) - ROW(H$2) + 1, P$2:P1596 = P1597))))=""単価"","""",
IF(COUNTIF(P$2:P1596, P1597)=0, """", INDEX(H$2:H1596,
MAX(FILTER(ROW(H$2:H1596) - ROW(H$2) + 1, P$2:P1596 = P1597)))))"),42.5)</f>
        <v>42.5</v>
      </c>
      <c r="N1597" s="335" t="str">
        <f>IF(MAXIFS('単価履歴'!$O:$O,'単価履歴'!$E:$E,E1597,'単価履歴'!$F:$F,F1597)=O1597,"●","")</f>
        <v/>
      </c>
      <c r="O1597" s="346">
        <v>45786.75776620371</v>
      </c>
      <c r="P1597" s="334" t="str">
        <f t="shared" si="4"/>
        <v>泉北中谷:ナベ双葉ＨＳ１(単体H1/電特A/HS))</v>
      </c>
    </row>
    <row r="1598" ht="15.75" customHeight="1">
      <c r="A1598" s="335" t="s">
        <v>2776</v>
      </c>
      <c r="B1598" s="336">
        <v>45787.0</v>
      </c>
      <c r="C1598" s="335" t="s">
        <v>31</v>
      </c>
      <c r="D1598" s="335" t="s">
        <v>64</v>
      </c>
      <c r="E1598" s="337" t="str">
        <f t="shared" si="1"/>
        <v>泉北中谷:ナベ双葉</v>
      </c>
      <c r="F1598" s="338" t="s">
        <v>116</v>
      </c>
      <c r="G1598" s="339" t="str">
        <f t="shared" si="2"/>
        <v>泉北中谷:ナベ双葉Ｈ２(特級)</v>
      </c>
      <c r="H1598" s="340">
        <f t="shared" si="3"/>
        <v>37</v>
      </c>
      <c r="I1598" s="341">
        <v>-1.5</v>
      </c>
      <c r="J1598" s="332">
        <f>IFERROR(__xludf.DUMMYFUNCTION("IF(IF(COUNTIF(P$2:P1597, P1598)=0, """", INDEX(H$2:H1597,
MAX(FILTER(ROW(H$2:H1597) - ROW(H$2) + 1, P$2:P1597 = P1598))))=""単価"","""",
IF(COUNTIF(P$2:P1597, P1598)=0, """", INDEX(H$2:H1597,
MAX(FILTER(ROW(H$2:H1597) - ROW(H$2) + 1, P$2:P1597 = P1598)))))"),38.5)</f>
        <v>38.5</v>
      </c>
      <c r="N1598" s="335" t="str">
        <f>IF(MAXIFS('単価履歴'!$O:$O,'単価履歴'!$E:$E,E1598,'単価履歴'!$F:$F,F1598)=O1598,"●","")</f>
        <v/>
      </c>
      <c r="O1598" s="346">
        <v>45786.75806712963</v>
      </c>
      <c r="P1598" s="334" t="str">
        <f t="shared" si="4"/>
        <v>泉北中谷:ナベ双葉Ｈ２(特級)</v>
      </c>
    </row>
    <row r="1599" ht="15.75" customHeight="1">
      <c r="A1599" s="335" t="s">
        <v>2777</v>
      </c>
      <c r="B1599" s="336">
        <v>45787.0</v>
      </c>
      <c r="C1599" s="335" t="s">
        <v>31</v>
      </c>
      <c r="D1599" s="335" t="s">
        <v>64</v>
      </c>
      <c r="E1599" s="337" t="str">
        <f t="shared" si="1"/>
        <v>泉北中谷:ナベ双葉</v>
      </c>
      <c r="F1599" s="338" t="s">
        <v>130</v>
      </c>
      <c r="G1599" s="339" t="str">
        <f t="shared" si="2"/>
        <v>泉北中谷:ナベ双葉新断Ａ</v>
      </c>
      <c r="H1599" s="340">
        <f t="shared" si="3"/>
        <v>41.5</v>
      </c>
      <c r="I1599" s="341">
        <v>-0.5</v>
      </c>
      <c r="J1599" s="332">
        <f>IFERROR(__xludf.DUMMYFUNCTION("IF(IF(COUNTIF(P$2:P1598, P1599)=0, """", INDEX(H$2:H1598,
MAX(FILTER(ROW(H$2:H1598) - ROW(H$2) + 1, P$2:P1598 = P1599))))=""単価"","""",
IF(COUNTIF(P$2:P1598, P1599)=0, """", INDEX(H$2:H1598,
MAX(FILTER(ROW(H$2:H1598) - ROW(H$2) + 1, P$2:P1598 = P1599)))))"),42.0)</f>
        <v>42</v>
      </c>
      <c r="N1599" s="335" t="str">
        <f>IF(MAXIFS('単価履歴'!$O:$O,'単価履歴'!$E:$E,E1599,'単価履歴'!$F:$F,F1599)=O1599,"●","")</f>
        <v/>
      </c>
      <c r="O1599" s="346">
        <v>45786.75849537037</v>
      </c>
      <c r="P1599" s="334" t="str">
        <f t="shared" si="4"/>
        <v>泉北中谷:ナベ双葉新断Ａ</v>
      </c>
    </row>
    <row r="1600" ht="15.75" customHeight="1">
      <c r="A1600" s="335" t="s">
        <v>2778</v>
      </c>
      <c r="B1600" s="336">
        <v>45778.0</v>
      </c>
      <c r="C1600" s="335" t="s">
        <v>12</v>
      </c>
      <c r="D1600" s="335" t="s">
        <v>53</v>
      </c>
      <c r="E1600" s="337" t="str">
        <f t="shared" si="1"/>
        <v>山陽特殊:MM</v>
      </c>
      <c r="F1600" s="338" t="s">
        <v>574</v>
      </c>
      <c r="G1600" s="339" t="str">
        <f t="shared" si="2"/>
        <v>山陽特殊:MM新断Ｃ</v>
      </c>
      <c r="H1600" s="340">
        <f t="shared" si="3"/>
        <v>42.2</v>
      </c>
      <c r="I1600" s="341">
        <v>-2.6</v>
      </c>
      <c r="J1600" s="332">
        <f>IFERROR(__xludf.DUMMYFUNCTION("IF(IF(COUNTIF(P$2:P1599, P1600)=0, """", INDEX(H$2:H1599,
MAX(FILTER(ROW(H$2:H1599) - ROW(H$2) + 1, P$2:P1599 = P1600))))=""単価"","""",
IF(COUNTIF(P$2:P1599, P1600)=0, """", INDEX(H$2:H1599,
MAX(FILTER(ROW(H$2:H1599) - ROW(H$2) + 1, P$2:P1599 = P1600)))))"),44.8)</f>
        <v>44.8</v>
      </c>
      <c r="N1600" s="335" t="str">
        <f>IF(MAXIFS('単価履歴'!$O:$O,'単価履歴'!$E:$E,E1600,'単価履歴'!$F:$F,F1600)=O1600,"●","")</f>
        <v/>
      </c>
      <c r="O1600" s="346">
        <v>45790.262766203705</v>
      </c>
      <c r="P1600" s="334" t="str">
        <f t="shared" si="4"/>
        <v>山陽特殊:MM新断Ｃ</v>
      </c>
    </row>
    <row r="1601" ht="15.75" customHeight="1">
      <c r="A1601" s="335"/>
      <c r="B1601" s="336"/>
      <c r="C1601" s="335"/>
      <c r="D1601" s="335"/>
      <c r="E1601" s="337" t="str">
        <f t="shared" si="1"/>
        <v>:</v>
      </c>
      <c r="F1601" s="338"/>
      <c r="G1601" s="339" t="str">
        <f t="shared" si="2"/>
        <v>:</v>
      </c>
      <c r="H1601" s="340">
        <f t="shared" si="3"/>
        <v>0</v>
      </c>
      <c r="I1601" s="341"/>
      <c r="J1601" s="332">
        <f>IFERROR(__xludf.DUMMYFUNCTION("IF(IF(COUNTIF(P$2:P1600, P1601)=0, """", INDEX(H$2:H1600,
MAX(FILTER(ROW(H$2:H1600) - ROW(H$2) + 1, P$2:P1600 = P1601))))=""単価"","""",
IF(COUNTIF(P$2:P1600, P1601)=0, """", INDEX(H$2:H1600,
MAX(FILTER(ROW(H$2:H1600) - ROW(H$2) + 1, P$2:P1600 = P1601)))))"),0.0)</f>
        <v>0</v>
      </c>
      <c r="N1601" s="335" t="str">
        <f>IF(MAXIFS('単価履歴'!$O:$O,'単価履歴'!$E:$E,E1601,'単価履歴'!$F:$F,F1601)=O1601,"●","")</f>
        <v>●</v>
      </c>
      <c r="O1601" s="346"/>
      <c r="P1601" s="334" t="str">
        <f t="shared" si="4"/>
        <v>:</v>
      </c>
    </row>
    <row r="1602" ht="15.75" customHeight="1">
      <c r="A1602" s="335"/>
      <c r="B1602" s="336"/>
      <c r="C1602" s="335"/>
      <c r="D1602" s="335"/>
      <c r="E1602" s="337" t="str">
        <f t="shared" si="1"/>
        <v>:</v>
      </c>
      <c r="F1602" s="338"/>
      <c r="G1602" s="339" t="str">
        <f t="shared" si="2"/>
        <v>:</v>
      </c>
      <c r="H1602" s="340">
        <f t="shared" si="3"/>
        <v>0</v>
      </c>
      <c r="I1602" s="341"/>
      <c r="J1602" s="332">
        <f>IFERROR(__xludf.DUMMYFUNCTION("IF(IF(COUNTIF(P$2:P1601, P1602)=0, """", INDEX(H$2:H1601,
MAX(FILTER(ROW(H$2:H1601) - ROW(H$2) + 1, P$2:P1601 = P1602))))=""単価"","""",
IF(COUNTIF(P$2:P1601, P1602)=0, """", INDEX(H$2:H1601,
MAX(FILTER(ROW(H$2:H1601) - ROW(H$2) + 1, P$2:P1601 = P1602)))))"),0.0)</f>
        <v>0</v>
      </c>
      <c r="N1602" s="335" t="str">
        <f>IF(MAXIFS('単価履歴'!$O:$O,'単価履歴'!$E:$E,E1602,'単価履歴'!$F:$F,F1602)=O1602,"●","")</f>
        <v>●</v>
      </c>
      <c r="O1602" s="346"/>
      <c r="P1602" s="334" t="str">
        <f t="shared" si="4"/>
        <v>:</v>
      </c>
    </row>
    <row r="1603" ht="15.75" customHeight="1">
      <c r="A1603" s="335"/>
      <c r="B1603" s="336"/>
      <c r="C1603" s="335"/>
      <c r="D1603" s="335"/>
      <c r="E1603" s="337" t="str">
        <f t="shared" si="1"/>
        <v>:</v>
      </c>
      <c r="F1603" s="338"/>
      <c r="G1603" s="339" t="str">
        <f t="shared" si="2"/>
        <v>:</v>
      </c>
      <c r="H1603" s="340">
        <f t="shared" si="3"/>
        <v>0</v>
      </c>
      <c r="I1603" s="341"/>
      <c r="J1603" s="332">
        <f>IFERROR(__xludf.DUMMYFUNCTION("IF(IF(COUNTIF(P$2:P1602, P1603)=0, """", INDEX(H$2:H1602,
MAX(FILTER(ROW(H$2:H1602) - ROW(H$2) + 1, P$2:P1602 = P1603))))=""単価"","""",
IF(COUNTIF(P$2:P1602, P1603)=0, """", INDEX(H$2:H1602,
MAX(FILTER(ROW(H$2:H1602) - ROW(H$2) + 1, P$2:P1602 = P1603)))))"),0.0)</f>
        <v>0</v>
      </c>
      <c r="N1603" s="335" t="str">
        <f>IF(MAXIFS('単価履歴'!$O:$O,'単価履歴'!$E:$E,E1603,'単価履歴'!$F:$F,F1603)=O1603,"●","")</f>
        <v>●</v>
      </c>
      <c r="O1603" s="346"/>
      <c r="P1603" s="334" t="str">
        <f t="shared" si="4"/>
        <v>:</v>
      </c>
    </row>
    <row r="1604" ht="15.75" customHeight="1">
      <c r="A1604" s="335"/>
      <c r="B1604" s="336"/>
      <c r="C1604" s="335"/>
      <c r="D1604" s="335"/>
      <c r="E1604" s="337" t="str">
        <f t="shared" si="1"/>
        <v>:</v>
      </c>
      <c r="F1604" s="338"/>
      <c r="G1604" s="339" t="str">
        <f t="shared" si="2"/>
        <v>:</v>
      </c>
      <c r="H1604" s="340">
        <f t="shared" si="3"/>
        <v>0</v>
      </c>
      <c r="I1604" s="341"/>
      <c r="J1604" s="332">
        <f>IFERROR(__xludf.DUMMYFUNCTION("IF(IF(COUNTIF(P$2:P1603, P1604)=0, """", INDEX(H$2:H1603,
MAX(FILTER(ROW(H$2:H1603) - ROW(H$2) + 1, P$2:P1603 = P1604))))=""単価"","""",
IF(COUNTIF(P$2:P1603, P1604)=0, """", INDEX(H$2:H1603,
MAX(FILTER(ROW(H$2:H1603) - ROW(H$2) + 1, P$2:P1603 = P1604)))))"),0.0)</f>
        <v>0</v>
      </c>
      <c r="N1604" s="335" t="str">
        <f>IF(MAXIFS('単価履歴'!$O:$O,'単価履歴'!$E:$E,E1604,'単価履歴'!$F:$F,F1604)=O1604,"●","")</f>
        <v>●</v>
      </c>
      <c r="O1604" s="346"/>
      <c r="P1604" s="334" t="str">
        <f t="shared" si="4"/>
        <v>:</v>
      </c>
    </row>
    <row r="1605" ht="15.75" customHeight="1">
      <c r="A1605" s="335"/>
      <c r="B1605" s="336"/>
      <c r="C1605" s="335"/>
      <c r="D1605" s="335"/>
      <c r="E1605" s="337" t="str">
        <f t="shared" si="1"/>
        <v>:</v>
      </c>
      <c r="F1605" s="338"/>
      <c r="G1605" s="339" t="str">
        <f t="shared" si="2"/>
        <v>:</v>
      </c>
      <c r="H1605" s="340">
        <f t="shared" si="3"/>
        <v>0</v>
      </c>
      <c r="I1605" s="341"/>
      <c r="J1605" s="332">
        <f>IFERROR(__xludf.DUMMYFUNCTION("IF(IF(COUNTIF(P$2:P1604, P1605)=0, """", INDEX(H$2:H1604,
MAX(FILTER(ROW(H$2:H1604) - ROW(H$2) + 1, P$2:P1604 = P1605))))=""単価"","""",
IF(COUNTIF(P$2:P1604, P1605)=0, """", INDEX(H$2:H1604,
MAX(FILTER(ROW(H$2:H1604) - ROW(H$2) + 1, P$2:P1604 = P1605)))))"),0.0)</f>
        <v>0</v>
      </c>
      <c r="N1605" s="335" t="str">
        <f>IF(MAXIFS('単価履歴'!$O:$O,'単価履歴'!$E:$E,E1605,'単価履歴'!$F:$F,F1605)=O1605,"●","")</f>
        <v>●</v>
      </c>
      <c r="O1605" s="346"/>
      <c r="P1605" s="334" t="str">
        <f t="shared" si="4"/>
        <v>:</v>
      </c>
    </row>
    <row r="1606" ht="15.75" customHeight="1">
      <c r="A1606" s="335"/>
      <c r="B1606" s="336"/>
      <c r="C1606" s="335"/>
      <c r="D1606" s="335"/>
      <c r="E1606" s="337" t="str">
        <f t="shared" si="1"/>
        <v>:</v>
      </c>
      <c r="F1606" s="338"/>
      <c r="G1606" s="339" t="str">
        <f t="shared" si="2"/>
        <v>:</v>
      </c>
      <c r="H1606" s="340">
        <f t="shared" si="3"/>
        <v>0</v>
      </c>
      <c r="I1606" s="341"/>
      <c r="J1606" s="332">
        <f>IFERROR(__xludf.DUMMYFUNCTION("IF(IF(COUNTIF(P$2:P1605, P1606)=0, """", INDEX(H$2:H1605,
MAX(FILTER(ROW(H$2:H1605) - ROW(H$2) + 1, P$2:P1605 = P1606))))=""単価"","""",
IF(COUNTIF(P$2:P1605, P1606)=0, """", INDEX(H$2:H1605,
MAX(FILTER(ROW(H$2:H1605) - ROW(H$2) + 1, P$2:P1605 = P1606)))))"),0.0)</f>
        <v>0</v>
      </c>
      <c r="N1606" s="335" t="str">
        <f>IF(MAXIFS('単価履歴'!$O:$O,'単価履歴'!$E:$E,E1606,'単価履歴'!$F:$F,F1606)=O1606,"●","")</f>
        <v>●</v>
      </c>
      <c r="O1606" s="346"/>
      <c r="P1606" s="334" t="str">
        <f t="shared" si="4"/>
        <v>:</v>
      </c>
    </row>
    <row r="1607" ht="15.75" customHeight="1">
      <c r="A1607" s="335" t="s">
        <v>2779</v>
      </c>
      <c r="B1607" s="336">
        <v>45791.0</v>
      </c>
      <c r="C1607" s="335" t="s">
        <v>29</v>
      </c>
      <c r="D1607" s="335" t="s">
        <v>63</v>
      </c>
      <c r="E1607" s="337" t="str">
        <f t="shared" si="1"/>
        <v>南港:ﾅﾝｾｲ</v>
      </c>
      <c r="F1607" s="338" t="s">
        <v>1199</v>
      </c>
      <c r="G1607" s="339" t="str">
        <f t="shared" si="2"/>
        <v>南港:ﾅﾝｾｲＨＳ１(単体H1/電特A/HS))</v>
      </c>
      <c r="H1607" s="340">
        <f t="shared" si="3"/>
        <v>44</v>
      </c>
      <c r="I1607" s="341">
        <v>2.0</v>
      </c>
      <c r="J1607" s="332">
        <f>IFERROR(__xludf.DUMMYFUNCTION("IF(IF(COUNTIF(P$2:P1606, P1607)=0, """", INDEX(H$2:H1606,
MAX(FILTER(ROW(H$2:H1606) - ROW(H$2) + 1, P$2:P1606 = P1607))))=""単価"","""",
IF(COUNTIF(P$2:P1606, P1607)=0, """", INDEX(H$2:H1606,
MAX(FILTER(ROW(H$2:H1606) - ROW(H$2) + 1, P$2:P1606 = P1607)))))"),42.0)</f>
        <v>42</v>
      </c>
      <c r="N1607" s="335" t="str">
        <f>IF(MAXIFS('単価履歴'!$O:$O,'単価履歴'!$E:$E,E1607,'単価履歴'!$F:$F,F1607)=O1607,"●","")</f>
        <v/>
      </c>
      <c r="O1607" s="346">
        <v>45790.76377314815</v>
      </c>
      <c r="P1607" s="334" t="str">
        <f t="shared" si="4"/>
        <v>南港:ﾅﾝｾｲＨＳ１(単体H1/電特A/HS))</v>
      </c>
    </row>
    <row r="1608" ht="15.75" customHeight="1">
      <c r="A1608" s="335" t="s">
        <v>2780</v>
      </c>
      <c r="B1608" s="336">
        <v>45791.0</v>
      </c>
      <c r="C1608" s="335" t="s">
        <v>29</v>
      </c>
      <c r="D1608" s="335" t="s">
        <v>63</v>
      </c>
      <c r="E1608" s="337" t="str">
        <f t="shared" si="1"/>
        <v>南港:ﾅﾝｾｲ</v>
      </c>
      <c r="F1608" s="338" t="s">
        <v>130</v>
      </c>
      <c r="G1608" s="339" t="str">
        <f t="shared" si="2"/>
        <v>南港:ﾅﾝｾｲ新断Ａ</v>
      </c>
      <c r="H1608" s="340">
        <f t="shared" si="3"/>
        <v>44</v>
      </c>
      <c r="I1608" s="341">
        <v>2.0</v>
      </c>
      <c r="J1608" s="332">
        <f>IFERROR(__xludf.DUMMYFUNCTION("IF(IF(COUNTIF(P$2:P1607, P1608)=0, """", INDEX(H$2:H1607,
MAX(FILTER(ROW(H$2:H1607) - ROW(H$2) + 1, P$2:P1607 = P1608))))=""単価"","""",
IF(COUNTIF(P$2:P1607, P1608)=0, """", INDEX(H$2:H1607,
MAX(FILTER(ROW(H$2:H1607) - ROW(H$2) + 1, P$2:P1607 = P1608)))))"),42.0)</f>
        <v>42</v>
      </c>
      <c r="N1608" s="335" t="str">
        <f>IF(MAXIFS('単価履歴'!$O:$O,'単価履歴'!$E:$E,E1608,'単価履歴'!$F:$F,F1608)=O1608,"●","")</f>
        <v/>
      </c>
      <c r="O1608" s="346">
        <v>45790.76377314815</v>
      </c>
      <c r="P1608" s="334" t="str">
        <f t="shared" si="4"/>
        <v>南港:ﾅﾝｾｲ新断Ａ</v>
      </c>
    </row>
    <row r="1609" ht="15.75" customHeight="1">
      <c r="A1609" s="335" t="s">
        <v>2781</v>
      </c>
      <c r="B1609" s="336">
        <v>45791.0</v>
      </c>
      <c r="C1609" s="335" t="s">
        <v>29</v>
      </c>
      <c r="D1609" s="335" t="s">
        <v>63</v>
      </c>
      <c r="E1609" s="337" t="str">
        <f t="shared" si="1"/>
        <v>南港:ﾅﾝｾｲ</v>
      </c>
      <c r="F1609" s="338" t="s">
        <v>116</v>
      </c>
      <c r="G1609" s="339" t="str">
        <f t="shared" si="2"/>
        <v>南港:ﾅﾝｾｲＨ２(特級)</v>
      </c>
      <c r="H1609" s="340">
        <f t="shared" si="3"/>
        <v>40</v>
      </c>
      <c r="I1609" s="341">
        <v>3.0</v>
      </c>
      <c r="J1609" s="332">
        <f>IFERROR(__xludf.DUMMYFUNCTION("IF(IF(COUNTIF(P$2:P1608, P1609)=0, """", INDEX(H$2:H1608,
MAX(FILTER(ROW(H$2:H1608) - ROW(H$2) + 1, P$2:P1608 = P1609))))=""単価"","""",
IF(COUNTIF(P$2:P1608, P1609)=0, """", INDEX(H$2:H1608,
MAX(FILTER(ROW(H$2:H1608) - ROW(H$2) + 1, P$2:P1608 = P1609)))))"),37.0)</f>
        <v>37</v>
      </c>
      <c r="N1609" s="335" t="str">
        <f>IF(MAXIFS('単価履歴'!$O:$O,'単価履歴'!$E:$E,E1609,'単価履歴'!$F:$F,F1609)=O1609,"●","")</f>
        <v/>
      </c>
      <c r="O1609" s="346">
        <v>45790.764756944445</v>
      </c>
      <c r="P1609" s="334" t="str">
        <f t="shared" si="4"/>
        <v>南港:ﾅﾝｾｲＨ２(特級)</v>
      </c>
    </row>
    <row r="1610" ht="15.75" customHeight="1">
      <c r="A1610" s="335" t="s">
        <v>2782</v>
      </c>
      <c r="B1610" s="336">
        <v>45797.0</v>
      </c>
      <c r="C1610" s="335" t="s">
        <v>6</v>
      </c>
      <c r="D1610" s="335" t="s">
        <v>48</v>
      </c>
      <c r="E1610" s="337" t="str">
        <f t="shared" si="1"/>
        <v>中山鋼業:ナベ</v>
      </c>
      <c r="F1610" s="338" t="s">
        <v>111</v>
      </c>
      <c r="G1610" s="339" t="str">
        <f t="shared" si="2"/>
        <v>中山鋼業:ナベＨ１(特A)</v>
      </c>
      <c r="H1610" s="340">
        <f t="shared" si="3"/>
        <v>44.5</v>
      </c>
      <c r="I1610" s="341">
        <v>-0.5</v>
      </c>
      <c r="J1610" s="332">
        <f>IFERROR(__xludf.DUMMYFUNCTION("IF(IF(COUNTIF(P$2:P1609, P1610)=0, """", INDEX(H$2:H1609,
MAX(FILTER(ROW(H$2:H1609) - ROW(H$2) + 1, P$2:P1609 = P1610))))=""単価"","""",
IF(COUNTIF(P$2:P1609, P1610)=0, """", INDEX(H$2:H1609,
MAX(FILTER(ROW(H$2:H1609) - ROW(H$2) + 1, P$2:P1609 = P1610)))))"),45.0)</f>
        <v>45</v>
      </c>
      <c r="N1610" s="335" t="str">
        <f>IF(MAXIFS('単価履歴'!$O:$O,'単価履歴'!$E:$E,E1610,'単価履歴'!$F:$F,F1610)=O1610,"●","")</f>
        <v/>
      </c>
      <c r="O1610" s="346">
        <v>45797.26944444445</v>
      </c>
      <c r="P1610" s="334" t="str">
        <f t="shared" si="4"/>
        <v>中山鋼業:ナベＨ１(特A)</v>
      </c>
    </row>
    <row r="1611" ht="15.75" customHeight="1">
      <c r="A1611" s="335" t="s">
        <v>2783</v>
      </c>
      <c r="B1611" s="336">
        <v>45799.0</v>
      </c>
      <c r="C1611" s="335" t="s">
        <v>35</v>
      </c>
      <c r="D1611" s="335" t="s">
        <v>48</v>
      </c>
      <c r="E1611" s="337" t="str">
        <f t="shared" si="1"/>
        <v>ﾆｭｰｽｺﾝ稲永:ナベ</v>
      </c>
      <c r="F1611" s="338" t="s">
        <v>130</v>
      </c>
      <c r="G1611" s="339" t="str">
        <f t="shared" si="2"/>
        <v>ﾆｭｰｽｺﾝ稲永:ナベ新断Ａ</v>
      </c>
      <c r="H1611" s="340">
        <f t="shared" si="3"/>
        <v>43.5</v>
      </c>
      <c r="I1611" s="341">
        <v>1.0</v>
      </c>
      <c r="J1611" s="332">
        <f>IFERROR(__xludf.DUMMYFUNCTION("IF(IF(COUNTIF(P$2:P1610, P1611)=0, """", INDEX(H$2:H1610,
MAX(FILTER(ROW(H$2:H1610) - ROW(H$2) + 1, P$2:P1610 = P1611))))=""単価"","""",
IF(COUNTIF(P$2:P1610, P1611)=0, """", INDEX(H$2:H1610,
MAX(FILTER(ROW(H$2:H1610) - ROW(H$2) + 1, P$2:P1610 = P1611)))))"),42.5)</f>
        <v>42.5</v>
      </c>
      <c r="N1611" s="335" t="str">
        <f>IF(MAXIFS('単価履歴'!$O:$O,'単価履歴'!$E:$E,E1611,'単価履歴'!$F:$F,F1611)=O1611,"●","")</f>
        <v/>
      </c>
      <c r="O1611" s="346">
        <v>45798.71371527778</v>
      </c>
      <c r="P1611" s="334" t="str">
        <f t="shared" si="4"/>
        <v>ﾆｭｰｽｺﾝ稲永:ナベ新断Ａ</v>
      </c>
    </row>
    <row r="1612" ht="15.75" customHeight="1">
      <c r="A1612" s="335" t="s">
        <v>2784</v>
      </c>
      <c r="B1612" s="336">
        <v>45800.0</v>
      </c>
      <c r="C1612" s="335" t="s">
        <v>7</v>
      </c>
      <c r="D1612" s="335" t="s">
        <v>49</v>
      </c>
      <c r="E1612" s="337" t="str">
        <f t="shared" si="1"/>
        <v>合同大阪:伊藤忠</v>
      </c>
      <c r="F1612" s="338" t="s">
        <v>111</v>
      </c>
      <c r="G1612" s="339" t="str">
        <f t="shared" si="2"/>
        <v>合同大阪:伊藤忠Ｈ１(特A)</v>
      </c>
      <c r="H1612" s="340">
        <f t="shared" si="3"/>
        <v>43.8</v>
      </c>
      <c r="I1612" s="341">
        <v>-0.5</v>
      </c>
      <c r="J1612" s="332">
        <f>IFERROR(__xludf.DUMMYFUNCTION("IF(IF(COUNTIF(P$2:P1611, P1612)=0, """", INDEX(H$2:H1611,
MAX(FILTER(ROW(H$2:H1611) - ROW(H$2) + 1, P$2:P1611 = P1612))))=""単価"","""",
IF(COUNTIF(P$2:P1611, P1612)=0, """", INDEX(H$2:H1611,
MAX(FILTER(ROW(H$2:H1611) - ROW(H$2) + 1, P$2:P1611 = P1612)))))"),44.3)</f>
        <v>44.3</v>
      </c>
      <c r="N1612" s="335" t="str">
        <f>IF(MAXIFS('単価履歴'!$O:$O,'単価履歴'!$E:$E,E1612,'単価履歴'!$F:$F,F1612)=O1612,"●","")</f>
        <v/>
      </c>
      <c r="O1612" s="346">
        <v>45800.26615740741</v>
      </c>
      <c r="P1612" s="334" t="str">
        <f t="shared" si="4"/>
        <v>合同大阪:伊藤忠Ｈ１(特A)</v>
      </c>
    </row>
    <row r="1613" ht="15.75" customHeight="1">
      <c r="A1613" s="335" t="s">
        <v>2785</v>
      </c>
      <c r="B1613" s="336">
        <v>45800.0</v>
      </c>
      <c r="C1613" s="335" t="s">
        <v>7</v>
      </c>
      <c r="D1613" s="335" t="s">
        <v>49</v>
      </c>
      <c r="E1613" s="337" t="str">
        <f t="shared" si="1"/>
        <v>合同大阪:伊藤忠</v>
      </c>
      <c r="F1613" s="338" t="s">
        <v>116</v>
      </c>
      <c r="G1613" s="339" t="str">
        <f t="shared" si="2"/>
        <v>合同大阪:伊藤忠Ｈ２(特級)</v>
      </c>
      <c r="H1613" s="340">
        <f t="shared" si="3"/>
        <v>42.3</v>
      </c>
      <c r="I1613" s="341">
        <v>-0.5</v>
      </c>
      <c r="J1613" s="332">
        <f>IFERROR(__xludf.DUMMYFUNCTION("IF(IF(COUNTIF(P$2:P1612, P1613)=0, """", INDEX(H$2:H1612,
MAX(FILTER(ROW(H$2:H1612) - ROW(H$2) + 1, P$2:P1612 = P1613))))=""単価"","""",
IF(COUNTIF(P$2:P1612, P1613)=0, """", INDEX(H$2:H1612,
MAX(FILTER(ROW(H$2:H1612) - ROW(H$2) + 1, P$2:P1612 = P1613)))))"),42.8)</f>
        <v>42.8</v>
      </c>
      <c r="N1613" s="335" t="str">
        <f>IF(MAXIFS('単価履歴'!$O:$O,'単価履歴'!$E:$E,E1613,'単価履歴'!$F:$F,F1613)=O1613,"●","")</f>
        <v/>
      </c>
      <c r="O1613" s="346">
        <v>45800.26615740741</v>
      </c>
      <c r="P1613" s="334" t="str">
        <f t="shared" si="4"/>
        <v>合同大阪:伊藤忠Ｈ２(特級)</v>
      </c>
    </row>
    <row r="1614" ht="15.75" customHeight="1">
      <c r="A1614" s="335" t="s">
        <v>2786</v>
      </c>
      <c r="B1614" s="336">
        <v>45800.0</v>
      </c>
      <c r="C1614" s="335" t="s">
        <v>7</v>
      </c>
      <c r="D1614" s="335" t="s">
        <v>49</v>
      </c>
      <c r="E1614" s="337" t="str">
        <f t="shared" si="1"/>
        <v>合同大阪:伊藤忠</v>
      </c>
      <c r="F1614" s="338" t="s">
        <v>119</v>
      </c>
      <c r="G1614" s="339" t="str">
        <f t="shared" si="2"/>
        <v>合同大阪:伊藤忠Ｈ３(1級)</v>
      </c>
      <c r="H1614" s="340">
        <f t="shared" si="3"/>
        <v>41.8</v>
      </c>
      <c r="I1614" s="341">
        <v>-0.5</v>
      </c>
      <c r="J1614" s="332">
        <f>IFERROR(__xludf.DUMMYFUNCTION("IF(IF(COUNTIF(P$2:P1613, P1614)=0, """", INDEX(H$2:H1613,
MAX(FILTER(ROW(H$2:H1613) - ROW(H$2) + 1, P$2:P1613 = P1614))))=""単価"","""",
IF(COUNTIF(P$2:P1613, P1614)=0, """", INDEX(H$2:H1613,
MAX(FILTER(ROW(H$2:H1613) - ROW(H$2) + 1, P$2:P1613 = P1614)))))"),42.3)</f>
        <v>42.3</v>
      </c>
      <c r="N1614" s="335" t="str">
        <f>IF(MAXIFS('単価履歴'!$O:$O,'単価履歴'!$E:$E,E1614,'単価履歴'!$F:$F,F1614)=O1614,"●","")</f>
        <v/>
      </c>
      <c r="O1614" s="346">
        <v>45800.26615740741</v>
      </c>
      <c r="P1614" s="334" t="str">
        <f t="shared" si="4"/>
        <v>合同大阪:伊藤忠Ｈ３(1級)</v>
      </c>
    </row>
    <row r="1615" ht="15.75" customHeight="1">
      <c r="A1615" s="335" t="s">
        <v>2787</v>
      </c>
      <c r="B1615" s="336">
        <v>45800.0</v>
      </c>
      <c r="C1615" s="335" t="s">
        <v>7</v>
      </c>
      <c r="D1615" s="335" t="s">
        <v>49</v>
      </c>
      <c r="E1615" s="337" t="str">
        <f t="shared" si="1"/>
        <v>合同大阪:伊藤忠</v>
      </c>
      <c r="F1615" s="338" t="s">
        <v>122</v>
      </c>
      <c r="G1615" s="339" t="str">
        <f t="shared" si="2"/>
        <v>合同大阪:伊藤忠Ｌ１(2級)</v>
      </c>
      <c r="H1615" s="340">
        <f t="shared" si="3"/>
        <v>40.8</v>
      </c>
      <c r="I1615" s="341">
        <v>-0.5</v>
      </c>
      <c r="J1615" s="332">
        <f>IFERROR(__xludf.DUMMYFUNCTION("IF(IF(COUNTIF(P$2:P1614, P1615)=0, """", INDEX(H$2:H1614,
MAX(FILTER(ROW(H$2:H1614) - ROW(H$2) + 1, P$2:P1614 = P1615))))=""単価"","""",
IF(COUNTIF(P$2:P1614, P1615)=0, """", INDEX(H$2:H1614,
MAX(FILTER(ROW(H$2:H1614) - ROW(H$2) + 1, P$2:P1614 = P1615)))))"),41.3)</f>
        <v>41.3</v>
      </c>
      <c r="N1615" s="335" t="str">
        <f>IF(MAXIFS('単価履歴'!$O:$O,'単価履歴'!$E:$E,E1615,'単価履歴'!$F:$F,F1615)=O1615,"●","")</f>
        <v/>
      </c>
      <c r="O1615" s="346">
        <v>45800.26615740741</v>
      </c>
      <c r="P1615" s="334" t="str">
        <f t="shared" si="4"/>
        <v>合同大阪:伊藤忠Ｌ１(2級)</v>
      </c>
    </row>
    <row r="1616" ht="15.75" customHeight="1">
      <c r="A1616" s="335" t="s">
        <v>2788</v>
      </c>
      <c r="B1616" s="336">
        <v>45800.0</v>
      </c>
      <c r="C1616" s="335" t="s">
        <v>7</v>
      </c>
      <c r="D1616" s="335" t="s">
        <v>49</v>
      </c>
      <c r="E1616" s="337" t="str">
        <f t="shared" si="1"/>
        <v>合同大阪:伊藤忠</v>
      </c>
      <c r="F1616" s="338" t="s">
        <v>130</v>
      </c>
      <c r="G1616" s="339" t="str">
        <f t="shared" si="2"/>
        <v>合同大阪:伊藤忠新断Ａ</v>
      </c>
      <c r="H1616" s="340">
        <f t="shared" si="3"/>
        <v>44.3</v>
      </c>
      <c r="I1616" s="341">
        <v>-0.5</v>
      </c>
      <c r="J1616" s="332">
        <f>IFERROR(__xludf.DUMMYFUNCTION("IF(IF(COUNTIF(P$2:P1615, P1616)=0, """", INDEX(H$2:H1615,
MAX(FILTER(ROW(H$2:H1615) - ROW(H$2) + 1, P$2:P1615 = P1616))))=""単価"","""",
IF(COUNTIF(P$2:P1615, P1616)=0, """", INDEX(H$2:H1615,
MAX(FILTER(ROW(H$2:H1615) - ROW(H$2) + 1, P$2:P1615 = P1616)))))"),44.8)</f>
        <v>44.8</v>
      </c>
      <c r="N1616" s="335" t="str">
        <f>IF(MAXIFS('単価履歴'!$O:$O,'単価履歴'!$E:$E,E1616,'単価履歴'!$F:$F,F1616)=O1616,"●","")</f>
        <v/>
      </c>
      <c r="O1616" s="346">
        <v>45800.26615740741</v>
      </c>
      <c r="P1616" s="334" t="str">
        <f t="shared" si="4"/>
        <v>合同大阪:伊藤忠新断Ａ</v>
      </c>
    </row>
    <row r="1617" ht="15.75" customHeight="1">
      <c r="A1617" s="335" t="s">
        <v>2789</v>
      </c>
      <c r="B1617" s="336">
        <v>45800.0</v>
      </c>
      <c r="C1617" s="335" t="s">
        <v>7</v>
      </c>
      <c r="D1617" s="335" t="s">
        <v>49</v>
      </c>
      <c r="E1617" s="337" t="str">
        <f t="shared" si="1"/>
        <v>合同大阪:伊藤忠</v>
      </c>
      <c r="F1617" s="338" t="s">
        <v>131</v>
      </c>
      <c r="G1617" s="339" t="str">
        <f t="shared" si="2"/>
        <v>合同大阪:伊藤忠新断Ｂ</v>
      </c>
      <c r="H1617" s="340">
        <f t="shared" si="3"/>
        <v>43.8</v>
      </c>
      <c r="I1617" s="341">
        <v>-0.5</v>
      </c>
      <c r="J1617" s="332">
        <f>IFERROR(__xludf.DUMMYFUNCTION("IF(IF(COUNTIF(P$2:P1616, P1617)=0, """", INDEX(H$2:H1616,
MAX(FILTER(ROW(H$2:H1616) - ROW(H$2) + 1, P$2:P1616 = P1617))))=""単価"","""",
IF(COUNTIF(P$2:P1616, P1617)=0, """", INDEX(H$2:H1616,
MAX(FILTER(ROW(H$2:H1616) - ROW(H$2) + 1, P$2:P1616 = P1617)))))"),44.3)</f>
        <v>44.3</v>
      </c>
      <c r="N1617" s="335" t="str">
        <f>IF(MAXIFS('単価履歴'!$O:$O,'単価履歴'!$E:$E,E1617,'単価履歴'!$F:$F,F1617)=O1617,"●","")</f>
        <v/>
      </c>
      <c r="O1617" s="346">
        <v>45800.26615740741</v>
      </c>
      <c r="P1617" s="334" t="str">
        <f t="shared" si="4"/>
        <v>合同大阪:伊藤忠新断Ｂ</v>
      </c>
    </row>
    <row r="1618" ht="15.75" customHeight="1">
      <c r="A1618" s="335" t="s">
        <v>2790</v>
      </c>
      <c r="B1618" s="336">
        <v>45801.0</v>
      </c>
      <c r="C1618" s="335" t="s">
        <v>11</v>
      </c>
      <c r="D1618" s="335" t="s">
        <v>46</v>
      </c>
      <c r="E1618" s="337" t="str">
        <f t="shared" si="1"/>
        <v>ﾔﾏﾄ:阪和</v>
      </c>
      <c r="F1618" s="338" t="s">
        <v>116</v>
      </c>
      <c r="G1618" s="339" t="str">
        <f t="shared" si="2"/>
        <v>ﾔﾏﾄ:阪和Ｈ２(特級)</v>
      </c>
      <c r="H1618" s="340">
        <f t="shared" si="3"/>
        <v>42.1</v>
      </c>
      <c r="I1618" s="341">
        <v>-0.5</v>
      </c>
      <c r="J1618" s="332">
        <f>IFERROR(__xludf.DUMMYFUNCTION("IF(IF(COUNTIF(P$2:P1617, P1618)=0, """", INDEX(H$2:H1617,
MAX(FILTER(ROW(H$2:H1617) - ROW(H$2) + 1, P$2:P1617 = P1618))))=""単価"","""",
IF(COUNTIF(P$2:P1617, P1618)=0, """", INDEX(H$2:H1617,
MAX(FILTER(ROW(H$2:H1617) - ROW(H$2) + 1, P$2:P1617 = P1618)))))"),42.6)</f>
        <v>42.6</v>
      </c>
      <c r="N1618" s="335" t="str">
        <f>IF(MAXIFS('単価履歴'!$O:$O,'単価履歴'!$E:$E,E1618,'単価履歴'!$F:$F,F1618)=O1618,"●","")</f>
        <v/>
      </c>
      <c r="O1618" s="346">
        <v>45801.26883101852</v>
      </c>
      <c r="P1618" s="334" t="str">
        <f t="shared" si="4"/>
        <v>ﾔﾏﾄ:阪和Ｈ２(特級)</v>
      </c>
    </row>
    <row r="1619" ht="15.75" customHeight="1">
      <c r="A1619" s="335" t="s">
        <v>2791</v>
      </c>
      <c r="B1619" s="336">
        <v>45801.0</v>
      </c>
      <c r="C1619" s="335" t="s">
        <v>11</v>
      </c>
      <c r="D1619" s="335" t="s">
        <v>46</v>
      </c>
      <c r="E1619" s="337" t="str">
        <f t="shared" si="1"/>
        <v>ﾔﾏﾄ:阪和</v>
      </c>
      <c r="F1619" s="338" t="s">
        <v>119</v>
      </c>
      <c r="G1619" s="339" t="str">
        <f t="shared" si="2"/>
        <v>ﾔﾏﾄ:阪和Ｈ３(1級)</v>
      </c>
      <c r="H1619" s="340">
        <f t="shared" si="3"/>
        <v>41.1</v>
      </c>
      <c r="I1619" s="341">
        <v>-0.5</v>
      </c>
      <c r="J1619" s="332">
        <f>IFERROR(__xludf.DUMMYFUNCTION("IF(IF(COUNTIF(P$2:P1618, P1619)=0, """", INDEX(H$2:H1618,
MAX(FILTER(ROW(H$2:H1618) - ROW(H$2) + 1, P$2:P1618 = P1619))))=""単価"","""",
IF(COUNTIF(P$2:P1618, P1619)=0, """", INDEX(H$2:H1618,
MAX(FILTER(ROW(H$2:H1618) - ROW(H$2) + 1, P$2:P1618 = P1619)))))"),41.6)</f>
        <v>41.6</v>
      </c>
      <c r="N1619" s="335" t="str">
        <f>IF(MAXIFS('単価履歴'!$O:$O,'単価履歴'!$E:$E,E1619,'単価履歴'!$F:$F,F1619)=O1619,"●","")</f>
        <v/>
      </c>
      <c r="O1619" s="346">
        <v>45801.26883101852</v>
      </c>
      <c r="P1619" s="334" t="str">
        <f t="shared" si="4"/>
        <v>ﾔﾏﾄ:阪和Ｈ３(1級)</v>
      </c>
    </row>
    <row r="1620" ht="15.75" customHeight="1">
      <c r="A1620" s="335" t="s">
        <v>2792</v>
      </c>
      <c r="B1620" s="336">
        <v>45801.0</v>
      </c>
      <c r="C1620" s="335" t="s">
        <v>11</v>
      </c>
      <c r="D1620" s="335" t="s">
        <v>46</v>
      </c>
      <c r="E1620" s="337" t="str">
        <f t="shared" si="1"/>
        <v>ﾔﾏﾄ:阪和</v>
      </c>
      <c r="F1620" s="338" t="s">
        <v>122</v>
      </c>
      <c r="G1620" s="339" t="str">
        <f t="shared" si="2"/>
        <v>ﾔﾏﾄ:阪和Ｌ１(2級)</v>
      </c>
      <c r="H1620" s="340">
        <f t="shared" si="3"/>
        <v>39.1</v>
      </c>
      <c r="I1620" s="341">
        <v>-0.5</v>
      </c>
      <c r="J1620" s="332">
        <f>IFERROR(__xludf.DUMMYFUNCTION("IF(IF(COUNTIF(P$2:P1619, P1620)=0, """", INDEX(H$2:H1619,
MAX(FILTER(ROW(H$2:H1619) - ROW(H$2) + 1, P$2:P1619 = P1620))))=""単価"","""",
IF(COUNTIF(P$2:P1619, P1620)=0, """", INDEX(H$2:H1619,
MAX(FILTER(ROW(H$2:H1619) - ROW(H$2) + 1, P$2:P1619 = P1620)))))"),39.6)</f>
        <v>39.6</v>
      </c>
      <c r="N1620" s="335" t="str">
        <f>IF(MAXIFS('単価履歴'!$O:$O,'単価履歴'!$E:$E,E1620,'単価履歴'!$F:$F,F1620)=O1620,"●","")</f>
        <v/>
      </c>
      <c r="O1620" s="346">
        <v>45801.26883101852</v>
      </c>
      <c r="P1620" s="334" t="str">
        <f t="shared" si="4"/>
        <v>ﾔﾏﾄ:阪和Ｌ１(2級)</v>
      </c>
    </row>
    <row r="1621" ht="15.75" customHeight="1">
      <c r="A1621" s="335" t="s">
        <v>2793</v>
      </c>
      <c r="B1621" s="336">
        <v>45801.0</v>
      </c>
      <c r="C1621" s="335" t="s">
        <v>11</v>
      </c>
      <c r="D1621" s="335" t="s">
        <v>46</v>
      </c>
      <c r="E1621" s="337" t="str">
        <f t="shared" si="1"/>
        <v>ﾔﾏﾄ:阪和</v>
      </c>
      <c r="F1621" s="338" t="s">
        <v>111</v>
      </c>
      <c r="G1621" s="339" t="str">
        <f t="shared" si="2"/>
        <v>ﾔﾏﾄ:阪和Ｈ１(特A)</v>
      </c>
      <c r="H1621" s="340">
        <f t="shared" si="3"/>
        <v>43.1</v>
      </c>
      <c r="I1621" s="341">
        <v>-0.5</v>
      </c>
      <c r="J1621" s="332">
        <f>IFERROR(__xludf.DUMMYFUNCTION("IF(IF(COUNTIF(P$2:P1620, P1621)=0, """", INDEX(H$2:H1620,
MAX(FILTER(ROW(H$2:H1620) - ROW(H$2) + 1, P$2:P1620 = P1621))))=""単価"","""",
IF(COUNTIF(P$2:P1620, P1621)=0, """", INDEX(H$2:H1620,
MAX(FILTER(ROW(H$2:H1620) - ROW(H$2) + 1, P$2:P1620 = P1621)))))"),43.6)</f>
        <v>43.6</v>
      </c>
      <c r="N1621" s="335" t="str">
        <f>IF(MAXIFS('単価履歴'!$O:$O,'単価履歴'!$E:$E,E1621,'単価履歴'!$F:$F,F1621)=O1621,"●","")</f>
        <v/>
      </c>
      <c r="O1621" s="346">
        <v>45801.26883101852</v>
      </c>
      <c r="P1621" s="334" t="str">
        <f t="shared" si="4"/>
        <v>ﾔﾏﾄ:阪和Ｈ１(特A)</v>
      </c>
    </row>
    <row r="1622" ht="15.75" customHeight="1">
      <c r="A1622" s="335" t="s">
        <v>2794</v>
      </c>
      <c r="B1622" s="336">
        <v>45801.0</v>
      </c>
      <c r="C1622" s="335" t="s">
        <v>11</v>
      </c>
      <c r="D1622" s="335" t="s">
        <v>46</v>
      </c>
      <c r="E1622" s="337" t="str">
        <f t="shared" si="1"/>
        <v>ﾔﾏﾄ:阪和</v>
      </c>
      <c r="F1622" s="338" t="s">
        <v>573</v>
      </c>
      <c r="G1622" s="339" t="str">
        <f t="shared" si="2"/>
        <v>ﾔﾏﾄ:阪和Ｌ２(H4･級外･L1ﾊﾞﾗ)</v>
      </c>
      <c r="H1622" s="340">
        <f t="shared" si="3"/>
        <v>36.6</v>
      </c>
      <c r="I1622" s="341">
        <v>-0.5</v>
      </c>
      <c r="J1622" s="332">
        <f>IFERROR(__xludf.DUMMYFUNCTION("IF(IF(COUNTIF(P$2:P1621, P1622)=0, """", INDEX(H$2:H1621,
MAX(FILTER(ROW(H$2:H1621) - ROW(H$2) + 1, P$2:P1621 = P1622))))=""単価"","""",
IF(COUNTIF(P$2:P1621, P1622)=0, """", INDEX(H$2:H1621,
MAX(FILTER(ROW(H$2:H1621) - ROW(H$2) + 1, P$2:P1621 = P1622)))))"),37.1)</f>
        <v>37.1</v>
      </c>
      <c r="N1622" s="335" t="str">
        <f>IF(MAXIFS('単価履歴'!$O:$O,'単価履歴'!$E:$E,E1622,'単価履歴'!$F:$F,F1622)=O1622,"●","")</f>
        <v/>
      </c>
      <c r="O1622" s="346">
        <v>45801.26883101852</v>
      </c>
      <c r="P1622" s="334" t="str">
        <f t="shared" si="4"/>
        <v>ﾔﾏﾄ:阪和Ｌ２(H4･級外･L1ﾊﾞﾗ)</v>
      </c>
    </row>
    <row r="1623" ht="15.75" customHeight="1">
      <c r="A1623" s="335" t="s">
        <v>2795</v>
      </c>
      <c r="B1623" s="336">
        <v>45807.0</v>
      </c>
      <c r="C1623" s="335" t="s">
        <v>35</v>
      </c>
      <c r="D1623" s="335" t="s">
        <v>48</v>
      </c>
      <c r="E1623" s="337" t="str">
        <f t="shared" si="1"/>
        <v>ﾆｭｰｽｺﾝ稲永:ナベ</v>
      </c>
      <c r="F1623" s="338" t="s">
        <v>130</v>
      </c>
      <c r="G1623" s="339" t="str">
        <f t="shared" si="2"/>
        <v>ﾆｭｰｽｺﾝ稲永:ナベ新断Ａ</v>
      </c>
      <c r="H1623" s="340">
        <f t="shared" si="3"/>
        <v>44</v>
      </c>
      <c r="I1623" s="341">
        <v>0.5</v>
      </c>
      <c r="J1623" s="332">
        <f>IFERROR(__xludf.DUMMYFUNCTION("IF(IF(COUNTIF(P$2:P1622, P1623)=0, """", INDEX(H$2:H1622,
MAX(FILTER(ROW(H$2:H1622) - ROW(H$2) + 1, P$2:P1622 = P1623))))=""単価"","""",
IF(COUNTIF(P$2:P1622, P1623)=0, """", INDEX(H$2:H1622,
MAX(FILTER(ROW(H$2:H1622) - ROW(H$2) + 1, P$2:P1622 = P1623)))))"),43.5)</f>
        <v>43.5</v>
      </c>
      <c r="N1623" s="335" t="str">
        <f>IF(MAXIFS('単価履歴'!$O:$O,'単価履歴'!$E:$E,E1623,'単価履歴'!$F:$F,F1623)=O1623,"●","")</f>
        <v/>
      </c>
      <c r="O1623" s="346">
        <v>45807.27087962963</v>
      </c>
      <c r="P1623" s="334" t="str">
        <f t="shared" si="4"/>
        <v>ﾆｭｰｽｺﾝ稲永:ナベ新断Ａ</v>
      </c>
    </row>
    <row r="1624" ht="15.75" customHeight="1">
      <c r="A1624" s="335" t="s">
        <v>2796</v>
      </c>
      <c r="B1624" s="336">
        <v>45811.0</v>
      </c>
      <c r="C1624" s="335" t="s">
        <v>5</v>
      </c>
      <c r="D1624" s="335" t="s">
        <v>46</v>
      </c>
      <c r="E1624" s="337" t="str">
        <f t="shared" si="1"/>
        <v>中山製鋼:阪和</v>
      </c>
      <c r="F1624" s="338" t="s">
        <v>101</v>
      </c>
      <c r="G1624" s="339" t="str">
        <f t="shared" si="2"/>
        <v>中山製鋼:阪和ＨＳ２</v>
      </c>
      <c r="H1624" s="340">
        <f t="shared" si="3"/>
        <v>43.9</v>
      </c>
      <c r="I1624" s="341">
        <v>-0.5</v>
      </c>
      <c r="J1624" s="332">
        <f>IFERROR(__xludf.DUMMYFUNCTION("IF(IF(COUNTIF(P$2:P1623, P1624)=0, """", INDEX(H$2:H1623,
MAX(FILTER(ROW(H$2:H1623) - ROW(H$2) + 1, P$2:P1623 = P1624))))=""単価"","""",
IF(COUNTIF(P$2:P1623, P1624)=0, """", INDEX(H$2:H1623,
MAX(FILTER(ROW(H$2:H1623) - ROW(H$2) + 1, P$2:P1623 = P1624)))))"),44.4)</f>
        <v>44.4</v>
      </c>
      <c r="N1624" s="335" t="str">
        <f>IF(MAXIFS('単価履歴'!$O:$O,'単価履歴'!$E:$E,E1624,'単価履歴'!$F:$F,F1624)=O1624,"●","")</f>
        <v/>
      </c>
      <c r="O1624" s="346">
        <v>45810.76795138889</v>
      </c>
      <c r="P1624" s="334" t="str">
        <f t="shared" si="4"/>
        <v>中山製鋼:阪和ＨＳ２</v>
      </c>
    </row>
    <row r="1625" ht="15.75" customHeight="1">
      <c r="A1625" s="335" t="s">
        <v>2797</v>
      </c>
      <c r="B1625" s="336">
        <v>45811.0</v>
      </c>
      <c r="C1625" s="335" t="s">
        <v>5</v>
      </c>
      <c r="D1625" s="335" t="s">
        <v>46</v>
      </c>
      <c r="E1625" s="337" t="str">
        <f t="shared" si="1"/>
        <v>中山製鋼:阪和</v>
      </c>
      <c r="F1625" s="338" t="s">
        <v>108</v>
      </c>
      <c r="G1625" s="339" t="str">
        <f t="shared" si="2"/>
        <v>中山製鋼:阪和Ｈ１/ｻﾑﾃｯｸ</v>
      </c>
      <c r="H1625" s="340">
        <f t="shared" si="3"/>
        <v>1</v>
      </c>
      <c r="I1625" s="341">
        <v>-0.5</v>
      </c>
      <c r="J1625" s="332">
        <f>IFERROR(__xludf.DUMMYFUNCTION("IF(IF(COUNTIF(P$2:P1624, P1625)=0, """", INDEX(H$2:H1624,
MAX(FILTER(ROW(H$2:H1624) - ROW(H$2) + 1, P$2:P1624 = P1625))))=""単価"","""",
IF(COUNTIF(P$2:P1624, P1625)=0, """", INDEX(H$2:H1624,
MAX(FILTER(ROW(H$2:H1624) - ROW(H$2) + 1, P$2:P1624 = P1625)))))"),1.5)</f>
        <v>1.5</v>
      </c>
      <c r="N1625" s="335" t="str">
        <f>IF(MAXIFS('単価履歴'!$O:$O,'単価履歴'!$E:$E,E1625,'単価履歴'!$F:$F,F1625)=O1625,"●","")</f>
        <v/>
      </c>
      <c r="O1625" s="346">
        <v>45810.76795138889</v>
      </c>
      <c r="P1625" s="334" t="str">
        <f t="shared" si="4"/>
        <v>中山製鋼:阪和Ｈ１/ｻﾑﾃｯｸ</v>
      </c>
    </row>
    <row r="1626" ht="15.75" customHeight="1">
      <c r="A1626" s="335" t="s">
        <v>2798</v>
      </c>
      <c r="B1626" s="336">
        <v>45811.0</v>
      </c>
      <c r="C1626" s="335" t="s">
        <v>5</v>
      </c>
      <c r="D1626" s="335" t="s">
        <v>46</v>
      </c>
      <c r="E1626" s="337" t="str">
        <f t="shared" si="1"/>
        <v>中山製鋼:阪和</v>
      </c>
      <c r="F1626" s="338" t="s">
        <v>111</v>
      </c>
      <c r="G1626" s="339" t="str">
        <f t="shared" si="2"/>
        <v>中山製鋼:阪和Ｈ１(特A)</v>
      </c>
      <c r="H1626" s="340">
        <f t="shared" si="3"/>
        <v>41.5</v>
      </c>
      <c r="I1626" s="341">
        <v>-0.5</v>
      </c>
      <c r="J1626" s="332">
        <f>IFERROR(__xludf.DUMMYFUNCTION("IF(IF(COUNTIF(P$2:P1625, P1626)=0, """", INDEX(H$2:H1625,
MAX(FILTER(ROW(H$2:H1625) - ROW(H$2) + 1, P$2:P1625 = P1626))))=""単価"","""",
IF(COUNTIF(P$2:P1625, P1626)=0, """", INDEX(H$2:H1625,
MAX(FILTER(ROW(H$2:H1625) - ROW(H$2) + 1, P$2:P1625 = P1626)))))"),42.0)</f>
        <v>42</v>
      </c>
      <c r="N1626" s="335" t="str">
        <f>IF(MAXIFS('単価履歴'!$O:$O,'単価履歴'!$E:$E,E1626,'単価履歴'!$F:$F,F1626)=O1626,"●","")</f>
        <v/>
      </c>
      <c r="O1626" s="346">
        <v>45810.76795138889</v>
      </c>
      <c r="P1626" s="334" t="str">
        <f t="shared" si="4"/>
        <v>中山製鋼:阪和Ｈ１(特A)</v>
      </c>
    </row>
    <row r="1627" ht="15.75" customHeight="1">
      <c r="A1627" s="335" t="s">
        <v>2799</v>
      </c>
      <c r="B1627" s="336">
        <v>45811.0</v>
      </c>
      <c r="C1627" s="335" t="s">
        <v>5</v>
      </c>
      <c r="D1627" s="335" t="s">
        <v>46</v>
      </c>
      <c r="E1627" s="337" t="str">
        <f t="shared" si="1"/>
        <v>中山製鋼:阪和</v>
      </c>
      <c r="F1627" s="338" t="s">
        <v>116</v>
      </c>
      <c r="G1627" s="339" t="str">
        <f t="shared" si="2"/>
        <v>中山製鋼:阪和Ｈ２(特級)</v>
      </c>
      <c r="H1627" s="340">
        <f t="shared" si="3"/>
        <v>36.8</v>
      </c>
      <c r="I1627" s="341">
        <v>-0.5</v>
      </c>
      <c r="J1627" s="332">
        <f>IFERROR(__xludf.DUMMYFUNCTION("IF(IF(COUNTIF(P$2:P1626, P1627)=0, """", INDEX(H$2:H1626,
MAX(FILTER(ROW(H$2:H1626) - ROW(H$2) + 1, P$2:P1626 = P1627))))=""単価"","""",
IF(COUNTIF(P$2:P1626, P1627)=0, """", INDEX(H$2:H1626,
MAX(FILTER(ROW(H$2:H1626) - ROW(H$2) + 1, P$2:P1626 = P1627)))))"),37.3)</f>
        <v>37.3</v>
      </c>
      <c r="N1627" s="335" t="str">
        <f>IF(MAXIFS('単価履歴'!$O:$O,'単価履歴'!$E:$E,E1627,'単価履歴'!$F:$F,F1627)=O1627,"●","")</f>
        <v/>
      </c>
      <c r="O1627" s="346">
        <v>45810.76795138889</v>
      </c>
      <c r="P1627" s="334" t="str">
        <f t="shared" si="4"/>
        <v>中山製鋼:阪和Ｈ２(特級)</v>
      </c>
    </row>
    <row r="1628" ht="15.75" customHeight="1">
      <c r="A1628" s="335" t="s">
        <v>2800</v>
      </c>
      <c r="B1628" s="336">
        <v>45811.0</v>
      </c>
      <c r="C1628" s="335" t="s">
        <v>5</v>
      </c>
      <c r="D1628" s="335" t="s">
        <v>46</v>
      </c>
      <c r="E1628" s="337" t="str">
        <f t="shared" si="1"/>
        <v>中山製鋼:阪和</v>
      </c>
      <c r="F1628" s="338" t="s">
        <v>119</v>
      </c>
      <c r="G1628" s="339" t="str">
        <f t="shared" si="2"/>
        <v>中山製鋼:阪和Ｈ３(1級)</v>
      </c>
      <c r="H1628" s="340">
        <f t="shared" si="3"/>
        <v>32.8</v>
      </c>
      <c r="I1628" s="341">
        <v>-0.5</v>
      </c>
      <c r="J1628" s="332">
        <f>IFERROR(__xludf.DUMMYFUNCTION("IF(IF(COUNTIF(P$2:P1627, P1628)=0, """", INDEX(H$2:H1627,
MAX(FILTER(ROW(H$2:H1627) - ROW(H$2) + 1, P$2:P1627 = P1628))))=""単価"","""",
IF(COUNTIF(P$2:P1627, P1628)=0, """", INDEX(H$2:H1627,
MAX(FILTER(ROW(H$2:H1627) - ROW(H$2) + 1, P$2:P1627 = P1628)))))"),33.3)</f>
        <v>33.3</v>
      </c>
      <c r="N1628" s="335" t="str">
        <f>IF(MAXIFS('単価履歴'!$O:$O,'単価履歴'!$E:$E,E1628,'単価履歴'!$F:$F,F1628)=O1628,"●","")</f>
        <v/>
      </c>
      <c r="O1628" s="346">
        <v>45810.76795138889</v>
      </c>
      <c r="P1628" s="334" t="str">
        <f t="shared" si="4"/>
        <v>中山製鋼:阪和Ｈ３(1級)</v>
      </c>
    </row>
    <row r="1629" ht="15.75" customHeight="1">
      <c r="A1629" s="335" t="s">
        <v>2801</v>
      </c>
      <c r="B1629" s="336">
        <v>45811.0</v>
      </c>
      <c r="C1629" s="335" t="s">
        <v>5</v>
      </c>
      <c r="D1629" s="335" t="s">
        <v>46</v>
      </c>
      <c r="E1629" s="337" t="str">
        <f t="shared" si="1"/>
        <v>中山製鋼:阪和</v>
      </c>
      <c r="F1629" s="338" t="s">
        <v>122</v>
      </c>
      <c r="G1629" s="339" t="str">
        <f t="shared" si="2"/>
        <v>中山製鋼:阪和Ｌ１(2級)</v>
      </c>
      <c r="H1629" s="340">
        <f t="shared" si="3"/>
        <v>26.3</v>
      </c>
      <c r="I1629" s="341">
        <v>-0.5</v>
      </c>
      <c r="J1629" s="332">
        <f>IFERROR(__xludf.DUMMYFUNCTION("IF(IF(COUNTIF(P$2:P1628, P1629)=0, """", INDEX(H$2:H1628,
MAX(FILTER(ROW(H$2:H1628) - ROW(H$2) + 1, P$2:P1628 = P1629))))=""単価"","""",
IF(COUNTIF(P$2:P1628, P1629)=0, """", INDEX(H$2:H1628,
MAX(FILTER(ROW(H$2:H1628) - ROW(H$2) + 1, P$2:P1628 = P1629)))))"),26.8)</f>
        <v>26.8</v>
      </c>
      <c r="N1629" s="335" t="str">
        <f>IF(MAXIFS('単価履歴'!$O:$O,'単価履歴'!$E:$E,E1629,'単価履歴'!$F:$F,F1629)=O1629,"●","")</f>
        <v/>
      </c>
      <c r="O1629" s="346">
        <v>45810.76795138889</v>
      </c>
      <c r="P1629" s="334" t="str">
        <f t="shared" si="4"/>
        <v>中山製鋼:阪和Ｌ１(2級)</v>
      </c>
    </row>
    <row r="1630" ht="15.75" customHeight="1">
      <c r="A1630" s="335" t="s">
        <v>2802</v>
      </c>
      <c r="B1630" s="336">
        <v>45811.0</v>
      </c>
      <c r="C1630" s="335" t="s">
        <v>5</v>
      </c>
      <c r="D1630" s="335" t="s">
        <v>46</v>
      </c>
      <c r="E1630" s="337" t="str">
        <f t="shared" si="1"/>
        <v>中山製鋼:阪和</v>
      </c>
      <c r="F1630" s="338" t="s">
        <v>130</v>
      </c>
      <c r="G1630" s="339" t="str">
        <f t="shared" si="2"/>
        <v>中山製鋼:阪和新断Ａ</v>
      </c>
      <c r="H1630" s="340">
        <f t="shared" si="3"/>
        <v>45.3</v>
      </c>
      <c r="I1630" s="341">
        <v>-0.5</v>
      </c>
      <c r="J1630" s="332">
        <f>IFERROR(__xludf.DUMMYFUNCTION("IF(IF(COUNTIF(P$2:P1629, P1630)=0, """", INDEX(H$2:H1629,
MAX(FILTER(ROW(H$2:H1629) - ROW(H$2) + 1, P$2:P1629 = P1630))))=""単価"","""",
IF(COUNTIF(P$2:P1629, P1630)=0, """", INDEX(H$2:H1629,
MAX(FILTER(ROW(H$2:H1629) - ROW(H$2) + 1, P$2:P1629 = P1630)))))"),45.8)</f>
        <v>45.8</v>
      </c>
      <c r="N1630" s="335" t="str">
        <f>IF(MAXIFS('単価履歴'!$O:$O,'単価履歴'!$E:$E,E1630,'単価履歴'!$F:$F,F1630)=O1630,"●","")</f>
        <v/>
      </c>
      <c r="O1630" s="346">
        <v>45810.76795138889</v>
      </c>
      <c r="P1630" s="334" t="str">
        <f t="shared" si="4"/>
        <v>中山製鋼:阪和新断Ａ</v>
      </c>
    </row>
    <row r="1631" ht="15.75" customHeight="1">
      <c r="A1631" s="335" t="s">
        <v>2803</v>
      </c>
      <c r="B1631" s="336">
        <v>45811.0</v>
      </c>
      <c r="C1631" s="335" t="s">
        <v>5</v>
      </c>
      <c r="D1631" s="335" t="s">
        <v>46</v>
      </c>
      <c r="E1631" s="337" t="str">
        <f t="shared" si="1"/>
        <v>中山製鋼:阪和</v>
      </c>
      <c r="F1631" s="338" t="s">
        <v>131</v>
      </c>
      <c r="G1631" s="339" t="str">
        <f t="shared" si="2"/>
        <v>中山製鋼:阪和新断Ｂ</v>
      </c>
      <c r="H1631" s="340">
        <f t="shared" si="3"/>
        <v>44.3</v>
      </c>
      <c r="I1631" s="341">
        <v>-0.5</v>
      </c>
      <c r="J1631" s="332">
        <f>IFERROR(__xludf.DUMMYFUNCTION("IF(IF(COUNTIF(P$2:P1630, P1631)=0, """", INDEX(H$2:H1630,
MAX(FILTER(ROW(H$2:H1630) - ROW(H$2) + 1, P$2:P1630 = P1631))))=""単価"","""",
IF(COUNTIF(P$2:P1630, P1631)=0, """", INDEX(H$2:H1630,
MAX(FILTER(ROW(H$2:H1630) - ROW(H$2) + 1, P$2:P1630 = P1631)))))"),44.8)</f>
        <v>44.8</v>
      </c>
      <c r="N1631" s="335" t="str">
        <f>IF(MAXIFS('単価履歴'!$O:$O,'単価履歴'!$E:$E,E1631,'単価履歴'!$F:$F,F1631)=O1631,"●","")</f>
        <v/>
      </c>
      <c r="O1631" s="346">
        <v>45810.76795138889</v>
      </c>
      <c r="P1631" s="334" t="str">
        <f t="shared" si="4"/>
        <v>中山製鋼:阪和新断Ｂ</v>
      </c>
    </row>
    <row r="1632" ht="15.75" customHeight="1">
      <c r="A1632" s="335" t="s">
        <v>2804</v>
      </c>
      <c r="B1632" s="336">
        <v>45811.0</v>
      </c>
      <c r="C1632" s="335" t="s">
        <v>5</v>
      </c>
      <c r="D1632" s="335" t="s">
        <v>46</v>
      </c>
      <c r="E1632" s="337" t="str">
        <f t="shared" si="1"/>
        <v>中山製鋼:阪和</v>
      </c>
      <c r="F1632" s="338" t="s">
        <v>574</v>
      </c>
      <c r="G1632" s="339" t="str">
        <f t="shared" si="2"/>
        <v>中山製鋼:阪和新断Ｃ</v>
      </c>
      <c r="H1632" s="340">
        <f t="shared" si="3"/>
        <v>43.3</v>
      </c>
      <c r="I1632" s="341">
        <v>-0.5</v>
      </c>
      <c r="J1632" s="332">
        <f>IFERROR(__xludf.DUMMYFUNCTION("IF(IF(COUNTIF(P$2:P1631, P1632)=0, """", INDEX(H$2:H1631,
MAX(FILTER(ROW(H$2:H1631) - ROW(H$2) + 1, P$2:P1631 = P1632))))=""単価"","""",
IF(COUNTIF(P$2:P1631, P1632)=0, """", INDEX(H$2:H1631,
MAX(FILTER(ROW(H$2:H1631) - ROW(H$2) + 1, P$2:P1631 = P1632)))))"),43.8)</f>
        <v>43.8</v>
      </c>
      <c r="N1632" s="335" t="str">
        <f>IF(MAXIFS('単価履歴'!$O:$O,'単価履歴'!$E:$E,E1632,'単価履歴'!$F:$F,F1632)=O1632,"●","")</f>
        <v/>
      </c>
      <c r="O1632" s="346">
        <v>45810.76795138889</v>
      </c>
      <c r="P1632" s="334" t="str">
        <f t="shared" si="4"/>
        <v>中山製鋼:阪和新断Ｃ</v>
      </c>
    </row>
    <row r="1633" ht="15.75" customHeight="1">
      <c r="A1633" s="335" t="s">
        <v>2805</v>
      </c>
      <c r="B1633" s="336">
        <v>45811.0</v>
      </c>
      <c r="C1633" s="335" t="s">
        <v>5</v>
      </c>
      <c r="D1633" s="335" t="s">
        <v>46</v>
      </c>
      <c r="E1633" s="337" t="str">
        <f t="shared" si="1"/>
        <v>中山製鋼:阪和</v>
      </c>
      <c r="F1633" s="338" t="s">
        <v>1199</v>
      </c>
      <c r="G1633" s="339" t="str">
        <f t="shared" si="2"/>
        <v>中山製鋼:阪和ＨＳ１(単体H1/電特A/HS))</v>
      </c>
      <c r="H1633" s="340">
        <f t="shared" si="3"/>
        <v>0.5</v>
      </c>
      <c r="I1633" s="341">
        <v>-0.5</v>
      </c>
      <c r="J1633" s="332">
        <f>IFERROR(__xludf.DUMMYFUNCTION("IF(IF(COUNTIF(P$2:P1632, P1633)=0, """", INDEX(H$2:H1632,
MAX(FILTER(ROW(H$2:H1632) - ROW(H$2) + 1, P$2:P1632 = P1633))))=""単価"","""",
IF(COUNTIF(P$2:P1632, P1633)=0, """", INDEX(H$2:H1632,
MAX(FILTER(ROW(H$2:H1632) - ROW(H$2) + 1, P$2:P1632 = P1633)))))"),1.0)</f>
        <v>1</v>
      </c>
      <c r="N1633" s="335" t="str">
        <f>IF(MAXIFS('単価履歴'!$O:$O,'単価履歴'!$E:$E,E1633,'単価履歴'!$F:$F,F1633)=O1633,"●","")</f>
        <v/>
      </c>
      <c r="O1633" s="346">
        <v>45810.76795138889</v>
      </c>
      <c r="P1633" s="334" t="str">
        <f t="shared" si="4"/>
        <v>中山製鋼:阪和ＨＳ１(単体H1/電特A/HS))</v>
      </c>
    </row>
    <row r="1634" ht="15.75" customHeight="1">
      <c r="A1634" s="335" t="s">
        <v>2806</v>
      </c>
      <c r="B1634" s="336">
        <v>45811.0</v>
      </c>
      <c r="C1634" s="335" t="s">
        <v>5</v>
      </c>
      <c r="D1634" s="335" t="s">
        <v>47</v>
      </c>
      <c r="E1634" s="337" t="str">
        <f t="shared" si="1"/>
        <v>中山製鋼:豊通</v>
      </c>
      <c r="F1634" s="338" t="s">
        <v>101</v>
      </c>
      <c r="G1634" s="339" t="str">
        <f t="shared" si="2"/>
        <v>中山製鋼:豊通ＨＳ２</v>
      </c>
      <c r="H1634" s="340">
        <f t="shared" si="3"/>
        <v>43.8</v>
      </c>
      <c r="I1634" s="341">
        <v>-0.5</v>
      </c>
      <c r="J1634" s="332">
        <f>IFERROR(__xludf.DUMMYFUNCTION("IF(IF(COUNTIF(P$2:P1633, P1634)=0, """", INDEX(H$2:H1633,
MAX(FILTER(ROW(H$2:H1633) - ROW(H$2) + 1, P$2:P1633 = P1634))))=""単価"","""",
IF(COUNTIF(P$2:P1633, P1634)=0, """", INDEX(H$2:H1633,
MAX(FILTER(ROW(H$2:H1633) - ROW(H$2) + 1, P$2:P1633 = P1634)))))"),44.3)</f>
        <v>44.3</v>
      </c>
      <c r="N1634" s="335" t="str">
        <f>IF(MAXIFS('単価履歴'!$O:$O,'単価履歴'!$E:$E,E1634,'単価履歴'!$F:$F,F1634)=O1634,"●","")</f>
        <v/>
      </c>
      <c r="O1634" s="346">
        <v>45810.76795138889</v>
      </c>
      <c r="P1634" s="334" t="str">
        <f t="shared" si="4"/>
        <v>中山製鋼:豊通ＨＳ２</v>
      </c>
    </row>
    <row r="1635" ht="15.75" customHeight="1">
      <c r="A1635" s="335" t="s">
        <v>2807</v>
      </c>
      <c r="B1635" s="336">
        <v>45811.0</v>
      </c>
      <c r="C1635" s="335" t="s">
        <v>5</v>
      </c>
      <c r="D1635" s="335" t="s">
        <v>47</v>
      </c>
      <c r="E1635" s="337" t="str">
        <f t="shared" si="1"/>
        <v>中山製鋼:豊通</v>
      </c>
      <c r="F1635" s="338" t="s">
        <v>108</v>
      </c>
      <c r="G1635" s="339" t="str">
        <f t="shared" si="2"/>
        <v>中山製鋼:豊通Ｈ１/ｻﾑﾃｯｸ</v>
      </c>
      <c r="H1635" s="340">
        <f t="shared" si="3"/>
        <v>1</v>
      </c>
      <c r="I1635" s="341">
        <v>-0.5</v>
      </c>
      <c r="J1635" s="332">
        <f>IFERROR(__xludf.DUMMYFUNCTION("IF(IF(COUNTIF(P$2:P1634, P1635)=0, """", INDEX(H$2:H1634,
MAX(FILTER(ROW(H$2:H1634) - ROW(H$2) + 1, P$2:P1634 = P1635))))=""単価"","""",
IF(COUNTIF(P$2:P1634, P1635)=0, """", INDEX(H$2:H1634,
MAX(FILTER(ROW(H$2:H1634) - ROW(H$2) + 1, P$2:P1634 = P1635)))))"),1.5)</f>
        <v>1.5</v>
      </c>
      <c r="N1635" s="335" t="str">
        <f>IF(MAXIFS('単価履歴'!$O:$O,'単価履歴'!$E:$E,E1635,'単価履歴'!$F:$F,F1635)=O1635,"●","")</f>
        <v/>
      </c>
      <c r="O1635" s="346">
        <v>45810.76795138889</v>
      </c>
      <c r="P1635" s="334" t="str">
        <f t="shared" si="4"/>
        <v>中山製鋼:豊通Ｈ１/ｻﾑﾃｯｸ</v>
      </c>
    </row>
    <row r="1636" ht="15.75" customHeight="1">
      <c r="A1636" s="335" t="s">
        <v>2808</v>
      </c>
      <c r="B1636" s="336">
        <v>45811.0</v>
      </c>
      <c r="C1636" s="335" t="s">
        <v>5</v>
      </c>
      <c r="D1636" s="335" t="s">
        <v>47</v>
      </c>
      <c r="E1636" s="337" t="str">
        <f t="shared" si="1"/>
        <v>中山製鋼:豊通</v>
      </c>
      <c r="F1636" s="338" t="s">
        <v>111</v>
      </c>
      <c r="G1636" s="339" t="str">
        <f t="shared" si="2"/>
        <v>中山製鋼:豊通Ｈ１(特A)</v>
      </c>
      <c r="H1636" s="340">
        <f t="shared" si="3"/>
        <v>42.8</v>
      </c>
      <c r="I1636" s="341">
        <v>-0.5</v>
      </c>
      <c r="J1636" s="332">
        <f>IFERROR(__xludf.DUMMYFUNCTION("IF(IF(COUNTIF(P$2:P1635, P1636)=0, """", INDEX(H$2:H1635,
MAX(FILTER(ROW(H$2:H1635) - ROW(H$2) + 1, P$2:P1635 = P1636))))=""単価"","""",
IF(COUNTIF(P$2:P1635, P1636)=0, """", INDEX(H$2:H1635,
MAX(FILTER(ROW(H$2:H1635) - ROW(H$2) + 1, P$2:P1635 = P1636)))))"),43.3)</f>
        <v>43.3</v>
      </c>
      <c r="N1636" s="335" t="str">
        <f>IF(MAXIFS('単価履歴'!$O:$O,'単価履歴'!$E:$E,E1636,'単価履歴'!$F:$F,F1636)=O1636,"●","")</f>
        <v/>
      </c>
      <c r="O1636" s="346">
        <v>45810.76795138889</v>
      </c>
      <c r="P1636" s="334" t="str">
        <f t="shared" si="4"/>
        <v>中山製鋼:豊通Ｈ１(特A)</v>
      </c>
    </row>
    <row r="1637" ht="15.75" customHeight="1">
      <c r="A1637" s="335" t="s">
        <v>2809</v>
      </c>
      <c r="B1637" s="336">
        <v>45811.0</v>
      </c>
      <c r="C1637" s="335" t="s">
        <v>5</v>
      </c>
      <c r="D1637" s="335" t="s">
        <v>47</v>
      </c>
      <c r="E1637" s="337" t="str">
        <f t="shared" si="1"/>
        <v>中山製鋼:豊通</v>
      </c>
      <c r="F1637" s="338" t="s">
        <v>116</v>
      </c>
      <c r="G1637" s="339" t="str">
        <f t="shared" si="2"/>
        <v>中山製鋼:豊通Ｈ２(特級)</v>
      </c>
      <c r="H1637" s="340">
        <f t="shared" si="3"/>
        <v>36.8</v>
      </c>
      <c r="I1637" s="341">
        <v>-0.5</v>
      </c>
      <c r="J1637" s="332">
        <f>IFERROR(__xludf.DUMMYFUNCTION("IF(IF(COUNTIF(P$2:P1636, P1637)=0, """", INDEX(H$2:H1636,
MAX(FILTER(ROW(H$2:H1636) - ROW(H$2) + 1, P$2:P1636 = P1637))))=""単価"","""",
IF(COUNTIF(P$2:P1636, P1637)=0, """", INDEX(H$2:H1636,
MAX(FILTER(ROW(H$2:H1636) - ROW(H$2) + 1, P$2:P1636 = P1637)))))"),37.3)</f>
        <v>37.3</v>
      </c>
      <c r="N1637" s="335" t="str">
        <f>IF(MAXIFS('単価履歴'!$O:$O,'単価履歴'!$E:$E,E1637,'単価履歴'!$F:$F,F1637)=O1637,"●","")</f>
        <v/>
      </c>
      <c r="O1637" s="346">
        <v>45810.76795138889</v>
      </c>
      <c r="P1637" s="334" t="str">
        <f t="shared" si="4"/>
        <v>中山製鋼:豊通Ｈ２(特級)</v>
      </c>
    </row>
    <row r="1638" ht="15.75" customHeight="1">
      <c r="A1638" s="335" t="s">
        <v>2810</v>
      </c>
      <c r="B1638" s="336">
        <v>45811.0</v>
      </c>
      <c r="C1638" s="335" t="s">
        <v>5</v>
      </c>
      <c r="D1638" s="335" t="s">
        <v>47</v>
      </c>
      <c r="E1638" s="337" t="str">
        <f t="shared" si="1"/>
        <v>中山製鋼:豊通</v>
      </c>
      <c r="F1638" s="338" t="s">
        <v>119</v>
      </c>
      <c r="G1638" s="339" t="str">
        <f t="shared" si="2"/>
        <v>中山製鋼:豊通Ｈ３(1級)</v>
      </c>
      <c r="H1638" s="340">
        <f t="shared" si="3"/>
        <v>32.8</v>
      </c>
      <c r="I1638" s="341">
        <v>-0.5</v>
      </c>
      <c r="J1638" s="332">
        <f>IFERROR(__xludf.DUMMYFUNCTION("IF(IF(COUNTIF(P$2:P1637, P1638)=0, """", INDEX(H$2:H1637,
MAX(FILTER(ROW(H$2:H1637) - ROW(H$2) + 1, P$2:P1637 = P1638))))=""単価"","""",
IF(COUNTIF(P$2:P1637, P1638)=0, """", INDEX(H$2:H1637,
MAX(FILTER(ROW(H$2:H1637) - ROW(H$2) + 1, P$2:P1637 = P1638)))))"),33.3)</f>
        <v>33.3</v>
      </c>
      <c r="N1638" s="335" t="str">
        <f>IF(MAXIFS('単価履歴'!$O:$O,'単価履歴'!$E:$E,E1638,'単価履歴'!$F:$F,F1638)=O1638,"●","")</f>
        <v/>
      </c>
      <c r="O1638" s="346">
        <v>45810.76795138889</v>
      </c>
      <c r="P1638" s="334" t="str">
        <f t="shared" si="4"/>
        <v>中山製鋼:豊通Ｈ３(1級)</v>
      </c>
    </row>
    <row r="1639" ht="15.75" customHeight="1">
      <c r="A1639" s="335" t="s">
        <v>2811</v>
      </c>
      <c r="B1639" s="336">
        <v>45811.0</v>
      </c>
      <c r="C1639" s="335" t="s">
        <v>5</v>
      </c>
      <c r="D1639" s="335" t="s">
        <v>47</v>
      </c>
      <c r="E1639" s="337" t="str">
        <f t="shared" si="1"/>
        <v>中山製鋼:豊通</v>
      </c>
      <c r="F1639" s="338" t="s">
        <v>122</v>
      </c>
      <c r="G1639" s="339" t="str">
        <f t="shared" si="2"/>
        <v>中山製鋼:豊通Ｌ１(2級)</v>
      </c>
      <c r="H1639" s="340">
        <f t="shared" si="3"/>
        <v>26.3</v>
      </c>
      <c r="I1639" s="341">
        <v>-0.5</v>
      </c>
      <c r="J1639" s="332">
        <f>IFERROR(__xludf.DUMMYFUNCTION("IF(IF(COUNTIF(P$2:P1638, P1639)=0, """", INDEX(H$2:H1638,
MAX(FILTER(ROW(H$2:H1638) - ROW(H$2) + 1, P$2:P1638 = P1639))))=""単価"","""",
IF(COUNTIF(P$2:P1638, P1639)=0, """", INDEX(H$2:H1638,
MAX(FILTER(ROW(H$2:H1638) - ROW(H$2) + 1, P$2:P1638 = P1639)))))"),26.8)</f>
        <v>26.8</v>
      </c>
      <c r="N1639" s="335" t="str">
        <f>IF(MAXIFS('単価履歴'!$O:$O,'単価履歴'!$E:$E,E1639,'単価履歴'!$F:$F,F1639)=O1639,"●","")</f>
        <v/>
      </c>
      <c r="O1639" s="346">
        <v>45810.76795138889</v>
      </c>
      <c r="P1639" s="334" t="str">
        <f t="shared" si="4"/>
        <v>中山製鋼:豊通Ｌ１(2級)</v>
      </c>
    </row>
    <row r="1640" ht="15.75" customHeight="1">
      <c r="A1640" s="335" t="s">
        <v>2812</v>
      </c>
      <c r="B1640" s="336">
        <v>45811.0</v>
      </c>
      <c r="C1640" s="335" t="s">
        <v>5</v>
      </c>
      <c r="D1640" s="335" t="s">
        <v>47</v>
      </c>
      <c r="E1640" s="337" t="str">
        <f t="shared" si="1"/>
        <v>中山製鋼:豊通</v>
      </c>
      <c r="F1640" s="338" t="s">
        <v>130</v>
      </c>
      <c r="G1640" s="339" t="str">
        <f t="shared" si="2"/>
        <v>中山製鋼:豊通新断Ａ</v>
      </c>
      <c r="H1640" s="340">
        <f t="shared" si="3"/>
        <v>45.3</v>
      </c>
      <c r="I1640" s="341">
        <v>-0.5</v>
      </c>
      <c r="J1640" s="332">
        <f>IFERROR(__xludf.DUMMYFUNCTION("IF(IF(COUNTIF(P$2:P1639, P1640)=0, """", INDEX(H$2:H1639,
MAX(FILTER(ROW(H$2:H1639) - ROW(H$2) + 1, P$2:P1639 = P1640))))=""単価"","""",
IF(COUNTIF(P$2:P1639, P1640)=0, """", INDEX(H$2:H1639,
MAX(FILTER(ROW(H$2:H1639) - ROW(H$2) + 1, P$2:P1639 = P1640)))))"),45.8)</f>
        <v>45.8</v>
      </c>
      <c r="N1640" s="335" t="str">
        <f>IF(MAXIFS('単価履歴'!$O:$O,'単価履歴'!$E:$E,E1640,'単価履歴'!$F:$F,F1640)=O1640,"●","")</f>
        <v/>
      </c>
      <c r="O1640" s="346">
        <v>45810.76795138889</v>
      </c>
      <c r="P1640" s="334" t="str">
        <f t="shared" si="4"/>
        <v>中山製鋼:豊通新断Ａ</v>
      </c>
    </row>
    <row r="1641" ht="15.75" customHeight="1">
      <c r="A1641" s="335" t="s">
        <v>2813</v>
      </c>
      <c r="B1641" s="336">
        <v>45811.0</v>
      </c>
      <c r="C1641" s="335" t="s">
        <v>5</v>
      </c>
      <c r="D1641" s="335" t="s">
        <v>47</v>
      </c>
      <c r="E1641" s="337" t="str">
        <f t="shared" si="1"/>
        <v>中山製鋼:豊通</v>
      </c>
      <c r="F1641" s="338" t="s">
        <v>131</v>
      </c>
      <c r="G1641" s="339" t="str">
        <f t="shared" si="2"/>
        <v>中山製鋼:豊通新断Ｂ</v>
      </c>
      <c r="H1641" s="340">
        <f t="shared" si="3"/>
        <v>44.3</v>
      </c>
      <c r="I1641" s="341">
        <v>-0.5</v>
      </c>
      <c r="J1641" s="332">
        <f>IFERROR(__xludf.DUMMYFUNCTION("IF(IF(COUNTIF(P$2:P1640, P1641)=0, """", INDEX(H$2:H1640,
MAX(FILTER(ROW(H$2:H1640) - ROW(H$2) + 1, P$2:P1640 = P1641))))=""単価"","""",
IF(COUNTIF(P$2:P1640, P1641)=0, """", INDEX(H$2:H1640,
MAX(FILTER(ROW(H$2:H1640) - ROW(H$2) + 1, P$2:P1640 = P1641)))))"),44.8)</f>
        <v>44.8</v>
      </c>
      <c r="N1641" s="335" t="str">
        <f>IF(MAXIFS('単価履歴'!$O:$O,'単価履歴'!$E:$E,E1641,'単価履歴'!$F:$F,F1641)=O1641,"●","")</f>
        <v/>
      </c>
      <c r="O1641" s="346">
        <v>45810.76795138889</v>
      </c>
      <c r="P1641" s="334" t="str">
        <f t="shared" si="4"/>
        <v>中山製鋼:豊通新断Ｂ</v>
      </c>
    </row>
    <row r="1642" ht="15.75" customHeight="1">
      <c r="A1642" s="335" t="s">
        <v>2814</v>
      </c>
      <c r="B1642" s="336">
        <v>45811.0</v>
      </c>
      <c r="C1642" s="335" t="s">
        <v>5</v>
      </c>
      <c r="D1642" s="335" t="s">
        <v>47</v>
      </c>
      <c r="E1642" s="337" t="str">
        <f t="shared" si="1"/>
        <v>中山製鋼:豊通</v>
      </c>
      <c r="F1642" s="338" t="s">
        <v>574</v>
      </c>
      <c r="G1642" s="339" t="str">
        <f t="shared" si="2"/>
        <v>中山製鋼:豊通新断Ｃ</v>
      </c>
      <c r="H1642" s="340">
        <f t="shared" si="3"/>
        <v>43.3</v>
      </c>
      <c r="I1642" s="341">
        <v>-0.5</v>
      </c>
      <c r="J1642" s="332">
        <f>IFERROR(__xludf.DUMMYFUNCTION("IF(IF(COUNTIF(P$2:P1641, P1642)=0, """", INDEX(H$2:H1641,
MAX(FILTER(ROW(H$2:H1641) - ROW(H$2) + 1, P$2:P1641 = P1642))))=""単価"","""",
IF(COUNTIF(P$2:P1641, P1642)=0, """", INDEX(H$2:H1641,
MAX(FILTER(ROW(H$2:H1641) - ROW(H$2) + 1, P$2:P1641 = P1642)))))"),43.8)</f>
        <v>43.8</v>
      </c>
      <c r="N1642" s="335" t="str">
        <f>IF(MAXIFS('単価履歴'!$O:$O,'単価履歴'!$E:$E,E1642,'単価履歴'!$F:$F,F1642)=O1642,"●","")</f>
        <v/>
      </c>
      <c r="O1642" s="346">
        <v>45810.76795138889</v>
      </c>
      <c r="P1642" s="334" t="str">
        <f t="shared" si="4"/>
        <v>中山製鋼:豊通新断Ｃ</v>
      </c>
    </row>
    <row r="1643" ht="15.75" customHeight="1">
      <c r="A1643" s="335" t="s">
        <v>2815</v>
      </c>
      <c r="B1643" s="336">
        <v>45811.0</v>
      </c>
      <c r="C1643" s="335" t="s">
        <v>5</v>
      </c>
      <c r="D1643" s="335" t="s">
        <v>47</v>
      </c>
      <c r="E1643" s="337" t="str">
        <f t="shared" si="1"/>
        <v>中山製鋼:豊通</v>
      </c>
      <c r="F1643" s="338" t="s">
        <v>1199</v>
      </c>
      <c r="G1643" s="339" t="str">
        <f t="shared" si="2"/>
        <v>中山製鋼:豊通ＨＳ１(単体H1/電特A/HS))</v>
      </c>
      <c r="H1643" s="340">
        <f t="shared" si="3"/>
        <v>43.8</v>
      </c>
      <c r="I1643" s="341">
        <v>-0.5</v>
      </c>
      <c r="J1643" s="332">
        <f>IFERROR(__xludf.DUMMYFUNCTION("IF(IF(COUNTIF(P$2:P1642, P1643)=0, """", INDEX(H$2:H1642,
MAX(FILTER(ROW(H$2:H1642) - ROW(H$2) + 1, P$2:P1642 = P1643))))=""単価"","""",
IF(COUNTIF(P$2:P1642, P1643)=0, """", INDEX(H$2:H1642,
MAX(FILTER(ROW(H$2:H1642) - ROW(H$2) + 1, P$2:P1642 = P1643)))))"),44.3)</f>
        <v>44.3</v>
      </c>
      <c r="N1643" s="335" t="str">
        <f>IF(MAXIFS('単価履歴'!$O:$O,'単価履歴'!$E:$E,E1643,'単価履歴'!$F:$F,F1643)=O1643,"●","")</f>
        <v/>
      </c>
      <c r="O1643" s="346">
        <v>45810.76795138889</v>
      </c>
      <c r="P1643" s="334" t="str">
        <f t="shared" si="4"/>
        <v>中山製鋼:豊通ＨＳ１(単体H1/電特A/HS))</v>
      </c>
    </row>
    <row r="1644" ht="15.75" customHeight="1">
      <c r="A1644" s="335" t="s">
        <v>2816</v>
      </c>
      <c r="B1644" s="336">
        <v>45811.0</v>
      </c>
      <c r="C1644" s="335" t="s">
        <v>5</v>
      </c>
      <c r="D1644" s="335" t="s">
        <v>1232</v>
      </c>
      <c r="E1644" s="337" t="str">
        <f t="shared" si="1"/>
        <v>中山製鋼:豊通/出張商店</v>
      </c>
      <c r="F1644" s="338" t="s">
        <v>130</v>
      </c>
      <c r="G1644" s="339" t="str">
        <f t="shared" si="2"/>
        <v>中山製鋼:豊通/出張商店新断Ａ</v>
      </c>
      <c r="H1644" s="340">
        <f t="shared" si="3"/>
        <v>44.3</v>
      </c>
      <c r="I1644" s="341">
        <v>-0.5</v>
      </c>
      <c r="J1644" s="332">
        <f>IFERROR(__xludf.DUMMYFUNCTION("IF(IF(COUNTIF(P$2:P1643, P1644)=0, """", INDEX(H$2:H1643,
MAX(FILTER(ROW(H$2:H1643) - ROW(H$2) + 1, P$2:P1643 = P1644))))=""単価"","""",
IF(COUNTIF(P$2:P1643, P1644)=0, """", INDEX(H$2:H1643,
MAX(FILTER(ROW(H$2:H1643) - ROW(H$2) + 1, P$2:P1643 = P1644)))))"),44.8)</f>
        <v>44.8</v>
      </c>
      <c r="N1644" s="335" t="str">
        <f>IF(MAXIFS('単価履歴'!$O:$O,'単価履歴'!$E:$E,E1644,'単価履歴'!$F:$F,F1644)=O1644,"●","")</f>
        <v/>
      </c>
      <c r="O1644" s="346">
        <v>45810.76834490741</v>
      </c>
      <c r="P1644" s="334" t="str">
        <f t="shared" si="4"/>
        <v>中山製鋼:豊通/出張商店新断Ａ</v>
      </c>
    </row>
    <row r="1645" ht="15.75" customHeight="1">
      <c r="A1645" s="335" t="s">
        <v>2817</v>
      </c>
      <c r="B1645" s="336">
        <v>45811.0</v>
      </c>
      <c r="C1645" s="335" t="s">
        <v>5</v>
      </c>
      <c r="D1645" s="335" t="s">
        <v>1234</v>
      </c>
      <c r="E1645" s="337" t="str">
        <f t="shared" si="1"/>
        <v>中山製鋼:豊通/中川嘉弘商店</v>
      </c>
      <c r="F1645" s="338" t="s">
        <v>130</v>
      </c>
      <c r="G1645" s="339" t="str">
        <f t="shared" si="2"/>
        <v>中山製鋼:豊通/中川嘉弘商店新断Ａ</v>
      </c>
      <c r="H1645" s="340">
        <f t="shared" si="3"/>
        <v>42.8</v>
      </c>
      <c r="I1645" s="341">
        <v>-0.5</v>
      </c>
      <c r="J1645" s="332">
        <f>IFERROR(__xludf.DUMMYFUNCTION("IF(IF(COUNTIF(P$2:P1644, P1645)=0, """", INDEX(H$2:H1644,
MAX(FILTER(ROW(H$2:H1644) - ROW(H$2) + 1, P$2:P1644 = P1645))))=""単価"","""",
IF(COUNTIF(P$2:P1644, P1645)=0, """", INDEX(H$2:H1644,
MAX(FILTER(ROW(H$2:H1644) - ROW(H$2) + 1, P$2:P1644 = P1645)))))"),43.3)</f>
        <v>43.3</v>
      </c>
      <c r="N1645" s="335" t="str">
        <f>IF(MAXIFS('単価履歴'!$O:$O,'単価履歴'!$E:$E,E1645,'単価履歴'!$F:$F,F1645)=O1645,"●","")</f>
        <v/>
      </c>
      <c r="O1645" s="346">
        <v>45810.76834490741</v>
      </c>
      <c r="P1645" s="334" t="str">
        <f t="shared" si="4"/>
        <v>中山製鋼:豊通/中川嘉弘商店新断Ａ</v>
      </c>
    </row>
    <row r="1646" ht="15.75" customHeight="1">
      <c r="A1646" s="335" t="s">
        <v>2818</v>
      </c>
      <c r="B1646" s="336">
        <v>45811.0</v>
      </c>
      <c r="C1646" s="335" t="s">
        <v>6</v>
      </c>
      <c r="D1646" s="335" t="s">
        <v>48</v>
      </c>
      <c r="E1646" s="337" t="str">
        <f t="shared" si="1"/>
        <v>中山鋼業:ナベ</v>
      </c>
      <c r="F1646" s="338" t="s">
        <v>111</v>
      </c>
      <c r="G1646" s="339" t="str">
        <f t="shared" si="2"/>
        <v>中山鋼業:ナベＨ１(特A)</v>
      </c>
      <c r="H1646" s="340">
        <f t="shared" si="3"/>
        <v>44</v>
      </c>
      <c r="I1646" s="341">
        <v>-0.5</v>
      </c>
      <c r="J1646" s="332">
        <f>IFERROR(__xludf.DUMMYFUNCTION("IF(IF(COUNTIF(P$2:P1645, P1646)=0, """", INDEX(H$2:H1645,
MAX(FILTER(ROW(H$2:H1645) - ROW(H$2) + 1, P$2:P1645 = P1646))))=""単価"","""",
IF(COUNTIF(P$2:P1645, P1646)=0, """", INDEX(H$2:H1645,
MAX(FILTER(ROW(H$2:H1645) - ROW(H$2) + 1, P$2:P1645 = P1646)))))"),44.5)</f>
        <v>44.5</v>
      </c>
      <c r="N1646" s="335" t="str">
        <f>IF(MAXIFS('単価履歴'!$O:$O,'単価履歴'!$E:$E,E1646,'単価履歴'!$F:$F,F1646)=O1646,"●","")</f>
        <v/>
      </c>
      <c r="O1646" s="346">
        <v>45810.76851851852</v>
      </c>
      <c r="P1646" s="334" t="str">
        <f t="shared" si="4"/>
        <v>中山鋼業:ナベＨ１(特A)</v>
      </c>
    </row>
    <row r="1647" ht="15.75" customHeight="1">
      <c r="A1647" s="335" t="s">
        <v>2819</v>
      </c>
      <c r="B1647" s="336">
        <v>45811.0</v>
      </c>
      <c r="C1647" s="335" t="s">
        <v>6</v>
      </c>
      <c r="D1647" s="335" t="s">
        <v>48</v>
      </c>
      <c r="E1647" s="337" t="str">
        <f t="shared" si="1"/>
        <v>中山鋼業:ナベ</v>
      </c>
      <c r="F1647" s="338" t="s">
        <v>1237</v>
      </c>
      <c r="G1647" s="339" t="str">
        <f t="shared" si="2"/>
        <v>中山鋼業:ナベＪＨ１(H2T山口)鍛造ﾊﾞﾘ</v>
      </c>
      <c r="H1647" s="340">
        <f t="shared" si="3"/>
        <v>43.2</v>
      </c>
      <c r="I1647" s="341">
        <v>-0.5</v>
      </c>
      <c r="J1647" s="332">
        <f>IFERROR(__xludf.DUMMYFUNCTION("IF(IF(COUNTIF(P$2:P1646, P1647)=0, """", INDEX(H$2:H1646,
MAX(FILTER(ROW(H$2:H1646) - ROW(H$2) + 1, P$2:P1646 = P1647))))=""単価"","""",
IF(COUNTIF(P$2:P1646, P1647)=0, """", INDEX(H$2:H1646,
MAX(FILTER(ROW(H$2:H1646) - ROW(H$2) + 1, P$2:P1646 = P1647)))))"),43.7)</f>
        <v>43.7</v>
      </c>
      <c r="N1647" s="335" t="str">
        <f>IF(MAXIFS('単価履歴'!$O:$O,'単価履歴'!$E:$E,E1647,'単価履歴'!$F:$F,F1647)=O1647,"●","")</f>
        <v/>
      </c>
      <c r="O1647" s="346">
        <v>45810.76851851852</v>
      </c>
      <c r="P1647" s="334" t="str">
        <f t="shared" si="4"/>
        <v>中山鋼業:ナベＪＨ１(H2T山口)鍛造ﾊﾞﾘ</v>
      </c>
    </row>
    <row r="1648" ht="15.75" customHeight="1">
      <c r="A1648" s="335" t="s">
        <v>2820</v>
      </c>
      <c r="B1648" s="336">
        <v>45811.0</v>
      </c>
      <c r="C1648" s="335" t="s">
        <v>6</v>
      </c>
      <c r="D1648" s="335" t="s">
        <v>48</v>
      </c>
      <c r="E1648" s="337" t="str">
        <f t="shared" si="1"/>
        <v>中山鋼業:ナベ</v>
      </c>
      <c r="F1648" s="338" t="s">
        <v>116</v>
      </c>
      <c r="G1648" s="339" t="str">
        <f t="shared" si="2"/>
        <v>中山鋼業:ナベＨ２(特級)</v>
      </c>
      <c r="H1648" s="340">
        <f t="shared" si="3"/>
        <v>42</v>
      </c>
      <c r="I1648" s="341">
        <v>-0.5</v>
      </c>
      <c r="J1648" s="332">
        <f>IFERROR(__xludf.DUMMYFUNCTION("IF(IF(COUNTIF(P$2:P1647, P1648)=0, """", INDEX(H$2:H1647,
MAX(FILTER(ROW(H$2:H1647) - ROW(H$2) + 1, P$2:P1647 = P1648))))=""単価"","""",
IF(COUNTIF(P$2:P1647, P1648)=0, """", INDEX(H$2:H1647,
MAX(FILTER(ROW(H$2:H1647) - ROW(H$2) + 1, P$2:P1647 = P1648)))))"),42.5)</f>
        <v>42.5</v>
      </c>
      <c r="N1648" s="335" t="str">
        <f>IF(MAXIFS('単価履歴'!$O:$O,'単価履歴'!$E:$E,E1648,'単価履歴'!$F:$F,F1648)=O1648,"●","")</f>
        <v/>
      </c>
      <c r="O1648" s="346">
        <v>45810.76851851852</v>
      </c>
      <c r="P1648" s="334" t="str">
        <f t="shared" si="4"/>
        <v>中山鋼業:ナベＨ２(特級)</v>
      </c>
    </row>
    <row r="1649" ht="15.75" customHeight="1">
      <c r="A1649" s="335" t="s">
        <v>2821</v>
      </c>
      <c r="B1649" s="336">
        <v>45811.0</v>
      </c>
      <c r="C1649" s="335" t="s">
        <v>6</v>
      </c>
      <c r="D1649" s="335" t="s">
        <v>48</v>
      </c>
      <c r="E1649" s="337" t="str">
        <f t="shared" si="1"/>
        <v>中山鋼業:ナベ</v>
      </c>
      <c r="F1649" s="338" t="s">
        <v>119</v>
      </c>
      <c r="G1649" s="339" t="str">
        <f t="shared" si="2"/>
        <v>中山鋼業:ナベＨ３(1級)</v>
      </c>
      <c r="H1649" s="340">
        <f t="shared" si="3"/>
        <v>40.5</v>
      </c>
      <c r="I1649" s="341">
        <v>-0.5</v>
      </c>
      <c r="J1649" s="332">
        <f>IFERROR(__xludf.DUMMYFUNCTION("IF(IF(COUNTIF(P$2:P1648, P1649)=0, """", INDEX(H$2:H1648,
MAX(FILTER(ROW(H$2:H1648) - ROW(H$2) + 1, P$2:P1648 = P1649))))=""単価"","""",
IF(COUNTIF(P$2:P1648, P1649)=0, """", INDEX(H$2:H1648,
MAX(FILTER(ROW(H$2:H1648) - ROW(H$2) + 1, P$2:P1648 = P1649)))))"),41.0)</f>
        <v>41</v>
      </c>
      <c r="N1649" s="335" t="str">
        <f>IF(MAXIFS('単価履歴'!$O:$O,'単価履歴'!$E:$E,E1649,'単価履歴'!$F:$F,F1649)=O1649,"●","")</f>
        <v/>
      </c>
      <c r="O1649" s="346">
        <v>45810.76851851852</v>
      </c>
      <c r="P1649" s="334" t="str">
        <f t="shared" si="4"/>
        <v>中山鋼業:ナベＨ３(1級)</v>
      </c>
    </row>
    <row r="1650" ht="15.75" customHeight="1">
      <c r="A1650" s="335" t="s">
        <v>2822</v>
      </c>
      <c r="B1650" s="336">
        <v>45811.0</v>
      </c>
      <c r="C1650" s="335" t="s">
        <v>6</v>
      </c>
      <c r="D1650" s="335" t="s">
        <v>48</v>
      </c>
      <c r="E1650" s="337" t="str">
        <f t="shared" si="1"/>
        <v>中山鋼業:ナベ</v>
      </c>
      <c r="F1650" s="338" t="s">
        <v>122</v>
      </c>
      <c r="G1650" s="339" t="str">
        <f t="shared" si="2"/>
        <v>中山鋼業:ナベＬ１(2級)</v>
      </c>
      <c r="H1650" s="340">
        <f t="shared" si="3"/>
        <v>40</v>
      </c>
      <c r="I1650" s="341">
        <v>-0.5</v>
      </c>
      <c r="J1650" s="332">
        <f>IFERROR(__xludf.DUMMYFUNCTION("IF(IF(COUNTIF(P$2:P1649, P1650)=0, """", INDEX(H$2:H1649,
MAX(FILTER(ROW(H$2:H1649) - ROW(H$2) + 1, P$2:P1649 = P1650))))=""単価"","""",
IF(COUNTIF(P$2:P1649, P1650)=0, """", INDEX(H$2:H1649,
MAX(FILTER(ROW(H$2:H1649) - ROW(H$2) + 1, P$2:P1649 = P1650)))))"),40.5)</f>
        <v>40.5</v>
      </c>
      <c r="N1650" s="335" t="str">
        <f>IF(MAXIFS('単価履歴'!$O:$O,'単価履歴'!$E:$E,E1650,'単価履歴'!$F:$F,F1650)=O1650,"●","")</f>
        <v/>
      </c>
      <c r="O1650" s="346">
        <v>45810.76851851852</v>
      </c>
      <c r="P1650" s="334" t="str">
        <f t="shared" si="4"/>
        <v>中山鋼業:ナベＬ１(2級)</v>
      </c>
    </row>
    <row r="1651" ht="15.75" customHeight="1">
      <c r="A1651" s="335" t="s">
        <v>2823</v>
      </c>
      <c r="B1651" s="336">
        <v>45811.0</v>
      </c>
      <c r="C1651" s="335" t="s">
        <v>6</v>
      </c>
      <c r="D1651" s="335" t="s">
        <v>48</v>
      </c>
      <c r="E1651" s="337" t="str">
        <f t="shared" si="1"/>
        <v>中山鋼業:ナベ</v>
      </c>
      <c r="F1651" s="338" t="s">
        <v>573</v>
      </c>
      <c r="G1651" s="339" t="str">
        <f t="shared" si="2"/>
        <v>中山鋼業:ナベＬ２(H4･級外･L1ﾊﾞﾗ)</v>
      </c>
      <c r="H1651" s="340">
        <f t="shared" si="3"/>
        <v>36.5</v>
      </c>
      <c r="I1651" s="341">
        <v>-0.5</v>
      </c>
      <c r="J1651" s="332">
        <f>IFERROR(__xludf.DUMMYFUNCTION("IF(IF(COUNTIF(P$2:P1650, P1651)=0, """", INDEX(H$2:H1650,
MAX(FILTER(ROW(H$2:H1650) - ROW(H$2) + 1, P$2:P1650 = P1651))))=""単価"","""",
IF(COUNTIF(P$2:P1650, P1651)=0, """", INDEX(H$2:H1650,
MAX(FILTER(ROW(H$2:H1650) - ROW(H$2) + 1, P$2:P1650 = P1651)))))"),37.0)</f>
        <v>37</v>
      </c>
      <c r="N1651" s="335" t="str">
        <f>IF(MAXIFS('単価履歴'!$O:$O,'単価履歴'!$E:$E,E1651,'単価履歴'!$F:$F,F1651)=O1651,"●","")</f>
        <v/>
      </c>
      <c r="O1651" s="346">
        <v>45810.76851851852</v>
      </c>
      <c r="P1651" s="334" t="str">
        <f t="shared" si="4"/>
        <v>中山鋼業:ナベＬ２(H4･級外･L1ﾊﾞﾗ)</v>
      </c>
    </row>
    <row r="1652" ht="15.75" customHeight="1">
      <c r="A1652" s="335" t="s">
        <v>2824</v>
      </c>
      <c r="B1652" s="336">
        <v>45811.0</v>
      </c>
      <c r="C1652" s="335" t="s">
        <v>6</v>
      </c>
      <c r="D1652" s="335" t="s">
        <v>48</v>
      </c>
      <c r="E1652" s="337" t="str">
        <f t="shared" si="1"/>
        <v>中山鋼業:ナベ</v>
      </c>
      <c r="F1652" s="338" t="s">
        <v>130</v>
      </c>
      <c r="G1652" s="339" t="str">
        <f t="shared" si="2"/>
        <v>中山鋼業:ナベ新断Ａ</v>
      </c>
      <c r="H1652" s="340">
        <f t="shared" si="3"/>
        <v>0</v>
      </c>
      <c r="I1652" s="341">
        <v>-0.5</v>
      </c>
      <c r="J1652" s="332">
        <f>IFERROR(__xludf.DUMMYFUNCTION("IF(IF(COUNTIF(P$2:P1651, P1652)=0, """", INDEX(H$2:H1651,
MAX(FILTER(ROW(H$2:H1651) - ROW(H$2) + 1, P$2:P1651 = P1652))))=""単価"","""",
IF(COUNTIF(P$2:P1651, P1652)=0, """", INDEX(H$2:H1651,
MAX(FILTER(ROW(H$2:H1651) - ROW(H$2) + 1, P$2:P1651 = P1652)))))"),0.5)</f>
        <v>0.5</v>
      </c>
      <c r="N1652" s="335" t="str">
        <f>IF(MAXIFS('単価履歴'!$O:$O,'単価履歴'!$E:$E,E1652,'単価履歴'!$F:$F,F1652)=O1652,"●","")</f>
        <v/>
      </c>
      <c r="O1652" s="346">
        <v>45810.76851851852</v>
      </c>
      <c r="P1652" s="334" t="str">
        <f t="shared" si="4"/>
        <v>中山鋼業:ナベ新断Ａ</v>
      </c>
    </row>
    <row r="1653" ht="15.75" customHeight="1">
      <c r="A1653" s="335" t="s">
        <v>2825</v>
      </c>
      <c r="B1653" s="336">
        <v>45811.0</v>
      </c>
      <c r="C1653" s="335" t="s">
        <v>6</v>
      </c>
      <c r="D1653" s="335" t="s">
        <v>48</v>
      </c>
      <c r="E1653" s="337" t="str">
        <f t="shared" si="1"/>
        <v>中山鋼業:ナベ</v>
      </c>
      <c r="F1653" s="338" t="s">
        <v>575</v>
      </c>
      <c r="G1653" s="339" t="str">
        <f t="shared" si="2"/>
        <v>中山鋼業:ナベ鋼ダライＡ</v>
      </c>
      <c r="H1653" s="340">
        <f t="shared" si="3"/>
        <v>34.7</v>
      </c>
      <c r="I1653" s="341">
        <v>-0.5</v>
      </c>
      <c r="J1653" s="332">
        <f>IFERROR(__xludf.DUMMYFUNCTION("IF(IF(COUNTIF(P$2:P1652, P1653)=0, """", INDEX(H$2:H1652,
MAX(FILTER(ROW(H$2:H1652) - ROW(H$2) + 1, P$2:P1652 = P1653))))=""単価"","""",
IF(COUNTIF(P$2:P1652, P1653)=0, """", INDEX(H$2:H1652,
MAX(FILTER(ROW(H$2:H1652) - ROW(H$2) + 1, P$2:P1652 = P1653)))))"),35.2)</f>
        <v>35.2</v>
      </c>
      <c r="N1653" s="335" t="str">
        <f>IF(MAXIFS('単価履歴'!$O:$O,'単価履歴'!$E:$E,E1653,'単価履歴'!$F:$F,F1653)=O1653,"●","")</f>
        <v/>
      </c>
      <c r="O1653" s="346">
        <v>45810.76851851852</v>
      </c>
      <c r="P1653" s="334" t="str">
        <f t="shared" si="4"/>
        <v>中山鋼業:ナベ鋼ダライＡ</v>
      </c>
    </row>
    <row r="1654" ht="15.75" customHeight="1">
      <c r="A1654" s="335" t="s">
        <v>2826</v>
      </c>
      <c r="B1654" s="336">
        <v>45811.0</v>
      </c>
      <c r="C1654" s="335" t="s">
        <v>7</v>
      </c>
      <c r="D1654" s="335" t="s">
        <v>49</v>
      </c>
      <c r="E1654" s="337" t="str">
        <f t="shared" si="1"/>
        <v>合同大阪:伊藤忠</v>
      </c>
      <c r="F1654" s="338" t="s">
        <v>1199</v>
      </c>
      <c r="G1654" s="339" t="str">
        <f t="shared" si="2"/>
        <v>合同大阪:伊藤忠ＨＳ１(単体H1/電特A/HS))</v>
      </c>
      <c r="H1654" s="340">
        <f t="shared" si="3"/>
        <v>43.3</v>
      </c>
      <c r="I1654" s="341">
        <v>-0.5</v>
      </c>
      <c r="J1654" s="332">
        <f>IFERROR(__xludf.DUMMYFUNCTION("IF(IF(COUNTIF(P$2:P1653, P1654)=0, """", INDEX(H$2:H1653,
MAX(FILTER(ROW(H$2:H1653) - ROW(H$2) + 1, P$2:P1653 = P1654))))=""単価"","""",
IF(COUNTIF(P$2:P1653, P1654)=0, """", INDEX(H$2:H1653,
MAX(FILTER(ROW(H$2:H1653) - ROW(H$2) + 1, P$2:P1653 = P1654)))))"),43.8)</f>
        <v>43.8</v>
      </c>
      <c r="N1654" s="335" t="str">
        <f>IF(MAXIFS('単価履歴'!$O:$O,'単価履歴'!$E:$E,E1654,'単価履歴'!$F:$F,F1654)=O1654,"●","")</f>
        <v/>
      </c>
      <c r="O1654" s="346">
        <v>45810.76881944445</v>
      </c>
      <c r="P1654" s="334" t="str">
        <f t="shared" si="4"/>
        <v>合同大阪:伊藤忠ＨＳ１(単体H1/電特A/HS))</v>
      </c>
    </row>
    <row r="1655" ht="15.75" customHeight="1">
      <c r="A1655" s="335" t="s">
        <v>2827</v>
      </c>
      <c r="B1655" s="336">
        <v>45811.0</v>
      </c>
      <c r="C1655" s="335" t="s">
        <v>7</v>
      </c>
      <c r="D1655" s="335" t="s">
        <v>49</v>
      </c>
      <c r="E1655" s="337" t="str">
        <f t="shared" si="1"/>
        <v>合同大阪:伊藤忠</v>
      </c>
      <c r="F1655" s="338" t="s">
        <v>101</v>
      </c>
      <c r="G1655" s="339" t="str">
        <f t="shared" si="2"/>
        <v>合同大阪:伊藤忠ＨＳ２</v>
      </c>
      <c r="H1655" s="340">
        <f t="shared" si="3"/>
        <v>42.8</v>
      </c>
      <c r="I1655" s="341">
        <v>-0.5</v>
      </c>
      <c r="J1655" s="332">
        <f>IFERROR(__xludf.DUMMYFUNCTION("IF(IF(COUNTIF(P$2:P1654, P1655)=0, """", INDEX(H$2:H1654,
MAX(FILTER(ROW(H$2:H1654) - ROW(H$2) + 1, P$2:P1654 = P1655))))=""単価"","""",
IF(COUNTIF(P$2:P1654, P1655)=0, """", INDEX(H$2:H1654,
MAX(FILTER(ROW(H$2:H1654) - ROW(H$2) + 1, P$2:P1654 = P1655)))))"),43.3)</f>
        <v>43.3</v>
      </c>
      <c r="N1655" s="335" t="str">
        <f>IF(MAXIFS('単価履歴'!$O:$O,'単価履歴'!$E:$E,E1655,'単価履歴'!$F:$F,F1655)=O1655,"●","")</f>
        <v/>
      </c>
      <c r="O1655" s="346">
        <v>45810.76881944445</v>
      </c>
      <c r="P1655" s="334" t="str">
        <f t="shared" si="4"/>
        <v>合同大阪:伊藤忠ＨＳ２</v>
      </c>
    </row>
    <row r="1656" ht="15.75" customHeight="1">
      <c r="A1656" s="335" t="s">
        <v>2828</v>
      </c>
      <c r="B1656" s="336">
        <v>45811.0</v>
      </c>
      <c r="C1656" s="335" t="s">
        <v>7</v>
      </c>
      <c r="D1656" s="335" t="s">
        <v>49</v>
      </c>
      <c r="E1656" s="337" t="str">
        <f t="shared" si="1"/>
        <v>合同大阪:伊藤忠</v>
      </c>
      <c r="F1656" s="338" t="s">
        <v>111</v>
      </c>
      <c r="G1656" s="339" t="str">
        <f t="shared" si="2"/>
        <v>合同大阪:伊藤忠Ｈ１(特A)</v>
      </c>
      <c r="H1656" s="340">
        <f t="shared" si="3"/>
        <v>43.3</v>
      </c>
      <c r="I1656" s="341">
        <v>-0.5</v>
      </c>
      <c r="J1656" s="332">
        <f>IFERROR(__xludf.DUMMYFUNCTION("IF(IF(COUNTIF(P$2:P1655, P1656)=0, """", INDEX(H$2:H1655,
MAX(FILTER(ROW(H$2:H1655) - ROW(H$2) + 1, P$2:P1655 = P1656))))=""単価"","""",
IF(COUNTIF(P$2:P1655, P1656)=0, """", INDEX(H$2:H1655,
MAX(FILTER(ROW(H$2:H1655) - ROW(H$2) + 1, P$2:P1655 = P1656)))))"),43.8)</f>
        <v>43.8</v>
      </c>
      <c r="N1656" s="335" t="str">
        <f>IF(MAXIFS('単価履歴'!$O:$O,'単価履歴'!$E:$E,E1656,'単価履歴'!$F:$F,F1656)=O1656,"●","")</f>
        <v/>
      </c>
      <c r="O1656" s="346">
        <v>45810.76881944445</v>
      </c>
      <c r="P1656" s="334" t="str">
        <f t="shared" si="4"/>
        <v>合同大阪:伊藤忠Ｈ１(特A)</v>
      </c>
    </row>
    <row r="1657" ht="15.75" customHeight="1">
      <c r="A1657" s="335" t="s">
        <v>2829</v>
      </c>
      <c r="B1657" s="336">
        <v>45811.0</v>
      </c>
      <c r="C1657" s="335" t="s">
        <v>7</v>
      </c>
      <c r="D1657" s="335" t="s">
        <v>49</v>
      </c>
      <c r="E1657" s="337" t="str">
        <f t="shared" si="1"/>
        <v>合同大阪:伊藤忠</v>
      </c>
      <c r="F1657" s="338" t="s">
        <v>116</v>
      </c>
      <c r="G1657" s="339" t="str">
        <f t="shared" si="2"/>
        <v>合同大阪:伊藤忠Ｈ２(特級)</v>
      </c>
      <c r="H1657" s="340">
        <f t="shared" si="3"/>
        <v>41.8</v>
      </c>
      <c r="I1657" s="341">
        <v>-0.5</v>
      </c>
      <c r="J1657" s="332">
        <f>IFERROR(__xludf.DUMMYFUNCTION("IF(IF(COUNTIF(P$2:P1656, P1657)=0, """", INDEX(H$2:H1656,
MAX(FILTER(ROW(H$2:H1656) - ROW(H$2) + 1, P$2:P1656 = P1657))))=""単価"","""",
IF(COUNTIF(P$2:P1656, P1657)=0, """", INDEX(H$2:H1656,
MAX(FILTER(ROW(H$2:H1656) - ROW(H$2) + 1, P$2:P1656 = P1657)))))"),42.3)</f>
        <v>42.3</v>
      </c>
      <c r="N1657" s="335" t="str">
        <f>IF(MAXIFS('単価履歴'!$O:$O,'単価履歴'!$E:$E,E1657,'単価履歴'!$F:$F,F1657)=O1657,"●","")</f>
        <v/>
      </c>
      <c r="O1657" s="346">
        <v>45810.76881944445</v>
      </c>
      <c r="P1657" s="334" t="str">
        <f t="shared" si="4"/>
        <v>合同大阪:伊藤忠Ｈ２(特級)</v>
      </c>
    </row>
    <row r="1658" ht="15.75" customHeight="1">
      <c r="A1658" s="335" t="s">
        <v>2830</v>
      </c>
      <c r="B1658" s="336">
        <v>45811.0</v>
      </c>
      <c r="C1658" s="335" t="s">
        <v>7</v>
      </c>
      <c r="D1658" s="335" t="s">
        <v>49</v>
      </c>
      <c r="E1658" s="337" t="str">
        <f t="shared" si="1"/>
        <v>合同大阪:伊藤忠</v>
      </c>
      <c r="F1658" s="338" t="s">
        <v>119</v>
      </c>
      <c r="G1658" s="339" t="str">
        <f t="shared" si="2"/>
        <v>合同大阪:伊藤忠Ｈ３(1級)</v>
      </c>
      <c r="H1658" s="340">
        <f t="shared" si="3"/>
        <v>41.3</v>
      </c>
      <c r="I1658" s="341">
        <v>-0.5</v>
      </c>
      <c r="J1658" s="332">
        <f>IFERROR(__xludf.DUMMYFUNCTION("IF(IF(COUNTIF(P$2:P1657, P1658)=0, """", INDEX(H$2:H1657,
MAX(FILTER(ROW(H$2:H1657) - ROW(H$2) + 1, P$2:P1657 = P1658))))=""単価"","""",
IF(COUNTIF(P$2:P1657, P1658)=0, """", INDEX(H$2:H1657,
MAX(FILTER(ROW(H$2:H1657) - ROW(H$2) + 1, P$2:P1657 = P1658)))))"),41.8)</f>
        <v>41.8</v>
      </c>
      <c r="N1658" s="335" t="str">
        <f>IF(MAXIFS('単価履歴'!$O:$O,'単価履歴'!$E:$E,E1658,'単価履歴'!$F:$F,F1658)=O1658,"●","")</f>
        <v/>
      </c>
      <c r="O1658" s="346">
        <v>45810.76881944445</v>
      </c>
      <c r="P1658" s="334" t="str">
        <f t="shared" si="4"/>
        <v>合同大阪:伊藤忠Ｈ３(1級)</v>
      </c>
    </row>
    <row r="1659" ht="15.75" customHeight="1">
      <c r="A1659" s="335" t="s">
        <v>2831</v>
      </c>
      <c r="B1659" s="336">
        <v>45811.0</v>
      </c>
      <c r="C1659" s="335" t="s">
        <v>7</v>
      </c>
      <c r="D1659" s="335" t="s">
        <v>49</v>
      </c>
      <c r="E1659" s="337" t="str">
        <f t="shared" si="1"/>
        <v>合同大阪:伊藤忠</v>
      </c>
      <c r="F1659" s="338" t="s">
        <v>122</v>
      </c>
      <c r="G1659" s="339" t="str">
        <f t="shared" si="2"/>
        <v>合同大阪:伊藤忠Ｌ１(2級)</v>
      </c>
      <c r="H1659" s="340">
        <f t="shared" si="3"/>
        <v>40.3</v>
      </c>
      <c r="I1659" s="341">
        <v>-0.5</v>
      </c>
      <c r="J1659" s="332">
        <f>IFERROR(__xludf.DUMMYFUNCTION("IF(IF(COUNTIF(P$2:P1658, P1659)=0, """", INDEX(H$2:H1658,
MAX(FILTER(ROW(H$2:H1658) - ROW(H$2) + 1, P$2:P1658 = P1659))))=""単価"","""",
IF(COUNTIF(P$2:P1658, P1659)=0, """", INDEX(H$2:H1658,
MAX(FILTER(ROW(H$2:H1658) - ROW(H$2) + 1, P$2:P1658 = P1659)))))"),40.8)</f>
        <v>40.8</v>
      </c>
      <c r="N1659" s="335" t="str">
        <f>IF(MAXIFS('単価履歴'!$O:$O,'単価履歴'!$E:$E,E1659,'単価履歴'!$F:$F,F1659)=O1659,"●","")</f>
        <v/>
      </c>
      <c r="O1659" s="346">
        <v>45810.76881944445</v>
      </c>
      <c r="P1659" s="334" t="str">
        <f t="shared" si="4"/>
        <v>合同大阪:伊藤忠Ｌ１(2級)</v>
      </c>
    </row>
    <row r="1660" ht="15.75" customHeight="1">
      <c r="A1660" s="335" t="s">
        <v>2832</v>
      </c>
      <c r="B1660" s="336">
        <v>45811.0</v>
      </c>
      <c r="C1660" s="335" t="s">
        <v>7</v>
      </c>
      <c r="D1660" s="335" t="s">
        <v>49</v>
      </c>
      <c r="E1660" s="337" t="str">
        <f t="shared" si="1"/>
        <v>合同大阪:伊藤忠</v>
      </c>
      <c r="F1660" s="338" t="s">
        <v>130</v>
      </c>
      <c r="G1660" s="339" t="str">
        <f t="shared" si="2"/>
        <v>合同大阪:伊藤忠新断Ａ</v>
      </c>
      <c r="H1660" s="340">
        <f t="shared" si="3"/>
        <v>43.8</v>
      </c>
      <c r="I1660" s="341">
        <v>-0.5</v>
      </c>
      <c r="J1660" s="332">
        <f>IFERROR(__xludf.DUMMYFUNCTION("IF(IF(COUNTIF(P$2:P1659, P1660)=0, """", INDEX(H$2:H1659,
MAX(FILTER(ROW(H$2:H1659) - ROW(H$2) + 1, P$2:P1659 = P1660))))=""単価"","""",
IF(COUNTIF(P$2:P1659, P1660)=0, """", INDEX(H$2:H1659,
MAX(FILTER(ROW(H$2:H1659) - ROW(H$2) + 1, P$2:P1659 = P1660)))))"),44.3)</f>
        <v>44.3</v>
      </c>
      <c r="N1660" s="335" t="str">
        <f>IF(MAXIFS('単価履歴'!$O:$O,'単価履歴'!$E:$E,E1660,'単価履歴'!$F:$F,F1660)=O1660,"●","")</f>
        <v/>
      </c>
      <c r="O1660" s="346">
        <v>45810.76881944445</v>
      </c>
      <c r="P1660" s="334" t="str">
        <f t="shared" si="4"/>
        <v>合同大阪:伊藤忠新断Ａ</v>
      </c>
    </row>
    <row r="1661" ht="15.75" customHeight="1">
      <c r="A1661" s="335" t="s">
        <v>2833</v>
      </c>
      <c r="B1661" s="336">
        <v>45811.0</v>
      </c>
      <c r="C1661" s="335" t="s">
        <v>7</v>
      </c>
      <c r="D1661" s="335" t="s">
        <v>49</v>
      </c>
      <c r="E1661" s="337" t="str">
        <f t="shared" si="1"/>
        <v>合同大阪:伊藤忠</v>
      </c>
      <c r="F1661" s="338" t="s">
        <v>131</v>
      </c>
      <c r="G1661" s="339" t="str">
        <f t="shared" si="2"/>
        <v>合同大阪:伊藤忠新断Ｂ</v>
      </c>
      <c r="H1661" s="340">
        <f t="shared" si="3"/>
        <v>43.3</v>
      </c>
      <c r="I1661" s="341">
        <v>-0.5</v>
      </c>
      <c r="J1661" s="332">
        <f>IFERROR(__xludf.DUMMYFUNCTION("IF(IF(COUNTIF(P$2:P1660, P1661)=0, """", INDEX(H$2:H1660,
MAX(FILTER(ROW(H$2:H1660) - ROW(H$2) + 1, P$2:P1660 = P1661))))=""単価"","""",
IF(COUNTIF(P$2:P1660, P1661)=0, """", INDEX(H$2:H1660,
MAX(FILTER(ROW(H$2:H1660) - ROW(H$2) + 1, P$2:P1660 = P1661)))))"),43.8)</f>
        <v>43.8</v>
      </c>
      <c r="N1661" s="335" t="str">
        <f>IF(MAXIFS('単価履歴'!$O:$O,'単価履歴'!$E:$E,E1661,'単価履歴'!$F:$F,F1661)=O1661,"●","")</f>
        <v/>
      </c>
      <c r="O1661" s="346">
        <v>45810.76881944445</v>
      </c>
      <c r="P1661" s="334" t="str">
        <f t="shared" si="4"/>
        <v>合同大阪:伊藤忠新断Ｂ</v>
      </c>
    </row>
    <row r="1662" ht="15.75" customHeight="1">
      <c r="A1662" s="335" t="s">
        <v>2834</v>
      </c>
      <c r="B1662" s="336">
        <v>45811.0</v>
      </c>
      <c r="C1662" s="335" t="s">
        <v>7</v>
      </c>
      <c r="D1662" s="335" t="s">
        <v>49</v>
      </c>
      <c r="E1662" s="337" t="str">
        <f t="shared" si="1"/>
        <v>合同大阪:伊藤忠</v>
      </c>
      <c r="F1662" s="338" t="s">
        <v>575</v>
      </c>
      <c r="G1662" s="339" t="str">
        <f t="shared" si="2"/>
        <v>合同大阪:伊藤忠鋼ダライＡ</v>
      </c>
      <c r="H1662" s="340">
        <f t="shared" si="3"/>
        <v>32.3</v>
      </c>
      <c r="I1662" s="341">
        <v>-0.5</v>
      </c>
      <c r="J1662" s="332">
        <f>IFERROR(__xludf.DUMMYFUNCTION("IF(IF(COUNTIF(P$2:P1661, P1662)=0, """", INDEX(H$2:H1661,
MAX(FILTER(ROW(H$2:H1661) - ROW(H$2) + 1, P$2:P1661 = P1662))))=""単価"","""",
IF(COUNTIF(P$2:P1661, P1662)=0, """", INDEX(H$2:H1661,
MAX(FILTER(ROW(H$2:H1661) - ROW(H$2) + 1, P$2:P1661 = P1662)))))"),32.8)</f>
        <v>32.8</v>
      </c>
      <c r="N1662" s="335" t="str">
        <f>IF(MAXIFS('単価履歴'!$O:$O,'単価履歴'!$E:$E,E1662,'単価履歴'!$F:$F,F1662)=O1662,"●","")</f>
        <v/>
      </c>
      <c r="O1662" s="346">
        <v>45810.76881944445</v>
      </c>
      <c r="P1662" s="334" t="str">
        <f t="shared" si="4"/>
        <v>合同大阪:伊藤忠鋼ダライＡ</v>
      </c>
    </row>
    <row r="1663" ht="15.75" customHeight="1">
      <c r="A1663" s="335" t="s">
        <v>2835</v>
      </c>
      <c r="B1663" s="336">
        <v>45811.0</v>
      </c>
      <c r="C1663" s="335" t="s">
        <v>7</v>
      </c>
      <c r="D1663" s="335" t="s">
        <v>49</v>
      </c>
      <c r="E1663" s="337" t="str">
        <f t="shared" si="1"/>
        <v>合同大阪:伊藤忠</v>
      </c>
      <c r="F1663" s="338" t="s">
        <v>576</v>
      </c>
      <c r="G1663" s="339" t="str">
        <f t="shared" si="2"/>
        <v>合同大阪:伊藤忠鋼ダライＢ</v>
      </c>
      <c r="H1663" s="340">
        <f t="shared" si="3"/>
        <v>31.8</v>
      </c>
      <c r="I1663" s="341">
        <v>-0.5</v>
      </c>
      <c r="J1663" s="332">
        <f>IFERROR(__xludf.DUMMYFUNCTION("IF(IF(COUNTIF(P$2:P1662, P1663)=0, """", INDEX(H$2:H1662,
MAX(FILTER(ROW(H$2:H1662) - ROW(H$2) + 1, P$2:P1662 = P1663))))=""単価"","""",
IF(COUNTIF(P$2:P1662, P1663)=0, """", INDEX(H$2:H1662,
MAX(FILTER(ROW(H$2:H1662) - ROW(H$2) + 1, P$2:P1662 = P1663)))))"),32.3)</f>
        <v>32.3</v>
      </c>
      <c r="N1663" s="335" t="str">
        <f>IF(MAXIFS('単価履歴'!$O:$O,'単価履歴'!$E:$E,E1663,'単価履歴'!$F:$F,F1663)=O1663,"●","")</f>
        <v/>
      </c>
      <c r="O1663" s="346">
        <v>45810.76881944445</v>
      </c>
      <c r="P1663" s="334" t="str">
        <f t="shared" si="4"/>
        <v>合同大阪:伊藤忠鋼ダライＢ</v>
      </c>
    </row>
    <row r="1664" ht="15.75" customHeight="1">
      <c r="A1664" s="335" t="s">
        <v>2836</v>
      </c>
      <c r="B1664" s="336">
        <v>45811.0</v>
      </c>
      <c r="C1664" s="335" t="s">
        <v>9</v>
      </c>
      <c r="D1664" s="335" t="s">
        <v>51</v>
      </c>
      <c r="E1664" s="337" t="str">
        <f t="shared" si="1"/>
        <v>大鉄　堺:大鉄堺</v>
      </c>
      <c r="F1664" s="338" t="s">
        <v>111</v>
      </c>
      <c r="G1664" s="339" t="str">
        <f t="shared" si="2"/>
        <v>大鉄　堺:大鉄堺Ｈ１(特A)</v>
      </c>
      <c r="H1664" s="340">
        <f t="shared" si="3"/>
        <v>44</v>
      </c>
      <c r="I1664" s="341">
        <v>-0.5</v>
      </c>
      <c r="J1664" s="332">
        <f>IFERROR(__xludf.DUMMYFUNCTION("IF(IF(COUNTIF(P$2:P1663, P1664)=0, """", INDEX(H$2:H1663,
MAX(FILTER(ROW(H$2:H1663) - ROW(H$2) + 1, P$2:P1663 = P1664))))=""単価"","""",
IF(COUNTIF(P$2:P1663, P1664)=0, """", INDEX(H$2:H1663,
MAX(FILTER(ROW(H$2:H1663) - ROW(H$2) + 1, P$2:P1663 = P1664)))))"),44.5)</f>
        <v>44.5</v>
      </c>
      <c r="N1664" s="335" t="str">
        <f>IF(MAXIFS('単価履歴'!$O:$O,'単価履歴'!$E:$E,E1664,'単価履歴'!$F:$F,F1664)=O1664,"●","")</f>
        <v/>
      </c>
      <c r="O1664" s="346">
        <v>45810.76907407407</v>
      </c>
      <c r="P1664" s="334" t="str">
        <f t="shared" si="4"/>
        <v>大鉄　堺:大鉄堺Ｈ１(特A)</v>
      </c>
    </row>
    <row r="1665" ht="15.75" customHeight="1">
      <c r="A1665" s="335" t="s">
        <v>2837</v>
      </c>
      <c r="B1665" s="336">
        <v>45811.0</v>
      </c>
      <c r="C1665" s="335" t="s">
        <v>9</v>
      </c>
      <c r="D1665" s="335" t="s">
        <v>51</v>
      </c>
      <c r="E1665" s="337" t="str">
        <f t="shared" si="1"/>
        <v>大鉄　堺:大鉄堺</v>
      </c>
      <c r="F1665" s="338" t="s">
        <v>116</v>
      </c>
      <c r="G1665" s="339" t="str">
        <f t="shared" si="2"/>
        <v>大鉄　堺:大鉄堺Ｈ２(特級)</v>
      </c>
      <c r="H1665" s="340">
        <f t="shared" si="3"/>
        <v>41</v>
      </c>
      <c r="I1665" s="341">
        <v>-0.5</v>
      </c>
      <c r="J1665" s="332">
        <f>IFERROR(__xludf.DUMMYFUNCTION("IF(IF(COUNTIF(P$2:P1664, P1665)=0, """", INDEX(H$2:H1664,
MAX(FILTER(ROW(H$2:H1664) - ROW(H$2) + 1, P$2:P1664 = P1665))))=""単価"","""",
IF(COUNTIF(P$2:P1664, P1665)=0, """", INDEX(H$2:H1664,
MAX(FILTER(ROW(H$2:H1664) - ROW(H$2) + 1, P$2:P1664 = P1665)))))"),41.5)</f>
        <v>41.5</v>
      </c>
      <c r="N1665" s="335" t="str">
        <f>IF(MAXIFS('単価履歴'!$O:$O,'単価履歴'!$E:$E,E1665,'単価履歴'!$F:$F,F1665)=O1665,"●","")</f>
        <v/>
      </c>
      <c r="O1665" s="346">
        <v>45810.76907407407</v>
      </c>
      <c r="P1665" s="334" t="str">
        <f t="shared" si="4"/>
        <v>大鉄　堺:大鉄堺Ｈ２(特級)</v>
      </c>
    </row>
    <row r="1666" ht="15.75" customHeight="1">
      <c r="A1666" s="335" t="s">
        <v>2838</v>
      </c>
      <c r="B1666" s="336">
        <v>45811.0</v>
      </c>
      <c r="C1666" s="335" t="s">
        <v>9</v>
      </c>
      <c r="D1666" s="335" t="s">
        <v>51</v>
      </c>
      <c r="E1666" s="337" t="str">
        <f t="shared" si="1"/>
        <v>大鉄　堺:大鉄堺</v>
      </c>
      <c r="F1666" s="338" t="s">
        <v>1237</v>
      </c>
      <c r="G1666" s="339" t="str">
        <f t="shared" si="2"/>
        <v>大鉄　堺:大鉄堺ＪＨ１(H2T山口)鍛造ﾊﾞﾘ</v>
      </c>
      <c r="H1666" s="340">
        <f t="shared" si="3"/>
        <v>43</v>
      </c>
      <c r="I1666" s="341">
        <v>-0.5</v>
      </c>
      <c r="J1666" s="332">
        <f>IFERROR(__xludf.DUMMYFUNCTION("IF(IF(COUNTIF(P$2:P1665, P1666)=0, """", INDEX(H$2:H1665,
MAX(FILTER(ROW(H$2:H1665) - ROW(H$2) + 1, P$2:P1665 = P1666))))=""単価"","""",
IF(COUNTIF(P$2:P1665, P1666)=0, """", INDEX(H$2:H1665,
MAX(FILTER(ROW(H$2:H1665) - ROW(H$2) + 1, P$2:P1665 = P1666)))))"),43.5)</f>
        <v>43.5</v>
      </c>
      <c r="N1666" s="335" t="str">
        <f>IF(MAXIFS('単価履歴'!$O:$O,'単価履歴'!$E:$E,E1666,'単価履歴'!$F:$F,F1666)=O1666,"●","")</f>
        <v/>
      </c>
      <c r="O1666" s="346">
        <v>45810.76907407407</v>
      </c>
      <c r="P1666" s="334" t="str">
        <f t="shared" si="4"/>
        <v>大鉄　堺:大鉄堺ＪＨ１(H2T山口)鍛造ﾊﾞﾘ</v>
      </c>
    </row>
    <row r="1667" ht="15.75" customHeight="1">
      <c r="A1667" s="335" t="s">
        <v>2839</v>
      </c>
      <c r="B1667" s="336">
        <v>45811.0</v>
      </c>
      <c r="C1667" s="335" t="s">
        <v>9</v>
      </c>
      <c r="D1667" s="335" t="s">
        <v>51</v>
      </c>
      <c r="E1667" s="337" t="str">
        <f t="shared" si="1"/>
        <v>大鉄　堺:大鉄堺</v>
      </c>
      <c r="F1667" s="338" t="s">
        <v>119</v>
      </c>
      <c r="G1667" s="339" t="str">
        <f t="shared" si="2"/>
        <v>大鉄　堺:大鉄堺Ｈ３(1級)</v>
      </c>
      <c r="H1667" s="340">
        <f t="shared" si="3"/>
        <v>40.5</v>
      </c>
      <c r="I1667" s="341">
        <v>-0.5</v>
      </c>
      <c r="J1667" s="332">
        <f>IFERROR(__xludf.DUMMYFUNCTION("IF(IF(COUNTIF(P$2:P1666, P1667)=0, """", INDEX(H$2:H1666,
MAX(FILTER(ROW(H$2:H1666) - ROW(H$2) + 1, P$2:P1666 = P1667))))=""単価"","""",
IF(COUNTIF(P$2:P1666, P1667)=0, """", INDEX(H$2:H1666,
MAX(FILTER(ROW(H$2:H1666) - ROW(H$2) + 1, P$2:P1666 = P1667)))))"),41.0)</f>
        <v>41</v>
      </c>
      <c r="N1667" s="335" t="str">
        <f>IF(MAXIFS('単価履歴'!$O:$O,'単価履歴'!$E:$E,E1667,'単価履歴'!$F:$F,F1667)=O1667,"●","")</f>
        <v/>
      </c>
      <c r="O1667" s="346">
        <v>45810.76907407407</v>
      </c>
      <c r="P1667" s="334" t="str">
        <f t="shared" si="4"/>
        <v>大鉄　堺:大鉄堺Ｈ３(1級)</v>
      </c>
    </row>
    <row r="1668" ht="15.75" customHeight="1">
      <c r="A1668" s="335" t="s">
        <v>2840</v>
      </c>
      <c r="B1668" s="336">
        <v>45811.0</v>
      </c>
      <c r="C1668" s="335" t="s">
        <v>9</v>
      </c>
      <c r="D1668" s="335" t="s">
        <v>51</v>
      </c>
      <c r="E1668" s="337" t="str">
        <f t="shared" si="1"/>
        <v>大鉄　堺:大鉄堺</v>
      </c>
      <c r="F1668" s="338" t="s">
        <v>122</v>
      </c>
      <c r="G1668" s="339" t="str">
        <f t="shared" si="2"/>
        <v>大鉄　堺:大鉄堺Ｌ１(2級)</v>
      </c>
      <c r="H1668" s="340">
        <f t="shared" si="3"/>
        <v>40</v>
      </c>
      <c r="I1668" s="341">
        <v>-0.5</v>
      </c>
      <c r="J1668" s="332">
        <f>IFERROR(__xludf.DUMMYFUNCTION("IF(IF(COUNTIF(P$2:P1667, P1668)=0, """", INDEX(H$2:H1667,
MAX(FILTER(ROW(H$2:H1667) - ROW(H$2) + 1, P$2:P1667 = P1668))))=""単価"","""",
IF(COUNTIF(P$2:P1667, P1668)=0, """", INDEX(H$2:H1667,
MAX(FILTER(ROW(H$2:H1667) - ROW(H$2) + 1, P$2:P1667 = P1668)))))"),40.5)</f>
        <v>40.5</v>
      </c>
      <c r="N1668" s="335" t="str">
        <f>IF(MAXIFS('単価履歴'!$O:$O,'単価履歴'!$E:$E,E1668,'単価履歴'!$F:$F,F1668)=O1668,"●","")</f>
        <v/>
      </c>
      <c r="O1668" s="346">
        <v>45810.76907407407</v>
      </c>
      <c r="P1668" s="334" t="str">
        <f t="shared" si="4"/>
        <v>大鉄　堺:大鉄堺Ｌ１(2級)</v>
      </c>
    </row>
    <row r="1669" ht="15.75" customHeight="1">
      <c r="A1669" s="335" t="s">
        <v>2841</v>
      </c>
      <c r="B1669" s="336">
        <v>45811.0</v>
      </c>
      <c r="C1669" s="335" t="s">
        <v>9</v>
      </c>
      <c r="D1669" s="335" t="s">
        <v>51</v>
      </c>
      <c r="E1669" s="337" t="str">
        <f t="shared" si="1"/>
        <v>大鉄　堺:大鉄堺</v>
      </c>
      <c r="F1669" s="338" t="s">
        <v>130</v>
      </c>
      <c r="G1669" s="339" t="str">
        <f t="shared" si="2"/>
        <v>大鉄　堺:大鉄堺新断Ａ</v>
      </c>
      <c r="H1669" s="340">
        <f t="shared" si="3"/>
        <v>27.5</v>
      </c>
      <c r="I1669" s="341">
        <v>-0.5</v>
      </c>
      <c r="J1669" s="332">
        <f>IFERROR(__xludf.DUMMYFUNCTION("IF(IF(COUNTIF(P$2:P1668, P1669)=0, """", INDEX(H$2:H1668,
MAX(FILTER(ROW(H$2:H1668) - ROW(H$2) + 1, P$2:P1668 = P1669))))=""単価"","""",
IF(COUNTIF(P$2:P1668, P1669)=0, """", INDEX(H$2:H1668,
MAX(FILTER(ROW(H$2:H1668) - ROW(H$2) + 1, P$2:P1668 = P1669)))))"),28.0)</f>
        <v>28</v>
      </c>
      <c r="N1669" s="335" t="str">
        <f>IF(MAXIFS('単価履歴'!$O:$O,'単価履歴'!$E:$E,E1669,'単価履歴'!$F:$F,F1669)=O1669,"●","")</f>
        <v/>
      </c>
      <c r="O1669" s="346">
        <v>45810.76907407407</v>
      </c>
      <c r="P1669" s="334" t="str">
        <f t="shared" si="4"/>
        <v>大鉄　堺:大鉄堺新断Ａ</v>
      </c>
    </row>
    <row r="1670" ht="15.75" customHeight="1">
      <c r="A1670" s="335" t="s">
        <v>2842</v>
      </c>
      <c r="B1670" s="336">
        <v>45811.0</v>
      </c>
      <c r="C1670" s="335" t="s">
        <v>9</v>
      </c>
      <c r="D1670" s="335" t="s">
        <v>51</v>
      </c>
      <c r="E1670" s="337" t="str">
        <f t="shared" si="1"/>
        <v>大鉄　堺:大鉄堺</v>
      </c>
      <c r="F1670" s="338" t="s">
        <v>131</v>
      </c>
      <c r="G1670" s="339" t="str">
        <f t="shared" si="2"/>
        <v>大鉄　堺:大鉄堺新断Ｂ</v>
      </c>
      <c r="H1670" s="340">
        <f t="shared" si="3"/>
        <v>27</v>
      </c>
      <c r="I1670" s="341">
        <v>-0.5</v>
      </c>
      <c r="J1670" s="332">
        <f>IFERROR(__xludf.DUMMYFUNCTION("IF(IF(COUNTIF(P$2:P1669, P1670)=0, """", INDEX(H$2:H1669,
MAX(FILTER(ROW(H$2:H1669) - ROW(H$2) + 1, P$2:P1669 = P1670))))=""単価"","""",
IF(COUNTIF(P$2:P1669, P1670)=0, """", INDEX(H$2:H1669,
MAX(FILTER(ROW(H$2:H1669) - ROW(H$2) + 1, P$2:P1669 = P1670)))))"),27.5)</f>
        <v>27.5</v>
      </c>
      <c r="N1670" s="335" t="str">
        <f>IF(MAXIFS('単価履歴'!$O:$O,'単価履歴'!$E:$E,E1670,'単価履歴'!$F:$F,F1670)=O1670,"●","")</f>
        <v/>
      </c>
      <c r="O1670" s="346">
        <v>45810.76907407407</v>
      </c>
      <c r="P1670" s="334" t="str">
        <f t="shared" si="4"/>
        <v>大鉄　堺:大鉄堺新断Ｂ</v>
      </c>
    </row>
    <row r="1671" ht="15.75" customHeight="1">
      <c r="A1671" s="335" t="s">
        <v>2843</v>
      </c>
      <c r="B1671" s="336">
        <v>45811.0</v>
      </c>
      <c r="C1671" s="335" t="s">
        <v>9</v>
      </c>
      <c r="D1671" s="335" t="s">
        <v>51</v>
      </c>
      <c r="E1671" s="337" t="str">
        <f t="shared" si="1"/>
        <v>大鉄　堺:大鉄堺</v>
      </c>
      <c r="F1671" s="338" t="s">
        <v>575</v>
      </c>
      <c r="G1671" s="339" t="str">
        <f t="shared" si="2"/>
        <v>大鉄　堺:大鉄堺鋼ダライＡ</v>
      </c>
      <c r="H1671" s="340">
        <f t="shared" si="3"/>
        <v>28</v>
      </c>
      <c r="I1671" s="341">
        <v>-0.5</v>
      </c>
      <c r="J1671" s="332">
        <f>IFERROR(__xludf.DUMMYFUNCTION("IF(IF(COUNTIF(P$2:P1670, P1671)=0, """", INDEX(H$2:H1670,
MAX(FILTER(ROW(H$2:H1670) - ROW(H$2) + 1, P$2:P1670 = P1671))))=""単価"","""",
IF(COUNTIF(P$2:P1670, P1671)=0, """", INDEX(H$2:H1670,
MAX(FILTER(ROW(H$2:H1670) - ROW(H$2) + 1, P$2:P1670 = P1671)))))"),28.5)</f>
        <v>28.5</v>
      </c>
      <c r="N1671" s="335" t="str">
        <f>IF(MAXIFS('単価履歴'!$O:$O,'単価履歴'!$E:$E,E1671,'単価履歴'!$F:$F,F1671)=O1671,"●","")</f>
        <v/>
      </c>
      <c r="O1671" s="346">
        <v>45810.76907407407</v>
      </c>
      <c r="P1671" s="334" t="str">
        <f t="shared" si="4"/>
        <v>大鉄　堺:大鉄堺鋼ダライＡ</v>
      </c>
    </row>
    <row r="1672" ht="15.75" customHeight="1">
      <c r="A1672" s="335" t="s">
        <v>2844</v>
      </c>
      <c r="B1672" s="336">
        <v>45811.0</v>
      </c>
      <c r="C1672" s="335" t="s">
        <v>9</v>
      </c>
      <c r="D1672" s="335" t="s">
        <v>51</v>
      </c>
      <c r="E1672" s="337" t="str">
        <f t="shared" si="1"/>
        <v>大鉄　堺:大鉄堺</v>
      </c>
      <c r="F1672" s="338" t="s">
        <v>576</v>
      </c>
      <c r="G1672" s="339" t="str">
        <f t="shared" si="2"/>
        <v>大鉄　堺:大鉄堺鋼ダライＢ</v>
      </c>
      <c r="H1672" s="340">
        <f t="shared" si="3"/>
        <v>28</v>
      </c>
      <c r="I1672" s="341">
        <v>-0.5</v>
      </c>
      <c r="J1672" s="332">
        <f>IFERROR(__xludf.DUMMYFUNCTION("IF(IF(COUNTIF(P$2:P1671, P1672)=0, """", INDEX(H$2:H1671,
MAX(FILTER(ROW(H$2:H1671) - ROW(H$2) + 1, P$2:P1671 = P1672))))=""単価"","""",
IF(COUNTIF(P$2:P1671, P1672)=0, """", INDEX(H$2:H1671,
MAX(FILTER(ROW(H$2:H1671) - ROW(H$2) + 1, P$2:P1671 = P1672)))))"),28.5)</f>
        <v>28.5</v>
      </c>
      <c r="N1672" s="335" t="str">
        <f>IF(MAXIFS('単価履歴'!$O:$O,'単価履歴'!$E:$E,E1672,'単価履歴'!$F:$F,F1672)=O1672,"●","")</f>
        <v/>
      </c>
      <c r="O1672" s="346">
        <v>45810.76907407407</v>
      </c>
      <c r="P1672" s="334" t="str">
        <f t="shared" si="4"/>
        <v>大鉄　堺:大鉄堺鋼ダライＢ</v>
      </c>
    </row>
    <row r="1673" ht="15.75" customHeight="1">
      <c r="A1673" s="335" t="s">
        <v>2845</v>
      </c>
      <c r="B1673" s="336">
        <v>45811.0</v>
      </c>
      <c r="C1673" s="335" t="s">
        <v>9</v>
      </c>
      <c r="D1673" s="335" t="s">
        <v>51</v>
      </c>
      <c r="E1673" s="337" t="str">
        <f t="shared" si="1"/>
        <v>大鉄　堺:大鉄堺</v>
      </c>
      <c r="F1673" s="338" t="s">
        <v>145</v>
      </c>
      <c r="G1673" s="339" t="str">
        <f t="shared" si="2"/>
        <v>大鉄　堺:大鉄堺シュレＡ</v>
      </c>
      <c r="H1673" s="340">
        <f t="shared" si="3"/>
        <v>30</v>
      </c>
      <c r="I1673" s="341">
        <v>-0.5</v>
      </c>
      <c r="J1673" s="332">
        <f>IFERROR(__xludf.DUMMYFUNCTION("IF(IF(COUNTIF(P$2:P1672, P1673)=0, """", INDEX(H$2:H1672,
MAX(FILTER(ROW(H$2:H1672) - ROW(H$2) + 1, P$2:P1672 = P1673))))=""単価"","""",
IF(COUNTIF(P$2:P1672, P1673)=0, """", INDEX(H$2:H1672,
MAX(FILTER(ROW(H$2:H1672) - ROW(H$2) + 1, P$2:P1672 = P1673)))))"),30.5)</f>
        <v>30.5</v>
      </c>
      <c r="N1673" s="335" t="str">
        <f>IF(MAXIFS('単価履歴'!$O:$O,'単価履歴'!$E:$E,E1673,'単価履歴'!$F:$F,F1673)=O1673,"●","")</f>
        <v/>
      </c>
      <c r="O1673" s="346">
        <v>45810.76907407407</v>
      </c>
      <c r="P1673" s="334" t="str">
        <f t="shared" si="4"/>
        <v>大鉄　堺:大鉄堺シュレＡ</v>
      </c>
    </row>
    <row r="1674" ht="15.75" customHeight="1">
      <c r="A1674" s="335" t="s">
        <v>2846</v>
      </c>
      <c r="B1674" s="336">
        <v>45811.0</v>
      </c>
      <c r="C1674" s="335" t="s">
        <v>9</v>
      </c>
      <c r="D1674" s="335" t="s">
        <v>51</v>
      </c>
      <c r="E1674" s="337" t="str">
        <f t="shared" si="1"/>
        <v>大鉄　堺:大鉄堺</v>
      </c>
      <c r="F1674" s="338" t="s">
        <v>149</v>
      </c>
      <c r="G1674" s="339" t="str">
        <f t="shared" si="2"/>
        <v>大鉄　堺:大鉄堺シュレＢ</v>
      </c>
      <c r="H1674" s="340">
        <f t="shared" si="3"/>
        <v>29.3</v>
      </c>
      <c r="I1674" s="341">
        <v>-0.5</v>
      </c>
      <c r="J1674" s="332">
        <f>IFERROR(__xludf.DUMMYFUNCTION("IF(IF(COUNTIF(P$2:P1673, P1674)=0, """", INDEX(H$2:H1673,
MAX(FILTER(ROW(H$2:H1673) - ROW(H$2) + 1, P$2:P1673 = P1674))))=""単価"","""",
IF(COUNTIF(P$2:P1673, P1674)=0, """", INDEX(H$2:H1673,
MAX(FILTER(ROW(H$2:H1673) - ROW(H$2) + 1, P$2:P1673 = P1674)))))"),29.8)</f>
        <v>29.8</v>
      </c>
      <c r="N1674" s="335" t="str">
        <f>IF(MAXIFS('単価履歴'!$O:$O,'単価履歴'!$E:$E,E1674,'単価履歴'!$F:$F,F1674)=O1674,"●","")</f>
        <v/>
      </c>
      <c r="O1674" s="346">
        <v>45810.76907407407</v>
      </c>
      <c r="P1674" s="334" t="str">
        <f t="shared" si="4"/>
        <v>大鉄　堺:大鉄堺シュレＢ</v>
      </c>
    </row>
    <row r="1675" ht="15.75" customHeight="1">
      <c r="A1675" s="335" t="s">
        <v>2847</v>
      </c>
      <c r="B1675" s="336">
        <v>45811.0</v>
      </c>
      <c r="C1675" s="335" t="s">
        <v>9</v>
      </c>
      <c r="D1675" s="335" t="s">
        <v>51</v>
      </c>
      <c r="E1675" s="337" t="str">
        <f t="shared" si="1"/>
        <v>大鉄　堺:大鉄堺</v>
      </c>
      <c r="F1675" s="338" t="s">
        <v>151</v>
      </c>
      <c r="G1675" s="339" t="str">
        <f t="shared" si="2"/>
        <v>大鉄　堺:大鉄堺シュレＣ</v>
      </c>
      <c r="H1675" s="340">
        <f t="shared" si="3"/>
        <v>27.9</v>
      </c>
      <c r="I1675" s="341">
        <v>-0.5</v>
      </c>
      <c r="J1675" s="332">
        <f>IFERROR(__xludf.DUMMYFUNCTION("IF(IF(COUNTIF(P$2:P1674, P1675)=0, """", INDEX(H$2:H1674,
MAX(FILTER(ROW(H$2:H1674) - ROW(H$2) + 1, P$2:P1674 = P1675))))=""単価"","""",
IF(COUNTIF(P$2:P1674, P1675)=0, """", INDEX(H$2:H1674,
MAX(FILTER(ROW(H$2:H1674) - ROW(H$2) + 1, P$2:P1674 = P1675)))))"),28.4)</f>
        <v>28.4</v>
      </c>
      <c r="N1675" s="335" t="str">
        <f>IF(MAXIFS('単価履歴'!$O:$O,'単価履歴'!$E:$E,E1675,'単価履歴'!$F:$F,F1675)=O1675,"●","")</f>
        <v/>
      </c>
      <c r="O1675" s="346">
        <v>45810.76907407407</v>
      </c>
      <c r="P1675" s="334" t="str">
        <f t="shared" si="4"/>
        <v>大鉄　堺:大鉄堺シュレＣ</v>
      </c>
    </row>
    <row r="1676" ht="15.75" customHeight="1">
      <c r="A1676" s="335" t="s">
        <v>2848</v>
      </c>
      <c r="B1676" s="336">
        <v>45811.0</v>
      </c>
      <c r="C1676" s="335" t="s">
        <v>9</v>
      </c>
      <c r="D1676" s="335" t="s">
        <v>51</v>
      </c>
      <c r="E1676" s="337" t="str">
        <f t="shared" si="1"/>
        <v>大鉄　堺:大鉄堺</v>
      </c>
      <c r="F1676" s="338" t="s">
        <v>154</v>
      </c>
      <c r="G1676" s="339" t="str">
        <f t="shared" si="2"/>
        <v>大鉄　堺:大鉄堺ＣＰ Ａ</v>
      </c>
      <c r="H1676" s="340">
        <f t="shared" si="3"/>
        <v>35.5</v>
      </c>
      <c r="I1676" s="341">
        <v>-0.5</v>
      </c>
      <c r="J1676" s="332">
        <f>IFERROR(__xludf.DUMMYFUNCTION("IF(IF(COUNTIF(P$2:P1675, P1676)=0, """", INDEX(H$2:H1675,
MAX(FILTER(ROW(H$2:H1675) - ROW(H$2) + 1, P$2:P1675 = P1676))))=""単価"","""",
IF(COUNTIF(P$2:P1675, P1676)=0, """", INDEX(H$2:H1675,
MAX(FILTER(ROW(H$2:H1675) - ROW(H$2) + 1, P$2:P1675 = P1676)))))"),36.0)</f>
        <v>36</v>
      </c>
      <c r="N1676" s="335" t="str">
        <f>IF(MAXIFS('単価履歴'!$O:$O,'単価履歴'!$E:$E,E1676,'単価履歴'!$F:$F,F1676)=O1676,"●","")</f>
        <v/>
      </c>
      <c r="O1676" s="346">
        <v>45810.76907407407</v>
      </c>
      <c r="P1676" s="334" t="str">
        <f t="shared" si="4"/>
        <v>大鉄　堺:大鉄堺ＣＰ Ａ</v>
      </c>
    </row>
    <row r="1677" ht="15.75" customHeight="1">
      <c r="A1677" s="335" t="s">
        <v>2849</v>
      </c>
      <c r="B1677" s="336">
        <v>45811.0</v>
      </c>
      <c r="C1677" s="335" t="s">
        <v>9</v>
      </c>
      <c r="D1677" s="335" t="s">
        <v>51</v>
      </c>
      <c r="E1677" s="337" t="str">
        <f t="shared" si="1"/>
        <v>大鉄　堺:大鉄堺</v>
      </c>
      <c r="F1677" s="338" t="s">
        <v>156</v>
      </c>
      <c r="G1677" s="339" t="str">
        <f t="shared" si="2"/>
        <v>大鉄　堺:大鉄堺ＣＰ Ｂ一斗缶</v>
      </c>
      <c r="H1677" s="340">
        <f t="shared" si="3"/>
        <v>29</v>
      </c>
      <c r="I1677" s="341">
        <v>-0.5</v>
      </c>
      <c r="J1677" s="332">
        <f>IFERROR(__xludf.DUMMYFUNCTION("IF(IF(COUNTIF(P$2:P1676, P1677)=0, """", INDEX(H$2:H1676,
MAX(FILTER(ROW(H$2:H1676) - ROW(H$2) + 1, P$2:P1676 = P1677))))=""単価"","""",
IF(COUNTIF(P$2:P1676, P1677)=0, """", INDEX(H$2:H1676,
MAX(FILTER(ROW(H$2:H1676) - ROW(H$2) + 1, P$2:P1676 = P1677)))))"),29.5)</f>
        <v>29.5</v>
      </c>
      <c r="N1677" s="335" t="str">
        <f>IF(MAXIFS('単価履歴'!$O:$O,'単価履歴'!$E:$E,E1677,'単価履歴'!$F:$F,F1677)=O1677,"●","")</f>
        <v/>
      </c>
      <c r="O1677" s="346">
        <v>45810.76907407407</v>
      </c>
      <c r="P1677" s="334" t="str">
        <f t="shared" si="4"/>
        <v>大鉄　堺:大鉄堺ＣＰ Ｂ一斗缶</v>
      </c>
    </row>
    <row r="1678" ht="15.75" customHeight="1">
      <c r="A1678" s="335" t="s">
        <v>2850</v>
      </c>
      <c r="B1678" s="336">
        <v>45811.0</v>
      </c>
      <c r="C1678" s="335" t="s">
        <v>9</v>
      </c>
      <c r="D1678" s="335" t="s">
        <v>47</v>
      </c>
      <c r="E1678" s="337" t="str">
        <f t="shared" si="1"/>
        <v>大鉄　堺:豊通</v>
      </c>
      <c r="F1678" s="338" t="s">
        <v>111</v>
      </c>
      <c r="G1678" s="339" t="str">
        <f t="shared" si="2"/>
        <v>大鉄　堺:豊通Ｈ１(特A)</v>
      </c>
      <c r="H1678" s="340">
        <f t="shared" si="3"/>
        <v>28.9</v>
      </c>
      <c r="I1678" s="341">
        <v>-0.5</v>
      </c>
      <c r="J1678" s="332">
        <f>IFERROR(__xludf.DUMMYFUNCTION("IF(IF(COUNTIF(P$2:P1677, P1678)=0, """", INDEX(H$2:H1677,
MAX(FILTER(ROW(H$2:H1677) - ROW(H$2) + 1, P$2:P1677 = P1678))))=""単価"","""",
IF(COUNTIF(P$2:P1677, P1678)=0, """", INDEX(H$2:H1677,
MAX(FILTER(ROW(H$2:H1677) - ROW(H$2) + 1, P$2:P1677 = P1678)))))"),29.4)</f>
        <v>29.4</v>
      </c>
      <c r="N1678" s="335" t="str">
        <f>IF(MAXIFS('単価履歴'!$O:$O,'単価履歴'!$E:$E,E1678,'単価履歴'!$F:$F,F1678)=O1678,"●","")</f>
        <v/>
      </c>
      <c r="O1678" s="346">
        <v>45810.76907407407</v>
      </c>
      <c r="P1678" s="334" t="str">
        <f t="shared" si="4"/>
        <v>大鉄　堺:豊通Ｈ１(特A)</v>
      </c>
    </row>
    <row r="1679" ht="15.75" customHeight="1">
      <c r="A1679" s="335" t="s">
        <v>2851</v>
      </c>
      <c r="B1679" s="336">
        <v>45811.0</v>
      </c>
      <c r="C1679" s="335" t="s">
        <v>9</v>
      </c>
      <c r="D1679" s="335" t="s">
        <v>47</v>
      </c>
      <c r="E1679" s="337" t="str">
        <f t="shared" si="1"/>
        <v>大鉄　堺:豊通</v>
      </c>
      <c r="F1679" s="338" t="s">
        <v>116</v>
      </c>
      <c r="G1679" s="339" t="str">
        <f t="shared" si="2"/>
        <v>大鉄　堺:豊通Ｈ２(特級)</v>
      </c>
      <c r="H1679" s="340">
        <f t="shared" si="3"/>
        <v>24.7</v>
      </c>
      <c r="I1679" s="341">
        <v>-0.5</v>
      </c>
      <c r="J1679" s="332">
        <f>IFERROR(__xludf.DUMMYFUNCTION("IF(IF(COUNTIF(P$2:P1678, P1679)=0, """", INDEX(H$2:H1678,
MAX(FILTER(ROW(H$2:H1678) - ROW(H$2) + 1, P$2:P1678 = P1679))))=""単価"","""",
IF(COUNTIF(P$2:P1678, P1679)=0, """", INDEX(H$2:H1678,
MAX(FILTER(ROW(H$2:H1678) - ROW(H$2) + 1, P$2:P1678 = P1679)))))"),25.2)</f>
        <v>25.2</v>
      </c>
      <c r="N1679" s="335" t="str">
        <f>IF(MAXIFS('単価履歴'!$O:$O,'単価履歴'!$E:$E,E1679,'単価履歴'!$F:$F,F1679)=O1679,"●","")</f>
        <v/>
      </c>
      <c r="O1679" s="346">
        <v>45810.76907407407</v>
      </c>
      <c r="P1679" s="334" t="str">
        <f t="shared" si="4"/>
        <v>大鉄　堺:豊通Ｈ２(特級)</v>
      </c>
    </row>
    <row r="1680" ht="15.75" customHeight="1">
      <c r="A1680" s="335" t="s">
        <v>2852</v>
      </c>
      <c r="B1680" s="336">
        <v>45811.0</v>
      </c>
      <c r="C1680" s="335" t="s">
        <v>9</v>
      </c>
      <c r="D1680" s="335" t="s">
        <v>47</v>
      </c>
      <c r="E1680" s="337" t="str">
        <f t="shared" si="1"/>
        <v>大鉄　堺:豊通</v>
      </c>
      <c r="F1680" s="338" t="s">
        <v>1237</v>
      </c>
      <c r="G1680" s="339" t="str">
        <f t="shared" si="2"/>
        <v>大鉄　堺:豊通ＪＨ１(H2T山口)鍛造ﾊﾞﾘ</v>
      </c>
      <c r="H1680" s="340">
        <f t="shared" si="3"/>
        <v>27.9</v>
      </c>
      <c r="I1680" s="341">
        <v>-0.5</v>
      </c>
      <c r="J1680" s="332">
        <f>IFERROR(__xludf.DUMMYFUNCTION("IF(IF(COUNTIF(P$2:P1679, P1680)=0, """", INDEX(H$2:H1679,
MAX(FILTER(ROW(H$2:H1679) - ROW(H$2) + 1, P$2:P1679 = P1680))))=""単価"","""",
IF(COUNTIF(P$2:P1679, P1680)=0, """", INDEX(H$2:H1679,
MAX(FILTER(ROW(H$2:H1679) - ROW(H$2) + 1, P$2:P1679 = P1680)))))"),28.4)</f>
        <v>28.4</v>
      </c>
      <c r="N1680" s="335" t="str">
        <f>IF(MAXIFS('単価履歴'!$O:$O,'単価履歴'!$E:$E,E1680,'単価履歴'!$F:$F,F1680)=O1680,"●","")</f>
        <v/>
      </c>
      <c r="O1680" s="346">
        <v>45810.76907407407</v>
      </c>
      <c r="P1680" s="334" t="str">
        <f t="shared" si="4"/>
        <v>大鉄　堺:豊通ＪＨ１(H2T山口)鍛造ﾊﾞﾘ</v>
      </c>
    </row>
    <row r="1681" ht="15.75" customHeight="1">
      <c r="A1681" s="335" t="s">
        <v>2853</v>
      </c>
      <c r="B1681" s="336">
        <v>45811.0</v>
      </c>
      <c r="C1681" s="335" t="s">
        <v>9</v>
      </c>
      <c r="D1681" s="335" t="s">
        <v>47</v>
      </c>
      <c r="E1681" s="337" t="str">
        <f t="shared" si="1"/>
        <v>大鉄　堺:豊通</v>
      </c>
      <c r="F1681" s="338" t="s">
        <v>119</v>
      </c>
      <c r="G1681" s="339" t="str">
        <f t="shared" si="2"/>
        <v>大鉄　堺:豊通Ｈ３(1級)</v>
      </c>
      <c r="H1681" s="340">
        <f t="shared" si="3"/>
        <v>23.7</v>
      </c>
      <c r="I1681" s="341">
        <v>-0.5</v>
      </c>
      <c r="J1681" s="332">
        <f>IFERROR(__xludf.DUMMYFUNCTION("IF(IF(COUNTIF(P$2:P1680, P1681)=0, """", INDEX(H$2:H1680,
MAX(FILTER(ROW(H$2:H1680) - ROW(H$2) + 1, P$2:P1680 = P1681))))=""単価"","""",
IF(COUNTIF(P$2:P1680, P1681)=0, """", INDEX(H$2:H1680,
MAX(FILTER(ROW(H$2:H1680) - ROW(H$2) + 1, P$2:P1680 = P1681)))))"),24.2)</f>
        <v>24.2</v>
      </c>
      <c r="N1681" s="335" t="str">
        <f>IF(MAXIFS('単価履歴'!$O:$O,'単価履歴'!$E:$E,E1681,'単価履歴'!$F:$F,F1681)=O1681,"●","")</f>
        <v/>
      </c>
      <c r="O1681" s="346">
        <v>45810.76907407407</v>
      </c>
      <c r="P1681" s="334" t="str">
        <f t="shared" si="4"/>
        <v>大鉄　堺:豊通Ｈ３(1級)</v>
      </c>
    </row>
    <row r="1682" ht="15.75" customHeight="1">
      <c r="A1682" s="335" t="s">
        <v>2854</v>
      </c>
      <c r="B1682" s="336">
        <v>45811.0</v>
      </c>
      <c r="C1682" s="335" t="s">
        <v>9</v>
      </c>
      <c r="D1682" s="335" t="s">
        <v>47</v>
      </c>
      <c r="E1682" s="337" t="str">
        <f t="shared" si="1"/>
        <v>大鉄　堺:豊通</v>
      </c>
      <c r="F1682" s="338" t="s">
        <v>122</v>
      </c>
      <c r="G1682" s="339" t="str">
        <f t="shared" si="2"/>
        <v>大鉄　堺:豊通Ｌ１(2級)</v>
      </c>
      <c r="H1682" s="340">
        <f t="shared" si="3"/>
        <v>22.2</v>
      </c>
      <c r="I1682" s="341">
        <v>-0.5</v>
      </c>
      <c r="J1682" s="332">
        <f>IFERROR(__xludf.DUMMYFUNCTION("IF(IF(COUNTIF(P$2:P1681, P1682)=0, """", INDEX(H$2:H1681,
MAX(FILTER(ROW(H$2:H1681) - ROW(H$2) + 1, P$2:P1681 = P1682))))=""単価"","""",
IF(COUNTIF(P$2:P1681, P1682)=0, """", INDEX(H$2:H1681,
MAX(FILTER(ROW(H$2:H1681) - ROW(H$2) + 1, P$2:P1681 = P1682)))))"),22.7)</f>
        <v>22.7</v>
      </c>
      <c r="N1682" s="335" t="str">
        <f>IF(MAXIFS('単価履歴'!$O:$O,'単価履歴'!$E:$E,E1682,'単価履歴'!$F:$F,F1682)=O1682,"●","")</f>
        <v/>
      </c>
      <c r="O1682" s="346">
        <v>45810.76907407407</v>
      </c>
      <c r="P1682" s="334" t="str">
        <f t="shared" si="4"/>
        <v>大鉄　堺:豊通Ｌ１(2級)</v>
      </c>
    </row>
    <row r="1683" ht="15.75" customHeight="1">
      <c r="A1683" s="335" t="s">
        <v>2855</v>
      </c>
      <c r="B1683" s="336">
        <v>45811.0</v>
      </c>
      <c r="C1683" s="335" t="s">
        <v>9</v>
      </c>
      <c r="D1683" s="335" t="s">
        <v>47</v>
      </c>
      <c r="E1683" s="337" t="str">
        <f t="shared" si="1"/>
        <v>大鉄　堺:豊通</v>
      </c>
      <c r="F1683" s="338" t="s">
        <v>130</v>
      </c>
      <c r="G1683" s="339" t="str">
        <f t="shared" si="2"/>
        <v>大鉄　堺:豊通新断Ａ</v>
      </c>
      <c r="H1683" s="340">
        <f t="shared" si="3"/>
        <v>25.7</v>
      </c>
      <c r="I1683" s="341">
        <v>-0.5</v>
      </c>
      <c r="J1683" s="332">
        <f>IFERROR(__xludf.DUMMYFUNCTION("IF(IF(COUNTIF(P$2:P1682, P1683)=0, """", INDEX(H$2:H1682,
MAX(FILTER(ROW(H$2:H1682) - ROW(H$2) + 1, P$2:P1682 = P1683))))=""単価"","""",
IF(COUNTIF(P$2:P1682, P1683)=0, """", INDEX(H$2:H1682,
MAX(FILTER(ROW(H$2:H1682) - ROW(H$2) + 1, P$2:P1682 = P1683)))))"),26.2)</f>
        <v>26.2</v>
      </c>
      <c r="N1683" s="335" t="str">
        <f>IF(MAXIFS('単価履歴'!$O:$O,'単価履歴'!$E:$E,E1683,'単価履歴'!$F:$F,F1683)=O1683,"●","")</f>
        <v/>
      </c>
      <c r="O1683" s="346">
        <v>45810.76907407407</v>
      </c>
      <c r="P1683" s="334" t="str">
        <f t="shared" si="4"/>
        <v>大鉄　堺:豊通新断Ａ</v>
      </c>
    </row>
    <row r="1684" ht="15.75" customHeight="1">
      <c r="A1684" s="335" t="s">
        <v>2856</v>
      </c>
      <c r="B1684" s="336">
        <v>45811.0</v>
      </c>
      <c r="C1684" s="335" t="s">
        <v>9</v>
      </c>
      <c r="D1684" s="335" t="s">
        <v>47</v>
      </c>
      <c r="E1684" s="337" t="str">
        <f t="shared" si="1"/>
        <v>大鉄　堺:豊通</v>
      </c>
      <c r="F1684" s="338" t="s">
        <v>131</v>
      </c>
      <c r="G1684" s="339" t="str">
        <f t="shared" si="2"/>
        <v>大鉄　堺:豊通新断Ｂ</v>
      </c>
      <c r="H1684" s="340">
        <f t="shared" si="3"/>
        <v>25.2</v>
      </c>
      <c r="I1684" s="341">
        <v>-0.5</v>
      </c>
      <c r="J1684" s="332">
        <f>IFERROR(__xludf.DUMMYFUNCTION("IF(IF(COUNTIF(P$2:P1683, P1684)=0, """", INDEX(H$2:H1683,
MAX(FILTER(ROW(H$2:H1683) - ROW(H$2) + 1, P$2:P1683 = P1684))))=""単価"","""",
IF(COUNTIF(P$2:P1683, P1684)=0, """", INDEX(H$2:H1683,
MAX(FILTER(ROW(H$2:H1683) - ROW(H$2) + 1, P$2:P1683 = P1684)))))"),25.7)</f>
        <v>25.7</v>
      </c>
      <c r="N1684" s="335" t="str">
        <f>IF(MAXIFS('単価履歴'!$O:$O,'単価履歴'!$E:$E,E1684,'単価履歴'!$F:$F,F1684)=O1684,"●","")</f>
        <v/>
      </c>
      <c r="O1684" s="346">
        <v>45810.76907407407</v>
      </c>
      <c r="P1684" s="334" t="str">
        <f t="shared" si="4"/>
        <v>大鉄　堺:豊通新断Ｂ</v>
      </c>
    </row>
    <row r="1685" ht="15.75" customHeight="1">
      <c r="A1685" s="335" t="s">
        <v>2857</v>
      </c>
      <c r="B1685" s="336">
        <v>45811.0</v>
      </c>
      <c r="C1685" s="335" t="s">
        <v>9</v>
      </c>
      <c r="D1685" s="335" t="s">
        <v>47</v>
      </c>
      <c r="E1685" s="337" t="str">
        <f t="shared" si="1"/>
        <v>大鉄　堺:豊通</v>
      </c>
      <c r="F1685" s="338" t="s">
        <v>575</v>
      </c>
      <c r="G1685" s="339" t="str">
        <f t="shared" si="2"/>
        <v>大鉄　堺:豊通鋼ダライＡ</v>
      </c>
      <c r="H1685" s="340">
        <f t="shared" si="3"/>
        <v>27.7</v>
      </c>
      <c r="I1685" s="341">
        <v>-0.5</v>
      </c>
      <c r="J1685" s="332">
        <f>IFERROR(__xludf.DUMMYFUNCTION("IF(IF(COUNTIF(P$2:P1684, P1685)=0, """", INDEX(H$2:H1684,
MAX(FILTER(ROW(H$2:H1684) - ROW(H$2) + 1, P$2:P1684 = P1685))))=""単価"","""",
IF(COUNTIF(P$2:P1684, P1685)=0, """", INDEX(H$2:H1684,
MAX(FILTER(ROW(H$2:H1684) - ROW(H$2) + 1, P$2:P1684 = P1685)))))"),28.2)</f>
        <v>28.2</v>
      </c>
      <c r="N1685" s="335" t="str">
        <f>IF(MAXIFS('単価履歴'!$O:$O,'単価履歴'!$E:$E,E1685,'単価履歴'!$F:$F,F1685)=O1685,"●","")</f>
        <v/>
      </c>
      <c r="O1685" s="346">
        <v>45810.76907407407</v>
      </c>
      <c r="P1685" s="334" t="str">
        <f t="shared" si="4"/>
        <v>大鉄　堺:豊通鋼ダライＡ</v>
      </c>
    </row>
    <row r="1686" ht="15.75" customHeight="1">
      <c r="A1686" s="335" t="s">
        <v>2858</v>
      </c>
      <c r="B1686" s="336">
        <v>45811.0</v>
      </c>
      <c r="C1686" s="335" t="s">
        <v>9</v>
      </c>
      <c r="D1686" s="335" t="s">
        <v>47</v>
      </c>
      <c r="E1686" s="337" t="str">
        <f t="shared" si="1"/>
        <v>大鉄　堺:豊通</v>
      </c>
      <c r="F1686" s="338" t="s">
        <v>576</v>
      </c>
      <c r="G1686" s="339" t="str">
        <f t="shared" si="2"/>
        <v>大鉄　堺:豊通鋼ダライＢ</v>
      </c>
      <c r="H1686" s="340">
        <f t="shared" si="3"/>
        <v>27.7</v>
      </c>
      <c r="I1686" s="341">
        <v>-0.5</v>
      </c>
      <c r="J1686" s="332">
        <f>IFERROR(__xludf.DUMMYFUNCTION("IF(IF(COUNTIF(P$2:P1685, P1686)=0, """", INDEX(H$2:H1685,
MAX(FILTER(ROW(H$2:H1685) - ROW(H$2) + 1, P$2:P1685 = P1686))))=""単価"","""",
IF(COUNTIF(P$2:P1685, P1686)=0, """", INDEX(H$2:H1685,
MAX(FILTER(ROW(H$2:H1685) - ROW(H$2) + 1, P$2:P1685 = P1686)))))"),28.2)</f>
        <v>28.2</v>
      </c>
      <c r="N1686" s="335" t="str">
        <f>IF(MAXIFS('単価履歴'!$O:$O,'単価履歴'!$E:$E,E1686,'単価履歴'!$F:$F,F1686)=O1686,"●","")</f>
        <v/>
      </c>
      <c r="O1686" s="346">
        <v>45810.76907407407</v>
      </c>
      <c r="P1686" s="334" t="str">
        <f t="shared" si="4"/>
        <v>大鉄　堺:豊通鋼ダライＢ</v>
      </c>
    </row>
    <row r="1687" ht="15.75" customHeight="1">
      <c r="A1687" s="335" t="s">
        <v>2859</v>
      </c>
      <c r="B1687" s="336">
        <v>45811.0</v>
      </c>
      <c r="C1687" s="335" t="s">
        <v>9</v>
      </c>
      <c r="D1687" s="335" t="s">
        <v>47</v>
      </c>
      <c r="E1687" s="337" t="str">
        <f t="shared" si="1"/>
        <v>大鉄　堺:豊通</v>
      </c>
      <c r="F1687" s="338" t="s">
        <v>145</v>
      </c>
      <c r="G1687" s="339" t="str">
        <f t="shared" si="2"/>
        <v>大鉄　堺:豊通シュレＡ</v>
      </c>
      <c r="H1687" s="340">
        <f t="shared" si="3"/>
        <v>29.2</v>
      </c>
      <c r="I1687" s="341">
        <v>-0.5</v>
      </c>
      <c r="J1687" s="332">
        <f>IFERROR(__xludf.DUMMYFUNCTION("IF(IF(COUNTIF(P$2:P1686, P1687)=0, """", INDEX(H$2:H1686,
MAX(FILTER(ROW(H$2:H1686) - ROW(H$2) + 1, P$2:P1686 = P1687))))=""単価"","""",
IF(COUNTIF(P$2:P1686, P1687)=0, """", INDEX(H$2:H1686,
MAX(FILTER(ROW(H$2:H1686) - ROW(H$2) + 1, P$2:P1686 = P1687)))))"),29.7)</f>
        <v>29.7</v>
      </c>
      <c r="N1687" s="335" t="str">
        <f>IF(MAXIFS('単価履歴'!$O:$O,'単価履歴'!$E:$E,E1687,'単価履歴'!$F:$F,F1687)=O1687,"●","")</f>
        <v/>
      </c>
      <c r="O1687" s="346">
        <v>45810.76907407407</v>
      </c>
      <c r="P1687" s="334" t="str">
        <f t="shared" si="4"/>
        <v>大鉄　堺:豊通シュレＡ</v>
      </c>
    </row>
    <row r="1688" ht="15.75" customHeight="1">
      <c r="A1688" s="335" t="s">
        <v>2860</v>
      </c>
      <c r="B1688" s="336">
        <v>45811.0</v>
      </c>
      <c r="C1688" s="335" t="s">
        <v>9</v>
      </c>
      <c r="D1688" s="335" t="s">
        <v>47</v>
      </c>
      <c r="E1688" s="337" t="str">
        <f t="shared" si="1"/>
        <v>大鉄　堺:豊通</v>
      </c>
      <c r="F1688" s="338" t="s">
        <v>149</v>
      </c>
      <c r="G1688" s="339" t="str">
        <f t="shared" si="2"/>
        <v>大鉄　堺:豊通シュレＢ</v>
      </c>
      <c r="H1688" s="340">
        <f t="shared" si="3"/>
        <v>28.5</v>
      </c>
      <c r="I1688" s="341">
        <v>-0.5</v>
      </c>
      <c r="J1688" s="332">
        <f>IFERROR(__xludf.DUMMYFUNCTION("IF(IF(COUNTIF(P$2:P1687, P1688)=0, """", INDEX(H$2:H1687,
MAX(FILTER(ROW(H$2:H1687) - ROW(H$2) + 1, P$2:P1687 = P1688))))=""単価"","""",
IF(COUNTIF(P$2:P1687, P1688)=0, """", INDEX(H$2:H1687,
MAX(FILTER(ROW(H$2:H1687) - ROW(H$2) + 1, P$2:P1687 = P1688)))))"),29.0)</f>
        <v>29</v>
      </c>
      <c r="N1688" s="335" t="str">
        <f>IF(MAXIFS('単価履歴'!$O:$O,'単価履歴'!$E:$E,E1688,'単価履歴'!$F:$F,F1688)=O1688,"●","")</f>
        <v/>
      </c>
      <c r="O1688" s="346">
        <v>45810.76907407407</v>
      </c>
      <c r="P1688" s="334" t="str">
        <f t="shared" si="4"/>
        <v>大鉄　堺:豊通シュレＢ</v>
      </c>
    </row>
    <row r="1689" ht="15.75" customHeight="1">
      <c r="A1689" s="335" t="s">
        <v>2861</v>
      </c>
      <c r="B1689" s="336">
        <v>45811.0</v>
      </c>
      <c r="C1689" s="335" t="s">
        <v>9</v>
      </c>
      <c r="D1689" s="335" t="s">
        <v>47</v>
      </c>
      <c r="E1689" s="337" t="str">
        <f t="shared" si="1"/>
        <v>大鉄　堺:豊通</v>
      </c>
      <c r="F1689" s="338" t="s">
        <v>151</v>
      </c>
      <c r="G1689" s="339" t="str">
        <f t="shared" si="2"/>
        <v>大鉄　堺:豊通シュレＣ</v>
      </c>
      <c r="H1689" s="340">
        <f t="shared" si="3"/>
        <v>27.1</v>
      </c>
      <c r="I1689" s="341">
        <v>-0.5</v>
      </c>
      <c r="J1689" s="332">
        <f>IFERROR(__xludf.DUMMYFUNCTION("IF(IF(COUNTIF(P$2:P1688, P1689)=0, """", INDEX(H$2:H1688,
MAX(FILTER(ROW(H$2:H1688) - ROW(H$2) + 1, P$2:P1688 = P1689))))=""単価"","""",
IF(COUNTIF(P$2:P1688, P1689)=0, """", INDEX(H$2:H1688,
MAX(FILTER(ROW(H$2:H1688) - ROW(H$2) + 1, P$2:P1688 = P1689)))))"),27.6)</f>
        <v>27.6</v>
      </c>
      <c r="N1689" s="335" t="str">
        <f>IF(MAXIFS('単価履歴'!$O:$O,'単価履歴'!$E:$E,E1689,'単価履歴'!$F:$F,F1689)=O1689,"●","")</f>
        <v/>
      </c>
      <c r="O1689" s="346">
        <v>45810.76907407407</v>
      </c>
      <c r="P1689" s="334" t="str">
        <f t="shared" si="4"/>
        <v>大鉄　堺:豊通シュレＣ</v>
      </c>
    </row>
    <row r="1690" ht="15.75" customHeight="1">
      <c r="A1690" s="335" t="s">
        <v>2862</v>
      </c>
      <c r="B1690" s="336">
        <v>45811.0</v>
      </c>
      <c r="C1690" s="335" t="s">
        <v>9</v>
      </c>
      <c r="D1690" s="335" t="s">
        <v>47</v>
      </c>
      <c r="E1690" s="337" t="str">
        <f t="shared" si="1"/>
        <v>大鉄　堺:豊通</v>
      </c>
      <c r="F1690" s="338" t="s">
        <v>154</v>
      </c>
      <c r="G1690" s="339" t="str">
        <f t="shared" si="2"/>
        <v>大鉄　堺:豊通ＣＰ Ａ</v>
      </c>
      <c r="H1690" s="340">
        <f t="shared" si="3"/>
        <v>39.7</v>
      </c>
      <c r="I1690" s="341">
        <v>-0.5</v>
      </c>
      <c r="J1690" s="332">
        <f>IFERROR(__xludf.DUMMYFUNCTION("IF(IF(COUNTIF(P$2:P1689, P1690)=0, """", INDEX(H$2:H1689,
MAX(FILTER(ROW(H$2:H1689) - ROW(H$2) + 1, P$2:P1689 = P1690))))=""単価"","""",
IF(COUNTIF(P$2:P1689, P1690)=0, """", INDEX(H$2:H1689,
MAX(FILTER(ROW(H$2:H1689) - ROW(H$2) + 1, P$2:P1689 = P1690)))))"),40.2)</f>
        <v>40.2</v>
      </c>
      <c r="N1690" s="335" t="str">
        <f>IF(MAXIFS('単価履歴'!$O:$O,'単価履歴'!$E:$E,E1690,'単価履歴'!$F:$F,F1690)=O1690,"●","")</f>
        <v/>
      </c>
      <c r="O1690" s="346">
        <v>45810.76907407407</v>
      </c>
      <c r="P1690" s="334" t="str">
        <f t="shared" si="4"/>
        <v>大鉄　堺:豊通ＣＰ Ａ</v>
      </c>
    </row>
    <row r="1691" ht="15.75" customHeight="1">
      <c r="A1691" s="335" t="s">
        <v>2863</v>
      </c>
      <c r="B1691" s="336">
        <v>45811.0</v>
      </c>
      <c r="C1691" s="335" t="s">
        <v>9</v>
      </c>
      <c r="D1691" s="335" t="s">
        <v>47</v>
      </c>
      <c r="E1691" s="337" t="str">
        <f t="shared" si="1"/>
        <v>大鉄　堺:豊通</v>
      </c>
      <c r="F1691" s="338" t="s">
        <v>156</v>
      </c>
      <c r="G1691" s="339" t="str">
        <f t="shared" si="2"/>
        <v>大鉄　堺:豊通ＣＰ Ｂ一斗缶</v>
      </c>
      <c r="H1691" s="340">
        <f t="shared" si="3"/>
        <v>33.2</v>
      </c>
      <c r="I1691" s="341">
        <v>-0.5</v>
      </c>
      <c r="J1691" s="332">
        <f>IFERROR(__xludf.DUMMYFUNCTION("IF(IF(COUNTIF(P$2:P1690, P1691)=0, """", INDEX(H$2:H1690,
MAX(FILTER(ROW(H$2:H1690) - ROW(H$2) + 1, P$2:P1690 = P1691))))=""単価"","""",
IF(COUNTIF(P$2:P1690, P1691)=0, """", INDEX(H$2:H1690,
MAX(FILTER(ROW(H$2:H1690) - ROW(H$2) + 1, P$2:P1690 = P1691)))))"),33.7)</f>
        <v>33.7</v>
      </c>
      <c r="N1691" s="335" t="str">
        <f>IF(MAXIFS('単価履歴'!$O:$O,'単価履歴'!$E:$E,E1691,'単価履歴'!$F:$F,F1691)=O1691,"●","")</f>
        <v/>
      </c>
      <c r="O1691" s="346">
        <v>45810.76907407407</v>
      </c>
      <c r="P1691" s="334" t="str">
        <f t="shared" si="4"/>
        <v>大鉄　堺:豊通ＣＰ Ｂ一斗缶</v>
      </c>
    </row>
    <row r="1692" ht="15.75" customHeight="1">
      <c r="A1692" s="335" t="s">
        <v>2864</v>
      </c>
      <c r="B1692" s="336">
        <v>45811.0</v>
      </c>
      <c r="C1692" s="335" t="s">
        <v>9</v>
      </c>
      <c r="D1692" s="335" t="s">
        <v>50</v>
      </c>
      <c r="E1692" s="337" t="str">
        <f t="shared" si="1"/>
        <v>大鉄　堺:産振</v>
      </c>
      <c r="F1692" s="338" t="s">
        <v>111</v>
      </c>
      <c r="G1692" s="339" t="str">
        <f t="shared" si="2"/>
        <v>大鉄　堺:産振Ｈ１(特A)</v>
      </c>
      <c r="H1692" s="340">
        <f t="shared" si="3"/>
        <v>42.7</v>
      </c>
      <c r="I1692" s="341">
        <v>-0.5</v>
      </c>
      <c r="J1692" s="332">
        <f>IFERROR(__xludf.DUMMYFUNCTION("IF(IF(COUNTIF(P$2:P1691, P1692)=0, """", INDEX(H$2:H1691,
MAX(FILTER(ROW(H$2:H1691) - ROW(H$2) + 1, P$2:P1691 = P1692))))=""単価"","""",
IF(COUNTIF(P$2:P1691, P1692)=0, """", INDEX(H$2:H1691,
MAX(FILTER(ROW(H$2:H1691) - ROW(H$2) + 1, P$2:P1691 = P1692)))))"),43.2)</f>
        <v>43.2</v>
      </c>
      <c r="N1692" s="335" t="str">
        <f>IF(MAXIFS('単価履歴'!$O:$O,'単価履歴'!$E:$E,E1692,'単価履歴'!$F:$F,F1692)=O1692,"●","")</f>
        <v/>
      </c>
      <c r="O1692" s="346">
        <v>45810.76907407407</v>
      </c>
      <c r="P1692" s="334" t="str">
        <f t="shared" si="4"/>
        <v>大鉄　堺:産振Ｈ１(特A)</v>
      </c>
    </row>
    <row r="1693" ht="15.75" customHeight="1">
      <c r="A1693" s="335" t="s">
        <v>2865</v>
      </c>
      <c r="B1693" s="336">
        <v>45811.0</v>
      </c>
      <c r="C1693" s="335" t="s">
        <v>9</v>
      </c>
      <c r="D1693" s="335" t="s">
        <v>50</v>
      </c>
      <c r="E1693" s="337" t="str">
        <f t="shared" si="1"/>
        <v>大鉄　堺:産振</v>
      </c>
      <c r="F1693" s="338" t="s">
        <v>116</v>
      </c>
      <c r="G1693" s="339" t="str">
        <f t="shared" si="2"/>
        <v>大鉄　堺:産振Ｈ２(特級)</v>
      </c>
      <c r="H1693" s="340">
        <f t="shared" si="3"/>
        <v>39.7</v>
      </c>
      <c r="I1693" s="341">
        <v>-0.5</v>
      </c>
      <c r="J1693" s="332">
        <f>IFERROR(__xludf.DUMMYFUNCTION("IF(IF(COUNTIF(P$2:P1692, P1693)=0, """", INDEX(H$2:H1692,
MAX(FILTER(ROW(H$2:H1692) - ROW(H$2) + 1, P$2:P1692 = P1693))))=""単価"","""",
IF(COUNTIF(P$2:P1692, P1693)=0, """", INDEX(H$2:H1692,
MAX(FILTER(ROW(H$2:H1692) - ROW(H$2) + 1, P$2:P1692 = P1693)))))"),40.2)</f>
        <v>40.2</v>
      </c>
      <c r="N1693" s="335" t="str">
        <f>IF(MAXIFS('単価履歴'!$O:$O,'単価履歴'!$E:$E,E1693,'単価履歴'!$F:$F,F1693)=O1693,"●","")</f>
        <v/>
      </c>
      <c r="O1693" s="346">
        <v>45810.76907407407</v>
      </c>
      <c r="P1693" s="334" t="str">
        <f t="shared" si="4"/>
        <v>大鉄　堺:産振Ｈ２(特級)</v>
      </c>
    </row>
    <row r="1694" ht="15.75" customHeight="1">
      <c r="A1694" s="335" t="s">
        <v>2866</v>
      </c>
      <c r="B1694" s="336">
        <v>45811.0</v>
      </c>
      <c r="C1694" s="335" t="s">
        <v>9</v>
      </c>
      <c r="D1694" s="335" t="s">
        <v>50</v>
      </c>
      <c r="E1694" s="337" t="str">
        <f t="shared" si="1"/>
        <v>大鉄　堺:産振</v>
      </c>
      <c r="F1694" s="338" t="s">
        <v>1237</v>
      </c>
      <c r="G1694" s="339" t="str">
        <f t="shared" si="2"/>
        <v>大鉄　堺:産振ＪＨ１(H2T山口)鍛造ﾊﾞﾘ</v>
      </c>
      <c r="H1694" s="340">
        <f t="shared" si="3"/>
        <v>-1</v>
      </c>
      <c r="I1694" s="341">
        <v>-0.5</v>
      </c>
      <c r="J1694" s="332">
        <f>IFERROR(__xludf.DUMMYFUNCTION("IF(IF(COUNTIF(P$2:P1693, P1694)=0, """", INDEX(H$2:H1693,
MAX(FILTER(ROW(H$2:H1693) - ROW(H$2) + 1, P$2:P1693 = P1694))))=""単価"","""",
IF(COUNTIF(P$2:P1693, P1694)=0, """", INDEX(H$2:H1693,
MAX(FILTER(ROW(H$2:H1693) - ROW(H$2) + 1, P$2:P1693 = P1694)))))"),-0.5)</f>
        <v>-0.5</v>
      </c>
      <c r="N1694" s="335" t="str">
        <f>IF(MAXIFS('単価履歴'!$O:$O,'単価履歴'!$E:$E,E1694,'単価履歴'!$F:$F,F1694)=O1694,"●","")</f>
        <v/>
      </c>
      <c r="O1694" s="346">
        <v>45810.76907407407</v>
      </c>
      <c r="P1694" s="334" t="str">
        <f t="shared" si="4"/>
        <v>大鉄　堺:産振ＪＨ１(H2T山口)鍛造ﾊﾞﾘ</v>
      </c>
    </row>
    <row r="1695" ht="15.75" customHeight="1">
      <c r="A1695" s="335" t="s">
        <v>2867</v>
      </c>
      <c r="B1695" s="336">
        <v>45811.0</v>
      </c>
      <c r="C1695" s="335" t="s">
        <v>9</v>
      </c>
      <c r="D1695" s="335" t="s">
        <v>50</v>
      </c>
      <c r="E1695" s="337" t="str">
        <f t="shared" si="1"/>
        <v>大鉄　堺:産振</v>
      </c>
      <c r="F1695" s="338" t="s">
        <v>119</v>
      </c>
      <c r="G1695" s="339" t="str">
        <f t="shared" si="2"/>
        <v>大鉄　堺:産振Ｈ３(1級)</v>
      </c>
      <c r="H1695" s="340">
        <f t="shared" si="3"/>
        <v>39.2</v>
      </c>
      <c r="I1695" s="341">
        <v>-0.5</v>
      </c>
      <c r="J1695" s="332">
        <f>IFERROR(__xludf.DUMMYFUNCTION("IF(IF(COUNTIF(P$2:P1694, P1695)=0, """", INDEX(H$2:H1694,
MAX(FILTER(ROW(H$2:H1694) - ROW(H$2) + 1, P$2:P1694 = P1695))))=""単価"","""",
IF(COUNTIF(P$2:P1694, P1695)=0, """", INDEX(H$2:H1694,
MAX(FILTER(ROW(H$2:H1694) - ROW(H$2) + 1, P$2:P1694 = P1695)))))"),39.7)</f>
        <v>39.7</v>
      </c>
      <c r="N1695" s="335" t="str">
        <f>IF(MAXIFS('単価履歴'!$O:$O,'単価履歴'!$E:$E,E1695,'単価履歴'!$F:$F,F1695)=O1695,"●","")</f>
        <v/>
      </c>
      <c r="O1695" s="346">
        <v>45810.76907407407</v>
      </c>
      <c r="P1695" s="334" t="str">
        <f t="shared" si="4"/>
        <v>大鉄　堺:産振Ｈ３(1級)</v>
      </c>
    </row>
    <row r="1696" ht="15.75" customHeight="1">
      <c r="A1696" s="335" t="s">
        <v>2868</v>
      </c>
      <c r="B1696" s="336">
        <v>45811.0</v>
      </c>
      <c r="C1696" s="335" t="s">
        <v>9</v>
      </c>
      <c r="D1696" s="335" t="s">
        <v>50</v>
      </c>
      <c r="E1696" s="337" t="str">
        <f t="shared" si="1"/>
        <v>大鉄　堺:産振</v>
      </c>
      <c r="F1696" s="338" t="s">
        <v>122</v>
      </c>
      <c r="G1696" s="339" t="str">
        <f t="shared" si="2"/>
        <v>大鉄　堺:産振Ｌ１(2級)</v>
      </c>
      <c r="H1696" s="340">
        <f t="shared" si="3"/>
        <v>38.2</v>
      </c>
      <c r="I1696" s="341">
        <v>-0.5</v>
      </c>
      <c r="J1696" s="332">
        <f>IFERROR(__xludf.DUMMYFUNCTION("IF(IF(COUNTIF(P$2:P1695, P1696)=0, """", INDEX(H$2:H1695,
MAX(FILTER(ROW(H$2:H1695) - ROW(H$2) + 1, P$2:P1695 = P1696))))=""単価"","""",
IF(COUNTIF(P$2:P1695, P1696)=0, """", INDEX(H$2:H1695,
MAX(FILTER(ROW(H$2:H1695) - ROW(H$2) + 1, P$2:P1695 = P1696)))))"),38.7)</f>
        <v>38.7</v>
      </c>
      <c r="N1696" s="335" t="str">
        <f>IF(MAXIFS('単価履歴'!$O:$O,'単価履歴'!$E:$E,E1696,'単価履歴'!$F:$F,F1696)=O1696,"●","")</f>
        <v/>
      </c>
      <c r="O1696" s="346">
        <v>45810.76907407407</v>
      </c>
      <c r="P1696" s="334" t="str">
        <f t="shared" si="4"/>
        <v>大鉄　堺:産振Ｌ１(2級)</v>
      </c>
    </row>
    <row r="1697" ht="15.75" customHeight="1">
      <c r="A1697" s="335" t="s">
        <v>2869</v>
      </c>
      <c r="B1697" s="336">
        <v>45811.0</v>
      </c>
      <c r="C1697" s="335" t="s">
        <v>9</v>
      </c>
      <c r="D1697" s="335" t="s">
        <v>50</v>
      </c>
      <c r="E1697" s="337" t="str">
        <f t="shared" si="1"/>
        <v>大鉄　堺:産振</v>
      </c>
      <c r="F1697" s="338" t="s">
        <v>130</v>
      </c>
      <c r="G1697" s="339" t="str">
        <f t="shared" si="2"/>
        <v>大鉄　堺:産振新断Ａ</v>
      </c>
      <c r="H1697" s="340">
        <f t="shared" si="3"/>
        <v>41.2</v>
      </c>
      <c r="I1697" s="341">
        <v>-0.5</v>
      </c>
      <c r="J1697" s="332">
        <f>IFERROR(__xludf.DUMMYFUNCTION("IF(IF(COUNTIF(P$2:P1696, P1697)=0, """", INDEX(H$2:H1696,
MAX(FILTER(ROW(H$2:H1696) - ROW(H$2) + 1, P$2:P1696 = P1697))))=""単価"","""",
IF(COUNTIF(P$2:P1696, P1697)=0, """", INDEX(H$2:H1696,
MAX(FILTER(ROW(H$2:H1696) - ROW(H$2) + 1, P$2:P1696 = P1697)))))"),41.7)</f>
        <v>41.7</v>
      </c>
      <c r="N1697" s="335" t="str">
        <f>IF(MAXIFS('単価履歴'!$O:$O,'単価履歴'!$E:$E,E1697,'単価履歴'!$F:$F,F1697)=O1697,"●","")</f>
        <v/>
      </c>
      <c r="O1697" s="346">
        <v>45810.76907407407</v>
      </c>
      <c r="P1697" s="334" t="str">
        <f t="shared" si="4"/>
        <v>大鉄　堺:産振新断Ａ</v>
      </c>
    </row>
    <row r="1698" ht="15.75" customHeight="1">
      <c r="A1698" s="335" t="s">
        <v>2870</v>
      </c>
      <c r="B1698" s="336">
        <v>45811.0</v>
      </c>
      <c r="C1698" s="335" t="s">
        <v>9</v>
      </c>
      <c r="D1698" s="335" t="s">
        <v>50</v>
      </c>
      <c r="E1698" s="337" t="str">
        <f t="shared" si="1"/>
        <v>大鉄　堺:産振</v>
      </c>
      <c r="F1698" s="338" t="s">
        <v>131</v>
      </c>
      <c r="G1698" s="339" t="str">
        <f t="shared" si="2"/>
        <v>大鉄　堺:産振新断Ｂ</v>
      </c>
      <c r="H1698" s="340">
        <f t="shared" si="3"/>
        <v>40.7</v>
      </c>
      <c r="I1698" s="341">
        <v>-0.5</v>
      </c>
      <c r="J1698" s="332">
        <f>IFERROR(__xludf.DUMMYFUNCTION("IF(IF(COUNTIF(P$2:P1697, P1698)=0, """", INDEX(H$2:H1697,
MAX(FILTER(ROW(H$2:H1697) - ROW(H$2) + 1, P$2:P1697 = P1698))))=""単価"","""",
IF(COUNTIF(P$2:P1697, P1698)=0, """", INDEX(H$2:H1697,
MAX(FILTER(ROW(H$2:H1697) - ROW(H$2) + 1, P$2:P1697 = P1698)))))"),41.2)</f>
        <v>41.2</v>
      </c>
      <c r="N1698" s="335" t="str">
        <f>IF(MAXIFS('単価履歴'!$O:$O,'単価履歴'!$E:$E,E1698,'単価履歴'!$F:$F,F1698)=O1698,"●","")</f>
        <v/>
      </c>
      <c r="O1698" s="346">
        <v>45810.76907407407</v>
      </c>
      <c r="P1698" s="334" t="str">
        <f t="shared" si="4"/>
        <v>大鉄　堺:産振新断Ｂ</v>
      </c>
    </row>
    <row r="1699" ht="15.75" customHeight="1">
      <c r="A1699" s="335" t="s">
        <v>2871</v>
      </c>
      <c r="B1699" s="336">
        <v>45811.0</v>
      </c>
      <c r="C1699" s="335" t="s">
        <v>9</v>
      </c>
      <c r="D1699" s="335" t="s">
        <v>50</v>
      </c>
      <c r="E1699" s="337" t="str">
        <f t="shared" si="1"/>
        <v>大鉄　堺:産振</v>
      </c>
      <c r="F1699" s="338" t="s">
        <v>575</v>
      </c>
      <c r="G1699" s="339" t="str">
        <f t="shared" si="2"/>
        <v>大鉄　堺:産振鋼ダライＡ</v>
      </c>
      <c r="H1699" s="340">
        <f t="shared" si="3"/>
        <v>35.7</v>
      </c>
      <c r="I1699" s="341">
        <v>-0.5</v>
      </c>
      <c r="J1699" s="332">
        <f>IFERROR(__xludf.DUMMYFUNCTION("IF(IF(COUNTIF(P$2:P1698, P1699)=0, """", INDEX(H$2:H1698,
MAX(FILTER(ROW(H$2:H1698) - ROW(H$2) + 1, P$2:P1698 = P1699))))=""単価"","""",
IF(COUNTIF(P$2:P1698, P1699)=0, """", INDEX(H$2:H1698,
MAX(FILTER(ROW(H$2:H1698) - ROW(H$2) + 1, P$2:P1698 = P1699)))))"),36.2)</f>
        <v>36.2</v>
      </c>
      <c r="N1699" s="335" t="str">
        <f>IF(MAXIFS('単価履歴'!$O:$O,'単価履歴'!$E:$E,E1699,'単価履歴'!$F:$F,F1699)=O1699,"●","")</f>
        <v/>
      </c>
      <c r="O1699" s="346">
        <v>45810.76907407407</v>
      </c>
      <c r="P1699" s="334" t="str">
        <f t="shared" si="4"/>
        <v>大鉄　堺:産振鋼ダライＡ</v>
      </c>
    </row>
    <row r="1700" ht="15.75" customHeight="1">
      <c r="A1700" s="335" t="s">
        <v>2872</v>
      </c>
      <c r="B1700" s="336">
        <v>45811.0</v>
      </c>
      <c r="C1700" s="335" t="s">
        <v>9</v>
      </c>
      <c r="D1700" s="335" t="s">
        <v>50</v>
      </c>
      <c r="E1700" s="337" t="str">
        <f t="shared" si="1"/>
        <v>大鉄　堺:産振</v>
      </c>
      <c r="F1700" s="338" t="s">
        <v>576</v>
      </c>
      <c r="G1700" s="339" t="str">
        <f t="shared" si="2"/>
        <v>大鉄　堺:産振鋼ダライＢ</v>
      </c>
      <c r="H1700" s="340">
        <f t="shared" si="3"/>
        <v>-1</v>
      </c>
      <c r="I1700" s="341">
        <v>-0.5</v>
      </c>
      <c r="J1700" s="332">
        <f>IFERROR(__xludf.DUMMYFUNCTION("IF(IF(COUNTIF(P$2:P1699, P1700)=0, """", INDEX(H$2:H1699,
MAX(FILTER(ROW(H$2:H1699) - ROW(H$2) + 1, P$2:P1699 = P1700))))=""単価"","""",
IF(COUNTIF(P$2:P1699, P1700)=0, """", INDEX(H$2:H1699,
MAX(FILTER(ROW(H$2:H1699) - ROW(H$2) + 1, P$2:P1699 = P1700)))))"),-0.5)</f>
        <v>-0.5</v>
      </c>
      <c r="N1700" s="335" t="str">
        <f>IF(MAXIFS('単価履歴'!$O:$O,'単価履歴'!$E:$E,E1700,'単価履歴'!$F:$F,F1700)=O1700,"●","")</f>
        <v/>
      </c>
      <c r="O1700" s="346">
        <v>45810.76907407407</v>
      </c>
      <c r="P1700" s="334" t="str">
        <f t="shared" si="4"/>
        <v>大鉄　堺:産振鋼ダライＢ</v>
      </c>
    </row>
    <row r="1701" ht="15.75" customHeight="1">
      <c r="A1701" s="335" t="s">
        <v>2873</v>
      </c>
      <c r="B1701" s="336">
        <v>45811.0</v>
      </c>
      <c r="C1701" s="335" t="s">
        <v>9</v>
      </c>
      <c r="D1701" s="335" t="s">
        <v>50</v>
      </c>
      <c r="E1701" s="337" t="str">
        <f t="shared" si="1"/>
        <v>大鉄　堺:産振</v>
      </c>
      <c r="F1701" s="338" t="s">
        <v>145</v>
      </c>
      <c r="G1701" s="339" t="str">
        <f t="shared" si="2"/>
        <v>大鉄　堺:産振シュレＡ</v>
      </c>
      <c r="H1701" s="340">
        <f t="shared" si="3"/>
        <v>-1</v>
      </c>
      <c r="I1701" s="341">
        <v>-0.5</v>
      </c>
      <c r="J1701" s="332">
        <f>IFERROR(__xludf.DUMMYFUNCTION("IF(IF(COUNTIF(P$2:P1700, P1701)=0, """", INDEX(H$2:H1700,
MAX(FILTER(ROW(H$2:H1700) - ROW(H$2) + 1, P$2:P1700 = P1701))))=""単価"","""",
IF(COUNTIF(P$2:P1700, P1701)=0, """", INDEX(H$2:H1700,
MAX(FILTER(ROW(H$2:H1700) - ROW(H$2) + 1, P$2:P1700 = P1701)))))"),-0.5)</f>
        <v>-0.5</v>
      </c>
      <c r="N1701" s="335" t="str">
        <f>IF(MAXIFS('単価履歴'!$O:$O,'単価履歴'!$E:$E,E1701,'単価履歴'!$F:$F,F1701)=O1701,"●","")</f>
        <v/>
      </c>
      <c r="O1701" s="346">
        <v>45810.76907407407</v>
      </c>
      <c r="P1701" s="334" t="str">
        <f t="shared" si="4"/>
        <v>大鉄　堺:産振シュレＡ</v>
      </c>
    </row>
    <row r="1702" ht="15.75" customHeight="1">
      <c r="A1702" s="335" t="s">
        <v>2874</v>
      </c>
      <c r="B1702" s="336">
        <v>45811.0</v>
      </c>
      <c r="C1702" s="335" t="s">
        <v>9</v>
      </c>
      <c r="D1702" s="335" t="s">
        <v>50</v>
      </c>
      <c r="E1702" s="337" t="str">
        <f t="shared" si="1"/>
        <v>大鉄　堺:産振</v>
      </c>
      <c r="F1702" s="338" t="s">
        <v>149</v>
      </c>
      <c r="G1702" s="339" t="str">
        <f t="shared" si="2"/>
        <v>大鉄　堺:産振シュレＢ</v>
      </c>
      <c r="H1702" s="340">
        <f t="shared" si="3"/>
        <v>-1</v>
      </c>
      <c r="I1702" s="341">
        <v>-0.5</v>
      </c>
      <c r="J1702" s="332">
        <f>IFERROR(__xludf.DUMMYFUNCTION("IF(IF(COUNTIF(P$2:P1701, P1702)=0, """", INDEX(H$2:H1701,
MAX(FILTER(ROW(H$2:H1701) - ROW(H$2) + 1, P$2:P1701 = P1702))))=""単価"","""",
IF(COUNTIF(P$2:P1701, P1702)=0, """", INDEX(H$2:H1701,
MAX(FILTER(ROW(H$2:H1701) - ROW(H$2) + 1, P$2:P1701 = P1702)))))"),-0.5)</f>
        <v>-0.5</v>
      </c>
      <c r="N1702" s="335" t="str">
        <f>IF(MAXIFS('単価履歴'!$O:$O,'単価履歴'!$E:$E,E1702,'単価履歴'!$F:$F,F1702)=O1702,"●","")</f>
        <v/>
      </c>
      <c r="O1702" s="346">
        <v>45810.76907407407</v>
      </c>
      <c r="P1702" s="334" t="str">
        <f t="shared" si="4"/>
        <v>大鉄　堺:産振シュレＢ</v>
      </c>
    </row>
    <row r="1703" ht="15.75" customHeight="1">
      <c r="A1703" s="335" t="s">
        <v>2875</v>
      </c>
      <c r="B1703" s="336">
        <v>45811.0</v>
      </c>
      <c r="C1703" s="335" t="s">
        <v>9</v>
      </c>
      <c r="D1703" s="335" t="s">
        <v>50</v>
      </c>
      <c r="E1703" s="337" t="str">
        <f t="shared" si="1"/>
        <v>大鉄　堺:産振</v>
      </c>
      <c r="F1703" s="338" t="s">
        <v>151</v>
      </c>
      <c r="G1703" s="339" t="str">
        <f t="shared" si="2"/>
        <v>大鉄　堺:産振シュレＣ</v>
      </c>
      <c r="H1703" s="340">
        <f t="shared" si="3"/>
        <v>-1</v>
      </c>
      <c r="I1703" s="341">
        <v>-0.5</v>
      </c>
      <c r="J1703" s="332">
        <f>IFERROR(__xludf.DUMMYFUNCTION("IF(IF(COUNTIF(P$2:P1702, P1703)=0, """", INDEX(H$2:H1702,
MAX(FILTER(ROW(H$2:H1702) - ROW(H$2) + 1, P$2:P1702 = P1703))))=""単価"","""",
IF(COUNTIF(P$2:P1702, P1703)=0, """", INDEX(H$2:H1702,
MAX(FILTER(ROW(H$2:H1702) - ROW(H$2) + 1, P$2:P1702 = P1703)))))"),-0.5)</f>
        <v>-0.5</v>
      </c>
      <c r="N1703" s="335" t="str">
        <f>IF(MAXIFS('単価履歴'!$O:$O,'単価履歴'!$E:$E,E1703,'単価履歴'!$F:$F,F1703)=O1703,"●","")</f>
        <v/>
      </c>
      <c r="O1703" s="346">
        <v>45810.76907407407</v>
      </c>
      <c r="P1703" s="334" t="str">
        <f t="shared" si="4"/>
        <v>大鉄　堺:産振シュレＣ</v>
      </c>
    </row>
    <row r="1704" ht="15.75" customHeight="1">
      <c r="A1704" s="335" t="s">
        <v>2876</v>
      </c>
      <c r="B1704" s="336">
        <v>45811.0</v>
      </c>
      <c r="C1704" s="335" t="s">
        <v>9</v>
      </c>
      <c r="D1704" s="335" t="s">
        <v>50</v>
      </c>
      <c r="E1704" s="337" t="str">
        <f t="shared" si="1"/>
        <v>大鉄　堺:産振</v>
      </c>
      <c r="F1704" s="338" t="s">
        <v>154</v>
      </c>
      <c r="G1704" s="339" t="str">
        <f t="shared" si="2"/>
        <v>大鉄　堺:産振ＣＰ Ａ</v>
      </c>
      <c r="H1704" s="340">
        <f t="shared" si="3"/>
        <v>45.2</v>
      </c>
      <c r="I1704" s="341">
        <v>-0.5</v>
      </c>
      <c r="J1704" s="332">
        <f>IFERROR(__xludf.DUMMYFUNCTION("IF(IF(COUNTIF(P$2:P1703, P1704)=0, """", INDEX(H$2:H1703,
MAX(FILTER(ROW(H$2:H1703) - ROW(H$2) + 1, P$2:P1703 = P1704))))=""単価"","""",
IF(COUNTIF(P$2:P1703, P1704)=0, """", INDEX(H$2:H1703,
MAX(FILTER(ROW(H$2:H1703) - ROW(H$2) + 1, P$2:P1703 = P1704)))))"),45.7)</f>
        <v>45.7</v>
      </c>
      <c r="N1704" s="335" t="str">
        <f>IF(MAXIFS('単価履歴'!$O:$O,'単価履歴'!$E:$E,E1704,'単価履歴'!$F:$F,F1704)=O1704,"●","")</f>
        <v/>
      </c>
      <c r="O1704" s="346">
        <v>45810.76907407407</v>
      </c>
      <c r="P1704" s="334" t="str">
        <f t="shared" si="4"/>
        <v>大鉄　堺:産振ＣＰ Ａ</v>
      </c>
    </row>
    <row r="1705" ht="15.75" customHeight="1">
      <c r="A1705" s="335" t="s">
        <v>2877</v>
      </c>
      <c r="B1705" s="336">
        <v>45811.0</v>
      </c>
      <c r="C1705" s="335" t="s">
        <v>9</v>
      </c>
      <c r="D1705" s="335" t="s">
        <v>50</v>
      </c>
      <c r="E1705" s="337" t="str">
        <f t="shared" si="1"/>
        <v>大鉄　堺:産振</v>
      </c>
      <c r="F1705" s="338" t="s">
        <v>156</v>
      </c>
      <c r="G1705" s="339" t="str">
        <f t="shared" si="2"/>
        <v>大鉄　堺:産振ＣＰ Ｂ一斗缶</v>
      </c>
      <c r="H1705" s="340">
        <f t="shared" si="3"/>
        <v>35</v>
      </c>
      <c r="I1705" s="341">
        <v>-0.5</v>
      </c>
      <c r="J1705" s="332">
        <f>IFERROR(__xludf.DUMMYFUNCTION("IF(IF(COUNTIF(P$2:P1704, P1705)=0, """", INDEX(H$2:H1704,
MAX(FILTER(ROW(H$2:H1704) - ROW(H$2) + 1, P$2:P1704 = P1705))))=""単価"","""",
IF(COUNTIF(P$2:P1704, P1705)=0, """", INDEX(H$2:H1704,
MAX(FILTER(ROW(H$2:H1704) - ROW(H$2) + 1, P$2:P1704 = P1705)))))"),35.5)</f>
        <v>35.5</v>
      </c>
      <c r="N1705" s="335" t="str">
        <f>IF(MAXIFS('単価履歴'!$O:$O,'単価履歴'!$E:$E,E1705,'単価履歴'!$F:$F,F1705)=O1705,"●","")</f>
        <v/>
      </c>
      <c r="O1705" s="346">
        <v>45810.76907407407</v>
      </c>
      <c r="P1705" s="334" t="str">
        <f t="shared" si="4"/>
        <v>大鉄　堺:産振ＣＰ Ｂ一斗缶</v>
      </c>
    </row>
    <row r="1706" ht="15.75" customHeight="1">
      <c r="A1706" s="335" t="s">
        <v>2878</v>
      </c>
      <c r="B1706" s="336">
        <v>45811.0</v>
      </c>
      <c r="C1706" s="335" t="s">
        <v>9</v>
      </c>
      <c r="D1706" s="335" t="s">
        <v>49</v>
      </c>
      <c r="E1706" s="337" t="str">
        <f t="shared" si="1"/>
        <v>大鉄　堺:伊藤忠</v>
      </c>
      <c r="F1706" s="338" t="s">
        <v>111</v>
      </c>
      <c r="G1706" s="339" t="str">
        <f t="shared" si="2"/>
        <v>大鉄　堺:伊藤忠Ｈ１(特A)</v>
      </c>
      <c r="H1706" s="340">
        <f t="shared" si="3"/>
        <v>27.8</v>
      </c>
      <c r="I1706" s="341">
        <v>-0.5</v>
      </c>
      <c r="J1706" s="332">
        <f>IFERROR(__xludf.DUMMYFUNCTION("IF(IF(COUNTIF(P$2:P1705, P1706)=0, """", INDEX(H$2:H1705,
MAX(FILTER(ROW(H$2:H1705) - ROW(H$2) + 1, P$2:P1705 = P1706))))=""単価"","""",
IF(COUNTIF(P$2:P1705, P1706)=0, """", INDEX(H$2:H1705,
MAX(FILTER(ROW(H$2:H1705) - ROW(H$2) + 1, P$2:P1705 = P1706)))))"),28.3)</f>
        <v>28.3</v>
      </c>
      <c r="N1706" s="335" t="str">
        <f>IF(MAXIFS('単価履歴'!$O:$O,'単価履歴'!$E:$E,E1706,'単価履歴'!$F:$F,F1706)=O1706,"●","")</f>
        <v/>
      </c>
      <c r="O1706" s="346">
        <v>45810.76907407407</v>
      </c>
      <c r="P1706" s="334" t="str">
        <f t="shared" si="4"/>
        <v>大鉄　堺:伊藤忠Ｈ１(特A)</v>
      </c>
    </row>
    <row r="1707" ht="15.75" customHeight="1">
      <c r="A1707" s="335" t="s">
        <v>2879</v>
      </c>
      <c r="B1707" s="336">
        <v>45811.0</v>
      </c>
      <c r="C1707" s="335" t="s">
        <v>9</v>
      </c>
      <c r="D1707" s="335" t="s">
        <v>49</v>
      </c>
      <c r="E1707" s="337" t="str">
        <f t="shared" si="1"/>
        <v>大鉄　堺:伊藤忠</v>
      </c>
      <c r="F1707" s="338" t="s">
        <v>116</v>
      </c>
      <c r="G1707" s="339" t="str">
        <f t="shared" si="2"/>
        <v>大鉄　堺:伊藤忠Ｈ２(特級)</v>
      </c>
      <c r="H1707" s="340">
        <f t="shared" si="3"/>
        <v>33</v>
      </c>
      <c r="I1707" s="341">
        <v>-0.5</v>
      </c>
      <c r="J1707" s="332">
        <f>IFERROR(__xludf.DUMMYFUNCTION("IF(IF(COUNTIF(P$2:P1706, P1707)=0, """", INDEX(H$2:H1706,
MAX(FILTER(ROW(H$2:H1706) - ROW(H$2) + 1, P$2:P1706 = P1707))))=""単価"","""",
IF(COUNTIF(P$2:P1706, P1707)=0, """", INDEX(H$2:H1706,
MAX(FILTER(ROW(H$2:H1706) - ROW(H$2) + 1, P$2:P1706 = P1707)))))"),33.5)</f>
        <v>33.5</v>
      </c>
      <c r="N1707" s="335" t="str">
        <f>IF(MAXIFS('単価履歴'!$O:$O,'単価履歴'!$E:$E,E1707,'単価履歴'!$F:$F,F1707)=O1707,"●","")</f>
        <v/>
      </c>
      <c r="O1707" s="346">
        <v>45810.76907407407</v>
      </c>
      <c r="P1707" s="334" t="str">
        <f t="shared" si="4"/>
        <v>大鉄　堺:伊藤忠Ｈ２(特級)</v>
      </c>
    </row>
    <row r="1708" ht="15.75" customHeight="1">
      <c r="A1708" s="335" t="s">
        <v>2880</v>
      </c>
      <c r="B1708" s="336">
        <v>45811.0</v>
      </c>
      <c r="C1708" s="335" t="s">
        <v>9</v>
      </c>
      <c r="D1708" s="335" t="s">
        <v>49</v>
      </c>
      <c r="E1708" s="337" t="str">
        <f t="shared" si="1"/>
        <v>大鉄　堺:伊藤忠</v>
      </c>
      <c r="F1708" s="338" t="s">
        <v>1237</v>
      </c>
      <c r="G1708" s="339" t="str">
        <f t="shared" si="2"/>
        <v>大鉄　堺:伊藤忠ＪＨ１(H2T山口)鍛造ﾊﾞﾘ</v>
      </c>
      <c r="H1708" s="340">
        <f t="shared" si="3"/>
        <v>35.2</v>
      </c>
      <c r="I1708" s="341">
        <v>-0.5</v>
      </c>
      <c r="J1708" s="332">
        <f>IFERROR(__xludf.DUMMYFUNCTION("IF(IF(COUNTIF(P$2:P1707, P1708)=0, """", INDEX(H$2:H1707,
MAX(FILTER(ROW(H$2:H1707) - ROW(H$2) + 1, P$2:P1707 = P1708))))=""単価"","""",
IF(COUNTIF(P$2:P1707, P1708)=0, """", INDEX(H$2:H1707,
MAX(FILTER(ROW(H$2:H1707) - ROW(H$2) + 1, P$2:P1707 = P1708)))))"),35.7)</f>
        <v>35.7</v>
      </c>
      <c r="N1708" s="335" t="str">
        <f>IF(MAXIFS('単価履歴'!$O:$O,'単価履歴'!$E:$E,E1708,'単価履歴'!$F:$F,F1708)=O1708,"●","")</f>
        <v/>
      </c>
      <c r="O1708" s="346">
        <v>45810.76907407407</v>
      </c>
      <c r="P1708" s="334" t="str">
        <f t="shared" si="4"/>
        <v>大鉄　堺:伊藤忠ＪＨ１(H2T山口)鍛造ﾊﾞﾘ</v>
      </c>
    </row>
    <row r="1709" ht="15.75" customHeight="1">
      <c r="A1709" s="335" t="s">
        <v>2881</v>
      </c>
      <c r="B1709" s="336">
        <v>45811.0</v>
      </c>
      <c r="C1709" s="335" t="s">
        <v>9</v>
      </c>
      <c r="D1709" s="335" t="s">
        <v>49</v>
      </c>
      <c r="E1709" s="337" t="str">
        <f t="shared" si="1"/>
        <v>大鉄　堺:伊藤忠</v>
      </c>
      <c r="F1709" s="338" t="s">
        <v>119</v>
      </c>
      <c r="G1709" s="339" t="str">
        <f t="shared" si="2"/>
        <v>大鉄　堺:伊藤忠Ｈ３(1級)</v>
      </c>
      <c r="H1709" s="340">
        <f t="shared" si="3"/>
        <v>32</v>
      </c>
      <c r="I1709" s="341">
        <v>-0.5</v>
      </c>
      <c r="J1709" s="332">
        <f>IFERROR(__xludf.DUMMYFUNCTION("IF(IF(COUNTIF(P$2:P1708, P1709)=0, """", INDEX(H$2:H1708,
MAX(FILTER(ROW(H$2:H1708) - ROW(H$2) + 1, P$2:P1708 = P1709))))=""単価"","""",
IF(COUNTIF(P$2:P1708, P1709)=0, """", INDEX(H$2:H1708,
MAX(FILTER(ROW(H$2:H1708) - ROW(H$2) + 1, P$2:P1708 = P1709)))))"),32.5)</f>
        <v>32.5</v>
      </c>
      <c r="N1709" s="335" t="str">
        <f>IF(MAXIFS('単価履歴'!$O:$O,'単価履歴'!$E:$E,E1709,'単価履歴'!$F:$F,F1709)=O1709,"●","")</f>
        <v/>
      </c>
      <c r="O1709" s="346">
        <v>45810.76907407407</v>
      </c>
      <c r="P1709" s="334" t="str">
        <f t="shared" si="4"/>
        <v>大鉄　堺:伊藤忠Ｈ３(1級)</v>
      </c>
    </row>
    <row r="1710" ht="15.75" customHeight="1">
      <c r="A1710" s="335" t="s">
        <v>2882</v>
      </c>
      <c r="B1710" s="336">
        <v>45811.0</v>
      </c>
      <c r="C1710" s="335" t="s">
        <v>9</v>
      </c>
      <c r="D1710" s="335" t="s">
        <v>49</v>
      </c>
      <c r="E1710" s="337" t="str">
        <f t="shared" si="1"/>
        <v>大鉄　堺:伊藤忠</v>
      </c>
      <c r="F1710" s="338" t="s">
        <v>122</v>
      </c>
      <c r="G1710" s="339" t="str">
        <f t="shared" si="2"/>
        <v>大鉄　堺:伊藤忠Ｌ１(2級)</v>
      </c>
      <c r="H1710" s="340">
        <f t="shared" si="3"/>
        <v>31</v>
      </c>
      <c r="I1710" s="341">
        <v>-0.5</v>
      </c>
      <c r="J1710" s="332">
        <f>IFERROR(__xludf.DUMMYFUNCTION("IF(IF(COUNTIF(P$2:P1709, P1710)=0, """", INDEX(H$2:H1709,
MAX(FILTER(ROW(H$2:H1709) - ROW(H$2) + 1, P$2:P1709 = P1710))))=""単価"","""",
IF(COUNTIF(P$2:P1709, P1710)=0, """", INDEX(H$2:H1709,
MAX(FILTER(ROW(H$2:H1709) - ROW(H$2) + 1, P$2:P1709 = P1710)))))"),31.5)</f>
        <v>31.5</v>
      </c>
      <c r="N1710" s="335" t="str">
        <f>IF(MAXIFS('単価履歴'!$O:$O,'単価履歴'!$E:$E,E1710,'単価履歴'!$F:$F,F1710)=O1710,"●","")</f>
        <v/>
      </c>
      <c r="O1710" s="346">
        <v>45810.76907407407</v>
      </c>
      <c r="P1710" s="334" t="str">
        <f t="shared" si="4"/>
        <v>大鉄　堺:伊藤忠Ｌ１(2級)</v>
      </c>
    </row>
    <row r="1711" ht="15.75" customHeight="1">
      <c r="A1711" s="335" t="s">
        <v>2883</v>
      </c>
      <c r="B1711" s="336">
        <v>45811.0</v>
      </c>
      <c r="C1711" s="335" t="s">
        <v>9</v>
      </c>
      <c r="D1711" s="335" t="s">
        <v>49</v>
      </c>
      <c r="E1711" s="337" t="str">
        <f t="shared" si="1"/>
        <v>大鉄　堺:伊藤忠</v>
      </c>
      <c r="F1711" s="338" t="s">
        <v>130</v>
      </c>
      <c r="G1711" s="339" t="str">
        <f t="shared" si="2"/>
        <v>大鉄　堺:伊藤忠新断Ａ</v>
      </c>
      <c r="H1711" s="340">
        <f t="shared" si="3"/>
        <v>27.3</v>
      </c>
      <c r="I1711" s="341">
        <v>-0.5</v>
      </c>
      <c r="J1711" s="332">
        <f>IFERROR(__xludf.DUMMYFUNCTION("IF(IF(COUNTIF(P$2:P1710, P1711)=0, """", INDEX(H$2:H1710,
MAX(FILTER(ROW(H$2:H1710) - ROW(H$2) + 1, P$2:P1710 = P1711))))=""単価"","""",
IF(COUNTIF(P$2:P1710, P1711)=0, """", INDEX(H$2:H1710,
MAX(FILTER(ROW(H$2:H1710) - ROW(H$2) + 1, P$2:P1710 = P1711)))))"),27.8)</f>
        <v>27.8</v>
      </c>
      <c r="N1711" s="335" t="str">
        <f>IF(MAXIFS('単価履歴'!$O:$O,'単価履歴'!$E:$E,E1711,'単価履歴'!$F:$F,F1711)=O1711,"●","")</f>
        <v/>
      </c>
      <c r="O1711" s="346">
        <v>45810.76907407407</v>
      </c>
      <c r="P1711" s="334" t="str">
        <f t="shared" si="4"/>
        <v>大鉄　堺:伊藤忠新断Ａ</v>
      </c>
    </row>
    <row r="1712" ht="15.75" customHeight="1">
      <c r="A1712" s="335" t="s">
        <v>2884</v>
      </c>
      <c r="B1712" s="336">
        <v>45811.0</v>
      </c>
      <c r="C1712" s="335" t="s">
        <v>9</v>
      </c>
      <c r="D1712" s="335" t="s">
        <v>49</v>
      </c>
      <c r="E1712" s="337" t="str">
        <f t="shared" si="1"/>
        <v>大鉄　堺:伊藤忠</v>
      </c>
      <c r="F1712" s="338" t="s">
        <v>131</v>
      </c>
      <c r="G1712" s="339" t="str">
        <f t="shared" si="2"/>
        <v>大鉄　堺:伊藤忠新断Ｂ</v>
      </c>
      <c r="H1712" s="340">
        <f t="shared" si="3"/>
        <v>26.8</v>
      </c>
      <c r="I1712" s="341">
        <v>-0.5</v>
      </c>
      <c r="J1712" s="332">
        <f>IFERROR(__xludf.DUMMYFUNCTION("IF(IF(COUNTIF(P$2:P1711, P1712)=0, """", INDEX(H$2:H1711,
MAX(FILTER(ROW(H$2:H1711) - ROW(H$2) + 1, P$2:P1711 = P1712))))=""単価"","""",
IF(COUNTIF(P$2:P1711, P1712)=0, """", INDEX(H$2:H1711,
MAX(FILTER(ROW(H$2:H1711) - ROW(H$2) + 1, P$2:P1711 = P1712)))))"),27.3)</f>
        <v>27.3</v>
      </c>
      <c r="N1712" s="335" t="str">
        <f>IF(MAXIFS('単価履歴'!$O:$O,'単価履歴'!$E:$E,E1712,'単価履歴'!$F:$F,F1712)=O1712,"●","")</f>
        <v/>
      </c>
      <c r="O1712" s="346">
        <v>45810.76907407407</v>
      </c>
      <c r="P1712" s="334" t="str">
        <f t="shared" si="4"/>
        <v>大鉄　堺:伊藤忠新断Ｂ</v>
      </c>
    </row>
    <row r="1713" ht="15.75" customHeight="1">
      <c r="A1713" s="335" t="s">
        <v>2885</v>
      </c>
      <c r="B1713" s="336">
        <v>45811.0</v>
      </c>
      <c r="C1713" s="335" t="s">
        <v>9</v>
      </c>
      <c r="D1713" s="335" t="s">
        <v>49</v>
      </c>
      <c r="E1713" s="337" t="str">
        <f t="shared" si="1"/>
        <v>大鉄　堺:伊藤忠</v>
      </c>
      <c r="F1713" s="338" t="s">
        <v>575</v>
      </c>
      <c r="G1713" s="339" t="str">
        <f t="shared" si="2"/>
        <v>大鉄　堺:伊藤忠鋼ダライＡ</v>
      </c>
      <c r="H1713" s="340">
        <f t="shared" si="3"/>
        <v>-1</v>
      </c>
      <c r="I1713" s="341">
        <v>-0.5</v>
      </c>
      <c r="J1713" s="332">
        <f>IFERROR(__xludf.DUMMYFUNCTION("IF(IF(COUNTIF(P$2:P1712, P1713)=0, """", INDEX(H$2:H1712,
MAX(FILTER(ROW(H$2:H1712) - ROW(H$2) + 1, P$2:P1712 = P1713))))=""単価"","""",
IF(COUNTIF(P$2:P1712, P1713)=0, """", INDEX(H$2:H1712,
MAX(FILTER(ROW(H$2:H1712) - ROW(H$2) + 1, P$2:P1712 = P1713)))))"),-0.5)</f>
        <v>-0.5</v>
      </c>
      <c r="N1713" s="335" t="str">
        <f>IF(MAXIFS('単価履歴'!$O:$O,'単価履歴'!$E:$E,E1713,'単価履歴'!$F:$F,F1713)=O1713,"●","")</f>
        <v/>
      </c>
      <c r="O1713" s="346">
        <v>45810.76907407407</v>
      </c>
      <c r="P1713" s="334" t="str">
        <f t="shared" si="4"/>
        <v>大鉄　堺:伊藤忠鋼ダライＡ</v>
      </c>
    </row>
    <row r="1714" ht="15.75" customHeight="1">
      <c r="A1714" s="335" t="s">
        <v>2886</v>
      </c>
      <c r="B1714" s="336">
        <v>45811.0</v>
      </c>
      <c r="C1714" s="335" t="s">
        <v>9</v>
      </c>
      <c r="D1714" s="335" t="s">
        <v>49</v>
      </c>
      <c r="E1714" s="337" t="str">
        <f t="shared" si="1"/>
        <v>大鉄　堺:伊藤忠</v>
      </c>
      <c r="F1714" s="338" t="s">
        <v>576</v>
      </c>
      <c r="G1714" s="339" t="str">
        <f t="shared" si="2"/>
        <v>大鉄　堺:伊藤忠鋼ダライＢ</v>
      </c>
      <c r="H1714" s="340">
        <f t="shared" si="3"/>
        <v>-1</v>
      </c>
      <c r="I1714" s="341">
        <v>-0.5</v>
      </c>
      <c r="J1714" s="332">
        <f>IFERROR(__xludf.DUMMYFUNCTION("IF(IF(COUNTIF(P$2:P1713, P1714)=0, """", INDEX(H$2:H1713,
MAX(FILTER(ROW(H$2:H1713) - ROW(H$2) + 1, P$2:P1713 = P1714))))=""単価"","""",
IF(COUNTIF(P$2:P1713, P1714)=0, """", INDEX(H$2:H1713,
MAX(FILTER(ROW(H$2:H1713) - ROW(H$2) + 1, P$2:P1713 = P1714)))))"),-0.5)</f>
        <v>-0.5</v>
      </c>
      <c r="N1714" s="335" t="str">
        <f>IF(MAXIFS('単価履歴'!$O:$O,'単価履歴'!$E:$E,E1714,'単価履歴'!$F:$F,F1714)=O1714,"●","")</f>
        <v/>
      </c>
      <c r="O1714" s="346">
        <v>45810.76907407407</v>
      </c>
      <c r="P1714" s="334" t="str">
        <f t="shared" si="4"/>
        <v>大鉄　堺:伊藤忠鋼ダライＢ</v>
      </c>
    </row>
    <row r="1715" ht="15.75" customHeight="1">
      <c r="A1715" s="335" t="s">
        <v>2887</v>
      </c>
      <c r="B1715" s="336">
        <v>45811.0</v>
      </c>
      <c r="C1715" s="335" t="s">
        <v>9</v>
      </c>
      <c r="D1715" s="335" t="s">
        <v>49</v>
      </c>
      <c r="E1715" s="337" t="str">
        <f t="shared" si="1"/>
        <v>大鉄　堺:伊藤忠</v>
      </c>
      <c r="F1715" s="338" t="s">
        <v>145</v>
      </c>
      <c r="G1715" s="339" t="str">
        <f t="shared" si="2"/>
        <v>大鉄　堺:伊藤忠シュレＡ</v>
      </c>
      <c r="H1715" s="340">
        <f t="shared" si="3"/>
        <v>-1</v>
      </c>
      <c r="I1715" s="341">
        <v>-0.5</v>
      </c>
      <c r="J1715" s="332">
        <f>IFERROR(__xludf.DUMMYFUNCTION("IF(IF(COUNTIF(P$2:P1714, P1715)=0, """", INDEX(H$2:H1714,
MAX(FILTER(ROW(H$2:H1714) - ROW(H$2) + 1, P$2:P1714 = P1715))))=""単価"","""",
IF(COUNTIF(P$2:P1714, P1715)=0, """", INDEX(H$2:H1714,
MAX(FILTER(ROW(H$2:H1714) - ROW(H$2) + 1, P$2:P1714 = P1715)))))"),-0.5)</f>
        <v>-0.5</v>
      </c>
      <c r="N1715" s="335" t="str">
        <f>IF(MAXIFS('単価履歴'!$O:$O,'単価履歴'!$E:$E,E1715,'単価履歴'!$F:$F,F1715)=O1715,"●","")</f>
        <v/>
      </c>
      <c r="O1715" s="346">
        <v>45810.76907407407</v>
      </c>
      <c r="P1715" s="334" t="str">
        <f t="shared" si="4"/>
        <v>大鉄　堺:伊藤忠シュレＡ</v>
      </c>
    </row>
    <row r="1716" ht="15.75" customHeight="1">
      <c r="A1716" s="335" t="s">
        <v>2888</v>
      </c>
      <c r="B1716" s="336">
        <v>45811.0</v>
      </c>
      <c r="C1716" s="335" t="s">
        <v>9</v>
      </c>
      <c r="D1716" s="335" t="s">
        <v>49</v>
      </c>
      <c r="E1716" s="337" t="str">
        <f t="shared" si="1"/>
        <v>大鉄　堺:伊藤忠</v>
      </c>
      <c r="F1716" s="338" t="s">
        <v>149</v>
      </c>
      <c r="G1716" s="339" t="str">
        <f t="shared" si="2"/>
        <v>大鉄　堺:伊藤忠シュレＢ</v>
      </c>
      <c r="H1716" s="340">
        <f t="shared" si="3"/>
        <v>-1</v>
      </c>
      <c r="I1716" s="341">
        <v>-0.5</v>
      </c>
      <c r="J1716" s="332">
        <f>IFERROR(__xludf.DUMMYFUNCTION("IF(IF(COUNTIF(P$2:P1715, P1716)=0, """", INDEX(H$2:H1715,
MAX(FILTER(ROW(H$2:H1715) - ROW(H$2) + 1, P$2:P1715 = P1716))))=""単価"","""",
IF(COUNTIF(P$2:P1715, P1716)=0, """", INDEX(H$2:H1715,
MAX(FILTER(ROW(H$2:H1715) - ROW(H$2) + 1, P$2:P1715 = P1716)))))"),-0.5)</f>
        <v>-0.5</v>
      </c>
      <c r="N1716" s="335" t="str">
        <f>IF(MAXIFS('単価履歴'!$O:$O,'単価履歴'!$E:$E,E1716,'単価履歴'!$F:$F,F1716)=O1716,"●","")</f>
        <v/>
      </c>
      <c r="O1716" s="346">
        <v>45810.76907407407</v>
      </c>
      <c r="P1716" s="334" t="str">
        <f t="shared" si="4"/>
        <v>大鉄　堺:伊藤忠シュレＢ</v>
      </c>
    </row>
    <row r="1717" ht="15.75" customHeight="1">
      <c r="A1717" s="335" t="s">
        <v>2889</v>
      </c>
      <c r="B1717" s="336">
        <v>45811.0</v>
      </c>
      <c r="C1717" s="335" t="s">
        <v>9</v>
      </c>
      <c r="D1717" s="335" t="s">
        <v>49</v>
      </c>
      <c r="E1717" s="337" t="str">
        <f t="shared" si="1"/>
        <v>大鉄　堺:伊藤忠</v>
      </c>
      <c r="F1717" s="338" t="s">
        <v>151</v>
      </c>
      <c r="G1717" s="339" t="str">
        <f t="shared" si="2"/>
        <v>大鉄　堺:伊藤忠シュレＣ</v>
      </c>
      <c r="H1717" s="340">
        <f t="shared" si="3"/>
        <v>-1</v>
      </c>
      <c r="I1717" s="341">
        <v>-0.5</v>
      </c>
      <c r="J1717" s="332">
        <f>IFERROR(__xludf.DUMMYFUNCTION("IF(IF(COUNTIF(P$2:P1716, P1717)=0, """", INDEX(H$2:H1716,
MAX(FILTER(ROW(H$2:H1716) - ROW(H$2) + 1, P$2:P1716 = P1717))))=""単価"","""",
IF(COUNTIF(P$2:P1716, P1717)=0, """", INDEX(H$2:H1716,
MAX(FILTER(ROW(H$2:H1716) - ROW(H$2) + 1, P$2:P1716 = P1717)))))"),-0.5)</f>
        <v>-0.5</v>
      </c>
      <c r="N1717" s="335" t="str">
        <f>IF(MAXIFS('単価履歴'!$O:$O,'単価履歴'!$E:$E,E1717,'単価履歴'!$F:$F,F1717)=O1717,"●","")</f>
        <v/>
      </c>
      <c r="O1717" s="346">
        <v>45810.76907407407</v>
      </c>
      <c r="P1717" s="334" t="str">
        <f t="shared" si="4"/>
        <v>大鉄　堺:伊藤忠シュレＣ</v>
      </c>
    </row>
    <row r="1718" ht="15.75" customHeight="1">
      <c r="A1718" s="335" t="s">
        <v>2890</v>
      </c>
      <c r="B1718" s="336">
        <v>45811.0</v>
      </c>
      <c r="C1718" s="335" t="s">
        <v>9</v>
      </c>
      <c r="D1718" s="335" t="s">
        <v>49</v>
      </c>
      <c r="E1718" s="337" t="str">
        <f t="shared" si="1"/>
        <v>大鉄　堺:伊藤忠</v>
      </c>
      <c r="F1718" s="338" t="s">
        <v>154</v>
      </c>
      <c r="G1718" s="339" t="str">
        <f t="shared" si="2"/>
        <v>大鉄　堺:伊藤忠ＣＰ Ａ</v>
      </c>
      <c r="H1718" s="340">
        <f t="shared" si="3"/>
        <v>-1</v>
      </c>
      <c r="I1718" s="341">
        <v>-0.5</v>
      </c>
      <c r="J1718" s="332">
        <f>IFERROR(__xludf.DUMMYFUNCTION("IF(IF(COUNTIF(P$2:P1717, P1718)=0, """", INDEX(H$2:H1717,
MAX(FILTER(ROW(H$2:H1717) - ROW(H$2) + 1, P$2:P1717 = P1718))))=""単価"","""",
IF(COUNTIF(P$2:P1717, P1718)=0, """", INDEX(H$2:H1717,
MAX(FILTER(ROW(H$2:H1717) - ROW(H$2) + 1, P$2:P1717 = P1718)))))"),-0.5)</f>
        <v>-0.5</v>
      </c>
      <c r="N1718" s="335" t="str">
        <f>IF(MAXIFS('単価履歴'!$O:$O,'単価履歴'!$E:$E,E1718,'単価履歴'!$F:$F,F1718)=O1718,"●","")</f>
        <v/>
      </c>
      <c r="O1718" s="346">
        <v>45810.76907407407</v>
      </c>
      <c r="P1718" s="334" t="str">
        <f t="shared" si="4"/>
        <v>大鉄　堺:伊藤忠ＣＰ Ａ</v>
      </c>
    </row>
    <row r="1719" ht="15.75" customHeight="1">
      <c r="A1719" s="335" t="s">
        <v>2891</v>
      </c>
      <c r="B1719" s="336">
        <v>45811.0</v>
      </c>
      <c r="C1719" s="335" t="s">
        <v>9</v>
      </c>
      <c r="D1719" s="335" t="s">
        <v>49</v>
      </c>
      <c r="E1719" s="337" t="str">
        <f t="shared" si="1"/>
        <v>大鉄　堺:伊藤忠</v>
      </c>
      <c r="F1719" s="338" t="s">
        <v>156</v>
      </c>
      <c r="G1719" s="339" t="str">
        <f t="shared" si="2"/>
        <v>大鉄　堺:伊藤忠ＣＰ Ｂ一斗缶</v>
      </c>
      <c r="H1719" s="340">
        <f t="shared" si="3"/>
        <v>-1</v>
      </c>
      <c r="I1719" s="341">
        <v>-0.5</v>
      </c>
      <c r="J1719" s="332">
        <f>IFERROR(__xludf.DUMMYFUNCTION("IF(IF(COUNTIF(P$2:P1718, P1719)=0, """", INDEX(H$2:H1718,
MAX(FILTER(ROW(H$2:H1718) - ROW(H$2) + 1, P$2:P1718 = P1719))))=""単価"","""",
IF(COUNTIF(P$2:P1718, P1719)=0, """", INDEX(H$2:H1718,
MAX(FILTER(ROW(H$2:H1718) - ROW(H$2) + 1, P$2:P1718 = P1719)))))"),-0.5)</f>
        <v>-0.5</v>
      </c>
      <c r="N1719" s="335" t="str">
        <f>IF(MAXIFS('単価履歴'!$O:$O,'単価履歴'!$E:$E,E1719,'単価履歴'!$F:$F,F1719)=O1719,"●","")</f>
        <v/>
      </c>
      <c r="O1719" s="346">
        <v>45810.76907407407</v>
      </c>
      <c r="P1719" s="334" t="str">
        <f t="shared" si="4"/>
        <v>大鉄　堺:伊藤忠ＣＰ Ｂ一斗缶</v>
      </c>
    </row>
    <row r="1720" ht="15.75" customHeight="1">
      <c r="A1720" s="335" t="s">
        <v>2892</v>
      </c>
      <c r="B1720" s="336">
        <v>45811.0</v>
      </c>
      <c r="C1720" s="335" t="s">
        <v>10</v>
      </c>
      <c r="D1720" s="335" t="s">
        <v>47</v>
      </c>
      <c r="E1720" s="337" t="str">
        <f t="shared" si="1"/>
        <v>岸和田:豊通</v>
      </c>
      <c r="F1720" s="338" t="s">
        <v>111</v>
      </c>
      <c r="G1720" s="339" t="str">
        <f t="shared" si="2"/>
        <v>岸和田:豊通Ｈ１(特A)</v>
      </c>
      <c r="H1720" s="340">
        <f t="shared" si="3"/>
        <v>42.5</v>
      </c>
      <c r="I1720" s="341">
        <v>-0.5</v>
      </c>
      <c r="J1720" s="332">
        <f>IFERROR(__xludf.DUMMYFUNCTION("IF(IF(COUNTIF(P$2:P1719, P1720)=0, """", INDEX(H$2:H1719,
MAX(FILTER(ROW(H$2:H1719) - ROW(H$2) + 1, P$2:P1719 = P1720))))=""単価"","""",
IF(COUNTIF(P$2:P1719, P1720)=0, """", INDEX(H$2:H1719,
MAX(FILTER(ROW(H$2:H1719) - ROW(H$2) + 1, P$2:P1719 = P1720)))))"),43.0)</f>
        <v>43</v>
      </c>
      <c r="N1720" s="335" t="str">
        <f>IF(MAXIFS('単価履歴'!$O:$O,'単価履歴'!$E:$E,E1720,'単価履歴'!$F:$F,F1720)=O1720,"●","")</f>
        <v/>
      </c>
      <c r="O1720" s="346">
        <v>45810.769282407404</v>
      </c>
      <c r="P1720" s="334" t="str">
        <f t="shared" si="4"/>
        <v>岸和田:豊通Ｈ１(特A)</v>
      </c>
    </row>
    <row r="1721" ht="15.75" customHeight="1">
      <c r="A1721" s="335" t="s">
        <v>2893</v>
      </c>
      <c r="B1721" s="336">
        <v>45811.0</v>
      </c>
      <c r="C1721" s="335" t="s">
        <v>10</v>
      </c>
      <c r="D1721" s="335" t="s">
        <v>47</v>
      </c>
      <c r="E1721" s="337" t="str">
        <f t="shared" si="1"/>
        <v>岸和田:豊通</v>
      </c>
      <c r="F1721" s="338" t="s">
        <v>116</v>
      </c>
      <c r="G1721" s="339" t="str">
        <f t="shared" si="2"/>
        <v>岸和田:豊通Ｈ２(特級)</v>
      </c>
      <c r="H1721" s="340">
        <f t="shared" si="3"/>
        <v>40.5</v>
      </c>
      <c r="I1721" s="341">
        <v>-0.5</v>
      </c>
      <c r="J1721" s="332">
        <f>IFERROR(__xludf.DUMMYFUNCTION("IF(IF(COUNTIF(P$2:P1720, P1721)=0, """", INDEX(H$2:H1720,
MAX(FILTER(ROW(H$2:H1720) - ROW(H$2) + 1, P$2:P1720 = P1721))))=""単価"","""",
IF(COUNTIF(P$2:P1720, P1721)=0, """", INDEX(H$2:H1720,
MAX(FILTER(ROW(H$2:H1720) - ROW(H$2) + 1, P$2:P1720 = P1721)))))"),41.0)</f>
        <v>41</v>
      </c>
      <c r="N1721" s="335" t="str">
        <f>IF(MAXIFS('単価履歴'!$O:$O,'単価履歴'!$E:$E,E1721,'単価履歴'!$F:$F,F1721)=O1721,"●","")</f>
        <v/>
      </c>
      <c r="O1721" s="346">
        <v>45810.769282407404</v>
      </c>
      <c r="P1721" s="334" t="str">
        <f t="shared" si="4"/>
        <v>岸和田:豊通Ｈ２(特級)</v>
      </c>
    </row>
    <row r="1722" ht="15.75" customHeight="1">
      <c r="A1722" s="335" t="s">
        <v>2894</v>
      </c>
      <c r="B1722" s="336">
        <v>45811.0</v>
      </c>
      <c r="C1722" s="335" t="s">
        <v>10</v>
      </c>
      <c r="D1722" s="335" t="s">
        <v>47</v>
      </c>
      <c r="E1722" s="337" t="str">
        <f t="shared" si="1"/>
        <v>岸和田:豊通</v>
      </c>
      <c r="F1722" s="338" t="s">
        <v>119</v>
      </c>
      <c r="G1722" s="339" t="str">
        <f t="shared" si="2"/>
        <v>岸和田:豊通Ｈ３(1級)</v>
      </c>
      <c r="H1722" s="340">
        <f t="shared" si="3"/>
        <v>40</v>
      </c>
      <c r="I1722" s="341">
        <v>-0.5</v>
      </c>
      <c r="J1722" s="332">
        <f>IFERROR(__xludf.DUMMYFUNCTION("IF(IF(COUNTIF(P$2:P1721, P1722)=0, """", INDEX(H$2:H1721,
MAX(FILTER(ROW(H$2:H1721) - ROW(H$2) + 1, P$2:P1721 = P1722))))=""単価"","""",
IF(COUNTIF(P$2:P1721, P1722)=0, """", INDEX(H$2:H1721,
MAX(FILTER(ROW(H$2:H1721) - ROW(H$2) + 1, P$2:P1721 = P1722)))))"),40.5)</f>
        <v>40.5</v>
      </c>
      <c r="N1722" s="335" t="str">
        <f>IF(MAXIFS('単価履歴'!$O:$O,'単価履歴'!$E:$E,E1722,'単価履歴'!$F:$F,F1722)=O1722,"●","")</f>
        <v/>
      </c>
      <c r="O1722" s="346">
        <v>45810.769282407404</v>
      </c>
      <c r="P1722" s="334" t="str">
        <f t="shared" si="4"/>
        <v>岸和田:豊通Ｈ３(1級)</v>
      </c>
    </row>
    <row r="1723" ht="15.75" customHeight="1">
      <c r="A1723" s="335" t="s">
        <v>2895</v>
      </c>
      <c r="B1723" s="336">
        <v>45811.0</v>
      </c>
      <c r="C1723" s="335" t="s">
        <v>10</v>
      </c>
      <c r="D1723" s="335" t="s">
        <v>47</v>
      </c>
      <c r="E1723" s="337" t="str">
        <f t="shared" si="1"/>
        <v>岸和田:豊通</v>
      </c>
      <c r="F1723" s="338" t="s">
        <v>122</v>
      </c>
      <c r="G1723" s="339" t="str">
        <f t="shared" si="2"/>
        <v>岸和田:豊通Ｌ１(2級)</v>
      </c>
      <c r="H1723" s="340">
        <f t="shared" si="3"/>
        <v>39.5</v>
      </c>
      <c r="I1723" s="341">
        <v>-0.5</v>
      </c>
      <c r="J1723" s="332">
        <f>IFERROR(__xludf.DUMMYFUNCTION("IF(IF(COUNTIF(P$2:P1722, P1723)=0, """", INDEX(H$2:H1722,
MAX(FILTER(ROW(H$2:H1722) - ROW(H$2) + 1, P$2:P1722 = P1723))))=""単価"","""",
IF(COUNTIF(P$2:P1722, P1723)=0, """", INDEX(H$2:H1722,
MAX(FILTER(ROW(H$2:H1722) - ROW(H$2) + 1, P$2:P1722 = P1723)))))"),40.0)</f>
        <v>40</v>
      </c>
      <c r="N1723" s="335" t="str">
        <f>IF(MAXIFS('単価履歴'!$O:$O,'単価履歴'!$E:$E,E1723,'単価履歴'!$F:$F,F1723)=O1723,"●","")</f>
        <v/>
      </c>
      <c r="O1723" s="346">
        <v>45810.769282407404</v>
      </c>
      <c r="P1723" s="334" t="str">
        <f t="shared" si="4"/>
        <v>岸和田:豊通Ｌ１(2級)</v>
      </c>
    </row>
    <row r="1724" ht="15.75" customHeight="1">
      <c r="A1724" s="335" t="s">
        <v>2896</v>
      </c>
      <c r="B1724" s="336">
        <v>45811.0</v>
      </c>
      <c r="C1724" s="335" t="s">
        <v>10</v>
      </c>
      <c r="D1724" s="335" t="s">
        <v>47</v>
      </c>
      <c r="E1724" s="337" t="str">
        <f t="shared" si="1"/>
        <v>岸和田:豊通</v>
      </c>
      <c r="F1724" s="338" t="s">
        <v>154</v>
      </c>
      <c r="G1724" s="339" t="str">
        <f t="shared" si="2"/>
        <v>岸和田:豊通ＣＰ Ａ</v>
      </c>
      <c r="H1724" s="340">
        <f t="shared" si="3"/>
        <v>42.7</v>
      </c>
      <c r="I1724" s="341">
        <v>-0.5</v>
      </c>
      <c r="J1724" s="332">
        <f>IFERROR(__xludf.DUMMYFUNCTION("IF(IF(COUNTIF(P$2:P1723, P1724)=0, """", INDEX(H$2:H1723,
MAX(FILTER(ROW(H$2:H1723) - ROW(H$2) + 1, P$2:P1723 = P1724))))=""単価"","""",
IF(COUNTIF(P$2:P1723, P1724)=0, """", INDEX(H$2:H1723,
MAX(FILTER(ROW(H$2:H1723) - ROW(H$2) + 1, P$2:P1723 = P1724)))))"),43.2)</f>
        <v>43.2</v>
      </c>
      <c r="N1724" s="335" t="str">
        <f>IF(MAXIFS('単価履歴'!$O:$O,'単価履歴'!$E:$E,E1724,'単価履歴'!$F:$F,F1724)=O1724,"●","")</f>
        <v/>
      </c>
      <c r="O1724" s="346">
        <v>45810.769282407404</v>
      </c>
      <c r="P1724" s="334" t="str">
        <f t="shared" si="4"/>
        <v>岸和田:豊通ＣＰ Ａ</v>
      </c>
    </row>
    <row r="1725" ht="15.75" customHeight="1">
      <c r="A1725" s="335" t="s">
        <v>2897</v>
      </c>
      <c r="B1725" s="336">
        <v>45811.0</v>
      </c>
      <c r="C1725" s="335" t="s">
        <v>22</v>
      </c>
      <c r="D1725" s="335" t="s">
        <v>47</v>
      </c>
      <c r="E1725" s="337" t="str">
        <f t="shared" si="1"/>
        <v>栗本鐵工:豊通</v>
      </c>
      <c r="F1725" s="338" t="s">
        <v>1199</v>
      </c>
      <c r="G1725" s="339" t="str">
        <f t="shared" si="2"/>
        <v>栗本鐵工:豊通ＨＳ１(単体H1/電特A/HS))</v>
      </c>
      <c r="H1725" s="340">
        <f t="shared" si="3"/>
        <v>47.3</v>
      </c>
      <c r="I1725" s="341">
        <v>-0.5</v>
      </c>
      <c r="J1725" s="332">
        <f>IFERROR(__xludf.DUMMYFUNCTION("IF(IF(COUNTIF(P$2:P1724, P1725)=0, """", INDEX(H$2:H1724,
MAX(FILTER(ROW(H$2:H1724) - ROW(H$2) + 1, P$2:P1724 = P1725))))=""単価"","""",
IF(COUNTIF(P$2:P1724, P1725)=0, """", INDEX(H$2:H1724,
MAX(FILTER(ROW(H$2:H1724) - ROW(H$2) + 1, P$2:P1724 = P1725)))))"),47.8)</f>
        <v>47.8</v>
      </c>
      <c r="N1725" s="335" t="str">
        <f>IF(MAXIFS('単価履歴'!$O:$O,'単価履歴'!$E:$E,E1725,'単価履歴'!$F:$F,F1725)=O1725,"●","")</f>
        <v/>
      </c>
      <c r="O1725" s="346">
        <v>45810.769641203704</v>
      </c>
      <c r="P1725" s="334" t="str">
        <f t="shared" si="4"/>
        <v>栗本鐵工:豊通ＨＳ１(単体H1/電特A/HS))</v>
      </c>
    </row>
    <row r="1726" ht="15.75" customHeight="1">
      <c r="A1726" s="335" t="s">
        <v>2898</v>
      </c>
      <c r="B1726" s="336">
        <v>45811.0</v>
      </c>
      <c r="C1726" s="335" t="s">
        <v>22</v>
      </c>
      <c r="D1726" s="335" t="s">
        <v>47</v>
      </c>
      <c r="E1726" s="337" t="str">
        <f t="shared" si="1"/>
        <v>栗本鐵工:豊通</v>
      </c>
      <c r="F1726" s="338" t="s">
        <v>101</v>
      </c>
      <c r="G1726" s="339" t="str">
        <f t="shared" si="2"/>
        <v>栗本鐵工:豊通ＨＳ２</v>
      </c>
      <c r="H1726" s="340">
        <f t="shared" si="3"/>
        <v>47</v>
      </c>
      <c r="I1726" s="341">
        <v>-0.5</v>
      </c>
      <c r="J1726" s="332">
        <f>IFERROR(__xludf.DUMMYFUNCTION("IF(IF(COUNTIF(P$2:P1725, P1726)=0, """", INDEX(H$2:H1725,
MAX(FILTER(ROW(H$2:H1725) - ROW(H$2) + 1, P$2:P1725 = P1726))))=""単価"","""",
IF(COUNTIF(P$2:P1725, P1726)=0, """", INDEX(H$2:H1725,
MAX(FILTER(ROW(H$2:H1725) - ROW(H$2) + 1, P$2:P1725 = P1726)))))"),47.5)</f>
        <v>47.5</v>
      </c>
      <c r="N1726" s="335" t="str">
        <f>IF(MAXIFS('単価履歴'!$O:$O,'単価履歴'!$E:$E,E1726,'単価履歴'!$F:$F,F1726)=O1726,"●","")</f>
        <v/>
      </c>
      <c r="O1726" s="346">
        <v>45810.769641203704</v>
      </c>
      <c r="P1726" s="334" t="str">
        <f t="shared" si="4"/>
        <v>栗本鐵工:豊通ＨＳ２</v>
      </c>
    </row>
    <row r="1727" ht="15.75" customHeight="1">
      <c r="A1727" s="335" t="s">
        <v>2899</v>
      </c>
      <c r="B1727" s="336">
        <v>45811.0</v>
      </c>
      <c r="C1727" s="335" t="s">
        <v>22</v>
      </c>
      <c r="D1727" s="335" t="s">
        <v>47</v>
      </c>
      <c r="E1727" s="337" t="str">
        <f t="shared" si="1"/>
        <v>栗本鐵工:豊通</v>
      </c>
      <c r="F1727" s="338" t="s">
        <v>105</v>
      </c>
      <c r="G1727" s="339" t="str">
        <f t="shared" si="2"/>
        <v>栗本鐵工:豊通ＨＳ３</v>
      </c>
      <c r="H1727" s="340">
        <f t="shared" si="3"/>
        <v>46.1</v>
      </c>
      <c r="I1727" s="341">
        <v>-0.5</v>
      </c>
      <c r="J1727" s="332">
        <f>IFERROR(__xludf.DUMMYFUNCTION("IF(IF(COUNTIF(P$2:P1726, P1727)=0, """", INDEX(H$2:H1726,
MAX(FILTER(ROW(H$2:H1726) - ROW(H$2) + 1, P$2:P1726 = P1727))))=""単価"","""",
IF(COUNTIF(P$2:P1726, P1727)=0, """", INDEX(H$2:H1726,
MAX(FILTER(ROW(H$2:H1726) - ROW(H$2) + 1, P$2:P1726 = P1727)))))"),46.6)</f>
        <v>46.6</v>
      </c>
      <c r="N1727" s="335" t="str">
        <f>IF(MAXIFS('単価履歴'!$O:$O,'単価履歴'!$E:$E,E1727,'単価履歴'!$F:$F,F1727)=O1727,"●","")</f>
        <v/>
      </c>
      <c r="O1727" s="346">
        <v>45810.769641203704</v>
      </c>
      <c r="P1727" s="334" t="str">
        <f t="shared" si="4"/>
        <v>栗本鐵工:豊通ＨＳ３</v>
      </c>
    </row>
    <row r="1728" ht="15.75" customHeight="1">
      <c r="A1728" s="335" t="s">
        <v>2900</v>
      </c>
      <c r="B1728" s="336">
        <v>45811.0</v>
      </c>
      <c r="C1728" s="335" t="s">
        <v>36</v>
      </c>
      <c r="D1728" s="335" t="s">
        <v>1303</v>
      </c>
      <c r="E1728" s="337" t="str">
        <f t="shared" si="1"/>
        <v>共英枚方:ナベ/置場単価</v>
      </c>
      <c r="F1728" s="338" t="s">
        <v>111</v>
      </c>
      <c r="G1728" s="339" t="str">
        <f t="shared" si="2"/>
        <v>共英枚方:ナベ/置場単価Ｈ１(特A)</v>
      </c>
      <c r="H1728" s="340">
        <f t="shared" si="3"/>
        <v>41.5</v>
      </c>
      <c r="I1728" s="341">
        <v>-0.5</v>
      </c>
      <c r="J1728" s="332">
        <f>IFERROR(__xludf.DUMMYFUNCTION("IF(IF(COUNTIF(P$2:P1727, P1728)=0, """", INDEX(H$2:H1727,
MAX(FILTER(ROW(H$2:H1727) - ROW(H$2) + 1, P$2:P1727 = P1728))))=""単価"","""",
IF(COUNTIF(P$2:P1727, P1728)=0, """", INDEX(H$2:H1727,
MAX(FILTER(ROW(H$2:H1727) - ROW(H$2) + 1, P$2:P1727 = P1728)))))"),42.0)</f>
        <v>42</v>
      </c>
      <c r="N1728" s="335" t="str">
        <f>IF(MAXIFS('単価履歴'!$O:$O,'単価履歴'!$E:$E,E1728,'単価履歴'!$F:$F,F1728)=O1728,"●","")</f>
        <v/>
      </c>
      <c r="O1728" s="346">
        <v>45810.769953703704</v>
      </c>
      <c r="P1728" s="334" t="str">
        <f t="shared" si="4"/>
        <v>共英枚方:ナベ/置場単価Ｈ１(特A)</v>
      </c>
    </row>
    <row r="1729" ht="15.75" customHeight="1">
      <c r="A1729" s="335" t="s">
        <v>2901</v>
      </c>
      <c r="B1729" s="336">
        <v>45811.0</v>
      </c>
      <c r="C1729" s="335" t="s">
        <v>36</v>
      </c>
      <c r="D1729" s="335" t="s">
        <v>1303</v>
      </c>
      <c r="E1729" s="337" t="str">
        <f t="shared" si="1"/>
        <v>共英枚方:ナベ/置場単価</v>
      </c>
      <c r="F1729" s="338" t="s">
        <v>116</v>
      </c>
      <c r="G1729" s="339" t="str">
        <f t="shared" si="2"/>
        <v>共英枚方:ナベ/置場単価Ｈ２(特級)</v>
      </c>
      <c r="H1729" s="340">
        <f t="shared" si="3"/>
        <v>39.5</v>
      </c>
      <c r="I1729" s="341">
        <v>-0.5</v>
      </c>
      <c r="J1729" s="332">
        <f>IFERROR(__xludf.DUMMYFUNCTION("IF(IF(COUNTIF(P$2:P1728, P1729)=0, """", INDEX(H$2:H1728,
MAX(FILTER(ROW(H$2:H1728) - ROW(H$2) + 1, P$2:P1728 = P1729))))=""単価"","""",
IF(COUNTIF(P$2:P1728, P1729)=0, """", INDEX(H$2:H1728,
MAX(FILTER(ROW(H$2:H1728) - ROW(H$2) + 1, P$2:P1728 = P1729)))))"),40.0)</f>
        <v>40</v>
      </c>
      <c r="N1729" s="335" t="str">
        <f>IF(MAXIFS('単価履歴'!$O:$O,'単価履歴'!$E:$E,E1729,'単価履歴'!$F:$F,F1729)=O1729,"●","")</f>
        <v/>
      </c>
      <c r="O1729" s="346">
        <v>45810.769953703704</v>
      </c>
      <c r="P1729" s="334" t="str">
        <f t="shared" si="4"/>
        <v>共英枚方:ナベ/置場単価Ｈ２(特級)</v>
      </c>
    </row>
    <row r="1730" ht="15.75" customHeight="1">
      <c r="A1730" s="335" t="s">
        <v>2902</v>
      </c>
      <c r="B1730" s="336">
        <v>45811.0</v>
      </c>
      <c r="C1730" s="335" t="s">
        <v>36</v>
      </c>
      <c r="D1730" s="335" t="s">
        <v>1303</v>
      </c>
      <c r="E1730" s="337" t="str">
        <f t="shared" si="1"/>
        <v>共英枚方:ナベ/置場単価</v>
      </c>
      <c r="F1730" s="338" t="s">
        <v>119</v>
      </c>
      <c r="G1730" s="339" t="str">
        <f t="shared" si="2"/>
        <v>共英枚方:ナベ/置場単価Ｈ３(1級)</v>
      </c>
      <c r="H1730" s="340">
        <f t="shared" si="3"/>
        <v>39</v>
      </c>
      <c r="I1730" s="341">
        <v>-0.5</v>
      </c>
      <c r="J1730" s="332">
        <f>IFERROR(__xludf.DUMMYFUNCTION("IF(IF(COUNTIF(P$2:P1729, P1730)=0, """", INDEX(H$2:H1729,
MAX(FILTER(ROW(H$2:H1729) - ROW(H$2) + 1, P$2:P1729 = P1730))))=""単価"","""",
IF(COUNTIF(P$2:P1729, P1730)=0, """", INDEX(H$2:H1729,
MAX(FILTER(ROW(H$2:H1729) - ROW(H$2) + 1, P$2:P1729 = P1730)))))"),39.5)</f>
        <v>39.5</v>
      </c>
      <c r="N1730" s="335" t="str">
        <f>IF(MAXIFS('単価履歴'!$O:$O,'単価履歴'!$E:$E,E1730,'単価履歴'!$F:$F,F1730)=O1730,"●","")</f>
        <v/>
      </c>
      <c r="O1730" s="346">
        <v>45810.769953703704</v>
      </c>
      <c r="P1730" s="334" t="str">
        <f t="shared" si="4"/>
        <v>共英枚方:ナベ/置場単価Ｈ３(1級)</v>
      </c>
    </row>
    <row r="1731" ht="15.75" customHeight="1">
      <c r="A1731" s="335" t="s">
        <v>2903</v>
      </c>
      <c r="B1731" s="336">
        <v>45811.0</v>
      </c>
      <c r="C1731" s="335" t="s">
        <v>36</v>
      </c>
      <c r="D1731" s="335" t="s">
        <v>1303</v>
      </c>
      <c r="E1731" s="337" t="str">
        <f t="shared" si="1"/>
        <v>共英枚方:ナベ/置場単価</v>
      </c>
      <c r="F1731" s="338" t="s">
        <v>122</v>
      </c>
      <c r="G1731" s="339" t="str">
        <f t="shared" si="2"/>
        <v>共英枚方:ナベ/置場単価Ｌ１(2級)</v>
      </c>
      <c r="H1731" s="340">
        <f t="shared" si="3"/>
        <v>38.5</v>
      </c>
      <c r="I1731" s="341">
        <v>-0.5</v>
      </c>
      <c r="J1731" s="332">
        <f>IFERROR(__xludf.DUMMYFUNCTION("IF(IF(COUNTIF(P$2:P1730, P1731)=0, """", INDEX(H$2:H1730,
MAX(FILTER(ROW(H$2:H1730) - ROW(H$2) + 1, P$2:P1730 = P1731))))=""単価"","""",
IF(COUNTIF(P$2:P1730, P1731)=0, """", INDEX(H$2:H1730,
MAX(FILTER(ROW(H$2:H1730) - ROW(H$2) + 1, P$2:P1730 = P1731)))))"),39.0)</f>
        <v>39</v>
      </c>
      <c r="N1731" s="335" t="str">
        <f>IF(MAXIFS('単価履歴'!$O:$O,'単価履歴'!$E:$E,E1731,'単価履歴'!$F:$F,F1731)=O1731,"●","")</f>
        <v/>
      </c>
      <c r="O1731" s="346">
        <v>45810.769953703704</v>
      </c>
      <c r="P1731" s="334" t="str">
        <f t="shared" si="4"/>
        <v>共英枚方:ナベ/置場単価Ｌ１(2級)</v>
      </c>
    </row>
    <row r="1732" ht="15.75" customHeight="1">
      <c r="A1732" s="335" t="s">
        <v>2904</v>
      </c>
      <c r="B1732" s="336">
        <v>45811.0</v>
      </c>
      <c r="C1732" s="335" t="s">
        <v>36</v>
      </c>
      <c r="D1732" s="335" t="s">
        <v>1303</v>
      </c>
      <c r="E1732" s="337" t="str">
        <f t="shared" si="1"/>
        <v>共英枚方:ナベ/置場単価</v>
      </c>
      <c r="F1732" s="338" t="s">
        <v>154</v>
      </c>
      <c r="G1732" s="339" t="str">
        <f t="shared" si="2"/>
        <v>共英枚方:ナベ/置場単価ＣＰ Ａ</v>
      </c>
      <c r="H1732" s="340">
        <f t="shared" si="3"/>
        <v>45</v>
      </c>
      <c r="I1732" s="341">
        <v>-0.5</v>
      </c>
      <c r="J1732" s="332">
        <f>IFERROR(__xludf.DUMMYFUNCTION("IF(IF(COUNTIF(P$2:P1731, P1732)=0, """", INDEX(H$2:H1731,
MAX(FILTER(ROW(H$2:H1731) - ROW(H$2) + 1, P$2:P1731 = P1732))))=""単価"","""",
IF(COUNTIF(P$2:P1731, P1732)=0, """", INDEX(H$2:H1731,
MAX(FILTER(ROW(H$2:H1731) - ROW(H$2) + 1, P$2:P1731 = P1732)))))"),45.5)</f>
        <v>45.5</v>
      </c>
      <c r="N1732" s="335" t="str">
        <f>IF(MAXIFS('単価履歴'!$O:$O,'単価履歴'!$E:$E,E1732,'単価履歴'!$F:$F,F1732)=O1732,"●","")</f>
        <v/>
      </c>
      <c r="O1732" s="346">
        <v>45810.769953703704</v>
      </c>
      <c r="P1732" s="334" t="str">
        <f t="shared" si="4"/>
        <v>共英枚方:ナベ/置場単価ＣＰ Ａ</v>
      </c>
    </row>
    <row r="1733" ht="15.75" customHeight="1">
      <c r="A1733" s="335" t="s">
        <v>2905</v>
      </c>
      <c r="B1733" s="336">
        <v>45811.0</v>
      </c>
      <c r="C1733" s="335" t="s">
        <v>28</v>
      </c>
      <c r="D1733" s="335" t="s">
        <v>52</v>
      </c>
      <c r="E1733" s="337" t="str">
        <f t="shared" si="1"/>
        <v>ＪＦＥ条鋼:リバイブ</v>
      </c>
      <c r="F1733" s="338" t="s">
        <v>111</v>
      </c>
      <c r="G1733" s="339" t="str">
        <f t="shared" si="2"/>
        <v>ＪＦＥ条鋼:リバイブＨ１(特A)</v>
      </c>
      <c r="H1733" s="340">
        <f t="shared" si="3"/>
        <v>40.5</v>
      </c>
      <c r="I1733" s="341">
        <v>-0.5</v>
      </c>
      <c r="J1733" s="332">
        <f>IFERROR(__xludf.DUMMYFUNCTION("IF(IF(COUNTIF(P$2:P1732, P1733)=0, """", INDEX(H$2:H1732,
MAX(FILTER(ROW(H$2:H1732) - ROW(H$2) + 1, P$2:P1732 = P1733))))=""単価"","""",
IF(COUNTIF(P$2:P1732, P1733)=0, """", INDEX(H$2:H1732,
MAX(FILTER(ROW(H$2:H1732) - ROW(H$2) + 1, P$2:P1732 = P1733)))))"),41.0)</f>
        <v>41</v>
      </c>
      <c r="N1733" s="335" t="str">
        <f>IF(MAXIFS('単価履歴'!$O:$O,'単価履歴'!$E:$E,E1733,'単価履歴'!$F:$F,F1733)=O1733,"●","")</f>
        <v/>
      </c>
      <c r="O1733" s="346">
        <v>45810.77018518519</v>
      </c>
      <c r="P1733" s="334" t="str">
        <f t="shared" si="4"/>
        <v>ＪＦＥ条鋼:リバイブＨ１(特A)</v>
      </c>
    </row>
    <row r="1734" ht="15.75" customHeight="1">
      <c r="A1734" s="335" t="s">
        <v>2906</v>
      </c>
      <c r="B1734" s="336">
        <v>45811.0</v>
      </c>
      <c r="C1734" s="335" t="s">
        <v>28</v>
      </c>
      <c r="D1734" s="335" t="s">
        <v>52</v>
      </c>
      <c r="E1734" s="337" t="str">
        <f t="shared" si="1"/>
        <v>ＪＦＥ条鋼:リバイブ</v>
      </c>
      <c r="F1734" s="338" t="s">
        <v>116</v>
      </c>
      <c r="G1734" s="339" t="str">
        <f t="shared" si="2"/>
        <v>ＪＦＥ条鋼:リバイブＨ２(特級)</v>
      </c>
      <c r="H1734" s="340">
        <f t="shared" si="3"/>
        <v>39.5</v>
      </c>
      <c r="I1734" s="341">
        <v>-0.5</v>
      </c>
      <c r="J1734" s="332">
        <f>IFERROR(__xludf.DUMMYFUNCTION("IF(IF(COUNTIF(P$2:P1733, P1734)=0, """", INDEX(H$2:H1733,
MAX(FILTER(ROW(H$2:H1733) - ROW(H$2) + 1, P$2:P1733 = P1734))))=""単価"","""",
IF(COUNTIF(P$2:P1733, P1734)=0, """", INDEX(H$2:H1733,
MAX(FILTER(ROW(H$2:H1733) - ROW(H$2) + 1, P$2:P1733 = P1734)))))"),40.0)</f>
        <v>40</v>
      </c>
      <c r="N1734" s="335" t="str">
        <f>IF(MAXIFS('単価履歴'!$O:$O,'単価履歴'!$E:$E,E1734,'単価履歴'!$F:$F,F1734)=O1734,"●","")</f>
        <v/>
      </c>
      <c r="O1734" s="346">
        <v>45810.77018518519</v>
      </c>
      <c r="P1734" s="334" t="str">
        <f t="shared" si="4"/>
        <v>ＪＦＥ条鋼:リバイブＨ２(特級)</v>
      </c>
    </row>
    <row r="1735" ht="15.75" customHeight="1">
      <c r="A1735" s="335" t="s">
        <v>2907</v>
      </c>
      <c r="B1735" s="336">
        <v>45811.0</v>
      </c>
      <c r="C1735" s="335" t="s">
        <v>28</v>
      </c>
      <c r="D1735" s="335" t="s">
        <v>52</v>
      </c>
      <c r="E1735" s="337" t="str">
        <f t="shared" si="1"/>
        <v>ＪＦＥ条鋼:リバイブ</v>
      </c>
      <c r="F1735" s="338" t="s">
        <v>119</v>
      </c>
      <c r="G1735" s="339" t="str">
        <f t="shared" si="2"/>
        <v>ＪＦＥ条鋼:リバイブＨ３(1級)</v>
      </c>
      <c r="H1735" s="340">
        <f t="shared" si="3"/>
        <v>38.5</v>
      </c>
      <c r="I1735" s="341">
        <v>-0.5</v>
      </c>
      <c r="J1735" s="332">
        <f>IFERROR(__xludf.DUMMYFUNCTION("IF(IF(COUNTIF(P$2:P1734, P1735)=0, """", INDEX(H$2:H1734,
MAX(FILTER(ROW(H$2:H1734) - ROW(H$2) + 1, P$2:P1734 = P1735))))=""単価"","""",
IF(COUNTIF(P$2:P1734, P1735)=0, """", INDEX(H$2:H1734,
MAX(FILTER(ROW(H$2:H1734) - ROW(H$2) + 1, P$2:P1734 = P1735)))))"),39.0)</f>
        <v>39</v>
      </c>
      <c r="N1735" s="335" t="str">
        <f>IF(MAXIFS('単価履歴'!$O:$O,'単価履歴'!$E:$E,E1735,'単価履歴'!$F:$F,F1735)=O1735,"●","")</f>
        <v/>
      </c>
      <c r="O1735" s="346">
        <v>45810.77018518519</v>
      </c>
      <c r="P1735" s="334" t="str">
        <f t="shared" si="4"/>
        <v>ＪＦＥ条鋼:リバイブＨ３(1級)</v>
      </c>
    </row>
    <row r="1736" ht="15.75" customHeight="1">
      <c r="A1736" s="335" t="s">
        <v>2908</v>
      </c>
      <c r="B1736" s="336">
        <v>45811.0</v>
      </c>
      <c r="C1736" s="335" t="s">
        <v>28</v>
      </c>
      <c r="D1736" s="335" t="s">
        <v>52</v>
      </c>
      <c r="E1736" s="337" t="str">
        <f t="shared" si="1"/>
        <v>ＪＦＥ条鋼:リバイブ</v>
      </c>
      <c r="F1736" s="338" t="s">
        <v>122</v>
      </c>
      <c r="G1736" s="339" t="str">
        <f t="shared" si="2"/>
        <v>ＪＦＥ条鋼:リバイブＬ１(2級)</v>
      </c>
      <c r="H1736" s="340">
        <f t="shared" si="3"/>
        <v>35.3</v>
      </c>
      <c r="I1736" s="341">
        <v>-0.5</v>
      </c>
      <c r="J1736" s="332">
        <f>IFERROR(__xludf.DUMMYFUNCTION("IF(IF(COUNTIF(P$2:P1735, P1736)=0, """", INDEX(H$2:H1735,
MAX(FILTER(ROW(H$2:H1735) - ROW(H$2) + 1, P$2:P1735 = P1736))))=""単価"","""",
IF(COUNTIF(P$2:P1735, P1736)=0, """", INDEX(H$2:H1735,
MAX(FILTER(ROW(H$2:H1735) - ROW(H$2) + 1, P$2:P1735 = P1736)))))"),35.8)</f>
        <v>35.8</v>
      </c>
      <c r="N1736" s="335" t="str">
        <f>IF(MAXIFS('単価履歴'!$O:$O,'単価履歴'!$E:$E,E1736,'単価履歴'!$F:$F,F1736)=O1736,"●","")</f>
        <v/>
      </c>
      <c r="O1736" s="346">
        <v>45810.77018518519</v>
      </c>
      <c r="P1736" s="334" t="str">
        <f t="shared" si="4"/>
        <v>ＪＦＥ条鋼:リバイブＬ１(2級)</v>
      </c>
    </row>
    <row r="1737" ht="15.75" customHeight="1">
      <c r="A1737" s="335" t="s">
        <v>2909</v>
      </c>
      <c r="B1737" s="336">
        <v>45811.0</v>
      </c>
      <c r="C1737" s="335" t="s">
        <v>28</v>
      </c>
      <c r="D1737" s="335" t="s">
        <v>52</v>
      </c>
      <c r="E1737" s="337" t="str">
        <f t="shared" si="1"/>
        <v>ＪＦＥ条鋼:リバイブ</v>
      </c>
      <c r="F1737" s="338" t="s">
        <v>573</v>
      </c>
      <c r="G1737" s="339" t="str">
        <f t="shared" si="2"/>
        <v>ＪＦＥ条鋼:リバイブＬ２(H4･級外･L1ﾊﾞﾗ)</v>
      </c>
      <c r="H1737" s="340">
        <f t="shared" si="3"/>
        <v>39.4</v>
      </c>
      <c r="I1737" s="341">
        <v>-0.5</v>
      </c>
      <c r="J1737" s="332">
        <f>IFERROR(__xludf.DUMMYFUNCTION("IF(IF(COUNTIF(P$2:P1736, P1737)=0, """", INDEX(H$2:H1736,
MAX(FILTER(ROW(H$2:H1736) - ROW(H$2) + 1, P$2:P1736 = P1737))))=""単価"","""",
IF(COUNTIF(P$2:P1736, P1737)=0, """", INDEX(H$2:H1736,
MAX(FILTER(ROW(H$2:H1736) - ROW(H$2) + 1, P$2:P1736 = P1737)))))"),39.9)</f>
        <v>39.9</v>
      </c>
      <c r="N1737" s="335" t="str">
        <f>IF(MAXIFS('単価履歴'!$O:$O,'単価履歴'!$E:$E,E1737,'単価履歴'!$F:$F,F1737)=O1737,"●","")</f>
        <v/>
      </c>
      <c r="O1737" s="346">
        <v>45810.77018518519</v>
      </c>
      <c r="P1737" s="334" t="str">
        <f t="shared" si="4"/>
        <v>ＪＦＥ条鋼:リバイブＬ２(H4･級外･L1ﾊﾞﾗ)</v>
      </c>
    </row>
    <row r="1738" ht="15.75" customHeight="1">
      <c r="A1738" s="335" t="s">
        <v>2910</v>
      </c>
      <c r="B1738" s="336">
        <v>45811.0</v>
      </c>
      <c r="C1738" s="335" t="s">
        <v>28</v>
      </c>
      <c r="D1738" s="335" t="s">
        <v>52</v>
      </c>
      <c r="E1738" s="337" t="str">
        <f t="shared" si="1"/>
        <v>ＪＦＥ条鋼:リバイブ</v>
      </c>
      <c r="F1738" s="338" t="s">
        <v>130</v>
      </c>
      <c r="G1738" s="339" t="str">
        <f t="shared" si="2"/>
        <v>ＪＦＥ条鋼:リバイブ新断Ａ</v>
      </c>
      <c r="H1738" s="340">
        <f t="shared" si="3"/>
        <v>44.5</v>
      </c>
      <c r="I1738" s="341">
        <v>-0.5</v>
      </c>
      <c r="J1738" s="332">
        <f>IFERROR(__xludf.DUMMYFUNCTION("IF(IF(COUNTIF(P$2:P1737, P1738)=0, """", INDEX(H$2:H1737,
MAX(FILTER(ROW(H$2:H1737) - ROW(H$2) + 1, P$2:P1737 = P1738))))=""単価"","""",
IF(COUNTIF(P$2:P1737, P1738)=0, """", INDEX(H$2:H1737,
MAX(FILTER(ROW(H$2:H1737) - ROW(H$2) + 1, P$2:P1737 = P1738)))))"),45.0)</f>
        <v>45</v>
      </c>
      <c r="N1738" s="335" t="str">
        <f>IF(MAXIFS('単価履歴'!$O:$O,'単価履歴'!$E:$E,E1738,'単価履歴'!$F:$F,F1738)=O1738,"●","")</f>
        <v/>
      </c>
      <c r="O1738" s="346">
        <v>45810.77018518519</v>
      </c>
      <c r="P1738" s="334" t="str">
        <f t="shared" si="4"/>
        <v>ＪＦＥ条鋼:リバイブ新断Ａ</v>
      </c>
    </row>
    <row r="1739" ht="15.75" customHeight="1">
      <c r="A1739" s="335" t="s">
        <v>2911</v>
      </c>
      <c r="B1739" s="336">
        <v>45811.0</v>
      </c>
      <c r="C1739" s="335" t="s">
        <v>28</v>
      </c>
      <c r="D1739" s="335" t="s">
        <v>52</v>
      </c>
      <c r="E1739" s="337" t="str">
        <f t="shared" si="1"/>
        <v>ＪＦＥ条鋼:リバイブ</v>
      </c>
      <c r="F1739" s="338" t="s">
        <v>131</v>
      </c>
      <c r="G1739" s="339" t="str">
        <f t="shared" si="2"/>
        <v>ＪＦＥ条鋼:リバイブ新断Ｂ</v>
      </c>
      <c r="H1739" s="340">
        <f t="shared" si="3"/>
        <v>43.5</v>
      </c>
      <c r="I1739" s="341">
        <v>-0.5</v>
      </c>
      <c r="J1739" s="332">
        <f>IFERROR(__xludf.DUMMYFUNCTION("IF(IF(COUNTIF(P$2:P1738, P1739)=0, """", INDEX(H$2:H1738,
MAX(FILTER(ROW(H$2:H1738) - ROW(H$2) + 1, P$2:P1738 = P1739))))=""単価"","""",
IF(COUNTIF(P$2:P1738, P1739)=0, """", INDEX(H$2:H1738,
MAX(FILTER(ROW(H$2:H1738) - ROW(H$2) + 1, P$2:P1738 = P1739)))))"),44.0)</f>
        <v>44</v>
      </c>
      <c r="N1739" s="335" t="str">
        <f>IF(MAXIFS('単価履歴'!$O:$O,'単価履歴'!$E:$E,E1739,'単価履歴'!$F:$F,F1739)=O1739,"●","")</f>
        <v/>
      </c>
      <c r="O1739" s="346">
        <v>45810.77018518519</v>
      </c>
      <c r="P1739" s="334" t="str">
        <f t="shared" si="4"/>
        <v>ＪＦＥ条鋼:リバイブ新断Ｂ</v>
      </c>
    </row>
    <row r="1740" ht="15.75" customHeight="1">
      <c r="A1740" s="335" t="s">
        <v>2912</v>
      </c>
      <c r="B1740" s="336">
        <v>45811.0</v>
      </c>
      <c r="C1740" s="335" t="s">
        <v>28</v>
      </c>
      <c r="D1740" s="335" t="s">
        <v>52</v>
      </c>
      <c r="E1740" s="337" t="str">
        <f t="shared" si="1"/>
        <v>ＪＦＥ条鋼:リバイブ</v>
      </c>
      <c r="F1740" s="338" t="s">
        <v>575</v>
      </c>
      <c r="G1740" s="339" t="str">
        <f t="shared" si="2"/>
        <v>ＪＦＥ条鋼:リバイブ鋼ダライＡ</v>
      </c>
      <c r="H1740" s="340">
        <f t="shared" si="3"/>
        <v>38</v>
      </c>
      <c r="I1740" s="341">
        <v>-0.5</v>
      </c>
      <c r="J1740" s="332">
        <f>IFERROR(__xludf.DUMMYFUNCTION("IF(IF(COUNTIF(P$2:P1739, P1740)=0, """", INDEX(H$2:H1739,
MAX(FILTER(ROW(H$2:H1739) - ROW(H$2) + 1, P$2:P1739 = P1740))))=""単価"","""",
IF(COUNTIF(P$2:P1739, P1740)=0, """", INDEX(H$2:H1739,
MAX(FILTER(ROW(H$2:H1739) - ROW(H$2) + 1, P$2:P1739 = P1740)))))"),38.5)</f>
        <v>38.5</v>
      </c>
      <c r="N1740" s="335" t="str">
        <f>IF(MAXIFS('単価履歴'!$O:$O,'単価履歴'!$E:$E,E1740,'単価履歴'!$F:$F,F1740)=O1740,"●","")</f>
        <v/>
      </c>
      <c r="O1740" s="346">
        <v>45810.77018518519</v>
      </c>
      <c r="P1740" s="334" t="str">
        <f t="shared" si="4"/>
        <v>ＪＦＥ条鋼:リバイブ鋼ダライＡ</v>
      </c>
    </row>
    <row r="1741" ht="15.75" customHeight="1">
      <c r="A1741" s="335" t="s">
        <v>2913</v>
      </c>
      <c r="B1741" s="336">
        <v>45811.0</v>
      </c>
      <c r="C1741" s="335" t="s">
        <v>28</v>
      </c>
      <c r="D1741" s="335" t="s">
        <v>52</v>
      </c>
      <c r="E1741" s="337" t="str">
        <f t="shared" si="1"/>
        <v>ＪＦＥ条鋼:リバイブ</v>
      </c>
      <c r="F1741" s="338" t="s">
        <v>154</v>
      </c>
      <c r="G1741" s="339" t="str">
        <f t="shared" si="2"/>
        <v>ＪＦＥ条鋼:リバイブＣＰ Ａ</v>
      </c>
      <c r="H1741" s="340">
        <f t="shared" si="3"/>
        <v>43</v>
      </c>
      <c r="I1741" s="341">
        <v>-0.5</v>
      </c>
      <c r="J1741" s="332">
        <f>IFERROR(__xludf.DUMMYFUNCTION("IF(IF(COUNTIF(P$2:P1740, P1741)=0, """", INDEX(H$2:H1740,
MAX(FILTER(ROW(H$2:H1740) - ROW(H$2) + 1, P$2:P1740 = P1741))))=""単価"","""",
IF(COUNTIF(P$2:P1740, P1741)=0, """", INDEX(H$2:H1740,
MAX(FILTER(ROW(H$2:H1740) - ROW(H$2) + 1, P$2:P1740 = P1741)))))"),43.5)</f>
        <v>43.5</v>
      </c>
      <c r="N1741" s="335" t="str">
        <f>IF(MAXIFS('単価履歴'!$O:$O,'単価履歴'!$E:$E,E1741,'単価履歴'!$F:$F,F1741)=O1741,"●","")</f>
        <v/>
      </c>
      <c r="O1741" s="346">
        <v>45810.77018518519</v>
      </c>
      <c r="P1741" s="334" t="str">
        <f t="shared" si="4"/>
        <v>ＪＦＥ条鋼:リバイブＣＰ Ａ</v>
      </c>
    </row>
    <row r="1742" ht="15.75" customHeight="1">
      <c r="A1742" s="335" t="s">
        <v>2914</v>
      </c>
      <c r="B1742" s="336">
        <v>45811.0</v>
      </c>
      <c r="C1742" s="335" t="s">
        <v>12</v>
      </c>
      <c r="D1742" s="335" t="s">
        <v>50</v>
      </c>
      <c r="E1742" s="337" t="str">
        <f t="shared" si="1"/>
        <v>山陽特殊:産振</v>
      </c>
      <c r="F1742" s="338" t="s">
        <v>1199</v>
      </c>
      <c r="G1742" s="339" t="str">
        <f t="shared" si="2"/>
        <v>山陽特殊:産振ＨＳ１(単体H1/電特A/HS))</v>
      </c>
      <c r="H1742" s="340">
        <f t="shared" si="3"/>
        <v>43.6</v>
      </c>
      <c r="I1742" s="341">
        <v>-0.5</v>
      </c>
      <c r="J1742" s="332">
        <f>IFERROR(__xludf.DUMMYFUNCTION("IF(IF(COUNTIF(P$2:P1741, P1742)=0, """", INDEX(H$2:H1741,
MAX(FILTER(ROW(H$2:H1741) - ROW(H$2) + 1, P$2:P1741 = P1742))))=""単価"","""",
IF(COUNTIF(P$2:P1741, P1742)=0, """", INDEX(H$2:H1741,
MAX(FILTER(ROW(H$2:H1741) - ROW(H$2) + 1, P$2:P1741 = P1742)))))"),44.1)</f>
        <v>44.1</v>
      </c>
      <c r="N1742" s="335" t="str">
        <f>IF(MAXIFS('単価履歴'!$O:$O,'単価履歴'!$E:$E,E1742,'単価履歴'!$F:$F,F1742)=O1742,"●","")</f>
        <v/>
      </c>
      <c r="O1742" s="346">
        <v>45810.77046296296</v>
      </c>
      <c r="P1742" s="334" t="str">
        <f t="shared" si="4"/>
        <v>山陽特殊:産振ＨＳ１(単体H1/電特A/HS))</v>
      </c>
    </row>
    <row r="1743" ht="15.75" customHeight="1">
      <c r="A1743" s="335" t="s">
        <v>2915</v>
      </c>
      <c r="B1743" s="336">
        <v>45811.0</v>
      </c>
      <c r="C1743" s="335" t="s">
        <v>12</v>
      </c>
      <c r="D1743" s="335" t="s">
        <v>50</v>
      </c>
      <c r="E1743" s="337" t="str">
        <f t="shared" si="1"/>
        <v>山陽特殊:産振</v>
      </c>
      <c r="F1743" s="338" t="s">
        <v>101</v>
      </c>
      <c r="G1743" s="339" t="str">
        <f t="shared" si="2"/>
        <v>山陽特殊:産振ＨＳ２</v>
      </c>
      <c r="H1743" s="340">
        <f t="shared" si="3"/>
        <v>43.4</v>
      </c>
      <c r="I1743" s="341">
        <v>-0.5</v>
      </c>
      <c r="J1743" s="332">
        <f>IFERROR(__xludf.DUMMYFUNCTION("IF(IF(COUNTIF(P$2:P1742, P1743)=0, """", INDEX(H$2:H1742,
MAX(FILTER(ROW(H$2:H1742) - ROW(H$2) + 1, P$2:P1742 = P1743))))=""単価"","""",
IF(COUNTIF(P$2:P1742, P1743)=0, """", INDEX(H$2:H1742,
MAX(FILTER(ROW(H$2:H1742) - ROW(H$2) + 1, P$2:P1742 = P1743)))))"),43.9)</f>
        <v>43.9</v>
      </c>
      <c r="N1743" s="335" t="str">
        <f>IF(MAXIFS('単価履歴'!$O:$O,'単価履歴'!$E:$E,E1743,'単価履歴'!$F:$F,F1743)=O1743,"●","")</f>
        <v/>
      </c>
      <c r="O1743" s="346">
        <v>45810.77046296296</v>
      </c>
      <c r="P1743" s="334" t="str">
        <f t="shared" si="4"/>
        <v>山陽特殊:産振ＨＳ２</v>
      </c>
    </row>
    <row r="1744" ht="15.75" customHeight="1">
      <c r="A1744" s="335" t="s">
        <v>2916</v>
      </c>
      <c r="B1744" s="336">
        <v>45811.0</v>
      </c>
      <c r="C1744" s="335" t="s">
        <v>12</v>
      </c>
      <c r="D1744" s="335" t="s">
        <v>50</v>
      </c>
      <c r="E1744" s="337" t="str">
        <f t="shared" si="1"/>
        <v>山陽特殊:産振</v>
      </c>
      <c r="F1744" s="338" t="s">
        <v>105</v>
      </c>
      <c r="G1744" s="339" t="str">
        <f t="shared" si="2"/>
        <v>山陽特殊:産振ＨＳ３</v>
      </c>
      <c r="H1744" s="340">
        <f t="shared" si="3"/>
        <v>41.4</v>
      </c>
      <c r="I1744" s="341">
        <v>-0.5</v>
      </c>
      <c r="J1744" s="332">
        <f>IFERROR(__xludf.DUMMYFUNCTION("IF(IF(COUNTIF(P$2:P1743, P1744)=0, """", INDEX(H$2:H1743,
MAX(FILTER(ROW(H$2:H1743) - ROW(H$2) + 1, P$2:P1743 = P1744))))=""単価"","""",
IF(COUNTIF(P$2:P1743, P1744)=0, """", INDEX(H$2:H1743,
MAX(FILTER(ROW(H$2:H1743) - ROW(H$2) + 1, P$2:P1743 = P1744)))))"),41.9)</f>
        <v>41.9</v>
      </c>
      <c r="N1744" s="335" t="str">
        <f>IF(MAXIFS('単価履歴'!$O:$O,'単価履歴'!$E:$E,E1744,'単価履歴'!$F:$F,F1744)=O1744,"●","")</f>
        <v/>
      </c>
      <c r="O1744" s="346">
        <v>45810.77046296296</v>
      </c>
      <c r="P1744" s="334" t="str">
        <f t="shared" si="4"/>
        <v>山陽特殊:産振ＨＳ３</v>
      </c>
    </row>
    <row r="1745" ht="15.75" customHeight="1">
      <c r="A1745" s="335" t="s">
        <v>2917</v>
      </c>
      <c r="B1745" s="336">
        <v>45811.0</v>
      </c>
      <c r="C1745" s="335" t="s">
        <v>532</v>
      </c>
      <c r="D1745" s="335" t="s">
        <v>77</v>
      </c>
      <c r="E1745" s="337" t="str">
        <f t="shared" si="1"/>
        <v>東鐵岡山:直納</v>
      </c>
      <c r="F1745" s="338" t="s">
        <v>1199</v>
      </c>
      <c r="G1745" s="339" t="str">
        <f t="shared" si="2"/>
        <v>東鐵岡山:直納ＨＳ１(単体H1/電特A/HS))</v>
      </c>
      <c r="H1745" s="340">
        <f t="shared" si="3"/>
        <v>42.5</v>
      </c>
      <c r="I1745" s="341">
        <v>-0.5</v>
      </c>
      <c r="J1745" s="332">
        <f>IFERROR(__xludf.DUMMYFUNCTION("IF(IF(COUNTIF(P$2:P1744, P1745)=0, """", INDEX(H$2:H1744,
MAX(FILTER(ROW(H$2:H1744) - ROW(H$2) + 1, P$2:P1744 = P1745))))=""単価"","""",
IF(COUNTIF(P$2:P1744, P1745)=0, """", INDEX(H$2:H1744,
MAX(FILTER(ROW(H$2:H1744) - ROW(H$2) + 1, P$2:P1744 = P1745)))))"),43.0)</f>
        <v>43</v>
      </c>
      <c r="N1745" s="335" t="str">
        <f>IF(MAXIFS('単価履歴'!$O:$O,'単価履歴'!$E:$E,E1745,'単価履歴'!$F:$F,F1745)=O1745,"●","")</f>
        <v/>
      </c>
      <c r="O1745" s="346">
        <v>45810.77068287037</v>
      </c>
      <c r="P1745" s="334" t="str">
        <f t="shared" si="4"/>
        <v>東鐵岡山:直納ＨＳ１(単体H1/電特A/HS))</v>
      </c>
    </row>
    <row r="1746" ht="15.75" customHeight="1">
      <c r="A1746" s="335" t="s">
        <v>2918</v>
      </c>
      <c r="B1746" s="336">
        <v>45811.0</v>
      </c>
      <c r="C1746" s="335" t="s">
        <v>532</v>
      </c>
      <c r="D1746" s="335" t="s">
        <v>77</v>
      </c>
      <c r="E1746" s="337" t="str">
        <f t="shared" si="1"/>
        <v>東鐵岡山:直納</v>
      </c>
      <c r="F1746" s="338" t="s">
        <v>111</v>
      </c>
      <c r="G1746" s="339" t="str">
        <f t="shared" si="2"/>
        <v>東鐵岡山:直納Ｈ１(特A)</v>
      </c>
      <c r="H1746" s="340">
        <f t="shared" si="3"/>
        <v>41.2</v>
      </c>
      <c r="I1746" s="341">
        <v>-0.5</v>
      </c>
      <c r="J1746" s="332">
        <f>IFERROR(__xludf.DUMMYFUNCTION("IF(IF(COUNTIF(P$2:P1745, P1746)=0, """", INDEX(H$2:H1745,
MAX(FILTER(ROW(H$2:H1745) - ROW(H$2) + 1, P$2:P1745 = P1746))))=""単価"","""",
IF(COUNTIF(P$2:P1745, P1746)=0, """", INDEX(H$2:H1745,
MAX(FILTER(ROW(H$2:H1745) - ROW(H$2) + 1, P$2:P1745 = P1746)))))"),41.7)</f>
        <v>41.7</v>
      </c>
      <c r="N1746" s="335" t="str">
        <f>IF(MAXIFS('単価履歴'!$O:$O,'単価履歴'!$E:$E,E1746,'単価履歴'!$F:$F,F1746)=O1746,"●","")</f>
        <v/>
      </c>
      <c r="O1746" s="346">
        <v>45810.77068287037</v>
      </c>
      <c r="P1746" s="334" t="str">
        <f t="shared" si="4"/>
        <v>東鐵岡山:直納Ｈ１(特A)</v>
      </c>
    </row>
    <row r="1747" ht="15.75" customHeight="1">
      <c r="A1747" s="335" t="s">
        <v>2919</v>
      </c>
      <c r="B1747" s="336">
        <v>45811.0</v>
      </c>
      <c r="C1747" s="335" t="s">
        <v>532</v>
      </c>
      <c r="D1747" s="335" t="s">
        <v>77</v>
      </c>
      <c r="E1747" s="337" t="str">
        <f t="shared" si="1"/>
        <v>東鐵岡山:直納</v>
      </c>
      <c r="F1747" s="338" t="s">
        <v>116</v>
      </c>
      <c r="G1747" s="339" t="str">
        <f t="shared" si="2"/>
        <v>東鐵岡山:直納Ｈ２(特級)</v>
      </c>
      <c r="H1747" s="340">
        <f t="shared" si="3"/>
        <v>40.5</v>
      </c>
      <c r="I1747" s="341">
        <v>-0.5</v>
      </c>
      <c r="J1747" s="332">
        <f>IFERROR(__xludf.DUMMYFUNCTION("IF(IF(COUNTIF(P$2:P1746, P1747)=0, """", INDEX(H$2:H1746,
MAX(FILTER(ROW(H$2:H1746) - ROW(H$2) + 1, P$2:P1746 = P1747))))=""単価"","""",
IF(COUNTIF(P$2:P1746, P1747)=0, """", INDEX(H$2:H1746,
MAX(FILTER(ROW(H$2:H1746) - ROW(H$2) + 1, P$2:P1746 = P1747)))))"),41.0)</f>
        <v>41</v>
      </c>
      <c r="N1747" s="335" t="str">
        <f>IF(MAXIFS('単価履歴'!$O:$O,'単価履歴'!$E:$E,E1747,'単価履歴'!$F:$F,F1747)=O1747,"●","")</f>
        <v/>
      </c>
      <c r="O1747" s="346">
        <v>45810.77068287037</v>
      </c>
      <c r="P1747" s="334" t="str">
        <f t="shared" si="4"/>
        <v>東鐵岡山:直納Ｈ２(特級)</v>
      </c>
    </row>
    <row r="1748" ht="15.75" customHeight="1">
      <c r="A1748" s="335" t="s">
        <v>2920</v>
      </c>
      <c r="B1748" s="336">
        <v>45811.0</v>
      </c>
      <c r="C1748" s="335" t="s">
        <v>532</v>
      </c>
      <c r="D1748" s="335" t="s">
        <v>77</v>
      </c>
      <c r="E1748" s="337" t="str">
        <f t="shared" si="1"/>
        <v>東鐵岡山:直納</v>
      </c>
      <c r="F1748" s="338" t="s">
        <v>119</v>
      </c>
      <c r="G1748" s="339" t="str">
        <f t="shared" si="2"/>
        <v>東鐵岡山:直納Ｈ３(1級)</v>
      </c>
      <c r="H1748" s="340">
        <f t="shared" si="3"/>
        <v>40</v>
      </c>
      <c r="I1748" s="341">
        <v>-0.5</v>
      </c>
      <c r="J1748" s="332">
        <f>IFERROR(__xludf.DUMMYFUNCTION("IF(IF(COUNTIF(P$2:P1747, P1748)=0, """", INDEX(H$2:H1747,
MAX(FILTER(ROW(H$2:H1747) - ROW(H$2) + 1, P$2:P1747 = P1748))))=""単価"","""",
IF(COUNTIF(P$2:P1747, P1748)=0, """", INDEX(H$2:H1747,
MAX(FILTER(ROW(H$2:H1747) - ROW(H$2) + 1, P$2:P1747 = P1748)))))"),40.5)</f>
        <v>40.5</v>
      </c>
      <c r="N1748" s="335" t="str">
        <f>IF(MAXIFS('単価履歴'!$O:$O,'単価履歴'!$E:$E,E1748,'単価履歴'!$F:$F,F1748)=O1748,"●","")</f>
        <v/>
      </c>
      <c r="O1748" s="346">
        <v>45810.77068287037</v>
      </c>
      <c r="P1748" s="334" t="str">
        <f t="shared" si="4"/>
        <v>東鐵岡山:直納Ｈ３(1級)</v>
      </c>
    </row>
    <row r="1749" ht="15.75" customHeight="1">
      <c r="A1749" s="335" t="s">
        <v>2921</v>
      </c>
      <c r="B1749" s="336">
        <v>45811.0</v>
      </c>
      <c r="C1749" s="335" t="s">
        <v>532</v>
      </c>
      <c r="D1749" s="335" t="s">
        <v>77</v>
      </c>
      <c r="E1749" s="337" t="str">
        <f t="shared" si="1"/>
        <v>東鐵岡山:直納</v>
      </c>
      <c r="F1749" s="338" t="s">
        <v>122</v>
      </c>
      <c r="G1749" s="339" t="str">
        <f t="shared" si="2"/>
        <v>東鐵岡山:直納Ｌ１(2級)</v>
      </c>
      <c r="H1749" s="340">
        <f t="shared" si="3"/>
        <v>38.5</v>
      </c>
      <c r="I1749" s="341">
        <v>-0.5</v>
      </c>
      <c r="J1749" s="332">
        <f>IFERROR(__xludf.DUMMYFUNCTION("IF(IF(COUNTIF(P$2:P1748, P1749)=0, """", INDEX(H$2:H1748,
MAX(FILTER(ROW(H$2:H1748) - ROW(H$2) + 1, P$2:P1748 = P1749))))=""単価"","""",
IF(COUNTIF(P$2:P1748, P1749)=0, """", INDEX(H$2:H1748,
MAX(FILTER(ROW(H$2:H1748) - ROW(H$2) + 1, P$2:P1748 = P1749)))))"),39.0)</f>
        <v>39</v>
      </c>
      <c r="N1749" s="335" t="str">
        <f>IF(MAXIFS('単価履歴'!$O:$O,'単価履歴'!$E:$E,E1749,'単価履歴'!$F:$F,F1749)=O1749,"●","")</f>
        <v/>
      </c>
      <c r="O1749" s="346">
        <v>45810.77068287037</v>
      </c>
      <c r="P1749" s="334" t="str">
        <f t="shared" si="4"/>
        <v>東鐵岡山:直納Ｌ１(2級)</v>
      </c>
    </row>
    <row r="1750" ht="15.75" customHeight="1">
      <c r="A1750" s="335" t="s">
        <v>2922</v>
      </c>
      <c r="B1750" s="336">
        <v>45811.0</v>
      </c>
      <c r="C1750" s="335" t="s">
        <v>532</v>
      </c>
      <c r="D1750" s="335" t="s">
        <v>77</v>
      </c>
      <c r="E1750" s="337" t="str">
        <f t="shared" si="1"/>
        <v>東鐵岡山:直納</v>
      </c>
      <c r="F1750" s="338" t="s">
        <v>573</v>
      </c>
      <c r="G1750" s="339" t="str">
        <f t="shared" si="2"/>
        <v>東鐵岡山:直納Ｌ２(H4･級外･L1ﾊﾞﾗ)</v>
      </c>
      <c r="H1750" s="340">
        <f t="shared" si="3"/>
        <v>35.5</v>
      </c>
      <c r="I1750" s="341">
        <v>-0.5</v>
      </c>
      <c r="J1750" s="332">
        <f>IFERROR(__xludf.DUMMYFUNCTION("IF(IF(COUNTIF(P$2:P1749, P1750)=0, """", INDEX(H$2:H1749,
MAX(FILTER(ROW(H$2:H1749) - ROW(H$2) + 1, P$2:P1749 = P1750))))=""単価"","""",
IF(COUNTIF(P$2:P1749, P1750)=0, """", INDEX(H$2:H1749,
MAX(FILTER(ROW(H$2:H1749) - ROW(H$2) + 1, P$2:P1749 = P1750)))))"),36.0)</f>
        <v>36</v>
      </c>
      <c r="N1750" s="335" t="str">
        <f>IF(MAXIFS('単価履歴'!$O:$O,'単価履歴'!$E:$E,E1750,'単価履歴'!$F:$F,F1750)=O1750,"●","")</f>
        <v/>
      </c>
      <c r="O1750" s="346">
        <v>45810.77068287037</v>
      </c>
      <c r="P1750" s="334" t="str">
        <f t="shared" si="4"/>
        <v>東鐵岡山:直納Ｌ２(H4･級外･L1ﾊﾞﾗ)</v>
      </c>
    </row>
    <row r="1751" ht="15.75" customHeight="1">
      <c r="A1751" s="335" t="s">
        <v>2923</v>
      </c>
      <c r="B1751" s="336">
        <v>45811.0</v>
      </c>
      <c r="C1751" s="335" t="s">
        <v>532</v>
      </c>
      <c r="D1751" s="335" t="s">
        <v>77</v>
      </c>
      <c r="E1751" s="337" t="str">
        <f t="shared" si="1"/>
        <v>東鐵岡山:直納</v>
      </c>
      <c r="F1751" s="338" t="s">
        <v>145</v>
      </c>
      <c r="G1751" s="339" t="str">
        <f t="shared" si="2"/>
        <v>東鐵岡山:直納シュレＡ</v>
      </c>
      <c r="H1751" s="340">
        <f t="shared" si="3"/>
        <v>41</v>
      </c>
      <c r="I1751" s="341">
        <v>-0.5</v>
      </c>
      <c r="J1751" s="332">
        <f>IFERROR(__xludf.DUMMYFUNCTION("IF(IF(COUNTIF(P$2:P1750, P1751)=0, """", INDEX(H$2:H1750,
MAX(FILTER(ROW(H$2:H1750) - ROW(H$2) + 1, P$2:P1750 = P1751))))=""単価"","""",
IF(COUNTIF(P$2:P1750, P1751)=0, """", INDEX(H$2:H1750,
MAX(FILTER(ROW(H$2:H1750) - ROW(H$2) + 1, P$2:P1750 = P1751)))))"),41.5)</f>
        <v>41.5</v>
      </c>
      <c r="N1751" s="335" t="str">
        <f>IF(MAXIFS('単価履歴'!$O:$O,'単価履歴'!$E:$E,E1751,'単価履歴'!$F:$F,F1751)=O1751,"●","")</f>
        <v/>
      </c>
      <c r="O1751" s="346">
        <v>45810.77068287037</v>
      </c>
      <c r="P1751" s="334" t="str">
        <f t="shared" si="4"/>
        <v>東鐵岡山:直納シュレＡ</v>
      </c>
    </row>
    <row r="1752" ht="15.75" customHeight="1">
      <c r="A1752" s="335" t="s">
        <v>2924</v>
      </c>
      <c r="B1752" s="336">
        <v>45811.0</v>
      </c>
      <c r="C1752" s="335" t="s">
        <v>532</v>
      </c>
      <c r="D1752" s="335" t="s">
        <v>77</v>
      </c>
      <c r="E1752" s="337" t="str">
        <f t="shared" si="1"/>
        <v>東鐵岡山:直納</v>
      </c>
      <c r="F1752" s="338" t="s">
        <v>151</v>
      </c>
      <c r="G1752" s="339" t="str">
        <f t="shared" si="2"/>
        <v>東鐵岡山:直納シュレＣ</v>
      </c>
      <c r="H1752" s="340">
        <f t="shared" si="3"/>
        <v>40.5</v>
      </c>
      <c r="I1752" s="341">
        <v>-0.5</v>
      </c>
      <c r="J1752" s="332">
        <f>IFERROR(__xludf.DUMMYFUNCTION("IF(IF(COUNTIF(P$2:P1751, P1752)=0, """", INDEX(H$2:H1751,
MAX(FILTER(ROW(H$2:H1751) - ROW(H$2) + 1, P$2:P1751 = P1752))))=""単価"","""",
IF(COUNTIF(P$2:P1751, P1752)=0, """", INDEX(H$2:H1751,
MAX(FILTER(ROW(H$2:H1751) - ROW(H$2) + 1, P$2:P1751 = P1752)))))"),41.0)</f>
        <v>41</v>
      </c>
      <c r="N1752" s="335" t="str">
        <f>IF(MAXIFS('単価履歴'!$O:$O,'単価履歴'!$E:$E,E1752,'単価履歴'!$F:$F,F1752)=O1752,"●","")</f>
        <v/>
      </c>
      <c r="O1752" s="346">
        <v>45810.77068287037</v>
      </c>
      <c r="P1752" s="334" t="str">
        <f t="shared" si="4"/>
        <v>東鐵岡山:直納シュレＣ</v>
      </c>
    </row>
    <row r="1753" ht="15.75" customHeight="1">
      <c r="A1753" s="335" t="s">
        <v>2925</v>
      </c>
      <c r="B1753" s="336">
        <v>45811.0</v>
      </c>
      <c r="C1753" s="335" t="s">
        <v>532</v>
      </c>
      <c r="D1753" s="335" t="s">
        <v>77</v>
      </c>
      <c r="E1753" s="337" t="str">
        <f t="shared" si="1"/>
        <v>東鐵岡山:直納</v>
      </c>
      <c r="F1753" s="338" t="s">
        <v>130</v>
      </c>
      <c r="G1753" s="339" t="str">
        <f t="shared" si="2"/>
        <v>東鐵岡山:直納新断Ａ</v>
      </c>
      <c r="H1753" s="340">
        <f t="shared" si="3"/>
        <v>41.5</v>
      </c>
      <c r="I1753" s="341">
        <v>-0.5</v>
      </c>
      <c r="J1753" s="332">
        <f>IFERROR(__xludf.DUMMYFUNCTION("IF(IF(COUNTIF(P$2:P1752, P1753)=0, """", INDEX(H$2:H1752,
MAX(FILTER(ROW(H$2:H1752) - ROW(H$2) + 1, P$2:P1752 = P1753))))=""単価"","""",
IF(COUNTIF(P$2:P1752, P1753)=0, """", INDEX(H$2:H1752,
MAX(FILTER(ROW(H$2:H1752) - ROW(H$2) + 1, P$2:P1752 = P1753)))))"),42.0)</f>
        <v>42</v>
      </c>
      <c r="N1753" s="335" t="str">
        <f>IF(MAXIFS('単価履歴'!$O:$O,'単価履歴'!$E:$E,E1753,'単価履歴'!$F:$F,F1753)=O1753,"●","")</f>
        <v/>
      </c>
      <c r="O1753" s="346">
        <v>45810.77068287037</v>
      </c>
      <c r="P1753" s="334" t="str">
        <f t="shared" si="4"/>
        <v>東鐵岡山:直納新断Ａ</v>
      </c>
    </row>
    <row r="1754" ht="15.75" customHeight="1">
      <c r="A1754" s="335" t="s">
        <v>2926</v>
      </c>
      <c r="B1754" s="336">
        <v>45811.0</v>
      </c>
      <c r="C1754" s="335" t="s">
        <v>532</v>
      </c>
      <c r="D1754" s="335" t="s">
        <v>77</v>
      </c>
      <c r="E1754" s="337" t="str">
        <f t="shared" si="1"/>
        <v>東鐵岡山:直納</v>
      </c>
      <c r="F1754" s="338" t="s">
        <v>131</v>
      </c>
      <c r="G1754" s="339" t="str">
        <f t="shared" si="2"/>
        <v>東鐵岡山:直納新断Ｂ</v>
      </c>
      <c r="H1754" s="340">
        <f t="shared" si="3"/>
        <v>41.5</v>
      </c>
      <c r="I1754" s="341">
        <v>-0.5</v>
      </c>
      <c r="J1754" s="332">
        <f>IFERROR(__xludf.DUMMYFUNCTION("IF(IF(COUNTIF(P$2:P1753, P1754)=0, """", INDEX(H$2:H1753,
MAX(FILTER(ROW(H$2:H1753) - ROW(H$2) + 1, P$2:P1753 = P1754))))=""単価"","""",
IF(COUNTIF(P$2:P1753, P1754)=0, """", INDEX(H$2:H1753,
MAX(FILTER(ROW(H$2:H1753) - ROW(H$2) + 1, P$2:P1753 = P1754)))))"),42.0)</f>
        <v>42</v>
      </c>
      <c r="N1754" s="335" t="str">
        <f>IF(MAXIFS('単価履歴'!$O:$O,'単価履歴'!$E:$E,E1754,'単価履歴'!$F:$F,F1754)=O1754,"●","")</f>
        <v/>
      </c>
      <c r="O1754" s="346">
        <v>45810.77068287037</v>
      </c>
      <c r="P1754" s="334" t="str">
        <f t="shared" si="4"/>
        <v>東鐵岡山:直納新断Ｂ</v>
      </c>
    </row>
    <row r="1755" ht="15.75" customHeight="1">
      <c r="A1755" s="335" t="s">
        <v>2927</v>
      </c>
      <c r="B1755" s="336">
        <v>45811.0</v>
      </c>
      <c r="C1755" s="335" t="s">
        <v>532</v>
      </c>
      <c r="D1755" s="335" t="s">
        <v>77</v>
      </c>
      <c r="E1755" s="337" t="str">
        <f t="shared" si="1"/>
        <v>東鐵岡山:直納</v>
      </c>
      <c r="F1755" s="338" t="s">
        <v>575</v>
      </c>
      <c r="G1755" s="339" t="str">
        <f t="shared" si="2"/>
        <v>東鐵岡山:直納鋼ダライＡ</v>
      </c>
      <c r="H1755" s="340">
        <f t="shared" si="3"/>
        <v>36.5</v>
      </c>
      <c r="I1755" s="341">
        <v>-0.5</v>
      </c>
      <c r="J1755" s="332">
        <f>IFERROR(__xludf.DUMMYFUNCTION("IF(IF(COUNTIF(P$2:P1754, P1755)=0, """", INDEX(H$2:H1754,
MAX(FILTER(ROW(H$2:H1754) - ROW(H$2) + 1, P$2:P1754 = P1755))))=""単価"","""",
IF(COUNTIF(P$2:P1754, P1755)=0, """", INDEX(H$2:H1754,
MAX(FILTER(ROW(H$2:H1754) - ROW(H$2) + 1, P$2:P1754 = P1755)))))"),37.0)</f>
        <v>37</v>
      </c>
      <c r="N1755" s="335" t="str">
        <f>IF(MAXIFS('単価履歴'!$O:$O,'単価履歴'!$E:$E,E1755,'単価履歴'!$F:$F,F1755)=O1755,"●","")</f>
        <v/>
      </c>
      <c r="O1755" s="346">
        <v>45810.77068287037</v>
      </c>
      <c r="P1755" s="334" t="str">
        <f t="shared" si="4"/>
        <v>東鐵岡山:直納鋼ダライＡ</v>
      </c>
    </row>
    <row r="1756" ht="15.75" customHeight="1">
      <c r="A1756" s="335" t="s">
        <v>2928</v>
      </c>
      <c r="B1756" s="336">
        <v>45811.0</v>
      </c>
      <c r="C1756" s="335" t="s">
        <v>532</v>
      </c>
      <c r="D1756" s="335" t="s">
        <v>77</v>
      </c>
      <c r="E1756" s="337" t="str">
        <f t="shared" si="1"/>
        <v>東鐵岡山:直納</v>
      </c>
      <c r="F1756" s="338" t="s">
        <v>25</v>
      </c>
      <c r="G1756" s="339" t="str">
        <f t="shared" si="2"/>
        <v>東鐵岡山:直納銑ダライ</v>
      </c>
      <c r="H1756" s="340">
        <f t="shared" si="3"/>
        <v>33</v>
      </c>
      <c r="I1756" s="341">
        <v>-0.5</v>
      </c>
      <c r="J1756" s="332">
        <f>IFERROR(__xludf.DUMMYFUNCTION("IF(IF(COUNTIF(P$2:P1755, P1756)=0, """", INDEX(H$2:H1755,
MAX(FILTER(ROW(H$2:H1755) - ROW(H$2) + 1, P$2:P1755 = P1756))))=""単価"","""",
IF(COUNTIF(P$2:P1755, P1756)=0, """", INDEX(H$2:H1755,
MAX(FILTER(ROW(H$2:H1755) - ROW(H$2) + 1, P$2:P1755 = P1756)))))"),33.5)</f>
        <v>33.5</v>
      </c>
      <c r="N1756" s="335" t="str">
        <f>IF(MAXIFS('単価履歴'!$O:$O,'単価履歴'!$E:$E,E1756,'単価履歴'!$F:$F,F1756)=O1756,"●","")</f>
        <v/>
      </c>
      <c r="O1756" s="346">
        <v>45810.77068287037</v>
      </c>
      <c r="P1756" s="334" t="str">
        <f t="shared" si="4"/>
        <v>東鐵岡山:直納銑ダライ</v>
      </c>
    </row>
    <row r="1757" ht="15.75" customHeight="1">
      <c r="A1757" s="335" t="s">
        <v>2929</v>
      </c>
      <c r="B1757" s="336">
        <v>45811.0</v>
      </c>
      <c r="C1757" s="335" t="s">
        <v>532</v>
      </c>
      <c r="D1757" s="335" t="s">
        <v>77</v>
      </c>
      <c r="E1757" s="337" t="str">
        <f t="shared" si="1"/>
        <v>東鐵岡山:直納</v>
      </c>
      <c r="F1757" s="338" t="s">
        <v>154</v>
      </c>
      <c r="G1757" s="339" t="str">
        <f t="shared" si="2"/>
        <v>東鐵岡山:直納ＣＰ Ａ</v>
      </c>
      <c r="H1757" s="340">
        <f t="shared" si="3"/>
        <v>39</v>
      </c>
      <c r="I1757" s="341">
        <v>-0.5</v>
      </c>
      <c r="J1757" s="332">
        <f>IFERROR(__xludf.DUMMYFUNCTION("IF(IF(COUNTIF(P$2:P1756, P1757)=0, """", INDEX(H$2:H1756,
MAX(FILTER(ROW(H$2:H1756) - ROW(H$2) + 1, P$2:P1756 = P1757))))=""単価"","""",
IF(COUNTIF(P$2:P1756, P1757)=0, """", INDEX(H$2:H1756,
MAX(FILTER(ROW(H$2:H1756) - ROW(H$2) + 1, P$2:P1756 = P1757)))))"),39.5)</f>
        <v>39.5</v>
      </c>
      <c r="N1757" s="335" t="str">
        <f>IF(MAXIFS('単価履歴'!$O:$O,'単価履歴'!$E:$E,E1757,'単価履歴'!$F:$F,F1757)=O1757,"●","")</f>
        <v/>
      </c>
      <c r="O1757" s="346">
        <v>45810.77068287037</v>
      </c>
      <c r="P1757" s="334" t="str">
        <f t="shared" si="4"/>
        <v>東鐵岡山:直納ＣＰ Ａ</v>
      </c>
    </row>
    <row r="1758" ht="15.75" customHeight="1">
      <c r="A1758" s="335" t="s">
        <v>2930</v>
      </c>
      <c r="B1758" s="336">
        <v>45765.0</v>
      </c>
      <c r="C1758" s="335" t="s">
        <v>5</v>
      </c>
      <c r="D1758" s="335" t="s">
        <v>1234</v>
      </c>
      <c r="E1758" s="337" t="str">
        <f t="shared" si="1"/>
        <v>中山製鋼:豊通/中川嘉弘商店</v>
      </c>
      <c r="F1758" s="338" t="s">
        <v>130</v>
      </c>
      <c r="G1758" s="339" t="str">
        <f t="shared" si="2"/>
        <v>中山製鋼:豊通/中川嘉弘商店新断Ａ</v>
      </c>
      <c r="H1758" s="340">
        <f t="shared" si="3"/>
        <v>42.3</v>
      </c>
      <c r="I1758" s="341">
        <v>-0.5</v>
      </c>
      <c r="J1758" s="332">
        <f>IFERROR(__xludf.DUMMYFUNCTION("IF(IF(COUNTIF(P$2:P1757, P1758)=0, """", INDEX(H$2:H1757,
MAX(FILTER(ROW(H$2:H1757) - ROW(H$2) + 1, P$2:P1757 = P1758))))=""単価"","""",
IF(COUNTIF(P$2:P1757, P1758)=0, """", INDEX(H$2:H1757,
MAX(FILTER(ROW(H$2:H1757) - ROW(H$2) + 1, P$2:P1757 = P1758)))))"),42.8)</f>
        <v>42.8</v>
      </c>
      <c r="N1758" s="335" t="str">
        <f>IF(MAXIFS('単価履歴'!$O:$O,'単価履歴'!$E:$E,E1758,'単価履歴'!$F:$F,F1758)=O1758,"●","")</f>
        <v/>
      </c>
      <c r="O1758" s="346">
        <v>45810.77912037037</v>
      </c>
      <c r="P1758" s="334" t="str">
        <f t="shared" si="4"/>
        <v>中山製鋼:豊通/中川嘉弘商店新断Ａ</v>
      </c>
    </row>
    <row r="1759" ht="15.75" customHeight="1">
      <c r="A1759" s="335" t="s">
        <v>2931</v>
      </c>
      <c r="B1759" s="336">
        <v>45811.0</v>
      </c>
      <c r="C1759" s="335" t="s">
        <v>31</v>
      </c>
      <c r="D1759" s="335" t="s">
        <v>64</v>
      </c>
      <c r="E1759" s="337" t="str">
        <f t="shared" si="1"/>
        <v>泉北中谷:ナベ双葉</v>
      </c>
      <c r="F1759" s="338" t="s">
        <v>116</v>
      </c>
      <c r="G1759" s="339" t="str">
        <f t="shared" si="2"/>
        <v>泉北中谷:ナベ双葉Ｈ２(特級)</v>
      </c>
      <c r="H1759" s="340">
        <f t="shared" si="3"/>
        <v>39.5</v>
      </c>
      <c r="I1759" s="341">
        <v>2.5</v>
      </c>
      <c r="J1759" s="332">
        <f>IFERROR(__xludf.DUMMYFUNCTION("IF(IF(COUNTIF(P$2:P1758, P1759)=0, """", INDEX(H$2:H1758,
MAX(FILTER(ROW(H$2:H1758) - ROW(H$2) + 1, P$2:P1758 = P1759))))=""単価"","""",
IF(COUNTIF(P$2:P1758, P1759)=0, """", INDEX(H$2:H1758,
MAX(FILTER(ROW(H$2:H1758) - ROW(H$2) + 1, P$2:P1758 = P1759)))))"),37.0)</f>
        <v>37</v>
      </c>
      <c r="N1759" s="335" t="str">
        <f>IF(MAXIFS('単価履歴'!$O:$O,'単価履歴'!$E:$E,E1759,'単価履歴'!$F:$F,F1759)=O1759,"●","")</f>
        <v/>
      </c>
      <c r="O1759" s="346">
        <v>45811.26934027778</v>
      </c>
      <c r="P1759" s="334" t="str">
        <f t="shared" si="4"/>
        <v>泉北中谷:ナベ双葉Ｈ２(特級)</v>
      </c>
    </row>
    <row r="1760" ht="15.75" customHeight="1">
      <c r="A1760" s="335" t="s">
        <v>2932</v>
      </c>
      <c r="B1760" s="336">
        <v>45811.0</v>
      </c>
      <c r="C1760" s="335" t="s">
        <v>31</v>
      </c>
      <c r="D1760" s="335" t="s">
        <v>64</v>
      </c>
      <c r="E1760" s="337" t="str">
        <f t="shared" si="1"/>
        <v>泉北中谷:ナベ双葉</v>
      </c>
      <c r="F1760" s="338" t="s">
        <v>130</v>
      </c>
      <c r="G1760" s="339" t="str">
        <f t="shared" si="2"/>
        <v>泉北中谷:ナベ双葉新断Ａ</v>
      </c>
      <c r="H1760" s="340">
        <f t="shared" si="3"/>
        <v>43.3</v>
      </c>
      <c r="I1760" s="341">
        <v>1.8</v>
      </c>
      <c r="J1760" s="332">
        <f>IFERROR(__xludf.DUMMYFUNCTION("IF(IF(COUNTIF(P$2:P1759, P1760)=0, """", INDEX(H$2:H1759,
MAX(FILTER(ROW(H$2:H1759) - ROW(H$2) + 1, P$2:P1759 = P1760))))=""単価"","""",
IF(COUNTIF(P$2:P1759, P1760)=0, """", INDEX(H$2:H1759,
MAX(FILTER(ROW(H$2:H1759) - ROW(H$2) + 1, P$2:P1759 = P1760)))))"),41.5)</f>
        <v>41.5</v>
      </c>
      <c r="N1760" s="335" t="str">
        <f>IF(MAXIFS('単価履歴'!$O:$O,'単価履歴'!$E:$E,E1760,'単価履歴'!$F:$F,F1760)=O1760,"●","")</f>
        <v/>
      </c>
      <c r="O1760" s="346">
        <v>45811.2696875</v>
      </c>
      <c r="P1760" s="334" t="str">
        <f t="shared" si="4"/>
        <v>泉北中谷:ナベ双葉新断Ａ</v>
      </c>
    </row>
    <row r="1761" ht="15.75" customHeight="1">
      <c r="A1761" s="335" t="s">
        <v>2933</v>
      </c>
      <c r="B1761" s="336">
        <v>45812.0</v>
      </c>
      <c r="C1761" s="335" t="s">
        <v>531</v>
      </c>
      <c r="D1761" s="335" t="s">
        <v>77</v>
      </c>
      <c r="E1761" s="337" t="str">
        <f t="shared" si="1"/>
        <v>東鐵関西:直納</v>
      </c>
      <c r="F1761" s="338" t="s">
        <v>1199</v>
      </c>
      <c r="G1761" s="339" t="str">
        <f t="shared" si="2"/>
        <v>東鐵関西:直納ＨＳ１(単体H1/電特A/HS))</v>
      </c>
      <c r="H1761" s="340">
        <f t="shared" si="3"/>
        <v>43</v>
      </c>
      <c r="I1761" s="341">
        <v>-0.5</v>
      </c>
      <c r="J1761" s="332">
        <f>IFERROR(__xludf.DUMMYFUNCTION("IF(IF(COUNTIF(P$2:P1760, P1761)=0, """", INDEX(H$2:H1760,
MAX(FILTER(ROW(H$2:H1760) - ROW(H$2) + 1, P$2:P1760 = P1761))))=""単価"","""",
IF(COUNTIF(P$2:P1760, P1761)=0, """", INDEX(H$2:H1760,
MAX(FILTER(ROW(H$2:H1760) - ROW(H$2) + 1, P$2:P1760 = P1761)))))"),43.5)</f>
        <v>43.5</v>
      </c>
      <c r="N1761" s="335" t="str">
        <f>IF(MAXIFS('単価履歴'!$O:$O,'単価履歴'!$E:$E,E1761,'単価履歴'!$F:$F,F1761)=O1761,"●","")</f>
        <v/>
      </c>
      <c r="O1761" s="346">
        <v>45811.71178240741</v>
      </c>
      <c r="P1761" s="334" t="str">
        <f t="shared" si="4"/>
        <v>東鐵関西:直納ＨＳ１(単体H1/電特A/HS))</v>
      </c>
    </row>
    <row r="1762" ht="15.75" customHeight="1">
      <c r="A1762" s="335" t="s">
        <v>2934</v>
      </c>
      <c r="B1762" s="336">
        <v>45812.0</v>
      </c>
      <c r="C1762" s="335" t="s">
        <v>531</v>
      </c>
      <c r="D1762" s="335" t="s">
        <v>77</v>
      </c>
      <c r="E1762" s="337" t="str">
        <f t="shared" si="1"/>
        <v>東鐵関西:直納</v>
      </c>
      <c r="F1762" s="338" t="s">
        <v>111</v>
      </c>
      <c r="G1762" s="339" t="str">
        <f t="shared" si="2"/>
        <v>東鐵関西:直納Ｈ１(特A)</v>
      </c>
      <c r="H1762" s="340">
        <f t="shared" si="3"/>
        <v>42.5</v>
      </c>
      <c r="I1762" s="341">
        <v>-0.5</v>
      </c>
      <c r="J1762" s="332">
        <f>IFERROR(__xludf.DUMMYFUNCTION("IF(IF(COUNTIF(P$2:P1761, P1762)=0, """", INDEX(H$2:H1761,
MAX(FILTER(ROW(H$2:H1761) - ROW(H$2) + 1, P$2:P1761 = P1762))))=""単価"","""",
IF(COUNTIF(P$2:P1761, P1762)=0, """", INDEX(H$2:H1761,
MAX(FILTER(ROW(H$2:H1761) - ROW(H$2) + 1, P$2:P1761 = P1762)))))"),43.0)</f>
        <v>43</v>
      </c>
      <c r="N1762" s="335" t="str">
        <f>IF(MAXIFS('単価履歴'!$O:$O,'単価履歴'!$E:$E,E1762,'単価履歴'!$F:$F,F1762)=O1762,"●","")</f>
        <v/>
      </c>
      <c r="O1762" s="346">
        <v>45811.71178240741</v>
      </c>
      <c r="P1762" s="334" t="str">
        <f t="shared" si="4"/>
        <v>東鐵関西:直納Ｈ１(特A)</v>
      </c>
    </row>
    <row r="1763" ht="15.75" customHeight="1">
      <c r="A1763" s="335" t="s">
        <v>2935</v>
      </c>
      <c r="B1763" s="336">
        <v>45812.0</v>
      </c>
      <c r="C1763" s="335" t="s">
        <v>531</v>
      </c>
      <c r="D1763" s="335" t="s">
        <v>77</v>
      </c>
      <c r="E1763" s="337" t="str">
        <f t="shared" si="1"/>
        <v>東鐵関西:直納</v>
      </c>
      <c r="F1763" s="338" t="s">
        <v>116</v>
      </c>
      <c r="G1763" s="339" t="str">
        <f t="shared" si="2"/>
        <v>東鐵関西:直納Ｈ２(特級)</v>
      </c>
      <c r="H1763" s="340">
        <f t="shared" si="3"/>
        <v>40.5</v>
      </c>
      <c r="I1763" s="341">
        <v>-0.5</v>
      </c>
      <c r="J1763" s="332">
        <f>IFERROR(__xludf.DUMMYFUNCTION("IF(IF(COUNTIF(P$2:P1762, P1763)=0, """", INDEX(H$2:H1762,
MAX(FILTER(ROW(H$2:H1762) - ROW(H$2) + 1, P$2:P1762 = P1763))))=""単価"","""",
IF(COUNTIF(P$2:P1762, P1763)=0, """", INDEX(H$2:H1762,
MAX(FILTER(ROW(H$2:H1762) - ROW(H$2) + 1, P$2:P1762 = P1763)))))"),41.0)</f>
        <v>41</v>
      </c>
      <c r="N1763" s="335" t="str">
        <f>IF(MAXIFS('単価履歴'!$O:$O,'単価履歴'!$E:$E,E1763,'単価履歴'!$F:$F,F1763)=O1763,"●","")</f>
        <v/>
      </c>
      <c r="O1763" s="346">
        <v>45811.71178240741</v>
      </c>
      <c r="P1763" s="334" t="str">
        <f t="shared" si="4"/>
        <v>東鐵関西:直納Ｈ２(特級)</v>
      </c>
    </row>
    <row r="1764" ht="15.75" customHeight="1">
      <c r="A1764" s="335" t="s">
        <v>2936</v>
      </c>
      <c r="B1764" s="336">
        <v>45812.0</v>
      </c>
      <c r="C1764" s="335" t="s">
        <v>531</v>
      </c>
      <c r="D1764" s="335" t="s">
        <v>77</v>
      </c>
      <c r="E1764" s="337" t="str">
        <f t="shared" si="1"/>
        <v>東鐵関西:直納</v>
      </c>
      <c r="F1764" s="338" t="s">
        <v>119</v>
      </c>
      <c r="G1764" s="339" t="str">
        <f t="shared" si="2"/>
        <v>東鐵関西:直納Ｈ３(1級)</v>
      </c>
      <c r="H1764" s="340">
        <f t="shared" si="3"/>
        <v>40.5</v>
      </c>
      <c r="I1764" s="341">
        <v>-0.5</v>
      </c>
      <c r="J1764" s="332">
        <f>IFERROR(__xludf.DUMMYFUNCTION("IF(IF(COUNTIF(P$2:P1763, P1764)=0, """", INDEX(H$2:H1763,
MAX(FILTER(ROW(H$2:H1763) - ROW(H$2) + 1, P$2:P1763 = P1764))))=""単価"","""",
IF(COUNTIF(P$2:P1763, P1764)=0, """", INDEX(H$2:H1763,
MAX(FILTER(ROW(H$2:H1763) - ROW(H$2) + 1, P$2:P1763 = P1764)))))"),41.0)</f>
        <v>41</v>
      </c>
      <c r="N1764" s="335" t="str">
        <f>IF(MAXIFS('単価履歴'!$O:$O,'単価履歴'!$E:$E,E1764,'単価履歴'!$F:$F,F1764)=O1764,"●","")</f>
        <v/>
      </c>
      <c r="O1764" s="346">
        <v>45811.71178240741</v>
      </c>
      <c r="P1764" s="334" t="str">
        <f t="shared" si="4"/>
        <v>東鐵関西:直納Ｈ３(1級)</v>
      </c>
    </row>
    <row r="1765" ht="15.75" customHeight="1">
      <c r="A1765" s="335" t="s">
        <v>2937</v>
      </c>
      <c r="B1765" s="336">
        <v>45812.0</v>
      </c>
      <c r="C1765" s="335" t="s">
        <v>531</v>
      </c>
      <c r="D1765" s="335" t="s">
        <v>77</v>
      </c>
      <c r="E1765" s="337" t="str">
        <f t="shared" si="1"/>
        <v>東鐵関西:直納</v>
      </c>
      <c r="F1765" s="338" t="s">
        <v>122</v>
      </c>
      <c r="G1765" s="339" t="str">
        <f t="shared" si="2"/>
        <v>東鐵関西:直納Ｌ１(2級)</v>
      </c>
      <c r="H1765" s="340">
        <f t="shared" si="3"/>
        <v>38.5</v>
      </c>
      <c r="I1765" s="341">
        <v>-0.5</v>
      </c>
      <c r="J1765" s="332">
        <f>IFERROR(__xludf.DUMMYFUNCTION("IF(IF(COUNTIF(P$2:P1764, P1765)=0, """", INDEX(H$2:H1764,
MAX(FILTER(ROW(H$2:H1764) - ROW(H$2) + 1, P$2:P1764 = P1765))))=""単価"","""",
IF(COUNTIF(P$2:P1764, P1765)=0, """", INDEX(H$2:H1764,
MAX(FILTER(ROW(H$2:H1764) - ROW(H$2) + 1, P$2:P1764 = P1765)))))"),39.0)</f>
        <v>39</v>
      </c>
      <c r="N1765" s="335" t="str">
        <f>IF(MAXIFS('単価履歴'!$O:$O,'単価履歴'!$E:$E,E1765,'単価履歴'!$F:$F,F1765)=O1765,"●","")</f>
        <v/>
      </c>
      <c r="O1765" s="346">
        <v>45811.71178240741</v>
      </c>
      <c r="P1765" s="334" t="str">
        <f t="shared" si="4"/>
        <v>東鐵関西:直納Ｌ１(2級)</v>
      </c>
    </row>
    <row r="1766" ht="15.75" customHeight="1">
      <c r="A1766" s="335" t="s">
        <v>2938</v>
      </c>
      <c r="B1766" s="336">
        <v>45812.0</v>
      </c>
      <c r="C1766" s="335" t="s">
        <v>531</v>
      </c>
      <c r="D1766" s="335" t="s">
        <v>77</v>
      </c>
      <c r="E1766" s="337" t="str">
        <f t="shared" si="1"/>
        <v>東鐵関西:直納</v>
      </c>
      <c r="F1766" s="338" t="s">
        <v>573</v>
      </c>
      <c r="G1766" s="339" t="str">
        <f t="shared" si="2"/>
        <v>東鐵関西:直納Ｌ２(H4･級外･L1ﾊﾞﾗ)</v>
      </c>
      <c r="H1766" s="340">
        <f t="shared" si="3"/>
        <v>35.5</v>
      </c>
      <c r="I1766" s="341">
        <v>-0.5</v>
      </c>
      <c r="J1766" s="332">
        <f>IFERROR(__xludf.DUMMYFUNCTION("IF(IF(COUNTIF(P$2:P1765, P1766)=0, """", INDEX(H$2:H1765,
MAX(FILTER(ROW(H$2:H1765) - ROW(H$2) + 1, P$2:P1765 = P1766))))=""単価"","""",
IF(COUNTIF(P$2:P1765, P1766)=0, """", INDEX(H$2:H1765,
MAX(FILTER(ROW(H$2:H1765) - ROW(H$2) + 1, P$2:P1765 = P1766)))))"),36.0)</f>
        <v>36</v>
      </c>
      <c r="N1766" s="335" t="str">
        <f>IF(MAXIFS('単価履歴'!$O:$O,'単価履歴'!$E:$E,E1766,'単価履歴'!$F:$F,F1766)=O1766,"●","")</f>
        <v/>
      </c>
      <c r="O1766" s="346">
        <v>45811.71178240741</v>
      </c>
      <c r="P1766" s="334" t="str">
        <f t="shared" si="4"/>
        <v>東鐵関西:直納Ｌ２(H4･級外･L1ﾊﾞﾗ)</v>
      </c>
    </row>
    <row r="1767" ht="15.75" customHeight="1">
      <c r="A1767" s="335" t="s">
        <v>2939</v>
      </c>
      <c r="B1767" s="336">
        <v>45812.0</v>
      </c>
      <c r="C1767" s="335" t="s">
        <v>531</v>
      </c>
      <c r="D1767" s="335" t="s">
        <v>77</v>
      </c>
      <c r="E1767" s="337" t="str">
        <f t="shared" si="1"/>
        <v>東鐵関西:直納</v>
      </c>
      <c r="F1767" s="338" t="s">
        <v>145</v>
      </c>
      <c r="G1767" s="339" t="str">
        <f t="shared" si="2"/>
        <v>東鐵関西:直納シュレＡ</v>
      </c>
      <c r="H1767" s="340">
        <f t="shared" si="3"/>
        <v>42.5</v>
      </c>
      <c r="I1767" s="341">
        <v>-0.5</v>
      </c>
      <c r="J1767" s="332">
        <f>IFERROR(__xludf.DUMMYFUNCTION("IF(IF(COUNTIF(P$2:P1766, P1767)=0, """", INDEX(H$2:H1766,
MAX(FILTER(ROW(H$2:H1766) - ROW(H$2) + 1, P$2:P1766 = P1767))))=""単価"","""",
IF(COUNTIF(P$2:P1766, P1767)=0, """", INDEX(H$2:H1766,
MAX(FILTER(ROW(H$2:H1766) - ROW(H$2) + 1, P$2:P1766 = P1767)))))"),43.0)</f>
        <v>43</v>
      </c>
      <c r="N1767" s="335" t="str">
        <f>IF(MAXIFS('単価履歴'!$O:$O,'単価履歴'!$E:$E,E1767,'単価履歴'!$F:$F,F1767)=O1767,"●","")</f>
        <v/>
      </c>
      <c r="O1767" s="346">
        <v>45811.71178240741</v>
      </c>
      <c r="P1767" s="334" t="str">
        <f t="shared" si="4"/>
        <v>東鐵関西:直納シュレＡ</v>
      </c>
    </row>
    <row r="1768" ht="15.75" customHeight="1">
      <c r="A1768" s="335" t="s">
        <v>2940</v>
      </c>
      <c r="B1768" s="336">
        <v>45812.0</v>
      </c>
      <c r="C1768" s="335" t="s">
        <v>531</v>
      </c>
      <c r="D1768" s="335" t="s">
        <v>77</v>
      </c>
      <c r="E1768" s="337" t="str">
        <f t="shared" si="1"/>
        <v>東鐵関西:直納</v>
      </c>
      <c r="F1768" s="338" t="s">
        <v>151</v>
      </c>
      <c r="G1768" s="339" t="str">
        <f t="shared" si="2"/>
        <v>東鐵関西:直納シュレＣ</v>
      </c>
      <c r="H1768" s="340">
        <f t="shared" si="3"/>
        <v>41.5</v>
      </c>
      <c r="I1768" s="341">
        <v>-0.5</v>
      </c>
      <c r="J1768" s="332">
        <f>IFERROR(__xludf.DUMMYFUNCTION("IF(IF(COUNTIF(P$2:P1767, P1768)=0, """", INDEX(H$2:H1767,
MAX(FILTER(ROW(H$2:H1767) - ROW(H$2) + 1, P$2:P1767 = P1768))))=""単価"","""",
IF(COUNTIF(P$2:P1767, P1768)=0, """", INDEX(H$2:H1767,
MAX(FILTER(ROW(H$2:H1767) - ROW(H$2) + 1, P$2:P1767 = P1768)))))"),42.0)</f>
        <v>42</v>
      </c>
      <c r="N1768" s="335" t="str">
        <f>IF(MAXIFS('単価履歴'!$O:$O,'単価履歴'!$E:$E,E1768,'単価履歴'!$F:$F,F1768)=O1768,"●","")</f>
        <v/>
      </c>
      <c r="O1768" s="346">
        <v>45811.71178240741</v>
      </c>
      <c r="P1768" s="334" t="str">
        <f t="shared" si="4"/>
        <v>東鐵関西:直納シュレＣ</v>
      </c>
    </row>
    <row r="1769" ht="15.75" customHeight="1">
      <c r="A1769" s="335" t="s">
        <v>2941</v>
      </c>
      <c r="B1769" s="336">
        <v>45801.0</v>
      </c>
      <c r="C1769" s="335" t="s">
        <v>9</v>
      </c>
      <c r="D1769" s="335" t="s">
        <v>50</v>
      </c>
      <c r="E1769" s="337" t="str">
        <f t="shared" si="1"/>
        <v>大鉄　堺:産振</v>
      </c>
      <c r="F1769" s="338" t="s">
        <v>111</v>
      </c>
      <c r="G1769" s="339" t="str">
        <f t="shared" si="2"/>
        <v>大鉄　堺:産振Ｈ１(特A)</v>
      </c>
      <c r="H1769" s="340">
        <f t="shared" si="3"/>
        <v>44.2</v>
      </c>
      <c r="I1769" s="341">
        <v>1.5</v>
      </c>
      <c r="J1769" s="332">
        <f>IFERROR(__xludf.DUMMYFUNCTION("IF(IF(COUNTIF(P$2:P1768, P1769)=0, """", INDEX(H$2:H1768,
MAX(FILTER(ROW(H$2:H1768) - ROW(H$2) + 1, P$2:P1768 = P1769))))=""単価"","""",
IF(COUNTIF(P$2:P1768, P1769)=0, """", INDEX(H$2:H1768,
MAX(FILTER(ROW(H$2:H1768) - ROW(H$2) + 1, P$2:P1768 = P1769)))))"),42.7)</f>
        <v>42.7</v>
      </c>
      <c r="N1769" s="335" t="str">
        <f>IF(MAXIFS('単価履歴'!$O:$O,'単価履歴'!$E:$E,E1769,'単価履歴'!$F:$F,F1769)=O1769,"●","")</f>
        <v/>
      </c>
      <c r="O1769" s="346">
        <v>45812.268530092595</v>
      </c>
      <c r="P1769" s="334" t="str">
        <f t="shared" si="4"/>
        <v>大鉄　堺:産振Ｈ１(特A)</v>
      </c>
    </row>
    <row r="1770" ht="15.75" customHeight="1">
      <c r="A1770" s="335" t="s">
        <v>2942</v>
      </c>
      <c r="B1770" s="336">
        <v>45801.0</v>
      </c>
      <c r="C1770" s="335" t="s">
        <v>9</v>
      </c>
      <c r="D1770" s="335" t="s">
        <v>50</v>
      </c>
      <c r="E1770" s="337" t="str">
        <f t="shared" si="1"/>
        <v>大鉄　堺:産振</v>
      </c>
      <c r="F1770" s="338" t="s">
        <v>116</v>
      </c>
      <c r="G1770" s="339" t="str">
        <f t="shared" si="2"/>
        <v>大鉄　堺:産振Ｈ２(特級)</v>
      </c>
      <c r="H1770" s="340">
        <f t="shared" si="3"/>
        <v>41.7</v>
      </c>
      <c r="I1770" s="341">
        <v>2.0</v>
      </c>
      <c r="J1770" s="332">
        <f>IFERROR(__xludf.DUMMYFUNCTION("IF(IF(COUNTIF(P$2:P1769, P1770)=0, """", INDEX(H$2:H1769,
MAX(FILTER(ROW(H$2:H1769) - ROW(H$2) + 1, P$2:P1769 = P1770))))=""単価"","""",
IF(COUNTIF(P$2:P1769, P1770)=0, """", INDEX(H$2:H1769,
MAX(FILTER(ROW(H$2:H1769) - ROW(H$2) + 1, P$2:P1769 = P1770)))))"),39.7)</f>
        <v>39.7</v>
      </c>
      <c r="N1770" s="335" t="str">
        <f>IF(MAXIFS('単価履歴'!$O:$O,'単価履歴'!$E:$E,E1770,'単価履歴'!$F:$F,F1770)=O1770,"●","")</f>
        <v/>
      </c>
      <c r="O1770" s="346">
        <v>45812.26935185185</v>
      </c>
      <c r="P1770" s="334" t="str">
        <f t="shared" si="4"/>
        <v>大鉄　堺:産振Ｈ２(特級)</v>
      </c>
    </row>
    <row r="1771" ht="15.75" customHeight="1">
      <c r="A1771" s="335" t="s">
        <v>2943</v>
      </c>
      <c r="B1771" s="336">
        <v>45801.0</v>
      </c>
      <c r="C1771" s="335" t="s">
        <v>9</v>
      </c>
      <c r="D1771" s="335" t="s">
        <v>50</v>
      </c>
      <c r="E1771" s="337" t="str">
        <f t="shared" si="1"/>
        <v>大鉄　堺:産振</v>
      </c>
      <c r="F1771" s="338" t="s">
        <v>119</v>
      </c>
      <c r="G1771" s="339" t="str">
        <f t="shared" si="2"/>
        <v>大鉄　堺:産振Ｈ３(1級)</v>
      </c>
      <c r="H1771" s="340">
        <f t="shared" si="3"/>
        <v>23.7</v>
      </c>
      <c r="I1771" s="341">
        <v>-15.5</v>
      </c>
      <c r="J1771" s="332">
        <f>IFERROR(__xludf.DUMMYFUNCTION("IF(IF(COUNTIF(P$2:P1770, P1771)=0, """", INDEX(H$2:H1770,
MAX(FILTER(ROW(H$2:H1770) - ROW(H$2) + 1, P$2:P1770 = P1771))))=""単価"","""",
IF(COUNTIF(P$2:P1770, P1771)=0, """", INDEX(H$2:H1770,
MAX(FILTER(ROW(H$2:H1770) - ROW(H$2) + 1, P$2:P1770 = P1771)))))"),39.2)</f>
        <v>39.2</v>
      </c>
      <c r="N1771" s="335" t="str">
        <f>IF(MAXIFS('単価履歴'!$O:$O,'単価履歴'!$E:$E,E1771,'単価履歴'!$F:$F,F1771)=O1771,"●","")</f>
        <v/>
      </c>
      <c r="O1771" s="346">
        <v>45813.26621527778</v>
      </c>
      <c r="P1771" s="334" t="str">
        <f t="shared" si="4"/>
        <v>大鉄　堺:産振Ｈ３(1級)</v>
      </c>
    </row>
    <row r="1772" ht="15.75" customHeight="1">
      <c r="A1772" s="335" t="s">
        <v>2944</v>
      </c>
      <c r="B1772" s="336">
        <v>45801.0</v>
      </c>
      <c r="C1772" s="335" t="s">
        <v>9</v>
      </c>
      <c r="D1772" s="335" t="s">
        <v>50</v>
      </c>
      <c r="E1772" s="337" t="str">
        <f t="shared" si="1"/>
        <v>大鉄　堺:産振</v>
      </c>
      <c r="F1772" s="338" t="s">
        <v>122</v>
      </c>
      <c r="G1772" s="339" t="str">
        <f t="shared" si="2"/>
        <v>大鉄　堺:産振Ｌ１(2級)</v>
      </c>
      <c r="H1772" s="340">
        <f t="shared" si="3"/>
        <v>22.7</v>
      </c>
      <c r="I1772" s="341">
        <v>-15.5</v>
      </c>
      <c r="J1772" s="332">
        <f>IFERROR(__xludf.DUMMYFUNCTION("IF(IF(COUNTIF(P$2:P1771, P1772)=0, """", INDEX(H$2:H1771,
MAX(FILTER(ROW(H$2:H1771) - ROW(H$2) + 1, P$2:P1771 = P1772))))=""単価"","""",
IF(COUNTIF(P$2:P1771, P1772)=0, """", INDEX(H$2:H1771,
MAX(FILTER(ROW(H$2:H1771) - ROW(H$2) + 1, P$2:P1771 = P1772)))))"),38.2)</f>
        <v>38.2</v>
      </c>
      <c r="N1772" s="335" t="str">
        <f>IF(MAXIFS('単価履歴'!$O:$O,'単価履歴'!$E:$E,E1772,'単価履歴'!$F:$F,F1772)=O1772,"●","")</f>
        <v/>
      </c>
      <c r="O1772" s="346">
        <v>45813.26667824074</v>
      </c>
      <c r="P1772" s="334" t="str">
        <f t="shared" si="4"/>
        <v>大鉄　堺:産振Ｌ１(2級)</v>
      </c>
    </row>
    <row r="1773" ht="15.75" customHeight="1">
      <c r="A1773" s="335" t="s">
        <v>2945</v>
      </c>
      <c r="B1773" s="336">
        <v>45801.0</v>
      </c>
      <c r="C1773" s="335" t="s">
        <v>9</v>
      </c>
      <c r="D1773" s="335" t="s">
        <v>50</v>
      </c>
      <c r="E1773" s="337" t="str">
        <f t="shared" si="1"/>
        <v>大鉄　堺:産振</v>
      </c>
      <c r="F1773" s="338" t="s">
        <v>575</v>
      </c>
      <c r="G1773" s="339" t="str">
        <f t="shared" si="2"/>
        <v>大鉄　堺:産振鋼ダライＡ</v>
      </c>
      <c r="H1773" s="340">
        <f t="shared" si="3"/>
        <v>37.7</v>
      </c>
      <c r="I1773" s="341">
        <v>2.0</v>
      </c>
      <c r="J1773" s="332">
        <f>IFERROR(__xludf.DUMMYFUNCTION("IF(IF(COUNTIF(P$2:P1772, P1773)=0, """", INDEX(H$2:H1772,
MAX(FILTER(ROW(H$2:H1772) - ROW(H$2) + 1, P$2:P1772 = P1773))))=""単価"","""",
IF(COUNTIF(P$2:P1772, P1773)=0, """", INDEX(H$2:H1772,
MAX(FILTER(ROW(H$2:H1772) - ROW(H$2) + 1, P$2:P1772 = P1773)))))"),35.7)</f>
        <v>35.7</v>
      </c>
      <c r="N1773" s="335" t="str">
        <f>IF(MAXIFS('単価履歴'!$O:$O,'単価履歴'!$E:$E,E1773,'単価履歴'!$F:$F,F1773)=O1773,"●","")</f>
        <v/>
      </c>
      <c r="O1773" s="346">
        <v>45813.26715277778</v>
      </c>
      <c r="P1773" s="334" t="str">
        <f t="shared" si="4"/>
        <v>大鉄　堺:産振鋼ダライＡ</v>
      </c>
    </row>
    <row r="1774" ht="15.75" customHeight="1">
      <c r="A1774" s="335" t="s">
        <v>2946</v>
      </c>
      <c r="B1774" s="336">
        <v>45815.0</v>
      </c>
      <c r="C1774" s="335" t="s">
        <v>13</v>
      </c>
      <c r="D1774" s="335" t="s">
        <v>49</v>
      </c>
      <c r="E1774" s="337" t="str">
        <f t="shared" si="1"/>
        <v>ｸﾎﾞﾀ:伊藤忠</v>
      </c>
      <c r="F1774" s="338" t="s">
        <v>130</v>
      </c>
      <c r="G1774" s="339" t="str">
        <f t="shared" si="2"/>
        <v>ｸﾎﾞﾀ:伊藤忠新断Ａ</v>
      </c>
      <c r="H1774" s="340">
        <f t="shared" si="3"/>
        <v>47.7</v>
      </c>
      <c r="I1774" s="341">
        <v>-0.5</v>
      </c>
      <c r="J1774" s="332">
        <f>IFERROR(__xludf.DUMMYFUNCTION("IF(IF(COUNTIF(P$2:P1773, P1774)=0, """", INDEX(H$2:H1773,
MAX(FILTER(ROW(H$2:H1773) - ROW(H$2) + 1, P$2:P1773 = P1774))))=""単価"","""",
IF(COUNTIF(P$2:P1773, P1774)=0, """", INDEX(H$2:H1773,
MAX(FILTER(ROW(H$2:H1773) - ROW(H$2) + 1, P$2:P1773 = P1774)))))"),48.2)</f>
        <v>48.2</v>
      </c>
      <c r="N1774" s="335" t="str">
        <f>IF(MAXIFS('単価履歴'!$O:$O,'単価履歴'!$E:$E,E1774,'単価履歴'!$F:$F,F1774)=O1774,"●","")</f>
        <v/>
      </c>
      <c r="O1774" s="346">
        <v>45815.27516203704</v>
      </c>
      <c r="P1774" s="334" t="str">
        <f t="shared" si="4"/>
        <v>ｸﾎﾞﾀ:伊藤忠新断Ａ</v>
      </c>
    </row>
    <row r="1775" ht="15.75" customHeight="1">
      <c r="A1775" s="335" t="s">
        <v>2947</v>
      </c>
      <c r="B1775" s="336">
        <v>45820.0</v>
      </c>
      <c r="C1775" s="335" t="s">
        <v>31</v>
      </c>
      <c r="D1775" s="335" t="s">
        <v>64</v>
      </c>
      <c r="E1775" s="337" t="str">
        <f t="shared" si="1"/>
        <v>泉北中谷:ナベ双葉</v>
      </c>
      <c r="F1775" s="338" t="s">
        <v>1199</v>
      </c>
      <c r="G1775" s="339" t="str">
        <f t="shared" si="2"/>
        <v>泉北中谷:ナベ双葉ＨＳ１(単体H1/電特A/HS))</v>
      </c>
      <c r="H1775" s="340">
        <f t="shared" si="3"/>
        <v>42.5</v>
      </c>
      <c r="I1775" s="341">
        <v>1.0</v>
      </c>
      <c r="J1775" s="332">
        <f>IFERROR(__xludf.DUMMYFUNCTION("IF(IF(COUNTIF(P$2:P1774, P1775)=0, """", INDEX(H$2:H1774,
MAX(FILTER(ROW(H$2:H1774) - ROW(H$2) + 1, P$2:P1774 = P1775))))=""単価"","""",
IF(COUNTIF(P$2:P1774, P1775)=0, """", INDEX(H$2:H1774,
MAX(FILTER(ROW(H$2:H1774) - ROW(H$2) + 1, P$2:P1774 = P1775)))))"),41.5)</f>
        <v>41.5</v>
      </c>
      <c r="N1775" s="335" t="str">
        <f>IF(MAXIFS('単価履歴'!$O:$O,'単価履歴'!$E:$E,E1775,'単価履歴'!$F:$F,F1775)=O1775,"●","")</f>
        <v/>
      </c>
      <c r="O1775" s="346">
        <v>45820.27490740741</v>
      </c>
      <c r="P1775" s="334" t="str">
        <f t="shared" si="4"/>
        <v>泉北中谷:ナベ双葉ＨＳ１(単体H1/電特A/HS))</v>
      </c>
    </row>
    <row r="1776" ht="15.75" customHeight="1">
      <c r="A1776" s="335" t="s">
        <v>2948</v>
      </c>
      <c r="B1776" s="336">
        <v>45822.0</v>
      </c>
      <c r="C1776" s="335" t="s">
        <v>11</v>
      </c>
      <c r="D1776" s="335" t="s">
        <v>46</v>
      </c>
      <c r="E1776" s="337" t="str">
        <f t="shared" si="1"/>
        <v>ﾔﾏﾄ:阪和</v>
      </c>
      <c r="F1776" s="338" t="s">
        <v>122</v>
      </c>
      <c r="G1776" s="339" t="str">
        <f t="shared" si="2"/>
        <v>ﾔﾏﾄ:阪和Ｌ１(2級)</v>
      </c>
      <c r="H1776" s="340">
        <f t="shared" si="3"/>
        <v>38.6</v>
      </c>
      <c r="I1776" s="341">
        <v>-0.5</v>
      </c>
      <c r="J1776" s="332">
        <f>IFERROR(__xludf.DUMMYFUNCTION("IF(IF(COUNTIF(P$2:P1775, P1776)=0, """", INDEX(H$2:H1775,
MAX(FILTER(ROW(H$2:H1775) - ROW(H$2) + 1, P$2:P1775 = P1776))))=""単価"","""",
IF(COUNTIF(P$2:P1775, P1776)=0, """", INDEX(H$2:H1775,
MAX(FILTER(ROW(H$2:H1775) - ROW(H$2) + 1, P$2:P1775 = P1776)))))"),39.1)</f>
        <v>39.1</v>
      </c>
      <c r="N1776" s="335" t="str">
        <f>IF(MAXIFS('単価履歴'!$O:$O,'単価履歴'!$E:$E,E1776,'単価履歴'!$F:$F,F1776)=O1776,"●","")</f>
        <v/>
      </c>
      <c r="O1776" s="346">
        <v>45821.74590277778</v>
      </c>
      <c r="P1776" s="334" t="str">
        <f t="shared" si="4"/>
        <v>ﾔﾏﾄ:阪和Ｌ１(2級)</v>
      </c>
    </row>
    <row r="1777" ht="15.75" customHeight="1">
      <c r="A1777" s="335" t="s">
        <v>2949</v>
      </c>
      <c r="B1777" s="336">
        <v>45822.0</v>
      </c>
      <c r="C1777" s="335" t="s">
        <v>11</v>
      </c>
      <c r="D1777" s="335" t="s">
        <v>46</v>
      </c>
      <c r="E1777" s="337" t="str">
        <f t="shared" si="1"/>
        <v>ﾔﾏﾄ:阪和</v>
      </c>
      <c r="F1777" s="338" t="s">
        <v>116</v>
      </c>
      <c r="G1777" s="339" t="str">
        <f t="shared" si="2"/>
        <v>ﾔﾏﾄ:阪和Ｈ２(特級)</v>
      </c>
      <c r="H1777" s="340">
        <f t="shared" si="3"/>
        <v>41.6</v>
      </c>
      <c r="I1777" s="341">
        <v>-0.5</v>
      </c>
      <c r="J1777" s="332">
        <f>IFERROR(__xludf.DUMMYFUNCTION("IF(IF(COUNTIF(P$2:P1776, P1777)=0, """", INDEX(H$2:H1776,
MAX(FILTER(ROW(H$2:H1776) - ROW(H$2) + 1, P$2:P1776 = P1777))))=""単価"","""",
IF(COUNTIF(P$2:P1776, P1777)=0, """", INDEX(H$2:H1776,
MAX(FILTER(ROW(H$2:H1776) - ROW(H$2) + 1, P$2:P1776 = P1777)))))"),42.1)</f>
        <v>42.1</v>
      </c>
      <c r="N1777" s="335" t="str">
        <f>IF(MAXIFS('単価履歴'!$O:$O,'単価履歴'!$E:$E,E1777,'単価履歴'!$F:$F,F1777)=O1777,"●","")</f>
        <v/>
      </c>
      <c r="O1777" s="346">
        <v>45821.74590277778</v>
      </c>
      <c r="P1777" s="334" t="str">
        <f t="shared" si="4"/>
        <v>ﾔﾏﾄ:阪和Ｈ２(特級)</v>
      </c>
    </row>
    <row r="1778" ht="15.75" customHeight="1">
      <c r="A1778" s="335" t="s">
        <v>2950</v>
      </c>
      <c r="B1778" s="336">
        <v>45822.0</v>
      </c>
      <c r="C1778" s="335" t="s">
        <v>11</v>
      </c>
      <c r="D1778" s="335" t="s">
        <v>46</v>
      </c>
      <c r="E1778" s="337" t="str">
        <f t="shared" si="1"/>
        <v>ﾔﾏﾄ:阪和</v>
      </c>
      <c r="F1778" s="338" t="s">
        <v>111</v>
      </c>
      <c r="G1778" s="339" t="str">
        <f t="shared" si="2"/>
        <v>ﾔﾏﾄ:阪和Ｈ１(特A)</v>
      </c>
      <c r="H1778" s="340">
        <f t="shared" si="3"/>
        <v>42.6</v>
      </c>
      <c r="I1778" s="341">
        <v>-0.5</v>
      </c>
      <c r="J1778" s="332">
        <f>IFERROR(__xludf.DUMMYFUNCTION("IF(IF(COUNTIF(P$2:P1777, P1778)=0, """", INDEX(H$2:H1777,
MAX(FILTER(ROW(H$2:H1777) - ROW(H$2) + 1, P$2:P1777 = P1778))))=""単価"","""",
IF(COUNTIF(P$2:P1777, P1778)=0, """", INDEX(H$2:H1777,
MAX(FILTER(ROW(H$2:H1777) - ROW(H$2) + 1, P$2:P1777 = P1778)))))"),43.1)</f>
        <v>43.1</v>
      </c>
      <c r="N1778" s="335" t="str">
        <f>IF(MAXIFS('単価履歴'!$O:$O,'単価履歴'!$E:$E,E1778,'単価履歴'!$F:$F,F1778)=O1778,"●","")</f>
        <v/>
      </c>
      <c r="O1778" s="346">
        <v>45821.74590277778</v>
      </c>
      <c r="P1778" s="334" t="str">
        <f t="shared" si="4"/>
        <v>ﾔﾏﾄ:阪和Ｈ１(特A)</v>
      </c>
    </row>
    <row r="1779" ht="15.75" customHeight="1">
      <c r="A1779" s="335" t="s">
        <v>2951</v>
      </c>
      <c r="B1779" s="336">
        <v>45822.0</v>
      </c>
      <c r="C1779" s="335" t="s">
        <v>11</v>
      </c>
      <c r="D1779" s="335" t="s">
        <v>46</v>
      </c>
      <c r="E1779" s="337" t="str">
        <f t="shared" si="1"/>
        <v>ﾔﾏﾄ:阪和</v>
      </c>
      <c r="F1779" s="338" t="s">
        <v>119</v>
      </c>
      <c r="G1779" s="339" t="str">
        <f t="shared" si="2"/>
        <v>ﾔﾏﾄ:阪和Ｈ３(1級)</v>
      </c>
      <c r="H1779" s="340">
        <f t="shared" si="3"/>
        <v>40.6</v>
      </c>
      <c r="I1779" s="341">
        <v>-0.5</v>
      </c>
      <c r="J1779" s="332">
        <f>IFERROR(__xludf.DUMMYFUNCTION("IF(IF(COUNTIF(P$2:P1778, P1779)=0, """", INDEX(H$2:H1778,
MAX(FILTER(ROW(H$2:H1778) - ROW(H$2) + 1, P$2:P1778 = P1779))))=""単価"","""",
IF(COUNTIF(P$2:P1778, P1779)=0, """", INDEX(H$2:H1778,
MAX(FILTER(ROW(H$2:H1778) - ROW(H$2) + 1, P$2:P1778 = P1779)))))"),41.1)</f>
        <v>41.1</v>
      </c>
      <c r="N1779" s="335" t="str">
        <f>IF(MAXIFS('単価履歴'!$O:$O,'単価履歴'!$E:$E,E1779,'単価履歴'!$F:$F,F1779)=O1779,"●","")</f>
        <v/>
      </c>
      <c r="O1779" s="346">
        <v>45821.74590277778</v>
      </c>
      <c r="P1779" s="334" t="str">
        <f t="shared" si="4"/>
        <v>ﾔﾏﾄ:阪和Ｈ３(1級)</v>
      </c>
    </row>
    <row r="1780" ht="15.75" customHeight="1">
      <c r="A1780" s="335" t="s">
        <v>2952</v>
      </c>
      <c r="B1780" s="336">
        <v>45822.0</v>
      </c>
      <c r="C1780" s="335" t="s">
        <v>11</v>
      </c>
      <c r="D1780" s="335" t="s">
        <v>46</v>
      </c>
      <c r="E1780" s="337" t="str">
        <f t="shared" si="1"/>
        <v>ﾔﾏﾄ:阪和</v>
      </c>
      <c r="F1780" s="338" t="s">
        <v>573</v>
      </c>
      <c r="G1780" s="339" t="str">
        <f t="shared" si="2"/>
        <v>ﾔﾏﾄ:阪和Ｌ２(H4･級外･L1ﾊﾞﾗ)</v>
      </c>
      <c r="H1780" s="340">
        <f t="shared" si="3"/>
        <v>36.1</v>
      </c>
      <c r="I1780" s="341">
        <v>-0.5</v>
      </c>
      <c r="J1780" s="332">
        <f>IFERROR(__xludf.DUMMYFUNCTION("IF(IF(COUNTIF(P$2:P1779, P1780)=0, """", INDEX(H$2:H1779,
MAX(FILTER(ROW(H$2:H1779) - ROW(H$2) + 1, P$2:P1779 = P1780))))=""単価"","""",
IF(COUNTIF(P$2:P1779, P1780)=0, """", INDEX(H$2:H1779,
MAX(FILTER(ROW(H$2:H1779) - ROW(H$2) + 1, P$2:P1779 = P1780)))))"),36.6)</f>
        <v>36.6</v>
      </c>
      <c r="N1780" s="335" t="str">
        <f>IF(MAXIFS('単価履歴'!$O:$O,'単価履歴'!$E:$E,E1780,'単価履歴'!$F:$F,F1780)=O1780,"●","")</f>
        <v/>
      </c>
      <c r="O1780" s="346">
        <v>45821.74590277778</v>
      </c>
      <c r="P1780" s="334" t="str">
        <f t="shared" si="4"/>
        <v>ﾔﾏﾄ:阪和Ｌ２(H4･級外･L1ﾊﾞﾗ)</v>
      </c>
    </row>
    <row r="1781" ht="15.75" customHeight="1">
      <c r="A1781" s="335" t="s">
        <v>2953</v>
      </c>
      <c r="B1781" s="336">
        <v>45827.0</v>
      </c>
      <c r="C1781" s="335" t="s">
        <v>7</v>
      </c>
      <c r="D1781" s="335" t="s">
        <v>49</v>
      </c>
      <c r="E1781" s="337" t="str">
        <f t="shared" si="1"/>
        <v>合同大阪:伊藤忠</v>
      </c>
      <c r="F1781" s="338" t="s">
        <v>111</v>
      </c>
      <c r="G1781" s="339" t="str">
        <f t="shared" si="2"/>
        <v>合同大阪:伊藤忠Ｈ１(特A)</v>
      </c>
      <c r="H1781" s="340">
        <f t="shared" si="3"/>
        <v>42.8</v>
      </c>
      <c r="I1781" s="341">
        <v>-0.5</v>
      </c>
      <c r="J1781" s="332">
        <f>IFERROR(__xludf.DUMMYFUNCTION("IF(IF(COUNTIF(P$2:P1780, P1781)=0, """", INDEX(H$2:H1780,
MAX(FILTER(ROW(H$2:H1780) - ROW(H$2) + 1, P$2:P1780 = P1781))))=""単価"","""",
IF(COUNTIF(P$2:P1780, P1781)=0, """", INDEX(H$2:H1780,
MAX(FILTER(ROW(H$2:H1780) - ROW(H$2) + 1, P$2:P1780 = P1781)))))"),43.3)</f>
        <v>43.3</v>
      </c>
      <c r="N1781" s="335" t="str">
        <f>IF(MAXIFS('単価履歴'!$O:$O,'単価履歴'!$E:$E,E1781,'単価履歴'!$F:$F,F1781)=O1781,"●","")</f>
        <v/>
      </c>
      <c r="O1781" s="346">
        <v>45826.72386574074</v>
      </c>
      <c r="P1781" s="334" t="str">
        <f t="shared" si="4"/>
        <v>合同大阪:伊藤忠Ｈ１(特A)</v>
      </c>
    </row>
    <row r="1782" ht="15.75" customHeight="1">
      <c r="A1782" s="335" t="s">
        <v>2954</v>
      </c>
      <c r="B1782" s="336">
        <v>45827.0</v>
      </c>
      <c r="C1782" s="335" t="s">
        <v>7</v>
      </c>
      <c r="D1782" s="335" t="s">
        <v>49</v>
      </c>
      <c r="E1782" s="337" t="str">
        <f t="shared" si="1"/>
        <v>合同大阪:伊藤忠</v>
      </c>
      <c r="F1782" s="338" t="s">
        <v>116</v>
      </c>
      <c r="G1782" s="339" t="str">
        <f t="shared" si="2"/>
        <v>合同大阪:伊藤忠Ｈ２(特級)</v>
      </c>
      <c r="H1782" s="340">
        <f t="shared" si="3"/>
        <v>41.3</v>
      </c>
      <c r="I1782" s="341">
        <v>-0.5</v>
      </c>
      <c r="J1782" s="332">
        <f>IFERROR(__xludf.DUMMYFUNCTION("IF(IF(COUNTIF(P$2:P1781, P1782)=0, """", INDEX(H$2:H1781,
MAX(FILTER(ROW(H$2:H1781) - ROW(H$2) + 1, P$2:P1781 = P1782))))=""単価"","""",
IF(COUNTIF(P$2:P1781, P1782)=0, """", INDEX(H$2:H1781,
MAX(FILTER(ROW(H$2:H1781) - ROW(H$2) + 1, P$2:P1781 = P1782)))))"),41.8)</f>
        <v>41.8</v>
      </c>
      <c r="N1782" s="335" t="str">
        <f>IF(MAXIFS('単価履歴'!$O:$O,'単価履歴'!$E:$E,E1782,'単価履歴'!$F:$F,F1782)=O1782,"●","")</f>
        <v/>
      </c>
      <c r="O1782" s="346">
        <v>45826.72386574074</v>
      </c>
      <c r="P1782" s="334" t="str">
        <f t="shared" si="4"/>
        <v>合同大阪:伊藤忠Ｈ２(特級)</v>
      </c>
    </row>
    <row r="1783" ht="15.75" customHeight="1">
      <c r="A1783" s="335" t="s">
        <v>2955</v>
      </c>
      <c r="B1783" s="336">
        <v>45827.0</v>
      </c>
      <c r="C1783" s="335" t="s">
        <v>7</v>
      </c>
      <c r="D1783" s="335" t="s">
        <v>49</v>
      </c>
      <c r="E1783" s="337" t="str">
        <f t="shared" si="1"/>
        <v>合同大阪:伊藤忠</v>
      </c>
      <c r="F1783" s="338" t="s">
        <v>119</v>
      </c>
      <c r="G1783" s="339" t="str">
        <f t="shared" si="2"/>
        <v>合同大阪:伊藤忠Ｈ３(1級)</v>
      </c>
      <c r="H1783" s="340">
        <f t="shared" si="3"/>
        <v>40.8</v>
      </c>
      <c r="I1783" s="341">
        <v>-0.5</v>
      </c>
      <c r="J1783" s="332">
        <f>IFERROR(__xludf.DUMMYFUNCTION("IF(IF(COUNTIF(P$2:P1782, P1783)=0, """", INDEX(H$2:H1782,
MAX(FILTER(ROW(H$2:H1782) - ROW(H$2) + 1, P$2:P1782 = P1783))))=""単価"","""",
IF(COUNTIF(P$2:P1782, P1783)=0, """", INDEX(H$2:H1782,
MAX(FILTER(ROW(H$2:H1782) - ROW(H$2) + 1, P$2:P1782 = P1783)))))"),41.3)</f>
        <v>41.3</v>
      </c>
      <c r="N1783" s="335" t="str">
        <f>IF(MAXIFS('単価履歴'!$O:$O,'単価履歴'!$E:$E,E1783,'単価履歴'!$F:$F,F1783)=O1783,"●","")</f>
        <v/>
      </c>
      <c r="O1783" s="346">
        <v>45826.72386574074</v>
      </c>
      <c r="P1783" s="334" t="str">
        <f t="shared" si="4"/>
        <v>合同大阪:伊藤忠Ｈ３(1級)</v>
      </c>
    </row>
    <row r="1784" ht="15.75" customHeight="1">
      <c r="A1784" s="335" t="s">
        <v>2956</v>
      </c>
      <c r="B1784" s="336">
        <v>45827.0</v>
      </c>
      <c r="C1784" s="335" t="s">
        <v>7</v>
      </c>
      <c r="D1784" s="335" t="s">
        <v>49</v>
      </c>
      <c r="E1784" s="337" t="str">
        <f t="shared" si="1"/>
        <v>合同大阪:伊藤忠</v>
      </c>
      <c r="F1784" s="338" t="s">
        <v>122</v>
      </c>
      <c r="G1784" s="339" t="str">
        <f t="shared" si="2"/>
        <v>合同大阪:伊藤忠Ｌ１(2級)</v>
      </c>
      <c r="H1784" s="340">
        <f t="shared" si="3"/>
        <v>39.8</v>
      </c>
      <c r="I1784" s="341">
        <v>-0.5</v>
      </c>
      <c r="J1784" s="332">
        <f>IFERROR(__xludf.DUMMYFUNCTION("IF(IF(COUNTIF(P$2:P1783, P1784)=0, """", INDEX(H$2:H1783,
MAX(FILTER(ROW(H$2:H1783) - ROW(H$2) + 1, P$2:P1783 = P1784))))=""単価"","""",
IF(COUNTIF(P$2:P1783, P1784)=0, """", INDEX(H$2:H1783,
MAX(FILTER(ROW(H$2:H1783) - ROW(H$2) + 1, P$2:P1783 = P1784)))))"),40.3)</f>
        <v>40.3</v>
      </c>
      <c r="N1784" s="335" t="str">
        <f>IF(MAXIFS('単価履歴'!$O:$O,'単価履歴'!$E:$E,E1784,'単価履歴'!$F:$F,F1784)=O1784,"●","")</f>
        <v/>
      </c>
      <c r="O1784" s="346">
        <v>45826.72386574074</v>
      </c>
      <c r="P1784" s="334" t="str">
        <f t="shared" si="4"/>
        <v>合同大阪:伊藤忠Ｌ１(2級)</v>
      </c>
    </row>
    <row r="1785" ht="15.75" customHeight="1">
      <c r="A1785" s="335" t="s">
        <v>2957</v>
      </c>
      <c r="B1785" s="336">
        <v>45828.0</v>
      </c>
      <c r="C1785" s="335" t="s">
        <v>6</v>
      </c>
      <c r="D1785" s="335" t="s">
        <v>48</v>
      </c>
      <c r="E1785" s="337" t="str">
        <f t="shared" si="1"/>
        <v>中山鋼業:ナベ</v>
      </c>
      <c r="F1785" s="338" t="s">
        <v>111</v>
      </c>
      <c r="G1785" s="339" t="str">
        <f t="shared" si="2"/>
        <v>中山鋼業:ナベＨ１(特A)</v>
      </c>
      <c r="H1785" s="340">
        <f t="shared" si="3"/>
        <v>43.5</v>
      </c>
      <c r="I1785" s="341">
        <v>-0.5</v>
      </c>
      <c r="J1785" s="332">
        <f>IFERROR(__xludf.DUMMYFUNCTION("IF(IF(COUNTIF(P$2:P1784, P1785)=0, """", INDEX(H$2:H1784,
MAX(FILTER(ROW(H$2:H1784) - ROW(H$2) + 1, P$2:P1784 = P1785))))=""単価"","""",
IF(COUNTIF(P$2:P1784, P1785)=0, """", INDEX(H$2:H1784,
MAX(FILTER(ROW(H$2:H1784) - ROW(H$2) + 1, P$2:P1784 = P1785)))))"),44.0)</f>
        <v>44</v>
      </c>
      <c r="N1785" s="335" t="str">
        <f>IF(MAXIFS('単価履歴'!$O:$O,'単価履歴'!$E:$E,E1785,'単価履歴'!$F:$F,F1785)=O1785,"●","")</f>
        <v/>
      </c>
      <c r="O1785" s="346">
        <v>45828.26369212963</v>
      </c>
      <c r="P1785" s="334" t="str">
        <f t="shared" si="4"/>
        <v>中山鋼業:ナベＨ１(特A)</v>
      </c>
    </row>
    <row r="1786" ht="15.75" customHeight="1">
      <c r="A1786" s="335" t="s">
        <v>2958</v>
      </c>
      <c r="B1786" s="336">
        <v>45828.0</v>
      </c>
      <c r="C1786" s="335" t="s">
        <v>6</v>
      </c>
      <c r="D1786" s="335" t="s">
        <v>48</v>
      </c>
      <c r="E1786" s="337" t="str">
        <f t="shared" si="1"/>
        <v>中山鋼業:ナベ</v>
      </c>
      <c r="F1786" s="338" t="s">
        <v>1237</v>
      </c>
      <c r="G1786" s="339" t="str">
        <f t="shared" si="2"/>
        <v>中山鋼業:ナベＪＨ１(H2T山口)鍛造ﾊﾞﾘ</v>
      </c>
      <c r="H1786" s="340">
        <f t="shared" si="3"/>
        <v>42.7</v>
      </c>
      <c r="I1786" s="341">
        <v>-0.5</v>
      </c>
      <c r="J1786" s="332">
        <f>IFERROR(__xludf.DUMMYFUNCTION("IF(IF(COUNTIF(P$2:P1785, P1786)=0, """", INDEX(H$2:H1785,
MAX(FILTER(ROW(H$2:H1785) - ROW(H$2) + 1, P$2:P1785 = P1786))))=""単価"","""",
IF(COUNTIF(P$2:P1785, P1786)=0, """", INDEX(H$2:H1785,
MAX(FILTER(ROW(H$2:H1785) - ROW(H$2) + 1, P$2:P1785 = P1786)))))"),43.2)</f>
        <v>43.2</v>
      </c>
      <c r="N1786" s="335" t="str">
        <f>IF(MAXIFS('単価履歴'!$O:$O,'単価履歴'!$E:$E,E1786,'単価履歴'!$F:$F,F1786)=O1786,"●","")</f>
        <v/>
      </c>
      <c r="O1786" s="346">
        <v>45828.26369212963</v>
      </c>
      <c r="P1786" s="334" t="str">
        <f t="shared" si="4"/>
        <v>中山鋼業:ナベＪＨ１(H2T山口)鍛造ﾊﾞﾘ</v>
      </c>
    </row>
    <row r="1787" ht="15.75" customHeight="1">
      <c r="A1787" s="335" t="s">
        <v>2959</v>
      </c>
      <c r="B1787" s="336">
        <v>45828.0</v>
      </c>
      <c r="C1787" s="335" t="s">
        <v>6</v>
      </c>
      <c r="D1787" s="335" t="s">
        <v>48</v>
      </c>
      <c r="E1787" s="337" t="str">
        <f t="shared" si="1"/>
        <v>中山鋼業:ナベ</v>
      </c>
      <c r="F1787" s="338" t="s">
        <v>116</v>
      </c>
      <c r="G1787" s="339" t="str">
        <f t="shared" si="2"/>
        <v>中山鋼業:ナベＨ２(特級)</v>
      </c>
      <c r="H1787" s="340">
        <f t="shared" si="3"/>
        <v>41.5</v>
      </c>
      <c r="I1787" s="341">
        <v>-0.5</v>
      </c>
      <c r="J1787" s="332">
        <f>IFERROR(__xludf.DUMMYFUNCTION("IF(IF(COUNTIF(P$2:P1786, P1787)=0, """", INDEX(H$2:H1786,
MAX(FILTER(ROW(H$2:H1786) - ROW(H$2) + 1, P$2:P1786 = P1787))))=""単価"","""",
IF(COUNTIF(P$2:P1786, P1787)=0, """", INDEX(H$2:H1786,
MAX(FILTER(ROW(H$2:H1786) - ROW(H$2) + 1, P$2:P1786 = P1787)))))"),42.0)</f>
        <v>42</v>
      </c>
      <c r="N1787" s="335" t="str">
        <f>IF(MAXIFS('単価履歴'!$O:$O,'単価履歴'!$E:$E,E1787,'単価履歴'!$F:$F,F1787)=O1787,"●","")</f>
        <v/>
      </c>
      <c r="O1787" s="346">
        <v>45828.26369212963</v>
      </c>
      <c r="P1787" s="334" t="str">
        <f t="shared" si="4"/>
        <v>中山鋼業:ナベＨ２(特級)</v>
      </c>
    </row>
    <row r="1788" ht="15.75" customHeight="1">
      <c r="A1788" s="335" t="s">
        <v>2960</v>
      </c>
      <c r="B1788" s="336">
        <v>45828.0</v>
      </c>
      <c r="C1788" s="335" t="s">
        <v>6</v>
      </c>
      <c r="D1788" s="335" t="s">
        <v>48</v>
      </c>
      <c r="E1788" s="337" t="str">
        <f t="shared" si="1"/>
        <v>中山鋼業:ナベ</v>
      </c>
      <c r="F1788" s="338" t="s">
        <v>119</v>
      </c>
      <c r="G1788" s="339" t="str">
        <f t="shared" si="2"/>
        <v>中山鋼業:ナベＨ３(1級)</v>
      </c>
      <c r="H1788" s="340">
        <f t="shared" si="3"/>
        <v>40</v>
      </c>
      <c r="I1788" s="341">
        <v>-0.5</v>
      </c>
      <c r="J1788" s="332">
        <f>IFERROR(__xludf.DUMMYFUNCTION("IF(IF(COUNTIF(P$2:P1787, P1788)=0, """", INDEX(H$2:H1787,
MAX(FILTER(ROW(H$2:H1787) - ROW(H$2) + 1, P$2:P1787 = P1788))))=""単価"","""",
IF(COUNTIF(P$2:P1787, P1788)=0, """", INDEX(H$2:H1787,
MAX(FILTER(ROW(H$2:H1787) - ROW(H$2) + 1, P$2:P1787 = P1788)))))"),40.5)</f>
        <v>40.5</v>
      </c>
      <c r="N1788" s="335" t="str">
        <f>IF(MAXIFS('単価履歴'!$O:$O,'単価履歴'!$E:$E,E1788,'単価履歴'!$F:$F,F1788)=O1788,"●","")</f>
        <v/>
      </c>
      <c r="O1788" s="346">
        <v>45828.26369212963</v>
      </c>
      <c r="P1788" s="334" t="str">
        <f t="shared" si="4"/>
        <v>中山鋼業:ナベＨ３(1級)</v>
      </c>
    </row>
    <row r="1789" ht="15.75" customHeight="1">
      <c r="A1789" s="335" t="s">
        <v>2961</v>
      </c>
      <c r="B1789" s="336">
        <v>45828.0</v>
      </c>
      <c r="C1789" s="335" t="s">
        <v>6</v>
      </c>
      <c r="D1789" s="335" t="s">
        <v>48</v>
      </c>
      <c r="E1789" s="337" t="str">
        <f t="shared" si="1"/>
        <v>中山鋼業:ナベ</v>
      </c>
      <c r="F1789" s="338" t="s">
        <v>122</v>
      </c>
      <c r="G1789" s="339" t="str">
        <f t="shared" si="2"/>
        <v>中山鋼業:ナベＬ１(2級)</v>
      </c>
      <c r="H1789" s="340">
        <f t="shared" si="3"/>
        <v>39.5</v>
      </c>
      <c r="I1789" s="341">
        <v>-0.5</v>
      </c>
      <c r="J1789" s="332">
        <f>IFERROR(__xludf.DUMMYFUNCTION("IF(IF(COUNTIF(P$2:P1788, P1789)=0, """", INDEX(H$2:H1788,
MAX(FILTER(ROW(H$2:H1788) - ROW(H$2) + 1, P$2:P1788 = P1789))))=""単価"","""",
IF(COUNTIF(P$2:P1788, P1789)=0, """", INDEX(H$2:H1788,
MAX(FILTER(ROW(H$2:H1788) - ROW(H$2) + 1, P$2:P1788 = P1789)))))"),40.0)</f>
        <v>40</v>
      </c>
      <c r="N1789" s="335" t="str">
        <f>IF(MAXIFS('単価履歴'!$O:$O,'単価履歴'!$E:$E,E1789,'単価履歴'!$F:$F,F1789)=O1789,"●","")</f>
        <v/>
      </c>
      <c r="O1789" s="346">
        <v>45828.26369212963</v>
      </c>
      <c r="P1789" s="334" t="str">
        <f t="shared" si="4"/>
        <v>中山鋼業:ナベＬ１(2級)</v>
      </c>
    </row>
    <row r="1790" ht="15.75" customHeight="1">
      <c r="A1790" s="335" t="s">
        <v>2962</v>
      </c>
      <c r="B1790" s="336">
        <v>45828.0</v>
      </c>
      <c r="C1790" s="335" t="s">
        <v>6</v>
      </c>
      <c r="D1790" s="335" t="s">
        <v>48</v>
      </c>
      <c r="E1790" s="337" t="str">
        <f t="shared" si="1"/>
        <v>中山鋼業:ナベ</v>
      </c>
      <c r="F1790" s="338" t="s">
        <v>573</v>
      </c>
      <c r="G1790" s="339" t="str">
        <f t="shared" si="2"/>
        <v>中山鋼業:ナベＬ２(H4･級外･L1ﾊﾞﾗ)</v>
      </c>
      <c r="H1790" s="340">
        <f t="shared" si="3"/>
        <v>36</v>
      </c>
      <c r="I1790" s="341">
        <v>-0.5</v>
      </c>
      <c r="J1790" s="332">
        <f>IFERROR(__xludf.DUMMYFUNCTION("IF(IF(COUNTIF(P$2:P1789, P1790)=0, """", INDEX(H$2:H1789,
MAX(FILTER(ROW(H$2:H1789) - ROW(H$2) + 1, P$2:P1789 = P1790))))=""単価"","""",
IF(COUNTIF(P$2:P1789, P1790)=0, """", INDEX(H$2:H1789,
MAX(FILTER(ROW(H$2:H1789) - ROW(H$2) + 1, P$2:P1789 = P1790)))))"),36.5)</f>
        <v>36.5</v>
      </c>
      <c r="N1790" s="335" t="str">
        <f>IF(MAXIFS('単価履歴'!$O:$O,'単価履歴'!$E:$E,E1790,'単価履歴'!$F:$F,F1790)=O1790,"●","")</f>
        <v/>
      </c>
      <c r="O1790" s="346">
        <v>45828.26369212963</v>
      </c>
      <c r="P1790" s="334" t="str">
        <f t="shared" si="4"/>
        <v>中山鋼業:ナベＬ２(H4･級外･L1ﾊﾞﾗ)</v>
      </c>
    </row>
    <row r="1791" ht="15.75" customHeight="1">
      <c r="A1791" s="335" t="s">
        <v>2963</v>
      </c>
      <c r="B1791" s="336">
        <v>45828.0</v>
      </c>
      <c r="C1791" s="335" t="s">
        <v>6</v>
      </c>
      <c r="D1791" s="335" t="s">
        <v>48</v>
      </c>
      <c r="E1791" s="337" t="str">
        <f t="shared" si="1"/>
        <v>中山鋼業:ナベ</v>
      </c>
      <c r="F1791" s="338" t="s">
        <v>130</v>
      </c>
      <c r="G1791" s="339" t="str">
        <f t="shared" si="2"/>
        <v>中山鋼業:ナベ新断Ａ</v>
      </c>
      <c r="H1791" s="340">
        <f t="shared" si="3"/>
        <v>-0.5</v>
      </c>
      <c r="I1791" s="341">
        <v>-0.5</v>
      </c>
      <c r="J1791" s="332">
        <f>IFERROR(__xludf.DUMMYFUNCTION("IF(IF(COUNTIF(P$2:P1790, P1791)=0, """", INDEX(H$2:H1790,
MAX(FILTER(ROW(H$2:H1790) - ROW(H$2) + 1, P$2:P1790 = P1791))))=""単価"","""",
IF(COUNTIF(P$2:P1790, P1791)=0, """", INDEX(H$2:H1790,
MAX(FILTER(ROW(H$2:H1790) - ROW(H$2) + 1, P$2:P1790 = P1791)))))"),0.0)</f>
        <v>0</v>
      </c>
      <c r="N1791" s="335" t="str">
        <f>IF(MAXIFS('単価履歴'!$O:$O,'単価履歴'!$E:$E,E1791,'単価履歴'!$F:$F,F1791)=O1791,"●","")</f>
        <v/>
      </c>
      <c r="O1791" s="346">
        <v>45828.26369212963</v>
      </c>
      <c r="P1791" s="334" t="str">
        <f t="shared" si="4"/>
        <v>中山鋼業:ナベ新断Ａ</v>
      </c>
    </row>
    <row r="1792" ht="15.75" customHeight="1">
      <c r="A1792" s="335" t="s">
        <v>2964</v>
      </c>
      <c r="B1792" s="336">
        <v>45828.0</v>
      </c>
      <c r="C1792" s="335" t="s">
        <v>6</v>
      </c>
      <c r="D1792" s="335" t="s">
        <v>48</v>
      </c>
      <c r="E1792" s="337" t="str">
        <f t="shared" si="1"/>
        <v>中山鋼業:ナベ</v>
      </c>
      <c r="F1792" s="338" t="s">
        <v>575</v>
      </c>
      <c r="G1792" s="339" t="str">
        <f t="shared" si="2"/>
        <v>中山鋼業:ナベ鋼ダライＡ</v>
      </c>
      <c r="H1792" s="340">
        <f t="shared" si="3"/>
        <v>34.2</v>
      </c>
      <c r="I1792" s="341">
        <v>-0.5</v>
      </c>
      <c r="J1792" s="332">
        <f>IFERROR(__xludf.DUMMYFUNCTION("IF(IF(COUNTIF(P$2:P1791, P1792)=0, """", INDEX(H$2:H1791,
MAX(FILTER(ROW(H$2:H1791) - ROW(H$2) + 1, P$2:P1791 = P1792))))=""単価"","""",
IF(COUNTIF(P$2:P1791, P1792)=0, """", INDEX(H$2:H1791,
MAX(FILTER(ROW(H$2:H1791) - ROW(H$2) + 1, P$2:P1791 = P1792)))))"),34.7)</f>
        <v>34.7</v>
      </c>
      <c r="N1792" s="335" t="str">
        <f>IF(MAXIFS('単価履歴'!$O:$O,'単価履歴'!$E:$E,E1792,'単価履歴'!$F:$F,F1792)=O1792,"●","")</f>
        <v/>
      </c>
      <c r="O1792" s="346">
        <v>45828.26369212963</v>
      </c>
      <c r="P1792" s="334" t="str">
        <f t="shared" si="4"/>
        <v>中山鋼業:ナベ鋼ダライＡ</v>
      </c>
    </row>
    <row r="1793" ht="15.75" customHeight="1">
      <c r="A1793" s="335" t="s">
        <v>2965</v>
      </c>
      <c r="B1793" s="336">
        <v>45828.0</v>
      </c>
      <c r="C1793" s="335" t="s">
        <v>9</v>
      </c>
      <c r="D1793" s="335" t="s">
        <v>51</v>
      </c>
      <c r="E1793" s="337" t="str">
        <f t="shared" si="1"/>
        <v>大鉄　堺:大鉄堺</v>
      </c>
      <c r="F1793" s="338" t="s">
        <v>111</v>
      </c>
      <c r="G1793" s="339" t="str">
        <f t="shared" si="2"/>
        <v>大鉄　堺:大鉄堺Ｈ１(特A)</v>
      </c>
      <c r="H1793" s="340">
        <f t="shared" si="3"/>
        <v>43.5</v>
      </c>
      <c r="I1793" s="341">
        <v>-0.5</v>
      </c>
      <c r="J1793" s="332">
        <f>IFERROR(__xludf.DUMMYFUNCTION("IF(IF(COUNTIF(P$2:P1792, P1793)=0, """", INDEX(H$2:H1792,
MAX(FILTER(ROW(H$2:H1792) - ROW(H$2) + 1, P$2:P1792 = P1793))))=""単価"","""",
IF(COUNTIF(P$2:P1792, P1793)=0, """", INDEX(H$2:H1792,
MAX(FILTER(ROW(H$2:H1792) - ROW(H$2) + 1, P$2:P1792 = P1793)))))"),44.0)</f>
        <v>44</v>
      </c>
      <c r="N1793" s="335" t="str">
        <f>IF(MAXIFS('単価履歴'!$O:$O,'単価履歴'!$E:$E,E1793,'単価履歴'!$F:$F,F1793)=O1793,"●","")</f>
        <v/>
      </c>
      <c r="O1793" s="346">
        <v>45828.2640625</v>
      </c>
      <c r="P1793" s="334" t="str">
        <f t="shared" si="4"/>
        <v>大鉄　堺:大鉄堺Ｈ１(特A)</v>
      </c>
    </row>
    <row r="1794" ht="15.75" customHeight="1">
      <c r="A1794" s="335" t="s">
        <v>2966</v>
      </c>
      <c r="B1794" s="336">
        <v>45828.0</v>
      </c>
      <c r="C1794" s="335" t="s">
        <v>9</v>
      </c>
      <c r="D1794" s="335" t="s">
        <v>51</v>
      </c>
      <c r="E1794" s="337" t="str">
        <f t="shared" si="1"/>
        <v>大鉄　堺:大鉄堺</v>
      </c>
      <c r="F1794" s="338" t="s">
        <v>116</v>
      </c>
      <c r="G1794" s="339" t="str">
        <f t="shared" si="2"/>
        <v>大鉄　堺:大鉄堺Ｈ２(特級)</v>
      </c>
      <c r="H1794" s="340">
        <f t="shared" si="3"/>
        <v>40.5</v>
      </c>
      <c r="I1794" s="341">
        <v>-0.5</v>
      </c>
      <c r="J1794" s="332">
        <f>IFERROR(__xludf.DUMMYFUNCTION("IF(IF(COUNTIF(P$2:P1793, P1794)=0, """", INDEX(H$2:H1793,
MAX(FILTER(ROW(H$2:H1793) - ROW(H$2) + 1, P$2:P1793 = P1794))))=""単価"","""",
IF(COUNTIF(P$2:P1793, P1794)=0, """", INDEX(H$2:H1793,
MAX(FILTER(ROW(H$2:H1793) - ROW(H$2) + 1, P$2:P1793 = P1794)))))"),41.0)</f>
        <v>41</v>
      </c>
      <c r="N1794" s="335" t="str">
        <f>IF(MAXIFS('単価履歴'!$O:$O,'単価履歴'!$E:$E,E1794,'単価履歴'!$F:$F,F1794)=O1794,"●","")</f>
        <v/>
      </c>
      <c r="O1794" s="346">
        <v>45828.2640625</v>
      </c>
      <c r="P1794" s="334" t="str">
        <f t="shared" si="4"/>
        <v>大鉄　堺:大鉄堺Ｈ２(特級)</v>
      </c>
    </row>
    <row r="1795" ht="15.75" customHeight="1">
      <c r="A1795" s="335" t="s">
        <v>2967</v>
      </c>
      <c r="B1795" s="336">
        <v>45828.0</v>
      </c>
      <c r="C1795" s="335" t="s">
        <v>9</v>
      </c>
      <c r="D1795" s="335" t="s">
        <v>51</v>
      </c>
      <c r="E1795" s="337" t="str">
        <f t="shared" si="1"/>
        <v>大鉄　堺:大鉄堺</v>
      </c>
      <c r="F1795" s="338" t="s">
        <v>1237</v>
      </c>
      <c r="G1795" s="339" t="str">
        <f t="shared" si="2"/>
        <v>大鉄　堺:大鉄堺ＪＨ１(H2T山口)鍛造ﾊﾞﾘ</v>
      </c>
      <c r="H1795" s="340">
        <f t="shared" si="3"/>
        <v>42.5</v>
      </c>
      <c r="I1795" s="341">
        <v>-0.5</v>
      </c>
      <c r="J1795" s="332">
        <f>IFERROR(__xludf.DUMMYFUNCTION("IF(IF(COUNTIF(P$2:P1794, P1795)=0, """", INDEX(H$2:H1794,
MAX(FILTER(ROW(H$2:H1794) - ROW(H$2) + 1, P$2:P1794 = P1795))))=""単価"","""",
IF(COUNTIF(P$2:P1794, P1795)=0, """", INDEX(H$2:H1794,
MAX(FILTER(ROW(H$2:H1794) - ROW(H$2) + 1, P$2:P1794 = P1795)))))"),43.0)</f>
        <v>43</v>
      </c>
      <c r="N1795" s="335" t="str">
        <f>IF(MAXIFS('単価履歴'!$O:$O,'単価履歴'!$E:$E,E1795,'単価履歴'!$F:$F,F1795)=O1795,"●","")</f>
        <v/>
      </c>
      <c r="O1795" s="346">
        <v>45828.2640625</v>
      </c>
      <c r="P1795" s="334" t="str">
        <f t="shared" si="4"/>
        <v>大鉄　堺:大鉄堺ＪＨ１(H2T山口)鍛造ﾊﾞﾘ</v>
      </c>
    </row>
    <row r="1796" ht="15.75" customHeight="1">
      <c r="A1796" s="335" t="s">
        <v>2968</v>
      </c>
      <c r="B1796" s="336">
        <v>45828.0</v>
      </c>
      <c r="C1796" s="335" t="s">
        <v>9</v>
      </c>
      <c r="D1796" s="335" t="s">
        <v>51</v>
      </c>
      <c r="E1796" s="337" t="str">
        <f t="shared" si="1"/>
        <v>大鉄　堺:大鉄堺</v>
      </c>
      <c r="F1796" s="338" t="s">
        <v>119</v>
      </c>
      <c r="G1796" s="339" t="str">
        <f t="shared" si="2"/>
        <v>大鉄　堺:大鉄堺Ｈ３(1級)</v>
      </c>
      <c r="H1796" s="340">
        <f t="shared" si="3"/>
        <v>40</v>
      </c>
      <c r="I1796" s="341">
        <v>-0.5</v>
      </c>
      <c r="J1796" s="332">
        <f>IFERROR(__xludf.DUMMYFUNCTION("IF(IF(COUNTIF(P$2:P1795, P1796)=0, """", INDEX(H$2:H1795,
MAX(FILTER(ROW(H$2:H1795) - ROW(H$2) + 1, P$2:P1795 = P1796))))=""単価"","""",
IF(COUNTIF(P$2:P1795, P1796)=0, """", INDEX(H$2:H1795,
MAX(FILTER(ROW(H$2:H1795) - ROW(H$2) + 1, P$2:P1795 = P1796)))))"),40.5)</f>
        <v>40.5</v>
      </c>
      <c r="N1796" s="335" t="str">
        <f>IF(MAXIFS('単価履歴'!$O:$O,'単価履歴'!$E:$E,E1796,'単価履歴'!$F:$F,F1796)=O1796,"●","")</f>
        <v/>
      </c>
      <c r="O1796" s="346">
        <v>45828.2640625</v>
      </c>
      <c r="P1796" s="334" t="str">
        <f t="shared" si="4"/>
        <v>大鉄　堺:大鉄堺Ｈ３(1級)</v>
      </c>
    </row>
    <row r="1797" ht="15.75" customHeight="1">
      <c r="A1797" s="335" t="s">
        <v>2969</v>
      </c>
      <c r="B1797" s="336">
        <v>45828.0</v>
      </c>
      <c r="C1797" s="335" t="s">
        <v>9</v>
      </c>
      <c r="D1797" s="335" t="s">
        <v>51</v>
      </c>
      <c r="E1797" s="337" t="str">
        <f t="shared" si="1"/>
        <v>大鉄　堺:大鉄堺</v>
      </c>
      <c r="F1797" s="338" t="s">
        <v>130</v>
      </c>
      <c r="G1797" s="339" t="str">
        <f t="shared" si="2"/>
        <v>大鉄　堺:大鉄堺新断Ａ</v>
      </c>
      <c r="H1797" s="340">
        <f t="shared" si="3"/>
        <v>27</v>
      </c>
      <c r="I1797" s="341">
        <v>-0.5</v>
      </c>
      <c r="J1797" s="332">
        <f>IFERROR(__xludf.DUMMYFUNCTION("IF(IF(COUNTIF(P$2:P1796, P1797)=0, """", INDEX(H$2:H1796,
MAX(FILTER(ROW(H$2:H1796) - ROW(H$2) + 1, P$2:P1796 = P1797))))=""単価"","""",
IF(COUNTIF(P$2:P1796, P1797)=0, """", INDEX(H$2:H1796,
MAX(FILTER(ROW(H$2:H1796) - ROW(H$2) + 1, P$2:P1796 = P1797)))))"),27.5)</f>
        <v>27.5</v>
      </c>
      <c r="N1797" s="335" t="str">
        <f>IF(MAXIFS('単価履歴'!$O:$O,'単価履歴'!$E:$E,E1797,'単価履歴'!$F:$F,F1797)=O1797,"●","")</f>
        <v/>
      </c>
      <c r="O1797" s="346">
        <v>45828.2640625</v>
      </c>
      <c r="P1797" s="334" t="str">
        <f t="shared" si="4"/>
        <v>大鉄　堺:大鉄堺新断Ａ</v>
      </c>
    </row>
    <row r="1798" ht="15.75" customHeight="1">
      <c r="A1798" s="335" t="s">
        <v>2970</v>
      </c>
      <c r="B1798" s="336">
        <v>45828.0</v>
      </c>
      <c r="C1798" s="335" t="s">
        <v>9</v>
      </c>
      <c r="D1798" s="335" t="s">
        <v>51</v>
      </c>
      <c r="E1798" s="337" t="str">
        <f t="shared" si="1"/>
        <v>大鉄　堺:大鉄堺</v>
      </c>
      <c r="F1798" s="338" t="s">
        <v>131</v>
      </c>
      <c r="G1798" s="339" t="str">
        <f t="shared" si="2"/>
        <v>大鉄　堺:大鉄堺新断Ｂ</v>
      </c>
      <c r="H1798" s="340">
        <f t="shared" si="3"/>
        <v>26.5</v>
      </c>
      <c r="I1798" s="341">
        <v>-0.5</v>
      </c>
      <c r="J1798" s="332">
        <f>IFERROR(__xludf.DUMMYFUNCTION("IF(IF(COUNTIF(P$2:P1797, P1798)=0, """", INDEX(H$2:H1797,
MAX(FILTER(ROW(H$2:H1797) - ROW(H$2) + 1, P$2:P1797 = P1798))))=""単価"","""",
IF(COUNTIF(P$2:P1797, P1798)=0, """", INDEX(H$2:H1797,
MAX(FILTER(ROW(H$2:H1797) - ROW(H$2) + 1, P$2:P1797 = P1798)))))"),27.0)</f>
        <v>27</v>
      </c>
      <c r="N1798" s="335" t="str">
        <f>IF(MAXIFS('単価履歴'!$O:$O,'単価履歴'!$E:$E,E1798,'単価履歴'!$F:$F,F1798)=O1798,"●","")</f>
        <v/>
      </c>
      <c r="O1798" s="346">
        <v>45828.2640625</v>
      </c>
      <c r="P1798" s="334" t="str">
        <f t="shared" si="4"/>
        <v>大鉄　堺:大鉄堺新断Ｂ</v>
      </c>
    </row>
    <row r="1799" ht="15.75" customHeight="1">
      <c r="A1799" s="335" t="s">
        <v>2971</v>
      </c>
      <c r="B1799" s="336">
        <v>45828.0</v>
      </c>
      <c r="C1799" s="335" t="s">
        <v>9</v>
      </c>
      <c r="D1799" s="335" t="s">
        <v>51</v>
      </c>
      <c r="E1799" s="337" t="str">
        <f t="shared" si="1"/>
        <v>大鉄　堺:大鉄堺</v>
      </c>
      <c r="F1799" s="338" t="s">
        <v>575</v>
      </c>
      <c r="G1799" s="339" t="str">
        <f t="shared" si="2"/>
        <v>大鉄　堺:大鉄堺鋼ダライＡ</v>
      </c>
      <c r="H1799" s="340">
        <f t="shared" si="3"/>
        <v>27.5</v>
      </c>
      <c r="I1799" s="341">
        <v>-0.5</v>
      </c>
      <c r="J1799" s="332">
        <f>IFERROR(__xludf.DUMMYFUNCTION("IF(IF(COUNTIF(P$2:P1798, P1799)=0, """", INDEX(H$2:H1798,
MAX(FILTER(ROW(H$2:H1798) - ROW(H$2) + 1, P$2:P1798 = P1799))))=""単価"","""",
IF(COUNTIF(P$2:P1798, P1799)=0, """", INDEX(H$2:H1798,
MAX(FILTER(ROW(H$2:H1798) - ROW(H$2) + 1, P$2:P1798 = P1799)))))"),28.0)</f>
        <v>28</v>
      </c>
      <c r="N1799" s="335" t="str">
        <f>IF(MAXIFS('単価履歴'!$O:$O,'単価履歴'!$E:$E,E1799,'単価履歴'!$F:$F,F1799)=O1799,"●","")</f>
        <v/>
      </c>
      <c r="O1799" s="346">
        <v>45828.2640625</v>
      </c>
      <c r="P1799" s="334" t="str">
        <f t="shared" si="4"/>
        <v>大鉄　堺:大鉄堺鋼ダライＡ</v>
      </c>
    </row>
    <row r="1800" ht="15.75" customHeight="1">
      <c r="A1800" s="335" t="s">
        <v>2972</v>
      </c>
      <c r="B1800" s="336">
        <v>45828.0</v>
      </c>
      <c r="C1800" s="335" t="s">
        <v>9</v>
      </c>
      <c r="D1800" s="335" t="s">
        <v>51</v>
      </c>
      <c r="E1800" s="337" t="str">
        <f t="shared" si="1"/>
        <v>大鉄　堺:大鉄堺</v>
      </c>
      <c r="F1800" s="338" t="s">
        <v>576</v>
      </c>
      <c r="G1800" s="339" t="str">
        <f t="shared" si="2"/>
        <v>大鉄　堺:大鉄堺鋼ダライＢ</v>
      </c>
      <c r="H1800" s="340">
        <f t="shared" si="3"/>
        <v>27.5</v>
      </c>
      <c r="I1800" s="341">
        <v>-0.5</v>
      </c>
      <c r="J1800" s="332">
        <f>IFERROR(__xludf.DUMMYFUNCTION("IF(IF(COUNTIF(P$2:P1799, P1800)=0, """", INDEX(H$2:H1799,
MAX(FILTER(ROW(H$2:H1799) - ROW(H$2) + 1, P$2:P1799 = P1800))))=""単価"","""",
IF(COUNTIF(P$2:P1799, P1800)=0, """", INDEX(H$2:H1799,
MAX(FILTER(ROW(H$2:H1799) - ROW(H$2) + 1, P$2:P1799 = P1800)))))"),28.0)</f>
        <v>28</v>
      </c>
      <c r="N1800" s="335" t="str">
        <f>IF(MAXIFS('単価履歴'!$O:$O,'単価履歴'!$E:$E,E1800,'単価履歴'!$F:$F,F1800)=O1800,"●","")</f>
        <v/>
      </c>
      <c r="O1800" s="346">
        <v>45828.2640625</v>
      </c>
      <c r="P1800" s="334" t="str">
        <f t="shared" si="4"/>
        <v>大鉄　堺:大鉄堺鋼ダライＢ</v>
      </c>
    </row>
    <row r="1801" ht="15.75" customHeight="1">
      <c r="A1801" s="335" t="s">
        <v>2973</v>
      </c>
      <c r="B1801" s="336">
        <v>45828.0</v>
      </c>
      <c r="C1801" s="335" t="s">
        <v>9</v>
      </c>
      <c r="D1801" s="335" t="s">
        <v>51</v>
      </c>
      <c r="E1801" s="337" t="str">
        <f t="shared" si="1"/>
        <v>大鉄　堺:大鉄堺</v>
      </c>
      <c r="F1801" s="338" t="s">
        <v>145</v>
      </c>
      <c r="G1801" s="339" t="str">
        <f t="shared" si="2"/>
        <v>大鉄　堺:大鉄堺シュレＡ</v>
      </c>
      <c r="H1801" s="340">
        <f t="shared" si="3"/>
        <v>29.5</v>
      </c>
      <c r="I1801" s="341">
        <v>-0.5</v>
      </c>
      <c r="J1801" s="332">
        <f>IFERROR(__xludf.DUMMYFUNCTION("IF(IF(COUNTIF(P$2:P1800, P1801)=0, """", INDEX(H$2:H1800,
MAX(FILTER(ROW(H$2:H1800) - ROW(H$2) + 1, P$2:P1800 = P1801))))=""単価"","""",
IF(COUNTIF(P$2:P1800, P1801)=0, """", INDEX(H$2:H1800,
MAX(FILTER(ROW(H$2:H1800) - ROW(H$2) + 1, P$2:P1800 = P1801)))))"),30.0)</f>
        <v>30</v>
      </c>
      <c r="N1801" s="335" t="str">
        <f>IF(MAXIFS('単価履歴'!$O:$O,'単価履歴'!$E:$E,E1801,'単価履歴'!$F:$F,F1801)=O1801,"●","")</f>
        <v/>
      </c>
      <c r="O1801" s="346">
        <v>45828.2640625</v>
      </c>
      <c r="P1801" s="334" t="str">
        <f t="shared" si="4"/>
        <v>大鉄　堺:大鉄堺シュレＡ</v>
      </c>
    </row>
    <row r="1802" ht="15.75" customHeight="1">
      <c r="A1802" s="335" t="s">
        <v>2974</v>
      </c>
      <c r="B1802" s="336">
        <v>45828.0</v>
      </c>
      <c r="C1802" s="335" t="s">
        <v>9</v>
      </c>
      <c r="D1802" s="335" t="s">
        <v>51</v>
      </c>
      <c r="E1802" s="337" t="str">
        <f t="shared" si="1"/>
        <v>大鉄　堺:大鉄堺</v>
      </c>
      <c r="F1802" s="338" t="s">
        <v>149</v>
      </c>
      <c r="G1802" s="339" t="str">
        <f t="shared" si="2"/>
        <v>大鉄　堺:大鉄堺シュレＢ</v>
      </c>
      <c r="H1802" s="340">
        <f t="shared" si="3"/>
        <v>28.8</v>
      </c>
      <c r="I1802" s="341">
        <v>-0.5</v>
      </c>
      <c r="J1802" s="332">
        <f>IFERROR(__xludf.DUMMYFUNCTION("IF(IF(COUNTIF(P$2:P1801, P1802)=0, """", INDEX(H$2:H1801,
MAX(FILTER(ROW(H$2:H1801) - ROW(H$2) + 1, P$2:P1801 = P1802))))=""単価"","""",
IF(COUNTIF(P$2:P1801, P1802)=0, """", INDEX(H$2:H1801,
MAX(FILTER(ROW(H$2:H1801) - ROW(H$2) + 1, P$2:P1801 = P1802)))))"),29.3)</f>
        <v>29.3</v>
      </c>
      <c r="N1802" s="335" t="str">
        <f>IF(MAXIFS('単価履歴'!$O:$O,'単価履歴'!$E:$E,E1802,'単価履歴'!$F:$F,F1802)=O1802,"●","")</f>
        <v/>
      </c>
      <c r="O1802" s="346">
        <v>45828.2640625</v>
      </c>
      <c r="P1802" s="334" t="str">
        <f t="shared" si="4"/>
        <v>大鉄　堺:大鉄堺シュレＢ</v>
      </c>
    </row>
    <row r="1803" ht="15.75" customHeight="1">
      <c r="A1803" s="335" t="s">
        <v>2975</v>
      </c>
      <c r="B1803" s="336">
        <v>45828.0</v>
      </c>
      <c r="C1803" s="335" t="s">
        <v>9</v>
      </c>
      <c r="D1803" s="335" t="s">
        <v>51</v>
      </c>
      <c r="E1803" s="337" t="str">
        <f t="shared" si="1"/>
        <v>大鉄　堺:大鉄堺</v>
      </c>
      <c r="F1803" s="338" t="s">
        <v>151</v>
      </c>
      <c r="G1803" s="339" t="str">
        <f t="shared" si="2"/>
        <v>大鉄　堺:大鉄堺シュレＣ</v>
      </c>
      <c r="H1803" s="340">
        <f t="shared" si="3"/>
        <v>27.4</v>
      </c>
      <c r="I1803" s="341">
        <v>-0.5</v>
      </c>
      <c r="J1803" s="332">
        <f>IFERROR(__xludf.DUMMYFUNCTION("IF(IF(COUNTIF(P$2:P1802, P1803)=0, """", INDEX(H$2:H1802,
MAX(FILTER(ROW(H$2:H1802) - ROW(H$2) + 1, P$2:P1802 = P1803))))=""単価"","""",
IF(COUNTIF(P$2:P1802, P1803)=0, """", INDEX(H$2:H1802,
MAX(FILTER(ROW(H$2:H1802) - ROW(H$2) + 1, P$2:P1802 = P1803)))))"),27.9)</f>
        <v>27.9</v>
      </c>
      <c r="N1803" s="335" t="str">
        <f>IF(MAXIFS('単価履歴'!$O:$O,'単価履歴'!$E:$E,E1803,'単価履歴'!$F:$F,F1803)=O1803,"●","")</f>
        <v/>
      </c>
      <c r="O1803" s="346">
        <v>45828.2640625</v>
      </c>
      <c r="P1803" s="334" t="str">
        <f t="shared" si="4"/>
        <v>大鉄　堺:大鉄堺シュレＣ</v>
      </c>
    </row>
    <row r="1804" ht="15.75" customHeight="1">
      <c r="A1804" s="335" t="s">
        <v>2976</v>
      </c>
      <c r="B1804" s="336">
        <v>45828.0</v>
      </c>
      <c r="C1804" s="335" t="s">
        <v>9</v>
      </c>
      <c r="D1804" s="335" t="s">
        <v>51</v>
      </c>
      <c r="E1804" s="337" t="str">
        <f t="shared" si="1"/>
        <v>大鉄　堺:大鉄堺</v>
      </c>
      <c r="F1804" s="338" t="s">
        <v>154</v>
      </c>
      <c r="G1804" s="339" t="str">
        <f t="shared" si="2"/>
        <v>大鉄　堺:大鉄堺ＣＰ Ａ</v>
      </c>
      <c r="H1804" s="340">
        <f t="shared" si="3"/>
        <v>35</v>
      </c>
      <c r="I1804" s="341">
        <v>-0.5</v>
      </c>
      <c r="J1804" s="332">
        <f>IFERROR(__xludf.DUMMYFUNCTION("IF(IF(COUNTIF(P$2:P1803, P1804)=0, """", INDEX(H$2:H1803,
MAX(FILTER(ROW(H$2:H1803) - ROW(H$2) + 1, P$2:P1803 = P1804))))=""単価"","""",
IF(COUNTIF(P$2:P1803, P1804)=0, """", INDEX(H$2:H1803,
MAX(FILTER(ROW(H$2:H1803) - ROW(H$2) + 1, P$2:P1803 = P1804)))))"),35.5)</f>
        <v>35.5</v>
      </c>
      <c r="N1804" s="335" t="str">
        <f>IF(MAXIFS('単価履歴'!$O:$O,'単価履歴'!$E:$E,E1804,'単価履歴'!$F:$F,F1804)=O1804,"●","")</f>
        <v/>
      </c>
      <c r="O1804" s="346">
        <v>45828.2640625</v>
      </c>
      <c r="P1804" s="334" t="str">
        <f t="shared" si="4"/>
        <v>大鉄　堺:大鉄堺ＣＰ Ａ</v>
      </c>
    </row>
    <row r="1805" ht="15.75" customHeight="1">
      <c r="A1805" s="335" t="s">
        <v>2977</v>
      </c>
      <c r="B1805" s="336">
        <v>45828.0</v>
      </c>
      <c r="C1805" s="335" t="s">
        <v>9</v>
      </c>
      <c r="D1805" s="335" t="s">
        <v>51</v>
      </c>
      <c r="E1805" s="337" t="str">
        <f t="shared" si="1"/>
        <v>大鉄　堺:大鉄堺</v>
      </c>
      <c r="F1805" s="338" t="s">
        <v>156</v>
      </c>
      <c r="G1805" s="339" t="str">
        <f t="shared" si="2"/>
        <v>大鉄　堺:大鉄堺ＣＰ Ｂ一斗缶</v>
      </c>
      <c r="H1805" s="340">
        <f t="shared" si="3"/>
        <v>28.5</v>
      </c>
      <c r="I1805" s="341">
        <v>-0.5</v>
      </c>
      <c r="J1805" s="332">
        <f>IFERROR(__xludf.DUMMYFUNCTION("IF(IF(COUNTIF(P$2:P1804, P1805)=0, """", INDEX(H$2:H1804,
MAX(FILTER(ROW(H$2:H1804) - ROW(H$2) + 1, P$2:P1804 = P1805))))=""単価"","""",
IF(COUNTIF(P$2:P1804, P1805)=0, """", INDEX(H$2:H1804,
MAX(FILTER(ROW(H$2:H1804) - ROW(H$2) + 1, P$2:P1804 = P1805)))))"),29.0)</f>
        <v>29</v>
      </c>
      <c r="N1805" s="335" t="str">
        <f>IF(MAXIFS('単価履歴'!$O:$O,'単価履歴'!$E:$E,E1805,'単価履歴'!$F:$F,F1805)=O1805,"●","")</f>
        <v/>
      </c>
      <c r="O1805" s="346">
        <v>45828.2640625</v>
      </c>
      <c r="P1805" s="334" t="str">
        <f t="shared" si="4"/>
        <v>大鉄　堺:大鉄堺ＣＰ Ｂ一斗缶</v>
      </c>
    </row>
    <row r="1806" ht="15.75" customHeight="1">
      <c r="A1806" s="335" t="s">
        <v>2978</v>
      </c>
      <c r="B1806" s="336">
        <v>45828.0</v>
      </c>
      <c r="C1806" s="335" t="s">
        <v>9</v>
      </c>
      <c r="D1806" s="335" t="s">
        <v>51</v>
      </c>
      <c r="E1806" s="337" t="str">
        <f t="shared" si="1"/>
        <v>大鉄　堺:大鉄堺</v>
      </c>
      <c r="F1806" s="338" t="s">
        <v>122</v>
      </c>
      <c r="G1806" s="339" t="str">
        <f t="shared" si="2"/>
        <v>大鉄　堺:大鉄堺Ｌ１(2級)</v>
      </c>
      <c r="H1806" s="340">
        <f t="shared" si="3"/>
        <v>39.5</v>
      </c>
      <c r="I1806" s="341">
        <v>-0.5</v>
      </c>
      <c r="J1806" s="332">
        <f>IFERROR(__xludf.DUMMYFUNCTION("IF(IF(COUNTIF(P$2:P1805, P1806)=0, """", INDEX(H$2:H1805,
MAX(FILTER(ROW(H$2:H1805) - ROW(H$2) + 1, P$2:P1805 = P1806))))=""単価"","""",
IF(COUNTIF(P$2:P1805, P1806)=0, """", INDEX(H$2:H1805,
MAX(FILTER(ROW(H$2:H1805) - ROW(H$2) + 1, P$2:P1805 = P1806)))))"),40.0)</f>
        <v>40</v>
      </c>
      <c r="N1806" s="335" t="str">
        <f>IF(MAXIFS('単価履歴'!$O:$O,'単価履歴'!$E:$E,E1806,'単価履歴'!$F:$F,F1806)=O1806,"●","")</f>
        <v/>
      </c>
      <c r="O1806" s="346">
        <v>45828.2640625</v>
      </c>
      <c r="P1806" s="334" t="str">
        <f t="shared" si="4"/>
        <v>大鉄　堺:大鉄堺Ｌ１(2級)</v>
      </c>
    </row>
    <row r="1807" ht="15.75" customHeight="1">
      <c r="A1807" s="335" t="s">
        <v>2979</v>
      </c>
      <c r="B1807" s="336">
        <v>45828.0</v>
      </c>
      <c r="C1807" s="335" t="s">
        <v>9</v>
      </c>
      <c r="D1807" s="335" t="s">
        <v>47</v>
      </c>
      <c r="E1807" s="337" t="str">
        <f t="shared" si="1"/>
        <v>大鉄　堺:豊通</v>
      </c>
      <c r="F1807" s="338" t="s">
        <v>111</v>
      </c>
      <c r="G1807" s="339" t="str">
        <f t="shared" si="2"/>
        <v>大鉄　堺:豊通Ｈ１(特A)</v>
      </c>
      <c r="H1807" s="340">
        <f t="shared" si="3"/>
        <v>28.4</v>
      </c>
      <c r="I1807" s="341">
        <v>-0.5</v>
      </c>
      <c r="J1807" s="332">
        <f>IFERROR(__xludf.DUMMYFUNCTION("IF(IF(COUNTIF(P$2:P1806, P1807)=0, """", INDEX(H$2:H1806,
MAX(FILTER(ROW(H$2:H1806) - ROW(H$2) + 1, P$2:P1806 = P1807))))=""単価"","""",
IF(COUNTIF(P$2:P1806, P1807)=0, """", INDEX(H$2:H1806,
MAX(FILTER(ROW(H$2:H1806) - ROW(H$2) + 1, P$2:P1806 = P1807)))))"),28.9)</f>
        <v>28.9</v>
      </c>
      <c r="N1807" s="335" t="str">
        <f>IF(MAXIFS('単価履歴'!$O:$O,'単価履歴'!$E:$E,E1807,'単価履歴'!$F:$F,F1807)=O1807,"●","")</f>
        <v/>
      </c>
      <c r="O1807" s="346">
        <v>45828.2640625</v>
      </c>
      <c r="P1807" s="334" t="str">
        <f t="shared" si="4"/>
        <v>大鉄　堺:豊通Ｈ１(特A)</v>
      </c>
    </row>
    <row r="1808" ht="15.75" customHeight="1">
      <c r="A1808" s="335" t="s">
        <v>2980</v>
      </c>
      <c r="B1808" s="336">
        <v>45828.0</v>
      </c>
      <c r="C1808" s="335" t="s">
        <v>9</v>
      </c>
      <c r="D1808" s="335" t="s">
        <v>47</v>
      </c>
      <c r="E1808" s="337" t="str">
        <f t="shared" si="1"/>
        <v>大鉄　堺:豊通</v>
      </c>
      <c r="F1808" s="338" t="s">
        <v>116</v>
      </c>
      <c r="G1808" s="339" t="str">
        <f t="shared" si="2"/>
        <v>大鉄　堺:豊通Ｈ２(特級)</v>
      </c>
      <c r="H1808" s="340">
        <f t="shared" si="3"/>
        <v>24.2</v>
      </c>
      <c r="I1808" s="341">
        <v>-0.5</v>
      </c>
      <c r="J1808" s="332">
        <f>IFERROR(__xludf.DUMMYFUNCTION("IF(IF(COUNTIF(P$2:P1807, P1808)=0, """", INDEX(H$2:H1807,
MAX(FILTER(ROW(H$2:H1807) - ROW(H$2) + 1, P$2:P1807 = P1808))))=""単価"","""",
IF(COUNTIF(P$2:P1807, P1808)=0, """", INDEX(H$2:H1807,
MAX(FILTER(ROW(H$2:H1807) - ROW(H$2) + 1, P$2:P1807 = P1808)))))"),24.7)</f>
        <v>24.7</v>
      </c>
      <c r="N1808" s="335" t="str">
        <f>IF(MAXIFS('単価履歴'!$O:$O,'単価履歴'!$E:$E,E1808,'単価履歴'!$F:$F,F1808)=O1808,"●","")</f>
        <v/>
      </c>
      <c r="O1808" s="346">
        <v>45828.2640625</v>
      </c>
      <c r="P1808" s="334" t="str">
        <f t="shared" si="4"/>
        <v>大鉄　堺:豊通Ｈ２(特級)</v>
      </c>
    </row>
    <row r="1809" ht="15.75" customHeight="1">
      <c r="A1809" s="335" t="s">
        <v>2981</v>
      </c>
      <c r="B1809" s="336">
        <v>45828.0</v>
      </c>
      <c r="C1809" s="335" t="s">
        <v>9</v>
      </c>
      <c r="D1809" s="335" t="s">
        <v>47</v>
      </c>
      <c r="E1809" s="337" t="str">
        <f t="shared" si="1"/>
        <v>大鉄　堺:豊通</v>
      </c>
      <c r="F1809" s="338" t="s">
        <v>1237</v>
      </c>
      <c r="G1809" s="339" t="str">
        <f t="shared" si="2"/>
        <v>大鉄　堺:豊通ＪＨ１(H2T山口)鍛造ﾊﾞﾘ</v>
      </c>
      <c r="H1809" s="340">
        <f t="shared" si="3"/>
        <v>27.4</v>
      </c>
      <c r="I1809" s="341">
        <v>-0.5</v>
      </c>
      <c r="J1809" s="332">
        <f>IFERROR(__xludf.DUMMYFUNCTION("IF(IF(COUNTIF(P$2:P1808, P1809)=0, """", INDEX(H$2:H1808,
MAX(FILTER(ROW(H$2:H1808) - ROW(H$2) + 1, P$2:P1808 = P1809))))=""単価"","""",
IF(COUNTIF(P$2:P1808, P1809)=0, """", INDEX(H$2:H1808,
MAX(FILTER(ROW(H$2:H1808) - ROW(H$2) + 1, P$2:P1808 = P1809)))))"),27.9)</f>
        <v>27.9</v>
      </c>
      <c r="N1809" s="335" t="str">
        <f>IF(MAXIFS('単価履歴'!$O:$O,'単価履歴'!$E:$E,E1809,'単価履歴'!$F:$F,F1809)=O1809,"●","")</f>
        <v/>
      </c>
      <c r="O1809" s="346">
        <v>45828.2640625</v>
      </c>
      <c r="P1809" s="334" t="str">
        <f t="shared" si="4"/>
        <v>大鉄　堺:豊通ＪＨ１(H2T山口)鍛造ﾊﾞﾘ</v>
      </c>
    </row>
    <row r="1810" ht="15.75" customHeight="1">
      <c r="A1810" s="335" t="s">
        <v>2982</v>
      </c>
      <c r="B1810" s="336">
        <v>45828.0</v>
      </c>
      <c r="C1810" s="335" t="s">
        <v>9</v>
      </c>
      <c r="D1810" s="335" t="s">
        <v>47</v>
      </c>
      <c r="E1810" s="337" t="str">
        <f t="shared" si="1"/>
        <v>大鉄　堺:豊通</v>
      </c>
      <c r="F1810" s="338" t="s">
        <v>119</v>
      </c>
      <c r="G1810" s="339" t="str">
        <f t="shared" si="2"/>
        <v>大鉄　堺:豊通Ｈ３(1級)</v>
      </c>
      <c r="H1810" s="340">
        <f t="shared" si="3"/>
        <v>23.2</v>
      </c>
      <c r="I1810" s="341">
        <v>-0.5</v>
      </c>
      <c r="J1810" s="332">
        <f>IFERROR(__xludf.DUMMYFUNCTION("IF(IF(COUNTIF(P$2:P1809, P1810)=0, """", INDEX(H$2:H1809,
MAX(FILTER(ROW(H$2:H1809) - ROW(H$2) + 1, P$2:P1809 = P1810))))=""単価"","""",
IF(COUNTIF(P$2:P1809, P1810)=0, """", INDEX(H$2:H1809,
MAX(FILTER(ROW(H$2:H1809) - ROW(H$2) + 1, P$2:P1809 = P1810)))))"),23.7)</f>
        <v>23.7</v>
      </c>
      <c r="N1810" s="335" t="str">
        <f>IF(MAXIFS('単価履歴'!$O:$O,'単価履歴'!$E:$E,E1810,'単価履歴'!$F:$F,F1810)=O1810,"●","")</f>
        <v/>
      </c>
      <c r="O1810" s="346">
        <v>45828.2640625</v>
      </c>
      <c r="P1810" s="334" t="str">
        <f t="shared" si="4"/>
        <v>大鉄　堺:豊通Ｈ３(1級)</v>
      </c>
    </row>
    <row r="1811" ht="15.75" customHeight="1">
      <c r="A1811" s="335" t="s">
        <v>2983</v>
      </c>
      <c r="B1811" s="336">
        <v>45828.0</v>
      </c>
      <c r="C1811" s="335" t="s">
        <v>9</v>
      </c>
      <c r="D1811" s="335" t="s">
        <v>47</v>
      </c>
      <c r="E1811" s="337" t="str">
        <f t="shared" si="1"/>
        <v>大鉄　堺:豊通</v>
      </c>
      <c r="F1811" s="338" t="s">
        <v>130</v>
      </c>
      <c r="G1811" s="339" t="str">
        <f t="shared" si="2"/>
        <v>大鉄　堺:豊通新断Ａ</v>
      </c>
      <c r="H1811" s="340">
        <f t="shared" si="3"/>
        <v>25.2</v>
      </c>
      <c r="I1811" s="341">
        <v>-0.5</v>
      </c>
      <c r="J1811" s="332">
        <f>IFERROR(__xludf.DUMMYFUNCTION("IF(IF(COUNTIF(P$2:P1810, P1811)=0, """", INDEX(H$2:H1810,
MAX(FILTER(ROW(H$2:H1810) - ROW(H$2) + 1, P$2:P1810 = P1811))))=""単価"","""",
IF(COUNTIF(P$2:P1810, P1811)=0, """", INDEX(H$2:H1810,
MAX(FILTER(ROW(H$2:H1810) - ROW(H$2) + 1, P$2:P1810 = P1811)))))"),25.7)</f>
        <v>25.7</v>
      </c>
      <c r="N1811" s="335" t="str">
        <f>IF(MAXIFS('単価履歴'!$O:$O,'単価履歴'!$E:$E,E1811,'単価履歴'!$F:$F,F1811)=O1811,"●","")</f>
        <v/>
      </c>
      <c r="O1811" s="346">
        <v>45828.2640625</v>
      </c>
      <c r="P1811" s="334" t="str">
        <f t="shared" si="4"/>
        <v>大鉄　堺:豊通新断Ａ</v>
      </c>
    </row>
    <row r="1812" ht="15.75" customHeight="1">
      <c r="A1812" s="335" t="s">
        <v>2984</v>
      </c>
      <c r="B1812" s="336">
        <v>45828.0</v>
      </c>
      <c r="C1812" s="335" t="s">
        <v>9</v>
      </c>
      <c r="D1812" s="335" t="s">
        <v>47</v>
      </c>
      <c r="E1812" s="337" t="str">
        <f t="shared" si="1"/>
        <v>大鉄　堺:豊通</v>
      </c>
      <c r="F1812" s="338" t="s">
        <v>131</v>
      </c>
      <c r="G1812" s="339" t="str">
        <f t="shared" si="2"/>
        <v>大鉄　堺:豊通新断Ｂ</v>
      </c>
      <c r="H1812" s="340">
        <f t="shared" si="3"/>
        <v>24.7</v>
      </c>
      <c r="I1812" s="341">
        <v>-0.5</v>
      </c>
      <c r="J1812" s="332">
        <f>IFERROR(__xludf.DUMMYFUNCTION("IF(IF(COUNTIF(P$2:P1811, P1812)=0, """", INDEX(H$2:H1811,
MAX(FILTER(ROW(H$2:H1811) - ROW(H$2) + 1, P$2:P1811 = P1812))))=""単価"","""",
IF(COUNTIF(P$2:P1811, P1812)=0, """", INDEX(H$2:H1811,
MAX(FILTER(ROW(H$2:H1811) - ROW(H$2) + 1, P$2:P1811 = P1812)))))"),25.2)</f>
        <v>25.2</v>
      </c>
      <c r="N1812" s="335" t="str">
        <f>IF(MAXIFS('単価履歴'!$O:$O,'単価履歴'!$E:$E,E1812,'単価履歴'!$F:$F,F1812)=O1812,"●","")</f>
        <v/>
      </c>
      <c r="O1812" s="346">
        <v>45828.2640625</v>
      </c>
      <c r="P1812" s="334" t="str">
        <f t="shared" si="4"/>
        <v>大鉄　堺:豊通新断Ｂ</v>
      </c>
    </row>
    <row r="1813" ht="15.75" customHeight="1">
      <c r="A1813" s="335" t="s">
        <v>2985</v>
      </c>
      <c r="B1813" s="336">
        <v>45828.0</v>
      </c>
      <c r="C1813" s="335" t="s">
        <v>9</v>
      </c>
      <c r="D1813" s="335" t="s">
        <v>47</v>
      </c>
      <c r="E1813" s="337" t="str">
        <f t="shared" si="1"/>
        <v>大鉄　堺:豊通</v>
      </c>
      <c r="F1813" s="338" t="s">
        <v>575</v>
      </c>
      <c r="G1813" s="339" t="str">
        <f t="shared" si="2"/>
        <v>大鉄　堺:豊通鋼ダライＡ</v>
      </c>
      <c r="H1813" s="340">
        <f t="shared" si="3"/>
        <v>27.2</v>
      </c>
      <c r="I1813" s="341">
        <v>-0.5</v>
      </c>
      <c r="J1813" s="332">
        <f>IFERROR(__xludf.DUMMYFUNCTION("IF(IF(COUNTIF(P$2:P1812, P1813)=0, """", INDEX(H$2:H1812,
MAX(FILTER(ROW(H$2:H1812) - ROW(H$2) + 1, P$2:P1812 = P1813))))=""単価"","""",
IF(COUNTIF(P$2:P1812, P1813)=0, """", INDEX(H$2:H1812,
MAX(FILTER(ROW(H$2:H1812) - ROW(H$2) + 1, P$2:P1812 = P1813)))))"),27.7)</f>
        <v>27.7</v>
      </c>
      <c r="N1813" s="335" t="str">
        <f>IF(MAXIFS('単価履歴'!$O:$O,'単価履歴'!$E:$E,E1813,'単価履歴'!$F:$F,F1813)=O1813,"●","")</f>
        <v/>
      </c>
      <c r="O1813" s="346">
        <v>45828.2640625</v>
      </c>
      <c r="P1813" s="334" t="str">
        <f t="shared" si="4"/>
        <v>大鉄　堺:豊通鋼ダライＡ</v>
      </c>
    </row>
    <row r="1814" ht="15.75" customHeight="1">
      <c r="A1814" s="335" t="s">
        <v>2986</v>
      </c>
      <c r="B1814" s="336">
        <v>45828.0</v>
      </c>
      <c r="C1814" s="335" t="s">
        <v>9</v>
      </c>
      <c r="D1814" s="335" t="s">
        <v>47</v>
      </c>
      <c r="E1814" s="337" t="str">
        <f t="shared" si="1"/>
        <v>大鉄　堺:豊通</v>
      </c>
      <c r="F1814" s="338" t="s">
        <v>576</v>
      </c>
      <c r="G1814" s="339" t="str">
        <f t="shared" si="2"/>
        <v>大鉄　堺:豊通鋼ダライＢ</v>
      </c>
      <c r="H1814" s="340">
        <f t="shared" si="3"/>
        <v>27.2</v>
      </c>
      <c r="I1814" s="341">
        <v>-0.5</v>
      </c>
      <c r="J1814" s="332">
        <f>IFERROR(__xludf.DUMMYFUNCTION("IF(IF(COUNTIF(P$2:P1813, P1814)=0, """", INDEX(H$2:H1813,
MAX(FILTER(ROW(H$2:H1813) - ROW(H$2) + 1, P$2:P1813 = P1814))))=""単価"","""",
IF(COUNTIF(P$2:P1813, P1814)=0, """", INDEX(H$2:H1813,
MAX(FILTER(ROW(H$2:H1813) - ROW(H$2) + 1, P$2:P1813 = P1814)))))"),27.7)</f>
        <v>27.7</v>
      </c>
      <c r="N1814" s="335" t="str">
        <f>IF(MAXIFS('単価履歴'!$O:$O,'単価履歴'!$E:$E,E1814,'単価履歴'!$F:$F,F1814)=O1814,"●","")</f>
        <v/>
      </c>
      <c r="O1814" s="346">
        <v>45828.2640625</v>
      </c>
      <c r="P1814" s="334" t="str">
        <f t="shared" si="4"/>
        <v>大鉄　堺:豊通鋼ダライＢ</v>
      </c>
    </row>
    <row r="1815" ht="15.75" customHeight="1">
      <c r="A1815" s="335" t="s">
        <v>2987</v>
      </c>
      <c r="B1815" s="336">
        <v>45828.0</v>
      </c>
      <c r="C1815" s="335" t="s">
        <v>9</v>
      </c>
      <c r="D1815" s="335" t="s">
        <v>47</v>
      </c>
      <c r="E1815" s="337" t="str">
        <f t="shared" si="1"/>
        <v>大鉄　堺:豊通</v>
      </c>
      <c r="F1815" s="338" t="s">
        <v>145</v>
      </c>
      <c r="G1815" s="339" t="str">
        <f t="shared" si="2"/>
        <v>大鉄　堺:豊通シュレＡ</v>
      </c>
      <c r="H1815" s="340">
        <f t="shared" si="3"/>
        <v>28.7</v>
      </c>
      <c r="I1815" s="341">
        <v>-0.5</v>
      </c>
      <c r="J1815" s="332">
        <f>IFERROR(__xludf.DUMMYFUNCTION("IF(IF(COUNTIF(P$2:P1814, P1815)=0, """", INDEX(H$2:H1814,
MAX(FILTER(ROW(H$2:H1814) - ROW(H$2) + 1, P$2:P1814 = P1815))))=""単価"","""",
IF(COUNTIF(P$2:P1814, P1815)=0, """", INDEX(H$2:H1814,
MAX(FILTER(ROW(H$2:H1814) - ROW(H$2) + 1, P$2:P1814 = P1815)))))"),29.2)</f>
        <v>29.2</v>
      </c>
      <c r="N1815" s="335" t="str">
        <f>IF(MAXIFS('単価履歴'!$O:$O,'単価履歴'!$E:$E,E1815,'単価履歴'!$F:$F,F1815)=O1815,"●","")</f>
        <v/>
      </c>
      <c r="O1815" s="346">
        <v>45828.2640625</v>
      </c>
      <c r="P1815" s="334" t="str">
        <f t="shared" si="4"/>
        <v>大鉄　堺:豊通シュレＡ</v>
      </c>
    </row>
    <row r="1816" ht="15.75" customHeight="1">
      <c r="A1816" s="335" t="s">
        <v>2988</v>
      </c>
      <c r="B1816" s="336">
        <v>45828.0</v>
      </c>
      <c r="C1816" s="335" t="s">
        <v>9</v>
      </c>
      <c r="D1816" s="335" t="s">
        <v>47</v>
      </c>
      <c r="E1816" s="337" t="str">
        <f t="shared" si="1"/>
        <v>大鉄　堺:豊通</v>
      </c>
      <c r="F1816" s="338" t="s">
        <v>149</v>
      </c>
      <c r="G1816" s="339" t="str">
        <f t="shared" si="2"/>
        <v>大鉄　堺:豊通シュレＢ</v>
      </c>
      <c r="H1816" s="340">
        <f t="shared" si="3"/>
        <v>28</v>
      </c>
      <c r="I1816" s="341">
        <v>-0.5</v>
      </c>
      <c r="J1816" s="332">
        <f>IFERROR(__xludf.DUMMYFUNCTION("IF(IF(COUNTIF(P$2:P1815, P1816)=0, """", INDEX(H$2:H1815,
MAX(FILTER(ROW(H$2:H1815) - ROW(H$2) + 1, P$2:P1815 = P1816))))=""単価"","""",
IF(COUNTIF(P$2:P1815, P1816)=0, """", INDEX(H$2:H1815,
MAX(FILTER(ROW(H$2:H1815) - ROW(H$2) + 1, P$2:P1815 = P1816)))))"),28.5)</f>
        <v>28.5</v>
      </c>
      <c r="N1816" s="335" t="str">
        <f>IF(MAXIFS('単価履歴'!$O:$O,'単価履歴'!$E:$E,E1816,'単価履歴'!$F:$F,F1816)=O1816,"●","")</f>
        <v/>
      </c>
      <c r="O1816" s="346">
        <v>45828.2640625</v>
      </c>
      <c r="P1816" s="334" t="str">
        <f t="shared" si="4"/>
        <v>大鉄　堺:豊通シュレＢ</v>
      </c>
    </row>
    <row r="1817" ht="15.75" customHeight="1">
      <c r="A1817" s="335" t="s">
        <v>2989</v>
      </c>
      <c r="B1817" s="336">
        <v>45828.0</v>
      </c>
      <c r="C1817" s="335" t="s">
        <v>9</v>
      </c>
      <c r="D1817" s="335" t="s">
        <v>47</v>
      </c>
      <c r="E1817" s="337" t="str">
        <f t="shared" si="1"/>
        <v>大鉄　堺:豊通</v>
      </c>
      <c r="F1817" s="338" t="s">
        <v>151</v>
      </c>
      <c r="G1817" s="339" t="str">
        <f t="shared" si="2"/>
        <v>大鉄　堺:豊通シュレＣ</v>
      </c>
      <c r="H1817" s="340">
        <f t="shared" si="3"/>
        <v>26.6</v>
      </c>
      <c r="I1817" s="341">
        <v>-0.5</v>
      </c>
      <c r="J1817" s="332">
        <f>IFERROR(__xludf.DUMMYFUNCTION("IF(IF(COUNTIF(P$2:P1816, P1817)=0, """", INDEX(H$2:H1816,
MAX(FILTER(ROW(H$2:H1816) - ROW(H$2) + 1, P$2:P1816 = P1817))))=""単価"","""",
IF(COUNTIF(P$2:P1816, P1817)=0, """", INDEX(H$2:H1816,
MAX(FILTER(ROW(H$2:H1816) - ROW(H$2) + 1, P$2:P1816 = P1817)))))"),27.1)</f>
        <v>27.1</v>
      </c>
      <c r="N1817" s="335" t="str">
        <f>IF(MAXIFS('単価履歴'!$O:$O,'単価履歴'!$E:$E,E1817,'単価履歴'!$F:$F,F1817)=O1817,"●","")</f>
        <v/>
      </c>
      <c r="O1817" s="346">
        <v>45828.2640625</v>
      </c>
      <c r="P1817" s="334" t="str">
        <f t="shared" si="4"/>
        <v>大鉄　堺:豊通シュレＣ</v>
      </c>
    </row>
    <row r="1818" ht="15.75" customHeight="1">
      <c r="A1818" s="335" t="s">
        <v>2990</v>
      </c>
      <c r="B1818" s="336">
        <v>45828.0</v>
      </c>
      <c r="C1818" s="335" t="s">
        <v>9</v>
      </c>
      <c r="D1818" s="335" t="s">
        <v>47</v>
      </c>
      <c r="E1818" s="337" t="str">
        <f t="shared" si="1"/>
        <v>大鉄　堺:豊通</v>
      </c>
      <c r="F1818" s="338" t="s">
        <v>154</v>
      </c>
      <c r="G1818" s="339" t="str">
        <f t="shared" si="2"/>
        <v>大鉄　堺:豊通ＣＰ Ａ</v>
      </c>
      <c r="H1818" s="340">
        <f t="shared" si="3"/>
        <v>39.2</v>
      </c>
      <c r="I1818" s="341">
        <v>-0.5</v>
      </c>
      <c r="J1818" s="332">
        <f>IFERROR(__xludf.DUMMYFUNCTION("IF(IF(COUNTIF(P$2:P1817, P1818)=0, """", INDEX(H$2:H1817,
MAX(FILTER(ROW(H$2:H1817) - ROW(H$2) + 1, P$2:P1817 = P1818))))=""単価"","""",
IF(COUNTIF(P$2:P1817, P1818)=0, """", INDEX(H$2:H1817,
MAX(FILTER(ROW(H$2:H1817) - ROW(H$2) + 1, P$2:P1817 = P1818)))))"),39.7)</f>
        <v>39.7</v>
      </c>
      <c r="N1818" s="335" t="str">
        <f>IF(MAXIFS('単価履歴'!$O:$O,'単価履歴'!$E:$E,E1818,'単価履歴'!$F:$F,F1818)=O1818,"●","")</f>
        <v/>
      </c>
      <c r="O1818" s="346">
        <v>45828.2640625</v>
      </c>
      <c r="P1818" s="334" t="str">
        <f t="shared" si="4"/>
        <v>大鉄　堺:豊通ＣＰ Ａ</v>
      </c>
    </row>
    <row r="1819" ht="15.75" customHeight="1">
      <c r="A1819" s="335" t="s">
        <v>2991</v>
      </c>
      <c r="B1819" s="336">
        <v>45828.0</v>
      </c>
      <c r="C1819" s="335" t="s">
        <v>9</v>
      </c>
      <c r="D1819" s="335" t="s">
        <v>47</v>
      </c>
      <c r="E1819" s="337" t="str">
        <f t="shared" si="1"/>
        <v>大鉄　堺:豊通</v>
      </c>
      <c r="F1819" s="338" t="s">
        <v>156</v>
      </c>
      <c r="G1819" s="339" t="str">
        <f t="shared" si="2"/>
        <v>大鉄　堺:豊通ＣＰ Ｂ一斗缶</v>
      </c>
      <c r="H1819" s="340">
        <f t="shared" si="3"/>
        <v>32.7</v>
      </c>
      <c r="I1819" s="341">
        <v>-0.5</v>
      </c>
      <c r="J1819" s="332">
        <f>IFERROR(__xludf.DUMMYFUNCTION("IF(IF(COUNTIF(P$2:P1818, P1819)=0, """", INDEX(H$2:H1818,
MAX(FILTER(ROW(H$2:H1818) - ROW(H$2) + 1, P$2:P1818 = P1819))))=""単価"","""",
IF(COUNTIF(P$2:P1818, P1819)=0, """", INDEX(H$2:H1818,
MAX(FILTER(ROW(H$2:H1818) - ROW(H$2) + 1, P$2:P1818 = P1819)))))"),33.2)</f>
        <v>33.2</v>
      </c>
      <c r="N1819" s="335" t="str">
        <f>IF(MAXIFS('単価履歴'!$O:$O,'単価履歴'!$E:$E,E1819,'単価履歴'!$F:$F,F1819)=O1819,"●","")</f>
        <v/>
      </c>
      <c r="O1819" s="346">
        <v>45828.2640625</v>
      </c>
      <c r="P1819" s="334" t="str">
        <f t="shared" si="4"/>
        <v>大鉄　堺:豊通ＣＰ Ｂ一斗缶</v>
      </c>
    </row>
    <row r="1820" ht="15.75" customHeight="1">
      <c r="A1820" s="335" t="s">
        <v>2992</v>
      </c>
      <c r="B1820" s="336">
        <v>45828.0</v>
      </c>
      <c r="C1820" s="335" t="s">
        <v>9</v>
      </c>
      <c r="D1820" s="335" t="s">
        <v>47</v>
      </c>
      <c r="E1820" s="337" t="str">
        <f t="shared" si="1"/>
        <v>大鉄　堺:豊通</v>
      </c>
      <c r="F1820" s="338" t="s">
        <v>122</v>
      </c>
      <c r="G1820" s="339" t="str">
        <f t="shared" si="2"/>
        <v>大鉄　堺:豊通Ｌ１(2級)</v>
      </c>
      <c r="H1820" s="340">
        <f t="shared" si="3"/>
        <v>21.7</v>
      </c>
      <c r="I1820" s="341">
        <v>-0.5</v>
      </c>
      <c r="J1820" s="332">
        <f>IFERROR(__xludf.DUMMYFUNCTION("IF(IF(COUNTIF(P$2:P1819, P1820)=0, """", INDEX(H$2:H1819,
MAX(FILTER(ROW(H$2:H1819) - ROW(H$2) + 1, P$2:P1819 = P1820))))=""単価"","""",
IF(COUNTIF(P$2:P1819, P1820)=0, """", INDEX(H$2:H1819,
MAX(FILTER(ROW(H$2:H1819) - ROW(H$2) + 1, P$2:P1819 = P1820)))))"),22.2)</f>
        <v>22.2</v>
      </c>
      <c r="N1820" s="335" t="str">
        <f>IF(MAXIFS('単価履歴'!$O:$O,'単価履歴'!$E:$E,E1820,'単価履歴'!$F:$F,F1820)=O1820,"●","")</f>
        <v/>
      </c>
      <c r="O1820" s="346">
        <v>45828.2640625</v>
      </c>
      <c r="P1820" s="334" t="str">
        <f t="shared" si="4"/>
        <v>大鉄　堺:豊通Ｌ１(2級)</v>
      </c>
    </row>
    <row r="1821" ht="15.75" customHeight="1">
      <c r="A1821" s="335" t="s">
        <v>2993</v>
      </c>
      <c r="B1821" s="336">
        <v>45828.0</v>
      </c>
      <c r="C1821" s="335" t="s">
        <v>9</v>
      </c>
      <c r="D1821" s="335" t="s">
        <v>50</v>
      </c>
      <c r="E1821" s="337" t="str">
        <f t="shared" si="1"/>
        <v>大鉄　堺:産振</v>
      </c>
      <c r="F1821" s="338" t="s">
        <v>111</v>
      </c>
      <c r="G1821" s="339" t="str">
        <f t="shared" si="2"/>
        <v>大鉄　堺:産振Ｈ１(特A)</v>
      </c>
      <c r="H1821" s="340">
        <f t="shared" si="3"/>
        <v>43.7</v>
      </c>
      <c r="I1821" s="341">
        <v>-0.5</v>
      </c>
      <c r="J1821" s="332">
        <f>IFERROR(__xludf.DUMMYFUNCTION("IF(IF(COUNTIF(P$2:P1820, P1821)=0, """", INDEX(H$2:H1820,
MAX(FILTER(ROW(H$2:H1820) - ROW(H$2) + 1, P$2:P1820 = P1821))))=""単価"","""",
IF(COUNTIF(P$2:P1820, P1821)=0, """", INDEX(H$2:H1820,
MAX(FILTER(ROW(H$2:H1820) - ROW(H$2) + 1, P$2:P1820 = P1821)))))"),44.2)</f>
        <v>44.2</v>
      </c>
      <c r="N1821" s="335" t="str">
        <f>IF(MAXIFS('単価履歴'!$O:$O,'単価履歴'!$E:$E,E1821,'単価履歴'!$F:$F,F1821)=O1821,"●","")</f>
        <v/>
      </c>
      <c r="O1821" s="346">
        <v>45828.2640625</v>
      </c>
      <c r="P1821" s="334" t="str">
        <f t="shared" si="4"/>
        <v>大鉄　堺:産振Ｈ１(特A)</v>
      </c>
    </row>
    <row r="1822" ht="15.75" customHeight="1">
      <c r="A1822" s="335" t="s">
        <v>2994</v>
      </c>
      <c r="B1822" s="336">
        <v>45828.0</v>
      </c>
      <c r="C1822" s="335" t="s">
        <v>9</v>
      </c>
      <c r="D1822" s="335" t="s">
        <v>50</v>
      </c>
      <c r="E1822" s="337" t="str">
        <f t="shared" si="1"/>
        <v>大鉄　堺:産振</v>
      </c>
      <c r="F1822" s="338" t="s">
        <v>116</v>
      </c>
      <c r="G1822" s="339" t="str">
        <f t="shared" si="2"/>
        <v>大鉄　堺:産振Ｈ２(特級)</v>
      </c>
      <c r="H1822" s="340">
        <f t="shared" si="3"/>
        <v>41.2</v>
      </c>
      <c r="I1822" s="341">
        <v>-0.5</v>
      </c>
      <c r="J1822" s="332">
        <f>IFERROR(__xludf.DUMMYFUNCTION("IF(IF(COUNTIF(P$2:P1821, P1822)=0, """", INDEX(H$2:H1821,
MAX(FILTER(ROW(H$2:H1821) - ROW(H$2) + 1, P$2:P1821 = P1822))))=""単価"","""",
IF(COUNTIF(P$2:P1821, P1822)=0, """", INDEX(H$2:H1821,
MAX(FILTER(ROW(H$2:H1821) - ROW(H$2) + 1, P$2:P1821 = P1822)))))"),41.7)</f>
        <v>41.7</v>
      </c>
      <c r="N1822" s="335" t="str">
        <f>IF(MAXIFS('単価履歴'!$O:$O,'単価履歴'!$E:$E,E1822,'単価履歴'!$F:$F,F1822)=O1822,"●","")</f>
        <v/>
      </c>
      <c r="O1822" s="346">
        <v>45828.2640625</v>
      </c>
      <c r="P1822" s="334" t="str">
        <f t="shared" si="4"/>
        <v>大鉄　堺:産振Ｈ２(特級)</v>
      </c>
    </row>
    <row r="1823" ht="15.75" customHeight="1">
      <c r="A1823" s="335" t="s">
        <v>2995</v>
      </c>
      <c r="B1823" s="336">
        <v>45828.0</v>
      </c>
      <c r="C1823" s="335" t="s">
        <v>9</v>
      </c>
      <c r="D1823" s="335" t="s">
        <v>50</v>
      </c>
      <c r="E1823" s="337" t="str">
        <f t="shared" si="1"/>
        <v>大鉄　堺:産振</v>
      </c>
      <c r="F1823" s="338" t="s">
        <v>1237</v>
      </c>
      <c r="G1823" s="339" t="str">
        <f t="shared" si="2"/>
        <v>大鉄　堺:産振ＪＨ１(H2T山口)鍛造ﾊﾞﾘ</v>
      </c>
      <c r="H1823" s="340">
        <f t="shared" si="3"/>
        <v>-1.5</v>
      </c>
      <c r="I1823" s="341">
        <v>-0.5</v>
      </c>
      <c r="J1823" s="332">
        <f>IFERROR(__xludf.DUMMYFUNCTION("IF(IF(COUNTIF(P$2:P1822, P1823)=0, """", INDEX(H$2:H1822,
MAX(FILTER(ROW(H$2:H1822) - ROW(H$2) + 1, P$2:P1822 = P1823))))=""単価"","""",
IF(COUNTIF(P$2:P1822, P1823)=0, """", INDEX(H$2:H1822,
MAX(FILTER(ROW(H$2:H1822) - ROW(H$2) + 1, P$2:P1822 = P1823)))))"),-1.0)</f>
        <v>-1</v>
      </c>
      <c r="N1823" s="335" t="str">
        <f>IF(MAXIFS('単価履歴'!$O:$O,'単価履歴'!$E:$E,E1823,'単価履歴'!$F:$F,F1823)=O1823,"●","")</f>
        <v/>
      </c>
      <c r="O1823" s="346">
        <v>45828.2640625</v>
      </c>
      <c r="P1823" s="334" t="str">
        <f t="shared" si="4"/>
        <v>大鉄　堺:産振ＪＨ１(H2T山口)鍛造ﾊﾞﾘ</v>
      </c>
    </row>
    <row r="1824" ht="15.75" customHeight="1">
      <c r="A1824" s="335" t="s">
        <v>2996</v>
      </c>
      <c r="B1824" s="336">
        <v>45828.0</v>
      </c>
      <c r="C1824" s="335" t="s">
        <v>9</v>
      </c>
      <c r="D1824" s="335" t="s">
        <v>50</v>
      </c>
      <c r="E1824" s="337" t="str">
        <f t="shared" si="1"/>
        <v>大鉄　堺:産振</v>
      </c>
      <c r="F1824" s="338" t="s">
        <v>119</v>
      </c>
      <c r="G1824" s="339" t="str">
        <f t="shared" si="2"/>
        <v>大鉄　堺:産振Ｈ３(1級)</v>
      </c>
      <c r="H1824" s="340">
        <f t="shared" si="3"/>
        <v>23.2</v>
      </c>
      <c r="I1824" s="341">
        <v>-0.5</v>
      </c>
      <c r="J1824" s="332">
        <f>IFERROR(__xludf.DUMMYFUNCTION("IF(IF(COUNTIF(P$2:P1823, P1824)=0, """", INDEX(H$2:H1823,
MAX(FILTER(ROW(H$2:H1823) - ROW(H$2) + 1, P$2:P1823 = P1824))))=""単価"","""",
IF(COUNTIF(P$2:P1823, P1824)=0, """", INDEX(H$2:H1823,
MAX(FILTER(ROW(H$2:H1823) - ROW(H$2) + 1, P$2:P1823 = P1824)))))"),23.700000000000003)</f>
        <v>23.7</v>
      </c>
      <c r="N1824" s="335" t="str">
        <f>IF(MAXIFS('単価履歴'!$O:$O,'単価履歴'!$E:$E,E1824,'単価履歴'!$F:$F,F1824)=O1824,"●","")</f>
        <v/>
      </c>
      <c r="O1824" s="346">
        <v>45828.2640625</v>
      </c>
      <c r="P1824" s="334" t="str">
        <f t="shared" si="4"/>
        <v>大鉄　堺:産振Ｈ３(1級)</v>
      </c>
    </row>
    <row r="1825" ht="15.75" customHeight="1">
      <c r="A1825" s="335" t="s">
        <v>2997</v>
      </c>
      <c r="B1825" s="336">
        <v>45828.0</v>
      </c>
      <c r="C1825" s="335" t="s">
        <v>9</v>
      </c>
      <c r="D1825" s="335" t="s">
        <v>50</v>
      </c>
      <c r="E1825" s="337" t="str">
        <f t="shared" si="1"/>
        <v>大鉄　堺:産振</v>
      </c>
      <c r="F1825" s="338" t="s">
        <v>130</v>
      </c>
      <c r="G1825" s="339" t="str">
        <f t="shared" si="2"/>
        <v>大鉄　堺:産振新断Ａ</v>
      </c>
      <c r="H1825" s="340">
        <f t="shared" si="3"/>
        <v>40.7</v>
      </c>
      <c r="I1825" s="341">
        <v>-0.5</v>
      </c>
      <c r="J1825" s="332">
        <f>IFERROR(__xludf.DUMMYFUNCTION("IF(IF(COUNTIF(P$2:P1824, P1825)=0, """", INDEX(H$2:H1824,
MAX(FILTER(ROW(H$2:H1824) - ROW(H$2) + 1, P$2:P1824 = P1825))))=""単価"","""",
IF(COUNTIF(P$2:P1824, P1825)=0, """", INDEX(H$2:H1824,
MAX(FILTER(ROW(H$2:H1824) - ROW(H$2) + 1, P$2:P1824 = P1825)))))"),41.2)</f>
        <v>41.2</v>
      </c>
      <c r="N1825" s="335" t="str">
        <f>IF(MAXIFS('単価履歴'!$O:$O,'単価履歴'!$E:$E,E1825,'単価履歴'!$F:$F,F1825)=O1825,"●","")</f>
        <v/>
      </c>
      <c r="O1825" s="346">
        <v>45828.2640625</v>
      </c>
      <c r="P1825" s="334" t="str">
        <f t="shared" si="4"/>
        <v>大鉄　堺:産振新断Ａ</v>
      </c>
    </row>
    <row r="1826" ht="15.75" customHeight="1">
      <c r="A1826" s="335" t="s">
        <v>2998</v>
      </c>
      <c r="B1826" s="336">
        <v>45828.0</v>
      </c>
      <c r="C1826" s="335" t="s">
        <v>9</v>
      </c>
      <c r="D1826" s="335" t="s">
        <v>50</v>
      </c>
      <c r="E1826" s="337" t="str">
        <f t="shared" si="1"/>
        <v>大鉄　堺:産振</v>
      </c>
      <c r="F1826" s="338" t="s">
        <v>131</v>
      </c>
      <c r="G1826" s="339" t="str">
        <f t="shared" si="2"/>
        <v>大鉄　堺:産振新断Ｂ</v>
      </c>
      <c r="H1826" s="340">
        <f t="shared" si="3"/>
        <v>40.2</v>
      </c>
      <c r="I1826" s="341">
        <v>-0.5</v>
      </c>
      <c r="J1826" s="332">
        <f>IFERROR(__xludf.DUMMYFUNCTION("IF(IF(COUNTIF(P$2:P1825, P1826)=0, """", INDEX(H$2:H1825,
MAX(FILTER(ROW(H$2:H1825) - ROW(H$2) + 1, P$2:P1825 = P1826))))=""単価"","""",
IF(COUNTIF(P$2:P1825, P1826)=0, """", INDEX(H$2:H1825,
MAX(FILTER(ROW(H$2:H1825) - ROW(H$2) + 1, P$2:P1825 = P1826)))))"),40.7)</f>
        <v>40.7</v>
      </c>
      <c r="N1826" s="335" t="str">
        <f>IF(MAXIFS('単価履歴'!$O:$O,'単価履歴'!$E:$E,E1826,'単価履歴'!$F:$F,F1826)=O1826,"●","")</f>
        <v/>
      </c>
      <c r="O1826" s="346">
        <v>45828.2640625</v>
      </c>
      <c r="P1826" s="334" t="str">
        <f t="shared" si="4"/>
        <v>大鉄　堺:産振新断Ｂ</v>
      </c>
    </row>
    <row r="1827" ht="15.75" customHeight="1">
      <c r="A1827" s="335" t="s">
        <v>2999</v>
      </c>
      <c r="B1827" s="336">
        <v>45828.0</v>
      </c>
      <c r="C1827" s="335" t="s">
        <v>9</v>
      </c>
      <c r="D1827" s="335" t="s">
        <v>50</v>
      </c>
      <c r="E1827" s="337" t="str">
        <f t="shared" si="1"/>
        <v>大鉄　堺:産振</v>
      </c>
      <c r="F1827" s="338" t="s">
        <v>575</v>
      </c>
      <c r="G1827" s="339" t="str">
        <f t="shared" si="2"/>
        <v>大鉄　堺:産振鋼ダライＡ</v>
      </c>
      <c r="H1827" s="340">
        <f t="shared" si="3"/>
        <v>37.2</v>
      </c>
      <c r="I1827" s="341">
        <v>-0.5</v>
      </c>
      <c r="J1827" s="332">
        <f>IFERROR(__xludf.DUMMYFUNCTION("IF(IF(COUNTIF(P$2:P1826, P1827)=0, """", INDEX(H$2:H1826,
MAX(FILTER(ROW(H$2:H1826) - ROW(H$2) + 1, P$2:P1826 = P1827))))=""単価"","""",
IF(COUNTIF(P$2:P1826, P1827)=0, """", INDEX(H$2:H1826,
MAX(FILTER(ROW(H$2:H1826) - ROW(H$2) + 1, P$2:P1826 = P1827)))))"),37.7)</f>
        <v>37.7</v>
      </c>
      <c r="N1827" s="335" t="str">
        <f>IF(MAXIFS('単価履歴'!$O:$O,'単価履歴'!$E:$E,E1827,'単価履歴'!$F:$F,F1827)=O1827,"●","")</f>
        <v/>
      </c>
      <c r="O1827" s="346">
        <v>45828.2640625</v>
      </c>
      <c r="P1827" s="334" t="str">
        <f t="shared" si="4"/>
        <v>大鉄　堺:産振鋼ダライＡ</v>
      </c>
    </row>
    <row r="1828" ht="15.75" customHeight="1">
      <c r="A1828" s="335" t="s">
        <v>3000</v>
      </c>
      <c r="B1828" s="336">
        <v>45828.0</v>
      </c>
      <c r="C1828" s="335" t="s">
        <v>9</v>
      </c>
      <c r="D1828" s="335" t="s">
        <v>50</v>
      </c>
      <c r="E1828" s="337" t="str">
        <f t="shared" si="1"/>
        <v>大鉄　堺:産振</v>
      </c>
      <c r="F1828" s="338" t="s">
        <v>576</v>
      </c>
      <c r="G1828" s="339" t="str">
        <f t="shared" si="2"/>
        <v>大鉄　堺:産振鋼ダライＢ</v>
      </c>
      <c r="H1828" s="340">
        <f t="shared" si="3"/>
        <v>-1.5</v>
      </c>
      <c r="I1828" s="341">
        <v>-0.5</v>
      </c>
      <c r="J1828" s="332">
        <f>IFERROR(__xludf.DUMMYFUNCTION("IF(IF(COUNTIF(P$2:P1827, P1828)=0, """", INDEX(H$2:H1827,
MAX(FILTER(ROW(H$2:H1827) - ROW(H$2) + 1, P$2:P1827 = P1828))))=""単価"","""",
IF(COUNTIF(P$2:P1827, P1828)=0, """", INDEX(H$2:H1827,
MAX(FILTER(ROW(H$2:H1827) - ROW(H$2) + 1, P$2:P1827 = P1828)))))"),-1.0)</f>
        <v>-1</v>
      </c>
      <c r="N1828" s="335" t="str">
        <f>IF(MAXIFS('単価履歴'!$O:$O,'単価履歴'!$E:$E,E1828,'単価履歴'!$F:$F,F1828)=O1828,"●","")</f>
        <v/>
      </c>
      <c r="O1828" s="346">
        <v>45828.2640625</v>
      </c>
      <c r="P1828" s="334" t="str">
        <f t="shared" si="4"/>
        <v>大鉄　堺:産振鋼ダライＢ</v>
      </c>
    </row>
    <row r="1829" ht="15.75" customHeight="1">
      <c r="A1829" s="335" t="s">
        <v>3001</v>
      </c>
      <c r="B1829" s="336">
        <v>45828.0</v>
      </c>
      <c r="C1829" s="335" t="s">
        <v>9</v>
      </c>
      <c r="D1829" s="335" t="s">
        <v>50</v>
      </c>
      <c r="E1829" s="337" t="str">
        <f t="shared" si="1"/>
        <v>大鉄　堺:産振</v>
      </c>
      <c r="F1829" s="338" t="s">
        <v>145</v>
      </c>
      <c r="G1829" s="339" t="str">
        <f t="shared" si="2"/>
        <v>大鉄　堺:産振シュレＡ</v>
      </c>
      <c r="H1829" s="340">
        <f t="shared" si="3"/>
        <v>-1.5</v>
      </c>
      <c r="I1829" s="341">
        <v>-0.5</v>
      </c>
      <c r="J1829" s="332">
        <f>IFERROR(__xludf.DUMMYFUNCTION("IF(IF(COUNTIF(P$2:P1828, P1829)=0, """", INDEX(H$2:H1828,
MAX(FILTER(ROW(H$2:H1828) - ROW(H$2) + 1, P$2:P1828 = P1829))))=""単価"","""",
IF(COUNTIF(P$2:P1828, P1829)=0, """", INDEX(H$2:H1828,
MAX(FILTER(ROW(H$2:H1828) - ROW(H$2) + 1, P$2:P1828 = P1829)))))"),-1.0)</f>
        <v>-1</v>
      </c>
      <c r="N1829" s="335" t="str">
        <f>IF(MAXIFS('単価履歴'!$O:$O,'単価履歴'!$E:$E,E1829,'単価履歴'!$F:$F,F1829)=O1829,"●","")</f>
        <v/>
      </c>
      <c r="O1829" s="346">
        <v>45828.2640625</v>
      </c>
      <c r="P1829" s="334" t="str">
        <f t="shared" si="4"/>
        <v>大鉄　堺:産振シュレＡ</v>
      </c>
    </row>
    <row r="1830" ht="15.75" customHeight="1">
      <c r="A1830" s="335" t="s">
        <v>3002</v>
      </c>
      <c r="B1830" s="336">
        <v>45828.0</v>
      </c>
      <c r="C1830" s="335" t="s">
        <v>9</v>
      </c>
      <c r="D1830" s="335" t="s">
        <v>50</v>
      </c>
      <c r="E1830" s="337" t="str">
        <f t="shared" si="1"/>
        <v>大鉄　堺:産振</v>
      </c>
      <c r="F1830" s="338" t="s">
        <v>149</v>
      </c>
      <c r="G1830" s="339" t="str">
        <f t="shared" si="2"/>
        <v>大鉄　堺:産振シュレＢ</v>
      </c>
      <c r="H1830" s="340">
        <f t="shared" si="3"/>
        <v>-1.5</v>
      </c>
      <c r="I1830" s="341">
        <v>-0.5</v>
      </c>
      <c r="J1830" s="332">
        <f>IFERROR(__xludf.DUMMYFUNCTION("IF(IF(COUNTIF(P$2:P1829, P1830)=0, """", INDEX(H$2:H1829,
MAX(FILTER(ROW(H$2:H1829) - ROW(H$2) + 1, P$2:P1829 = P1830))))=""単価"","""",
IF(COUNTIF(P$2:P1829, P1830)=0, """", INDEX(H$2:H1829,
MAX(FILTER(ROW(H$2:H1829) - ROW(H$2) + 1, P$2:P1829 = P1830)))))"),-1.0)</f>
        <v>-1</v>
      </c>
      <c r="N1830" s="335" t="str">
        <f>IF(MAXIFS('単価履歴'!$O:$O,'単価履歴'!$E:$E,E1830,'単価履歴'!$F:$F,F1830)=O1830,"●","")</f>
        <v/>
      </c>
      <c r="O1830" s="346">
        <v>45828.2640625</v>
      </c>
      <c r="P1830" s="334" t="str">
        <f t="shared" si="4"/>
        <v>大鉄　堺:産振シュレＢ</v>
      </c>
    </row>
    <row r="1831" ht="15.75" customHeight="1">
      <c r="A1831" s="335" t="s">
        <v>3003</v>
      </c>
      <c r="B1831" s="336">
        <v>45828.0</v>
      </c>
      <c r="C1831" s="335" t="s">
        <v>9</v>
      </c>
      <c r="D1831" s="335" t="s">
        <v>50</v>
      </c>
      <c r="E1831" s="337" t="str">
        <f t="shared" si="1"/>
        <v>大鉄　堺:産振</v>
      </c>
      <c r="F1831" s="338" t="s">
        <v>151</v>
      </c>
      <c r="G1831" s="339" t="str">
        <f t="shared" si="2"/>
        <v>大鉄　堺:産振シュレＣ</v>
      </c>
      <c r="H1831" s="340">
        <f t="shared" si="3"/>
        <v>-1.5</v>
      </c>
      <c r="I1831" s="341">
        <v>-0.5</v>
      </c>
      <c r="J1831" s="332">
        <f>IFERROR(__xludf.DUMMYFUNCTION("IF(IF(COUNTIF(P$2:P1830, P1831)=0, """", INDEX(H$2:H1830,
MAX(FILTER(ROW(H$2:H1830) - ROW(H$2) + 1, P$2:P1830 = P1831))))=""単価"","""",
IF(COUNTIF(P$2:P1830, P1831)=0, """", INDEX(H$2:H1830,
MAX(FILTER(ROW(H$2:H1830) - ROW(H$2) + 1, P$2:P1830 = P1831)))))"),-1.0)</f>
        <v>-1</v>
      </c>
      <c r="N1831" s="335" t="str">
        <f>IF(MAXIFS('単価履歴'!$O:$O,'単価履歴'!$E:$E,E1831,'単価履歴'!$F:$F,F1831)=O1831,"●","")</f>
        <v/>
      </c>
      <c r="O1831" s="346">
        <v>45828.2640625</v>
      </c>
      <c r="P1831" s="334" t="str">
        <f t="shared" si="4"/>
        <v>大鉄　堺:産振シュレＣ</v>
      </c>
    </row>
    <row r="1832" ht="15.75" customHeight="1">
      <c r="A1832" s="335" t="s">
        <v>3004</v>
      </c>
      <c r="B1832" s="336">
        <v>45828.0</v>
      </c>
      <c r="C1832" s="335" t="s">
        <v>9</v>
      </c>
      <c r="D1832" s="335" t="s">
        <v>50</v>
      </c>
      <c r="E1832" s="337" t="str">
        <f t="shared" si="1"/>
        <v>大鉄　堺:産振</v>
      </c>
      <c r="F1832" s="338" t="s">
        <v>154</v>
      </c>
      <c r="G1832" s="339" t="str">
        <f t="shared" si="2"/>
        <v>大鉄　堺:産振ＣＰ Ａ</v>
      </c>
      <c r="H1832" s="340">
        <f t="shared" si="3"/>
        <v>44.7</v>
      </c>
      <c r="I1832" s="341">
        <v>-0.5</v>
      </c>
      <c r="J1832" s="332">
        <f>IFERROR(__xludf.DUMMYFUNCTION("IF(IF(COUNTIF(P$2:P1831, P1832)=0, """", INDEX(H$2:H1831,
MAX(FILTER(ROW(H$2:H1831) - ROW(H$2) + 1, P$2:P1831 = P1832))))=""単価"","""",
IF(COUNTIF(P$2:P1831, P1832)=0, """", INDEX(H$2:H1831,
MAX(FILTER(ROW(H$2:H1831) - ROW(H$2) + 1, P$2:P1831 = P1832)))))"),45.2)</f>
        <v>45.2</v>
      </c>
      <c r="N1832" s="335" t="str">
        <f>IF(MAXIFS('単価履歴'!$O:$O,'単価履歴'!$E:$E,E1832,'単価履歴'!$F:$F,F1832)=O1832,"●","")</f>
        <v/>
      </c>
      <c r="O1832" s="346">
        <v>45828.2640625</v>
      </c>
      <c r="P1832" s="334" t="str">
        <f t="shared" si="4"/>
        <v>大鉄　堺:産振ＣＰ Ａ</v>
      </c>
    </row>
    <row r="1833" ht="15.75" customHeight="1">
      <c r="A1833" s="335" t="s">
        <v>3005</v>
      </c>
      <c r="B1833" s="336">
        <v>45828.0</v>
      </c>
      <c r="C1833" s="335" t="s">
        <v>9</v>
      </c>
      <c r="D1833" s="335" t="s">
        <v>50</v>
      </c>
      <c r="E1833" s="337" t="str">
        <f t="shared" si="1"/>
        <v>大鉄　堺:産振</v>
      </c>
      <c r="F1833" s="338" t="s">
        <v>156</v>
      </c>
      <c r="G1833" s="339" t="str">
        <f t="shared" si="2"/>
        <v>大鉄　堺:産振ＣＰ Ｂ一斗缶</v>
      </c>
      <c r="H1833" s="340">
        <f t="shared" si="3"/>
        <v>34.5</v>
      </c>
      <c r="I1833" s="341">
        <v>-0.5</v>
      </c>
      <c r="J1833" s="332">
        <f>IFERROR(__xludf.DUMMYFUNCTION("IF(IF(COUNTIF(P$2:P1832, P1833)=0, """", INDEX(H$2:H1832,
MAX(FILTER(ROW(H$2:H1832) - ROW(H$2) + 1, P$2:P1832 = P1833))))=""単価"","""",
IF(COUNTIF(P$2:P1832, P1833)=0, """", INDEX(H$2:H1832,
MAX(FILTER(ROW(H$2:H1832) - ROW(H$2) + 1, P$2:P1832 = P1833)))))"),35.0)</f>
        <v>35</v>
      </c>
      <c r="N1833" s="335" t="str">
        <f>IF(MAXIFS('単価履歴'!$O:$O,'単価履歴'!$E:$E,E1833,'単価履歴'!$F:$F,F1833)=O1833,"●","")</f>
        <v/>
      </c>
      <c r="O1833" s="346">
        <v>45828.2640625</v>
      </c>
      <c r="P1833" s="334" t="str">
        <f t="shared" si="4"/>
        <v>大鉄　堺:産振ＣＰ Ｂ一斗缶</v>
      </c>
    </row>
    <row r="1834" ht="15.75" customHeight="1">
      <c r="A1834" s="335" t="s">
        <v>3006</v>
      </c>
      <c r="B1834" s="336">
        <v>45828.0</v>
      </c>
      <c r="C1834" s="335" t="s">
        <v>9</v>
      </c>
      <c r="D1834" s="335" t="s">
        <v>50</v>
      </c>
      <c r="E1834" s="337" t="str">
        <f t="shared" si="1"/>
        <v>大鉄　堺:産振</v>
      </c>
      <c r="F1834" s="338" t="s">
        <v>122</v>
      </c>
      <c r="G1834" s="339" t="str">
        <f t="shared" si="2"/>
        <v>大鉄　堺:産振Ｌ１(2級)</v>
      </c>
      <c r="H1834" s="340">
        <f t="shared" si="3"/>
        <v>22.2</v>
      </c>
      <c r="I1834" s="341">
        <v>-0.5</v>
      </c>
      <c r="J1834" s="332">
        <f>IFERROR(__xludf.DUMMYFUNCTION("IF(IF(COUNTIF(P$2:P1833, P1834)=0, """", INDEX(H$2:H1833,
MAX(FILTER(ROW(H$2:H1833) - ROW(H$2) + 1, P$2:P1833 = P1834))))=""単価"","""",
IF(COUNTIF(P$2:P1833, P1834)=0, """", INDEX(H$2:H1833,
MAX(FILTER(ROW(H$2:H1833) - ROW(H$2) + 1, P$2:P1833 = P1834)))))"),22.700000000000003)</f>
        <v>22.7</v>
      </c>
      <c r="N1834" s="335" t="str">
        <f>IF(MAXIFS('単価履歴'!$O:$O,'単価履歴'!$E:$E,E1834,'単価履歴'!$F:$F,F1834)=O1834,"●","")</f>
        <v/>
      </c>
      <c r="O1834" s="346">
        <v>45828.2640625</v>
      </c>
      <c r="P1834" s="334" t="str">
        <f t="shared" si="4"/>
        <v>大鉄　堺:産振Ｌ１(2級)</v>
      </c>
    </row>
    <row r="1835" ht="15.75" customHeight="1">
      <c r="A1835" s="335" t="s">
        <v>3007</v>
      </c>
      <c r="B1835" s="336">
        <v>45828.0</v>
      </c>
      <c r="C1835" s="335" t="s">
        <v>9</v>
      </c>
      <c r="D1835" s="335" t="s">
        <v>49</v>
      </c>
      <c r="E1835" s="337" t="str">
        <f t="shared" si="1"/>
        <v>大鉄　堺:伊藤忠</v>
      </c>
      <c r="F1835" s="338" t="s">
        <v>111</v>
      </c>
      <c r="G1835" s="339" t="str">
        <f t="shared" si="2"/>
        <v>大鉄　堺:伊藤忠Ｈ１(特A)</v>
      </c>
      <c r="H1835" s="340">
        <f t="shared" si="3"/>
        <v>27.3</v>
      </c>
      <c r="I1835" s="341">
        <v>-0.5</v>
      </c>
      <c r="J1835" s="332">
        <f>IFERROR(__xludf.DUMMYFUNCTION("IF(IF(COUNTIF(P$2:P1834, P1835)=0, """", INDEX(H$2:H1834,
MAX(FILTER(ROW(H$2:H1834) - ROW(H$2) + 1, P$2:P1834 = P1835))))=""単価"","""",
IF(COUNTIF(P$2:P1834, P1835)=0, """", INDEX(H$2:H1834,
MAX(FILTER(ROW(H$2:H1834) - ROW(H$2) + 1, P$2:P1834 = P1835)))))"),27.8)</f>
        <v>27.8</v>
      </c>
      <c r="N1835" s="335" t="str">
        <f>IF(MAXIFS('単価履歴'!$O:$O,'単価履歴'!$E:$E,E1835,'単価履歴'!$F:$F,F1835)=O1835,"●","")</f>
        <v/>
      </c>
      <c r="O1835" s="346">
        <v>45828.2640625</v>
      </c>
      <c r="P1835" s="334" t="str">
        <f t="shared" si="4"/>
        <v>大鉄　堺:伊藤忠Ｈ１(特A)</v>
      </c>
    </row>
    <row r="1836" ht="15.75" customHeight="1">
      <c r="A1836" s="335" t="s">
        <v>3008</v>
      </c>
      <c r="B1836" s="336">
        <v>45828.0</v>
      </c>
      <c r="C1836" s="335" t="s">
        <v>9</v>
      </c>
      <c r="D1836" s="335" t="s">
        <v>49</v>
      </c>
      <c r="E1836" s="337" t="str">
        <f t="shared" si="1"/>
        <v>大鉄　堺:伊藤忠</v>
      </c>
      <c r="F1836" s="338" t="s">
        <v>116</v>
      </c>
      <c r="G1836" s="339" t="str">
        <f t="shared" si="2"/>
        <v>大鉄　堺:伊藤忠Ｈ２(特級)</v>
      </c>
      <c r="H1836" s="340">
        <f t="shared" si="3"/>
        <v>32.5</v>
      </c>
      <c r="I1836" s="341">
        <v>-0.5</v>
      </c>
      <c r="J1836" s="332">
        <f>IFERROR(__xludf.DUMMYFUNCTION("IF(IF(COUNTIF(P$2:P1835, P1836)=0, """", INDEX(H$2:H1835,
MAX(FILTER(ROW(H$2:H1835) - ROW(H$2) + 1, P$2:P1835 = P1836))))=""単価"","""",
IF(COUNTIF(P$2:P1835, P1836)=0, """", INDEX(H$2:H1835,
MAX(FILTER(ROW(H$2:H1835) - ROW(H$2) + 1, P$2:P1835 = P1836)))))"),33.0)</f>
        <v>33</v>
      </c>
      <c r="N1836" s="335" t="str">
        <f>IF(MAXIFS('単価履歴'!$O:$O,'単価履歴'!$E:$E,E1836,'単価履歴'!$F:$F,F1836)=O1836,"●","")</f>
        <v/>
      </c>
      <c r="O1836" s="346">
        <v>45828.2640625</v>
      </c>
      <c r="P1836" s="334" t="str">
        <f t="shared" si="4"/>
        <v>大鉄　堺:伊藤忠Ｈ２(特級)</v>
      </c>
    </row>
    <row r="1837" ht="15.75" customHeight="1">
      <c r="A1837" s="335" t="s">
        <v>3009</v>
      </c>
      <c r="B1837" s="336">
        <v>45828.0</v>
      </c>
      <c r="C1837" s="335" t="s">
        <v>9</v>
      </c>
      <c r="D1837" s="335" t="s">
        <v>49</v>
      </c>
      <c r="E1837" s="337" t="str">
        <f t="shared" si="1"/>
        <v>大鉄　堺:伊藤忠</v>
      </c>
      <c r="F1837" s="338" t="s">
        <v>1237</v>
      </c>
      <c r="G1837" s="339" t="str">
        <f t="shared" si="2"/>
        <v>大鉄　堺:伊藤忠ＪＨ１(H2T山口)鍛造ﾊﾞﾘ</v>
      </c>
      <c r="H1837" s="340">
        <f t="shared" si="3"/>
        <v>34.7</v>
      </c>
      <c r="I1837" s="341">
        <v>-0.5</v>
      </c>
      <c r="J1837" s="332">
        <f>IFERROR(__xludf.DUMMYFUNCTION("IF(IF(COUNTIF(P$2:P1836, P1837)=0, """", INDEX(H$2:H1836,
MAX(FILTER(ROW(H$2:H1836) - ROW(H$2) + 1, P$2:P1836 = P1837))))=""単価"","""",
IF(COUNTIF(P$2:P1836, P1837)=0, """", INDEX(H$2:H1836,
MAX(FILTER(ROW(H$2:H1836) - ROW(H$2) + 1, P$2:P1836 = P1837)))))"),35.2)</f>
        <v>35.2</v>
      </c>
      <c r="N1837" s="335" t="str">
        <f>IF(MAXIFS('単価履歴'!$O:$O,'単価履歴'!$E:$E,E1837,'単価履歴'!$F:$F,F1837)=O1837,"●","")</f>
        <v/>
      </c>
      <c r="O1837" s="346">
        <v>45828.2640625</v>
      </c>
      <c r="P1837" s="334" t="str">
        <f t="shared" si="4"/>
        <v>大鉄　堺:伊藤忠ＪＨ１(H2T山口)鍛造ﾊﾞﾘ</v>
      </c>
    </row>
    <row r="1838" ht="15.75" customHeight="1">
      <c r="A1838" s="335" t="s">
        <v>3010</v>
      </c>
      <c r="B1838" s="336">
        <v>45828.0</v>
      </c>
      <c r="C1838" s="335" t="s">
        <v>9</v>
      </c>
      <c r="D1838" s="335" t="s">
        <v>49</v>
      </c>
      <c r="E1838" s="337" t="str">
        <f t="shared" si="1"/>
        <v>大鉄　堺:伊藤忠</v>
      </c>
      <c r="F1838" s="338" t="s">
        <v>119</v>
      </c>
      <c r="G1838" s="339" t="str">
        <f t="shared" si="2"/>
        <v>大鉄　堺:伊藤忠Ｈ３(1級)</v>
      </c>
      <c r="H1838" s="340">
        <f t="shared" si="3"/>
        <v>31.5</v>
      </c>
      <c r="I1838" s="341">
        <v>-0.5</v>
      </c>
      <c r="J1838" s="332">
        <f>IFERROR(__xludf.DUMMYFUNCTION("IF(IF(COUNTIF(P$2:P1837, P1838)=0, """", INDEX(H$2:H1837,
MAX(FILTER(ROW(H$2:H1837) - ROW(H$2) + 1, P$2:P1837 = P1838))))=""単価"","""",
IF(COUNTIF(P$2:P1837, P1838)=0, """", INDEX(H$2:H1837,
MAX(FILTER(ROW(H$2:H1837) - ROW(H$2) + 1, P$2:P1837 = P1838)))))"),32.0)</f>
        <v>32</v>
      </c>
      <c r="N1838" s="335" t="str">
        <f>IF(MAXIFS('単価履歴'!$O:$O,'単価履歴'!$E:$E,E1838,'単価履歴'!$F:$F,F1838)=O1838,"●","")</f>
        <v/>
      </c>
      <c r="O1838" s="346">
        <v>45828.2640625</v>
      </c>
      <c r="P1838" s="334" t="str">
        <f t="shared" si="4"/>
        <v>大鉄　堺:伊藤忠Ｈ３(1級)</v>
      </c>
    </row>
    <row r="1839" ht="15.75" customHeight="1">
      <c r="A1839" s="335" t="s">
        <v>3011</v>
      </c>
      <c r="B1839" s="336">
        <v>45828.0</v>
      </c>
      <c r="C1839" s="335" t="s">
        <v>9</v>
      </c>
      <c r="D1839" s="335" t="s">
        <v>49</v>
      </c>
      <c r="E1839" s="337" t="str">
        <f t="shared" si="1"/>
        <v>大鉄　堺:伊藤忠</v>
      </c>
      <c r="F1839" s="338" t="s">
        <v>130</v>
      </c>
      <c r="G1839" s="339" t="str">
        <f t="shared" si="2"/>
        <v>大鉄　堺:伊藤忠新断Ａ</v>
      </c>
      <c r="H1839" s="340">
        <f t="shared" si="3"/>
        <v>26.8</v>
      </c>
      <c r="I1839" s="341">
        <v>-0.5</v>
      </c>
      <c r="J1839" s="332">
        <f>IFERROR(__xludf.DUMMYFUNCTION("IF(IF(COUNTIF(P$2:P1838, P1839)=0, """", INDEX(H$2:H1838,
MAX(FILTER(ROW(H$2:H1838) - ROW(H$2) + 1, P$2:P1838 = P1839))))=""単価"","""",
IF(COUNTIF(P$2:P1838, P1839)=0, """", INDEX(H$2:H1838,
MAX(FILTER(ROW(H$2:H1838) - ROW(H$2) + 1, P$2:P1838 = P1839)))))"),27.3)</f>
        <v>27.3</v>
      </c>
      <c r="N1839" s="335" t="str">
        <f>IF(MAXIFS('単価履歴'!$O:$O,'単価履歴'!$E:$E,E1839,'単価履歴'!$F:$F,F1839)=O1839,"●","")</f>
        <v/>
      </c>
      <c r="O1839" s="346">
        <v>45828.2640625</v>
      </c>
      <c r="P1839" s="334" t="str">
        <f t="shared" si="4"/>
        <v>大鉄　堺:伊藤忠新断Ａ</v>
      </c>
    </row>
    <row r="1840" ht="15.75" customHeight="1">
      <c r="A1840" s="335" t="s">
        <v>3012</v>
      </c>
      <c r="B1840" s="336">
        <v>45828.0</v>
      </c>
      <c r="C1840" s="335" t="s">
        <v>9</v>
      </c>
      <c r="D1840" s="335" t="s">
        <v>49</v>
      </c>
      <c r="E1840" s="337" t="str">
        <f t="shared" si="1"/>
        <v>大鉄　堺:伊藤忠</v>
      </c>
      <c r="F1840" s="338" t="s">
        <v>131</v>
      </c>
      <c r="G1840" s="339" t="str">
        <f t="shared" si="2"/>
        <v>大鉄　堺:伊藤忠新断Ｂ</v>
      </c>
      <c r="H1840" s="340">
        <f t="shared" si="3"/>
        <v>26.3</v>
      </c>
      <c r="I1840" s="341">
        <v>-0.5</v>
      </c>
      <c r="J1840" s="332">
        <f>IFERROR(__xludf.DUMMYFUNCTION("IF(IF(COUNTIF(P$2:P1839, P1840)=0, """", INDEX(H$2:H1839,
MAX(FILTER(ROW(H$2:H1839) - ROW(H$2) + 1, P$2:P1839 = P1840))))=""単価"","""",
IF(COUNTIF(P$2:P1839, P1840)=0, """", INDEX(H$2:H1839,
MAX(FILTER(ROW(H$2:H1839) - ROW(H$2) + 1, P$2:P1839 = P1840)))))"),26.8)</f>
        <v>26.8</v>
      </c>
      <c r="N1840" s="335" t="str">
        <f>IF(MAXIFS('単価履歴'!$O:$O,'単価履歴'!$E:$E,E1840,'単価履歴'!$F:$F,F1840)=O1840,"●","")</f>
        <v/>
      </c>
      <c r="O1840" s="346">
        <v>45828.2640625</v>
      </c>
      <c r="P1840" s="334" t="str">
        <f t="shared" si="4"/>
        <v>大鉄　堺:伊藤忠新断Ｂ</v>
      </c>
    </row>
    <row r="1841" ht="15.75" customHeight="1">
      <c r="A1841" s="335" t="s">
        <v>3013</v>
      </c>
      <c r="B1841" s="336">
        <v>45828.0</v>
      </c>
      <c r="C1841" s="335" t="s">
        <v>9</v>
      </c>
      <c r="D1841" s="335" t="s">
        <v>49</v>
      </c>
      <c r="E1841" s="337" t="str">
        <f t="shared" si="1"/>
        <v>大鉄　堺:伊藤忠</v>
      </c>
      <c r="F1841" s="338" t="s">
        <v>575</v>
      </c>
      <c r="G1841" s="339" t="str">
        <f t="shared" si="2"/>
        <v>大鉄　堺:伊藤忠鋼ダライＡ</v>
      </c>
      <c r="H1841" s="340">
        <f t="shared" si="3"/>
        <v>-1.5</v>
      </c>
      <c r="I1841" s="341">
        <v>-0.5</v>
      </c>
      <c r="J1841" s="332">
        <f>IFERROR(__xludf.DUMMYFUNCTION("IF(IF(COUNTIF(P$2:P1840, P1841)=0, """", INDEX(H$2:H1840,
MAX(FILTER(ROW(H$2:H1840) - ROW(H$2) + 1, P$2:P1840 = P1841))))=""単価"","""",
IF(COUNTIF(P$2:P1840, P1841)=0, """", INDEX(H$2:H1840,
MAX(FILTER(ROW(H$2:H1840) - ROW(H$2) + 1, P$2:P1840 = P1841)))))"),-1.0)</f>
        <v>-1</v>
      </c>
      <c r="N1841" s="335" t="str">
        <f>IF(MAXIFS('単価履歴'!$O:$O,'単価履歴'!$E:$E,E1841,'単価履歴'!$F:$F,F1841)=O1841,"●","")</f>
        <v/>
      </c>
      <c r="O1841" s="346">
        <v>45828.2640625</v>
      </c>
      <c r="P1841" s="334" t="str">
        <f t="shared" si="4"/>
        <v>大鉄　堺:伊藤忠鋼ダライＡ</v>
      </c>
    </row>
    <row r="1842" ht="15.75" customHeight="1">
      <c r="A1842" s="335" t="s">
        <v>3014</v>
      </c>
      <c r="B1842" s="336">
        <v>45828.0</v>
      </c>
      <c r="C1842" s="335" t="s">
        <v>9</v>
      </c>
      <c r="D1842" s="335" t="s">
        <v>49</v>
      </c>
      <c r="E1842" s="337" t="str">
        <f t="shared" si="1"/>
        <v>大鉄　堺:伊藤忠</v>
      </c>
      <c r="F1842" s="338" t="s">
        <v>576</v>
      </c>
      <c r="G1842" s="339" t="str">
        <f t="shared" si="2"/>
        <v>大鉄　堺:伊藤忠鋼ダライＢ</v>
      </c>
      <c r="H1842" s="340">
        <f t="shared" si="3"/>
        <v>-1.5</v>
      </c>
      <c r="I1842" s="341">
        <v>-0.5</v>
      </c>
      <c r="J1842" s="332">
        <f>IFERROR(__xludf.DUMMYFUNCTION("IF(IF(COUNTIF(P$2:P1841, P1842)=0, """", INDEX(H$2:H1841,
MAX(FILTER(ROW(H$2:H1841) - ROW(H$2) + 1, P$2:P1841 = P1842))))=""単価"","""",
IF(COUNTIF(P$2:P1841, P1842)=0, """", INDEX(H$2:H1841,
MAX(FILTER(ROW(H$2:H1841) - ROW(H$2) + 1, P$2:P1841 = P1842)))))"),-1.0)</f>
        <v>-1</v>
      </c>
      <c r="N1842" s="335" t="str">
        <f>IF(MAXIFS('単価履歴'!$O:$O,'単価履歴'!$E:$E,E1842,'単価履歴'!$F:$F,F1842)=O1842,"●","")</f>
        <v/>
      </c>
      <c r="O1842" s="346">
        <v>45828.2640625</v>
      </c>
      <c r="P1842" s="334" t="str">
        <f t="shared" si="4"/>
        <v>大鉄　堺:伊藤忠鋼ダライＢ</v>
      </c>
    </row>
    <row r="1843" ht="15.75" customHeight="1">
      <c r="A1843" s="335" t="s">
        <v>3015</v>
      </c>
      <c r="B1843" s="336">
        <v>45828.0</v>
      </c>
      <c r="C1843" s="335" t="s">
        <v>9</v>
      </c>
      <c r="D1843" s="335" t="s">
        <v>49</v>
      </c>
      <c r="E1843" s="337" t="str">
        <f t="shared" si="1"/>
        <v>大鉄　堺:伊藤忠</v>
      </c>
      <c r="F1843" s="338" t="s">
        <v>145</v>
      </c>
      <c r="G1843" s="339" t="str">
        <f t="shared" si="2"/>
        <v>大鉄　堺:伊藤忠シュレＡ</v>
      </c>
      <c r="H1843" s="340">
        <f t="shared" si="3"/>
        <v>-1.5</v>
      </c>
      <c r="I1843" s="341">
        <v>-0.5</v>
      </c>
      <c r="J1843" s="332">
        <f>IFERROR(__xludf.DUMMYFUNCTION("IF(IF(COUNTIF(P$2:P1842, P1843)=0, """", INDEX(H$2:H1842,
MAX(FILTER(ROW(H$2:H1842) - ROW(H$2) + 1, P$2:P1842 = P1843))))=""単価"","""",
IF(COUNTIF(P$2:P1842, P1843)=0, """", INDEX(H$2:H1842,
MAX(FILTER(ROW(H$2:H1842) - ROW(H$2) + 1, P$2:P1842 = P1843)))))"),-1.0)</f>
        <v>-1</v>
      </c>
      <c r="N1843" s="335" t="str">
        <f>IF(MAXIFS('単価履歴'!$O:$O,'単価履歴'!$E:$E,E1843,'単価履歴'!$F:$F,F1843)=O1843,"●","")</f>
        <v/>
      </c>
      <c r="O1843" s="346">
        <v>45828.2640625</v>
      </c>
      <c r="P1843" s="334" t="str">
        <f t="shared" si="4"/>
        <v>大鉄　堺:伊藤忠シュレＡ</v>
      </c>
    </row>
    <row r="1844" ht="15.75" customHeight="1">
      <c r="A1844" s="335" t="s">
        <v>3016</v>
      </c>
      <c r="B1844" s="336">
        <v>45828.0</v>
      </c>
      <c r="C1844" s="335" t="s">
        <v>9</v>
      </c>
      <c r="D1844" s="335" t="s">
        <v>49</v>
      </c>
      <c r="E1844" s="337" t="str">
        <f t="shared" si="1"/>
        <v>大鉄　堺:伊藤忠</v>
      </c>
      <c r="F1844" s="338" t="s">
        <v>149</v>
      </c>
      <c r="G1844" s="339" t="str">
        <f t="shared" si="2"/>
        <v>大鉄　堺:伊藤忠シュレＢ</v>
      </c>
      <c r="H1844" s="340">
        <f t="shared" si="3"/>
        <v>-1.5</v>
      </c>
      <c r="I1844" s="341">
        <v>-0.5</v>
      </c>
      <c r="J1844" s="332">
        <f>IFERROR(__xludf.DUMMYFUNCTION("IF(IF(COUNTIF(P$2:P1843, P1844)=0, """", INDEX(H$2:H1843,
MAX(FILTER(ROW(H$2:H1843) - ROW(H$2) + 1, P$2:P1843 = P1844))))=""単価"","""",
IF(COUNTIF(P$2:P1843, P1844)=0, """", INDEX(H$2:H1843,
MAX(FILTER(ROW(H$2:H1843) - ROW(H$2) + 1, P$2:P1843 = P1844)))))"),-1.0)</f>
        <v>-1</v>
      </c>
      <c r="N1844" s="335" t="str">
        <f>IF(MAXIFS('単価履歴'!$O:$O,'単価履歴'!$E:$E,E1844,'単価履歴'!$F:$F,F1844)=O1844,"●","")</f>
        <v/>
      </c>
      <c r="O1844" s="346">
        <v>45828.2640625</v>
      </c>
      <c r="P1844" s="334" t="str">
        <f t="shared" si="4"/>
        <v>大鉄　堺:伊藤忠シュレＢ</v>
      </c>
    </row>
    <row r="1845" ht="15.75" customHeight="1">
      <c r="A1845" s="335" t="s">
        <v>3017</v>
      </c>
      <c r="B1845" s="336">
        <v>45828.0</v>
      </c>
      <c r="C1845" s="335" t="s">
        <v>9</v>
      </c>
      <c r="D1845" s="335" t="s">
        <v>49</v>
      </c>
      <c r="E1845" s="337" t="str">
        <f t="shared" si="1"/>
        <v>大鉄　堺:伊藤忠</v>
      </c>
      <c r="F1845" s="338" t="s">
        <v>151</v>
      </c>
      <c r="G1845" s="339" t="str">
        <f t="shared" si="2"/>
        <v>大鉄　堺:伊藤忠シュレＣ</v>
      </c>
      <c r="H1845" s="340">
        <f t="shared" si="3"/>
        <v>-1.5</v>
      </c>
      <c r="I1845" s="341">
        <v>-0.5</v>
      </c>
      <c r="J1845" s="332">
        <f>IFERROR(__xludf.DUMMYFUNCTION("IF(IF(COUNTIF(P$2:P1844, P1845)=0, """", INDEX(H$2:H1844,
MAX(FILTER(ROW(H$2:H1844) - ROW(H$2) + 1, P$2:P1844 = P1845))))=""単価"","""",
IF(COUNTIF(P$2:P1844, P1845)=0, """", INDEX(H$2:H1844,
MAX(FILTER(ROW(H$2:H1844) - ROW(H$2) + 1, P$2:P1844 = P1845)))))"),-1.0)</f>
        <v>-1</v>
      </c>
      <c r="N1845" s="335" t="str">
        <f>IF(MAXIFS('単価履歴'!$O:$O,'単価履歴'!$E:$E,E1845,'単価履歴'!$F:$F,F1845)=O1845,"●","")</f>
        <v/>
      </c>
      <c r="O1845" s="346">
        <v>45828.2640625</v>
      </c>
      <c r="P1845" s="334" t="str">
        <f t="shared" si="4"/>
        <v>大鉄　堺:伊藤忠シュレＣ</v>
      </c>
    </row>
    <row r="1846" ht="15.75" customHeight="1">
      <c r="A1846" s="335" t="s">
        <v>3018</v>
      </c>
      <c r="B1846" s="336">
        <v>45828.0</v>
      </c>
      <c r="C1846" s="335" t="s">
        <v>9</v>
      </c>
      <c r="D1846" s="335" t="s">
        <v>49</v>
      </c>
      <c r="E1846" s="337" t="str">
        <f t="shared" si="1"/>
        <v>大鉄　堺:伊藤忠</v>
      </c>
      <c r="F1846" s="338" t="s">
        <v>154</v>
      </c>
      <c r="G1846" s="339" t="str">
        <f t="shared" si="2"/>
        <v>大鉄　堺:伊藤忠ＣＰ Ａ</v>
      </c>
      <c r="H1846" s="340">
        <f t="shared" si="3"/>
        <v>-1.5</v>
      </c>
      <c r="I1846" s="341">
        <v>-0.5</v>
      </c>
      <c r="J1846" s="332">
        <f>IFERROR(__xludf.DUMMYFUNCTION("IF(IF(COUNTIF(P$2:P1845, P1846)=0, """", INDEX(H$2:H1845,
MAX(FILTER(ROW(H$2:H1845) - ROW(H$2) + 1, P$2:P1845 = P1846))))=""単価"","""",
IF(COUNTIF(P$2:P1845, P1846)=0, """", INDEX(H$2:H1845,
MAX(FILTER(ROW(H$2:H1845) - ROW(H$2) + 1, P$2:P1845 = P1846)))))"),-1.0)</f>
        <v>-1</v>
      </c>
      <c r="N1846" s="335" t="str">
        <f>IF(MAXIFS('単価履歴'!$O:$O,'単価履歴'!$E:$E,E1846,'単価履歴'!$F:$F,F1846)=O1846,"●","")</f>
        <v/>
      </c>
      <c r="O1846" s="346">
        <v>45828.2640625</v>
      </c>
      <c r="P1846" s="334" t="str">
        <f t="shared" si="4"/>
        <v>大鉄　堺:伊藤忠ＣＰ Ａ</v>
      </c>
    </row>
    <row r="1847" ht="15.75" customHeight="1">
      <c r="A1847" s="335" t="s">
        <v>3019</v>
      </c>
      <c r="B1847" s="336">
        <v>45828.0</v>
      </c>
      <c r="C1847" s="335" t="s">
        <v>9</v>
      </c>
      <c r="D1847" s="335" t="s">
        <v>49</v>
      </c>
      <c r="E1847" s="337" t="str">
        <f t="shared" si="1"/>
        <v>大鉄　堺:伊藤忠</v>
      </c>
      <c r="F1847" s="338" t="s">
        <v>156</v>
      </c>
      <c r="G1847" s="339" t="str">
        <f t="shared" si="2"/>
        <v>大鉄　堺:伊藤忠ＣＰ Ｂ一斗缶</v>
      </c>
      <c r="H1847" s="340">
        <f t="shared" si="3"/>
        <v>-1.5</v>
      </c>
      <c r="I1847" s="341">
        <v>-0.5</v>
      </c>
      <c r="J1847" s="332">
        <f>IFERROR(__xludf.DUMMYFUNCTION("IF(IF(COUNTIF(P$2:P1846, P1847)=0, """", INDEX(H$2:H1846,
MAX(FILTER(ROW(H$2:H1846) - ROW(H$2) + 1, P$2:P1846 = P1847))))=""単価"","""",
IF(COUNTIF(P$2:P1846, P1847)=0, """", INDEX(H$2:H1846,
MAX(FILTER(ROW(H$2:H1846) - ROW(H$2) + 1, P$2:P1846 = P1847)))))"),-1.0)</f>
        <v>-1</v>
      </c>
      <c r="N1847" s="335" t="str">
        <f>IF(MAXIFS('単価履歴'!$O:$O,'単価履歴'!$E:$E,E1847,'単価履歴'!$F:$F,F1847)=O1847,"●","")</f>
        <v/>
      </c>
      <c r="O1847" s="346">
        <v>45828.2640625</v>
      </c>
      <c r="P1847" s="334" t="str">
        <f t="shared" si="4"/>
        <v>大鉄　堺:伊藤忠ＣＰ Ｂ一斗缶</v>
      </c>
    </row>
    <row r="1848" ht="15.75" customHeight="1">
      <c r="A1848" s="335" t="s">
        <v>3020</v>
      </c>
      <c r="B1848" s="336">
        <v>45828.0</v>
      </c>
      <c r="C1848" s="335" t="s">
        <v>9</v>
      </c>
      <c r="D1848" s="335" t="s">
        <v>49</v>
      </c>
      <c r="E1848" s="337" t="str">
        <f t="shared" si="1"/>
        <v>大鉄　堺:伊藤忠</v>
      </c>
      <c r="F1848" s="338" t="s">
        <v>122</v>
      </c>
      <c r="G1848" s="339" t="str">
        <f t="shared" si="2"/>
        <v>大鉄　堺:伊藤忠Ｌ１(2級)</v>
      </c>
      <c r="H1848" s="340">
        <f t="shared" si="3"/>
        <v>30.5</v>
      </c>
      <c r="I1848" s="341">
        <v>-0.5</v>
      </c>
      <c r="J1848" s="332">
        <f>IFERROR(__xludf.DUMMYFUNCTION("IF(IF(COUNTIF(P$2:P1847, P1848)=0, """", INDEX(H$2:H1847,
MAX(FILTER(ROW(H$2:H1847) - ROW(H$2) + 1, P$2:P1847 = P1848))))=""単価"","""",
IF(COUNTIF(P$2:P1847, P1848)=0, """", INDEX(H$2:H1847,
MAX(FILTER(ROW(H$2:H1847) - ROW(H$2) + 1, P$2:P1847 = P1848)))))"),31.0)</f>
        <v>31</v>
      </c>
      <c r="N1848" s="335" t="str">
        <f>IF(MAXIFS('単価履歴'!$O:$O,'単価履歴'!$E:$E,E1848,'単価履歴'!$F:$F,F1848)=O1848,"●","")</f>
        <v/>
      </c>
      <c r="O1848" s="346">
        <v>45828.2640625</v>
      </c>
      <c r="P1848" s="334" t="str">
        <f t="shared" si="4"/>
        <v>大鉄　堺:伊藤忠Ｌ１(2級)</v>
      </c>
    </row>
    <row r="1849" ht="15.75" customHeight="1">
      <c r="A1849" s="335" t="s">
        <v>3021</v>
      </c>
      <c r="B1849" s="336">
        <v>45828.0</v>
      </c>
      <c r="C1849" s="335" t="s">
        <v>36</v>
      </c>
      <c r="D1849" s="335" t="s">
        <v>1303</v>
      </c>
      <c r="E1849" s="337" t="str">
        <f t="shared" si="1"/>
        <v>共英枚方:ナベ/置場単価</v>
      </c>
      <c r="F1849" s="338" t="s">
        <v>111</v>
      </c>
      <c r="G1849" s="339" t="str">
        <f t="shared" si="2"/>
        <v>共英枚方:ナベ/置場単価Ｈ１(特A)</v>
      </c>
      <c r="H1849" s="340">
        <f t="shared" si="3"/>
        <v>41</v>
      </c>
      <c r="I1849" s="341">
        <v>-0.5</v>
      </c>
      <c r="J1849" s="332">
        <f>IFERROR(__xludf.DUMMYFUNCTION("IF(IF(COUNTIF(P$2:P1848, P1849)=0, """", INDEX(H$2:H1848,
MAX(FILTER(ROW(H$2:H1848) - ROW(H$2) + 1, P$2:P1848 = P1849))))=""単価"","""",
IF(COUNTIF(P$2:P1848, P1849)=0, """", INDEX(H$2:H1848,
MAX(FILTER(ROW(H$2:H1848) - ROW(H$2) + 1, P$2:P1848 = P1849)))))"),41.5)</f>
        <v>41.5</v>
      </c>
      <c r="N1849" s="335" t="str">
        <f>IF(MAXIFS('単価履歴'!$O:$O,'単価履歴'!$E:$E,E1849,'単価履歴'!$F:$F,F1849)=O1849,"●","")</f>
        <v/>
      </c>
      <c r="O1849" s="346">
        <v>45828.26449074074</v>
      </c>
      <c r="P1849" s="334" t="str">
        <f t="shared" si="4"/>
        <v>共英枚方:ナベ/置場単価Ｈ１(特A)</v>
      </c>
    </row>
    <row r="1850" ht="15.75" customHeight="1">
      <c r="A1850" s="335" t="s">
        <v>3022</v>
      </c>
      <c r="B1850" s="336">
        <v>45828.0</v>
      </c>
      <c r="C1850" s="335" t="s">
        <v>36</v>
      </c>
      <c r="D1850" s="335" t="s">
        <v>1303</v>
      </c>
      <c r="E1850" s="337" t="str">
        <f t="shared" si="1"/>
        <v>共英枚方:ナベ/置場単価</v>
      </c>
      <c r="F1850" s="338" t="s">
        <v>116</v>
      </c>
      <c r="G1850" s="339" t="str">
        <f t="shared" si="2"/>
        <v>共英枚方:ナベ/置場単価Ｈ２(特級)</v>
      </c>
      <c r="H1850" s="340">
        <f t="shared" si="3"/>
        <v>39</v>
      </c>
      <c r="I1850" s="341">
        <v>-0.5</v>
      </c>
      <c r="J1850" s="332">
        <f>IFERROR(__xludf.DUMMYFUNCTION("IF(IF(COUNTIF(P$2:P1849, P1850)=0, """", INDEX(H$2:H1849,
MAX(FILTER(ROW(H$2:H1849) - ROW(H$2) + 1, P$2:P1849 = P1850))))=""単価"","""",
IF(COUNTIF(P$2:P1849, P1850)=0, """", INDEX(H$2:H1849,
MAX(FILTER(ROW(H$2:H1849) - ROW(H$2) + 1, P$2:P1849 = P1850)))))"),39.5)</f>
        <v>39.5</v>
      </c>
      <c r="N1850" s="335" t="str">
        <f>IF(MAXIFS('単価履歴'!$O:$O,'単価履歴'!$E:$E,E1850,'単価履歴'!$F:$F,F1850)=O1850,"●","")</f>
        <v/>
      </c>
      <c r="O1850" s="346">
        <v>45828.26449074074</v>
      </c>
      <c r="P1850" s="334" t="str">
        <f t="shared" si="4"/>
        <v>共英枚方:ナベ/置場単価Ｈ２(特級)</v>
      </c>
    </row>
    <row r="1851" ht="15.75" customHeight="1">
      <c r="A1851" s="335" t="s">
        <v>3023</v>
      </c>
      <c r="B1851" s="336">
        <v>45828.0</v>
      </c>
      <c r="C1851" s="335" t="s">
        <v>36</v>
      </c>
      <c r="D1851" s="335" t="s">
        <v>1303</v>
      </c>
      <c r="E1851" s="337" t="str">
        <f t="shared" si="1"/>
        <v>共英枚方:ナベ/置場単価</v>
      </c>
      <c r="F1851" s="338" t="s">
        <v>119</v>
      </c>
      <c r="G1851" s="339" t="str">
        <f t="shared" si="2"/>
        <v>共英枚方:ナベ/置場単価Ｈ３(1級)</v>
      </c>
      <c r="H1851" s="340">
        <f t="shared" si="3"/>
        <v>38.5</v>
      </c>
      <c r="I1851" s="341">
        <v>-0.5</v>
      </c>
      <c r="J1851" s="332">
        <f>IFERROR(__xludf.DUMMYFUNCTION("IF(IF(COUNTIF(P$2:P1850, P1851)=0, """", INDEX(H$2:H1850,
MAX(FILTER(ROW(H$2:H1850) - ROW(H$2) + 1, P$2:P1850 = P1851))))=""単価"","""",
IF(COUNTIF(P$2:P1850, P1851)=0, """", INDEX(H$2:H1850,
MAX(FILTER(ROW(H$2:H1850) - ROW(H$2) + 1, P$2:P1850 = P1851)))))"),39.0)</f>
        <v>39</v>
      </c>
      <c r="N1851" s="335" t="str">
        <f>IF(MAXIFS('単価履歴'!$O:$O,'単価履歴'!$E:$E,E1851,'単価履歴'!$F:$F,F1851)=O1851,"●","")</f>
        <v/>
      </c>
      <c r="O1851" s="346">
        <v>45828.26449074074</v>
      </c>
      <c r="P1851" s="334" t="str">
        <f t="shared" si="4"/>
        <v>共英枚方:ナベ/置場単価Ｈ３(1級)</v>
      </c>
    </row>
    <row r="1852" ht="15.75" customHeight="1">
      <c r="A1852" s="335" t="s">
        <v>3024</v>
      </c>
      <c r="B1852" s="336">
        <v>45828.0</v>
      </c>
      <c r="C1852" s="335" t="s">
        <v>36</v>
      </c>
      <c r="D1852" s="335" t="s">
        <v>1303</v>
      </c>
      <c r="E1852" s="337" t="str">
        <f t="shared" si="1"/>
        <v>共英枚方:ナベ/置場単価</v>
      </c>
      <c r="F1852" s="338" t="s">
        <v>122</v>
      </c>
      <c r="G1852" s="339" t="str">
        <f t="shared" si="2"/>
        <v>共英枚方:ナベ/置場単価Ｌ１(2級)</v>
      </c>
      <c r="H1852" s="340">
        <f t="shared" si="3"/>
        <v>38</v>
      </c>
      <c r="I1852" s="341">
        <v>-0.5</v>
      </c>
      <c r="J1852" s="332">
        <f>IFERROR(__xludf.DUMMYFUNCTION("IF(IF(COUNTIF(P$2:P1851, P1852)=0, """", INDEX(H$2:H1851,
MAX(FILTER(ROW(H$2:H1851) - ROW(H$2) + 1, P$2:P1851 = P1852))))=""単価"","""",
IF(COUNTIF(P$2:P1851, P1852)=0, """", INDEX(H$2:H1851,
MAX(FILTER(ROW(H$2:H1851) - ROW(H$2) + 1, P$2:P1851 = P1852)))))"),38.5)</f>
        <v>38.5</v>
      </c>
      <c r="N1852" s="335" t="str">
        <f>IF(MAXIFS('単価履歴'!$O:$O,'単価履歴'!$E:$E,E1852,'単価履歴'!$F:$F,F1852)=O1852,"●","")</f>
        <v/>
      </c>
      <c r="O1852" s="346">
        <v>45828.26449074074</v>
      </c>
      <c r="P1852" s="334" t="str">
        <f t="shared" si="4"/>
        <v>共英枚方:ナベ/置場単価Ｌ１(2級)</v>
      </c>
    </row>
    <row r="1853" ht="15.75" customHeight="1">
      <c r="A1853" s="335" t="s">
        <v>3025</v>
      </c>
      <c r="B1853" s="336">
        <v>45828.0</v>
      </c>
      <c r="C1853" s="335" t="s">
        <v>36</v>
      </c>
      <c r="D1853" s="335" t="s">
        <v>1303</v>
      </c>
      <c r="E1853" s="337" t="str">
        <f t="shared" si="1"/>
        <v>共英枚方:ナベ/置場単価</v>
      </c>
      <c r="F1853" s="338" t="s">
        <v>154</v>
      </c>
      <c r="G1853" s="339" t="str">
        <f t="shared" si="2"/>
        <v>共英枚方:ナベ/置場単価ＣＰ Ａ</v>
      </c>
      <c r="H1853" s="340">
        <f t="shared" si="3"/>
        <v>44.5</v>
      </c>
      <c r="I1853" s="341">
        <v>-0.5</v>
      </c>
      <c r="J1853" s="332">
        <f>IFERROR(__xludf.DUMMYFUNCTION("IF(IF(COUNTIF(P$2:P1852, P1853)=0, """", INDEX(H$2:H1852,
MAX(FILTER(ROW(H$2:H1852) - ROW(H$2) + 1, P$2:P1852 = P1853))))=""単価"","""",
IF(COUNTIF(P$2:P1852, P1853)=0, """", INDEX(H$2:H1852,
MAX(FILTER(ROW(H$2:H1852) - ROW(H$2) + 1, P$2:P1852 = P1853)))))"),45.0)</f>
        <v>45</v>
      </c>
      <c r="N1853" s="335" t="str">
        <f>IF(MAXIFS('単価履歴'!$O:$O,'単価履歴'!$E:$E,E1853,'単価履歴'!$F:$F,F1853)=O1853,"●","")</f>
        <v/>
      </c>
      <c r="O1853" s="346">
        <v>45828.26449074074</v>
      </c>
      <c r="P1853" s="334" t="str">
        <f t="shared" si="4"/>
        <v>共英枚方:ナベ/置場単価ＣＰ Ａ</v>
      </c>
    </row>
    <row r="1854" ht="15.75" customHeight="1">
      <c r="A1854" s="335" t="s">
        <v>3026</v>
      </c>
      <c r="B1854" s="336">
        <v>45829.0</v>
      </c>
      <c r="C1854" s="335" t="s">
        <v>5</v>
      </c>
      <c r="D1854" s="335" t="s">
        <v>46</v>
      </c>
      <c r="E1854" s="337" t="str">
        <f t="shared" si="1"/>
        <v>中山製鋼:阪和</v>
      </c>
      <c r="F1854" s="338" t="s">
        <v>111</v>
      </c>
      <c r="G1854" s="339" t="str">
        <f t="shared" si="2"/>
        <v>中山製鋼:阪和Ｈ１(特A)</v>
      </c>
      <c r="H1854" s="340">
        <f t="shared" si="3"/>
        <v>41</v>
      </c>
      <c r="I1854" s="341">
        <v>-0.5</v>
      </c>
      <c r="J1854" s="332">
        <f>IFERROR(__xludf.DUMMYFUNCTION("IF(IF(COUNTIF(P$2:P1853, P1854)=0, """", INDEX(H$2:H1853,
MAX(FILTER(ROW(H$2:H1853) - ROW(H$2) + 1, P$2:P1853 = P1854))))=""単価"","""",
IF(COUNTIF(P$2:P1853, P1854)=0, """", INDEX(H$2:H1853,
MAX(FILTER(ROW(H$2:H1853) - ROW(H$2) + 1, P$2:P1853 = P1854)))))"),41.5)</f>
        <v>41.5</v>
      </c>
      <c r="N1854" s="335" t="str">
        <f>IF(MAXIFS('単価履歴'!$O:$O,'単価履歴'!$E:$E,E1854,'単価履歴'!$F:$F,F1854)=O1854,"●","")</f>
        <v/>
      </c>
      <c r="O1854" s="346">
        <v>45828.751180555555</v>
      </c>
      <c r="P1854" s="334" t="str">
        <f t="shared" si="4"/>
        <v>中山製鋼:阪和Ｈ１(特A)</v>
      </c>
    </row>
    <row r="1855" ht="15.75" customHeight="1">
      <c r="A1855" s="335" t="s">
        <v>3027</v>
      </c>
      <c r="B1855" s="336">
        <v>45829.0</v>
      </c>
      <c r="C1855" s="335" t="s">
        <v>5</v>
      </c>
      <c r="D1855" s="335" t="s">
        <v>46</v>
      </c>
      <c r="E1855" s="337" t="str">
        <f t="shared" si="1"/>
        <v>中山製鋼:阪和</v>
      </c>
      <c r="F1855" s="338" t="s">
        <v>122</v>
      </c>
      <c r="G1855" s="339" t="str">
        <f t="shared" si="2"/>
        <v>中山製鋼:阪和Ｌ１(2級)</v>
      </c>
      <c r="H1855" s="340">
        <f t="shared" si="3"/>
        <v>25.8</v>
      </c>
      <c r="I1855" s="341">
        <v>-0.5</v>
      </c>
      <c r="J1855" s="332">
        <f>IFERROR(__xludf.DUMMYFUNCTION("IF(IF(COUNTIF(P$2:P1854, P1855)=0, """", INDEX(H$2:H1854,
MAX(FILTER(ROW(H$2:H1854) - ROW(H$2) + 1, P$2:P1854 = P1855))))=""単価"","""",
IF(COUNTIF(P$2:P1854, P1855)=0, """", INDEX(H$2:H1854,
MAX(FILTER(ROW(H$2:H1854) - ROW(H$2) + 1, P$2:P1854 = P1855)))))"),26.3)</f>
        <v>26.3</v>
      </c>
      <c r="N1855" s="335" t="str">
        <f>IF(MAXIFS('単価履歴'!$O:$O,'単価履歴'!$E:$E,E1855,'単価履歴'!$F:$F,F1855)=O1855,"●","")</f>
        <v/>
      </c>
      <c r="O1855" s="346">
        <v>45828.751180555555</v>
      </c>
      <c r="P1855" s="334" t="str">
        <f t="shared" si="4"/>
        <v>中山製鋼:阪和Ｌ１(2級)</v>
      </c>
    </row>
    <row r="1856" ht="15.75" customHeight="1">
      <c r="A1856" s="335" t="s">
        <v>3028</v>
      </c>
      <c r="B1856" s="336">
        <v>45829.0</v>
      </c>
      <c r="C1856" s="335" t="s">
        <v>5</v>
      </c>
      <c r="D1856" s="335" t="s">
        <v>46</v>
      </c>
      <c r="E1856" s="337" t="str">
        <f t="shared" si="1"/>
        <v>中山製鋼:阪和</v>
      </c>
      <c r="F1856" s="338" t="s">
        <v>574</v>
      </c>
      <c r="G1856" s="339" t="str">
        <f t="shared" si="2"/>
        <v>中山製鋼:阪和新断Ｃ</v>
      </c>
      <c r="H1856" s="340">
        <f t="shared" si="3"/>
        <v>42.8</v>
      </c>
      <c r="I1856" s="341">
        <v>-0.5</v>
      </c>
      <c r="J1856" s="332">
        <f>IFERROR(__xludf.DUMMYFUNCTION("IF(IF(COUNTIF(P$2:P1855, P1856)=0, """", INDEX(H$2:H1855,
MAX(FILTER(ROW(H$2:H1855) - ROW(H$2) + 1, P$2:P1855 = P1856))))=""単価"","""",
IF(COUNTIF(P$2:P1855, P1856)=0, """", INDEX(H$2:H1855,
MAX(FILTER(ROW(H$2:H1855) - ROW(H$2) + 1, P$2:P1855 = P1856)))))"),43.3)</f>
        <v>43.3</v>
      </c>
      <c r="N1856" s="335" t="str">
        <f>IF(MAXIFS('単価履歴'!$O:$O,'単価履歴'!$E:$E,E1856,'単価履歴'!$F:$F,F1856)=O1856,"●","")</f>
        <v/>
      </c>
      <c r="O1856" s="346">
        <v>45828.751180555555</v>
      </c>
      <c r="P1856" s="334" t="str">
        <f t="shared" si="4"/>
        <v>中山製鋼:阪和新断Ｃ</v>
      </c>
    </row>
    <row r="1857" ht="15.75" customHeight="1">
      <c r="A1857" s="335" t="s">
        <v>3029</v>
      </c>
      <c r="B1857" s="336">
        <v>45829.0</v>
      </c>
      <c r="C1857" s="335" t="s">
        <v>5</v>
      </c>
      <c r="D1857" s="335" t="s">
        <v>46</v>
      </c>
      <c r="E1857" s="337" t="str">
        <f t="shared" si="1"/>
        <v>中山製鋼:阪和</v>
      </c>
      <c r="F1857" s="338" t="s">
        <v>108</v>
      </c>
      <c r="G1857" s="339" t="str">
        <f t="shared" si="2"/>
        <v>中山製鋼:阪和Ｈ１/ｻﾑﾃｯｸ</v>
      </c>
      <c r="H1857" s="340">
        <f t="shared" si="3"/>
        <v>0.5</v>
      </c>
      <c r="I1857" s="341">
        <v>-0.5</v>
      </c>
      <c r="J1857" s="332">
        <f>IFERROR(__xludf.DUMMYFUNCTION("IF(IF(COUNTIF(P$2:P1856, P1857)=0, """", INDEX(H$2:H1856,
MAX(FILTER(ROW(H$2:H1856) - ROW(H$2) + 1, P$2:P1856 = P1857))))=""単価"","""",
IF(COUNTIF(P$2:P1856, P1857)=0, """", INDEX(H$2:H1856,
MAX(FILTER(ROW(H$2:H1856) - ROW(H$2) + 1, P$2:P1856 = P1857)))))"),1.0)</f>
        <v>1</v>
      </c>
      <c r="N1857" s="335" t="str">
        <f>IF(MAXIFS('単価履歴'!$O:$O,'単価履歴'!$E:$E,E1857,'単価履歴'!$F:$F,F1857)=O1857,"●","")</f>
        <v/>
      </c>
      <c r="O1857" s="346">
        <v>45828.751180555555</v>
      </c>
      <c r="P1857" s="334" t="str">
        <f t="shared" si="4"/>
        <v>中山製鋼:阪和Ｈ１/ｻﾑﾃｯｸ</v>
      </c>
    </row>
    <row r="1858" ht="15.75" customHeight="1">
      <c r="A1858" s="335" t="s">
        <v>3030</v>
      </c>
      <c r="B1858" s="336">
        <v>45829.0</v>
      </c>
      <c r="C1858" s="335" t="s">
        <v>5</v>
      </c>
      <c r="D1858" s="335" t="s">
        <v>46</v>
      </c>
      <c r="E1858" s="337" t="str">
        <f t="shared" si="1"/>
        <v>中山製鋼:阪和</v>
      </c>
      <c r="F1858" s="338" t="s">
        <v>119</v>
      </c>
      <c r="G1858" s="339" t="str">
        <f t="shared" si="2"/>
        <v>中山製鋼:阪和Ｈ３(1級)</v>
      </c>
      <c r="H1858" s="340">
        <f t="shared" si="3"/>
        <v>32.3</v>
      </c>
      <c r="I1858" s="341">
        <v>-0.5</v>
      </c>
      <c r="J1858" s="332">
        <f>IFERROR(__xludf.DUMMYFUNCTION("IF(IF(COUNTIF(P$2:P1857, P1858)=0, """", INDEX(H$2:H1857,
MAX(FILTER(ROW(H$2:H1857) - ROW(H$2) + 1, P$2:P1857 = P1858))))=""単価"","""",
IF(COUNTIF(P$2:P1857, P1858)=0, """", INDEX(H$2:H1857,
MAX(FILTER(ROW(H$2:H1857) - ROW(H$2) + 1, P$2:P1857 = P1858)))))"),32.8)</f>
        <v>32.8</v>
      </c>
      <c r="N1858" s="335" t="str">
        <f>IF(MAXIFS('単価履歴'!$O:$O,'単価履歴'!$E:$E,E1858,'単価履歴'!$F:$F,F1858)=O1858,"●","")</f>
        <v/>
      </c>
      <c r="O1858" s="346">
        <v>45828.751180555555</v>
      </c>
      <c r="P1858" s="334" t="str">
        <f t="shared" si="4"/>
        <v>中山製鋼:阪和Ｈ３(1級)</v>
      </c>
    </row>
    <row r="1859" ht="15.75" customHeight="1">
      <c r="A1859" s="335" t="s">
        <v>3031</v>
      </c>
      <c r="B1859" s="336">
        <v>45829.0</v>
      </c>
      <c r="C1859" s="335" t="s">
        <v>5</v>
      </c>
      <c r="D1859" s="335" t="s">
        <v>46</v>
      </c>
      <c r="E1859" s="337" t="str">
        <f t="shared" si="1"/>
        <v>中山製鋼:阪和</v>
      </c>
      <c r="F1859" s="338" t="s">
        <v>131</v>
      </c>
      <c r="G1859" s="339" t="str">
        <f t="shared" si="2"/>
        <v>中山製鋼:阪和新断Ｂ</v>
      </c>
      <c r="H1859" s="340">
        <f t="shared" si="3"/>
        <v>43.8</v>
      </c>
      <c r="I1859" s="341">
        <v>-0.5</v>
      </c>
      <c r="J1859" s="332">
        <f>IFERROR(__xludf.DUMMYFUNCTION("IF(IF(COUNTIF(P$2:P1858, P1859)=0, """", INDEX(H$2:H1858,
MAX(FILTER(ROW(H$2:H1858) - ROW(H$2) + 1, P$2:P1858 = P1859))))=""単価"","""",
IF(COUNTIF(P$2:P1858, P1859)=0, """", INDEX(H$2:H1858,
MAX(FILTER(ROW(H$2:H1858) - ROW(H$2) + 1, P$2:P1858 = P1859)))))"),44.3)</f>
        <v>44.3</v>
      </c>
      <c r="N1859" s="335" t="str">
        <f>IF(MAXIFS('単価履歴'!$O:$O,'単価履歴'!$E:$E,E1859,'単価履歴'!$F:$F,F1859)=O1859,"●","")</f>
        <v/>
      </c>
      <c r="O1859" s="346">
        <v>45828.751180555555</v>
      </c>
      <c r="P1859" s="334" t="str">
        <f t="shared" si="4"/>
        <v>中山製鋼:阪和新断Ｂ</v>
      </c>
    </row>
    <row r="1860" ht="15.75" customHeight="1">
      <c r="A1860" s="335" t="s">
        <v>3032</v>
      </c>
      <c r="B1860" s="336">
        <v>45829.0</v>
      </c>
      <c r="C1860" s="335" t="s">
        <v>5</v>
      </c>
      <c r="D1860" s="335" t="s">
        <v>46</v>
      </c>
      <c r="E1860" s="337" t="str">
        <f t="shared" si="1"/>
        <v>中山製鋼:阪和</v>
      </c>
      <c r="F1860" s="338" t="s">
        <v>101</v>
      </c>
      <c r="G1860" s="339" t="str">
        <f t="shared" si="2"/>
        <v>中山製鋼:阪和ＨＳ２</v>
      </c>
      <c r="H1860" s="340">
        <f t="shared" si="3"/>
        <v>43.4</v>
      </c>
      <c r="I1860" s="341">
        <v>-0.5</v>
      </c>
      <c r="J1860" s="332">
        <f>IFERROR(__xludf.DUMMYFUNCTION("IF(IF(COUNTIF(P$2:P1859, P1860)=0, """", INDEX(H$2:H1859,
MAX(FILTER(ROW(H$2:H1859) - ROW(H$2) + 1, P$2:P1859 = P1860))))=""単価"","""",
IF(COUNTIF(P$2:P1859, P1860)=0, """", INDEX(H$2:H1859,
MAX(FILTER(ROW(H$2:H1859) - ROW(H$2) + 1, P$2:P1859 = P1860)))))"),43.9)</f>
        <v>43.9</v>
      </c>
      <c r="N1860" s="335" t="str">
        <f>IF(MAXIFS('単価履歴'!$O:$O,'単価履歴'!$E:$E,E1860,'単価履歴'!$F:$F,F1860)=O1860,"●","")</f>
        <v/>
      </c>
      <c r="O1860" s="346">
        <v>45828.751180555555</v>
      </c>
      <c r="P1860" s="334" t="str">
        <f t="shared" si="4"/>
        <v>中山製鋼:阪和ＨＳ２</v>
      </c>
    </row>
    <row r="1861" ht="15.75" customHeight="1">
      <c r="A1861" s="335" t="s">
        <v>3033</v>
      </c>
      <c r="B1861" s="336">
        <v>45829.0</v>
      </c>
      <c r="C1861" s="335" t="s">
        <v>5</v>
      </c>
      <c r="D1861" s="335" t="s">
        <v>46</v>
      </c>
      <c r="E1861" s="337" t="str">
        <f t="shared" si="1"/>
        <v>中山製鋼:阪和</v>
      </c>
      <c r="F1861" s="338" t="s">
        <v>116</v>
      </c>
      <c r="G1861" s="339" t="str">
        <f t="shared" si="2"/>
        <v>中山製鋼:阪和Ｈ２(特級)</v>
      </c>
      <c r="H1861" s="340">
        <f t="shared" si="3"/>
        <v>36.3</v>
      </c>
      <c r="I1861" s="341">
        <v>-0.5</v>
      </c>
      <c r="J1861" s="332">
        <f>IFERROR(__xludf.DUMMYFUNCTION("IF(IF(COUNTIF(P$2:P1860, P1861)=0, """", INDEX(H$2:H1860,
MAX(FILTER(ROW(H$2:H1860) - ROW(H$2) + 1, P$2:P1860 = P1861))))=""単価"","""",
IF(COUNTIF(P$2:P1860, P1861)=0, """", INDEX(H$2:H1860,
MAX(FILTER(ROW(H$2:H1860) - ROW(H$2) + 1, P$2:P1860 = P1861)))))"),36.8)</f>
        <v>36.8</v>
      </c>
      <c r="N1861" s="335" t="str">
        <f>IF(MAXIFS('単価履歴'!$O:$O,'単価履歴'!$E:$E,E1861,'単価履歴'!$F:$F,F1861)=O1861,"●","")</f>
        <v/>
      </c>
      <c r="O1861" s="346">
        <v>45828.751180555555</v>
      </c>
      <c r="P1861" s="334" t="str">
        <f t="shared" si="4"/>
        <v>中山製鋼:阪和Ｈ２(特級)</v>
      </c>
    </row>
    <row r="1862" ht="15.75" customHeight="1">
      <c r="A1862" s="335" t="s">
        <v>3034</v>
      </c>
      <c r="B1862" s="336">
        <v>45829.0</v>
      </c>
      <c r="C1862" s="335" t="s">
        <v>5</v>
      </c>
      <c r="D1862" s="335" t="s">
        <v>46</v>
      </c>
      <c r="E1862" s="337" t="str">
        <f t="shared" si="1"/>
        <v>中山製鋼:阪和</v>
      </c>
      <c r="F1862" s="338" t="s">
        <v>130</v>
      </c>
      <c r="G1862" s="339" t="str">
        <f t="shared" si="2"/>
        <v>中山製鋼:阪和新断Ａ</v>
      </c>
      <c r="H1862" s="340">
        <f t="shared" si="3"/>
        <v>44.8</v>
      </c>
      <c r="I1862" s="341">
        <v>-0.5</v>
      </c>
      <c r="J1862" s="332">
        <f>IFERROR(__xludf.DUMMYFUNCTION("IF(IF(COUNTIF(P$2:P1861, P1862)=0, """", INDEX(H$2:H1861,
MAX(FILTER(ROW(H$2:H1861) - ROW(H$2) + 1, P$2:P1861 = P1862))))=""単価"","""",
IF(COUNTIF(P$2:P1861, P1862)=0, """", INDEX(H$2:H1861,
MAX(FILTER(ROW(H$2:H1861) - ROW(H$2) + 1, P$2:P1861 = P1862)))))"),45.3)</f>
        <v>45.3</v>
      </c>
      <c r="N1862" s="335" t="str">
        <f>IF(MAXIFS('単価履歴'!$O:$O,'単価履歴'!$E:$E,E1862,'単価履歴'!$F:$F,F1862)=O1862,"●","")</f>
        <v/>
      </c>
      <c r="O1862" s="346">
        <v>45828.751180555555</v>
      </c>
      <c r="P1862" s="334" t="str">
        <f t="shared" si="4"/>
        <v>中山製鋼:阪和新断Ａ</v>
      </c>
    </row>
    <row r="1863" ht="15.75" customHeight="1">
      <c r="A1863" s="335" t="s">
        <v>3035</v>
      </c>
      <c r="B1863" s="336">
        <v>45829.0</v>
      </c>
      <c r="C1863" s="335" t="s">
        <v>5</v>
      </c>
      <c r="D1863" s="335" t="s">
        <v>46</v>
      </c>
      <c r="E1863" s="337" t="str">
        <f t="shared" si="1"/>
        <v>中山製鋼:阪和</v>
      </c>
      <c r="F1863" s="338" t="s">
        <v>1199</v>
      </c>
      <c r="G1863" s="339" t="str">
        <f t="shared" si="2"/>
        <v>中山製鋼:阪和ＨＳ１(単体H1/電特A/HS))</v>
      </c>
      <c r="H1863" s="340">
        <f t="shared" si="3"/>
        <v>0</v>
      </c>
      <c r="I1863" s="341">
        <v>-0.5</v>
      </c>
      <c r="J1863" s="332">
        <f>IFERROR(__xludf.DUMMYFUNCTION("IF(IF(COUNTIF(P$2:P1862, P1863)=0, """", INDEX(H$2:H1862,
MAX(FILTER(ROW(H$2:H1862) - ROW(H$2) + 1, P$2:P1862 = P1863))))=""単価"","""",
IF(COUNTIF(P$2:P1862, P1863)=0, """", INDEX(H$2:H1862,
MAX(FILTER(ROW(H$2:H1862) - ROW(H$2) + 1, P$2:P1862 = P1863)))))"),0.5)</f>
        <v>0.5</v>
      </c>
      <c r="N1863" s="335" t="str">
        <f>IF(MAXIFS('単価履歴'!$O:$O,'単価履歴'!$E:$E,E1863,'単価履歴'!$F:$F,F1863)=O1863,"●","")</f>
        <v/>
      </c>
      <c r="O1863" s="346">
        <v>45828.751180555555</v>
      </c>
      <c r="P1863" s="334" t="str">
        <f t="shared" si="4"/>
        <v>中山製鋼:阪和ＨＳ１(単体H1/電特A/HS))</v>
      </c>
    </row>
    <row r="1864" ht="15.75" customHeight="1">
      <c r="A1864" s="335" t="s">
        <v>3036</v>
      </c>
      <c r="B1864" s="336">
        <v>45829.0</v>
      </c>
      <c r="C1864" s="335" t="s">
        <v>5</v>
      </c>
      <c r="D1864" s="335" t="s">
        <v>47</v>
      </c>
      <c r="E1864" s="337" t="str">
        <f t="shared" si="1"/>
        <v>中山製鋼:豊通</v>
      </c>
      <c r="F1864" s="338" t="s">
        <v>111</v>
      </c>
      <c r="G1864" s="339" t="str">
        <f t="shared" si="2"/>
        <v>中山製鋼:豊通Ｈ１(特A)</v>
      </c>
      <c r="H1864" s="340">
        <f t="shared" si="3"/>
        <v>42.3</v>
      </c>
      <c r="I1864" s="341">
        <v>-0.5</v>
      </c>
      <c r="J1864" s="332">
        <f>IFERROR(__xludf.DUMMYFUNCTION("IF(IF(COUNTIF(P$2:P1863, P1864)=0, """", INDEX(H$2:H1863,
MAX(FILTER(ROW(H$2:H1863) - ROW(H$2) + 1, P$2:P1863 = P1864))))=""単価"","""",
IF(COUNTIF(P$2:P1863, P1864)=0, """", INDEX(H$2:H1863,
MAX(FILTER(ROW(H$2:H1863) - ROW(H$2) + 1, P$2:P1863 = P1864)))))"),42.8)</f>
        <v>42.8</v>
      </c>
      <c r="N1864" s="335" t="str">
        <f>IF(MAXIFS('単価履歴'!$O:$O,'単価履歴'!$E:$E,E1864,'単価履歴'!$F:$F,F1864)=O1864,"●","")</f>
        <v/>
      </c>
      <c r="O1864" s="346">
        <v>45828.751180555555</v>
      </c>
      <c r="P1864" s="334" t="str">
        <f t="shared" si="4"/>
        <v>中山製鋼:豊通Ｈ１(特A)</v>
      </c>
    </row>
    <row r="1865" ht="15.75" customHeight="1">
      <c r="A1865" s="335" t="s">
        <v>3037</v>
      </c>
      <c r="B1865" s="336">
        <v>45829.0</v>
      </c>
      <c r="C1865" s="335" t="s">
        <v>5</v>
      </c>
      <c r="D1865" s="335" t="s">
        <v>47</v>
      </c>
      <c r="E1865" s="337" t="str">
        <f t="shared" si="1"/>
        <v>中山製鋼:豊通</v>
      </c>
      <c r="F1865" s="338" t="s">
        <v>122</v>
      </c>
      <c r="G1865" s="339" t="str">
        <f t="shared" si="2"/>
        <v>中山製鋼:豊通Ｌ１(2級)</v>
      </c>
      <c r="H1865" s="340">
        <f t="shared" si="3"/>
        <v>25.8</v>
      </c>
      <c r="I1865" s="341">
        <v>-0.5</v>
      </c>
      <c r="J1865" s="332">
        <f>IFERROR(__xludf.DUMMYFUNCTION("IF(IF(COUNTIF(P$2:P1864, P1865)=0, """", INDEX(H$2:H1864,
MAX(FILTER(ROW(H$2:H1864) - ROW(H$2) + 1, P$2:P1864 = P1865))))=""単価"","""",
IF(COUNTIF(P$2:P1864, P1865)=0, """", INDEX(H$2:H1864,
MAX(FILTER(ROW(H$2:H1864) - ROW(H$2) + 1, P$2:P1864 = P1865)))))"),26.3)</f>
        <v>26.3</v>
      </c>
      <c r="N1865" s="335" t="str">
        <f>IF(MAXIFS('単価履歴'!$O:$O,'単価履歴'!$E:$E,E1865,'単価履歴'!$F:$F,F1865)=O1865,"●","")</f>
        <v/>
      </c>
      <c r="O1865" s="346">
        <v>45828.751180555555</v>
      </c>
      <c r="P1865" s="334" t="str">
        <f t="shared" si="4"/>
        <v>中山製鋼:豊通Ｌ１(2級)</v>
      </c>
    </row>
    <row r="1866" ht="15.75" customHeight="1">
      <c r="A1866" s="335" t="s">
        <v>3038</v>
      </c>
      <c r="B1866" s="336">
        <v>45829.0</v>
      </c>
      <c r="C1866" s="335" t="s">
        <v>5</v>
      </c>
      <c r="D1866" s="335" t="s">
        <v>47</v>
      </c>
      <c r="E1866" s="337" t="str">
        <f t="shared" si="1"/>
        <v>中山製鋼:豊通</v>
      </c>
      <c r="F1866" s="338" t="s">
        <v>574</v>
      </c>
      <c r="G1866" s="339" t="str">
        <f t="shared" si="2"/>
        <v>中山製鋼:豊通新断Ｃ</v>
      </c>
      <c r="H1866" s="340">
        <f t="shared" si="3"/>
        <v>42.8</v>
      </c>
      <c r="I1866" s="341">
        <v>-0.5</v>
      </c>
      <c r="J1866" s="332">
        <f>IFERROR(__xludf.DUMMYFUNCTION("IF(IF(COUNTIF(P$2:P1865, P1866)=0, """", INDEX(H$2:H1865,
MAX(FILTER(ROW(H$2:H1865) - ROW(H$2) + 1, P$2:P1865 = P1866))))=""単価"","""",
IF(COUNTIF(P$2:P1865, P1866)=0, """", INDEX(H$2:H1865,
MAX(FILTER(ROW(H$2:H1865) - ROW(H$2) + 1, P$2:P1865 = P1866)))))"),43.3)</f>
        <v>43.3</v>
      </c>
      <c r="N1866" s="335" t="str">
        <f>IF(MAXIFS('単価履歴'!$O:$O,'単価履歴'!$E:$E,E1866,'単価履歴'!$F:$F,F1866)=O1866,"●","")</f>
        <v/>
      </c>
      <c r="O1866" s="346">
        <v>45828.751180555555</v>
      </c>
      <c r="P1866" s="334" t="str">
        <f t="shared" si="4"/>
        <v>中山製鋼:豊通新断Ｃ</v>
      </c>
    </row>
    <row r="1867" ht="15.75" customHeight="1">
      <c r="A1867" s="335" t="s">
        <v>3039</v>
      </c>
      <c r="B1867" s="336">
        <v>45829.0</v>
      </c>
      <c r="C1867" s="335" t="s">
        <v>5</v>
      </c>
      <c r="D1867" s="335" t="s">
        <v>47</v>
      </c>
      <c r="E1867" s="337" t="str">
        <f t="shared" si="1"/>
        <v>中山製鋼:豊通</v>
      </c>
      <c r="F1867" s="338" t="s">
        <v>108</v>
      </c>
      <c r="G1867" s="339" t="str">
        <f t="shared" si="2"/>
        <v>中山製鋼:豊通Ｈ１/ｻﾑﾃｯｸ</v>
      </c>
      <c r="H1867" s="340">
        <f t="shared" si="3"/>
        <v>0.5</v>
      </c>
      <c r="I1867" s="341">
        <v>-0.5</v>
      </c>
      <c r="J1867" s="332">
        <f>IFERROR(__xludf.DUMMYFUNCTION("IF(IF(COUNTIF(P$2:P1866, P1867)=0, """", INDEX(H$2:H1866,
MAX(FILTER(ROW(H$2:H1866) - ROW(H$2) + 1, P$2:P1866 = P1867))))=""単価"","""",
IF(COUNTIF(P$2:P1866, P1867)=0, """", INDEX(H$2:H1866,
MAX(FILTER(ROW(H$2:H1866) - ROW(H$2) + 1, P$2:P1866 = P1867)))))"),1.0)</f>
        <v>1</v>
      </c>
      <c r="N1867" s="335" t="str">
        <f>IF(MAXIFS('単価履歴'!$O:$O,'単価履歴'!$E:$E,E1867,'単価履歴'!$F:$F,F1867)=O1867,"●","")</f>
        <v/>
      </c>
      <c r="O1867" s="346">
        <v>45828.751180555555</v>
      </c>
      <c r="P1867" s="334" t="str">
        <f t="shared" si="4"/>
        <v>中山製鋼:豊通Ｈ１/ｻﾑﾃｯｸ</v>
      </c>
    </row>
    <row r="1868" ht="15.75" customHeight="1">
      <c r="A1868" s="335" t="s">
        <v>3040</v>
      </c>
      <c r="B1868" s="336">
        <v>45829.0</v>
      </c>
      <c r="C1868" s="335" t="s">
        <v>5</v>
      </c>
      <c r="D1868" s="335" t="s">
        <v>47</v>
      </c>
      <c r="E1868" s="337" t="str">
        <f t="shared" si="1"/>
        <v>中山製鋼:豊通</v>
      </c>
      <c r="F1868" s="338" t="s">
        <v>119</v>
      </c>
      <c r="G1868" s="339" t="str">
        <f t="shared" si="2"/>
        <v>中山製鋼:豊通Ｈ３(1級)</v>
      </c>
      <c r="H1868" s="340">
        <f t="shared" si="3"/>
        <v>32.3</v>
      </c>
      <c r="I1868" s="341">
        <v>-0.5</v>
      </c>
      <c r="J1868" s="332">
        <f>IFERROR(__xludf.DUMMYFUNCTION("IF(IF(COUNTIF(P$2:P1867, P1868)=0, """", INDEX(H$2:H1867,
MAX(FILTER(ROW(H$2:H1867) - ROW(H$2) + 1, P$2:P1867 = P1868))))=""単価"","""",
IF(COUNTIF(P$2:P1867, P1868)=0, """", INDEX(H$2:H1867,
MAX(FILTER(ROW(H$2:H1867) - ROW(H$2) + 1, P$2:P1867 = P1868)))))"),32.8)</f>
        <v>32.8</v>
      </c>
      <c r="N1868" s="335" t="str">
        <f>IF(MAXIFS('単価履歴'!$O:$O,'単価履歴'!$E:$E,E1868,'単価履歴'!$F:$F,F1868)=O1868,"●","")</f>
        <v/>
      </c>
      <c r="O1868" s="346">
        <v>45828.751180555555</v>
      </c>
      <c r="P1868" s="334" t="str">
        <f t="shared" si="4"/>
        <v>中山製鋼:豊通Ｈ３(1級)</v>
      </c>
    </row>
    <row r="1869" ht="15.75" customHeight="1">
      <c r="A1869" s="335" t="s">
        <v>3041</v>
      </c>
      <c r="B1869" s="336">
        <v>45829.0</v>
      </c>
      <c r="C1869" s="335" t="s">
        <v>5</v>
      </c>
      <c r="D1869" s="335" t="s">
        <v>47</v>
      </c>
      <c r="E1869" s="337" t="str">
        <f t="shared" si="1"/>
        <v>中山製鋼:豊通</v>
      </c>
      <c r="F1869" s="338" t="s">
        <v>131</v>
      </c>
      <c r="G1869" s="339" t="str">
        <f t="shared" si="2"/>
        <v>中山製鋼:豊通新断Ｂ</v>
      </c>
      <c r="H1869" s="340">
        <f t="shared" si="3"/>
        <v>43.8</v>
      </c>
      <c r="I1869" s="341">
        <v>-0.5</v>
      </c>
      <c r="J1869" s="332">
        <f>IFERROR(__xludf.DUMMYFUNCTION("IF(IF(COUNTIF(P$2:P1868, P1869)=0, """", INDEX(H$2:H1868,
MAX(FILTER(ROW(H$2:H1868) - ROW(H$2) + 1, P$2:P1868 = P1869))))=""単価"","""",
IF(COUNTIF(P$2:P1868, P1869)=0, """", INDEX(H$2:H1868,
MAX(FILTER(ROW(H$2:H1868) - ROW(H$2) + 1, P$2:P1868 = P1869)))))"),44.3)</f>
        <v>44.3</v>
      </c>
      <c r="N1869" s="335" t="str">
        <f>IF(MAXIFS('単価履歴'!$O:$O,'単価履歴'!$E:$E,E1869,'単価履歴'!$F:$F,F1869)=O1869,"●","")</f>
        <v/>
      </c>
      <c r="O1869" s="346">
        <v>45828.751180555555</v>
      </c>
      <c r="P1869" s="334" t="str">
        <f t="shared" si="4"/>
        <v>中山製鋼:豊通新断Ｂ</v>
      </c>
    </row>
    <row r="1870" ht="15.75" customHeight="1">
      <c r="A1870" s="335" t="s">
        <v>3042</v>
      </c>
      <c r="B1870" s="336">
        <v>45829.0</v>
      </c>
      <c r="C1870" s="335" t="s">
        <v>5</v>
      </c>
      <c r="D1870" s="335" t="s">
        <v>47</v>
      </c>
      <c r="E1870" s="337" t="str">
        <f t="shared" si="1"/>
        <v>中山製鋼:豊通</v>
      </c>
      <c r="F1870" s="338" t="s">
        <v>101</v>
      </c>
      <c r="G1870" s="339" t="str">
        <f t="shared" si="2"/>
        <v>中山製鋼:豊通ＨＳ２</v>
      </c>
      <c r="H1870" s="340">
        <f t="shared" si="3"/>
        <v>43.3</v>
      </c>
      <c r="I1870" s="341">
        <v>-0.5</v>
      </c>
      <c r="J1870" s="332">
        <f>IFERROR(__xludf.DUMMYFUNCTION("IF(IF(COUNTIF(P$2:P1869, P1870)=0, """", INDEX(H$2:H1869,
MAX(FILTER(ROW(H$2:H1869) - ROW(H$2) + 1, P$2:P1869 = P1870))))=""単価"","""",
IF(COUNTIF(P$2:P1869, P1870)=0, """", INDEX(H$2:H1869,
MAX(FILTER(ROW(H$2:H1869) - ROW(H$2) + 1, P$2:P1869 = P1870)))))"),43.8)</f>
        <v>43.8</v>
      </c>
      <c r="N1870" s="335" t="str">
        <f>IF(MAXIFS('単価履歴'!$O:$O,'単価履歴'!$E:$E,E1870,'単価履歴'!$F:$F,F1870)=O1870,"●","")</f>
        <v/>
      </c>
      <c r="O1870" s="346">
        <v>45828.751180555555</v>
      </c>
      <c r="P1870" s="334" t="str">
        <f t="shared" si="4"/>
        <v>中山製鋼:豊通ＨＳ２</v>
      </c>
    </row>
    <row r="1871" ht="15.75" customHeight="1">
      <c r="A1871" s="335" t="s">
        <v>3043</v>
      </c>
      <c r="B1871" s="336">
        <v>45829.0</v>
      </c>
      <c r="C1871" s="335" t="s">
        <v>5</v>
      </c>
      <c r="D1871" s="335" t="s">
        <v>47</v>
      </c>
      <c r="E1871" s="337" t="str">
        <f t="shared" si="1"/>
        <v>中山製鋼:豊通</v>
      </c>
      <c r="F1871" s="338" t="s">
        <v>116</v>
      </c>
      <c r="G1871" s="339" t="str">
        <f t="shared" si="2"/>
        <v>中山製鋼:豊通Ｈ２(特級)</v>
      </c>
      <c r="H1871" s="340">
        <f t="shared" si="3"/>
        <v>36.3</v>
      </c>
      <c r="I1871" s="341">
        <v>-0.5</v>
      </c>
      <c r="J1871" s="332">
        <f>IFERROR(__xludf.DUMMYFUNCTION("IF(IF(COUNTIF(P$2:P1870, P1871)=0, """", INDEX(H$2:H1870,
MAX(FILTER(ROW(H$2:H1870) - ROW(H$2) + 1, P$2:P1870 = P1871))))=""単価"","""",
IF(COUNTIF(P$2:P1870, P1871)=0, """", INDEX(H$2:H1870,
MAX(FILTER(ROW(H$2:H1870) - ROW(H$2) + 1, P$2:P1870 = P1871)))))"),36.8)</f>
        <v>36.8</v>
      </c>
      <c r="N1871" s="335" t="str">
        <f>IF(MAXIFS('単価履歴'!$O:$O,'単価履歴'!$E:$E,E1871,'単価履歴'!$F:$F,F1871)=O1871,"●","")</f>
        <v/>
      </c>
      <c r="O1871" s="346">
        <v>45828.751180555555</v>
      </c>
      <c r="P1871" s="334" t="str">
        <f t="shared" si="4"/>
        <v>中山製鋼:豊通Ｈ２(特級)</v>
      </c>
    </row>
    <row r="1872" ht="15.75" customHeight="1">
      <c r="A1872" s="335" t="s">
        <v>3044</v>
      </c>
      <c r="B1872" s="336">
        <v>45829.0</v>
      </c>
      <c r="C1872" s="335" t="s">
        <v>5</v>
      </c>
      <c r="D1872" s="335" t="s">
        <v>47</v>
      </c>
      <c r="E1872" s="337" t="str">
        <f t="shared" si="1"/>
        <v>中山製鋼:豊通</v>
      </c>
      <c r="F1872" s="338" t="s">
        <v>130</v>
      </c>
      <c r="G1872" s="339" t="str">
        <f t="shared" si="2"/>
        <v>中山製鋼:豊通新断Ａ</v>
      </c>
      <c r="H1872" s="340">
        <f t="shared" si="3"/>
        <v>44.8</v>
      </c>
      <c r="I1872" s="341">
        <v>-0.5</v>
      </c>
      <c r="J1872" s="332">
        <f>IFERROR(__xludf.DUMMYFUNCTION("IF(IF(COUNTIF(P$2:P1871, P1872)=0, """", INDEX(H$2:H1871,
MAX(FILTER(ROW(H$2:H1871) - ROW(H$2) + 1, P$2:P1871 = P1872))))=""単価"","""",
IF(COUNTIF(P$2:P1871, P1872)=0, """", INDEX(H$2:H1871,
MAX(FILTER(ROW(H$2:H1871) - ROW(H$2) + 1, P$2:P1871 = P1872)))))"),45.3)</f>
        <v>45.3</v>
      </c>
      <c r="N1872" s="335" t="str">
        <f>IF(MAXIFS('単価履歴'!$O:$O,'単価履歴'!$E:$E,E1872,'単価履歴'!$F:$F,F1872)=O1872,"●","")</f>
        <v/>
      </c>
      <c r="O1872" s="346">
        <v>45828.751180555555</v>
      </c>
      <c r="P1872" s="334" t="str">
        <f t="shared" si="4"/>
        <v>中山製鋼:豊通新断Ａ</v>
      </c>
    </row>
    <row r="1873" ht="15.75" customHeight="1">
      <c r="A1873" s="335" t="s">
        <v>3045</v>
      </c>
      <c r="B1873" s="336">
        <v>45829.0</v>
      </c>
      <c r="C1873" s="335" t="s">
        <v>5</v>
      </c>
      <c r="D1873" s="335" t="s">
        <v>47</v>
      </c>
      <c r="E1873" s="337" t="str">
        <f t="shared" si="1"/>
        <v>中山製鋼:豊通</v>
      </c>
      <c r="F1873" s="338" t="s">
        <v>1199</v>
      </c>
      <c r="G1873" s="339" t="str">
        <f t="shared" si="2"/>
        <v>中山製鋼:豊通ＨＳ１(単体H1/電特A/HS))</v>
      </c>
      <c r="H1873" s="340">
        <f t="shared" si="3"/>
        <v>43.3</v>
      </c>
      <c r="I1873" s="341">
        <v>-0.5</v>
      </c>
      <c r="J1873" s="332">
        <f>IFERROR(__xludf.DUMMYFUNCTION("IF(IF(COUNTIF(P$2:P1872, P1873)=0, """", INDEX(H$2:H1872,
MAX(FILTER(ROW(H$2:H1872) - ROW(H$2) + 1, P$2:P1872 = P1873))))=""単価"","""",
IF(COUNTIF(P$2:P1872, P1873)=0, """", INDEX(H$2:H1872,
MAX(FILTER(ROW(H$2:H1872) - ROW(H$2) + 1, P$2:P1872 = P1873)))))"),43.8)</f>
        <v>43.8</v>
      </c>
      <c r="N1873" s="335" t="str">
        <f>IF(MAXIFS('単価履歴'!$O:$O,'単価履歴'!$E:$E,E1873,'単価履歴'!$F:$F,F1873)=O1873,"●","")</f>
        <v/>
      </c>
      <c r="O1873" s="346">
        <v>45828.751180555555</v>
      </c>
      <c r="P1873" s="334" t="str">
        <f t="shared" si="4"/>
        <v>中山製鋼:豊通ＨＳ１(単体H1/電特A/HS))</v>
      </c>
    </row>
    <row r="1874" ht="15.75" customHeight="1">
      <c r="A1874" s="335" t="s">
        <v>3046</v>
      </c>
      <c r="B1874" s="336">
        <v>45829.0</v>
      </c>
      <c r="C1874" s="335" t="s">
        <v>5</v>
      </c>
      <c r="D1874" s="335" t="s">
        <v>1234</v>
      </c>
      <c r="E1874" s="337" t="str">
        <f t="shared" si="1"/>
        <v>中山製鋼:豊通/中川嘉弘商店</v>
      </c>
      <c r="F1874" s="338" t="s">
        <v>130</v>
      </c>
      <c r="G1874" s="339" t="str">
        <f t="shared" si="2"/>
        <v>中山製鋼:豊通/中川嘉弘商店新断Ａ</v>
      </c>
      <c r="H1874" s="340">
        <f t="shared" si="3"/>
        <v>41.8</v>
      </c>
      <c r="I1874" s="341">
        <v>-0.5</v>
      </c>
      <c r="J1874" s="332">
        <f>IFERROR(__xludf.DUMMYFUNCTION("IF(IF(COUNTIF(P$2:P1873, P1874)=0, """", INDEX(H$2:H1873,
MAX(FILTER(ROW(H$2:H1873) - ROW(H$2) + 1, P$2:P1873 = P1874))))=""単価"","""",
IF(COUNTIF(P$2:P1873, P1874)=0, """", INDEX(H$2:H1873,
MAX(FILTER(ROW(H$2:H1873) - ROW(H$2) + 1, P$2:P1873 = P1874)))))"),42.3)</f>
        <v>42.3</v>
      </c>
      <c r="N1874" s="335" t="str">
        <f>IF(MAXIFS('単価履歴'!$O:$O,'単価履歴'!$E:$E,E1874,'単価履歴'!$F:$F,F1874)=O1874,"●","")</f>
        <v/>
      </c>
      <c r="O1874" s="346">
        <v>45828.75146990741</v>
      </c>
      <c r="P1874" s="334" t="str">
        <f t="shared" si="4"/>
        <v>中山製鋼:豊通/中川嘉弘商店新断Ａ</v>
      </c>
    </row>
    <row r="1875" ht="15.75" customHeight="1">
      <c r="A1875" s="335" t="s">
        <v>3047</v>
      </c>
      <c r="B1875" s="336">
        <v>45829.0</v>
      </c>
      <c r="C1875" s="335" t="s">
        <v>5</v>
      </c>
      <c r="D1875" s="335" t="s">
        <v>1232</v>
      </c>
      <c r="E1875" s="337" t="str">
        <f t="shared" si="1"/>
        <v>中山製鋼:豊通/出張商店</v>
      </c>
      <c r="F1875" s="338" t="s">
        <v>130</v>
      </c>
      <c r="G1875" s="339" t="str">
        <f t="shared" si="2"/>
        <v>中山製鋼:豊通/出張商店新断Ａ</v>
      </c>
      <c r="H1875" s="340">
        <f t="shared" si="3"/>
        <v>43.8</v>
      </c>
      <c r="I1875" s="341">
        <v>-0.5</v>
      </c>
      <c r="J1875" s="332">
        <f>IFERROR(__xludf.DUMMYFUNCTION("IF(IF(COUNTIF(P$2:P1874, P1875)=0, """", INDEX(H$2:H1874,
MAX(FILTER(ROW(H$2:H1874) - ROW(H$2) + 1, P$2:P1874 = P1875))))=""単価"","""",
IF(COUNTIF(P$2:P1874, P1875)=0, """", INDEX(H$2:H1874,
MAX(FILTER(ROW(H$2:H1874) - ROW(H$2) + 1, P$2:P1874 = P1875)))))"),44.3)</f>
        <v>44.3</v>
      </c>
      <c r="N1875" s="335" t="str">
        <f>IF(MAXIFS('単価履歴'!$O:$O,'単価履歴'!$E:$E,E1875,'単価履歴'!$F:$F,F1875)=O1875,"●","")</f>
        <v/>
      </c>
      <c r="O1875" s="346">
        <v>45828.75146990741</v>
      </c>
      <c r="P1875" s="334" t="str">
        <f t="shared" si="4"/>
        <v>中山製鋼:豊通/出張商店新断Ａ</v>
      </c>
    </row>
    <row r="1876" ht="15.75" customHeight="1">
      <c r="A1876" s="335" t="s">
        <v>3048</v>
      </c>
      <c r="B1876" s="336">
        <v>45829.0</v>
      </c>
      <c r="C1876" s="335" t="s">
        <v>10</v>
      </c>
      <c r="D1876" s="335" t="s">
        <v>47</v>
      </c>
      <c r="E1876" s="337" t="str">
        <f t="shared" si="1"/>
        <v>岸和田:豊通</v>
      </c>
      <c r="F1876" s="338" t="s">
        <v>111</v>
      </c>
      <c r="G1876" s="339" t="str">
        <f t="shared" si="2"/>
        <v>岸和田:豊通Ｈ１(特A)</v>
      </c>
      <c r="H1876" s="340">
        <f t="shared" si="3"/>
        <v>42</v>
      </c>
      <c r="I1876" s="341">
        <v>-0.5</v>
      </c>
      <c r="J1876" s="332">
        <f>IFERROR(__xludf.DUMMYFUNCTION("IF(IF(COUNTIF(P$2:P1875, P1876)=0, """", INDEX(H$2:H1875,
MAX(FILTER(ROW(H$2:H1875) - ROW(H$2) + 1, P$2:P1875 = P1876))))=""単価"","""",
IF(COUNTIF(P$2:P1875, P1876)=0, """", INDEX(H$2:H1875,
MAX(FILTER(ROW(H$2:H1875) - ROW(H$2) + 1, P$2:P1875 = P1876)))))"),42.5)</f>
        <v>42.5</v>
      </c>
      <c r="N1876" s="335" t="str">
        <f>IF(MAXIFS('単価履歴'!$O:$O,'単価履歴'!$E:$E,E1876,'単価履歴'!$F:$F,F1876)=O1876,"●","")</f>
        <v/>
      </c>
      <c r="O1876" s="346">
        <v>45828.75166666666</v>
      </c>
      <c r="P1876" s="334" t="str">
        <f t="shared" si="4"/>
        <v>岸和田:豊通Ｈ１(特A)</v>
      </c>
    </row>
    <row r="1877" ht="15.75" customHeight="1">
      <c r="A1877" s="335" t="s">
        <v>3049</v>
      </c>
      <c r="B1877" s="336">
        <v>45829.0</v>
      </c>
      <c r="C1877" s="335" t="s">
        <v>10</v>
      </c>
      <c r="D1877" s="335" t="s">
        <v>47</v>
      </c>
      <c r="E1877" s="337" t="str">
        <f t="shared" si="1"/>
        <v>岸和田:豊通</v>
      </c>
      <c r="F1877" s="338" t="s">
        <v>122</v>
      </c>
      <c r="G1877" s="339" t="str">
        <f t="shared" si="2"/>
        <v>岸和田:豊通Ｌ１(2級)</v>
      </c>
      <c r="H1877" s="340">
        <f t="shared" si="3"/>
        <v>39</v>
      </c>
      <c r="I1877" s="341">
        <v>-0.5</v>
      </c>
      <c r="J1877" s="332">
        <f>IFERROR(__xludf.DUMMYFUNCTION("IF(IF(COUNTIF(P$2:P1876, P1877)=0, """", INDEX(H$2:H1876,
MAX(FILTER(ROW(H$2:H1876) - ROW(H$2) + 1, P$2:P1876 = P1877))))=""単価"","""",
IF(COUNTIF(P$2:P1876, P1877)=0, """", INDEX(H$2:H1876,
MAX(FILTER(ROW(H$2:H1876) - ROW(H$2) + 1, P$2:P1876 = P1877)))))"),39.5)</f>
        <v>39.5</v>
      </c>
      <c r="N1877" s="335" t="str">
        <f>IF(MAXIFS('単価履歴'!$O:$O,'単価履歴'!$E:$E,E1877,'単価履歴'!$F:$F,F1877)=O1877,"●","")</f>
        <v/>
      </c>
      <c r="O1877" s="346">
        <v>45828.75166666666</v>
      </c>
      <c r="P1877" s="334" t="str">
        <f t="shared" si="4"/>
        <v>岸和田:豊通Ｌ１(2級)</v>
      </c>
    </row>
    <row r="1878" ht="15.75" customHeight="1">
      <c r="A1878" s="335" t="s">
        <v>3050</v>
      </c>
      <c r="B1878" s="336">
        <v>45829.0</v>
      </c>
      <c r="C1878" s="335" t="s">
        <v>10</v>
      </c>
      <c r="D1878" s="335" t="s">
        <v>47</v>
      </c>
      <c r="E1878" s="337" t="str">
        <f t="shared" si="1"/>
        <v>岸和田:豊通</v>
      </c>
      <c r="F1878" s="338" t="s">
        <v>116</v>
      </c>
      <c r="G1878" s="339" t="str">
        <f t="shared" si="2"/>
        <v>岸和田:豊通Ｈ２(特級)</v>
      </c>
      <c r="H1878" s="340">
        <f t="shared" si="3"/>
        <v>40</v>
      </c>
      <c r="I1878" s="341">
        <v>-0.5</v>
      </c>
      <c r="J1878" s="332">
        <f>IFERROR(__xludf.DUMMYFUNCTION("IF(IF(COUNTIF(P$2:P1877, P1878)=0, """", INDEX(H$2:H1877,
MAX(FILTER(ROW(H$2:H1877) - ROW(H$2) + 1, P$2:P1877 = P1878))))=""単価"","""",
IF(COUNTIF(P$2:P1877, P1878)=0, """", INDEX(H$2:H1877,
MAX(FILTER(ROW(H$2:H1877) - ROW(H$2) + 1, P$2:P1877 = P1878)))))"),40.5)</f>
        <v>40.5</v>
      </c>
      <c r="N1878" s="335" t="str">
        <f>IF(MAXIFS('単価履歴'!$O:$O,'単価履歴'!$E:$E,E1878,'単価履歴'!$F:$F,F1878)=O1878,"●","")</f>
        <v/>
      </c>
      <c r="O1878" s="346">
        <v>45828.75166666666</v>
      </c>
      <c r="P1878" s="334" t="str">
        <f t="shared" si="4"/>
        <v>岸和田:豊通Ｈ２(特級)</v>
      </c>
    </row>
    <row r="1879" ht="15.75" customHeight="1">
      <c r="A1879" s="335" t="s">
        <v>3051</v>
      </c>
      <c r="B1879" s="336">
        <v>45829.0</v>
      </c>
      <c r="C1879" s="335" t="s">
        <v>10</v>
      </c>
      <c r="D1879" s="335" t="s">
        <v>47</v>
      </c>
      <c r="E1879" s="337" t="str">
        <f t="shared" si="1"/>
        <v>岸和田:豊通</v>
      </c>
      <c r="F1879" s="338" t="s">
        <v>119</v>
      </c>
      <c r="G1879" s="339" t="str">
        <f t="shared" si="2"/>
        <v>岸和田:豊通Ｈ３(1級)</v>
      </c>
      <c r="H1879" s="340">
        <f t="shared" si="3"/>
        <v>39.5</v>
      </c>
      <c r="I1879" s="341">
        <v>-0.5</v>
      </c>
      <c r="J1879" s="332">
        <f>IFERROR(__xludf.DUMMYFUNCTION("IF(IF(COUNTIF(P$2:P1878, P1879)=0, """", INDEX(H$2:H1878,
MAX(FILTER(ROW(H$2:H1878) - ROW(H$2) + 1, P$2:P1878 = P1879))))=""単価"","""",
IF(COUNTIF(P$2:P1878, P1879)=0, """", INDEX(H$2:H1878,
MAX(FILTER(ROW(H$2:H1878) - ROW(H$2) + 1, P$2:P1878 = P1879)))))"),40.0)</f>
        <v>40</v>
      </c>
      <c r="N1879" s="335" t="str">
        <f>IF(MAXIFS('単価履歴'!$O:$O,'単価履歴'!$E:$E,E1879,'単価履歴'!$F:$F,F1879)=O1879,"●","")</f>
        <v/>
      </c>
      <c r="O1879" s="346">
        <v>45828.75166666666</v>
      </c>
      <c r="P1879" s="334" t="str">
        <f t="shared" si="4"/>
        <v>岸和田:豊通Ｈ３(1級)</v>
      </c>
    </row>
    <row r="1880" ht="15.75" customHeight="1">
      <c r="A1880" s="335" t="s">
        <v>3052</v>
      </c>
      <c r="B1880" s="336">
        <v>45829.0</v>
      </c>
      <c r="C1880" s="335" t="s">
        <v>10</v>
      </c>
      <c r="D1880" s="335" t="s">
        <v>47</v>
      </c>
      <c r="E1880" s="337" t="str">
        <f t="shared" si="1"/>
        <v>岸和田:豊通</v>
      </c>
      <c r="F1880" s="338" t="s">
        <v>154</v>
      </c>
      <c r="G1880" s="339" t="str">
        <f t="shared" si="2"/>
        <v>岸和田:豊通ＣＰ Ａ</v>
      </c>
      <c r="H1880" s="340">
        <f t="shared" si="3"/>
        <v>42.2</v>
      </c>
      <c r="I1880" s="341">
        <v>-0.5</v>
      </c>
      <c r="J1880" s="332">
        <f>IFERROR(__xludf.DUMMYFUNCTION("IF(IF(COUNTIF(P$2:P1879, P1880)=0, """", INDEX(H$2:H1879,
MAX(FILTER(ROW(H$2:H1879) - ROW(H$2) + 1, P$2:P1879 = P1880))))=""単価"","""",
IF(COUNTIF(P$2:P1879, P1880)=0, """", INDEX(H$2:H1879,
MAX(FILTER(ROW(H$2:H1879) - ROW(H$2) + 1, P$2:P1879 = P1880)))))"),42.7)</f>
        <v>42.7</v>
      </c>
      <c r="N1880" s="335" t="str">
        <f>IF(MAXIFS('単価履歴'!$O:$O,'単価履歴'!$E:$E,E1880,'単価履歴'!$F:$F,F1880)=O1880,"●","")</f>
        <v/>
      </c>
      <c r="O1880" s="346">
        <v>45828.75166666666</v>
      </c>
      <c r="P1880" s="334" t="str">
        <f t="shared" si="4"/>
        <v>岸和田:豊通ＣＰ Ａ</v>
      </c>
    </row>
    <row r="1881" ht="15.75" customHeight="1">
      <c r="A1881" s="335" t="s">
        <v>3053</v>
      </c>
      <c r="B1881" s="336">
        <v>45829.0</v>
      </c>
      <c r="C1881" s="335" t="s">
        <v>22</v>
      </c>
      <c r="D1881" s="335" t="s">
        <v>47</v>
      </c>
      <c r="E1881" s="337" t="str">
        <f t="shared" si="1"/>
        <v>栗本鐵工:豊通</v>
      </c>
      <c r="F1881" s="338" t="s">
        <v>101</v>
      </c>
      <c r="G1881" s="339" t="str">
        <f t="shared" si="2"/>
        <v>栗本鐵工:豊通ＨＳ２</v>
      </c>
      <c r="H1881" s="340">
        <f t="shared" si="3"/>
        <v>46.5</v>
      </c>
      <c r="I1881" s="341">
        <v>-0.5</v>
      </c>
      <c r="J1881" s="332">
        <f>IFERROR(__xludf.DUMMYFUNCTION("IF(IF(COUNTIF(P$2:P1880, P1881)=0, """", INDEX(H$2:H1880,
MAX(FILTER(ROW(H$2:H1880) - ROW(H$2) + 1, P$2:P1880 = P1881))))=""単価"","""",
IF(COUNTIF(P$2:P1880, P1881)=0, """", INDEX(H$2:H1880,
MAX(FILTER(ROW(H$2:H1880) - ROW(H$2) + 1, P$2:P1880 = P1881)))))"),47.0)</f>
        <v>47</v>
      </c>
      <c r="N1881" s="335" t="str">
        <f>IF(MAXIFS('単価履歴'!$O:$O,'単価履歴'!$E:$E,E1881,'単価履歴'!$F:$F,F1881)=O1881,"●","")</f>
        <v/>
      </c>
      <c r="O1881" s="346">
        <v>45828.7608449074</v>
      </c>
      <c r="P1881" s="334" t="str">
        <f t="shared" si="4"/>
        <v>栗本鐵工:豊通ＨＳ２</v>
      </c>
    </row>
    <row r="1882" ht="15.75" customHeight="1">
      <c r="A1882" s="335" t="s">
        <v>3054</v>
      </c>
      <c r="B1882" s="336">
        <v>45829.0</v>
      </c>
      <c r="C1882" s="335" t="s">
        <v>22</v>
      </c>
      <c r="D1882" s="335" t="s">
        <v>47</v>
      </c>
      <c r="E1882" s="337" t="str">
        <f t="shared" si="1"/>
        <v>栗本鐵工:豊通</v>
      </c>
      <c r="F1882" s="338" t="s">
        <v>105</v>
      </c>
      <c r="G1882" s="339" t="str">
        <f t="shared" si="2"/>
        <v>栗本鐵工:豊通ＨＳ３</v>
      </c>
      <c r="H1882" s="340">
        <f t="shared" si="3"/>
        <v>45.6</v>
      </c>
      <c r="I1882" s="341">
        <v>-0.5</v>
      </c>
      <c r="J1882" s="332">
        <f>IFERROR(__xludf.DUMMYFUNCTION("IF(IF(COUNTIF(P$2:P1881, P1882)=0, """", INDEX(H$2:H1881,
MAX(FILTER(ROW(H$2:H1881) - ROW(H$2) + 1, P$2:P1881 = P1882))))=""単価"","""",
IF(COUNTIF(P$2:P1881, P1882)=0, """", INDEX(H$2:H1881,
MAX(FILTER(ROW(H$2:H1881) - ROW(H$2) + 1, P$2:P1881 = P1882)))))"),46.1)</f>
        <v>46.1</v>
      </c>
      <c r="N1882" s="335" t="str">
        <f>IF(MAXIFS('単価履歴'!$O:$O,'単価履歴'!$E:$E,E1882,'単価履歴'!$F:$F,F1882)=O1882,"●","")</f>
        <v/>
      </c>
      <c r="O1882" s="346">
        <v>45828.7608449074</v>
      </c>
      <c r="P1882" s="334" t="str">
        <f t="shared" si="4"/>
        <v>栗本鐵工:豊通ＨＳ３</v>
      </c>
    </row>
    <row r="1883" ht="15.75" customHeight="1">
      <c r="A1883" s="335" t="s">
        <v>3055</v>
      </c>
      <c r="B1883" s="336">
        <v>45829.0</v>
      </c>
      <c r="C1883" s="335" t="s">
        <v>22</v>
      </c>
      <c r="D1883" s="335" t="s">
        <v>47</v>
      </c>
      <c r="E1883" s="337" t="str">
        <f t="shared" si="1"/>
        <v>栗本鐵工:豊通</v>
      </c>
      <c r="F1883" s="338" t="s">
        <v>1199</v>
      </c>
      <c r="G1883" s="339" t="str">
        <f t="shared" si="2"/>
        <v>栗本鐵工:豊通ＨＳ１(単体H1/電特A/HS))</v>
      </c>
      <c r="H1883" s="340">
        <f t="shared" si="3"/>
        <v>46.8</v>
      </c>
      <c r="I1883" s="341">
        <v>-0.5</v>
      </c>
      <c r="J1883" s="332">
        <f>IFERROR(__xludf.DUMMYFUNCTION("IF(IF(COUNTIF(P$2:P1882, P1883)=0, """", INDEX(H$2:H1882,
MAX(FILTER(ROW(H$2:H1882) - ROW(H$2) + 1, P$2:P1882 = P1883))))=""単価"","""",
IF(COUNTIF(P$2:P1882, P1883)=0, """", INDEX(H$2:H1882,
MAX(FILTER(ROW(H$2:H1882) - ROW(H$2) + 1, P$2:P1882 = P1883)))))"),47.3)</f>
        <v>47.3</v>
      </c>
      <c r="N1883" s="335" t="str">
        <f>IF(MAXIFS('単価履歴'!$O:$O,'単価履歴'!$E:$E,E1883,'単価履歴'!$F:$F,F1883)=O1883,"●","")</f>
        <v/>
      </c>
      <c r="O1883" s="346">
        <v>45828.7608449074</v>
      </c>
      <c r="P1883" s="334" t="str">
        <f t="shared" si="4"/>
        <v>栗本鐵工:豊通ＨＳ１(単体H1/電特A/HS))</v>
      </c>
    </row>
    <row r="1884" ht="15.75" customHeight="1">
      <c r="A1884" s="335" t="s">
        <v>3056</v>
      </c>
      <c r="B1884" s="336">
        <v>45829.0</v>
      </c>
      <c r="C1884" s="335" t="s">
        <v>22</v>
      </c>
      <c r="D1884" s="335" t="s">
        <v>47</v>
      </c>
      <c r="E1884" s="337" t="str">
        <f t="shared" si="1"/>
        <v>栗本鐵工:豊通</v>
      </c>
      <c r="F1884" s="338" t="s">
        <v>577</v>
      </c>
      <c r="G1884" s="339" t="str">
        <f t="shared" si="2"/>
        <v>栗本鐵工:豊通鋳物・ﾀﾞｸﾀｲﾙ</v>
      </c>
      <c r="H1884" s="340">
        <f t="shared" si="3"/>
        <v>45.4</v>
      </c>
      <c r="I1884" s="341">
        <v>45.4</v>
      </c>
      <c r="J1884" s="332" t="str">
        <f>IFERROR(__xludf.DUMMYFUNCTION("IF(IF(COUNTIF(P$2:P1883, P1884)=0, """", INDEX(H$2:H1883,
MAX(FILTER(ROW(H$2:H1883) - ROW(H$2) + 1, P$2:P1883 = P1884))))=""単価"","""",
IF(COUNTIF(P$2:P1883, P1884)=0, """", INDEX(H$2:H1883,
MAX(FILTER(ROW(H$2:H1883) - ROW(H$2) + 1, P$2:P1883 = P1884)))))"),"")</f>
        <v/>
      </c>
      <c r="N1884" s="335" t="str">
        <f>IF(MAXIFS('単価履歴'!$O:$O,'単価履歴'!$E:$E,E1884,'単価履歴'!$F:$F,F1884)=O1884,"●","")</f>
        <v/>
      </c>
      <c r="O1884" s="346">
        <v>45829.6353125</v>
      </c>
      <c r="P1884" s="334" t="str">
        <f t="shared" si="4"/>
        <v>栗本鐵工:豊通鋳物・ﾀﾞｸﾀｲﾙ</v>
      </c>
    </row>
    <row r="1885" ht="15.75" customHeight="1">
      <c r="A1885" s="335" t="s">
        <v>3057</v>
      </c>
      <c r="B1885" s="336">
        <v>45832.0</v>
      </c>
      <c r="C1885" s="335" t="s">
        <v>31</v>
      </c>
      <c r="D1885" s="335" t="s">
        <v>64</v>
      </c>
      <c r="E1885" s="337" t="str">
        <f t="shared" si="1"/>
        <v>泉北中谷:ナベ双葉</v>
      </c>
      <c r="F1885" s="338" t="s">
        <v>1199</v>
      </c>
      <c r="G1885" s="339" t="str">
        <f t="shared" si="2"/>
        <v>泉北中谷:ナベ双葉ＨＳ１(単体H1/電特A/HS))</v>
      </c>
      <c r="H1885" s="340">
        <f t="shared" si="3"/>
        <v>43</v>
      </c>
      <c r="I1885" s="341">
        <v>0.5</v>
      </c>
      <c r="J1885" s="332">
        <f>IFERROR(__xludf.DUMMYFUNCTION("IF(IF(COUNTIF(P$2:P1884, P1885)=0, """", INDEX(H$2:H1884,
MAX(FILTER(ROW(H$2:H1884) - ROW(H$2) + 1, P$2:P1884 = P1885))))=""単価"","""",
IF(COUNTIF(P$2:P1884, P1885)=0, """", INDEX(H$2:H1884,
MAX(FILTER(ROW(H$2:H1884) - ROW(H$2) + 1, P$2:P1884 = P1885)))))"),42.5)</f>
        <v>42.5</v>
      </c>
      <c r="N1885" s="335" t="str">
        <f>IF(MAXIFS('単価履歴'!$O:$O,'単価履歴'!$E:$E,E1885,'単価履歴'!$F:$F,F1885)=O1885,"●","")</f>
        <v/>
      </c>
      <c r="O1885" s="346">
        <v>45832.27476851852</v>
      </c>
      <c r="P1885" s="334" t="str">
        <f t="shared" si="4"/>
        <v>泉北中谷:ナベ双葉ＨＳ１(単体H1/電特A/HS))</v>
      </c>
    </row>
    <row r="1886" ht="15.75" customHeight="1">
      <c r="A1886" s="335" t="s">
        <v>3058</v>
      </c>
      <c r="B1886" s="336">
        <v>45832.0</v>
      </c>
      <c r="C1886" s="335" t="s">
        <v>31</v>
      </c>
      <c r="D1886" s="335" t="s">
        <v>64</v>
      </c>
      <c r="E1886" s="337" t="str">
        <f t="shared" si="1"/>
        <v>泉北中谷:ナベ双葉</v>
      </c>
      <c r="F1886" s="338" t="s">
        <v>130</v>
      </c>
      <c r="G1886" s="339" t="str">
        <f t="shared" si="2"/>
        <v>泉北中谷:ナベ双葉新断Ａ</v>
      </c>
      <c r="H1886" s="340">
        <f t="shared" si="3"/>
        <v>42.5</v>
      </c>
      <c r="I1886" s="341">
        <v>-0.8</v>
      </c>
      <c r="J1886" s="332">
        <f>IFERROR(__xludf.DUMMYFUNCTION("IF(IF(COUNTIF(P$2:P1885, P1886)=0, """", INDEX(H$2:H1885,
MAX(FILTER(ROW(H$2:H1885) - ROW(H$2) + 1, P$2:P1885 = P1886))))=""単価"","""",
IF(COUNTIF(P$2:P1885, P1886)=0, """", INDEX(H$2:H1885,
MAX(FILTER(ROW(H$2:H1885) - ROW(H$2) + 1, P$2:P1885 = P1886)))))"),43.3)</f>
        <v>43.3</v>
      </c>
      <c r="N1886" s="335" t="str">
        <f>IF(MAXIFS('単価履歴'!$O:$O,'単価履歴'!$E:$E,E1886,'単価履歴'!$F:$F,F1886)=O1886,"●","")</f>
        <v/>
      </c>
      <c r="O1886" s="346">
        <v>45832.27508101852</v>
      </c>
      <c r="P1886" s="334" t="str">
        <f t="shared" si="4"/>
        <v>泉北中谷:ナベ双葉新断Ａ</v>
      </c>
    </row>
    <row r="1887" ht="15.75" customHeight="1">
      <c r="A1887" s="335" t="s">
        <v>3059</v>
      </c>
      <c r="B1887" s="336">
        <v>45836.0</v>
      </c>
      <c r="C1887" s="335" t="s">
        <v>536</v>
      </c>
      <c r="D1887" s="335" t="s">
        <v>77</v>
      </c>
      <c r="E1887" s="337" t="str">
        <f t="shared" si="1"/>
        <v>東鐵田原:直納</v>
      </c>
      <c r="F1887" s="338" t="s">
        <v>1199</v>
      </c>
      <c r="G1887" s="339" t="str">
        <f t="shared" si="2"/>
        <v>東鐵田原:直納ＨＳ１(単体H1/電特A/HS))</v>
      </c>
      <c r="H1887" s="340">
        <f t="shared" si="3"/>
        <v>43.5</v>
      </c>
      <c r="I1887" s="341">
        <v>-0.5</v>
      </c>
      <c r="J1887" s="332">
        <f>IFERROR(__xludf.DUMMYFUNCTION("IF(IF(COUNTIF(P$2:P1886, P1887)=0, """", INDEX(H$2:H1886,
MAX(FILTER(ROW(H$2:H1886) - ROW(H$2) + 1, P$2:P1886 = P1887))))=""単価"","""",
IF(COUNTIF(P$2:P1886, P1887)=0, """", INDEX(H$2:H1886,
MAX(FILTER(ROW(H$2:H1886) - ROW(H$2) + 1, P$2:P1886 = P1887)))))"),44.0)</f>
        <v>44</v>
      </c>
      <c r="N1887" s="335" t="str">
        <f>IF(MAXIFS('単価履歴'!$O:$O,'単価履歴'!$E:$E,E1887,'単価履歴'!$F:$F,F1887)=O1887,"●","")</f>
        <v/>
      </c>
      <c r="O1887" s="346">
        <v>45836.269583333335</v>
      </c>
      <c r="P1887" s="334" t="str">
        <f t="shared" si="4"/>
        <v>東鐵田原:直納ＨＳ１(単体H1/電特A/HS))</v>
      </c>
    </row>
    <row r="1888" ht="15.75" customHeight="1">
      <c r="A1888" s="335" t="s">
        <v>3060</v>
      </c>
      <c r="B1888" s="336">
        <v>45836.0</v>
      </c>
      <c r="C1888" s="335" t="s">
        <v>536</v>
      </c>
      <c r="D1888" s="335" t="s">
        <v>77</v>
      </c>
      <c r="E1888" s="337" t="str">
        <f t="shared" si="1"/>
        <v>東鐵田原:直納</v>
      </c>
      <c r="F1888" s="338" t="s">
        <v>111</v>
      </c>
      <c r="G1888" s="339" t="str">
        <f t="shared" si="2"/>
        <v>東鐵田原:直納Ｈ１(特A)</v>
      </c>
      <c r="H1888" s="340">
        <f t="shared" si="3"/>
        <v>42.7</v>
      </c>
      <c r="I1888" s="341">
        <v>-0.5</v>
      </c>
      <c r="J1888" s="332">
        <f>IFERROR(__xludf.DUMMYFUNCTION("IF(IF(COUNTIF(P$2:P1887, P1888)=0, """", INDEX(H$2:H1887,
MAX(FILTER(ROW(H$2:H1887) - ROW(H$2) + 1, P$2:P1887 = P1888))))=""単価"","""",
IF(COUNTIF(P$2:P1887, P1888)=0, """", INDEX(H$2:H1887,
MAX(FILTER(ROW(H$2:H1887) - ROW(H$2) + 1, P$2:P1887 = P1888)))))"),43.2)</f>
        <v>43.2</v>
      </c>
      <c r="N1888" s="335" t="str">
        <f>IF(MAXIFS('単価履歴'!$O:$O,'単価履歴'!$E:$E,E1888,'単価履歴'!$F:$F,F1888)=O1888,"●","")</f>
        <v/>
      </c>
      <c r="O1888" s="346">
        <v>45836.269583333335</v>
      </c>
      <c r="P1888" s="334" t="str">
        <f t="shared" si="4"/>
        <v>東鐵田原:直納Ｈ１(特A)</v>
      </c>
    </row>
    <row r="1889" ht="15.75" customHeight="1">
      <c r="A1889" s="335" t="s">
        <v>3061</v>
      </c>
      <c r="B1889" s="336">
        <v>45836.0</v>
      </c>
      <c r="C1889" s="335" t="s">
        <v>536</v>
      </c>
      <c r="D1889" s="335" t="s">
        <v>77</v>
      </c>
      <c r="E1889" s="337" t="str">
        <f t="shared" si="1"/>
        <v>東鐵田原:直納</v>
      </c>
      <c r="F1889" s="338" t="s">
        <v>116</v>
      </c>
      <c r="G1889" s="339" t="str">
        <f t="shared" si="2"/>
        <v>東鐵田原:直納Ｈ２(特級)</v>
      </c>
      <c r="H1889" s="340">
        <f t="shared" si="3"/>
        <v>41</v>
      </c>
      <c r="I1889" s="341">
        <v>-0.5</v>
      </c>
      <c r="J1889" s="332">
        <f>IFERROR(__xludf.DUMMYFUNCTION("IF(IF(COUNTIF(P$2:P1888, P1889)=0, """", INDEX(H$2:H1888,
MAX(FILTER(ROW(H$2:H1888) - ROW(H$2) + 1, P$2:P1888 = P1889))))=""単価"","""",
IF(COUNTIF(P$2:P1888, P1889)=0, """", INDEX(H$2:H1888,
MAX(FILTER(ROW(H$2:H1888) - ROW(H$2) + 1, P$2:P1888 = P1889)))))"),41.5)</f>
        <v>41.5</v>
      </c>
      <c r="N1889" s="335" t="str">
        <f>IF(MAXIFS('単価履歴'!$O:$O,'単価履歴'!$E:$E,E1889,'単価履歴'!$F:$F,F1889)=O1889,"●","")</f>
        <v/>
      </c>
      <c r="O1889" s="346">
        <v>45836.269583333335</v>
      </c>
      <c r="P1889" s="334" t="str">
        <f t="shared" si="4"/>
        <v>東鐵田原:直納Ｈ２(特級)</v>
      </c>
    </row>
    <row r="1890" ht="15.75" customHeight="1">
      <c r="A1890" s="335" t="s">
        <v>3062</v>
      </c>
      <c r="B1890" s="336">
        <v>45836.0</v>
      </c>
      <c r="C1890" s="335" t="s">
        <v>536</v>
      </c>
      <c r="D1890" s="335" t="s">
        <v>77</v>
      </c>
      <c r="E1890" s="337" t="str">
        <f t="shared" si="1"/>
        <v>東鐵田原:直納</v>
      </c>
      <c r="F1890" s="338" t="s">
        <v>119</v>
      </c>
      <c r="G1890" s="339" t="str">
        <f t="shared" si="2"/>
        <v>東鐵田原:直納Ｈ３(1級)</v>
      </c>
      <c r="H1890" s="340">
        <f t="shared" si="3"/>
        <v>40.5</v>
      </c>
      <c r="I1890" s="341">
        <v>-0.5</v>
      </c>
      <c r="J1890" s="332">
        <f>IFERROR(__xludf.DUMMYFUNCTION("IF(IF(COUNTIF(P$2:P1889, P1890)=0, """", INDEX(H$2:H1889,
MAX(FILTER(ROW(H$2:H1889) - ROW(H$2) + 1, P$2:P1889 = P1890))))=""単価"","""",
IF(COUNTIF(P$2:P1889, P1890)=0, """", INDEX(H$2:H1889,
MAX(FILTER(ROW(H$2:H1889) - ROW(H$2) + 1, P$2:P1889 = P1890)))))"),41.0)</f>
        <v>41</v>
      </c>
      <c r="N1890" s="335" t="str">
        <f>IF(MAXIFS('単価履歴'!$O:$O,'単価履歴'!$E:$E,E1890,'単価履歴'!$F:$F,F1890)=O1890,"●","")</f>
        <v/>
      </c>
      <c r="O1890" s="346">
        <v>45836.269583333335</v>
      </c>
      <c r="P1890" s="334" t="str">
        <f t="shared" si="4"/>
        <v>東鐵田原:直納Ｈ３(1級)</v>
      </c>
    </row>
    <row r="1891" ht="15.75" customHeight="1">
      <c r="A1891" s="335" t="s">
        <v>3063</v>
      </c>
      <c r="B1891" s="336">
        <v>45836.0</v>
      </c>
      <c r="C1891" s="335" t="s">
        <v>536</v>
      </c>
      <c r="D1891" s="335" t="s">
        <v>77</v>
      </c>
      <c r="E1891" s="337" t="str">
        <f t="shared" si="1"/>
        <v>東鐵田原:直納</v>
      </c>
      <c r="F1891" s="338" t="s">
        <v>122</v>
      </c>
      <c r="G1891" s="339" t="str">
        <f t="shared" si="2"/>
        <v>東鐵田原:直納Ｌ１(2級)</v>
      </c>
      <c r="H1891" s="340">
        <f t="shared" si="3"/>
        <v>39</v>
      </c>
      <c r="I1891" s="341">
        <v>-0.5</v>
      </c>
      <c r="J1891" s="332">
        <f>IFERROR(__xludf.DUMMYFUNCTION("IF(IF(COUNTIF(P$2:P1890, P1891)=0, """", INDEX(H$2:H1890,
MAX(FILTER(ROW(H$2:H1890) - ROW(H$2) + 1, P$2:P1890 = P1891))))=""単価"","""",
IF(COUNTIF(P$2:P1890, P1891)=0, """", INDEX(H$2:H1890,
MAX(FILTER(ROW(H$2:H1890) - ROW(H$2) + 1, P$2:P1890 = P1891)))))"),39.5)</f>
        <v>39.5</v>
      </c>
      <c r="N1891" s="335" t="str">
        <f>IF(MAXIFS('単価履歴'!$O:$O,'単価履歴'!$E:$E,E1891,'単価履歴'!$F:$F,F1891)=O1891,"●","")</f>
        <v/>
      </c>
      <c r="O1891" s="346">
        <v>45836.269583333335</v>
      </c>
      <c r="P1891" s="334" t="str">
        <f t="shared" si="4"/>
        <v>東鐵田原:直納Ｌ１(2級)</v>
      </c>
    </row>
    <row r="1892" ht="15.75" customHeight="1">
      <c r="A1892" s="335" t="s">
        <v>3064</v>
      </c>
      <c r="B1892" s="336">
        <v>45836.0</v>
      </c>
      <c r="C1892" s="335" t="s">
        <v>536</v>
      </c>
      <c r="D1892" s="335" t="s">
        <v>77</v>
      </c>
      <c r="E1892" s="337" t="str">
        <f t="shared" si="1"/>
        <v>東鐵田原:直納</v>
      </c>
      <c r="F1892" s="338" t="s">
        <v>573</v>
      </c>
      <c r="G1892" s="339" t="str">
        <f t="shared" si="2"/>
        <v>東鐵田原:直納Ｌ２(H4･級外･L1ﾊﾞﾗ)</v>
      </c>
      <c r="H1892" s="340">
        <f t="shared" si="3"/>
        <v>36</v>
      </c>
      <c r="I1892" s="341">
        <v>-0.5</v>
      </c>
      <c r="J1892" s="332">
        <f>IFERROR(__xludf.DUMMYFUNCTION("IF(IF(COUNTIF(P$2:P1891, P1892)=0, """", INDEX(H$2:H1891,
MAX(FILTER(ROW(H$2:H1891) - ROW(H$2) + 1, P$2:P1891 = P1892))))=""単価"","""",
IF(COUNTIF(P$2:P1891, P1892)=0, """", INDEX(H$2:H1891,
MAX(FILTER(ROW(H$2:H1891) - ROW(H$2) + 1, P$2:P1891 = P1892)))))"),36.5)</f>
        <v>36.5</v>
      </c>
      <c r="N1892" s="335" t="str">
        <f>IF(MAXIFS('単価履歴'!$O:$O,'単価履歴'!$E:$E,E1892,'単価履歴'!$F:$F,F1892)=O1892,"●","")</f>
        <v/>
      </c>
      <c r="O1892" s="346">
        <v>45836.269583333335</v>
      </c>
      <c r="P1892" s="334" t="str">
        <f t="shared" si="4"/>
        <v>東鐵田原:直納Ｌ２(H4･級外･L1ﾊﾞﾗ)</v>
      </c>
    </row>
    <row r="1893" ht="15.75" customHeight="1">
      <c r="A1893" s="335" t="s">
        <v>3065</v>
      </c>
      <c r="B1893" s="336">
        <v>45836.0</v>
      </c>
      <c r="C1893" s="335" t="s">
        <v>536</v>
      </c>
      <c r="D1893" s="335" t="s">
        <v>77</v>
      </c>
      <c r="E1893" s="337" t="str">
        <f t="shared" si="1"/>
        <v>東鐵田原:直納</v>
      </c>
      <c r="F1893" s="338" t="s">
        <v>130</v>
      </c>
      <c r="G1893" s="339" t="str">
        <f t="shared" si="2"/>
        <v>東鐵田原:直納新断Ａ</v>
      </c>
      <c r="H1893" s="340">
        <f t="shared" si="3"/>
        <v>43</v>
      </c>
      <c r="I1893" s="341">
        <v>-0.5</v>
      </c>
      <c r="J1893" s="332">
        <f>IFERROR(__xludf.DUMMYFUNCTION("IF(IF(COUNTIF(P$2:P1892, P1893)=0, """", INDEX(H$2:H1892,
MAX(FILTER(ROW(H$2:H1892) - ROW(H$2) + 1, P$2:P1892 = P1893))))=""単価"","""",
IF(COUNTIF(P$2:P1892, P1893)=0, """", INDEX(H$2:H1892,
MAX(FILTER(ROW(H$2:H1892) - ROW(H$2) + 1, P$2:P1892 = P1893)))))"),43.5)</f>
        <v>43.5</v>
      </c>
      <c r="N1893" s="335" t="str">
        <f>IF(MAXIFS('単価履歴'!$O:$O,'単価履歴'!$E:$E,E1893,'単価履歴'!$F:$F,F1893)=O1893,"●","")</f>
        <v/>
      </c>
      <c r="O1893" s="346">
        <v>45836.269583333335</v>
      </c>
      <c r="P1893" s="334" t="str">
        <f t="shared" si="4"/>
        <v>東鐵田原:直納新断Ａ</v>
      </c>
    </row>
    <row r="1894" ht="15.75" customHeight="1">
      <c r="A1894" s="335" t="s">
        <v>3066</v>
      </c>
      <c r="B1894" s="336">
        <v>45836.0</v>
      </c>
      <c r="C1894" s="335" t="s">
        <v>536</v>
      </c>
      <c r="D1894" s="335" t="s">
        <v>77</v>
      </c>
      <c r="E1894" s="337" t="str">
        <f t="shared" si="1"/>
        <v>東鐵田原:直納</v>
      </c>
      <c r="F1894" s="338" t="s">
        <v>131</v>
      </c>
      <c r="G1894" s="339" t="str">
        <f t="shared" si="2"/>
        <v>東鐵田原:直納新断Ｂ</v>
      </c>
      <c r="H1894" s="340">
        <f t="shared" si="3"/>
        <v>43</v>
      </c>
      <c r="I1894" s="341">
        <v>-0.5</v>
      </c>
      <c r="J1894" s="332">
        <f>IFERROR(__xludf.DUMMYFUNCTION("IF(IF(COUNTIF(P$2:P1893, P1894)=0, """", INDEX(H$2:H1893,
MAX(FILTER(ROW(H$2:H1893) - ROW(H$2) + 1, P$2:P1893 = P1894))))=""単価"","""",
IF(COUNTIF(P$2:P1893, P1894)=0, """", INDEX(H$2:H1893,
MAX(FILTER(ROW(H$2:H1893) - ROW(H$2) + 1, P$2:P1893 = P1894)))))"),43.5)</f>
        <v>43.5</v>
      </c>
      <c r="N1894" s="335" t="str">
        <f>IF(MAXIFS('単価履歴'!$O:$O,'単価履歴'!$E:$E,E1894,'単価履歴'!$F:$F,F1894)=O1894,"●","")</f>
        <v/>
      </c>
      <c r="O1894" s="346">
        <v>45836.269583333335</v>
      </c>
      <c r="P1894" s="334" t="str">
        <f t="shared" si="4"/>
        <v>東鐵田原:直納新断Ｂ</v>
      </c>
    </row>
    <row r="1895" ht="15.75" customHeight="1">
      <c r="A1895" s="335" t="s">
        <v>3067</v>
      </c>
      <c r="B1895" s="336">
        <v>45836.0</v>
      </c>
      <c r="C1895" s="335" t="s">
        <v>536</v>
      </c>
      <c r="D1895" s="335" t="s">
        <v>77</v>
      </c>
      <c r="E1895" s="337" t="str">
        <f t="shared" si="1"/>
        <v>東鐵田原:直納</v>
      </c>
      <c r="F1895" s="338" t="s">
        <v>575</v>
      </c>
      <c r="G1895" s="339" t="str">
        <f t="shared" si="2"/>
        <v>東鐵田原:直納鋼ダライＡ</v>
      </c>
      <c r="H1895" s="340">
        <f t="shared" si="3"/>
        <v>39.5</v>
      </c>
      <c r="I1895" s="341">
        <v>-0.5</v>
      </c>
      <c r="J1895" s="332">
        <f>IFERROR(__xludf.DUMMYFUNCTION("IF(IF(COUNTIF(P$2:P1894, P1895)=0, """", INDEX(H$2:H1894,
MAX(FILTER(ROW(H$2:H1894) - ROW(H$2) + 1, P$2:P1894 = P1895))))=""単価"","""",
IF(COUNTIF(P$2:P1894, P1895)=0, """", INDEX(H$2:H1894,
MAX(FILTER(ROW(H$2:H1894) - ROW(H$2) + 1, P$2:P1894 = P1895)))))"),40.0)</f>
        <v>40</v>
      </c>
      <c r="N1895" s="335" t="str">
        <f>IF(MAXIFS('単価履歴'!$O:$O,'単価履歴'!$E:$E,E1895,'単価履歴'!$F:$F,F1895)=O1895,"●","")</f>
        <v/>
      </c>
      <c r="O1895" s="346">
        <v>45836.269583333335</v>
      </c>
      <c r="P1895" s="334" t="str">
        <f t="shared" si="4"/>
        <v>東鐵田原:直納鋼ダライＡ</v>
      </c>
    </row>
    <row r="1896" ht="15.75" customHeight="1">
      <c r="A1896" s="335" t="s">
        <v>3068</v>
      </c>
      <c r="B1896" s="336">
        <v>45836.0</v>
      </c>
      <c r="C1896" s="335" t="s">
        <v>536</v>
      </c>
      <c r="D1896" s="335" t="s">
        <v>77</v>
      </c>
      <c r="E1896" s="337" t="str">
        <f t="shared" si="1"/>
        <v>東鐵田原:直納</v>
      </c>
      <c r="F1896" s="338" t="s">
        <v>145</v>
      </c>
      <c r="G1896" s="339" t="str">
        <f t="shared" si="2"/>
        <v>東鐵田原:直納シュレＡ</v>
      </c>
      <c r="H1896" s="340">
        <f t="shared" si="3"/>
        <v>42</v>
      </c>
      <c r="I1896" s="341">
        <v>-0.5</v>
      </c>
      <c r="J1896" s="332">
        <f>IFERROR(__xludf.DUMMYFUNCTION("IF(IF(COUNTIF(P$2:P1895, P1896)=0, """", INDEX(H$2:H1895,
MAX(FILTER(ROW(H$2:H1895) - ROW(H$2) + 1, P$2:P1895 = P1896))))=""単価"","""",
IF(COUNTIF(P$2:P1895, P1896)=0, """", INDEX(H$2:H1895,
MAX(FILTER(ROW(H$2:H1895) - ROW(H$2) + 1, P$2:P1895 = P1896)))))"),42.5)</f>
        <v>42.5</v>
      </c>
      <c r="N1896" s="335" t="str">
        <f>IF(MAXIFS('単価履歴'!$O:$O,'単価履歴'!$E:$E,E1896,'単価履歴'!$F:$F,F1896)=O1896,"●","")</f>
        <v/>
      </c>
      <c r="O1896" s="346">
        <v>45836.269583333335</v>
      </c>
      <c r="P1896" s="334" t="str">
        <f t="shared" si="4"/>
        <v>東鐵田原:直納シュレＡ</v>
      </c>
    </row>
    <row r="1897" ht="15.75" customHeight="1">
      <c r="A1897" s="335" t="s">
        <v>3069</v>
      </c>
      <c r="B1897" s="336">
        <v>45836.0</v>
      </c>
      <c r="C1897" s="335" t="s">
        <v>536</v>
      </c>
      <c r="D1897" s="335" t="s">
        <v>77</v>
      </c>
      <c r="E1897" s="337" t="str">
        <f t="shared" si="1"/>
        <v>東鐵田原:直納</v>
      </c>
      <c r="F1897" s="338" t="s">
        <v>151</v>
      </c>
      <c r="G1897" s="339" t="str">
        <f t="shared" si="2"/>
        <v>東鐵田原:直納シュレＣ</v>
      </c>
      <c r="H1897" s="340">
        <f t="shared" si="3"/>
        <v>41.5</v>
      </c>
      <c r="I1897" s="341">
        <v>-0.5</v>
      </c>
      <c r="J1897" s="332">
        <f>IFERROR(__xludf.DUMMYFUNCTION("IF(IF(COUNTIF(P$2:P1896, P1897)=0, """", INDEX(H$2:H1896,
MAX(FILTER(ROW(H$2:H1896) - ROW(H$2) + 1, P$2:P1896 = P1897))))=""単価"","""",
IF(COUNTIF(P$2:P1896, P1897)=0, """", INDEX(H$2:H1896,
MAX(FILTER(ROW(H$2:H1896) - ROW(H$2) + 1, P$2:P1896 = P1897)))))"),42.0)</f>
        <v>42</v>
      </c>
      <c r="N1897" s="335" t="str">
        <f>IF(MAXIFS('単価履歴'!$O:$O,'単価履歴'!$E:$E,E1897,'単価履歴'!$F:$F,F1897)=O1897,"●","")</f>
        <v/>
      </c>
      <c r="O1897" s="346">
        <v>45836.269583333335</v>
      </c>
      <c r="P1897" s="334" t="str">
        <f t="shared" si="4"/>
        <v>東鐵田原:直納シュレＣ</v>
      </c>
    </row>
    <row r="1898" ht="15.75" customHeight="1">
      <c r="A1898" s="335" t="s">
        <v>3070</v>
      </c>
      <c r="B1898" s="336">
        <v>45836.0</v>
      </c>
      <c r="C1898" s="335" t="s">
        <v>536</v>
      </c>
      <c r="D1898" s="335" t="s">
        <v>77</v>
      </c>
      <c r="E1898" s="337" t="str">
        <f t="shared" si="1"/>
        <v>東鐵田原:直納</v>
      </c>
      <c r="F1898" s="338" t="s">
        <v>154</v>
      </c>
      <c r="G1898" s="339" t="str">
        <f t="shared" si="2"/>
        <v>東鐵田原:直納ＣＰ Ａ</v>
      </c>
      <c r="H1898" s="340">
        <f t="shared" si="3"/>
        <v>39.5</v>
      </c>
      <c r="I1898" s="341">
        <v>-0.5</v>
      </c>
      <c r="J1898" s="332">
        <f>IFERROR(__xludf.DUMMYFUNCTION("IF(IF(COUNTIF(P$2:P1897, P1898)=0, """", INDEX(H$2:H1897,
MAX(FILTER(ROW(H$2:H1897) - ROW(H$2) + 1, P$2:P1897 = P1898))))=""単価"","""",
IF(COUNTIF(P$2:P1897, P1898)=0, """", INDEX(H$2:H1897,
MAX(FILTER(ROW(H$2:H1897) - ROW(H$2) + 1, P$2:P1897 = P1898)))))"),40.0)</f>
        <v>40</v>
      </c>
      <c r="N1898" s="335" t="str">
        <f>IF(MAXIFS('単価履歴'!$O:$O,'単価履歴'!$E:$E,E1898,'単価履歴'!$F:$F,F1898)=O1898,"●","")</f>
        <v/>
      </c>
      <c r="O1898" s="346">
        <v>45836.269583333335</v>
      </c>
      <c r="P1898" s="334" t="str">
        <f t="shared" si="4"/>
        <v>東鐵田原:直納ＣＰ Ａ</v>
      </c>
    </row>
    <row r="1899" ht="15.75" customHeight="1">
      <c r="A1899" s="335" t="s">
        <v>3071</v>
      </c>
      <c r="B1899" s="336">
        <v>45836.0</v>
      </c>
      <c r="C1899" s="335" t="s">
        <v>19</v>
      </c>
      <c r="D1899" s="335" t="s">
        <v>61</v>
      </c>
      <c r="E1899" s="337" t="str">
        <f t="shared" si="1"/>
        <v>トピー工業:ＭＭ</v>
      </c>
      <c r="F1899" s="338" t="s">
        <v>116</v>
      </c>
      <c r="G1899" s="339" t="str">
        <f t="shared" si="2"/>
        <v>トピー工業:ＭＭＨ２(特級)</v>
      </c>
      <c r="H1899" s="340">
        <f t="shared" si="3"/>
        <v>34.5</v>
      </c>
      <c r="I1899" s="341">
        <v>-0.5</v>
      </c>
      <c r="J1899" s="332">
        <f>IFERROR(__xludf.DUMMYFUNCTION("IF(IF(COUNTIF(P$2:P1898, P1899)=0, """", INDEX(H$2:H1898,
MAX(FILTER(ROW(H$2:H1898) - ROW(H$2) + 1, P$2:P1898 = P1899))))=""単価"","""",
IF(COUNTIF(P$2:P1898, P1899)=0, """", INDEX(H$2:H1898,
MAX(FILTER(ROW(H$2:H1898) - ROW(H$2) + 1, P$2:P1898 = P1899)))))"),35.0)</f>
        <v>35</v>
      </c>
      <c r="N1899" s="335" t="str">
        <f>IF(MAXIFS('単価履歴'!$O:$O,'単価履歴'!$E:$E,E1899,'単価履歴'!$F:$F,F1899)=O1899,"●","")</f>
        <v/>
      </c>
      <c r="O1899" s="346">
        <v>45836.26988425926</v>
      </c>
      <c r="P1899" s="334" t="str">
        <f t="shared" si="4"/>
        <v>トピー工業:ＭＭＨ２(特級)</v>
      </c>
    </row>
    <row r="1900" ht="15.75" customHeight="1">
      <c r="A1900" s="335" t="s">
        <v>3072</v>
      </c>
      <c r="B1900" s="336">
        <v>45836.0</v>
      </c>
      <c r="C1900" s="335" t="s">
        <v>37</v>
      </c>
      <c r="D1900" s="335" t="s">
        <v>48</v>
      </c>
      <c r="E1900" s="337" t="str">
        <f t="shared" si="1"/>
        <v>共英名古屋:ナベ</v>
      </c>
      <c r="F1900" s="338" t="s">
        <v>111</v>
      </c>
      <c r="G1900" s="339" t="str">
        <f t="shared" si="2"/>
        <v>共英名古屋:ナベＨ１(特A)</v>
      </c>
      <c r="H1900" s="340">
        <f t="shared" si="3"/>
        <v>42.2</v>
      </c>
      <c r="I1900" s="341">
        <v>-0.5</v>
      </c>
      <c r="J1900" s="332">
        <f>IFERROR(__xludf.DUMMYFUNCTION("IF(IF(COUNTIF(P$2:P1899, P1900)=0, """", INDEX(H$2:H1899,
MAX(FILTER(ROW(H$2:H1899) - ROW(H$2) + 1, P$2:P1899 = P1900))))=""単価"","""",
IF(COUNTIF(P$2:P1899, P1900)=0, """", INDEX(H$2:H1899,
MAX(FILTER(ROW(H$2:H1899) - ROW(H$2) + 1, P$2:P1899 = P1900)))))"),42.7)</f>
        <v>42.7</v>
      </c>
      <c r="N1900" s="335" t="str">
        <f>IF(MAXIFS('単価履歴'!$O:$O,'単価履歴'!$E:$E,E1900,'単価履歴'!$F:$F,F1900)=O1900,"●","")</f>
        <v/>
      </c>
      <c r="O1900" s="346">
        <v>45836.270150462966</v>
      </c>
      <c r="P1900" s="334" t="str">
        <f t="shared" si="4"/>
        <v>共英名古屋:ナベＨ１(特A)</v>
      </c>
    </row>
    <row r="1901" ht="15.75" customHeight="1">
      <c r="A1901" s="335" t="s">
        <v>3073</v>
      </c>
      <c r="B1901" s="336">
        <v>45836.0</v>
      </c>
      <c r="C1901" s="335" t="s">
        <v>37</v>
      </c>
      <c r="D1901" s="335" t="s">
        <v>48</v>
      </c>
      <c r="E1901" s="337" t="str">
        <f t="shared" si="1"/>
        <v>共英名古屋:ナベ</v>
      </c>
      <c r="F1901" s="338" t="s">
        <v>116</v>
      </c>
      <c r="G1901" s="339" t="str">
        <f t="shared" si="2"/>
        <v>共英名古屋:ナベＨ２(特級)</v>
      </c>
      <c r="H1901" s="340">
        <f t="shared" si="3"/>
        <v>39.5</v>
      </c>
      <c r="I1901" s="341">
        <v>-0.5</v>
      </c>
      <c r="J1901" s="332">
        <f>IFERROR(__xludf.DUMMYFUNCTION("IF(IF(COUNTIF(P$2:P1900, P1901)=0, """", INDEX(H$2:H1900,
MAX(FILTER(ROW(H$2:H1900) - ROW(H$2) + 1, P$2:P1900 = P1901))))=""単価"","""",
IF(COUNTIF(P$2:P1900, P1901)=0, """", INDEX(H$2:H1900,
MAX(FILTER(ROW(H$2:H1900) - ROW(H$2) + 1, P$2:P1900 = P1901)))))"),40.0)</f>
        <v>40</v>
      </c>
      <c r="N1901" s="335" t="str">
        <f>IF(MAXIFS('単価履歴'!$O:$O,'単価履歴'!$E:$E,E1901,'単価履歴'!$F:$F,F1901)=O1901,"●","")</f>
        <v/>
      </c>
      <c r="O1901" s="346">
        <v>45836.270150462966</v>
      </c>
      <c r="P1901" s="334" t="str">
        <f t="shared" si="4"/>
        <v>共英名古屋:ナベＨ２(特級)</v>
      </c>
    </row>
    <row r="1902" ht="15.75" customHeight="1">
      <c r="A1902" s="335" t="s">
        <v>3074</v>
      </c>
      <c r="B1902" s="336">
        <v>45836.0</v>
      </c>
      <c r="C1902" s="335" t="s">
        <v>37</v>
      </c>
      <c r="D1902" s="335" t="s">
        <v>48</v>
      </c>
      <c r="E1902" s="337" t="str">
        <f t="shared" si="1"/>
        <v>共英名古屋:ナベ</v>
      </c>
      <c r="F1902" s="338" t="s">
        <v>119</v>
      </c>
      <c r="G1902" s="339" t="str">
        <f t="shared" si="2"/>
        <v>共英名古屋:ナベＨ３(1級)</v>
      </c>
      <c r="H1902" s="340">
        <f t="shared" si="3"/>
        <v>38.5</v>
      </c>
      <c r="I1902" s="341">
        <v>-0.5</v>
      </c>
      <c r="J1902" s="332">
        <f>IFERROR(__xludf.DUMMYFUNCTION("IF(IF(COUNTIF(P$2:P1901, P1902)=0, """", INDEX(H$2:H1901,
MAX(FILTER(ROW(H$2:H1901) - ROW(H$2) + 1, P$2:P1901 = P1902))))=""単価"","""",
IF(COUNTIF(P$2:P1901, P1902)=0, """", INDEX(H$2:H1901,
MAX(FILTER(ROW(H$2:H1901) - ROW(H$2) + 1, P$2:P1901 = P1902)))))"),39.0)</f>
        <v>39</v>
      </c>
      <c r="N1902" s="335" t="str">
        <f>IF(MAXIFS('単価履歴'!$O:$O,'単価履歴'!$E:$E,E1902,'単価履歴'!$F:$F,F1902)=O1902,"●","")</f>
        <v/>
      </c>
      <c r="O1902" s="346">
        <v>45836.270150462966</v>
      </c>
      <c r="P1902" s="334" t="str">
        <f t="shared" si="4"/>
        <v>共英名古屋:ナベＨ３(1級)</v>
      </c>
    </row>
    <row r="1903" ht="15.75" customHeight="1">
      <c r="A1903" s="335" t="s">
        <v>3075</v>
      </c>
      <c r="B1903" s="336">
        <v>45836.0</v>
      </c>
      <c r="C1903" s="335" t="s">
        <v>37</v>
      </c>
      <c r="D1903" s="335" t="s">
        <v>48</v>
      </c>
      <c r="E1903" s="337" t="str">
        <f t="shared" si="1"/>
        <v>共英名古屋:ナベ</v>
      </c>
      <c r="F1903" s="338" t="s">
        <v>122</v>
      </c>
      <c r="G1903" s="339" t="str">
        <f t="shared" si="2"/>
        <v>共英名古屋:ナベＬ１(2級)</v>
      </c>
      <c r="H1903" s="340">
        <f t="shared" si="3"/>
        <v>35.5</v>
      </c>
      <c r="I1903" s="341">
        <v>-0.5</v>
      </c>
      <c r="J1903" s="332">
        <f>IFERROR(__xludf.DUMMYFUNCTION("IF(IF(COUNTIF(P$2:P1902, P1903)=0, """", INDEX(H$2:H1902,
MAX(FILTER(ROW(H$2:H1902) - ROW(H$2) + 1, P$2:P1902 = P1903))))=""単価"","""",
IF(COUNTIF(P$2:P1902, P1903)=0, """", INDEX(H$2:H1902,
MAX(FILTER(ROW(H$2:H1902) - ROW(H$2) + 1, P$2:P1902 = P1903)))))"),36.0)</f>
        <v>36</v>
      </c>
      <c r="N1903" s="335" t="str">
        <f>IF(MAXIFS('単価履歴'!$O:$O,'単価履歴'!$E:$E,E1903,'単価履歴'!$F:$F,F1903)=O1903,"●","")</f>
        <v/>
      </c>
      <c r="O1903" s="346">
        <v>45836.270150462966</v>
      </c>
      <c r="P1903" s="334" t="str">
        <f t="shared" si="4"/>
        <v>共英名古屋:ナベＬ１(2級)</v>
      </c>
    </row>
    <row r="1904" ht="15.75" customHeight="1">
      <c r="A1904" s="335" t="s">
        <v>3076</v>
      </c>
      <c r="B1904" s="336">
        <v>45836.0</v>
      </c>
      <c r="C1904" s="335" t="s">
        <v>14</v>
      </c>
      <c r="D1904" s="335" t="s">
        <v>48</v>
      </c>
      <c r="E1904" s="337" t="str">
        <f t="shared" si="1"/>
        <v>愛知:ナベ</v>
      </c>
      <c r="F1904" s="338" t="s">
        <v>1199</v>
      </c>
      <c r="G1904" s="339" t="str">
        <f t="shared" si="2"/>
        <v>愛知:ナベＨＳ１(単体H1/電特A/HS))</v>
      </c>
      <c r="H1904" s="340">
        <f t="shared" si="3"/>
        <v>41</v>
      </c>
      <c r="I1904" s="341">
        <v>-0.5</v>
      </c>
      <c r="J1904" s="332">
        <f>IFERROR(__xludf.DUMMYFUNCTION("IF(IF(COUNTIF(P$2:P1903, P1904)=0, """", INDEX(H$2:H1903,
MAX(FILTER(ROW(H$2:H1903) - ROW(H$2) + 1, P$2:P1903 = P1904))))=""単価"","""",
IF(COUNTIF(P$2:P1903, P1904)=0, """", INDEX(H$2:H1903,
MAX(FILTER(ROW(H$2:H1903) - ROW(H$2) + 1, P$2:P1903 = P1904)))))"),41.5)</f>
        <v>41.5</v>
      </c>
      <c r="N1904" s="335" t="str">
        <f>IF(MAXIFS('単価履歴'!$O:$O,'単価履歴'!$E:$E,E1904,'単価履歴'!$F:$F,F1904)=O1904,"●","")</f>
        <v/>
      </c>
      <c r="O1904" s="346">
        <v>45836.271875</v>
      </c>
      <c r="P1904" s="334" t="str">
        <f t="shared" si="4"/>
        <v>愛知:ナベＨＳ１(単体H1/電特A/HS))</v>
      </c>
    </row>
    <row r="1905" ht="15.75" customHeight="1">
      <c r="A1905" s="335" t="s">
        <v>3077</v>
      </c>
      <c r="B1905" s="336">
        <v>45836.0</v>
      </c>
      <c r="C1905" s="335" t="s">
        <v>14</v>
      </c>
      <c r="D1905" s="335" t="s">
        <v>48</v>
      </c>
      <c r="E1905" s="337" t="str">
        <f t="shared" si="1"/>
        <v>愛知:ナベ</v>
      </c>
      <c r="F1905" s="338" t="s">
        <v>101</v>
      </c>
      <c r="G1905" s="339" t="str">
        <f t="shared" si="2"/>
        <v>愛知:ナベＨＳ２</v>
      </c>
      <c r="H1905" s="340">
        <f t="shared" si="3"/>
        <v>40.5</v>
      </c>
      <c r="I1905" s="341">
        <v>-0.5</v>
      </c>
      <c r="J1905" s="332">
        <f>IFERROR(__xludf.DUMMYFUNCTION("IF(IF(COUNTIF(P$2:P1904, P1905)=0, """", INDEX(H$2:H1904,
MAX(FILTER(ROW(H$2:H1904) - ROW(H$2) + 1, P$2:P1904 = P1905))))=""単価"","""",
IF(COUNTIF(P$2:P1904, P1905)=0, """", INDEX(H$2:H1904,
MAX(FILTER(ROW(H$2:H1904) - ROW(H$2) + 1, P$2:P1904 = P1905)))))"),41.0)</f>
        <v>41</v>
      </c>
      <c r="N1905" s="335" t="str">
        <f>IF(MAXIFS('単価履歴'!$O:$O,'単価履歴'!$E:$E,E1905,'単価履歴'!$F:$F,F1905)=O1905,"●","")</f>
        <v/>
      </c>
      <c r="O1905" s="346">
        <v>45836.271875</v>
      </c>
      <c r="P1905" s="334" t="str">
        <f t="shared" si="4"/>
        <v>愛知:ナベＨＳ２</v>
      </c>
    </row>
    <row r="1906" ht="15.75" customHeight="1">
      <c r="A1906" s="335" t="s">
        <v>3078</v>
      </c>
      <c r="B1906" s="336">
        <v>45836.0</v>
      </c>
      <c r="C1906" s="335" t="s">
        <v>14</v>
      </c>
      <c r="D1906" s="335" t="s">
        <v>48</v>
      </c>
      <c r="E1906" s="337" t="str">
        <f t="shared" si="1"/>
        <v>愛知:ナベ</v>
      </c>
      <c r="F1906" s="338" t="s">
        <v>111</v>
      </c>
      <c r="G1906" s="339" t="str">
        <f t="shared" si="2"/>
        <v>愛知:ナベＨ１(特A)</v>
      </c>
      <c r="H1906" s="340">
        <f t="shared" si="3"/>
        <v>40</v>
      </c>
      <c r="I1906" s="341">
        <v>-0.5</v>
      </c>
      <c r="J1906" s="332">
        <f>IFERROR(__xludf.DUMMYFUNCTION("IF(IF(COUNTIF(P$2:P1905, P1906)=0, """", INDEX(H$2:H1905,
MAX(FILTER(ROW(H$2:H1905) - ROW(H$2) + 1, P$2:P1905 = P1906))))=""単価"","""",
IF(COUNTIF(P$2:P1905, P1906)=0, """", INDEX(H$2:H1905,
MAX(FILTER(ROW(H$2:H1905) - ROW(H$2) + 1, P$2:P1905 = P1906)))))"),40.5)</f>
        <v>40.5</v>
      </c>
      <c r="N1906" s="335" t="str">
        <f>IF(MAXIFS('単価履歴'!$O:$O,'単価履歴'!$E:$E,E1906,'単価履歴'!$F:$F,F1906)=O1906,"●","")</f>
        <v/>
      </c>
      <c r="O1906" s="346">
        <v>45836.271875</v>
      </c>
      <c r="P1906" s="334" t="str">
        <f t="shared" si="4"/>
        <v>愛知:ナベＨ１(特A)</v>
      </c>
    </row>
    <row r="1907" ht="15.75" customHeight="1">
      <c r="A1907" s="335" t="s">
        <v>3079</v>
      </c>
      <c r="B1907" s="336">
        <v>45836.0</v>
      </c>
      <c r="C1907" s="335" t="s">
        <v>14</v>
      </c>
      <c r="D1907" s="335" t="s">
        <v>48</v>
      </c>
      <c r="E1907" s="337" t="str">
        <f t="shared" si="1"/>
        <v>愛知:ナベ</v>
      </c>
      <c r="F1907" s="338" t="s">
        <v>116</v>
      </c>
      <c r="G1907" s="339" t="str">
        <f t="shared" si="2"/>
        <v>愛知:ナベＨ２(特級)</v>
      </c>
      <c r="H1907" s="340">
        <f t="shared" si="3"/>
        <v>38.4</v>
      </c>
      <c r="I1907" s="341">
        <v>-0.5</v>
      </c>
      <c r="J1907" s="332">
        <f>IFERROR(__xludf.DUMMYFUNCTION("IF(IF(COUNTIF(P$2:P1906, P1907)=0, """", INDEX(H$2:H1906,
MAX(FILTER(ROW(H$2:H1906) - ROW(H$2) + 1, P$2:P1906 = P1907))))=""単価"","""",
IF(COUNTIF(P$2:P1906, P1907)=0, """", INDEX(H$2:H1906,
MAX(FILTER(ROW(H$2:H1906) - ROW(H$2) + 1, P$2:P1906 = P1907)))))"),38.9)</f>
        <v>38.9</v>
      </c>
      <c r="N1907" s="335" t="str">
        <f>IF(MAXIFS('単価履歴'!$O:$O,'単価履歴'!$E:$E,E1907,'単価履歴'!$F:$F,F1907)=O1907,"●","")</f>
        <v/>
      </c>
      <c r="O1907" s="346">
        <v>45836.271875</v>
      </c>
      <c r="P1907" s="334" t="str">
        <f t="shared" si="4"/>
        <v>愛知:ナベＨ２(特級)</v>
      </c>
    </row>
    <row r="1908" ht="15.75" customHeight="1">
      <c r="A1908" s="335" t="s">
        <v>3080</v>
      </c>
      <c r="B1908" s="336">
        <v>45836.0</v>
      </c>
      <c r="C1908" s="335" t="s">
        <v>14</v>
      </c>
      <c r="D1908" s="335" t="s">
        <v>48</v>
      </c>
      <c r="E1908" s="337" t="str">
        <f t="shared" si="1"/>
        <v>愛知:ナベ</v>
      </c>
      <c r="F1908" s="338" t="s">
        <v>119</v>
      </c>
      <c r="G1908" s="339" t="str">
        <f t="shared" si="2"/>
        <v>愛知:ナベＨ３(1級)</v>
      </c>
      <c r="H1908" s="340">
        <f t="shared" si="3"/>
        <v>37.4</v>
      </c>
      <c r="I1908" s="341">
        <v>-0.5</v>
      </c>
      <c r="J1908" s="332">
        <f>IFERROR(__xludf.DUMMYFUNCTION("IF(IF(COUNTIF(P$2:P1907, P1908)=0, """", INDEX(H$2:H1907,
MAX(FILTER(ROW(H$2:H1907) - ROW(H$2) + 1, P$2:P1907 = P1908))))=""単価"","""",
IF(COUNTIF(P$2:P1907, P1908)=0, """", INDEX(H$2:H1907,
MAX(FILTER(ROW(H$2:H1907) - ROW(H$2) + 1, P$2:P1907 = P1908)))))"),37.9)</f>
        <v>37.9</v>
      </c>
      <c r="N1908" s="335" t="str">
        <f>IF(MAXIFS('単価履歴'!$O:$O,'単価履歴'!$E:$E,E1908,'単価履歴'!$F:$F,F1908)=O1908,"●","")</f>
        <v/>
      </c>
      <c r="O1908" s="346">
        <v>45836.271875</v>
      </c>
      <c r="P1908" s="334" t="str">
        <f t="shared" si="4"/>
        <v>愛知:ナベＨ３(1級)</v>
      </c>
    </row>
    <row r="1909" ht="15.75" customHeight="1">
      <c r="A1909" s="335" t="s">
        <v>3081</v>
      </c>
      <c r="B1909" s="336">
        <v>45836.0</v>
      </c>
      <c r="C1909" s="335" t="s">
        <v>14</v>
      </c>
      <c r="D1909" s="335" t="s">
        <v>48</v>
      </c>
      <c r="E1909" s="337" t="str">
        <f t="shared" si="1"/>
        <v>愛知:ナベ</v>
      </c>
      <c r="F1909" s="338" t="s">
        <v>573</v>
      </c>
      <c r="G1909" s="339" t="str">
        <f t="shared" si="2"/>
        <v>愛知:ナベＬ２(H4･級外･L1ﾊﾞﾗ)</v>
      </c>
      <c r="H1909" s="340">
        <f t="shared" si="3"/>
        <v>33.4</v>
      </c>
      <c r="I1909" s="341">
        <v>-0.5</v>
      </c>
      <c r="J1909" s="332">
        <f>IFERROR(__xludf.DUMMYFUNCTION("IF(IF(COUNTIF(P$2:P1908, P1909)=0, """", INDEX(H$2:H1908,
MAX(FILTER(ROW(H$2:H1908) - ROW(H$2) + 1, P$2:P1908 = P1909))))=""単価"","""",
IF(COUNTIF(P$2:P1908, P1909)=0, """", INDEX(H$2:H1908,
MAX(FILTER(ROW(H$2:H1908) - ROW(H$2) + 1, P$2:P1908 = P1909)))))"),33.9)</f>
        <v>33.9</v>
      </c>
      <c r="N1909" s="335" t="str">
        <f>IF(MAXIFS('単価履歴'!$O:$O,'単価履歴'!$E:$E,E1909,'単価履歴'!$F:$F,F1909)=O1909,"●","")</f>
        <v/>
      </c>
      <c r="O1909" s="346">
        <v>45836.271875</v>
      </c>
      <c r="P1909" s="334" t="str">
        <f t="shared" si="4"/>
        <v>愛知:ナベＬ２(H4･級外･L1ﾊﾞﾗ)</v>
      </c>
    </row>
    <row r="1910" ht="15.75" customHeight="1">
      <c r="A1910" s="335" t="s">
        <v>3082</v>
      </c>
      <c r="B1910" s="336">
        <v>45836.0</v>
      </c>
      <c r="C1910" s="335" t="s">
        <v>14</v>
      </c>
      <c r="D1910" s="335" t="s">
        <v>48</v>
      </c>
      <c r="E1910" s="337" t="str">
        <f t="shared" si="1"/>
        <v>愛知:ナベ</v>
      </c>
      <c r="F1910" s="338" t="s">
        <v>575</v>
      </c>
      <c r="G1910" s="339" t="str">
        <f t="shared" si="2"/>
        <v>愛知:ナベ鋼ダライＡ</v>
      </c>
      <c r="H1910" s="340">
        <f t="shared" si="3"/>
        <v>0.5</v>
      </c>
      <c r="I1910" s="341">
        <v>-0.5</v>
      </c>
      <c r="J1910" s="332">
        <f>IFERROR(__xludf.DUMMYFUNCTION("IF(IF(COUNTIF(P$2:P1909, P1910)=0, """", INDEX(H$2:H1909,
MAX(FILTER(ROW(H$2:H1909) - ROW(H$2) + 1, P$2:P1909 = P1910))))=""単価"","""",
IF(COUNTIF(P$2:P1909, P1910)=0, """", INDEX(H$2:H1909,
MAX(FILTER(ROW(H$2:H1909) - ROW(H$2) + 1, P$2:P1909 = P1910)))))"),1.0)</f>
        <v>1</v>
      </c>
      <c r="N1910" s="335" t="str">
        <f>IF(MAXIFS('単価履歴'!$O:$O,'単価履歴'!$E:$E,E1910,'単価履歴'!$F:$F,F1910)=O1910,"●","")</f>
        <v/>
      </c>
      <c r="O1910" s="346">
        <v>45836.271875</v>
      </c>
      <c r="P1910" s="334" t="str">
        <f t="shared" si="4"/>
        <v>愛知:ナベ鋼ダライＡ</v>
      </c>
    </row>
    <row r="1911" ht="15.75" customHeight="1">
      <c r="A1911" s="335" t="s">
        <v>3083</v>
      </c>
      <c r="B1911" s="336">
        <v>45836.0</v>
      </c>
      <c r="C1911" s="335" t="s">
        <v>13</v>
      </c>
      <c r="D1911" s="335" t="s">
        <v>49</v>
      </c>
      <c r="E1911" s="337" t="str">
        <f t="shared" si="1"/>
        <v>ｸﾎﾞﾀ:伊藤忠</v>
      </c>
      <c r="F1911" s="338" t="s">
        <v>130</v>
      </c>
      <c r="G1911" s="339" t="str">
        <f t="shared" si="2"/>
        <v>ｸﾎﾞﾀ:伊藤忠新断Ａ</v>
      </c>
      <c r="H1911" s="340">
        <f t="shared" si="3"/>
        <v>47.2</v>
      </c>
      <c r="I1911" s="341">
        <v>-0.5</v>
      </c>
      <c r="J1911" s="332">
        <f>IFERROR(__xludf.DUMMYFUNCTION("IF(IF(COUNTIF(P$2:P1910, P1911)=0, """", INDEX(H$2:H1910,
MAX(FILTER(ROW(H$2:H1910) - ROW(H$2) + 1, P$2:P1910 = P1911))))=""単価"","""",
IF(COUNTIF(P$2:P1910, P1911)=0, """", INDEX(H$2:H1910,
MAX(FILTER(ROW(H$2:H1910) - ROW(H$2) + 1, P$2:P1910 = P1911)))))"),47.7)</f>
        <v>47.7</v>
      </c>
      <c r="N1911" s="335" t="str">
        <f>IF(MAXIFS('単価履歴'!$O:$O,'単価履歴'!$E:$E,E1911,'単価履歴'!$F:$F,F1911)=O1911,"●","")</f>
        <v/>
      </c>
      <c r="O1911" s="346">
        <v>45836.27209490741</v>
      </c>
      <c r="P1911" s="334" t="str">
        <f t="shared" si="4"/>
        <v>ｸﾎﾞﾀ:伊藤忠新断Ａ</v>
      </c>
    </row>
    <row r="1912" ht="15.75" customHeight="1">
      <c r="A1912" s="335" t="s">
        <v>3084</v>
      </c>
      <c r="B1912" s="336">
        <v>45839.0</v>
      </c>
      <c r="C1912" s="335" t="s">
        <v>14</v>
      </c>
      <c r="D1912" s="335" t="s">
        <v>46</v>
      </c>
      <c r="E1912" s="337" t="str">
        <f t="shared" si="1"/>
        <v>愛知:阪和</v>
      </c>
      <c r="F1912" s="338" t="s">
        <v>1199</v>
      </c>
      <c r="G1912" s="339" t="str">
        <f t="shared" si="2"/>
        <v>愛知:阪和ＨＳ１(単体H1/電特A/HS))</v>
      </c>
      <c r="H1912" s="340">
        <f t="shared" si="3"/>
        <v>43.2</v>
      </c>
      <c r="I1912" s="341">
        <v>-0.5</v>
      </c>
      <c r="J1912" s="332">
        <f>IFERROR(__xludf.DUMMYFUNCTION("IF(IF(COUNTIF(P$2:P1911, P1912)=0, """", INDEX(H$2:H1911,
MAX(FILTER(ROW(H$2:H1911) - ROW(H$2) + 1, P$2:P1911 = P1912))))=""単価"","""",
IF(COUNTIF(P$2:P1911, P1912)=0, """", INDEX(H$2:H1911,
MAX(FILTER(ROW(H$2:H1911) - ROW(H$2) + 1, P$2:P1911 = P1912)))))"),43.7)</f>
        <v>43.7</v>
      </c>
      <c r="N1912" s="335" t="str">
        <f>IF(MAXIFS('単価履歴'!$O:$O,'単価履歴'!$E:$E,E1912,'単価履歴'!$F:$F,F1912)=O1912,"●","")</f>
        <v/>
      </c>
      <c r="O1912" s="346">
        <v>45839.26414351852</v>
      </c>
      <c r="P1912" s="334" t="str">
        <f t="shared" si="4"/>
        <v>愛知:阪和ＨＳ１(単体H1/電特A/HS))</v>
      </c>
    </row>
    <row r="1913" ht="15.75" customHeight="1">
      <c r="A1913" s="335" t="s">
        <v>3085</v>
      </c>
      <c r="B1913" s="336">
        <v>45839.0</v>
      </c>
      <c r="C1913" s="335" t="s">
        <v>14</v>
      </c>
      <c r="D1913" s="335" t="s">
        <v>46</v>
      </c>
      <c r="E1913" s="337" t="str">
        <f t="shared" si="1"/>
        <v>愛知:阪和</v>
      </c>
      <c r="F1913" s="338" t="s">
        <v>101</v>
      </c>
      <c r="G1913" s="339" t="str">
        <f t="shared" si="2"/>
        <v>愛知:阪和ＨＳ２</v>
      </c>
      <c r="H1913" s="340">
        <f t="shared" si="3"/>
        <v>42.7</v>
      </c>
      <c r="I1913" s="341">
        <v>-0.5</v>
      </c>
      <c r="J1913" s="332">
        <f>IFERROR(__xludf.DUMMYFUNCTION("IF(IF(COUNTIF(P$2:P1912, P1913)=0, """", INDEX(H$2:H1912,
MAX(FILTER(ROW(H$2:H1912) - ROW(H$2) + 1, P$2:P1912 = P1913))))=""単価"","""",
IF(COUNTIF(P$2:P1912, P1913)=0, """", INDEX(H$2:H1912,
MAX(FILTER(ROW(H$2:H1912) - ROW(H$2) + 1, P$2:P1912 = P1913)))))"),43.2)</f>
        <v>43.2</v>
      </c>
      <c r="N1913" s="335" t="str">
        <f>IF(MAXIFS('単価履歴'!$O:$O,'単価履歴'!$E:$E,E1913,'単価履歴'!$F:$F,F1913)=O1913,"●","")</f>
        <v/>
      </c>
      <c r="O1913" s="346">
        <v>45839.26414351852</v>
      </c>
      <c r="P1913" s="334" t="str">
        <f t="shared" si="4"/>
        <v>愛知:阪和ＨＳ２</v>
      </c>
    </row>
    <row r="1914" ht="15.75" customHeight="1">
      <c r="A1914" s="335" t="s">
        <v>3086</v>
      </c>
      <c r="B1914" s="336">
        <v>45839.0</v>
      </c>
      <c r="C1914" s="335" t="s">
        <v>14</v>
      </c>
      <c r="D1914" s="335" t="s">
        <v>46</v>
      </c>
      <c r="E1914" s="337" t="str">
        <f t="shared" si="1"/>
        <v>愛知:阪和</v>
      </c>
      <c r="F1914" s="338" t="s">
        <v>111</v>
      </c>
      <c r="G1914" s="339" t="str">
        <f t="shared" si="2"/>
        <v>愛知:阪和Ｈ１(特A)</v>
      </c>
      <c r="H1914" s="340">
        <f t="shared" si="3"/>
        <v>38.2</v>
      </c>
      <c r="I1914" s="341">
        <v>-0.5</v>
      </c>
      <c r="J1914" s="332">
        <f>IFERROR(__xludf.DUMMYFUNCTION("IF(IF(COUNTIF(P$2:P1913, P1914)=0, """", INDEX(H$2:H1913,
MAX(FILTER(ROW(H$2:H1913) - ROW(H$2) + 1, P$2:P1913 = P1914))))=""単価"","""",
IF(COUNTIF(P$2:P1913, P1914)=0, """", INDEX(H$2:H1913,
MAX(FILTER(ROW(H$2:H1913) - ROW(H$2) + 1, P$2:P1913 = P1914)))))"),38.7)</f>
        <v>38.7</v>
      </c>
      <c r="N1914" s="335" t="str">
        <f>IF(MAXIFS('単価履歴'!$O:$O,'単価履歴'!$E:$E,E1914,'単価履歴'!$F:$F,F1914)=O1914,"●","")</f>
        <v/>
      </c>
      <c r="O1914" s="346">
        <v>45839.26414351852</v>
      </c>
      <c r="P1914" s="334" t="str">
        <f t="shared" si="4"/>
        <v>愛知:阪和Ｈ１(特A)</v>
      </c>
    </row>
    <row r="1915" ht="15.75" customHeight="1">
      <c r="A1915" s="335" t="s">
        <v>3087</v>
      </c>
      <c r="B1915" s="336">
        <v>45839.0</v>
      </c>
      <c r="C1915" s="335" t="s">
        <v>14</v>
      </c>
      <c r="D1915" s="335" t="s">
        <v>46</v>
      </c>
      <c r="E1915" s="337" t="str">
        <f t="shared" si="1"/>
        <v>愛知:阪和</v>
      </c>
      <c r="F1915" s="338" t="s">
        <v>116</v>
      </c>
      <c r="G1915" s="339" t="str">
        <f t="shared" si="2"/>
        <v>愛知:阪和Ｈ２(特級)</v>
      </c>
      <c r="H1915" s="340">
        <f t="shared" si="3"/>
        <v>37.7</v>
      </c>
      <c r="I1915" s="341">
        <v>-0.5</v>
      </c>
      <c r="J1915" s="332">
        <f>IFERROR(__xludf.DUMMYFUNCTION("IF(IF(COUNTIF(P$2:P1914, P1915)=0, """", INDEX(H$2:H1914,
MAX(FILTER(ROW(H$2:H1914) - ROW(H$2) + 1, P$2:P1914 = P1915))))=""単価"","""",
IF(COUNTIF(P$2:P1914, P1915)=0, """", INDEX(H$2:H1914,
MAX(FILTER(ROW(H$2:H1914) - ROW(H$2) + 1, P$2:P1914 = P1915)))))"),38.2)</f>
        <v>38.2</v>
      </c>
      <c r="N1915" s="335" t="str">
        <f>IF(MAXIFS('単価履歴'!$O:$O,'単価履歴'!$E:$E,E1915,'単価履歴'!$F:$F,F1915)=O1915,"●","")</f>
        <v/>
      </c>
      <c r="O1915" s="346">
        <v>45839.26414351852</v>
      </c>
      <c r="P1915" s="334" t="str">
        <f t="shared" si="4"/>
        <v>愛知:阪和Ｈ２(特級)</v>
      </c>
    </row>
    <row r="1916" ht="15.75" customHeight="1">
      <c r="A1916" s="335" t="s">
        <v>3088</v>
      </c>
      <c r="B1916" s="336">
        <v>45839.0</v>
      </c>
      <c r="C1916" s="335" t="s">
        <v>14</v>
      </c>
      <c r="D1916" s="335" t="s">
        <v>46</v>
      </c>
      <c r="E1916" s="337" t="str">
        <f t="shared" si="1"/>
        <v>愛知:阪和</v>
      </c>
      <c r="F1916" s="338" t="s">
        <v>119</v>
      </c>
      <c r="G1916" s="339" t="str">
        <f t="shared" si="2"/>
        <v>愛知:阪和Ｈ３(1級)</v>
      </c>
      <c r="H1916" s="340">
        <f t="shared" si="3"/>
        <v>36.7</v>
      </c>
      <c r="I1916" s="341">
        <v>-0.5</v>
      </c>
      <c r="J1916" s="332">
        <f>IFERROR(__xludf.DUMMYFUNCTION("IF(IF(COUNTIF(P$2:P1915, P1916)=0, """", INDEX(H$2:H1915,
MAX(FILTER(ROW(H$2:H1915) - ROW(H$2) + 1, P$2:P1915 = P1916))))=""単価"","""",
IF(COUNTIF(P$2:P1915, P1916)=0, """", INDEX(H$2:H1915,
MAX(FILTER(ROW(H$2:H1915) - ROW(H$2) + 1, P$2:P1915 = P1916)))))"),37.2)</f>
        <v>37.2</v>
      </c>
      <c r="N1916" s="335" t="str">
        <f>IF(MAXIFS('単価履歴'!$O:$O,'単価履歴'!$E:$E,E1916,'単価履歴'!$F:$F,F1916)=O1916,"●","")</f>
        <v/>
      </c>
      <c r="O1916" s="346">
        <v>45839.26414351852</v>
      </c>
      <c r="P1916" s="334" t="str">
        <f t="shared" si="4"/>
        <v>愛知:阪和Ｈ３(1級)</v>
      </c>
    </row>
    <row r="1917" ht="15.75" customHeight="1">
      <c r="A1917" s="335" t="s">
        <v>3089</v>
      </c>
      <c r="B1917" s="336">
        <v>45839.0</v>
      </c>
      <c r="C1917" s="335" t="s">
        <v>14</v>
      </c>
      <c r="D1917" s="335" t="s">
        <v>46</v>
      </c>
      <c r="E1917" s="337" t="str">
        <f t="shared" si="1"/>
        <v>愛知:阪和</v>
      </c>
      <c r="F1917" s="338" t="s">
        <v>573</v>
      </c>
      <c r="G1917" s="339" t="str">
        <f t="shared" si="2"/>
        <v>愛知:阪和Ｌ２(H4･級外･L1ﾊﾞﾗ)</v>
      </c>
      <c r="H1917" s="340">
        <f t="shared" si="3"/>
        <v>33.3</v>
      </c>
      <c r="I1917" s="341">
        <v>-0.5</v>
      </c>
      <c r="J1917" s="332">
        <f>IFERROR(__xludf.DUMMYFUNCTION("IF(IF(COUNTIF(P$2:P1916, P1917)=0, """", INDEX(H$2:H1916,
MAX(FILTER(ROW(H$2:H1916) - ROW(H$2) + 1, P$2:P1916 = P1917))))=""単価"","""",
IF(COUNTIF(P$2:P1916, P1917)=0, """", INDEX(H$2:H1916,
MAX(FILTER(ROW(H$2:H1916) - ROW(H$2) + 1, P$2:P1916 = P1917)))))"),33.8)</f>
        <v>33.8</v>
      </c>
      <c r="N1917" s="335" t="str">
        <f>IF(MAXIFS('単価履歴'!$O:$O,'単価履歴'!$E:$E,E1917,'単価履歴'!$F:$F,F1917)=O1917,"●","")</f>
        <v/>
      </c>
      <c r="O1917" s="346">
        <v>45839.26414351852</v>
      </c>
      <c r="P1917" s="334" t="str">
        <f t="shared" si="4"/>
        <v>愛知:阪和Ｌ２(H4･級外･L1ﾊﾞﾗ)</v>
      </c>
    </row>
    <row r="1918" ht="15.75" customHeight="1">
      <c r="A1918" s="335" t="s">
        <v>3090</v>
      </c>
      <c r="B1918" s="336">
        <v>45839.0</v>
      </c>
      <c r="C1918" s="335" t="s">
        <v>15</v>
      </c>
      <c r="D1918" s="335" t="s">
        <v>58</v>
      </c>
      <c r="E1918" s="337" t="str">
        <f t="shared" si="1"/>
        <v>山口鋼業:MM建材</v>
      </c>
      <c r="F1918" s="338" t="s">
        <v>1199</v>
      </c>
      <c r="G1918" s="339" t="str">
        <f t="shared" si="2"/>
        <v>山口鋼業:MM建材ＨＳ１(単体H1/電特A/HS))</v>
      </c>
      <c r="H1918" s="340">
        <f t="shared" si="3"/>
        <v>40</v>
      </c>
      <c r="I1918" s="341">
        <v>-0.5</v>
      </c>
      <c r="J1918" s="332">
        <f>IFERROR(__xludf.DUMMYFUNCTION("IF(IF(COUNTIF(P$2:P1917, P1918)=0, """", INDEX(H$2:H1917,
MAX(FILTER(ROW(H$2:H1917) - ROW(H$2) + 1, P$2:P1917 = P1918))))=""単価"","""",
IF(COUNTIF(P$2:P1917, P1918)=0, """", INDEX(H$2:H1917,
MAX(FILTER(ROW(H$2:H1917) - ROW(H$2) + 1, P$2:P1917 = P1918)))))"),40.5)</f>
        <v>40.5</v>
      </c>
      <c r="N1918" s="335" t="str">
        <f>IF(MAXIFS('単価履歴'!$O:$O,'単価履歴'!$E:$E,E1918,'単価履歴'!$F:$F,F1918)=O1918,"●","")</f>
        <v/>
      </c>
      <c r="O1918" s="346">
        <v>45839.26515046296</v>
      </c>
      <c r="P1918" s="334" t="str">
        <f t="shared" si="4"/>
        <v>山口鋼業:MM建材ＨＳ１(単体H1/電特A/HS))</v>
      </c>
    </row>
    <row r="1919" ht="15.75" customHeight="1">
      <c r="A1919" s="335" t="s">
        <v>3091</v>
      </c>
      <c r="B1919" s="336">
        <v>45839.0</v>
      </c>
      <c r="C1919" s="335" t="s">
        <v>15</v>
      </c>
      <c r="D1919" s="335" t="s">
        <v>58</v>
      </c>
      <c r="E1919" s="337" t="str">
        <f t="shared" si="1"/>
        <v>山口鋼業:MM建材</v>
      </c>
      <c r="F1919" s="338" t="s">
        <v>1237</v>
      </c>
      <c r="G1919" s="339" t="str">
        <f t="shared" si="2"/>
        <v>山口鋼業:MM建材ＪＨ１(H2T山口)鍛造ﾊﾞﾘ</v>
      </c>
      <c r="H1919" s="340">
        <f t="shared" si="3"/>
        <v>39.5</v>
      </c>
      <c r="I1919" s="341">
        <v>-0.5</v>
      </c>
      <c r="J1919" s="332">
        <f>IFERROR(__xludf.DUMMYFUNCTION("IF(IF(COUNTIF(P$2:P1918, P1919)=0, """", INDEX(H$2:H1918,
MAX(FILTER(ROW(H$2:H1918) - ROW(H$2) + 1, P$2:P1918 = P1919))))=""単価"","""",
IF(COUNTIF(P$2:P1918, P1919)=0, """", INDEX(H$2:H1918,
MAX(FILTER(ROW(H$2:H1918) - ROW(H$2) + 1, P$2:P1918 = P1919)))))"),40.0)</f>
        <v>40</v>
      </c>
      <c r="N1919" s="335" t="str">
        <f>IF(MAXIFS('単価履歴'!$O:$O,'単価履歴'!$E:$E,E1919,'単価履歴'!$F:$F,F1919)=O1919,"●","")</f>
        <v/>
      </c>
      <c r="O1919" s="346">
        <v>45839.26515046296</v>
      </c>
      <c r="P1919" s="334" t="str">
        <f t="shared" si="4"/>
        <v>山口鋼業:MM建材ＪＨ１(H2T山口)鍛造ﾊﾞﾘ</v>
      </c>
    </row>
    <row r="1920" ht="15.75" customHeight="1">
      <c r="A1920" s="335" t="s">
        <v>3092</v>
      </c>
      <c r="B1920" s="336">
        <v>45839.0</v>
      </c>
      <c r="C1920" s="335" t="s">
        <v>15</v>
      </c>
      <c r="D1920" s="335" t="s">
        <v>58</v>
      </c>
      <c r="E1920" s="337" t="str">
        <f t="shared" si="1"/>
        <v>山口鋼業:MM建材</v>
      </c>
      <c r="F1920" s="338" t="s">
        <v>116</v>
      </c>
      <c r="G1920" s="339" t="str">
        <f t="shared" si="2"/>
        <v>山口鋼業:MM建材Ｈ２(特級)</v>
      </c>
      <c r="H1920" s="340">
        <f t="shared" si="3"/>
        <v>38.5</v>
      </c>
      <c r="I1920" s="341">
        <v>-0.5</v>
      </c>
      <c r="J1920" s="332">
        <f>IFERROR(__xludf.DUMMYFUNCTION("IF(IF(COUNTIF(P$2:P1919, P1920)=0, """", INDEX(H$2:H1919,
MAX(FILTER(ROW(H$2:H1919) - ROW(H$2) + 1, P$2:P1919 = P1920))))=""単価"","""",
IF(COUNTIF(P$2:P1919, P1920)=0, """", INDEX(H$2:H1919,
MAX(FILTER(ROW(H$2:H1919) - ROW(H$2) + 1, P$2:P1919 = P1920)))))"),39.0)</f>
        <v>39</v>
      </c>
      <c r="N1920" s="335" t="str">
        <f>IF(MAXIFS('単価履歴'!$O:$O,'単価履歴'!$E:$E,E1920,'単価履歴'!$F:$F,F1920)=O1920,"●","")</f>
        <v/>
      </c>
      <c r="O1920" s="346">
        <v>45839.26515046296</v>
      </c>
      <c r="P1920" s="334" t="str">
        <f t="shared" si="4"/>
        <v>山口鋼業:MM建材Ｈ２(特級)</v>
      </c>
    </row>
    <row r="1921" ht="15.75" customHeight="1">
      <c r="A1921" s="335" t="s">
        <v>3093</v>
      </c>
      <c r="B1921" s="336">
        <v>45839.0</v>
      </c>
      <c r="C1921" s="335" t="s">
        <v>15</v>
      </c>
      <c r="D1921" s="335" t="s">
        <v>58</v>
      </c>
      <c r="E1921" s="337" t="str">
        <f t="shared" si="1"/>
        <v>山口鋼業:MM建材</v>
      </c>
      <c r="F1921" s="338" t="s">
        <v>119</v>
      </c>
      <c r="G1921" s="339" t="str">
        <f t="shared" si="2"/>
        <v>山口鋼業:MM建材Ｈ３(1級)</v>
      </c>
      <c r="H1921" s="340">
        <f t="shared" si="3"/>
        <v>37.5</v>
      </c>
      <c r="I1921" s="341">
        <v>-0.5</v>
      </c>
      <c r="J1921" s="332">
        <f>IFERROR(__xludf.DUMMYFUNCTION("IF(IF(COUNTIF(P$2:P1920, P1921)=0, """", INDEX(H$2:H1920,
MAX(FILTER(ROW(H$2:H1920) - ROW(H$2) + 1, P$2:P1920 = P1921))))=""単価"","""",
IF(COUNTIF(P$2:P1920, P1921)=0, """", INDEX(H$2:H1920,
MAX(FILTER(ROW(H$2:H1920) - ROW(H$2) + 1, P$2:P1920 = P1921)))))"),38.0)</f>
        <v>38</v>
      </c>
      <c r="N1921" s="335" t="str">
        <f>IF(MAXIFS('単価履歴'!$O:$O,'単価履歴'!$E:$E,E1921,'単価履歴'!$F:$F,F1921)=O1921,"●","")</f>
        <v/>
      </c>
      <c r="O1921" s="346">
        <v>45839.26515046296</v>
      </c>
      <c r="P1921" s="334" t="str">
        <f t="shared" si="4"/>
        <v>山口鋼業:MM建材Ｈ３(1級)</v>
      </c>
    </row>
    <row r="1922" ht="15.75" customHeight="1">
      <c r="A1922" s="335" t="s">
        <v>3094</v>
      </c>
      <c r="B1922" s="336">
        <v>45839.0</v>
      </c>
      <c r="C1922" s="335" t="s">
        <v>15</v>
      </c>
      <c r="D1922" s="335" t="s">
        <v>58</v>
      </c>
      <c r="E1922" s="337" t="str">
        <f t="shared" si="1"/>
        <v>山口鋼業:MM建材</v>
      </c>
      <c r="F1922" s="338" t="s">
        <v>573</v>
      </c>
      <c r="G1922" s="339" t="str">
        <f t="shared" si="2"/>
        <v>山口鋼業:MM建材Ｌ２(H4･級外･L1ﾊﾞﾗ)</v>
      </c>
      <c r="H1922" s="340">
        <f t="shared" si="3"/>
        <v>36</v>
      </c>
      <c r="I1922" s="341">
        <v>-0.5</v>
      </c>
      <c r="J1922" s="332">
        <f>IFERROR(__xludf.DUMMYFUNCTION("IF(IF(COUNTIF(P$2:P1921, P1922)=0, """", INDEX(H$2:H1921,
MAX(FILTER(ROW(H$2:H1921) - ROW(H$2) + 1, P$2:P1921 = P1922))))=""単価"","""",
IF(COUNTIF(P$2:P1921, P1922)=0, """", INDEX(H$2:H1921,
MAX(FILTER(ROW(H$2:H1921) - ROW(H$2) + 1, P$2:P1921 = P1922)))))"),36.5)</f>
        <v>36.5</v>
      </c>
      <c r="N1922" s="335" t="str">
        <f>IF(MAXIFS('単価履歴'!$O:$O,'単価履歴'!$E:$E,E1922,'単価履歴'!$F:$F,F1922)=O1922,"●","")</f>
        <v/>
      </c>
      <c r="O1922" s="346">
        <v>45839.26515046296</v>
      </c>
      <c r="P1922" s="334" t="str">
        <f t="shared" si="4"/>
        <v>山口鋼業:MM建材Ｌ２(H4･級外･L1ﾊﾞﾗ)</v>
      </c>
    </row>
    <row r="1923" ht="15.75" customHeight="1">
      <c r="A1923" s="335" t="s">
        <v>3095</v>
      </c>
      <c r="B1923" s="336">
        <v>45839.0</v>
      </c>
      <c r="C1923" s="335" t="s">
        <v>15</v>
      </c>
      <c r="D1923" s="335" t="s">
        <v>58</v>
      </c>
      <c r="E1923" s="337" t="str">
        <f t="shared" si="1"/>
        <v>山口鋼業:MM建材</v>
      </c>
      <c r="F1923" s="338" t="s">
        <v>575</v>
      </c>
      <c r="G1923" s="339" t="str">
        <f t="shared" si="2"/>
        <v>山口鋼業:MM建材鋼ダライＡ</v>
      </c>
      <c r="H1923" s="340">
        <f t="shared" si="3"/>
        <v>36.1</v>
      </c>
      <c r="I1923" s="341">
        <v>-0.5</v>
      </c>
      <c r="J1923" s="332">
        <f>IFERROR(__xludf.DUMMYFUNCTION("IF(IF(COUNTIF(P$2:P1922, P1923)=0, """", INDEX(H$2:H1922,
MAX(FILTER(ROW(H$2:H1922) - ROW(H$2) + 1, P$2:P1922 = P1923))))=""単価"","""",
IF(COUNTIF(P$2:P1922, P1923)=0, """", INDEX(H$2:H1922,
MAX(FILTER(ROW(H$2:H1922) - ROW(H$2) + 1, P$2:P1922 = P1923)))))"),36.6)</f>
        <v>36.6</v>
      </c>
      <c r="N1923" s="335" t="str">
        <f>IF(MAXIFS('単価履歴'!$O:$O,'単価履歴'!$E:$E,E1923,'単価履歴'!$F:$F,F1923)=O1923,"●","")</f>
        <v/>
      </c>
      <c r="O1923" s="346">
        <v>45839.26515046296</v>
      </c>
      <c r="P1923" s="334" t="str">
        <f t="shared" si="4"/>
        <v>山口鋼業:MM建材鋼ダライＡ</v>
      </c>
    </row>
    <row r="1924" ht="15.75" customHeight="1">
      <c r="A1924" s="335" t="s">
        <v>3096</v>
      </c>
      <c r="B1924" s="336">
        <v>45839.0</v>
      </c>
      <c r="C1924" s="335" t="s">
        <v>15</v>
      </c>
      <c r="D1924" s="335" t="s">
        <v>58</v>
      </c>
      <c r="E1924" s="337" t="str">
        <f t="shared" si="1"/>
        <v>山口鋼業:MM建材</v>
      </c>
      <c r="F1924" s="338" t="s">
        <v>577</v>
      </c>
      <c r="G1924" s="339" t="str">
        <f t="shared" si="2"/>
        <v>山口鋼業:MM建材鋳物・ﾀﾞｸﾀｲﾙ</v>
      </c>
      <c r="H1924" s="340">
        <f t="shared" si="3"/>
        <v>40</v>
      </c>
      <c r="I1924" s="341">
        <v>-0.5</v>
      </c>
      <c r="J1924" s="332">
        <f>IFERROR(__xludf.DUMMYFUNCTION("IF(IF(COUNTIF(P$2:P1923, P1924)=0, """", INDEX(H$2:H1923,
MAX(FILTER(ROW(H$2:H1923) - ROW(H$2) + 1, P$2:P1923 = P1924))))=""単価"","""",
IF(COUNTIF(P$2:P1923, P1924)=0, """", INDEX(H$2:H1923,
MAX(FILTER(ROW(H$2:H1923) - ROW(H$2) + 1, P$2:P1923 = P1924)))))"),40.5)</f>
        <v>40.5</v>
      </c>
      <c r="N1924" s="335" t="str">
        <f>IF(MAXIFS('単価履歴'!$O:$O,'単価履歴'!$E:$E,E1924,'単価履歴'!$F:$F,F1924)=O1924,"●","")</f>
        <v/>
      </c>
      <c r="O1924" s="346">
        <v>45839.26515046296</v>
      </c>
      <c r="P1924" s="334" t="str">
        <f t="shared" si="4"/>
        <v>山口鋼業:MM建材鋳物・ﾀﾞｸﾀｲﾙ</v>
      </c>
    </row>
    <row r="1925" ht="15.75" customHeight="1">
      <c r="A1925" s="335"/>
      <c r="B1925" s="336"/>
      <c r="C1925" s="335"/>
      <c r="D1925" s="335"/>
      <c r="E1925" s="337" t="str">
        <f t="shared" si="1"/>
        <v>:</v>
      </c>
      <c r="F1925" s="338"/>
      <c r="G1925" s="339" t="str">
        <f t="shared" si="2"/>
        <v>:</v>
      </c>
      <c r="H1925" s="340">
        <f t="shared" si="3"/>
        <v>0</v>
      </c>
      <c r="I1925" s="341"/>
      <c r="J1925" s="332">
        <f>IFERROR(__xludf.DUMMYFUNCTION("IF(IF(COUNTIF(P$2:P1924, P1925)=0, """", INDEX(H$2:H1924,
MAX(FILTER(ROW(H$2:H1924) - ROW(H$2) + 1, P$2:P1924 = P1925))))=""単価"","""",
IF(COUNTIF(P$2:P1924, P1925)=0, """", INDEX(H$2:H1924,
MAX(FILTER(ROW(H$2:H1924) - ROW(H$2) + 1, P$2:P1924 = P1925)))))"),0.0)</f>
        <v>0</v>
      </c>
      <c r="N1925" s="335" t="str">
        <f>IF(MAXIFS('単価履歴'!$O:$O,'単価履歴'!$E:$E,E1925,'単価履歴'!$F:$F,F1925)=O1925,"●","")</f>
        <v>●</v>
      </c>
      <c r="O1925" s="346"/>
      <c r="P1925" s="334" t="str">
        <f t="shared" si="4"/>
        <v>:</v>
      </c>
    </row>
    <row r="1926" ht="15.75" customHeight="1">
      <c r="A1926" s="335" t="s">
        <v>3097</v>
      </c>
      <c r="B1926" s="336">
        <v>45839.0</v>
      </c>
      <c r="C1926" s="335" t="s">
        <v>15</v>
      </c>
      <c r="D1926" s="335" t="s">
        <v>46</v>
      </c>
      <c r="E1926" s="337" t="str">
        <f t="shared" si="1"/>
        <v>山口鋼業:阪和</v>
      </c>
      <c r="F1926" s="338" t="s">
        <v>1199</v>
      </c>
      <c r="G1926" s="339" t="str">
        <f t="shared" si="2"/>
        <v>山口鋼業:阪和ＨＳ１(単体H1/電特A/HS))</v>
      </c>
      <c r="H1926" s="340">
        <f t="shared" si="3"/>
        <v>41.5</v>
      </c>
      <c r="I1926" s="341">
        <v>-0.5</v>
      </c>
      <c r="J1926" s="332">
        <f>IFERROR(__xludf.DUMMYFUNCTION("IF(IF(COUNTIF(P$2:P1925, P1926)=0, """", INDEX(H$2:H1925,
MAX(FILTER(ROW(H$2:H1925) - ROW(H$2) + 1, P$2:P1925 = P1926))))=""単価"","""",
IF(COUNTIF(P$2:P1925, P1926)=0, """", INDEX(H$2:H1925,
MAX(FILTER(ROW(H$2:H1925) - ROW(H$2) + 1, P$2:P1925 = P1926)))))"),42.0)</f>
        <v>42</v>
      </c>
      <c r="N1926" s="335" t="str">
        <f>IF(MAXIFS('単価履歴'!$O:$O,'単価履歴'!$E:$E,E1926,'単価履歴'!$F:$F,F1926)=O1926,"●","")</f>
        <v/>
      </c>
      <c r="O1926" s="346">
        <v>45839.26515046296</v>
      </c>
      <c r="P1926" s="334" t="str">
        <f t="shared" si="4"/>
        <v>山口鋼業:阪和ＨＳ１(単体H1/電特A/HS))</v>
      </c>
    </row>
    <row r="1927" ht="15.75" customHeight="1">
      <c r="A1927" s="335"/>
      <c r="B1927" s="336"/>
      <c r="C1927" s="335"/>
      <c r="D1927" s="335"/>
      <c r="E1927" s="337" t="str">
        <f t="shared" si="1"/>
        <v>:</v>
      </c>
      <c r="F1927" s="338"/>
      <c r="G1927" s="339" t="str">
        <f t="shared" si="2"/>
        <v>:</v>
      </c>
      <c r="H1927" s="340">
        <f t="shared" si="3"/>
        <v>0</v>
      </c>
      <c r="I1927" s="341"/>
      <c r="J1927" s="332">
        <f>IFERROR(__xludf.DUMMYFUNCTION("IF(IF(COUNTIF(P$2:P1926, P1927)=0, """", INDEX(H$2:H1926,
MAX(FILTER(ROW(H$2:H1926) - ROW(H$2) + 1, P$2:P1926 = P1927))))=""単価"","""",
IF(COUNTIF(P$2:P1926, P1927)=0, """", INDEX(H$2:H1926,
MAX(FILTER(ROW(H$2:H1926) - ROW(H$2) + 1, P$2:P1926 = P1927)))))"),0.0)</f>
        <v>0</v>
      </c>
      <c r="N1927" s="335" t="str">
        <f>IF(MAXIFS('単価履歴'!$O:$O,'単価履歴'!$E:$E,E1927,'単価履歴'!$F:$F,F1927)=O1927,"●","")</f>
        <v>●</v>
      </c>
      <c r="O1927" s="346"/>
      <c r="P1927" s="334" t="str">
        <f t="shared" si="4"/>
        <v>:</v>
      </c>
    </row>
    <row r="1928" ht="15.75" customHeight="1">
      <c r="A1928" s="335" t="s">
        <v>3098</v>
      </c>
      <c r="B1928" s="336">
        <v>45839.0</v>
      </c>
      <c r="C1928" s="335" t="s">
        <v>15</v>
      </c>
      <c r="D1928" s="335" t="s">
        <v>46</v>
      </c>
      <c r="E1928" s="337" t="str">
        <f t="shared" si="1"/>
        <v>山口鋼業:阪和</v>
      </c>
      <c r="F1928" s="338" t="s">
        <v>116</v>
      </c>
      <c r="G1928" s="339" t="str">
        <f t="shared" si="2"/>
        <v>山口鋼業:阪和Ｈ２(特級)</v>
      </c>
      <c r="H1928" s="340">
        <f t="shared" si="3"/>
        <v>39.5</v>
      </c>
      <c r="I1928" s="341">
        <v>-0.5</v>
      </c>
      <c r="J1928" s="332">
        <f>IFERROR(__xludf.DUMMYFUNCTION("IF(IF(COUNTIF(P$2:P1927, P1928)=0, """", INDEX(H$2:H1927,
MAX(FILTER(ROW(H$2:H1927) - ROW(H$2) + 1, P$2:P1927 = P1928))))=""単価"","""",
IF(COUNTIF(P$2:P1927, P1928)=0, """", INDEX(H$2:H1927,
MAX(FILTER(ROW(H$2:H1927) - ROW(H$2) + 1, P$2:P1927 = P1928)))))"),40.0)</f>
        <v>40</v>
      </c>
      <c r="N1928" s="335" t="str">
        <f>IF(MAXIFS('単価履歴'!$O:$O,'単価履歴'!$E:$E,E1928,'単価履歴'!$F:$F,F1928)=O1928,"●","")</f>
        <v/>
      </c>
      <c r="O1928" s="346">
        <v>45839.26515046296</v>
      </c>
      <c r="P1928" s="334" t="str">
        <f t="shared" si="4"/>
        <v>山口鋼業:阪和Ｈ２(特級)</v>
      </c>
    </row>
    <row r="1929" ht="15.75" customHeight="1">
      <c r="A1929" s="335" t="s">
        <v>3099</v>
      </c>
      <c r="B1929" s="336">
        <v>45839.0</v>
      </c>
      <c r="C1929" s="335" t="s">
        <v>15</v>
      </c>
      <c r="D1929" s="335" t="s">
        <v>46</v>
      </c>
      <c r="E1929" s="337" t="str">
        <f t="shared" si="1"/>
        <v>山口鋼業:阪和</v>
      </c>
      <c r="F1929" s="338" t="s">
        <v>119</v>
      </c>
      <c r="G1929" s="339" t="str">
        <f t="shared" si="2"/>
        <v>山口鋼業:阪和Ｈ３(1級)</v>
      </c>
      <c r="H1929" s="340">
        <f t="shared" si="3"/>
        <v>38.5</v>
      </c>
      <c r="I1929" s="341">
        <v>-0.5</v>
      </c>
      <c r="J1929" s="332">
        <f>IFERROR(__xludf.DUMMYFUNCTION("IF(IF(COUNTIF(P$2:P1928, P1929)=0, """", INDEX(H$2:H1928,
MAX(FILTER(ROW(H$2:H1928) - ROW(H$2) + 1, P$2:P1928 = P1929))))=""単価"","""",
IF(COUNTIF(P$2:P1928, P1929)=0, """", INDEX(H$2:H1928,
MAX(FILTER(ROW(H$2:H1928) - ROW(H$2) + 1, P$2:P1928 = P1929)))))"),39.0)</f>
        <v>39</v>
      </c>
      <c r="N1929" s="335" t="str">
        <f>IF(MAXIFS('単価履歴'!$O:$O,'単価履歴'!$E:$E,E1929,'単価履歴'!$F:$F,F1929)=O1929,"●","")</f>
        <v/>
      </c>
      <c r="O1929" s="346">
        <v>45839.26515046296</v>
      </c>
      <c r="P1929" s="334" t="str">
        <f t="shared" si="4"/>
        <v>山口鋼業:阪和Ｈ３(1級)</v>
      </c>
    </row>
    <row r="1930" ht="15.75" customHeight="1">
      <c r="A1930" s="335" t="s">
        <v>3100</v>
      </c>
      <c r="B1930" s="336">
        <v>45839.0</v>
      </c>
      <c r="C1930" s="335" t="s">
        <v>15</v>
      </c>
      <c r="D1930" s="335" t="s">
        <v>46</v>
      </c>
      <c r="E1930" s="337" t="str">
        <f t="shared" si="1"/>
        <v>山口鋼業:阪和</v>
      </c>
      <c r="F1930" s="338" t="s">
        <v>573</v>
      </c>
      <c r="G1930" s="339" t="str">
        <f t="shared" si="2"/>
        <v>山口鋼業:阪和Ｌ２(H4･級外･L1ﾊﾞﾗ)</v>
      </c>
      <c r="H1930" s="340">
        <f t="shared" si="3"/>
        <v>37</v>
      </c>
      <c r="I1930" s="341">
        <v>-0.5</v>
      </c>
      <c r="J1930" s="332">
        <f>IFERROR(__xludf.DUMMYFUNCTION("IF(IF(COUNTIF(P$2:P1929, P1930)=0, """", INDEX(H$2:H1929,
MAX(FILTER(ROW(H$2:H1929) - ROW(H$2) + 1, P$2:P1929 = P1930))))=""単価"","""",
IF(COUNTIF(P$2:P1929, P1930)=0, """", INDEX(H$2:H1929,
MAX(FILTER(ROW(H$2:H1929) - ROW(H$2) + 1, P$2:P1929 = P1930)))))"),37.5)</f>
        <v>37.5</v>
      </c>
      <c r="N1930" s="335" t="str">
        <f>IF(MAXIFS('単価履歴'!$O:$O,'単価履歴'!$E:$E,E1930,'単価履歴'!$F:$F,F1930)=O1930,"●","")</f>
        <v/>
      </c>
      <c r="O1930" s="346">
        <v>45839.26515046296</v>
      </c>
      <c r="P1930" s="334" t="str">
        <f t="shared" si="4"/>
        <v>山口鋼業:阪和Ｌ２(H4･級外･L1ﾊﾞﾗ)</v>
      </c>
    </row>
    <row r="1931" ht="15.75" customHeight="1">
      <c r="A1931" s="335" t="s">
        <v>3101</v>
      </c>
      <c r="B1931" s="336">
        <v>45839.0</v>
      </c>
      <c r="C1931" s="335" t="s">
        <v>15</v>
      </c>
      <c r="D1931" s="335" t="s">
        <v>46</v>
      </c>
      <c r="E1931" s="337" t="str">
        <f t="shared" si="1"/>
        <v>山口鋼業:阪和</v>
      </c>
      <c r="F1931" s="338" t="s">
        <v>575</v>
      </c>
      <c r="G1931" s="339" t="str">
        <f t="shared" si="2"/>
        <v>山口鋼業:阪和鋼ダライＡ</v>
      </c>
      <c r="H1931" s="340">
        <f t="shared" si="3"/>
        <v>1</v>
      </c>
      <c r="I1931" s="341">
        <v>-0.5</v>
      </c>
      <c r="J1931" s="332">
        <f>IFERROR(__xludf.DUMMYFUNCTION("IF(IF(COUNTIF(P$2:P1930, P1931)=0, """", INDEX(H$2:H1930,
MAX(FILTER(ROW(H$2:H1930) - ROW(H$2) + 1, P$2:P1930 = P1931))))=""単価"","""",
IF(COUNTIF(P$2:P1930, P1931)=0, """", INDEX(H$2:H1930,
MAX(FILTER(ROW(H$2:H1930) - ROW(H$2) + 1, P$2:P1930 = P1931)))))"),1.5)</f>
        <v>1.5</v>
      </c>
      <c r="N1931" s="335" t="str">
        <f>IF(MAXIFS('単価履歴'!$O:$O,'単価履歴'!$E:$E,E1931,'単価履歴'!$F:$F,F1931)=O1931,"●","")</f>
        <v>●</v>
      </c>
      <c r="O1931" s="346">
        <v>45839.26515046296</v>
      </c>
      <c r="P1931" s="334" t="str">
        <f t="shared" si="4"/>
        <v>山口鋼業:阪和鋼ダライＡ</v>
      </c>
    </row>
    <row r="1932" ht="15.75" customHeight="1">
      <c r="A1932" s="335"/>
      <c r="B1932" s="336"/>
      <c r="C1932" s="335"/>
      <c r="D1932" s="335"/>
      <c r="E1932" s="337" t="str">
        <f t="shared" si="1"/>
        <v>:</v>
      </c>
      <c r="F1932" s="338"/>
      <c r="G1932" s="339" t="str">
        <f t="shared" si="2"/>
        <v>:</v>
      </c>
      <c r="H1932" s="340">
        <f t="shared" si="3"/>
        <v>0</v>
      </c>
      <c r="I1932" s="341"/>
      <c r="J1932" s="332">
        <f>IFERROR(__xludf.DUMMYFUNCTION("IF(IF(COUNTIF(P$2:P1931, P1932)=0, """", INDEX(H$2:H1931,
MAX(FILTER(ROW(H$2:H1931) - ROW(H$2) + 1, P$2:P1931 = P1932))))=""単価"","""",
IF(COUNTIF(P$2:P1931, P1932)=0, """", INDEX(H$2:H1931,
MAX(FILTER(ROW(H$2:H1931) - ROW(H$2) + 1, P$2:P1931 = P1932)))))"),0.0)</f>
        <v>0</v>
      </c>
      <c r="N1932" s="335" t="str">
        <f>IF(MAXIFS('単価履歴'!$O:$O,'単価履歴'!$E:$E,E1932,'単価履歴'!$F:$F,F1932)=O1932,"●","")</f>
        <v>●</v>
      </c>
      <c r="O1932" s="346"/>
      <c r="P1932" s="334" t="str">
        <f t="shared" si="4"/>
        <v>:</v>
      </c>
    </row>
    <row r="1933" ht="15.75" customHeight="1">
      <c r="A1933" s="335" t="s">
        <v>3102</v>
      </c>
      <c r="B1933" s="336">
        <v>45839.0</v>
      </c>
      <c r="C1933" s="335" t="s">
        <v>15</v>
      </c>
      <c r="D1933" s="335" t="s">
        <v>46</v>
      </c>
      <c r="E1933" s="337" t="str">
        <f t="shared" si="1"/>
        <v>山口鋼業:阪和</v>
      </c>
      <c r="F1933" s="338" t="s">
        <v>111</v>
      </c>
      <c r="G1933" s="339" t="str">
        <f t="shared" si="2"/>
        <v>山口鋼業:阪和Ｈ１(特A)</v>
      </c>
      <c r="H1933" s="340">
        <f t="shared" si="3"/>
        <v>40</v>
      </c>
      <c r="I1933" s="341">
        <v>-0.5</v>
      </c>
      <c r="J1933" s="332">
        <f>IFERROR(__xludf.DUMMYFUNCTION("IF(IF(COUNTIF(P$2:P1932, P1933)=0, """", INDEX(H$2:H1932,
MAX(FILTER(ROW(H$2:H1932) - ROW(H$2) + 1, P$2:P1932 = P1933))))=""単価"","""",
IF(COUNTIF(P$2:P1932, P1933)=0, """", INDEX(H$2:H1932,
MAX(FILTER(ROW(H$2:H1932) - ROW(H$2) + 1, P$2:P1932 = P1933)))))"),40.5)</f>
        <v>40.5</v>
      </c>
      <c r="N1933" s="335" t="str">
        <f>IF(MAXIFS('単価履歴'!$O:$O,'単価履歴'!$E:$E,E1933,'単価履歴'!$F:$F,F1933)=O1933,"●","")</f>
        <v/>
      </c>
      <c r="O1933" s="346">
        <v>45839.26515046296</v>
      </c>
      <c r="P1933" s="334" t="str">
        <f t="shared" si="4"/>
        <v>山口鋼業:阪和Ｈ１(特A)</v>
      </c>
    </row>
    <row r="1934" ht="15.75" customHeight="1">
      <c r="A1934" s="335" t="s">
        <v>3103</v>
      </c>
      <c r="B1934" s="336">
        <v>45839.0</v>
      </c>
      <c r="C1934" s="335" t="s">
        <v>537</v>
      </c>
      <c r="D1934" s="335" t="s">
        <v>59</v>
      </c>
      <c r="E1934" s="337" t="str">
        <f t="shared" si="1"/>
        <v>大同特殊鋼:大同興業</v>
      </c>
      <c r="F1934" s="338" t="s">
        <v>1199</v>
      </c>
      <c r="G1934" s="339" t="str">
        <f t="shared" si="2"/>
        <v>大同特殊鋼:大同興業ＨＳ１(単体H1/電特A/HS))</v>
      </c>
      <c r="H1934" s="340">
        <f t="shared" si="3"/>
        <v>43.5</v>
      </c>
      <c r="I1934" s="341">
        <v>-0.5</v>
      </c>
      <c r="J1934" s="332">
        <f>IFERROR(__xludf.DUMMYFUNCTION("IF(IF(COUNTIF(P$2:P1933, P1934)=0, """", INDEX(H$2:H1933,
MAX(FILTER(ROW(H$2:H1933) - ROW(H$2) + 1, P$2:P1933 = P1934))))=""単価"","""",
IF(COUNTIF(P$2:P1933, P1934)=0, """", INDEX(H$2:H1933,
MAX(FILTER(ROW(H$2:H1933) - ROW(H$2) + 1, P$2:P1933 = P1934)))))"),44.0)</f>
        <v>44</v>
      </c>
      <c r="N1934" s="335" t="str">
        <f>IF(MAXIFS('単価履歴'!$O:$O,'単価履歴'!$E:$E,E1934,'単価履歴'!$F:$F,F1934)=O1934,"●","")</f>
        <v/>
      </c>
      <c r="O1934" s="346">
        <v>45839.26583333334</v>
      </c>
      <c r="P1934" s="334" t="str">
        <f t="shared" si="4"/>
        <v>大同特殊鋼:大同興業ＨＳ１(単体H1/電特A/HS))</v>
      </c>
    </row>
    <row r="1935" ht="15.75" customHeight="1">
      <c r="A1935" s="335" t="s">
        <v>3104</v>
      </c>
      <c r="B1935" s="336">
        <v>45839.0</v>
      </c>
      <c r="C1935" s="335" t="s">
        <v>537</v>
      </c>
      <c r="D1935" s="335" t="s">
        <v>59</v>
      </c>
      <c r="E1935" s="337" t="str">
        <f t="shared" si="1"/>
        <v>大同特殊鋼:大同興業</v>
      </c>
      <c r="F1935" s="338" t="s">
        <v>116</v>
      </c>
      <c r="G1935" s="339" t="str">
        <f t="shared" si="2"/>
        <v>大同特殊鋼:大同興業Ｈ２(特級)</v>
      </c>
      <c r="H1935" s="340">
        <f t="shared" si="3"/>
        <v>0</v>
      </c>
      <c r="I1935" s="341">
        <v>-0.5</v>
      </c>
      <c r="J1935" s="332">
        <f>IFERROR(__xludf.DUMMYFUNCTION("IF(IF(COUNTIF(P$2:P1934, P1935)=0, """", INDEX(H$2:H1934,
MAX(FILTER(ROW(H$2:H1934) - ROW(H$2) + 1, P$2:P1934 = P1935))))=""単価"","""",
IF(COUNTIF(P$2:P1934, P1935)=0, """", INDEX(H$2:H1934,
MAX(FILTER(ROW(H$2:H1934) - ROW(H$2) + 1, P$2:P1934 = P1935)))))"),0.5)</f>
        <v>0.5</v>
      </c>
      <c r="N1935" s="335" t="str">
        <f>IF(MAXIFS('単価履歴'!$O:$O,'単価履歴'!$E:$E,E1935,'単価履歴'!$F:$F,F1935)=O1935,"●","")</f>
        <v/>
      </c>
      <c r="O1935" s="346">
        <v>45839.26583333334</v>
      </c>
      <c r="P1935" s="334" t="str">
        <f t="shared" si="4"/>
        <v>大同特殊鋼:大同興業Ｈ２(特級)</v>
      </c>
    </row>
    <row r="1936" ht="15.75" customHeight="1">
      <c r="A1936" s="335" t="s">
        <v>3105</v>
      </c>
      <c r="B1936" s="336">
        <v>45839.0</v>
      </c>
      <c r="C1936" s="335" t="s">
        <v>537</v>
      </c>
      <c r="D1936" s="335" t="s">
        <v>1404</v>
      </c>
      <c r="E1936" s="337" t="str">
        <f t="shared" si="1"/>
        <v>大同特殊鋼:JSE/大和ﾘﾃｯｸ</v>
      </c>
      <c r="F1936" s="338" t="s">
        <v>1199</v>
      </c>
      <c r="G1936" s="339" t="str">
        <f t="shared" si="2"/>
        <v>大同特殊鋼:JSE/大和ﾘﾃｯｸＨＳ１(単体H1/電特A/HS))</v>
      </c>
      <c r="H1936" s="340">
        <f t="shared" si="3"/>
        <v>42.8</v>
      </c>
      <c r="I1936" s="341">
        <v>-0.5</v>
      </c>
      <c r="J1936" s="332">
        <f>IFERROR(__xludf.DUMMYFUNCTION("IF(IF(COUNTIF(P$2:P1935, P1936)=0, """", INDEX(H$2:H1935,
MAX(FILTER(ROW(H$2:H1935) - ROW(H$2) + 1, P$2:P1935 = P1936))))=""単価"","""",
IF(COUNTIF(P$2:P1935, P1936)=0, """", INDEX(H$2:H1935,
MAX(FILTER(ROW(H$2:H1935) - ROW(H$2) + 1, P$2:P1935 = P1936)))))"),43.3)</f>
        <v>43.3</v>
      </c>
      <c r="N1936" s="335" t="str">
        <f>IF(MAXIFS('単価履歴'!$O:$O,'単価履歴'!$E:$E,E1936,'単価履歴'!$F:$F,F1936)=O1936,"●","")</f>
        <v/>
      </c>
      <c r="O1936" s="346">
        <v>45839.26583333334</v>
      </c>
      <c r="P1936" s="334" t="str">
        <f t="shared" si="4"/>
        <v>大同特殊鋼:JSE/大和ﾘﾃｯｸＨＳ１(単体H1/電特A/HS))</v>
      </c>
    </row>
    <row r="1937" ht="15.75" customHeight="1">
      <c r="A1937" s="335" t="s">
        <v>3106</v>
      </c>
      <c r="B1937" s="336">
        <v>45839.0</v>
      </c>
      <c r="C1937" s="335" t="s">
        <v>537</v>
      </c>
      <c r="D1937" s="335" t="s">
        <v>1404</v>
      </c>
      <c r="E1937" s="337" t="str">
        <f t="shared" si="1"/>
        <v>大同特殊鋼:JSE/大和ﾘﾃｯｸ</v>
      </c>
      <c r="F1937" s="338" t="s">
        <v>116</v>
      </c>
      <c r="G1937" s="339" t="str">
        <f t="shared" si="2"/>
        <v>大同特殊鋼:JSE/大和ﾘﾃｯｸＨ２(特級)</v>
      </c>
      <c r="H1937" s="340">
        <f t="shared" si="3"/>
        <v>39.7</v>
      </c>
      <c r="I1937" s="341">
        <v>-0.5</v>
      </c>
      <c r="J1937" s="332">
        <f>IFERROR(__xludf.DUMMYFUNCTION("IF(IF(COUNTIF(P$2:P1936, P1937)=0, """", INDEX(H$2:H1936,
MAX(FILTER(ROW(H$2:H1936) - ROW(H$2) + 1, P$2:P1936 = P1937))))=""単価"","""",
IF(COUNTIF(P$2:P1936, P1937)=0, """", INDEX(H$2:H1936,
MAX(FILTER(ROW(H$2:H1936) - ROW(H$2) + 1, P$2:P1936 = P1937)))))"),40.2)</f>
        <v>40.2</v>
      </c>
      <c r="N1937" s="335" t="str">
        <f>IF(MAXIFS('単価履歴'!$O:$O,'単価履歴'!$E:$E,E1937,'単価履歴'!$F:$F,F1937)=O1937,"●","")</f>
        <v/>
      </c>
      <c r="O1937" s="346">
        <v>45839.26583333334</v>
      </c>
      <c r="P1937" s="334" t="str">
        <f t="shared" si="4"/>
        <v>大同特殊鋼:JSE/大和ﾘﾃｯｸＨ２(特級)</v>
      </c>
    </row>
    <row r="1938" ht="15.75" customHeight="1">
      <c r="A1938" s="335" t="s">
        <v>3107</v>
      </c>
      <c r="B1938" s="336">
        <v>45839.0</v>
      </c>
      <c r="C1938" s="335" t="s">
        <v>537</v>
      </c>
      <c r="D1938" s="335" t="s">
        <v>1407</v>
      </c>
      <c r="E1938" s="337" t="str">
        <f t="shared" si="1"/>
        <v>大同特殊鋼:JSE/第二＠2.3</v>
      </c>
      <c r="F1938" s="338" t="s">
        <v>1199</v>
      </c>
      <c r="G1938" s="339" t="str">
        <f t="shared" si="2"/>
        <v>大同特殊鋼:JSE/第二＠2.3ＨＳ１(単体H1/電特A/HS))</v>
      </c>
      <c r="H1938" s="340">
        <f t="shared" si="3"/>
        <v>40.5</v>
      </c>
      <c r="I1938" s="341">
        <v>-0.5</v>
      </c>
      <c r="J1938" s="332">
        <f>IFERROR(__xludf.DUMMYFUNCTION("IF(IF(COUNTIF(P$2:P1937, P1938)=0, """", INDEX(H$2:H1937,
MAX(FILTER(ROW(H$2:H1937) - ROW(H$2) + 1, P$2:P1937 = P1938))))=""単価"","""",
IF(COUNTIF(P$2:P1937, P1938)=0, """", INDEX(H$2:H1937,
MAX(FILTER(ROW(H$2:H1937) - ROW(H$2) + 1, P$2:P1937 = P1938)))))"),41.0)</f>
        <v>41</v>
      </c>
      <c r="N1938" s="335" t="str">
        <f>IF(MAXIFS('単価履歴'!$O:$O,'単価履歴'!$E:$E,E1938,'単価履歴'!$F:$F,F1938)=O1938,"●","")</f>
        <v/>
      </c>
      <c r="O1938" s="346">
        <v>45839.26583333334</v>
      </c>
      <c r="P1938" s="334" t="str">
        <f t="shared" si="4"/>
        <v>大同特殊鋼:JSE/第二＠2.3ＨＳ１(単体H1/電特A/HS))</v>
      </c>
    </row>
    <row r="1939" ht="15.75" customHeight="1">
      <c r="A1939" s="335" t="s">
        <v>3108</v>
      </c>
      <c r="B1939" s="336">
        <v>45839.0</v>
      </c>
      <c r="C1939" s="335" t="s">
        <v>537</v>
      </c>
      <c r="D1939" s="335" t="s">
        <v>1407</v>
      </c>
      <c r="E1939" s="337" t="str">
        <f t="shared" si="1"/>
        <v>大同特殊鋼:JSE/第二＠2.3</v>
      </c>
      <c r="F1939" s="338" t="s">
        <v>116</v>
      </c>
      <c r="G1939" s="339" t="str">
        <f t="shared" si="2"/>
        <v>大同特殊鋼:JSE/第二＠2.3Ｈ２(特級)</v>
      </c>
      <c r="H1939" s="340">
        <f t="shared" si="3"/>
        <v>37.4</v>
      </c>
      <c r="I1939" s="341">
        <v>-0.5</v>
      </c>
      <c r="J1939" s="332">
        <f>IFERROR(__xludf.DUMMYFUNCTION("IF(IF(COUNTIF(P$2:P1938, P1939)=0, """", INDEX(H$2:H1938,
MAX(FILTER(ROW(H$2:H1938) - ROW(H$2) + 1, P$2:P1938 = P1939))))=""単価"","""",
IF(COUNTIF(P$2:P1938, P1939)=0, """", INDEX(H$2:H1938,
MAX(FILTER(ROW(H$2:H1938) - ROW(H$2) + 1, P$2:P1938 = P1939)))))"),37.900000000000006)</f>
        <v>37.9</v>
      </c>
      <c r="N1939" s="335" t="str">
        <f>IF(MAXIFS('単価履歴'!$O:$O,'単価履歴'!$E:$E,E1939,'単価履歴'!$F:$F,F1939)=O1939,"●","")</f>
        <v/>
      </c>
      <c r="O1939" s="346">
        <v>45839.26583333334</v>
      </c>
      <c r="P1939" s="334" t="str">
        <f t="shared" si="4"/>
        <v>大同特殊鋼:JSE/第二＠2.3Ｈ２(特級)</v>
      </c>
    </row>
    <row r="1940" ht="15.75" customHeight="1">
      <c r="A1940" s="335" t="s">
        <v>3109</v>
      </c>
      <c r="B1940" s="336">
        <v>45839.0</v>
      </c>
      <c r="C1940" s="335" t="s">
        <v>537</v>
      </c>
      <c r="D1940" s="335" t="s">
        <v>1410</v>
      </c>
      <c r="E1940" s="337" t="str">
        <f t="shared" si="1"/>
        <v>大同特殊鋼:JSE/岐阜＠1.5</v>
      </c>
      <c r="F1940" s="338" t="s">
        <v>1199</v>
      </c>
      <c r="G1940" s="339" t="str">
        <f t="shared" si="2"/>
        <v>大同特殊鋼:JSE/岐阜＠1.5ＨＳ１(単体H1/電特A/HS))</v>
      </c>
      <c r="H1940" s="340">
        <f t="shared" si="3"/>
        <v>41.3</v>
      </c>
      <c r="I1940" s="341">
        <v>-0.5</v>
      </c>
      <c r="J1940" s="332">
        <f>IFERROR(__xludf.DUMMYFUNCTION("IF(IF(COUNTIF(P$2:P1939, P1940)=0, """", INDEX(H$2:H1939,
MAX(FILTER(ROW(H$2:H1939) - ROW(H$2) + 1, P$2:P1939 = P1940))))=""単価"","""",
IF(COUNTIF(P$2:P1939, P1940)=0, """", INDEX(H$2:H1939,
MAX(FILTER(ROW(H$2:H1939) - ROW(H$2) + 1, P$2:P1939 = P1940)))))"),41.8)</f>
        <v>41.8</v>
      </c>
      <c r="N1940" s="335" t="str">
        <f>IF(MAXIFS('単価履歴'!$O:$O,'単価履歴'!$E:$E,E1940,'単価履歴'!$F:$F,F1940)=O1940,"●","")</f>
        <v/>
      </c>
      <c r="O1940" s="346">
        <v>45839.26583333334</v>
      </c>
      <c r="P1940" s="334" t="str">
        <f t="shared" si="4"/>
        <v>大同特殊鋼:JSE/岐阜＠1.5ＨＳ１(単体H1/電特A/HS))</v>
      </c>
    </row>
    <row r="1941" ht="15.75" customHeight="1">
      <c r="A1941" s="335" t="s">
        <v>3110</v>
      </c>
      <c r="B1941" s="336">
        <v>45839.0</v>
      </c>
      <c r="C1941" s="335" t="s">
        <v>537</v>
      </c>
      <c r="D1941" s="335" t="s">
        <v>1410</v>
      </c>
      <c r="E1941" s="337" t="str">
        <f t="shared" si="1"/>
        <v>大同特殊鋼:JSE/岐阜＠1.5</v>
      </c>
      <c r="F1941" s="338" t="s">
        <v>116</v>
      </c>
      <c r="G1941" s="339" t="str">
        <f t="shared" si="2"/>
        <v>大同特殊鋼:JSE/岐阜＠1.5Ｈ２(特級)</v>
      </c>
      <c r="H1941" s="340">
        <f t="shared" si="3"/>
        <v>38.2</v>
      </c>
      <c r="I1941" s="341">
        <v>-0.5</v>
      </c>
      <c r="J1941" s="332">
        <f>IFERROR(__xludf.DUMMYFUNCTION("IF(IF(COUNTIF(P$2:P1940, P1941)=0, """", INDEX(H$2:H1940,
MAX(FILTER(ROW(H$2:H1940) - ROW(H$2) + 1, P$2:P1940 = P1941))))=""単価"","""",
IF(COUNTIF(P$2:P1940, P1941)=0, """", INDEX(H$2:H1940,
MAX(FILTER(ROW(H$2:H1940) - ROW(H$2) + 1, P$2:P1940 = P1941)))))"),38.7)</f>
        <v>38.7</v>
      </c>
      <c r="N1941" s="335" t="str">
        <f>IF(MAXIFS('単価履歴'!$O:$O,'単価履歴'!$E:$E,E1941,'単価履歴'!$F:$F,F1941)=O1941,"●","")</f>
        <v/>
      </c>
      <c r="O1941" s="346">
        <v>45839.26583333334</v>
      </c>
      <c r="P1941" s="334" t="str">
        <f t="shared" si="4"/>
        <v>大同特殊鋼:JSE/岐阜＠1.5Ｈ２(特級)</v>
      </c>
    </row>
    <row r="1942" ht="15.75" customHeight="1">
      <c r="A1942" s="335" t="s">
        <v>3111</v>
      </c>
      <c r="B1942" s="336">
        <v>45839.0</v>
      </c>
      <c r="C1942" s="335" t="s">
        <v>12</v>
      </c>
      <c r="D1942" s="335" t="s">
        <v>53</v>
      </c>
      <c r="E1942" s="337" t="str">
        <f t="shared" si="1"/>
        <v>山陽特殊:MM</v>
      </c>
      <c r="F1942" s="338" t="s">
        <v>1199</v>
      </c>
      <c r="G1942" s="339" t="str">
        <f t="shared" si="2"/>
        <v>山陽特殊:MMＨＳ１(単体H1/電特A/HS))</v>
      </c>
      <c r="H1942" s="340">
        <f t="shared" si="3"/>
        <v>46.5</v>
      </c>
      <c r="I1942" s="341">
        <v>-0.5</v>
      </c>
      <c r="J1942" s="332">
        <f>IFERROR(__xludf.DUMMYFUNCTION("IF(IF(COUNTIF(P$2:P1941, P1942)=0, """", INDEX(H$2:H1941,
MAX(FILTER(ROW(H$2:H1941) - ROW(H$2) + 1, P$2:P1941 = P1942))))=""単価"","""",
IF(COUNTIF(P$2:P1941, P1942)=0, """", INDEX(H$2:H1941,
MAX(FILTER(ROW(H$2:H1941) - ROW(H$2) + 1, P$2:P1941 = P1942)))))"),47.0)</f>
        <v>47</v>
      </c>
      <c r="N1942" s="335" t="str">
        <f>IF(MAXIFS('単価履歴'!$O:$O,'単価履歴'!$E:$E,E1942,'単価履歴'!$F:$F,F1942)=O1942,"●","")</f>
        <v/>
      </c>
      <c r="O1942" s="346">
        <v>45839.266168981485</v>
      </c>
      <c r="P1942" s="334" t="str">
        <f t="shared" si="4"/>
        <v>山陽特殊:MMＨＳ１(単体H1/電特A/HS))</v>
      </c>
    </row>
    <row r="1943" ht="15.75" customHeight="1">
      <c r="A1943" s="335" t="s">
        <v>3112</v>
      </c>
      <c r="B1943" s="336">
        <v>45839.0</v>
      </c>
      <c r="C1943" s="335" t="s">
        <v>12</v>
      </c>
      <c r="D1943" s="335" t="s">
        <v>53</v>
      </c>
      <c r="E1943" s="337" t="str">
        <f t="shared" si="1"/>
        <v>山陽特殊:MM</v>
      </c>
      <c r="F1943" s="338" t="s">
        <v>101</v>
      </c>
      <c r="G1943" s="339" t="str">
        <f t="shared" si="2"/>
        <v>山陽特殊:MMＨＳ２</v>
      </c>
      <c r="H1943" s="340">
        <f t="shared" si="3"/>
        <v>46.3</v>
      </c>
      <c r="I1943" s="341">
        <v>-0.5</v>
      </c>
      <c r="J1943" s="332">
        <f>IFERROR(__xludf.DUMMYFUNCTION("IF(IF(COUNTIF(P$2:P1942, P1943)=0, """", INDEX(H$2:H1942,
MAX(FILTER(ROW(H$2:H1942) - ROW(H$2) + 1, P$2:P1942 = P1943))))=""単価"","""",
IF(COUNTIF(P$2:P1942, P1943)=0, """", INDEX(H$2:H1942,
MAX(FILTER(ROW(H$2:H1942) - ROW(H$2) + 1, P$2:P1942 = P1943)))))"),46.8)</f>
        <v>46.8</v>
      </c>
      <c r="N1943" s="335" t="str">
        <f>IF(MAXIFS('単価履歴'!$O:$O,'単価履歴'!$E:$E,E1943,'単価履歴'!$F:$F,F1943)=O1943,"●","")</f>
        <v/>
      </c>
      <c r="O1943" s="346">
        <v>45839.266168981485</v>
      </c>
      <c r="P1943" s="334" t="str">
        <f t="shared" si="4"/>
        <v>山陽特殊:MMＨＳ２</v>
      </c>
    </row>
    <row r="1944" ht="15.75" customHeight="1">
      <c r="A1944" s="335" t="s">
        <v>3113</v>
      </c>
      <c r="B1944" s="336">
        <v>45839.0</v>
      </c>
      <c r="C1944" s="335" t="s">
        <v>12</v>
      </c>
      <c r="D1944" s="335" t="s">
        <v>53</v>
      </c>
      <c r="E1944" s="337" t="str">
        <f t="shared" si="1"/>
        <v>山陽特殊:MM</v>
      </c>
      <c r="F1944" s="338" t="s">
        <v>105</v>
      </c>
      <c r="G1944" s="339" t="str">
        <f t="shared" si="2"/>
        <v>山陽特殊:MMＨＳ３</v>
      </c>
      <c r="H1944" s="340">
        <f t="shared" si="3"/>
        <v>44.3</v>
      </c>
      <c r="I1944" s="341">
        <v>-0.5</v>
      </c>
      <c r="J1944" s="332">
        <f>IFERROR(__xludf.DUMMYFUNCTION("IF(IF(COUNTIF(P$2:P1943, P1944)=0, """", INDEX(H$2:H1943,
MAX(FILTER(ROW(H$2:H1943) - ROW(H$2) + 1, P$2:P1943 = P1944))))=""単価"","""",
IF(COUNTIF(P$2:P1943, P1944)=0, """", INDEX(H$2:H1943,
MAX(FILTER(ROW(H$2:H1943) - ROW(H$2) + 1, P$2:P1943 = P1944)))))"),44.8)</f>
        <v>44.8</v>
      </c>
      <c r="N1944" s="335" t="str">
        <f>IF(MAXIFS('単価履歴'!$O:$O,'単価履歴'!$E:$E,E1944,'単価履歴'!$F:$F,F1944)=O1944,"●","")</f>
        <v/>
      </c>
      <c r="O1944" s="346">
        <v>45839.266168981485</v>
      </c>
      <c r="P1944" s="334" t="str">
        <f t="shared" si="4"/>
        <v>山陽特殊:MMＨＳ３</v>
      </c>
    </row>
    <row r="1945" ht="15.75" customHeight="1">
      <c r="A1945" s="335" t="s">
        <v>3114</v>
      </c>
      <c r="B1945" s="336">
        <v>45839.0</v>
      </c>
      <c r="C1945" s="335" t="s">
        <v>12</v>
      </c>
      <c r="D1945" s="335" t="s">
        <v>53</v>
      </c>
      <c r="E1945" s="337" t="str">
        <f t="shared" si="1"/>
        <v>山陽特殊:MM</v>
      </c>
      <c r="F1945" s="338" t="s">
        <v>122</v>
      </c>
      <c r="G1945" s="339" t="str">
        <f t="shared" si="2"/>
        <v>山陽特殊:MMＬ１(2級)</v>
      </c>
      <c r="H1945" s="340">
        <f t="shared" si="3"/>
        <v>2</v>
      </c>
      <c r="I1945" s="341">
        <v>-0.5</v>
      </c>
      <c r="J1945" s="332">
        <f>IFERROR(__xludf.DUMMYFUNCTION("IF(IF(COUNTIF(P$2:P1944, P1945)=0, """", INDEX(H$2:H1944,
MAX(FILTER(ROW(H$2:H1944) - ROW(H$2) + 1, P$2:P1944 = P1945))))=""単価"","""",
IF(COUNTIF(P$2:P1944, P1945)=0, """", INDEX(H$2:H1944,
MAX(FILTER(ROW(H$2:H1944) - ROW(H$2) + 1, P$2:P1944 = P1945)))))"),2.5)</f>
        <v>2.5</v>
      </c>
      <c r="N1945" s="335" t="str">
        <f>IF(MAXIFS('単価履歴'!$O:$O,'単価履歴'!$E:$E,E1945,'単価履歴'!$F:$F,F1945)=O1945,"●","")</f>
        <v/>
      </c>
      <c r="O1945" s="346">
        <v>45839.266168981485</v>
      </c>
      <c r="P1945" s="334" t="str">
        <f t="shared" si="4"/>
        <v>山陽特殊:MMＬ１(2級)</v>
      </c>
    </row>
    <row r="1946" ht="15.75" customHeight="1">
      <c r="A1946" s="335" t="s">
        <v>3115</v>
      </c>
      <c r="B1946" s="336">
        <v>45839.0</v>
      </c>
      <c r="C1946" s="335" t="s">
        <v>12</v>
      </c>
      <c r="D1946" s="335" t="s">
        <v>53</v>
      </c>
      <c r="E1946" s="337" t="str">
        <f t="shared" si="1"/>
        <v>山陽特殊:MM</v>
      </c>
      <c r="F1946" s="338" t="s">
        <v>574</v>
      </c>
      <c r="G1946" s="339" t="str">
        <f t="shared" si="2"/>
        <v>山陽特殊:MM新断Ｃ</v>
      </c>
      <c r="H1946" s="340">
        <f t="shared" si="3"/>
        <v>41.7</v>
      </c>
      <c r="I1946" s="341">
        <v>-0.5</v>
      </c>
      <c r="J1946" s="332">
        <f>IFERROR(__xludf.DUMMYFUNCTION("IF(IF(COUNTIF(P$2:P1945, P1946)=0, """", INDEX(H$2:H1945,
MAX(FILTER(ROW(H$2:H1945) - ROW(H$2) + 1, P$2:P1945 = P1946))))=""単価"","""",
IF(COUNTIF(P$2:P1945, P1946)=0, """", INDEX(H$2:H1945,
MAX(FILTER(ROW(H$2:H1945) - ROW(H$2) + 1, P$2:P1945 = P1946)))))"),42.199999999999996)</f>
        <v>42.2</v>
      </c>
      <c r="N1946" s="335" t="str">
        <f>IF(MAXIFS('単価履歴'!$O:$O,'単価履歴'!$E:$E,E1946,'単価履歴'!$F:$F,F1946)=O1946,"●","")</f>
        <v/>
      </c>
      <c r="O1946" s="346">
        <v>45839.266168981485</v>
      </c>
      <c r="P1946" s="334" t="str">
        <f t="shared" si="4"/>
        <v>山陽特殊:MM新断Ｃ</v>
      </c>
    </row>
    <row r="1947" ht="15.75" customHeight="1">
      <c r="A1947" s="335" t="s">
        <v>3116</v>
      </c>
      <c r="B1947" s="336">
        <v>45839.0</v>
      </c>
      <c r="C1947" s="335" t="s">
        <v>19</v>
      </c>
      <c r="D1947" s="335" t="s">
        <v>61</v>
      </c>
      <c r="E1947" s="337" t="str">
        <f t="shared" si="1"/>
        <v>トピー工業:ＭＭ</v>
      </c>
      <c r="F1947" s="338" t="s">
        <v>116</v>
      </c>
      <c r="G1947" s="339" t="str">
        <f t="shared" si="2"/>
        <v>トピー工業:ＭＭＨ２(特級)</v>
      </c>
      <c r="H1947" s="340">
        <f t="shared" si="3"/>
        <v>34</v>
      </c>
      <c r="I1947" s="341">
        <v>-0.5</v>
      </c>
      <c r="J1947" s="332">
        <f>IFERROR(__xludf.DUMMYFUNCTION("IF(IF(COUNTIF(P$2:P1946, P1947)=0, """", INDEX(H$2:H1946,
MAX(FILTER(ROW(H$2:H1946) - ROW(H$2) + 1, P$2:P1946 = P1947))))=""単価"","""",
IF(COUNTIF(P$2:P1946, P1947)=0, """", INDEX(H$2:H1946,
MAX(FILTER(ROW(H$2:H1946) - ROW(H$2) + 1, P$2:P1946 = P1947)))))"),34.5)</f>
        <v>34.5</v>
      </c>
      <c r="N1947" s="335" t="str">
        <f>IF(MAXIFS('単価履歴'!$O:$O,'単価履歴'!$E:$E,E1947,'単価履歴'!$F:$F,F1947)=O1947,"●","")</f>
        <v/>
      </c>
      <c r="O1947" s="346">
        <v>45839.27039351852</v>
      </c>
      <c r="P1947" s="334" t="str">
        <f t="shared" si="4"/>
        <v>トピー工業:ＭＭＨ２(特級)</v>
      </c>
    </row>
    <row r="1948" ht="15.75" customHeight="1">
      <c r="A1948" s="335" t="s">
        <v>3117</v>
      </c>
      <c r="B1948" s="336">
        <v>45840.0</v>
      </c>
      <c r="C1948" s="335" t="s">
        <v>31</v>
      </c>
      <c r="D1948" s="335" t="s">
        <v>64</v>
      </c>
      <c r="E1948" s="337" t="str">
        <f t="shared" si="1"/>
        <v>泉北中谷:ナベ双葉</v>
      </c>
      <c r="F1948" s="338" t="s">
        <v>1199</v>
      </c>
      <c r="G1948" s="339" t="str">
        <f t="shared" si="2"/>
        <v>泉北中谷:ナベ双葉ＨＳ１(単体H1/電特A/HS))</v>
      </c>
      <c r="H1948" s="340">
        <f t="shared" si="3"/>
        <v>41.5</v>
      </c>
      <c r="I1948" s="341">
        <v>-1.5</v>
      </c>
      <c r="J1948" s="332">
        <f>IFERROR(__xludf.DUMMYFUNCTION("IF(IF(COUNTIF(P$2:P1947, P1948)=0, """", INDEX(H$2:H1947,
MAX(FILTER(ROW(H$2:H1947) - ROW(H$2) + 1, P$2:P1947 = P1948))))=""単価"","""",
IF(COUNTIF(P$2:P1947, P1948)=0, """", INDEX(H$2:H1947,
MAX(FILTER(ROW(H$2:H1947) - ROW(H$2) + 1, P$2:P1947 = P1948)))))"),43.0)</f>
        <v>43</v>
      </c>
      <c r="N1948" s="335" t="str">
        <f>IF(MAXIFS('単価履歴'!$O:$O,'単価履歴'!$E:$E,E1948,'単価履歴'!$F:$F,F1948)=O1948,"●","")</f>
        <v/>
      </c>
      <c r="O1948" s="346">
        <v>45840.274305555555</v>
      </c>
      <c r="P1948" s="334" t="str">
        <f t="shared" si="4"/>
        <v>泉北中谷:ナベ双葉ＨＳ１(単体H1/電特A/HS))</v>
      </c>
    </row>
    <row r="1949" ht="15.75" customHeight="1">
      <c r="A1949" s="335" t="s">
        <v>3118</v>
      </c>
      <c r="B1949" s="336">
        <v>45840.0</v>
      </c>
      <c r="C1949" s="335" t="s">
        <v>31</v>
      </c>
      <c r="D1949" s="335" t="s">
        <v>64</v>
      </c>
      <c r="E1949" s="337" t="str">
        <f t="shared" si="1"/>
        <v>泉北中谷:ナベ双葉</v>
      </c>
      <c r="F1949" s="338" t="s">
        <v>116</v>
      </c>
      <c r="G1949" s="339" t="str">
        <f t="shared" si="2"/>
        <v>泉北中谷:ナベ双葉Ｈ２(特級)</v>
      </c>
      <c r="H1949" s="340">
        <f t="shared" si="3"/>
        <v>38.5</v>
      </c>
      <c r="I1949" s="341">
        <v>-1.0</v>
      </c>
      <c r="J1949" s="332">
        <f>IFERROR(__xludf.DUMMYFUNCTION("IF(IF(COUNTIF(P$2:P1948, P1949)=0, """", INDEX(H$2:H1948,
MAX(FILTER(ROW(H$2:H1948) - ROW(H$2) + 1, P$2:P1948 = P1949))))=""単価"","""",
IF(COUNTIF(P$2:P1948, P1949)=0, """", INDEX(H$2:H1948,
MAX(FILTER(ROW(H$2:H1948) - ROW(H$2) + 1, P$2:P1948 = P1949)))))"),39.5)</f>
        <v>39.5</v>
      </c>
      <c r="N1949" s="335" t="str">
        <f>IF(MAXIFS('単価履歴'!$O:$O,'単価履歴'!$E:$E,E1949,'単価履歴'!$F:$F,F1949)=O1949,"●","")</f>
        <v/>
      </c>
      <c r="O1949" s="346">
        <v>45840.274629629625</v>
      </c>
      <c r="P1949" s="334" t="str">
        <f t="shared" si="4"/>
        <v>泉北中谷:ナベ双葉Ｈ２(特級)</v>
      </c>
    </row>
    <row r="1950" ht="15.75" customHeight="1">
      <c r="A1950" s="335" t="s">
        <v>3119</v>
      </c>
      <c r="B1950" s="336">
        <v>45840.0</v>
      </c>
      <c r="C1950" s="335" t="s">
        <v>31</v>
      </c>
      <c r="D1950" s="335" t="s">
        <v>64</v>
      </c>
      <c r="E1950" s="337" t="str">
        <f t="shared" si="1"/>
        <v>泉北中谷:ナベ双葉</v>
      </c>
      <c r="F1950" s="338" t="s">
        <v>130</v>
      </c>
      <c r="G1950" s="339" t="str">
        <f t="shared" si="2"/>
        <v>泉北中谷:ナベ双葉新断Ａ</v>
      </c>
      <c r="H1950" s="340">
        <f t="shared" si="3"/>
        <v>41.5</v>
      </c>
      <c r="I1950" s="341">
        <v>-1.0</v>
      </c>
      <c r="J1950" s="332">
        <f>IFERROR(__xludf.DUMMYFUNCTION("IF(IF(COUNTIF(P$2:P1949, P1950)=0, """", INDEX(H$2:H1949,
MAX(FILTER(ROW(H$2:H1949) - ROW(H$2) + 1, P$2:P1949 = P1950))))=""単価"","""",
IF(COUNTIF(P$2:P1949, P1950)=0, """", INDEX(H$2:H1949,
MAX(FILTER(ROW(H$2:H1949) - ROW(H$2) + 1, P$2:P1949 = P1950)))))"),42.5)</f>
        <v>42.5</v>
      </c>
      <c r="N1950" s="335" t="str">
        <f>IF(MAXIFS('単価履歴'!$O:$O,'単価履歴'!$E:$E,E1950,'単価履歴'!$F:$F,F1950)=O1950,"●","")</f>
        <v/>
      </c>
      <c r="O1950" s="346">
        <v>45840.274629629625</v>
      </c>
      <c r="P1950" s="334" t="str">
        <f t="shared" si="4"/>
        <v>泉北中谷:ナベ双葉新断Ａ</v>
      </c>
    </row>
    <row r="1951" ht="15.75" customHeight="1">
      <c r="A1951" s="335" t="s">
        <v>3120</v>
      </c>
      <c r="B1951" s="336">
        <v>45841.0</v>
      </c>
      <c r="C1951" s="335" t="s">
        <v>531</v>
      </c>
      <c r="D1951" s="335" t="s">
        <v>77</v>
      </c>
      <c r="E1951" s="337" t="str">
        <f t="shared" si="1"/>
        <v>東鐵関西:直納</v>
      </c>
      <c r="F1951" s="338" t="s">
        <v>1199</v>
      </c>
      <c r="G1951" s="339" t="str">
        <f t="shared" si="2"/>
        <v>東鐵関西:直納ＨＳ１(単体H1/電特A/HS))</v>
      </c>
      <c r="H1951" s="340">
        <f t="shared" si="3"/>
        <v>42.5</v>
      </c>
      <c r="I1951" s="341">
        <v>-0.5</v>
      </c>
      <c r="J1951" s="332">
        <f>IFERROR(__xludf.DUMMYFUNCTION("IF(IF(COUNTIF(P$2:P1950, P1951)=0, """", INDEX(H$2:H1950,
MAX(FILTER(ROW(H$2:H1950) - ROW(H$2) + 1, P$2:P1950 = P1951))))=""単価"","""",
IF(COUNTIF(P$2:P1950, P1951)=0, """", INDEX(H$2:H1950,
MAX(FILTER(ROW(H$2:H1950) - ROW(H$2) + 1, P$2:P1950 = P1951)))))"),43.0)</f>
        <v>43</v>
      </c>
      <c r="N1951" s="335" t="str">
        <f>IF(MAXIFS('単価履歴'!$O:$O,'単価履歴'!$E:$E,E1951,'単価履歴'!$F:$F,F1951)=O1951,"●","")</f>
        <v/>
      </c>
      <c r="O1951" s="346">
        <v>45841.26855324074</v>
      </c>
      <c r="P1951" s="334" t="str">
        <f t="shared" si="4"/>
        <v>東鐵関西:直納ＨＳ１(単体H1/電特A/HS))</v>
      </c>
    </row>
    <row r="1952" ht="15.75" customHeight="1">
      <c r="A1952" s="335" t="s">
        <v>3121</v>
      </c>
      <c r="B1952" s="336">
        <v>45841.0</v>
      </c>
      <c r="C1952" s="335" t="s">
        <v>531</v>
      </c>
      <c r="D1952" s="335" t="s">
        <v>77</v>
      </c>
      <c r="E1952" s="337" t="str">
        <f t="shared" si="1"/>
        <v>東鐵関西:直納</v>
      </c>
      <c r="F1952" s="338" t="s">
        <v>111</v>
      </c>
      <c r="G1952" s="339" t="str">
        <f t="shared" si="2"/>
        <v>東鐵関西:直納Ｈ１(特A)</v>
      </c>
      <c r="H1952" s="340">
        <f t="shared" si="3"/>
        <v>42</v>
      </c>
      <c r="I1952" s="341">
        <v>-0.5</v>
      </c>
      <c r="J1952" s="332">
        <f>IFERROR(__xludf.DUMMYFUNCTION("IF(IF(COUNTIF(P$2:P1951, P1952)=0, """", INDEX(H$2:H1951,
MAX(FILTER(ROW(H$2:H1951) - ROW(H$2) + 1, P$2:P1951 = P1952))))=""単価"","""",
IF(COUNTIF(P$2:P1951, P1952)=0, """", INDEX(H$2:H1951,
MAX(FILTER(ROW(H$2:H1951) - ROW(H$2) + 1, P$2:P1951 = P1952)))))"),42.5)</f>
        <v>42.5</v>
      </c>
      <c r="N1952" s="335" t="str">
        <f>IF(MAXIFS('単価履歴'!$O:$O,'単価履歴'!$E:$E,E1952,'単価履歴'!$F:$F,F1952)=O1952,"●","")</f>
        <v/>
      </c>
      <c r="O1952" s="346">
        <v>45841.26855324074</v>
      </c>
      <c r="P1952" s="334" t="str">
        <f t="shared" si="4"/>
        <v>東鐵関西:直納Ｈ１(特A)</v>
      </c>
    </row>
    <row r="1953" ht="15.75" customHeight="1">
      <c r="A1953" s="335" t="s">
        <v>3122</v>
      </c>
      <c r="B1953" s="336">
        <v>45841.0</v>
      </c>
      <c r="C1953" s="335" t="s">
        <v>531</v>
      </c>
      <c r="D1953" s="335" t="s">
        <v>77</v>
      </c>
      <c r="E1953" s="337" t="str">
        <f t="shared" si="1"/>
        <v>東鐵関西:直納</v>
      </c>
      <c r="F1953" s="338" t="s">
        <v>116</v>
      </c>
      <c r="G1953" s="339" t="str">
        <f t="shared" si="2"/>
        <v>東鐵関西:直納Ｈ２(特級)</v>
      </c>
      <c r="H1953" s="340">
        <f t="shared" si="3"/>
        <v>40</v>
      </c>
      <c r="I1953" s="341">
        <v>-0.5</v>
      </c>
      <c r="J1953" s="332">
        <f>IFERROR(__xludf.DUMMYFUNCTION("IF(IF(COUNTIF(P$2:P1952, P1953)=0, """", INDEX(H$2:H1952,
MAX(FILTER(ROW(H$2:H1952) - ROW(H$2) + 1, P$2:P1952 = P1953))))=""単価"","""",
IF(COUNTIF(P$2:P1952, P1953)=0, """", INDEX(H$2:H1952,
MAX(FILTER(ROW(H$2:H1952) - ROW(H$2) + 1, P$2:P1952 = P1953)))))"),40.5)</f>
        <v>40.5</v>
      </c>
      <c r="N1953" s="335" t="str">
        <f>IF(MAXIFS('単価履歴'!$O:$O,'単価履歴'!$E:$E,E1953,'単価履歴'!$F:$F,F1953)=O1953,"●","")</f>
        <v/>
      </c>
      <c r="O1953" s="346">
        <v>45841.26855324074</v>
      </c>
      <c r="P1953" s="334" t="str">
        <f t="shared" si="4"/>
        <v>東鐵関西:直納Ｈ２(特級)</v>
      </c>
    </row>
    <row r="1954" ht="15.75" customHeight="1">
      <c r="A1954" s="335" t="s">
        <v>3123</v>
      </c>
      <c r="B1954" s="336">
        <v>45841.0</v>
      </c>
      <c r="C1954" s="335" t="s">
        <v>531</v>
      </c>
      <c r="D1954" s="335" t="s">
        <v>77</v>
      </c>
      <c r="E1954" s="337" t="str">
        <f t="shared" si="1"/>
        <v>東鐵関西:直納</v>
      </c>
      <c r="F1954" s="338" t="s">
        <v>119</v>
      </c>
      <c r="G1954" s="339" t="str">
        <f t="shared" si="2"/>
        <v>東鐵関西:直納Ｈ３(1級)</v>
      </c>
      <c r="H1954" s="340">
        <f t="shared" si="3"/>
        <v>40</v>
      </c>
      <c r="I1954" s="341">
        <v>-0.5</v>
      </c>
      <c r="J1954" s="332">
        <f>IFERROR(__xludf.DUMMYFUNCTION("IF(IF(COUNTIF(P$2:P1953, P1954)=0, """", INDEX(H$2:H1953,
MAX(FILTER(ROW(H$2:H1953) - ROW(H$2) + 1, P$2:P1953 = P1954))))=""単価"","""",
IF(COUNTIF(P$2:P1953, P1954)=0, """", INDEX(H$2:H1953,
MAX(FILTER(ROW(H$2:H1953) - ROW(H$2) + 1, P$2:P1953 = P1954)))))"),40.5)</f>
        <v>40.5</v>
      </c>
      <c r="N1954" s="335" t="str">
        <f>IF(MAXIFS('単価履歴'!$O:$O,'単価履歴'!$E:$E,E1954,'単価履歴'!$F:$F,F1954)=O1954,"●","")</f>
        <v/>
      </c>
      <c r="O1954" s="346">
        <v>45841.26855324074</v>
      </c>
      <c r="P1954" s="334" t="str">
        <f t="shared" si="4"/>
        <v>東鐵関西:直納Ｈ３(1級)</v>
      </c>
    </row>
    <row r="1955" ht="15.75" customHeight="1">
      <c r="A1955" s="335" t="s">
        <v>3124</v>
      </c>
      <c r="B1955" s="336">
        <v>45841.0</v>
      </c>
      <c r="C1955" s="335" t="s">
        <v>531</v>
      </c>
      <c r="D1955" s="335" t="s">
        <v>77</v>
      </c>
      <c r="E1955" s="337" t="str">
        <f t="shared" si="1"/>
        <v>東鐵関西:直納</v>
      </c>
      <c r="F1955" s="338" t="s">
        <v>122</v>
      </c>
      <c r="G1955" s="339" t="str">
        <f t="shared" si="2"/>
        <v>東鐵関西:直納Ｌ１(2級)</v>
      </c>
      <c r="H1955" s="340">
        <f t="shared" si="3"/>
        <v>38</v>
      </c>
      <c r="I1955" s="341">
        <v>-0.5</v>
      </c>
      <c r="J1955" s="332">
        <f>IFERROR(__xludf.DUMMYFUNCTION("IF(IF(COUNTIF(P$2:P1954, P1955)=0, """", INDEX(H$2:H1954,
MAX(FILTER(ROW(H$2:H1954) - ROW(H$2) + 1, P$2:P1954 = P1955))))=""単価"","""",
IF(COUNTIF(P$2:P1954, P1955)=0, """", INDEX(H$2:H1954,
MAX(FILTER(ROW(H$2:H1954) - ROW(H$2) + 1, P$2:P1954 = P1955)))))"),38.5)</f>
        <v>38.5</v>
      </c>
      <c r="N1955" s="335" t="str">
        <f>IF(MAXIFS('単価履歴'!$O:$O,'単価履歴'!$E:$E,E1955,'単価履歴'!$F:$F,F1955)=O1955,"●","")</f>
        <v/>
      </c>
      <c r="O1955" s="346">
        <v>45841.26855324074</v>
      </c>
      <c r="P1955" s="334" t="str">
        <f t="shared" si="4"/>
        <v>東鐵関西:直納Ｌ１(2級)</v>
      </c>
    </row>
    <row r="1956" ht="15.75" customHeight="1">
      <c r="A1956" s="335" t="s">
        <v>3125</v>
      </c>
      <c r="B1956" s="336">
        <v>45841.0</v>
      </c>
      <c r="C1956" s="335" t="s">
        <v>531</v>
      </c>
      <c r="D1956" s="335" t="s">
        <v>77</v>
      </c>
      <c r="E1956" s="337" t="str">
        <f t="shared" si="1"/>
        <v>東鐵関西:直納</v>
      </c>
      <c r="F1956" s="338" t="s">
        <v>573</v>
      </c>
      <c r="G1956" s="339" t="str">
        <f t="shared" si="2"/>
        <v>東鐵関西:直納Ｌ２(H4･級外･L1ﾊﾞﾗ)</v>
      </c>
      <c r="H1956" s="340">
        <f t="shared" si="3"/>
        <v>35</v>
      </c>
      <c r="I1956" s="341">
        <v>-0.5</v>
      </c>
      <c r="J1956" s="332">
        <f>IFERROR(__xludf.DUMMYFUNCTION("IF(IF(COUNTIF(P$2:P1955, P1956)=0, """", INDEX(H$2:H1955,
MAX(FILTER(ROW(H$2:H1955) - ROW(H$2) + 1, P$2:P1955 = P1956))))=""単価"","""",
IF(COUNTIF(P$2:P1955, P1956)=0, """", INDEX(H$2:H1955,
MAX(FILTER(ROW(H$2:H1955) - ROW(H$2) + 1, P$2:P1955 = P1956)))))"),35.5)</f>
        <v>35.5</v>
      </c>
      <c r="N1956" s="335" t="str">
        <f>IF(MAXIFS('単価履歴'!$O:$O,'単価履歴'!$E:$E,E1956,'単価履歴'!$F:$F,F1956)=O1956,"●","")</f>
        <v/>
      </c>
      <c r="O1956" s="346">
        <v>45841.26855324074</v>
      </c>
      <c r="P1956" s="334" t="str">
        <f t="shared" si="4"/>
        <v>東鐵関西:直納Ｌ２(H4･級外･L1ﾊﾞﾗ)</v>
      </c>
    </row>
    <row r="1957" ht="15.75" customHeight="1">
      <c r="A1957" s="335" t="s">
        <v>3126</v>
      </c>
      <c r="B1957" s="336">
        <v>45841.0</v>
      </c>
      <c r="C1957" s="335" t="s">
        <v>531</v>
      </c>
      <c r="D1957" s="335" t="s">
        <v>77</v>
      </c>
      <c r="E1957" s="337" t="str">
        <f t="shared" si="1"/>
        <v>東鐵関西:直納</v>
      </c>
      <c r="F1957" s="338" t="s">
        <v>145</v>
      </c>
      <c r="G1957" s="339" t="str">
        <f t="shared" si="2"/>
        <v>東鐵関西:直納シュレＡ</v>
      </c>
      <c r="H1957" s="340">
        <f t="shared" si="3"/>
        <v>42</v>
      </c>
      <c r="I1957" s="341">
        <v>-0.5</v>
      </c>
      <c r="J1957" s="332">
        <f>IFERROR(__xludf.DUMMYFUNCTION("IF(IF(COUNTIF(P$2:P1956, P1957)=0, """", INDEX(H$2:H1956,
MAX(FILTER(ROW(H$2:H1956) - ROW(H$2) + 1, P$2:P1956 = P1957))))=""単価"","""",
IF(COUNTIF(P$2:P1956, P1957)=0, """", INDEX(H$2:H1956,
MAX(FILTER(ROW(H$2:H1956) - ROW(H$2) + 1, P$2:P1956 = P1957)))))"),42.5)</f>
        <v>42.5</v>
      </c>
      <c r="N1957" s="335" t="str">
        <f>IF(MAXIFS('単価履歴'!$O:$O,'単価履歴'!$E:$E,E1957,'単価履歴'!$F:$F,F1957)=O1957,"●","")</f>
        <v/>
      </c>
      <c r="O1957" s="346">
        <v>45841.26855324074</v>
      </c>
      <c r="P1957" s="334" t="str">
        <f t="shared" si="4"/>
        <v>東鐵関西:直納シュレＡ</v>
      </c>
    </row>
    <row r="1958" ht="15.75" customHeight="1">
      <c r="A1958" s="335" t="s">
        <v>3127</v>
      </c>
      <c r="B1958" s="336">
        <v>45841.0</v>
      </c>
      <c r="C1958" s="335" t="s">
        <v>531</v>
      </c>
      <c r="D1958" s="335" t="s">
        <v>77</v>
      </c>
      <c r="E1958" s="337" t="str">
        <f t="shared" si="1"/>
        <v>東鐵関西:直納</v>
      </c>
      <c r="F1958" s="338" t="s">
        <v>151</v>
      </c>
      <c r="G1958" s="339" t="str">
        <f t="shared" si="2"/>
        <v>東鐵関西:直納シュレＣ</v>
      </c>
      <c r="H1958" s="340">
        <f t="shared" si="3"/>
        <v>41</v>
      </c>
      <c r="I1958" s="341">
        <v>-0.5</v>
      </c>
      <c r="J1958" s="332">
        <f>IFERROR(__xludf.DUMMYFUNCTION("IF(IF(COUNTIF(P$2:P1957, P1958)=0, """", INDEX(H$2:H1957,
MAX(FILTER(ROW(H$2:H1957) - ROW(H$2) + 1, P$2:P1957 = P1958))))=""単価"","""",
IF(COUNTIF(P$2:P1957, P1958)=0, """", INDEX(H$2:H1957,
MAX(FILTER(ROW(H$2:H1957) - ROW(H$2) + 1, P$2:P1957 = P1958)))))"),41.5)</f>
        <v>41.5</v>
      </c>
      <c r="N1958" s="335" t="str">
        <f>IF(MAXIFS('単価履歴'!$O:$O,'単価履歴'!$E:$E,E1958,'単価履歴'!$F:$F,F1958)=O1958,"●","")</f>
        <v/>
      </c>
      <c r="O1958" s="346">
        <v>45841.26855324074</v>
      </c>
      <c r="P1958" s="334" t="str">
        <f t="shared" si="4"/>
        <v>東鐵関西:直納シュレＣ</v>
      </c>
    </row>
    <row r="1959" ht="15.75" customHeight="1">
      <c r="A1959" s="335" t="s">
        <v>3128</v>
      </c>
      <c r="B1959" s="336">
        <v>45841.0</v>
      </c>
      <c r="C1959" s="335" t="s">
        <v>532</v>
      </c>
      <c r="D1959" s="335" t="s">
        <v>77</v>
      </c>
      <c r="E1959" s="337" t="str">
        <f t="shared" si="1"/>
        <v>東鐵岡山:直納</v>
      </c>
      <c r="F1959" s="338" t="s">
        <v>1199</v>
      </c>
      <c r="G1959" s="339" t="str">
        <f t="shared" si="2"/>
        <v>東鐵岡山:直納ＨＳ１(単体H1/電特A/HS))</v>
      </c>
      <c r="H1959" s="340">
        <f t="shared" si="3"/>
        <v>42</v>
      </c>
      <c r="I1959" s="341">
        <v>-0.5</v>
      </c>
      <c r="J1959" s="332">
        <f>IFERROR(__xludf.DUMMYFUNCTION("IF(IF(COUNTIF(P$2:P1958, P1959)=0, """", INDEX(H$2:H1958,
MAX(FILTER(ROW(H$2:H1958) - ROW(H$2) + 1, P$2:P1958 = P1959))))=""単価"","""",
IF(COUNTIF(P$2:P1958, P1959)=0, """", INDEX(H$2:H1958,
MAX(FILTER(ROW(H$2:H1958) - ROW(H$2) + 1, P$2:P1958 = P1959)))))"),42.5)</f>
        <v>42.5</v>
      </c>
      <c r="N1959" s="335" t="str">
        <f>IF(MAXIFS('単価履歴'!$O:$O,'単価履歴'!$E:$E,E1959,'単価履歴'!$F:$F,F1959)=O1959,"●","")</f>
        <v/>
      </c>
      <c r="O1959" s="346">
        <v>45841.26892361111</v>
      </c>
      <c r="P1959" s="334" t="str">
        <f t="shared" si="4"/>
        <v>東鐵岡山:直納ＨＳ１(単体H1/電特A/HS))</v>
      </c>
    </row>
    <row r="1960" ht="15.75" customHeight="1">
      <c r="A1960" s="335" t="s">
        <v>3129</v>
      </c>
      <c r="B1960" s="336">
        <v>45841.0</v>
      </c>
      <c r="C1960" s="335" t="s">
        <v>532</v>
      </c>
      <c r="D1960" s="335" t="s">
        <v>77</v>
      </c>
      <c r="E1960" s="337" t="str">
        <f t="shared" si="1"/>
        <v>東鐵岡山:直納</v>
      </c>
      <c r="F1960" s="338" t="s">
        <v>111</v>
      </c>
      <c r="G1960" s="339" t="str">
        <f t="shared" si="2"/>
        <v>東鐵岡山:直納Ｈ１(特A)</v>
      </c>
      <c r="H1960" s="340">
        <f t="shared" si="3"/>
        <v>40.7</v>
      </c>
      <c r="I1960" s="341">
        <v>-0.5</v>
      </c>
      <c r="J1960" s="332">
        <f>IFERROR(__xludf.DUMMYFUNCTION("IF(IF(COUNTIF(P$2:P1959, P1960)=0, """", INDEX(H$2:H1959,
MAX(FILTER(ROW(H$2:H1959) - ROW(H$2) + 1, P$2:P1959 = P1960))))=""単価"","""",
IF(COUNTIF(P$2:P1959, P1960)=0, """", INDEX(H$2:H1959,
MAX(FILTER(ROW(H$2:H1959) - ROW(H$2) + 1, P$2:P1959 = P1960)))))"),41.2)</f>
        <v>41.2</v>
      </c>
      <c r="N1960" s="335" t="str">
        <f>IF(MAXIFS('単価履歴'!$O:$O,'単価履歴'!$E:$E,E1960,'単価履歴'!$F:$F,F1960)=O1960,"●","")</f>
        <v/>
      </c>
      <c r="O1960" s="346">
        <v>45841.26892361111</v>
      </c>
      <c r="P1960" s="334" t="str">
        <f t="shared" si="4"/>
        <v>東鐵岡山:直納Ｈ１(特A)</v>
      </c>
    </row>
    <row r="1961" ht="15.75" customHeight="1">
      <c r="A1961" s="335" t="s">
        <v>3130</v>
      </c>
      <c r="B1961" s="336">
        <v>45841.0</v>
      </c>
      <c r="C1961" s="335" t="s">
        <v>532</v>
      </c>
      <c r="D1961" s="335" t="s">
        <v>77</v>
      </c>
      <c r="E1961" s="337" t="str">
        <f t="shared" si="1"/>
        <v>東鐵岡山:直納</v>
      </c>
      <c r="F1961" s="338" t="s">
        <v>116</v>
      </c>
      <c r="G1961" s="339" t="str">
        <f t="shared" si="2"/>
        <v>東鐵岡山:直納Ｈ２(特級)</v>
      </c>
      <c r="H1961" s="340">
        <f t="shared" si="3"/>
        <v>40</v>
      </c>
      <c r="I1961" s="341">
        <v>-0.5</v>
      </c>
      <c r="J1961" s="332">
        <f>IFERROR(__xludf.DUMMYFUNCTION("IF(IF(COUNTIF(P$2:P1960, P1961)=0, """", INDEX(H$2:H1960,
MAX(FILTER(ROW(H$2:H1960) - ROW(H$2) + 1, P$2:P1960 = P1961))))=""単価"","""",
IF(COUNTIF(P$2:P1960, P1961)=0, """", INDEX(H$2:H1960,
MAX(FILTER(ROW(H$2:H1960) - ROW(H$2) + 1, P$2:P1960 = P1961)))))"),40.5)</f>
        <v>40.5</v>
      </c>
      <c r="N1961" s="335" t="str">
        <f>IF(MAXIFS('単価履歴'!$O:$O,'単価履歴'!$E:$E,E1961,'単価履歴'!$F:$F,F1961)=O1961,"●","")</f>
        <v/>
      </c>
      <c r="O1961" s="346">
        <v>45841.26892361111</v>
      </c>
      <c r="P1961" s="334" t="str">
        <f t="shared" si="4"/>
        <v>東鐵岡山:直納Ｈ２(特級)</v>
      </c>
    </row>
    <row r="1962" ht="15.75" customHeight="1">
      <c r="A1962" s="335" t="s">
        <v>3131</v>
      </c>
      <c r="B1962" s="336">
        <v>45841.0</v>
      </c>
      <c r="C1962" s="335" t="s">
        <v>532</v>
      </c>
      <c r="D1962" s="335" t="s">
        <v>77</v>
      </c>
      <c r="E1962" s="337" t="str">
        <f t="shared" si="1"/>
        <v>東鐵岡山:直納</v>
      </c>
      <c r="F1962" s="338" t="s">
        <v>119</v>
      </c>
      <c r="G1962" s="339" t="str">
        <f t="shared" si="2"/>
        <v>東鐵岡山:直納Ｈ３(1級)</v>
      </c>
      <c r="H1962" s="340">
        <f t="shared" si="3"/>
        <v>39.5</v>
      </c>
      <c r="I1962" s="341">
        <v>-0.5</v>
      </c>
      <c r="J1962" s="332">
        <f>IFERROR(__xludf.DUMMYFUNCTION("IF(IF(COUNTIF(P$2:P1961, P1962)=0, """", INDEX(H$2:H1961,
MAX(FILTER(ROW(H$2:H1961) - ROW(H$2) + 1, P$2:P1961 = P1962))))=""単価"","""",
IF(COUNTIF(P$2:P1961, P1962)=0, """", INDEX(H$2:H1961,
MAX(FILTER(ROW(H$2:H1961) - ROW(H$2) + 1, P$2:P1961 = P1962)))))"),40.0)</f>
        <v>40</v>
      </c>
      <c r="N1962" s="335" t="str">
        <f>IF(MAXIFS('単価履歴'!$O:$O,'単価履歴'!$E:$E,E1962,'単価履歴'!$F:$F,F1962)=O1962,"●","")</f>
        <v/>
      </c>
      <c r="O1962" s="346">
        <v>45841.26892361111</v>
      </c>
      <c r="P1962" s="334" t="str">
        <f t="shared" si="4"/>
        <v>東鐵岡山:直納Ｈ３(1級)</v>
      </c>
    </row>
    <row r="1963" ht="15.75" customHeight="1">
      <c r="A1963" s="335" t="s">
        <v>3132</v>
      </c>
      <c r="B1963" s="336">
        <v>45841.0</v>
      </c>
      <c r="C1963" s="335" t="s">
        <v>532</v>
      </c>
      <c r="D1963" s="335" t="s">
        <v>77</v>
      </c>
      <c r="E1963" s="337" t="str">
        <f t="shared" si="1"/>
        <v>東鐵岡山:直納</v>
      </c>
      <c r="F1963" s="338" t="s">
        <v>122</v>
      </c>
      <c r="G1963" s="339" t="str">
        <f t="shared" si="2"/>
        <v>東鐵岡山:直納Ｌ１(2級)</v>
      </c>
      <c r="H1963" s="340">
        <f t="shared" si="3"/>
        <v>38</v>
      </c>
      <c r="I1963" s="341">
        <v>-0.5</v>
      </c>
      <c r="J1963" s="332">
        <f>IFERROR(__xludf.DUMMYFUNCTION("IF(IF(COUNTIF(P$2:P1962, P1963)=0, """", INDEX(H$2:H1962,
MAX(FILTER(ROW(H$2:H1962) - ROW(H$2) + 1, P$2:P1962 = P1963))))=""単価"","""",
IF(COUNTIF(P$2:P1962, P1963)=0, """", INDEX(H$2:H1962,
MAX(FILTER(ROW(H$2:H1962) - ROW(H$2) + 1, P$2:P1962 = P1963)))))"),38.5)</f>
        <v>38.5</v>
      </c>
      <c r="N1963" s="335" t="str">
        <f>IF(MAXIFS('単価履歴'!$O:$O,'単価履歴'!$E:$E,E1963,'単価履歴'!$F:$F,F1963)=O1963,"●","")</f>
        <v/>
      </c>
      <c r="O1963" s="346">
        <v>45841.26892361111</v>
      </c>
      <c r="P1963" s="334" t="str">
        <f t="shared" si="4"/>
        <v>東鐵岡山:直納Ｌ１(2級)</v>
      </c>
    </row>
    <row r="1964" ht="15.75" customHeight="1">
      <c r="A1964" s="335" t="s">
        <v>3133</v>
      </c>
      <c r="B1964" s="336">
        <v>45841.0</v>
      </c>
      <c r="C1964" s="335" t="s">
        <v>532</v>
      </c>
      <c r="D1964" s="335" t="s">
        <v>77</v>
      </c>
      <c r="E1964" s="337" t="str">
        <f t="shared" si="1"/>
        <v>東鐵岡山:直納</v>
      </c>
      <c r="F1964" s="338" t="s">
        <v>573</v>
      </c>
      <c r="G1964" s="339" t="str">
        <f t="shared" si="2"/>
        <v>東鐵岡山:直納Ｌ２(H4･級外･L1ﾊﾞﾗ)</v>
      </c>
      <c r="H1964" s="340">
        <f t="shared" si="3"/>
        <v>35</v>
      </c>
      <c r="I1964" s="341">
        <v>-0.5</v>
      </c>
      <c r="J1964" s="332">
        <f>IFERROR(__xludf.DUMMYFUNCTION("IF(IF(COUNTIF(P$2:P1963, P1964)=0, """", INDEX(H$2:H1963,
MAX(FILTER(ROW(H$2:H1963) - ROW(H$2) + 1, P$2:P1963 = P1964))))=""単価"","""",
IF(COUNTIF(P$2:P1963, P1964)=0, """", INDEX(H$2:H1963,
MAX(FILTER(ROW(H$2:H1963) - ROW(H$2) + 1, P$2:P1963 = P1964)))))"),35.5)</f>
        <v>35.5</v>
      </c>
      <c r="N1964" s="335" t="str">
        <f>IF(MAXIFS('単価履歴'!$O:$O,'単価履歴'!$E:$E,E1964,'単価履歴'!$F:$F,F1964)=O1964,"●","")</f>
        <v/>
      </c>
      <c r="O1964" s="346">
        <v>45841.26892361111</v>
      </c>
      <c r="P1964" s="334" t="str">
        <f t="shared" si="4"/>
        <v>東鐵岡山:直納Ｌ２(H4･級外･L1ﾊﾞﾗ)</v>
      </c>
    </row>
    <row r="1965" ht="15.75" customHeight="1">
      <c r="A1965" s="335" t="s">
        <v>3134</v>
      </c>
      <c r="B1965" s="336">
        <v>45841.0</v>
      </c>
      <c r="C1965" s="335" t="s">
        <v>532</v>
      </c>
      <c r="D1965" s="335" t="s">
        <v>77</v>
      </c>
      <c r="E1965" s="337" t="str">
        <f t="shared" si="1"/>
        <v>東鐵岡山:直納</v>
      </c>
      <c r="F1965" s="338" t="s">
        <v>145</v>
      </c>
      <c r="G1965" s="339" t="str">
        <f t="shared" si="2"/>
        <v>東鐵岡山:直納シュレＡ</v>
      </c>
      <c r="H1965" s="340">
        <f t="shared" si="3"/>
        <v>40.5</v>
      </c>
      <c r="I1965" s="341">
        <v>-0.5</v>
      </c>
      <c r="J1965" s="332">
        <f>IFERROR(__xludf.DUMMYFUNCTION("IF(IF(COUNTIF(P$2:P1964, P1965)=0, """", INDEX(H$2:H1964,
MAX(FILTER(ROW(H$2:H1964) - ROW(H$2) + 1, P$2:P1964 = P1965))))=""単価"","""",
IF(COUNTIF(P$2:P1964, P1965)=0, """", INDEX(H$2:H1964,
MAX(FILTER(ROW(H$2:H1964) - ROW(H$2) + 1, P$2:P1964 = P1965)))))"),41.0)</f>
        <v>41</v>
      </c>
      <c r="N1965" s="335" t="str">
        <f>IF(MAXIFS('単価履歴'!$O:$O,'単価履歴'!$E:$E,E1965,'単価履歴'!$F:$F,F1965)=O1965,"●","")</f>
        <v/>
      </c>
      <c r="O1965" s="346">
        <v>45841.26892361111</v>
      </c>
      <c r="P1965" s="334" t="str">
        <f t="shared" si="4"/>
        <v>東鐵岡山:直納シュレＡ</v>
      </c>
    </row>
    <row r="1966" ht="15.75" customHeight="1">
      <c r="A1966" s="335" t="s">
        <v>3135</v>
      </c>
      <c r="B1966" s="336">
        <v>45841.0</v>
      </c>
      <c r="C1966" s="335" t="s">
        <v>532</v>
      </c>
      <c r="D1966" s="335" t="s">
        <v>77</v>
      </c>
      <c r="E1966" s="337" t="str">
        <f t="shared" si="1"/>
        <v>東鐵岡山:直納</v>
      </c>
      <c r="F1966" s="338" t="s">
        <v>151</v>
      </c>
      <c r="G1966" s="339" t="str">
        <f t="shared" si="2"/>
        <v>東鐵岡山:直納シュレＣ</v>
      </c>
      <c r="H1966" s="340">
        <f t="shared" si="3"/>
        <v>40</v>
      </c>
      <c r="I1966" s="341">
        <v>-0.5</v>
      </c>
      <c r="J1966" s="332">
        <f>IFERROR(__xludf.DUMMYFUNCTION("IF(IF(COUNTIF(P$2:P1965, P1966)=0, """", INDEX(H$2:H1965,
MAX(FILTER(ROW(H$2:H1965) - ROW(H$2) + 1, P$2:P1965 = P1966))))=""単価"","""",
IF(COUNTIF(P$2:P1965, P1966)=0, """", INDEX(H$2:H1965,
MAX(FILTER(ROW(H$2:H1965) - ROW(H$2) + 1, P$2:P1965 = P1966)))))"),40.5)</f>
        <v>40.5</v>
      </c>
      <c r="N1966" s="335" t="str">
        <f>IF(MAXIFS('単価履歴'!$O:$O,'単価履歴'!$E:$E,E1966,'単価履歴'!$F:$F,F1966)=O1966,"●","")</f>
        <v/>
      </c>
      <c r="O1966" s="346">
        <v>45841.26892361111</v>
      </c>
      <c r="P1966" s="334" t="str">
        <f t="shared" si="4"/>
        <v>東鐵岡山:直納シュレＣ</v>
      </c>
    </row>
    <row r="1967" ht="15.75" customHeight="1">
      <c r="A1967" s="335" t="s">
        <v>3136</v>
      </c>
      <c r="B1967" s="336">
        <v>45841.0</v>
      </c>
      <c r="C1967" s="335" t="s">
        <v>532</v>
      </c>
      <c r="D1967" s="335" t="s">
        <v>77</v>
      </c>
      <c r="E1967" s="337" t="str">
        <f t="shared" si="1"/>
        <v>東鐵岡山:直納</v>
      </c>
      <c r="F1967" s="338" t="s">
        <v>130</v>
      </c>
      <c r="G1967" s="339" t="str">
        <f t="shared" si="2"/>
        <v>東鐵岡山:直納新断Ａ</v>
      </c>
      <c r="H1967" s="340">
        <f t="shared" si="3"/>
        <v>41</v>
      </c>
      <c r="I1967" s="341">
        <v>-0.5</v>
      </c>
      <c r="J1967" s="332">
        <f>IFERROR(__xludf.DUMMYFUNCTION("IF(IF(COUNTIF(P$2:P1966, P1967)=0, """", INDEX(H$2:H1966,
MAX(FILTER(ROW(H$2:H1966) - ROW(H$2) + 1, P$2:P1966 = P1967))))=""単価"","""",
IF(COUNTIF(P$2:P1966, P1967)=0, """", INDEX(H$2:H1966,
MAX(FILTER(ROW(H$2:H1966) - ROW(H$2) + 1, P$2:P1966 = P1967)))))"),41.5)</f>
        <v>41.5</v>
      </c>
      <c r="N1967" s="335" t="str">
        <f>IF(MAXIFS('単価履歴'!$O:$O,'単価履歴'!$E:$E,E1967,'単価履歴'!$F:$F,F1967)=O1967,"●","")</f>
        <v/>
      </c>
      <c r="O1967" s="346">
        <v>45841.26892361111</v>
      </c>
      <c r="P1967" s="334" t="str">
        <f t="shared" si="4"/>
        <v>東鐵岡山:直納新断Ａ</v>
      </c>
    </row>
    <row r="1968" ht="15.75" customHeight="1">
      <c r="A1968" s="335" t="s">
        <v>3137</v>
      </c>
      <c r="B1968" s="336">
        <v>45841.0</v>
      </c>
      <c r="C1968" s="335" t="s">
        <v>532</v>
      </c>
      <c r="D1968" s="335" t="s">
        <v>77</v>
      </c>
      <c r="E1968" s="337" t="str">
        <f t="shared" si="1"/>
        <v>東鐵岡山:直納</v>
      </c>
      <c r="F1968" s="338" t="s">
        <v>131</v>
      </c>
      <c r="G1968" s="339" t="str">
        <f t="shared" si="2"/>
        <v>東鐵岡山:直納新断Ｂ</v>
      </c>
      <c r="H1968" s="340">
        <f t="shared" si="3"/>
        <v>41</v>
      </c>
      <c r="I1968" s="341">
        <v>-0.5</v>
      </c>
      <c r="J1968" s="332">
        <f>IFERROR(__xludf.DUMMYFUNCTION("IF(IF(COUNTIF(P$2:P1967, P1968)=0, """", INDEX(H$2:H1967,
MAX(FILTER(ROW(H$2:H1967) - ROW(H$2) + 1, P$2:P1967 = P1968))))=""単価"","""",
IF(COUNTIF(P$2:P1967, P1968)=0, """", INDEX(H$2:H1967,
MAX(FILTER(ROW(H$2:H1967) - ROW(H$2) + 1, P$2:P1967 = P1968)))))"),41.5)</f>
        <v>41.5</v>
      </c>
      <c r="N1968" s="335" t="str">
        <f>IF(MAXIFS('単価履歴'!$O:$O,'単価履歴'!$E:$E,E1968,'単価履歴'!$F:$F,F1968)=O1968,"●","")</f>
        <v/>
      </c>
      <c r="O1968" s="346">
        <v>45841.26892361111</v>
      </c>
      <c r="P1968" s="334" t="str">
        <f t="shared" si="4"/>
        <v>東鐵岡山:直納新断Ｂ</v>
      </c>
    </row>
    <row r="1969" ht="15.75" customHeight="1">
      <c r="A1969" s="335" t="s">
        <v>3138</v>
      </c>
      <c r="B1969" s="336">
        <v>45841.0</v>
      </c>
      <c r="C1969" s="335" t="s">
        <v>532</v>
      </c>
      <c r="D1969" s="335" t="s">
        <v>77</v>
      </c>
      <c r="E1969" s="337" t="str">
        <f t="shared" si="1"/>
        <v>東鐵岡山:直納</v>
      </c>
      <c r="F1969" s="338" t="s">
        <v>575</v>
      </c>
      <c r="G1969" s="339" t="str">
        <f t="shared" si="2"/>
        <v>東鐵岡山:直納鋼ダライＡ</v>
      </c>
      <c r="H1969" s="340">
        <f t="shared" si="3"/>
        <v>36</v>
      </c>
      <c r="I1969" s="341">
        <v>-0.5</v>
      </c>
      <c r="J1969" s="332">
        <f>IFERROR(__xludf.DUMMYFUNCTION("IF(IF(COUNTIF(P$2:P1968, P1969)=0, """", INDEX(H$2:H1968,
MAX(FILTER(ROW(H$2:H1968) - ROW(H$2) + 1, P$2:P1968 = P1969))))=""単価"","""",
IF(COUNTIF(P$2:P1968, P1969)=0, """", INDEX(H$2:H1968,
MAX(FILTER(ROW(H$2:H1968) - ROW(H$2) + 1, P$2:P1968 = P1969)))))"),36.5)</f>
        <v>36.5</v>
      </c>
      <c r="N1969" s="335" t="str">
        <f>IF(MAXIFS('単価履歴'!$O:$O,'単価履歴'!$E:$E,E1969,'単価履歴'!$F:$F,F1969)=O1969,"●","")</f>
        <v/>
      </c>
      <c r="O1969" s="346">
        <v>45841.26892361111</v>
      </c>
      <c r="P1969" s="334" t="str">
        <f t="shared" si="4"/>
        <v>東鐵岡山:直納鋼ダライＡ</v>
      </c>
    </row>
    <row r="1970" ht="15.75" customHeight="1">
      <c r="A1970" s="335" t="s">
        <v>3139</v>
      </c>
      <c r="B1970" s="336">
        <v>45841.0</v>
      </c>
      <c r="C1970" s="335" t="s">
        <v>532</v>
      </c>
      <c r="D1970" s="335" t="s">
        <v>77</v>
      </c>
      <c r="E1970" s="337" t="str">
        <f t="shared" si="1"/>
        <v>東鐵岡山:直納</v>
      </c>
      <c r="F1970" s="338" t="s">
        <v>25</v>
      </c>
      <c r="G1970" s="339" t="str">
        <f t="shared" si="2"/>
        <v>東鐵岡山:直納銑ダライ</v>
      </c>
      <c r="H1970" s="340">
        <f t="shared" si="3"/>
        <v>32.5</v>
      </c>
      <c r="I1970" s="341">
        <v>-0.5</v>
      </c>
      <c r="J1970" s="332">
        <f>IFERROR(__xludf.DUMMYFUNCTION("IF(IF(COUNTIF(P$2:P1969, P1970)=0, """", INDEX(H$2:H1969,
MAX(FILTER(ROW(H$2:H1969) - ROW(H$2) + 1, P$2:P1969 = P1970))))=""単価"","""",
IF(COUNTIF(P$2:P1969, P1970)=0, """", INDEX(H$2:H1969,
MAX(FILTER(ROW(H$2:H1969) - ROW(H$2) + 1, P$2:P1969 = P1970)))))"),33.0)</f>
        <v>33</v>
      </c>
      <c r="N1970" s="335" t="str">
        <f>IF(MAXIFS('単価履歴'!$O:$O,'単価履歴'!$E:$E,E1970,'単価履歴'!$F:$F,F1970)=O1970,"●","")</f>
        <v/>
      </c>
      <c r="O1970" s="346">
        <v>45841.26892361111</v>
      </c>
      <c r="P1970" s="334" t="str">
        <f t="shared" si="4"/>
        <v>東鐵岡山:直納銑ダライ</v>
      </c>
    </row>
    <row r="1971" ht="15.75" customHeight="1">
      <c r="A1971" s="335" t="s">
        <v>3140</v>
      </c>
      <c r="B1971" s="336">
        <v>45841.0</v>
      </c>
      <c r="C1971" s="335" t="s">
        <v>532</v>
      </c>
      <c r="D1971" s="335" t="s">
        <v>77</v>
      </c>
      <c r="E1971" s="337" t="str">
        <f t="shared" si="1"/>
        <v>東鐵岡山:直納</v>
      </c>
      <c r="F1971" s="338" t="s">
        <v>154</v>
      </c>
      <c r="G1971" s="339" t="str">
        <f t="shared" si="2"/>
        <v>東鐵岡山:直納ＣＰ Ａ</v>
      </c>
      <c r="H1971" s="340">
        <f t="shared" si="3"/>
        <v>38.5</v>
      </c>
      <c r="I1971" s="341">
        <v>-0.5</v>
      </c>
      <c r="J1971" s="332">
        <f>IFERROR(__xludf.DUMMYFUNCTION("IF(IF(COUNTIF(P$2:P1970, P1971)=0, """", INDEX(H$2:H1970,
MAX(FILTER(ROW(H$2:H1970) - ROW(H$2) + 1, P$2:P1970 = P1971))))=""単価"","""",
IF(COUNTIF(P$2:P1970, P1971)=0, """", INDEX(H$2:H1970,
MAX(FILTER(ROW(H$2:H1970) - ROW(H$2) + 1, P$2:P1970 = P1971)))))"),39.0)</f>
        <v>39</v>
      </c>
      <c r="N1971" s="335" t="str">
        <f>IF(MAXIFS('単価履歴'!$O:$O,'単価履歴'!$E:$E,E1971,'単価履歴'!$F:$F,F1971)=O1971,"●","")</f>
        <v/>
      </c>
      <c r="O1971" s="346">
        <v>45841.26892361111</v>
      </c>
      <c r="P1971" s="334" t="str">
        <f t="shared" si="4"/>
        <v>東鐵岡山:直納ＣＰ Ａ</v>
      </c>
    </row>
    <row r="1972" ht="15.75" customHeight="1">
      <c r="A1972" s="335" t="s">
        <v>3141</v>
      </c>
      <c r="B1972" s="336">
        <v>45841.0</v>
      </c>
      <c r="C1972" s="335" t="s">
        <v>5</v>
      </c>
      <c r="D1972" s="335" t="s">
        <v>46</v>
      </c>
      <c r="E1972" s="337" t="str">
        <f t="shared" si="1"/>
        <v>中山製鋼:阪和</v>
      </c>
      <c r="F1972" s="338" t="s">
        <v>101</v>
      </c>
      <c r="G1972" s="339" t="str">
        <f t="shared" si="2"/>
        <v>中山製鋼:阪和ＨＳ２</v>
      </c>
      <c r="H1972" s="340">
        <f t="shared" si="3"/>
        <v>42.9</v>
      </c>
      <c r="I1972" s="341">
        <v>-0.5</v>
      </c>
      <c r="J1972" s="332">
        <f>IFERROR(__xludf.DUMMYFUNCTION("IF(IF(COUNTIF(P$2:P1971, P1972)=0, """", INDEX(H$2:H1971,
MAX(FILTER(ROW(H$2:H1971) - ROW(H$2) + 1, P$2:P1971 = P1972))))=""単価"","""",
IF(COUNTIF(P$2:P1971, P1972)=0, """", INDEX(H$2:H1971,
MAX(FILTER(ROW(H$2:H1971) - ROW(H$2) + 1, P$2:P1971 = P1972)))))"),43.4)</f>
        <v>43.4</v>
      </c>
      <c r="N1972" s="335" t="str">
        <f>IF(MAXIFS('単価履歴'!$O:$O,'単価履歴'!$E:$E,E1972,'単価履歴'!$F:$F,F1972)=O1972,"●","")</f>
        <v/>
      </c>
      <c r="O1972" s="346">
        <v>45841.26960648148</v>
      </c>
      <c r="P1972" s="334" t="str">
        <f t="shared" si="4"/>
        <v>中山製鋼:阪和ＨＳ２</v>
      </c>
    </row>
    <row r="1973" ht="15.75" customHeight="1">
      <c r="A1973" s="335" t="s">
        <v>3142</v>
      </c>
      <c r="B1973" s="336">
        <v>45841.0</v>
      </c>
      <c r="C1973" s="335" t="s">
        <v>5</v>
      </c>
      <c r="D1973" s="335" t="s">
        <v>46</v>
      </c>
      <c r="E1973" s="337" t="str">
        <f t="shared" si="1"/>
        <v>中山製鋼:阪和</v>
      </c>
      <c r="F1973" s="338" t="s">
        <v>108</v>
      </c>
      <c r="G1973" s="339" t="str">
        <f t="shared" si="2"/>
        <v>中山製鋼:阪和Ｈ１/ｻﾑﾃｯｸ</v>
      </c>
      <c r="H1973" s="340">
        <f t="shared" si="3"/>
        <v>0</v>
      </c>
      <c r="I1973" s="341">
        <v>-0.5</v>
      </c>
      <c r="J1973" s="332">
        <f>IFERROR(__xludf.DUMMYFUNCTION("IF(IF(COUNTIF(P$2:P1972, P1973)=0, """", INDEX(H$2:H1972,
MAX(FILTER(ROW(H$2:H1972) - ROW(H$2) + 1, P$2:P1972 = P1973))))=""単価"","""",
IF(COUNTIF(P$2:P1972, P1973)=0, """", INDEX(H$2:H1972,
MAX(FILTER(ROW(H$2:H1972) - ROW(H$2) + 1, P$2:P1972 = P1973)))))"),0.5)</f>
        <v>0.5</v>
      </c>
      <c r="N1973" s="335" t="str">
        <f>IF(MAXIFS('単価履歴'!$O:$O,'単価履歴'!$E:$E,E1973,'単価履歴'!$F:$F,F1973)=O1973,"●","")</f>
        <v/>
      </c>
      <c r="O1973" s="346">
        <v>45841.26960648148</v>
      </c>
      <c r="P1973" s="334" t="str">
        <f t="shared" si="4"/>
        <v>中山製鋼:阪和Ｈ１/ｻﾑﾃｯｸ</v>
      </c>
    </row>
    <row r="1974" ht="15.75" customHeight="1">
      <c r="A1974" s="335" t="s">
        <v>3143</v>
      </c>
      <c r="B1974" s="336">
        <v>45841.0</v>
      </c>
      <c r="C1974" s="335" t="s">
        <v>5</v>
      </c>
      <c r="D1974" s="335" t="s">
        <v>46</v>
      </c>
      <c r="E1974" s="337" t="str">
        <f t="shared" si="1"/>
        <v>中山製鋼:阪和</v>
      </c>
      <c r="F1974" s="338" t="s">
        <v>111</v>
      </c>
      <c r="G1974" s="339" t="str">
        <f t="shared" si="2"/>
        <v>中山製鋼:阪和Ｈ１(特A)</v>
      </c>
      <c r="H1974" s="340">
        <f t="shared" si="3"/>
        <v>40.5</v>
      </c>
      <c r="I1974" s="341">
        <v>-0.5</v>
      </c>
      <c r="J1974" s="332">
        <f>IFERROR(__xludf.DUMMYFUNCTION("IF(IF(COUNTIF(P$2:P1973, P1974)=0, """", INDEX(H$2:H1973,
MAX(FILTER(ROW(H$2:H1973) - ROW(H$2) + 1, P$2:P1973 = P1974))))=""単価"","""",
IF(COUNTIF(P$2:P1973, P1974)=0, """", INDEX(H$2:H1973,
MAX(FILTER(ROW(H$2:H1973) - ROW(H$2) + 1, P$2:P1973 = P1974)))))"),41.0)</f>
        <v>41</v>
      </c>
      <c r="N1974" s="335" t="str">
        <f>IF(MAXIFS('単価履歴'!$O:$O,'単価履歴'!$E:$E,E1974,'単価履歴'!$F:$F,F1974)=O1974,"●","")</f>
        <v/>
      </c>
      <c r="O1974" s="346">
        <v>45841.26960648148</v>
      </c>
      <c r="P1974" s="334" t="str">
        <f t="shared" si="4"/>
        <v>中山製鋼:阪和Ｈ１(特A)</v>
      </c>
    </row>
    <row r="1975" ht="15.75" customHeight="1">
      <c r="A1975" s="335" t="s">
        <v>3144</v>
      </c>
      <c r="B1975" s="336">
        <v>45841.0</v>
      </c>
      <c r="C1975" s="335" t="s">
        <v>5</v>
      </c>
      <c r="D1975" s="335" t="s">
        <v>46</v>
      </c>
      <c r="E1975" s="337" t="str">
        <f t="shared" si="1"/>
        <v>中山製鋼:阪和</v>
      </c>
      <c r="F1975" s="338" t="s">
        <v>116</v>
      </c>
      <c r="G1975" s="339" t="str">
        <f t="shared" si="2"/>
        <v>中山製鋼:阪和Ｈ２(特級)</v>
      </c>
      <c r="H1975" s="340">
        <f t="shared" si="3"/>
        <v>35.8</v>
      </c>
      <c r="I1975" s="341">
        <v>-0.5</v>
      </c>
      <c r="J1975" s="332">
        <f>IFERROR(__xludf.DUMMYFUNCTION("IF(IF(COUNTIF(P$2:P1974, P1975)=0, """", INDEX(H$2:H1974,
MAX(FILTER(ROW(H$2:H1974) - ROW(H$2) + 1, P$2:P1974 = P1975))))=""単価"","""",
IF(COUNTIF(P$2:P1974, P1975)=0, """", INDEX(H$2:H1974,
MAX(FILTER(ROW(H$2:H1974) - ROW(H$2) + 1, P$2:P1974 = P1975)))))"),36.3)</f>
        <v>36.3</v>
      </c>
      <c r="N1975" s="335" t="str">
        <f>IF(MAXIFS('単価履歴'!$O:$O,'単価履歴'!$E:$E,E1975,'単価履歴'!$F:$F,F1975)=O1975,"●","")</f>
        <v/>
      </c>
      <c r="O1975" s="346">
        <v>45841.26960648148</v>
      </c>
      <c r="P1975" s="334" t="str">
        <f t="shared" si="4"/>
        <v>中山製鋼:阪和Ｈ２(特級)</v>
      </c>
    </row>
    <row r="1976" ht="15.75" customHeight="1">
      <c r="A1976" s="335" t="s">
        <v>3145</v>
      </c>
      <c r="B1976" s="336">
        <v>45841.0</v>
      </c>
      <c r="C1976" s="335" t="s">
        <v>5</v>
      </c>
      <c r="D1976" s="335" t="s">
        <v>46</v>
      </c>
      <c r="E1976" s="337" t="str">
        <f t="shared" si="1"/>
        <v>中山製鋼:阪和</v>
      </c>
      <c r="F1976" s="338" t="s">
        <v>119</v>
      </c>
      <c r="G1976" s="339" t="str">
        <f t="shared" si="2"/>
        <v>中山製鋼:阪和Ｈ３(1級)</v>
      </c>
      <c r="H1976" s="340">
        <f t="shared" si="3"/>
        <v>31.8</v>
      </c>
      <c r="I1976" s="341">
        <v>-0.5</v>
      </c>
      <c r="J1976" s="332">
        <f>IFERROR(__xludf.DUMMYFUNCTION("IF(IF(COUNTIF(P$2:P1975, P1976)=0, """", INDEX(H$2:H1975,
MAX(FILTER(ROW(H$2:H1975) - ROW(H$2) + 1, P$2:P1975 = P1976))))=""単価"","""",
IF(COUNTIF(P$2:P1975, P1976)=0, """", INDEX(H$2:H1975,
MAX(FILTER(ROW(H$2:H1975) - ROW(H$2) + 1, P$2:P1975 = P1976)))))"),32.3)</f>
        <v>32.3</v>
      </c>
      <c r="N1976" s="335" t="str">
        <f>IF(MAXIFS('単価履歴'!$O:$O,'単価履歴'!$E:$E,E1976,'単価履歴'!$F:$F,F1976)=O1976,"●","")</f>
        <v/>
      </c>
      <c r="O1976" s="346">
        <v>45841.26960648148</v>
      </c>
      <c r="P1976" s="334" t="str">
        <f t="shared" si="4"/>
        <v>中山製鋼:阪和Ｈ３(1級)</v>
      </c>
    </row>
    <row r="1977" ht="15.75" customHeight="1">
      <c r="A1977" s="335" t="s">
        <v>3146</v>
      </c>
      <c r="B1977" s="336">
        <v>45841.0</v>
      </c>
      <c r="C1977" s="335" t="s">
        <v>5</v>
      </c>
      <c r="D1977" s="335" t="s">
        <v>46</v>
      </c>
      <c r="E1977" s="337" t="str">
        <f t="shared" si="1"/>
        <v>中山製鋼:阪和</v>
      </c>
      <c r="F1977" s="338" t="s">
        <v>122</v>
      </c>
      <c r="G1977" s="339" t="str">
        <f t="shared" si="2"/>
        <v>中山製鋼:阪和Ｌ１(2級)</v>
      </c>
      <c r="H1977" s="340">
        <f t="shared" si="3"/>
        <v>25.3</v>
      </c>
      <c r="I1977" s="341">
        <v>-0.5</v>
      </c>
      <c r="J1977" s="332">
        <f>IFERROR(__xludf.DUMMYFUNCTION("IF(IF(COUNTIF(P$2:P1976, P1977)=0, """", INDEX(H$2:H1976,
MAX(FILTER(ROW(H$2:H1976) - ROW(H$2) + 1, P$2:P1976 = P1977))))=""単価"","""",
IF(COUNTIF(P$2:P1976, P1977)=0, """", INDEX(H$2:H1976,
MAX(FILTER(ROW(H$2:H1976) - ROW(H$2) + 1, P$2:P1976 = P1977)))))"),25.8)</f>
        <v>25.8</v>
      </c>
      <c r="N1977" s="335" t="str">
        <f>IF(MAXIFS('単価履歴'!$O:$O,'単価履歴'!$E:$E,E1977,'単価履歴'!$F:$F,F1977)=O1977,"●","")</f>
        <v/>
      </c>
      <c r="O1977" s="346">
        <v>45841.26960648148</v>
      </c>
      <c r="P1977" s="334" t="str">
        <f t="shared" si="4"/>
        <v>中山製鋼:阪和Ｌ１(2級)</v>
      </c>
    </row>
    <row r="1978" ht="15.75" customHeight="1">
      <c r="A1978" s="335" t="s">
        <v>3147</v>
      </c>
      <c r="B1978" s="336">
        <v>45841.0</v>
      </c>
      <c r="C1978" s="335" t="s">
        <v>5</v>
      </c>
      <c r="D1978" s="335" t="s">
        <v>46</v>
      </c>
      <c r="E1978" s="337" t="str">
        <f t="shared" si="1"/>
        <v>中山製鋼:阪和</v>
      </c>
      <c r="F1978" s="338" t="s">
        <v>130</v>
      </c>
      <c r="G1978" s="339" t="str">
        <f t="shared" si="2"/>
        <v>中山製鋼:阪和新断Ａ</v>
      </c>
      <c r="H1978" s="340">
        <f t="shared" si="3"/>
        <v>44.3</v>
      </c>
      <c r="I1978" s="341">
        <v>-0.5</v>
      </c>
      <c r="J1978" s="332">
        <f>IFERROR(__xludf.DUMMYFUNCTION("IF(IF(COUNTIF(P$2:P1977, P1978)=0, """", INDEX(H$2:H1977,
MAX(FILTER(ROW(H$2:H1977) - ROW(H$2) + 1, P$2:P1977 = P1978))))=""単価"","""",
IF(COUNTIF(P$2:P1977, P1978)=0, """", INDEX(H$2:H1977,
MAX(FILTER(ROW(H$2:H1977) - ROW(H$2) + 1, P$2:P1977 = P1978)))))"),44.8)</f>
        <v>44.8</v>
      </c>
      <c r="N1978" s="335" t="str">
        <f>IF(MAXIFS('単価履歴'!$O:$O,'単価履歴'!$E:$E,E1978,'単価履歴'!$F:$F,F1978)=O1978,"●","")</f>
        <v/>
      </c>
      <c r="O1978" s="346">
        <v>45841.26960648148</v>
      </c>
      <c r="P1978" s="334" t="str">
        <f t="shared" si="4"/>
        <v>中山製鋼:阪和新断Ａ</v>
      </c>
    </row>
    <row r="1979" ht="15.75" customHeight="1">
      <c r="A1979" s="335" t="s">
        <v>3148</v>
      </c>
      <c r="B1979" s="336">
        <v>45841.0</v>
      </c>
      <c r="C1979" s="335" t="s">
        <v>5</v>
      </c>
      <c r="D1979" s="335" t="s">
        <v>46</v>
      </c>
      <c r="E1979" s="337" t="str">
        <f t="shared" si="1"/>
        <v>中山製鋼:阪和</v>
      </c>
      <c r="F1979" s="338" t="s">
        <v>131</v>
      </c>
      <c r="G1979" s="339" t="str">
        <f t="shared" si="2"/>
        <v>中山製鋼:阪和新断Ｂ</v>
      </c>
      <c r="H1979" s="340">
        <f t="shared" si="3"/>
        <v>43.3</v>
      </c>
      <c r="I1979" s="341">
        <v>-0.5</v>
      </c>
      <c r="J1979" s="332">
        <f>IFERROR(__xludf.DUMMYFUNCTION("IF(IF(COUNTIF(P$2:P1978, P1979)=0, """", INDEX(H$2:H1978,
MAX(FILTER(ROW(H$2:H1978) - ROW(H$2) + 1, P$2:P1978 = P1979))))=""単価"","""",
IF(COUNTIF(P$2:P1978, P1979)=0, """", INDEX(H$2:H1978,
MAX(FILTER(ROW(H$2:H1978) - ROW(H$2) + 1, P$2:P1978 = P1979)))))"),43.8)</f>
        <v>43.8</v>
      </c>
      <c r="N1979" s="335" t="str">
        <f>IF(MAXIFS('単価履歴'!$O:$O,'単価履歴'!$E:$E,E1979,'単価履歴'!$F:$F,F1979)=O1979,"●","")</f>
        <v/>
      </c>
      <c r="O1979" s="346">
        <v>45841.26960648148</v>
      </c>
      <c r="P1979" s="334" t="str">
        <f t="shared" si="4"/>
        <v>中山製鋼:阪和新断Ｂ</v>
      </c>
    </row>
    <row r="1980" ht="15.75" customHeight="1">
      <c r="A1980" s="335" t="s">
        <v>3149</v>
      </c>
      <c r="B1980" s="336">
        <v>45841.0</v>
      </c>
      <c r="C1980" s="335" t="s">
        <v>5</v>
      </c>
      <c r="D1980" s="335" t="s">
        <v>46</v>
      </c>
      <c r="E1980" s="337" t="str">
        <f t="shared" si="1"/>
        <v>中山製鋼:阪和</v>
      </c>
      <c r="F1980" s="338" t="s">
        <v>574</v>
      </c>
      <c r="G1980" s="339" t="str">
        <f t="shared" si="2"/>
        <v>中山製鋼:阪和新断Ｃ</v>
      </c>
      <c r="H1980" s="340">
        <f t="shared" si="3"/>
        <v>42.3</v>
      </c>
      <c r="I1980" s="341">
        <v>-0.5</v>
      </c>
      <c r="J1980" s="332">
        <f>IFERROR(__xludf.DUMMYFUNCTION("IF(IF(COUNTIF(P$2:P1979, P1980)=0, """", INDEX(H$2:H1979,
MAX(FILTER(ROW(H$2:H1979) - ROW(H$2) + 1, P$2:P1979 = P1980))))=""単価"","""",
IF(COUNTIF(P$2:P1979, P1980)=0, """", INDEX(H$2:H1979,
MAX(FILTER(ROW(H$2:H1979) - ROW(H$2) + 1, P$2:P1979 = P1980)))))"),42.8)</f>
        <v>42.8</v>
      </c>
      <c r="N1980" s="335" t="str">
        <f>IF(MAXIFS('単価履歴'!$O:$O,'単価履歴'!$E:$E,E1980,'単価履歴'!$F:$F,F1980)=O1980,"●","")</f>
        <v/>
      </c>
      <c r="O1980" s="346">
        <v>45841.26960648148</v>
      </c>
      <c r="P1980" s="334" t="str">
        <f t="shared" si="4"/>
        <v>中山製鋼:阪和新断Ｃ</v>
      </c>
    </row>
    <row r="1981" ht="15.75" customHeight="1">
      <c r="A1981" s="335" t="s">
        <v>3150</v>
      </c>
      <c r="B1981" s="336">
        <v>45841.0</v>
      </c>
      <c r="C1981" s="335" t="s">
        <v>5</v>
      </c>
      <c r="D1981" s="335" t="s">
        <v>46</v>
      </c>
      <c r="E1981" s="337" t="str">
        <f t="shared" si="1"/>
        <v>中山製鋼:阪和</v>
      </c>
      <c r="F1981" s="338" t="s">
        <v>1199</v>
      </c>
      <c r="G1981" s="339" t="str">
        <f t="shared" si="2"/>
        <v>中山製鋼:阪和ＨＳ１(単体H1/電特A/HS))</v>
      </c>
      <c r="H1981" s="340">
        <f t="shared" si="3"/>
        <v>-0.5</v>
      </c>
      <c r="I1981" s="341">
        <v>-0.5</v>
      </c>
      <c r="J1981" s="332">
        <f>IFERROR(__xludf.DUMMYFUNCTION("IF(IF(COUNTIF(P$2:P1980, P1981)=0, """", INDEX(H$2:H1980,
MAX(FILTER(ROW(H$2:H1980) - ROW(H$2) + 1, P$2:P1980 = P1981))))=""単価"","""",
IF(COUNTIF(P$2:P1980, P1981)=0, """", INDEX(H$2:H1980,
MAX(FILTER(ROW(H$2:H1980) - ROW(H$2) + 1, P$2:P1980 = P1981)))))"),0.0)</f>
        <v>0</v>
      </c>
      <c r="N1981" s="335" t="str">
        <f>IF(MAXIFS('単価履歴'!$O:$O,'単価履歴'!$E:$E,E1981,'単価履歴'!$F:$F,F1981)=O1981,"●","")</f>
        <v/>
      </c>
      <c r="O1981" s="346">
        <v>45841.26960648148</v>
      </c>
      <c r="P1981" s="334" t="str">
        <f t="shared" si="4"/>
        <v>中山製鋼:阪和ＨＳ１(単体H1/電特A/HS))</v>
      </c>
    </row>
    <row r="1982" ht="15.75" customHeight="1">
      <c r="A1982" s="335" t="s">
        <v>3151</v>
      </c>
      <c r="B1982" s="336">
        <v>45841.0</v>
      </c>
      <c r="C1982" s="335" t="s">
        <v>5</v>
      </c>
      <c r="D1982" s="335" t="s">
        <v>47</v>
      </c>
      <c r="E1982" s="337" t="str">
        <f t="shared" si="1"/>
        <v>中山製鋼:豊通</v>
      </c>
      <c r="F1982" s="338" t="s">
        <v>101</v>
      </c>
      <c r="G1982" s="339" t="str">
        <f t="shared" si="2"/>
        <v>中山製鋼:豊通ＨＳ２</v>
      </c>
      <c r="H1982" s="340">
        <f t="shared" si="3"/>
        <v>42.8</v>
      </c>
      <c r="I1982" s="341">
        <v>-0.5</v>
      </c>
      <c r="J1982" s="332">
        <f>IFERROR(__xludf.DUMMYFUNCTION("IF(IF(COUNTIF(P$2:P1981, P1982)=0, """", INDEX(H$2:H1981,
MAX(FILTER(ROW(H$2:H1981) - ROW(H$2) + 1, P$2:P1981 = P1982))))=""単価"","""",
IF(COUNTIF(P$2:P1981, P1982)=0, """", INDEX(H$2:H1981,
MAX(FILTER(ROW(H$2:H1981) - ROW(H$2) + 1, P$2:P1981 = P1982)))))"),43.3)</f>
        <v>43.3</v>
      </c>
      <c r="N1982" s="335" t="str">
        <f>IF(MAXIFS('単価履歴'!$O:$O,'単価履歴'!$E:$E,E1982,'単価履歴'!$F:$F,F1982)=O1982,"●","")</f>
        <v/>
      </c>
      <c r="O1982" s="346">
        <v>45841.26960648148</v>
      </c>
      <c r="P1982" s="334" t="str">
        <f t="shared" si="4"/>
        <v>中山製鋼:豊通ＨＳ２</v>
      </c>
    </row>
    <row r="1983" ht="15.75" customHeight="1">
      <c r="A1983" s="335" t="s">
        <v>3152</v>
      </c>
      <c r="B1983" s="336">
        <v>45841.0</v>
      </c>
      <c r="C1983" s="335" t="s">
        <v>5</v>
      </c>
      <c r="D1983" s="335" t="s">
        <v>47</v>
      </c>
      <c r="E1983" s="337" t="str">
        <f t="shared" si="1"/>
        <v>中山製鋼:豊通</v>
      </c>
      <c r="F1983" s="338" t="s">
        <v>108</v>
      </c>
      <c r="G1983" s="339" t="str">
        <f t="shared" si="2"/>
        <v>中山製鋼:豊通Ｈ１/ｻﾑﾃｯｸ</v>
      </c>
      <c r="H1983" s="340">
        <f t="shared" si="3"/>
        <v>0</v>
      </c>
      <c r="I1983" s="341">
        <v>-0.5</v>
      </c>
      <c r="J1983" s="332">
        <f>IFERROR(__xludf.DUMMYFUNCTION("IF(IF(COUNTIF(P$2:P1982, P1983)=0, """", INDEX(H$2:H1982,
MAX(FILTER(ROW(H$2:H1982) - ROW(H$2) + 1, P$2:P1982 = P1983))))=""単価"","""",
IF(COUNTIF(P$2:P1982, P1983)=0, """", INDEX(H$2:H1982,
MAX(FILTER(ROW(H$2:H1982) - ROW(H$2) + 1, P$2:P1982 = P1983)))))"),0.5)</f>
        <v>0.5</v>
      </c>
      <c r="N1983" s="335" t="str">
        <f>IF(MAXIFS('単価履歴'!$O:$O,'単価履歴'!$E:$E,E1983,'単価履歴'!$F:$F,F1983)=O1983,"●","")</f>
        <v/>
      </c>
      <c r="O1983" s="346">
        <v>45841.26960648148</v>
      </c>
      <c r="P1983" s="334" t="str">
        <f t="shared" si="4"/>
        <v>中山製鋼:豊通Ｈ１/ｻﾑﾃｯｸ</v>
      </c>
    </row>
    <row r="1984" ht="15.75" customHeight="1">
      <c r="A1984" s="335" t="s">
        <v>3153</v>
      </c>
      <c r="B1984" s="336">
        <v>45841.0</v>
      </c>
      <c r="C1984" s="335" t="s">
        <v>5</v>
      </c>
      <c r="D1984" s="335" t="s">
        <v>47</v>
      </c>
      <c r="E1984" s="337" t="str">
        <f t="shared" si="1"/>
        <v>中山製鋼:豊通</v>
      </c>
      <c r="F1984" s="338" t="s">
        <v>111</v>
      </c>
      <c r="G1984" s="339" t="str">
        <f t="shared" si="2"/>
        <v>中山製鋼:豊通Ｈ１(特A)</v>
      </c>
      <c r="H1984" s="340">
        <f t="shared" si="3"/>
        <v>41.8</v>
      </c>
      <c r="I1984" s="341">
        <v>-0.5</v>
      </c>
      <c r="J1984" s="332">
        <f>IFERROR(__xludf.DUMMYFUNCTION("IF(IF(COUNTIF(P$2:P1983, P1984)=0, """", INDEX(H$2:H1983,
MAX(FILTER(ROW(H$2:H1983) - ROW(H$2) + 1, P$2:P1983 = P1984))))=""単価"","""",
IF(COUNTIF(P$2:P1983, P1984)=0, """", INDEX(H$2:H1983,
MAX(FILTER(ROW(H$2:H1983) - ROW(H$2) + 1, P$2:P1983 = P1984)))))"),42.3)</f>
        <v>42.3</v>
      </c>
      <c r="N1984" s="335" t="str">
        <f>IF(MAXIFS('単価履歴'!$O:$O,'単価履歴'!$E:$E,E1984,'単価履歴'!$F:$F,F1984)=O1984,"●","")</f>
        <v/>
      </c>
      <c r="O1984" s="346">
        <v>45841.26960648148</v>
      </c>
      <c r="P1984" s="334" t="str">
        <f t="shared" si="4"/>
        <v>中山製鋼:豊通Ｈ１(特A)</v>
      </c>
    </row>
    <row r="1985" ht="15.75" customHeight="1">
      <c r="A1985" s="335" t="s">
        <v>3154</v>
      </c>
      <c r="B1985" s="336">
        <v>45841.0</v>
      </c>
      <c r="C1985" s="335" t="s">
        <v>5</v>
      </c>
      <c r="D1985" s="335" t="s">
        <v>47</v>
      </c>
      <c r="E1985" s="337" t="str">
        <f t="shared" si="1"/>
        <v>中山製鋼:豊通</v>
      </c>
      <c r="F1985" s="338" t="s">
        <v>116</v>
      </c>
      <c r="G1985" s="339" t="str">
        <f t="shared" si="2"/>
        <v>中山製鋼:豊通Ｈ２(特級)</v>
      </c>
      <c r="H1985" s="340">
        <f t="shared" si="3"/>
        <v>35.8</v>
      </c>
      <c r="I1985" s="341">
        <v>-0.5</v>
      </c>
      <c r="J1985" s="332">
        <f>IFERROR(__xludf.DUMMYFUNCTION("IF(IF(COUNTIF(P$2:P1984, P1985)=0, """", INDEX(H$2:H1984,
MAX(FILTER(ROW(H$2:H1984) - ROW(H$2) + 1, P$2:P1984 = P1985))))=""単価"","""",
IF(COUNTIF(P$2:P1984, P1985)=0, """", INDEX(H$2:H1984,
MAX(FILTER(ROW(H$2:H1984) - ROW(H$2) + 1, P$2:P1984 = P1985)))))"),36.3)</f>
        <v>36.3</v>
      </c>
      <c r="N1985" s="335" t="str">
        <f>IF(MAXIFS('単価履歴'!$O:$O,'単価履歴'!$E:$E,E1985,'単価履歴'!$F:$F,F1985)=O1985,"●","")</f>
        <v/>
      </c>
      <c r="O1985" s="346">
        <v>45841.26960648148</v>
      </c>
      <c r="P1985" s="334" t="str">
        <f t="shared" si="4"/>
        <v>中山製鋼:豊通Ｈ２(特級)</v>
      </c>
    </row>
    <row r="1986" ht="15.75" customHeight="1">
      <c r="A1986" s="335" t="s">
        <v>3155</v>
      </c>
      <c r="B1986" s="336">
        <v>45841.0</v>
      </c>
      <c r="C1986" s="335" t="s">
        <v>5</v>
      </c>
      <c r="D1986" s="335" t="s">
        <v>47</v>
      </c>
      <c r="E1986" s="337" t="str">
        <f t="shared" si="1"/>
        <v>中山製鋼:豊通</v>
      </c>
      <c r="F1986" s="338" t="s">
        <v>119</v>
      </c>
      <c r="G1986" s="339" t="str">
        <f t="shared" si="2"/>
        <v>中山製鋼:豊通Ｈ３(1級)</v>
      </c>
      <c r="H1986" s="340">
        <f t="shared" si="3"/>
        <v>31.8</v>
      </c>
      <c r="I1986" s="341">
        <v>-0.5</v>
      </c>
      <c r="J1986" s="332">
        <f>IFERROR(__xludf.DUMMYFUNCTION("IF(IF(COUNTIF(P$2:P1985, P1986)=0, """", INDEX(H$2:H1985,
MAX(FILTER(ROW(H$2:H1985) - ROW(H$2) + 1, P$2:P1985 = P1986))))=""単価"","""",
IF(COUNTIF(P$2:P1985, P1986)=0, """", INDEX(H$2:H1985,
MAX(FILTER(ROW(H$2:H1985) - ROW(H$2) + 1, P$2:P1985 = P1986)))))"),32.3)</f>
        <v>32.3</v>
      </c>
      <c r="N1986" s="335" t="str">
        <f>IF(MAXIFS('単価履歴'!$O:$O,'単価履歴'!$E:$E,E1986,'単価履歴'!$F:$F,F1986)=O1986,"●","")</f>
        <v/>
      </c>
      <c r="O1986" s="346">
        <v>45841.26960648148</v>
      </c>
      <c r="P1986" s="334" t="str">
        <f t="shared" si="4"/>
        <v>中山製鋼:豊通Ｈ３(1級)</v>
      </c>
    </row>
    <row r="1987" ht="15.75" customHeight="1">
      <c r="A1987" s="335" t="s">
        <v>3156</v>
      </c>
      <c r="B1987" s="336">
        <v>45841.0</v>
      </c>
      <c r="C1987" s="335" t="s">
        <v>5</v>
      </c>
      <c r="D1987" s="335" t="s">
        <v>47</v>
      </c>
      <c r="E1987" s="337" t="str">
        <f t="shared" si="1"/>
        <v>中山製鋼:豊通</v>
      </c>
      <c r="F1987" s="338" t="s">
        <v>122</v>
      </c>
      <c r="G1987" s="339" t="str">
        <f t="shared" si="2"/>
        <v>中山製鋼:豊通Ｌ１(2級)</v>
      </c>
      <c r="H1987" s="340">
        <f t="shared" si="3"/>
        <v>25.3</v>
      </c>
      <c r="I1987" s="341">
        <v>-0.5</v>
      </c>
      <c r="J1987" s="332">
        <f>IFERROR(__xludf.DUMMYFUNCTION("IF(IF(COUNTIF(P$2:P1986, P1987)=0, """", INDEX(H$2:H1986,
MAX(FILTER(ROW(H$2:H1986) - ROW(H$2) + 1, P$2:P1986 = P1987))))=""単価"","""",
IF(COUNTIF(P$2:P1986, P1987)=0, """", INDEX(H$2:H1986,
MAX(FILTER(ROW(H$2:H1986) - ROW(H$2) + 1, P$2:P1986 = P1987)))))"),25.8)</f>
        <v>25.8</v>
      </c>
      <c r="N1987" s="335" t="str">
        <f>IF(MAXIFS('単価履歴'!$O:$O,'単価履歴'!$E:$E,E1987,'単価履歴'!$F:$F,F1987)=O1987,"●","")</f>
        <v/>
      </c>
      <c r="O1987" s="346">
        <v>45841.26960648148</v>
      </c>
      <c r="P1987" s="334" t="str">
        <f t="shared" si="4"/>
        <v>中山製鋼:豊通Ｌ１(2級)</v>
      </c>
    </row>
    <row r="1988" ht="15.75" customHeight="1">
      <c r="A1988" s="335" t="s">
        <v>3157</v>
      </c>
      <c r="B1988" s="336">
        <v>45841.0</v>
      </c>
      <c r="C1988" s="335" t="s">
        <v>5</v>
      </c>
      <c r="D1988" s="335" t="s">
        <v>47</v>
      </c>
      <c r="E1988" s="337" t="str">
        <f t="shared" si="1"/>
        <v>中山製鋼:豊通</v>
      </c>
      <c r="F1988" s="338" t="s">
        <v>130</v>
      </c>
      <c r="G1988" s="339" t="str">
        <f t="shared" si="2"/>
        <v>中山製鋼:豊通新断Ａ</v>
      </c>
      <c r="H1988" s="340">
        <f t="shared" si="3"/>
        <v>44.3</v>
      </c>
      <c r="I1988" s="341">
        <v>-0.5</v>
      </c>
      <c r="J1988" s="332">
        <f>IFERROR(__xludf.DUMMYFUNCTION("IF(IF(COUNTIF(P$2:P1987, P1988)=0, """", INDEX(H$2:H1987,
MAX(FILTER(ROW(H$2:H1987) - ROW(H$2) + 1, P$2:P1987 = P1988))))=""単価"","""",
IF(COUNTIF(P$2:P1987, P1988)=0, """", INDEX(H$2:H1987,
MAX(FILTER(ROW(H$2:H1987) - ROW(H$2) + 1, P$2:P1987 = P1988)))))"),44.8)</f>
        <v>44.8</v>
      </c>
      <c r="N1988" s="335" t="str">
        <f>IF(MAXIFS('単価履歴'!$O:$O,'単価履歴'!$E:$E,E1988,'単価履歴'!$F:$F,F1988)=O1988,"●","")</f>
        <v/>
      </c>
      <c r="O1988" s="346">
        <v>45841.26960648148</v>
      </c>
      <c r="P1988" s="334" t="str">
        <f t="shared" si="4"/>
        <v>中山製鋼:豊通新断Ａ</v>
      </c>
    </row>
    <row r="1989" ht="15.75" customHeight="1">
      <c r="A1989" s="335" t="s">
        <v>3158</v>
      </c>
      <c r="B1989" s="336">
        <v>45841.0</v>
      </c>
      <c r="C1989" s="335" t="s">
        <v>5</v>
      </c>
      <c r="D1989" s="335" t="s">
        <v>47</v>
      </c>
      <c r="E1989" s="337" t="str">
        <f t="shared" si="1"/>
        <v>中山製鋼:豊通</v>
      </c>
      <c r="F1989" s="338" t="s">
        <v>131</v>
      </c>
      <c r="G1989" s="339" t="str">
        <f t="shared" si="2"/>
        <v>中山製鋼:豊通新断Ｂ</v>
      </c>
      <c r="H1989" s="340">
        <f t="shared" si="3"/>
        <v>43.3</v>
      </c>
      <c r="I1989" s="341">
        <v>-0.5</v>
      </c>
      <c r="J1989" s="332">
        <f>IFERROR(__xludf.DUMMYFUNCTION("IF(IF(COUNTIF(P$2:P1988, P1989)=0, """", INDEX(H$2:H1988,
MAX(FILTER(ROW(H$2:H1988) - ROW(H$2) + 1, P$2:P1988 = P1989))))=""単価"","""",
IF(COUNTIF(P$2:P1988, P1989)=0, """", INDEX(H$2:H1988,
MAX(FILTER(ROW(H$2:H1988) - ROW(H$2) + 1, P$2:P1988 = P1989)))))"),43.8)</f>
        <v>43.8</v>
      </c>
      <c r="N1989" s="335" t="str">
        <f>IF(MAXIFS('単価履歴'!$O:$O,'単価履歴'!$E:$E,E1989,'単価履歴'!$F:$F,F1989)=O1989,"●","")</f>
        <v/>
      </c>
      <c r="O1989" s="346">
        <v>45841.26960648148</v>
      </c>
      <c r="P1989" s="334" t="str">
        <f t="shared" si="4"/>
        <v>中山製鋼:豊通新断Ｂ</v>
      </c>
    </row>
    <row r="1990" ht="15.75" customHeight="1">
      <c r="A1990" s="335" t="s">
        <v>3159</v>
      </c>
      <c r="B1990" s="336">
        <v>45841.0</v>
      </c>
      <c r="C1990" s="335" t="s">
        <v>5</v>
      </c>
      <c r="D1990" s="335" t="s">
        <v>47</v>
      </c>
      <c r="E1990" s="337" t="str">
        <f t="shared" si="1"/>
        <v>中山製鋼:豊通</v>
      </c>
      <c r="F1990" s="338" t="s">
        <v>574</v>
      </c>
      <c r="G1990" s="339" t="str">
        <f t="shared" si="2"/>
        <v>中山製鋼:豊通新断Ｃ</v>
      </c>
      <c r="H1990" s="340">
        <f t="shared" si="3"/>
        <v>42.3</v>
      </c>
      <c r="I1990" s="341">
        <v>-0.5</v>
      </c>
      <c r="J1990" s="332">
        <f>IFERROR(__xludf.DUMMYFUNCTION("IF(IF(COUNTIF(P$2:P1989, P1990)=0, """", INDEX(H$2:H1989,
MAX(FILTER(ROW(H$2:H1989) - ROW(H$2) + 1, P$2:P1989 = P1990))))=""単価"","""",
IF(COUNTIF(P$2:P1989, P1990)=0, """", INDEX(H$2:H1989,
MAX(FILTER(ROW(H$2:H1989) - ROW(H$2) + 1, P$2:P1989 = P1990)))))"),42.8)</f>
        <v>42.8</v>
      </c>
      <c r="N1990" s="335" t="str">
        <f>IF(MAXIFS('単価履歴'!$O:$O,'単価履歴'!$E:$E,E1990,'単価履歴'!$F:$F,F1990)=O1990,"●","")</f>
        <v/>
      </c>
      <c r="O1990" s="346">
        <v>45841.26960648148</v>
      </c>
      <c r="P1990" s="334" t="str">
        <f t="shared" si="4"/>
        <v>中山製鋼:豊通新断Ｃ</v>
      </c>
    </row>
    <row r="1991" ht="15.75" customHeight="1">
      <c r="A1991" s="335" t="s">
        <v>3160</v>
      </c>
      <c r="B1991" s="336">
        <v>45841.0</v>
      </c>
      <c r="C1991" s="335" t="s">
        <v>5</v>
      </c>
      <c r="D1991" s="335" t="s">
        <v>47</v>
      </c>
      <c r="E1991" s="337" t="str">
        <f t="shared" si="1"/>
        <v>中山製鋼:豊通</v>
      </c>
      <c r="F1991" s="338" t="s">
        <v>1199</v>
      </c>
      <c r="G1991" s="339" t="str">
        <f t="shared" si="2"/>
        <v>中山製鋼:豊通ＨＳ１(単体H1/電特A/HS))</v>
      </c>
      <c r="H1991" s="340">
        <f t="shared" si="3"/>
        <v>42.8</v>
      </c>
      <c r="I1991" s="341">
        <v>-0.5</v>
      </c>
      <c r="J1991" s="332">
        <f>IFERROR(__xludf.DUMMYFUNCTION("IF(IF(COUNTIF(P$2:P1990, P1991)=0, """", INDEX(H$2:H1990,
MAX(FILTER(ROW(H$2:H1990) - ROW(H$2) + 1, P$2:P1990 = P1991))))=""単価"","""",
IF(COUNTIF(P$2:P1990, P1991)=0, """", INDEX(H$2:H1990,
MAX(FILTER(ROW(H$2:H1990) - ROW(H$2) + 1, P$2:P1990 = P1991)))))"),43.3)</f>
        <v>43.3</v>
      </c>
      <c r="N1991" s="335" t="str">
        <f>IF(MAXIFS('単価履歴'!$O:$O,'単価履歴'!$E:$E,E1991,'単価履歴'!$F:$F,F1991)=O1991,"●","")</f>
        <v/>
      </c>
      <c r="O1991" s="346">
        <v>45841.26960648148</v>
      </c>
      <c r="P1991" s="334" t="str">
        <f t="shared" si="4"/>
        <v>中山製鋼:豊通ＨＳ１(単体H1/電特A/HS))</v>
      </c>
    </row>
    <row r="1992" ht="15.75" customHeight="1">
      <c r="A1992" s="335" t="s">
        <v>3161</v>
      </c>
      <c r="B1992" s="336">
        <v>45841.0</v>
      </c>
      <c r="C1992" s="335" t="s">
        <v>5</v>
      </c>
      <c r="D1992" s="335" t="s">
        <v>1232</v>
      </c>
      <c r="E1992" s="337" t="str">
        <f t="shared" si="1"/>
        <v>中山製鋼:豊通/出張商店</v>
      </c>
      <c r="F1992" s="338" t="s">
        <v>130</v>
      </c>
      <c r="G1992" s="339" t="str">
        <f t="shared" si="2"/>
        <v>中山製鋼:豊通/出張商店新断Ａ</v>
      </c>
      <c r="H1992" s="340">
        <f t="shared" si="3"/>
        <v>43.3</v>
      </c>
      <c r="I1992" s="341">
        <v>-0.5</v>
      </c>
      <c r="J1992" s="332">
        <f>IFERROR(__xludf.DUMMYFUNCTION("IF(IF(COUNTIF(P$2:P1991, P1992)=0, """", INDEX(H$2:H1991,
MAX(FILTER(ROW(H$2:H1991) - ROW(H$2) + 1, P$2:P1991 = P1992))))=""単価"","""",
IF(COUNTIF(P$2:P1991, P1992)=0, """", INDEX(H$2:H1991,
MAX(FILTER(ROW(H$2:H1991) - ROW(H$2) + 1, P$2:P1991 = P1992)))))"),43.8)</f>
        <v>43.8</v>
      </c>
      <c r="N1992" s="335" t="str">
        <f>IF(MAXIFS('単価履歴'!$O:$O,'単価履歴'!$E:$E,E1992,'単価履歴'!$F:$F,F1992)=O1992,"●","")</f>
        <v/>
      </c>
      <c r="O1992" s="346">
        <v>45841.26981481482</v>
      </c>
      <c r="P1992" s="334" t="str">
        <f t="shared" si="4"/>
        <v>中山製鋼:豊通/出張商店新断Ａ</v>
      </c>
    </row>
    <row r="1993" ht="15.75" customHeight="1">
      <c r="A1993" s="335" t="s">
        <v>3162</v>
      </c>
      <c r="B1993" s="336">
        <v>45841.0</v>
      </c>
      <c r="C1993" s="335" t="s">
        <v>5</v>
      </c>
      <c r="D1993" s="335" t="s">
        <v>1234</v>
      </c>
      <c r="E1993" s="337" t="str">
        <f t="shared" si="1"/>
        <v>中山製鋼:豊通/中川嘉弘商店</v>
      </c>
      <c r="F1993" s="338" t="s">
        <v>130</v>
      </c>
      <c r="G1993" s="339" t="str">
        <f t="shared" si="2"/>
        <v>中山製鋼:豊通/中川嘉弘商店新断Ａ</v>
      </c>
      <c r="H1993" s="340">
        <f t="shared" si="3"/>
        <v>41.3</v>
      </c>
      <c r="I1993" s="341">
        <v>-0.5</v>
      </c>
      <c r="J1993" s="332">
        <f>IFERROR(__xludf.DUMMYFUNCTION("IF(IF(COUNTIF(P$2:P1992, P1993)=0, """", INDEX(H$2:H1992,
MAX(FILTER(ROW(H$2:H1992) - ROW(H$2) + 1, P$2:P1992 = P1993))))=""単価"","""",
IF(COUNTIF(P$2:P1992, P1993)=0, """", INDEX(H$2:H1992,
MAX(FILTER(ROW(H$2:H1992) - ROW(H$2) + 1, P$2:P1992 = P1993)))))"),41.8)</f>
        <v>41.8</v>
      </c>
      <c r="N1993" s="335" t="str">
        <f>IF(MAXIFS('単価履歴'!$O:$O,'単価履歴'!$E:$E,E1993,'単価履歴'!$F:$F,F1993)=O1993,"●","")</f>
        <v/>
      </c>
      <c r="O1993" s="346">
        <v>45841.26981481482</v>
      </c>
      <c r="P1993" s="334" t="str">
        <f t="shared" si="4"/>
        <v>中山製鋼:豊通/中川嘉弘商店新断Ａ</v>
      </c>
    </row>
    <row r="1994" ht="15.75" customHeight="1">
      <c r="A1994" s="335" t="s">
        <v>3163</v>
      </c>
      <c r="B1994" s="336">
        <v>45841.0</v>
      </c>
      <c r="C1994" s="335" t="s">
        <v>6</v>
      </c>
      <c r="D1994" s="335" t="s">
        <v>48</v>
      </c>
      <c r="E1994" s="337" t="str">
        <f t="shared" si="1"/>
        <v>中山鋼業:ナベ</v>
      </c>
      <c r="F1994" s="338" t="s">
        <v>111</v>
      </c>
      <c r="G1994" s="339" t="str">
        <f t="shared" si="2"/>
        <v>中山鋼業:ナベＨ１(特A)</v>
      </c>
      <c r="H1994" s="340">
        <f t="shared" si="3"/>
        <v>43</v>
      </c>
      <c r="I1994" s="341">
        <v>-0.5</v>
      </c>
      <c r="J1994" s="332">
        <f>IFERROR(__xludf.DUMMYFUNCTION("IF(IF(COUNTIF(P$2:P1993, P1994)=0, """", INDEX(H$2:H1993,
MAX(FILTER(ROW(H$2:H1993) - ROW(H$2) + 1, P$2:P1993 = P1994))))=""単価"","""",
IF(COUNTIF(P$2:P1993, P1994)=0, """", INDEX(H$2:H1993,
MAX(FILTER(ROW(H$2:H1993) - ROW(H$2) + 1, P$2:P1993 = P1994)))))"),43.5)</f>
        <v>43.5</v>
      </c>
      <c r="N1994" s="335" t="str">
        <f>IF(MAXIFS('単価履歴'!$O:$O,'単価履歴'!$E:$E,E1994,'単価履歴'!$F:$F,F1994)=O1994,"●","")</f>
        <v/>
      </c>
      <c r="O1994" s="346">
        <v>45841.27028935185</v>
      </c>
      <c r="P1994" s="334" t="str">
        <f t="shared" si="4"/>
        <v>中山鋼業:ナベＨ１(特A)</v>
      </c>
    </row>
    <row r="1995" ht="15.75" customHeight="1">
      <c r="A1995" s="335" t="s">
        <v>3164</v>
      </c>
      <c r="B1995" s="336">
        <v>45841.0</v>
      </c>
      <c r="C1995" s="335" t="s">
        <v>6</v>
      </c>
      <c r="D1995" s="335" t="s">
        <v>48</v>
      </c>
      <c r="E1995" s="337" t="str">
        <f t="shared" si="1"/>
        <v>中山鋼業:ナベ</v>
      </c>
      <c r="F1995" s="338" t="s">
        <v>1237</v>
      </c>
      <c r="G1995" s="339" t="str">
        <f t="shared" si="2"/>
        <v>中山鋼業:ナベＪＨ１(H2T山口)鍛造ﾊﾞﾘ</v>
      </c>
      <c r="H1995" s="340">
        <f t="shared" si="3"/>
        <v>42.2</v>
      </c>
      <c r="I1995" s="341">
        <v>-0.5</v>
      </c>
      <c r="J1995" s="332">
        <f>IFERROR(__xludf.DUMMYFUNCTION("IF(IF(COUNTIF(P$2:P1994, P1995)=0, """", INDEX(H$2:H1994,
MAX(FILTER(ROW(H$2:H1994) - ROW(H$2) + 1, P$2:P1994 = P1995))))=""単価"","""",
IF(COUNTIF(P$2:P1994, P1995)=0, """", INDEX(H$2:H1994,
MAX(FILTER(ROW(H$2:H1994) - ROW(H$2) + 1, P$2:P1994 = P1995)))))"),42.7)</f>
        <v>42.7</v>
      </c>
      <c r="N1995" s="335" t="str">
        <f>IF(MAXIFS('単価履歴'!$O:$O,'単価履歴'!$E:$E,E1995,'単価履歴'!$F:$F,F1995)=O1995,"●","")</f>
        <v/>
      </c>
      <c r="O1995" s="346">
        <v>45841.27028935185</v>
      </c>
      <c r="P1995" s="334" t="str">
        <f t="shared" si="4"/>
        <v>中山鋼業:ナベＪＨ１(H2T山口)鍛造ﾊﾞﾘ</v>
      </c>
    </row>
    <row r="1996" ht="15.75" customHeight="1">
      <c r="A1996" s="335" t="s">
        <v>3165</v>
      </c>
      <c r="B1996" s="336">
        <v>45841.0</v>
      </c>
      <c r="C1996" s="335" t="s">
        <v>6</v>
      </c>
      <c r="D1996" s="335" t="s">
        <v>48</v>
      </c>
      <c r="E1996" s="337" t="str">
        <f t="shared" si="1"/>
        <v>中山鋼業:ナベ</v>
      </c>
      <c r="F1996" s="338" t="s">
        <v>116</v>
      </c>
      <c r="G1996" s="339" t="str">
        <f t="shared" si="2"/>
        <v>中山鋼業:ナベＨ２(特級)</v>
      </c>
      <c r="H1996" s="340">
        <f t="shared" si="3"/>
        <v>41</v>
      </c>
      <c r="I1996" s="341">
        <v>-0.5</v>
      </c>
      <c r="J1996" s="332">
        <f>IFERROR(__xludf.DUMMYFUNCTION("IF(IF(COUNTIF(P$2:P1995, P1996)=0, """", INDEX(H$2:H1995,
MAX(FILTER(ROW(H$2:H1995) - ROW(H$2) + 1, P$2:P1995 = P1996))))=""単価"","""",
IF(COUNTIF(P$2:P1995, P1996)=0, """", INDEX(H$2:H1995,
MAX(FILTER(ROW(H$2:H1995) - ROW(H$2) + 1, P$2:P1995 = P1996)))))"),41.5)</f>
        <v>41.5</v>
      </c>
      <c r="N1996" s="335" t="str">
        <f>IF(MAXIFS('単価履歴'!$O:$O,'単価履歴'!$E:$E,E1996,'単価履歴'!$F:$F,F1996)=O1996,"●","")</f>
        <v/>
      </c>
      <c r="O1996" s="346">
        <v>45841.27028935185</v>
      </c>
      <c r="P1996" s="334" t="str">
        <f t="shared" si="4"/>
        <v>中山鋼業:ナベＨ２(特級)</v>
      </c>
    </row>
    <row r="1997" ht="15.75" customHeight="1">
      <c r="A1997" s="335" t="s">
        <v>3166</v>
      </c>
      <c r="B1997" s="336">
        <v>45841.0</v>
      </c>
      <c r="C1997" s="335" t="s">
        <v>6</v>
      </c>
      <c r="D1997" s="335" t="s">
        <v>48</v>
      </c>
      <c r="E1997" s="337" t="str">
        <f t="shared" si="1"/>
        <v>中山鋼業:ナベ</v>
      </c>
      <c r="F1997" s="338" t="s">
        <v>119</v>
      </c>
      <c r="G1997" s="339" t="str">
        <f t="shared" si="2"/>
        <v>中山鋼業:ナベＨ３(1級)</v>
      </c>
      <c r="H1997" s="340">
        <f t="shared" si="3"/>
        <v>39.5</v>
      </c>
      <c r="I1997" s="341">
        <v>-0.5</v>
      </c>
      <c r="J1997" s="332">
        <f>IFERROR(__xludf.DUMMYFUNCTION("IF(IF(COUNTIF(P$2:P1996, P1997)=0, """", INDEX(H$2:H1996,
MAX(FILTER(ROW(H$2:H1996) - ROW(H$2) + 1, P$2:P1996 = P1997))))=""単価"","""",
IF(COUNTIF(P$2:P1996, P1997)=0, """", INDEX(H$2:H1996,
MAX(FILTER(ROW(H$2:H1996) - ROW(H$2) + 1, P$2:P1996 = P1997)))))"),40.0)</f>
        <v>40</v>
      </c>
      <c r="N1997" s="335" t="str">
        <f>IF(MAXIFS('単価履歴'!$O:$O,'単価履歴'!$E:$E,E1997,'単価履歴'!$F:$F,F1997)=O1997,"●","")</f>
        <v/>
      </c>
      <c r="O1997" s="346">
        <v>45841.27028935185</v>
      </c>
      <c r="P1997" s="334" t="str">
        <f t="shared" si="4"/>
        <v>中山鋼業:ナベＨ３(1級)</v>
      </c>
    </row>
    <row r="1998" ht="15.75" customHeight="1">
      <c r="A1998" s="335" t="s">
        <v>3167</v>
      </c>
      <c r="B1998" s="336">
        <v>45841.0</v>
      </c>
      <c r="C1998" s="335" t="s">
        <v>6</v>
      </c>
      <c r="D1998" s="335" t="s">
        <v>48</v>
      </c>
      <c r="E1998" s="337" t="str">
        <f t="shared" si="1"/>
        <v>中山鋼業:ナベ</v>
      </c>
      <c r="F1998" s="338" t="s">
        <v>122</v>
      </c>
      <c r="G1998" s="339" t="str">
        <f t="shared" si="2"/>
        <v>中山鋼業:ナベＬ１(2級)</v>
      </c>
      <c r="H1998" s="340">
        <f t="shared" si="3"/>
        <v>39</v>
      </c>
      <c r="I1998" s="341">
        <v>-0.5</v>
      </c>
      <c r="J1998" s="332">
        <f>IFERROR(__xludf.DUMMYFUNCTION("IF(IF(COUNTIF(P$2:P1997, P1998)=0, """", INDEX(H$2:H1997,
MAX(FILTER(ROW(H$2:H1997) - ROW(H$2) + 1, P$2:P1997 = P1998))))=""単価"","""",
IF(COUNTIF(P$2:P1997, P1998)=0, """", INDEX(H$2:H1997,
MAX(FILTER(ROW(H$2:H1997) - ROW(H$2) + 1, P$2:P1997 = P1998)))))"),39.5)</f>
        <v>39.5</v>
      </c>
      <c r="N1998" s="335" t="str">
        <f>IF(MAXIFS('単価履歴'!$O:$O,'単価履歴'!$E:$E,E1998,'単価履歴'!$F:$F,F1998)=O1998,"●","")</f>
        <v/>
      </c>
      <c r="O1998" s="346">
        <v>45841.27028935185</v>
      </c>
      <c r="P1998" s="334" t="str">
        <f t="shared" si="4"/>
        <v>中山鋼業:ナベＬ１(2級)</v>
      </c>
    </row>
    <row r="1999" ht="15.75" customHeight="1">
      <c r="A1999" s="335" t="s">
        <v>3168</v>
      </c>
      <c r="B1999" s="336">
        <v>45841.0</v>
      </c>
      <c r="C1999" s="335" t="s">
        <v>6</v>
      </c>
      <c r="D1999" s="335" t="s">
        <v>48</v>
      </c>
      <c r="E1999" s="337" t="str">
        <f t="shared" si="1"/>
        <v>中山鋼業:ナベ</v>
      </c>
      <c r="F1999" s="338" t="s">
        <v>573</v>
      </c>
      <c r="G1999" s="339" t="str">
        <f t="shared" si="2"/>
        <v>中山鋼業:ナベＬ２(H4･級外･L1ﾊﾞﾗ)</v>
      </c>
      <c r="H1999" s="340">
        <f t="shared" si="3"/>
        <v>35.5</v>
      </c>
      <c r="I1999" s="341">
        <v>-0.5</v>
      </c>
      <c r="J1999" s="332">
        <f>IFERROR(__xludf.DUMMYFUNCTION("IF(IF(COUNTIF(P$2:P1998, P1999)=0, """", INDEX(H$2:H1998,
MAX(FILTER(ROW(H$2:H1998) - ROW(H$2) + 1, P$2:P1998 = P1999))))=""単価"","""",
IF(COUNTIF(P$2:P1998, P1999)=0, """", INDEX(H$2:H1998,
MAX(FILTER(ROW(H$2:H1998) - ROW(H$2) + 1, P$2:P1998 = P1999)))))"),36.0)</f>
        <v>36</v>
      </c>
      <c r="N1999" s="335" t="str">
        <f>IF(MAXIFS('単価履歴'!$O:$O,'単価履歴'!$E:$E,E1999,'単価履歴'!$F:$F,F1999)=O1999,"●","")</f>
        <v/>
      </c>
      <c r="O1999" s="346">
        <v>45841.27028935185</v>
      </c>
      <c r="P1999" s="334" t="str">
        <f t="shared" si="4"/>
        <v>中山鋼業:ナベＬ２(H4･級外･L1ﾊﾞﾗ)</v>
      </c>
    </row>
    <row r="2000" ht="15.75" customHeight="1">
      <c r="A2000" s="335" t="s">
        <v>3169</v>
      </c>
      <c r="B2000" s="336">
        <v>45841.0</v>
      </c>
      <c r="C2000" s="335" t="s">
        <v>6</v>
      </c>
      <c r="D2000" s="335" t="s">
        <v>48</v>
      </c>
      <c r="E2000" s="337" t="str">
        <f t="shared" si="1"/>
        <v>中山鋼業:ナベ</v>
      </c>
      <c r="F2000" s="338" t="s">
        <v>130</v>
      </c>
      <c r="G2000" s="339" t="str">
        <f t="shared" si="2"/>
        <v>中山鋼業:ナベ新断Ａ</v>
      </c>
      <c r="H2000" s="340">
        <f t="shared" si="3"/>
        <v>-1</v>
      </c>
      <c r="I2000" s="341">
        <v>-0.5</v>
      </c>
      <c r="J2000" s="332">
        <f>IFERROR(__xludf.DUMMYFUNCTION("IF(IF(COUNTIF(P$2:P1999, P2000)=0, """", INDEX(H$2:H1999,
MAX(FILTER(ROW(H$2:H1999) - ROW(H$2) + 1, P$2:P1999 = P2000))))=""単価"","""",
IF(COUNTIF(P$2:P1999, P2000)=0, """", INDEX(H$2:H1999,
MAX(FILTER(ROW(H$2:H1999) - ROW(H$2) + 1, P$2:P1999 = P2000)))))"),-0.5)</f>
        <v>-0.5</v>
      </c>
      <c r="N2000" s="335" t="str">
        <f>IF(MAXIFS('単価履歴'!$O:$O,'単価履歴'!$E:$E,E2000,'単価履歴'!$F:$F,F2000)=O2000,"●","")</f>
        <v/>
      </c>
      <c r="O2000" s="346">
        <v>45841.27028935185</v>
      </c>
      <c r="P2000" s="334" t="str">
        <f t="shared" si="4"/>
        <v>中山鋼業:ナベ新断Ａ</v>
      </c>
    </row>
    <row r="2001" ht="15.75" customHeight="1">
      <c r="A2001" s="335" t="s">
        <v>3170</v>
      </c>
      <c r="B2001" s="336">
        <v>45841.0</v>
      </c>
      <c r="C2001" s="335" t="s">
        <v>6</v>
      </c>
      <c r="D2001" s="335" t="s">
        <v>48</v>
      </c>
      <c r="E2001" s="337" t="str">
        <f t="shared" si="1"/>
        <v>中山鋼業:ナベ</v>
      </c>
      <c r="F2001" s="338" t="s">
        <v>575</v>
      </c>
      <c r="G2001" s="339" t="str">
        <f t="shared" si="2"/>
        <v>中山鋼業:ナベ鋼ダライＡ</v>
      </c>
      <c r="H2001" s="340">
        <f t="shared" si="3"/>
        <v>33.7</v>
      </c>
      <c r="I2001" s="341">
        <v>-0.5</v>
      </c>
      <c r="J2001" s="332">
        <f>IFERROR(__xludf.DUMMYFUNCTION("IF(IF(COUNTIF(P$2:P2000, P2001)=0, """", INDEX(H$2:H2000,
MAX(FILTER(ROW(H$2:H2000) - ROW(H$2) + 1, P$2:P2000 = P2001))))=""単価"","""",
IF(COUNTIF(P$2:P2000, P2001)=0, """", INDEX(H$2:H2000,
MAX(FILTER(ROW(H$2:H2000) - ROW(H$2) + 1, P$2:P2000 = P2001)))))"),34.2)</f>
        <v>34.2</v>
      </c>
      <c r="N2001" s="335" t="str">
        <f>IF(MAXIFS('単価履歴'!$O:$O,'単価履歴'!$E:$E,E2001,'単価履歴'!$F:$F,F2001)=O2001,"●","")</f>
        <v/>
      </c>
      <c r="O2001" s="346">
        <v>45841.27028935185</v>
      </c>
      <c r="P2001" s="334" t="str">
        <f t="shared" si="4"/>
        <v>中山鋼業:ナベ鋼ダライＡ</v>
      </c>
    </row>
    <row r="2002" ht="15.75" customHeight="1">
      <c r="A2002" s="335" t="s">
        <v>3171</v>
      </c>
      <c r="B2002" s="336">
        <v>45841.0</v>
      </c>
      <c r="C2002" s="335" t="s">
        <v>7</v>
      </c>
      <c r="D2002" s="335" t="s">
        <v>49</v>
      </c>
      <c r="E2002" s="337" t="str">
        <f t="shared" si="1"/>
        <v>合同大阪:伊藤忠</v>
      </c>
      <c r="F2002" s="338" t="s">
        <v>111</v>
      </c>
      <c r="G2002" s="339" t="str">
        <f t="shared" si="2"/>
        <v>合同大阪:伊藤忠Ｈ１(特A)</v>
      </c>
      <c r="H2002" s="340">
        <f t="shared" si="3"/>
        <v>42.3</v>
      </c>
      <c r="I2002" s="341">
        <v>-0.5</v>
      </c>
      <c r="J2002" s="332">
        <f>IFERROR(__xludf.DUMMYFUNCTION("IF(IF(COUNTIF(P$2:P2001, P2002)=0, """", INDEX(H$2:H2001,
MAX(FILTER(ROW(H$2:H2001) - ROW(H$2) + 1, P$2:P2001 = P2002))))=""単価"","""",
IF(COUNTIF(P$2:P2001, P2002)=0, """", INDEX(H$2:H2001,
MAX(FILTER(ROW(H$2:H2001) - ROW(H$2) + 1, P$2:P2001 = P2002)))))"),42.8)</f>
        <v>42.8</v>
      </c>
      <c r="N2002" s="335" t="str">
        <f>IF(MAXIFS('単価履歴'!$O:$O,'単価履歴'!$E:$E,E2002,'単価履歴'!$F:$F,F2002)=O2002,"●","")</f>
        <v/>
      </c>
      <c r="O2002" s="346">
        <v>45841.27056712963</v>
      </c>
      <c r="P2002" s="334" t="str">
        <f t="shared" si="4"/>
        <v>合同大阪:伊藤忠Ｈ１(特A)</v>
      </c>
    </row>
    <row r="2003" ht="15.75" customHeight="1">
      <c r="A2003" s="335" t="s">
        <v>3172</v>
      </c>
      <c r="B2003" s="336">
        <v>45841.0</v>
      </c>
      <c r="C2003" s="335" t="s">
        <v>7</v>
      </c>
      <c r="D2003" s="335" t="s">
        <v>49</v>
      </c>
      <c r="E2003" s="337" t="str">
        <f t="shared" si="1"/>
        <v>合同大阪:伊藤忠</v>
      </c>
      <c r="F2003" s="338" t="s">
        <v>116</v>
      </c>
      <c r="G2003" s="339" t="str">
        <f t="shared" si="2"/>
        <v>合同大阪:伊藤忠Ｈ２(特級)</v>
      </c>
      <c r="H2003" s="340">
        <f t="shared" si="3"/>
        <v>40.8</v>
      </c>
      <c r="I2003" s="341">
        <v>-0.5</v>
      </c>
      <c r="J2003" s="332">
        <f>IFERROR(__xludf.DUMMYFUNCTION("IF(IF(COUNTIF(P$2:P2002, P2003)=0, """", INDEX(H$2:H2002,
MAX(FILTER(ROW(H$2:H2002) - ROW(H$2) + 1, P$2:P2002 = P2003))))=""単価"","""",
IF(COUNTIF(P$2:P2002, P2003)=0, """", INDEX(H$2:H2002,
MAX(FILTER(ROW(H$2:H2002) - ROW(H$2) + 1, P$2:P2002 = P2003)))))"),41.3)</f>
        <v>41.3</v>
      </c>
      <c r="N2003" s="335" t="str">
        <f>IF(MAXIFS('単価履歴'!$O:$O,'単価履歴'!$E:$E,E2003,'単価履歴'!$F:$F,F2003)=O2003,"●","")</f>
        <v/>
      </c>
      <c r="O2003" s="346">
        <v>45841.27056712963</v>
      </c>
      <c r="P2003" s="334" t="str">
        <f t="shared" si="4"/>
        <v>合同大阪:伊藤忠Ｈ２(特級)</v>
      </c>
    </row>
    <row r="2004" ht="15.75" customHeight="1">
      <c r="A2004" s="335" t="s">
        <v>3173</v>
      </c>
      <c r="B2004" s="336">
        <v>45841.0</v>
      </c>
      <c r="C2004" s="335" t="s">
        <v>7</v>
      </c>
      <c r="D2004" s="335" t="s">
        <v>49</v>
      </c>
      <c r="E2004" s="337" t="str">
        <f t="shared" si="1"/>
        <v>合同大阪:伊藤忠</v>
      </c>
      <c r="F2004" s="338" t="s">
        <v>119</v>
      </c>
      <c r="G2004" s="339" t="str">
        <f t="shared" si="2"/>
        <v>合同大阪:伊藤忠Ｈ３(1級)</v>
      </c>
      <c r="H2004" s="340">
        <f t="shared" si="3"/>
        <v>40.3</v>
      </c>
      <c r="I2004" s="341">
        <v>-0.5</v>
      </c>
      <c r="J2004" s="332">
        <f>IFERROR(__xludf.DUMMYFUNCTION("IF(IF(COUNTIF(P$2:P2003, P2004)=0, """", INDEX(H$2:H2003,
MAX(FILTER(ROW(H$2:H2003) - ROW(H$2) + 1, P$2:P2003 = P2004))))=""単価"","""",
IF(COUNTIF(P$2:P2003, P2004)=0, """", INDEX(H$2:H2003,
MAX(FILTER(ROW(H$2:H2003) - ROW(H$2) + 1, P$2:P2003 = P2004)))))"),40.8)</f>
        <v>40.8</v>
      </c>
      <c r="N2004" s="335" t="str">
        <f>IF(MAXIFS('単価履歴'!$O:$O,'単価履歴'!$E:$E,E2004,'単価履歴'!$F:$F,F2004)=O2004,"●","")</f>
        <v/>
      </c>
      <c r="O2004" s="346">
        <v>45841.27056712963</v>
      </c>
      <c r="P2004" s="334" t="str">
        <f t="shared" si="4"/>
        <v>合同大阪:伊藤忠Ｈ３(1級)</v>
      </c>
    </row>
    <row r="2005" ht="15.75" customHeight="1">
      <c r="A2005" s="335" t="s">
        <v>3174</v>
      </c>
      <c r="B2005" s="336">
        <v>45841.0</v>
      </c>
      <c r="C2005" s="335" t="s">
        <v>7</v>
      </c>
      <c r="D2005" s="335" t="s">
        <v>49</v>
      </c>
      <c r="E2005" s="337" t="str">
        <f t="shared" si="1"/>
        <v>合同大阪:伊藤忠</v>
      </c>
      <c r="F2005" s="338" t="s">
        <v>122</v>
      </c>
      <c r="G2005" s="339" t="str">
        <f t="shared" si="2"/>
        <v>合同大阪:伊藤忠Ｌ１(2級)</v>
      </c>
      <c r="H2005" s="340">
        <f t="shared" si="3"/>
        <v>39.3</v>
      </c>
      <c r="I2005" s="341">
        <v>-0.5</v>
      </c>
      <c r="J2005" s="332">
        <f>IFERROR(__xludf.DUMMYFUNCTION("IF(IF(COUNTIF(P$2:P2004, P2005)=0, """", INDEX(H$2:H2004,
MAX(FILTER(ROW(H$2:H2004) - ROW(H$2) + 1, P$2:P2004 = P2005))))=""単価"","""",
IF(COUNTIF(P$2:P2004, P2005)=0, """", INDEX(H$2:H2004,
MAX(FILTER(ROW(H$2:H2004) - ROW(H$2) + 1, P$2:P2004 = P2005)))))"),39.8)</f>
        <v>39.8</v>
      </c>
      <c r="N2005" s="335" t="str">
        <f>IF(MAXIFS('単価履歴'!$O:$O,'単価履歴'!$E:$E,E2005,'単価履歴'!$F:$F,F2005)=O2005,"●","")</f>
        <v/>
      </c>
      <c r="O2005" s="346">
        <v>45841.27056712963</v>
      </c>
      <c r="P2005" s="334" t="str">
        <f t="shared" si="4"/>
        <v>合同大阪:伊藤忠Ｌ１(2級)</v>
      </c>
    </row>
    <row r="2006" ht="15.75" customHeight="1">
      <c r="A2006" s="335" t="s">
        <v>3175</v>
      </c>
      <c r="B2006" s="336">
        <v>45841.0</v>
      </c>
      <c r="C2006" s="335" t="s">
        <v>9</v>
      </c>
      <c r="D2006" s="335" t="s">
        <v>51</v>
      </c>
      <c r="E2006" s="337" t="str">
        <f t="shared" si="1"/>
        <v>大鉄　堺:大鉄堺</v>
      </c>
      <c r="F2006" s="338" t="s">
        <v>111</v>
      </c>
      <c r="G2006" s="339" t="str">
        <f t="shared" si="2"/>
        <v>大鉄　堺:大鉄堺Ｈ１(特A)</v>
      </c>
      <c r="H2006" s="340">
        <f t="shared" si="3"/>
        <v>43</v>
      </c>
      <c r="I2006" s="341">
        <v>-0.5</v>
      </c>
      <c r="J2006" s="332">
        <f>IFERROR(__xludf.DUMMYFUNCTION("IF(IF(COUNTIF(P$2:P2005, P2006)=0, """", INDEX(H$2:H2005,
MAX(FILTER(ROW(H$2:H2005) - ROW(H$2) + 1, P$2:P2005 = P2006))))=""単価"","""",
IF(COUNTIF(P$2:P2005, P2006)=0, """", INDEX(H$2:H2005,
MAX(FILTER(ROW(H$2:H2005) - ROW(H$2) + 1, P$2:P2005 = P2006)))))"),43.5)</f>
        <v>43.5</v>
      </c>
      <c r="N2006" s="335" t="str">
        <f>IF(MAXIFS('単価履歴'!$O:$O,'単価履歴'!$E:$E,E2006,'単価履歴'!$F:$F,F2006)=O2006,"●","")</f>
        <v/>
      </c>
      <c r="O2006" s="346">
        <v>45841.271423611106</v>
      </c>
      <c r="P2006" s="334" t="str">
        <f t="shared" si="4"/>
        <v>大鉄　堺:大鉄堺Ｈ１(特A)</v>
      </c>
    </row>
    <row r="2007" ht="15.75" customHeight="1">
      <c r="A2007" s="335" t="s">
        <v>3176</v>
      </c>
      <c r="B2007" s="336">
        <v>45841.0</v>
      </c>
      <c r="C2007" s="335" t="s">
        <v>9</v>
      </c>
      <c r="D2007" s="335" t="s">
        <v>51</v>
      </c>
      <c r="E2007" s="337" t="str">
        <f t="shared" si="1"/>
        <v>大鉄　堺:大鉄堺</v>
      </c>
      <c r="F2007" s="338" t="s">
        <v>116</v>
      </c>
      <c r="G2007" s="339" t="str">
        <f t="shared" si="2"/>
        <v>大鉄　堺:大鉄堺Ｈ２(特級)</v>
      </c>
      <c r="H2007" s="340">
        <f t="shared" si="3"/>
        <v>40</v>
      </c>
      <c r="I2007" s="341">
        <v>-0.5</v>
      </c>
      <c r="J2007" s="332">
        <f>IFERROR(__xludf.DUMMYFUNCTION("IF(IF(COUNTIF(P$2:P2006, P2007)=0, """", INDEX(H$2:H2006,
MAX(FILTER(ROW(H$2:H2006) - ROW(H$2) + 1, P$2:P2006 = P2007))))=""単価"","""",
IF(COUNTIF(P$2:P2006, P2007)=0, """", INDEX(H$2:H2006,
MAX(FILTER(ROW(H$2:H2006) - ROW(H$2) + 1, P$2:P2006 = P2007)))))"),40.5)</f>
        <v>40.5</v>
      </c>
      <c r="N2007" s="335" t="str">
        <f>IF(MAXIFS('単価履歴'!$O:$O,'単価履歴'!$E:$E,E2007,'単価履歴'!$F:$F,F2007)=O2007,"●","")</f>
        <v/>
      </c>
      <c r="O2007" s="346">
        <v>45841.271423611106</v>
      </c>
      <c r="P2007" s="334" t="str">
        <f t="shared" si="4"/>
        <v>大鉄　堺:大鉄堺Ｈ２(特級)</v>
      </c>
    </row>
    <row r="2008" ht="15.75" customHeight="1">
      <c r="A2008" s="335" t="s">
        <v>3177</v>
      </c>
      <c r="B2008" s="336">
        <v>45841.0</v>
      </c>
      <c r="C2008" s="335" t="s">
        <v>9</v>
      </c>
      <c r="D2008" s="335" t="s">
        <v>51</v>
      </c>
      <c r="E2008" s="337" t="str">
        <f t="shared" si="1"/>
        <v>大鉄　堺:大鉄堺</v>
      </c>
      <c r="F2008" s="338" t="s">
        <v>1237</v>
      </c>
      <c r="G2008" s="339" t="str">
        <f t="shared" si="2"/>
        <v>大鉄　堺:大鉄堺ＪＨ１(H2T山口)鍛造ﾊﾞﾘ</v>
      </c>
      <c r="H2008" s="340">
        <f t="shared" si="3"/>
        <v>42</v>
      </c>
      <c r="I2008" s="341">
        <v>-0.5</v>
      </c>
      <c r="J2008" s="332">
        <f>IFERROR(__xludf.DUMMYFUNCTION("IF(IF(COUNTIF(P$2:P2007, P2008)=0, """", INDEX(H$2:H2007,
MAX(FILTER(ROW(H$2:H2007) - ROW(H$2) + 1, P$2:P2007 = P2008))))=""単価"","""",
IF(COUNTIF(P$2:P2007, P2008)=0, """", INDEX(H$2:H2007,
MAX(FILTER(ROW(H$2:H2007) - ROW(H$2) + 1, P$2:P2007 = P2008)))))"),42.5)</f>
        <v>42.5</v>
      </c>
      <c r="N2008" s="335" t="str">
        <f>IF(MAXIFS('単価履歴'!$O:$O,'単価履歴'!$E:$E,E2008,'単価履歴'!$F:$F,F2008)=O2008,"●","")</f>
        <v/>
      </c>
      <c r="O2008" s="346">
        <v>45841.271423611106</v>
      </c>
      <c r="P2008" s="334" t="str">
        <f t="shared" si="4"/>
        <v>大鉄　堺:大鉄堺ＪＨ１(H2T山口)鍛造ﾊﾞﾘ</v>
      </c>
    </row>
    <row r="2009" ht="15.75" customHeight="1">
      <c r="A2009" s="335" t="s">
        <v>3178</v>
      </c>
      <c r="B2009" s="336">
        <v>45841.0</v>
      </c>
      <c r="C2009" s="335" t="s">
        <v>9</v>
      </c>
      <c r="D2009" s="335" t="s">
        <v>51</v>
      </c>
      <c r="E2009" s="337" t="str">
        <f t="shared" si="1"/>
        <v>大鉄　堺:大鉄堺</v>
      </c>
      <c r="F2009" s="338" t="s">
        <v>119</v>
      </c>
      <c r="G2009" s="339" t="str">
        <f t="shared" si="2"/>
        <v>大鉄　堺:大鉄堺Ｈ３(1級)</v>
      </c>
      <c r="H2009" s="340">
        <f t="shared" si="3"/>
        <v>39.5</v>
      </c>
      <c r="I2009" s="341">
        <v>-0.5</v>
      </c>
      <c r="J2009" s="332">
        <f>IFERROR(__xludf.DUMMYFUNCTION("IF(IF(COUNTIF(P$2:P2008, P2009)=0, """", INDEX(H$2:H2008,
MAX(FILTER(ROW(H$2:H2008) - ROW(H$2) + 1, P$2:P2008 = P2009))))=""単価"","""",
IF(COUNTIF(P$2:P2008, P2009)=0, """", INDEX(H$2:H2008,
MAX(FILTER(ROW(H$2:H2008) - ROW(H$2) + 1, P$2:P2008 = P2009)))))"),40.0)</f>
        <v>40</v>
      </c>
      <c r="N2009" s="335" t="str">
        <f>IF(MAXIFS('単価履歴'!$O:$O,'単価履歴'!$E:$E,E2009,'単価履歴'!$F:$F,F2009)=O2009,"●","")</f>
        <v/>
      </c>
      <c r="O2009" s="346">
        <v>45841.271423611106</v>
      </c>
      <c r="P2009" s="334" t="str">
        <f t="shared" si="4"/>
        <v>大鉄　堺:大鉄堺Ｈ３(1級)</v>
      </c>
    </row>
    <row r="2010" ht="15.75" customHeight="1">
      <c r="A2010" s="335" t="s">
        <v>3179</v>
      </c>
      <c r="B2010" s="336">
        <v>45841.0</v>
      </c>
      <c r="C2010" s="335" t="s">
        <v>9</v>
      </c>
      <c r="D2010" s="335" t="s">
        <v>51</v>
      </c>
      <c r="E2010" s="337" t="str">
        <f t="shared" si="1"/>
        <v>大鉄　堺:大鉄堺</v>
      </c>
      <c r="F2010" s="338" t="s">
        <v>122</v>
      </c>
      <c r="G2010" s="339" t="str">
        <f t="shared" si="2"/>
        <v>大鉄　堺:大鉄堺Ｌ１(2級)</v>
      </c>
      <c r="H2010" s="340">
        <f t="shared" si="3"/>
        <v>39</v>
      </c>
      <c r="I2010" s="341">
        <v>-0.5</v>
      </c>
      <c r="J2010" s="332">
        <f>IFERROR(__xludf.DUMMYFUNCTION("IF(IF(COUNTIF(P$2:P2009, P2010)=0, """", INDEX(H$2:H2009,
MAX(FILTER(ROW(H$2:H2009) - ROW(H$2) + 1, P$2:P2009 = P2010))))=""単価"","""",
IF(COUNTIF(P$2:P2009, P2010)=0, """", INDEX(H$2:H2009,
MAX(FILTER(ROW(H$2:H2009) - ROW(H$2) + 1, P$2:P2009 = P2010)))))"),39.5)</f>
        <v>39.5</v>
      </c>
      <c r="N2010" s="335" t="str">
        <f>IF(MAXIFS('単価履歴'!$O:$O,'単価履歴'!$E:$E,E2010,'単価履歴'!$F:$F,F2010)=O2010,"●","")</f>
        <v/>
      </c>
      <c r="O2010" s="346">
        <v>45841.271423611106</v>
      </c>
      <c r="P2010" s="334" t="str">
        <f t="shared" si="4"/>
        <v>大鉄　堺:大鉄堺Ｌ１(2級)</v>
      </c>
    </row>
    <row r="2011" ht="15.75" customHeight="1">
      <c r="A2011" s="335" t="s">
        <v>3180</v>
      </c>
      <c r="B2011" s="336">
        <v>45841.0</v>
      </c>
      <c r="C2011" s="335" t="s">
        <v>9</v>
      </c>
      <c r="D2011" s="335" t="s">
        <v>51</v>
      </c>
      <c r="E2011" s="337" t="str">
        <f t="shared" si="1"/>
        <v>大鉄　堺:大鉄堺</v>
      </c>
      <c r="F2011" s="338" t="s">
        <v>130</v>
      </c>
      <c r="G2011" s="339" t="str">
        <f t="shared" si="2"/>
        <v>大鉄　堺:大鉄堺新断Ａ</v>
      </c>
      <c r="H2011" s="340">
        <f t="shared" si="3"/>
        <v>26.5</v>
      </c>
      <c r="I2011" s="341">
        <v>-0.5</v>
      </c>
      <c r="J2011" s="332">
        <f>IFERROR(__xludf.DUMMYFUNCTION("IF(IF(COUNTIF(P$2:P2010, P2011)=0, """", INDEX(H$2:H2010,
MAX(FILTER(ROW(H$2:H2010) - ROW(H$2) + 1, P$2:P2010 = P2011))))=""単価"","""",
IF(COUNTIF(P$2:P2010, P2011)=0, """", INDEX(H$2:H2010,
MAX(FILTER(ROW(H$2:H2010) - ROW(H$2) + 1, P$2:P2010 = P2011)))))"),27.0)</f>
        <v>27</v>
      </c>
      <c r="N2011" s="335" t="str">
        <f>IF(MAXIFS('単価履歴'!$O:$O,'単価履歴'!$E:$E,E2011,'単価履歴'!$F:$F,F2011)=O2011,"●","")</f>
        <v/>
      </c>
      <c r="O2011" s="346">
        <v>45841.271423611106</v>
      </c>
      <c r="P2011" s="334" t="str">
        <f t="shared" si="4"/>
        <v>大鉄　堺:大鉄堺新断Ａ</v>
      </c>
    </row>
    <row r="2012" ht="15.75" customHeight="1">
      <c r="A2012" s="335" t="s">
        <v>3181</v>
      </c>
      <c r="B2012" s="336">
        <v>45841.0</v>
      </c>
      <c r="C2012" s="335" t="s">
        <v>9</v>
      </c>
      <c r="D2012" s="335" t="s">
        <v>51</v>
      </c>
      <c r="E2012" s="337" t="str">
        <f t="shared" si="1"/>
        <v>大鉄　堺:大鉄堺</v>
      </c>
      <c r="F2012" s="338" t="s">
        <v>131</v>
      </c>
      <c r="G2012" s="339" t="str">
        <f t="shared" si="2"/>
        <v>大鉄　堺:大鉄堺新断Ｂ</v>
      </c>
      <c r="H2012" s="340">
        <f t="shared" si="3"/>
        <v>26</v>
      </c>
      <c r="I2012" s="341">
        <v>-0.5</v>
      </c>
      <c r="J2012" s="332">
        <f>IFERROR(__xludf.DUMMYFUNCTION("IF(IF(COUNTIF(P$2:P2011, P2012)=0, """", INDEX(H$2:H2011,
MAX(FILTER(ROW(H$2:H2011) - ROW(H$2) + 1, P$2:P2011 = P2012))))=""単価"","""",
IF(COUNTIF(P$2:P2011, P2012)=0, """", INDEX(H$2:H2011,
MAX(FILTER(ROW(H$2:H2011) - ROW(H$2) + 1, P$2:P2011 = P2012)))))"),26.5)</f>
        <v>26.5</v>
      </c>
      <c r="N2012" s="335" t="str">
        <f>IF(MAXIFS('単価履歴'!$O:$O,'単価履歴'!$E:$E,E2012,'単価履歴'!$F:$F,F2012)=O2012,"●","")</f>
        <v/>
      </c>
      <c r="O2012" s="346">
        <v>45841.271423611106</v>
      </c>
      <c r="P2012" s="334" t="str">
        <f t="shared" si="4"/>
        <v>大鉄　堺:大鉄堺新断Ｂ</v>
      </c>
    </row>
    <row r="2013" ht="15.75" customHeight="1">
      <c r="A2013" s="335" t="s">
        <v>3182</v>
      </c>
      <c r="B2013" s="336">
        <v>45841.0</v>
      </c>
      <c r="C2013" s="335" t="s">
        <v>9</v>
      </c>
      <c r="D2013" s="335" t="s">
        <v>51</v>
      </c>
      <c r="E2013" s="337" t="str">
        <f t="shared" si="1"/>
        <v>大鉄　堺:大鉄堺</v>
      </c>
      <c r="F2013" s="338" t="s">
        <v>575</v>
      </c>
      <c r="G2013" s="339" t="str">
        <f t="shared" si="2"/>
        <v>大鉄　堺:大鉄堺鋼ダライＡ</v>
      </c>
      <c r="H2013" s="340">
        <f t="shared" si="3"/>
        <v>27</v>
      </c>
      <c r="I2013" s="341">
        <v>-0.5</v>
      </c>
      <c r="J2013" s="332">
        <f>IFERROR(__xludf.DUMMYFUNCTION("IF(IF(COUNTIF(P$2:P2012, P2013)=0, """", INDEX(H$2:H2012,
MAX(FILTER(ROW(H$2:H2012) - ROW(H$2) + 1, P$2:P2012 = P2013))))=""単価"","""",
IF(COUNTIF(P$2:P2012, P2013)=0, """", INDEX(H$2:H2012,
MAX(FILTER(ROW(H$2:H2012) - ROW(H$2) + 1, P$2:P2012 = P2013)))))"),27.5)</f>
        <v>27.5</v>
      </c>
      <c r="N2013" s="335" t="str">
        <f>IF(MAXIFS('単価履歴'!$O:$O,'単価履歴'!$E:$E,E2013,'単価履歴'!$F:$F,F2013)=O2013,"●","")</f>
        <v/>
      </c>
      <c r="O2013" s="346">
        <v>45841.271423611106</v>
      </c>
      <c r="P2013" s="334" t="str">
        <f t="shared" si="4"/>
        <v>大鉄　堺:大鉄堺鋼ダライＡ</v>
      </c>
    </row>
    <row r="2014" ht="15.75" customHeight="1">
      <c r="A2014" s="335" t="s">
        <v>3183</v>
      </c>
      <c r="B2014" s="336">
        <v>45841.0</v>
      </c>
      <c r="C2014" s="335" t="s">
        <v>9</v>
      </c>
      <c r="D2014" s="335" t="s">
        <v>51</v>
      </c>
      <c r="E2014" s="337" t="str">
        <f t="shared" si="1"/>
        <v>大鉄　堺:大鉄堺</v>
      </c>
      <c r="F2014" s="338" t="s">
        <v>576</v>
      </c>
      <c r="G2014" s="339" t="str">
        <f t="shared" si="2"/>
        <v>大鉄　堺:大鉄堺鋼ダライＢ</v>
      </c>
      <c r="H2014" s="340">
        <f t="shared" si="3"/>
        <v>27</v>
      </c>
      <c r="I2014" s="341">
        <v>-0.5</v>
      </c>
      <c r="J2014" s="332">
        <f>IFERROR(__xludf.DUMMYFUNCTION("IF(IF(COUNTIF(P$2:P2013, P2014)=0, """", INDEX(H$2:H2013,
MAX(FILTER(ROW(H$2:H2013) - ROW(H$2) + 1, P$2:P2013 = P2014))))=""単価"","""",
IF(COUNTIF(P$2:P2013, P2014)=0, """", INDEX(H$2:H2013,
MAX(FILTER(ROW(H$2:H2013) - ROW(H$2) + 1, P$2:P2013 = P2014)))))"),27.5)</f>
        <v>27.5</v>
      </c>
      <c r="N2014" s="335" t="str">
        <f>IF(MAXIFS('単価履歴'!$O:$O,'単価履歴'!$E:$E,E2014,'単価履歴'!$F:$F,F2014)=O2014,"●","")</f>
        <v/>
      </c>
      <c r="O2014" s="346">
        <v>45841.271423611106</v>
      </c>
      <c r="P2014" s="334" t="str">
        <f t="shared" si="4"/>
        <v>大鉄　堺:大鉄堺鋼ダライＢ</v>
      </c>
    </row>
    <row r="2015" ht="15.75" customHeight="1">
      <c r="A2015" s="335" t="s">
        <v>3184</v>
      </c>
      <c r="B2015" s="336">
        <v>45841.0</v>
      </c>
      <c r="C2015" s="335" t="s">
        <v>9</v>
      </c>
      <c r="D2015" s="335" t="s">
        <v>51</v>
      </c>
      <c r="E2015" s="337" t="str">
        <f t="shared" si="1"/>
        <v>大鉄　堺:大鉄堺</v>
      </c>
      <c r="F2015" s="338" t="s">
        <v>145</v>
      </c>
      <c r="G2015" s="339" t="str">
        <f t="shared" si="2"/>
        <v>大鉄　堺:大鉄堺シュレＡ</v>
      </c>
      <c r="H2015" s="340">
        <f t="shared" si="3"/>
        <v>29</v>
      </c>
      <c r="I2015" s="341">
        <v>-0.5</v>
      </c>
      <c r="J2015" s="332">
        <f>IFERROR(__xludf.DUMMYFUNCTION("IF(IF(COUNTIF(P$2:P2014, P2015)=0, """", INDEX(H$2:H2014,
MAX(FILTER(ROW(H$2:H2014) - ROW(H$2) + 1, P$2:P2014 = P2015))))=""単価"","""",
IF(COUNTIF(P$2:P2014, P2015)=0, """", INDEX(H$2:H2014,
MAX(FILTER(ROW(H$2:H2014) - ROW(H$2) + 1, P$2:P2014 = P2015)))))"),29.5)</f>
        <v>29.5</v>
      </c>
      <c r="N2015" s="335" t="str">
        <f>IF(MAXIFS('単価履歴'!$O:$O,'単価履歴'!$E:$E,E2015,'単価履歴'!$F:$F,F2015)=O2015,"●","")</f>
        <v/>
      </c>
      <c r="O2015" s="346">
        <v>45841.271423611106</v>
      </c>
      <c r="P2015" s="334" t="str">
        <f t="shared" si="4"/>
        <v>大鉄　堺:大鉄堺シュレＡ</v>
      </c>
    </row>
    <row r="2016" ht="15.75" customHeight="1">
      <c r="A2016" s="335" t="s">
        <v>3185</v>
      </c>
      <c r="B2016" s="336">
        <v>45841.0</v>
      </c>
      <c r="C2016" s="335" t="s">
        <v>9</v>
      </c>
      <c r="D2016" s="335" t="s">
        <v>51</v>
      </c>
      <c r="E2016" s="337" t="str">
        <f t="shared" si="1"/>
        <v>大鉄　堺:大鉄堺</v>
      </c>
      <c r="F2016" s="338" t="s">
        <v>149</v>
      </c>
      <c r="G2016" s="339" t="str">
        <f t="shared" si="2"/>
        <v>大鉄　堺:大鉄堺シュレＢ</v>
      </c>
      <c r="H2016" s="340">
        <f t="shared" si="3"/>
        <v>28.3</v>
      </c>
      <c r="I2016" s="341">
        <v>-0.5</v>
      </c>
      <c r="J2016" s="332">
        <f>IFERROR(__xludf.DUMMYFUNCTION("IF(IF(COUNTIF(P$2:P2015, P2016)=0, """", INDEX(H$2:H2015,
MAX(FILTER(ROW(H$2:H2015) - ROW(H$2) + 1, P$2:P2015 = P2016))))=""単価"","""",
IF(COUNTIF(P$2:P2015, P2016)=0, """", INDEX(H$2:H2015,
MAX(FILTER(ROW(H$2:H2015) - ROW(H$2) + 1, P$2:P2015 = P2016)))))"),28.8)</f>
        <v>28.8</v>
      </c>
      <c r="N2016" s="335" t="str">
        <f>IF(MAXIFS('単価履歴'!$O:$O,'単価履歴'!$E:$E,E2016,'単価履歴'!$F:$F,F2016)=O2016,"●","")</f>
        <v/>
      </c>
      <c r="O2016" s="346">
        <v>45841.271423611106</v>
      </c>
      <c r="P2016" s="334" t="str">
        <f t="shared" si="4"/>
        <v>大鉄　堺:大鉄堺シュレＢ</v>
      </c>
    </row>
    <row r="2017" ht="15.75" customHeight="1">
      <c r="A2017" s="335" t="s">
        <v>3186</v>
      </c>
      <c r="B2017" s="336">
        <v>45841.0</v>
      </c>
      <c r="C2017" s="335" t="s">
        <v>9</v>
      </c>
      <c r="D2017" s="335" t="s">
        <v>51</v>
      </c>
      <c r="E2017" s="337" t="str">
        <f t="shared" si="1"/>
        <v>大鉄　堺:大鉄堺</v>
      </c>
      <c r="F2017" s="338" t="s">
        <v>151</v>
      </c>
      <c r="G2017" s="339" t="str">
        <f t="shared" si="2"/>
        <v>大鉄　堺:大鉄堺シュレＣ</v>
      </c>
      <c r="H2017" s="340">
        <f t="shared" si="3"/>
        <v>26.9</v>
      </c>
      <c r="I2017" s="341">
        <v>-0.5</v>
      </c>
      <c r="J2017" s="332">
        <f>IFERROR(__xludf.DUMMYFUNCTION("IF(IF(COUNTIF(P$2:P2016, P2017)=0, """", INDEX(H$2:H2016,
MAX(FILTER(ROW(H$2:H2016) - ROW(H$2) + 1, P$2:P2016 = P2017))))=""単価"","""",
IF(COUNTIF(P$2:P2016, P2017)=0, """", INDEX(H$2:H2016,
MAX(FILTER(ROW(H$2:H2016) - ROW(H$2) + 1, P$2:P2016 = P2017)))))"),27.4)</f>
        <v>27.4</v>
      </c>
      <c r="N2017" s="335" t="str">
        <f>IF(MAXIFS('単価履歴'!$O:$O,'単価履歴'!$E:$E,E2017,'単価履歴'!$F:$F,F2017)=O2017,"●","")</f>
        <v/>
      </c>
      <c r="O2017" s="346">
        <v>45841.271423611106</v>
      </c>
      <c r="P2017" s="334" t="str">
        <f t="shared" si="4"/>
        <v>大鉄　堺:大鉄堺シュレＣ</v>
      </c>
    </row>
    <row r="2018" ht="15.75" customHeight="1">
      <c r="A2018" s="335" t="s">
        <v>3187</v>
      </c>
      <c r="B2018" s="336">
        <v>45841.0</v>
      </c>
      <c r="C2018" s="335" t="s">
        <v>9</v>
      </c>
      <c r="D2018" s="335" t="s">
        <v>51</v>
      </c>
      <c r="E2018" s="337" t="str">
        <f t="shared" si="1"/>
        <v>大鉄　堺:大鉄堺</v>
      </c>
      <c r="F2018" s="338" t="s">
        <v>154</v>
      </c>
      <c r="G2018" s="339" t="str">
        <f t="shared" si="2"/>
        <v>大鉄　堺:大鉄堺ＣＰ Ａ</v>
      </c>
      <c r="H2018" s="340">
        <f t="shared" si="3"/>
        <v>34.5</v>
      </c>
      <c r="I2018" s="341">
        <v>-0.5</v>
      </c>
      <c r="J2018" s="332">
        <f>IFERROR(__xludf.DUMMYFUNCTION("IF(IF(COUNTIF(P$2:P2017, P2018)=0, """", INDEX(H$2:H2017,
MAX(FILTER(ROW(H$2:H2017) - ROW(H$2) + 1, P$2:P2017 = P2018))))=""単価"","""",
IF(COUNTIF(P$2:P2017, P2018)=0, """", INDEX(H$2:H2017,
MAX(FILTER(ROW(H$2:H2017) - ROW(H$2) + 1, P$2:P2017 = P2018)))))"),35.0)</f>
        <v>35</v>
      </c>
      <c r="N2018" s="335" t="str">
        <f>IF(MAXIFS('単価履歴'!$O:$O,'単価履歴'!$E:$E,E2018,'単価履歴'!$F:$F,F2018)=O2018,"●","")</f>
        <v/>
      </c>
      <c r="O2018" s="346">
        <v>45841.271423611106</v>
      </c>
      <c r="P2018" s="334" t="str">
        <f t="shared" si="4"/>
        <v>大鉄　堺:大鉄堺ＣＰ Ａ</v>
      </c>
    </row>
    <row r="2019" ht="15.75" customHeight="1">
      <c r="A2019" s="335" t="s">
        <v>3188</v>
      </c>
      <c r="B2019" s="336">
        <v>45841.0</v>
      </c>
      <c r="C2019" s="335" t="s">
        <v>9</v>
      </c>
      <c r="D2019" s="335" t="s">
        <v>51</v>
      </c>
      <c r="E2019" s="337" t="str">
        <f t="shared" si="1"/>
        <v>大鉄　堺:大鉄堺</v>
      </c>
      <c r="F2019" s="338" t="s">
        <v>156</v>
      </c>
      <c r="G2019" s="339" t="str">
        <f t="shared" si="2"/>
        <v>大鉄　堺:大鉄堺ＣＰ Ｂ一斗缶</v>
      </c>
      <c r="H2019" s="340">
        <f t="shared" si="3"/>
        <v>28</v>
      </c>
      <c r="I2019" s="341">
        <v>-0.5</v>
      </c>
      <c r="J2019" s="332">
        <f>IFERROR(__xludf.DUMMYFUNCTION("IF(IF(COUNTIF(P$2:P2018, P2019)=0, """", INDEX(H$2:H2018,
MAX(FILTER(ROW(H$2:H2018) - ROW(H$2) + 1, P$2:P2018 = P2019))))=""単価"","""",
IF(COUNTIF(P$2:P2018, P2019)=0, """", INDEX(H$2:H2018,
MAX(FILTER(ROW(H$2:H2018) - ROW(H$2) + 1, P$2:P2018 = P2019)))))"),28.5)</f>
        <v>28.5</v>
      </c>
      <c r="N2019" s="335" t="str">
        <f>IF(MAXIFS('単価履歴'!$O:$O,'単価履歴'!$E:$E,E2019,'単価履歴'!$F:$F,F2019)=O2019,"●","")</f>
        <v/>
      </c>
      <c r="O2019" s="346">
        <v>45841.271423611106</v>
      </c>
      <c r="P2019" s="334" t="str">
        <f t="shared" si="4"/>
        <v>大鉄　堺:大鉄堺ＣＰ Ｂ一斗缶</v>
      </c>
    </row>
    <row r="2020" ht="15.75" customHeight="1">
      <c r="A2020" s="335" t="s">
        <v>3189</v>
      </c>
      <c r="B2020" s="336">
        <v>45841.0</v>
      </c>
      <c r="C2020" s="335" t="s">
        <v>9</v>
      </c>
      <c r="D2020" s="335" t="s">
        <v>47</v>
      </c>
      <c r="E2020" s="337" t="str">
        <f t="shared" si="1"/>
        <v>大鉄　堺:豊通</v>
      </c>
      <c r="F2020" s="338" t="s">
        <v>111</v>
      </c>
      <c r="G2020" s="339" t="str">
        <f t="shared" si="2"/>
        <v>大鉄　堺:豊通Ｈ１(特A)</v>
      </c>
      <c r="H2020" s="340">
        <f t="shared" si="3"/>
        <v>27.9</v>
      </c>
      <c r="I2020" s="341">
        <v>-0.5</v>
      </c>
      <c r="J2020" s="332">
        <f>IFERROR(__xludf.DUMMYFUNCTION("IF(IF(COUNTIF(P$2:P2019, P2020)=0, """", INDEX(H$2:H2019,
MAX(FILTER(ROW(H$2:H2019) - ROW(H$2) + 1, P$2:P2019 = P2020))))=""単価"","""",
IF(COUNTIF(P$2:P2019, P2020)=0, """", INDEX(H$2:H2019,
MAX(FILTER(ROW(H$2:H2019) - ROW(H$2) + 1, P$2:P2019 = P2020)))))"),28.4)</f>
        <v>28.4</v>
      </c>
      <c r="N2020" s="335" t="str">
        <f>IF(MAXIFS('単価履歴'!$O:$O,'単価履歴'!$E:$E,E2020,'単価履歴'!$F:$F,F2020)=O2020,"●","")</f>
        <v/>
      </c>
      <c r="O2020" s="346">
        <v>45841.271423611106</v>
      </c>
      <c r="P2020" s="334" t="str">
        <f t="shared" si="4"/>
        <v>大鉄　堺:豊通Ｈ１(特A)</v>
      </c>
    </row>
    <row r="2021" ht="15.75" customHeight="1">
      <c r="A2021" s="335" t="s">
        <v>3190</v>
      </c>
      <c r="B2021" s="336">
        <v>45841.0</v>
      </c>
      <c r="C2021" s="335" t="s">
        <v>9</v>
      </c>
      <c r="D2021" s="335" t="s">
        <v>47</v>
      </c>
      <c r="E2021" s="337" t="str">
        <f t="shared" si="1"/>
        <v>大鉄　堺:豊通</v>
      </c>
      <c r="F2021" s="338" t="s">
        <v>116</v>
      </c>
      <c r="G2021" s="339" t="str">
        <f t="shared" si="2"/>
        <v>大鉄　堺:豊通Ｈ２(特級)</v>
      </c>
      <c r="H2021" s="340">
        <f t="shared" si="3"/>
        <v>23.7</v>
      </c>
      <c r="I2021" s="341">
        <v>-0.5</v>
      </c>
      <c r="J2021" s="332">
        <f>IFERROR(__xludf.DUMMYFUNCTION("IF(IF(COUNTIF(P$2:P2020, P2021)=0, """", INDEX(H$2:H2020,
MAX(FILTER(ROW(H$2:H2020) - ROW(H$2) + 1, P$2:P2020 = P2021))))=""単価"","""",
IF(COUNTIF(P$2:P2020, P2021)=0, """", INDEX(H$2:H2020,
MAX(FILTER(ROW(H$2:H2020) - ROW(H$2) + 1, P$2:P2020 = P2021)))))"),24.2)</f>
        <v>24.2</v>
      </c>
      <c r="N2021" s="335" t="str">
        <f>IF(MAXIFS('単価履歴'!$O:$O,'単価履歴'!$E:$E,E2021,'単価履歴'!$F:$F,F2021)=O2021,"●","")</f>
        <v/>
      </c>
      <c r="O2021" s="346">
        <v>45841.271423611106</v>
      </c>
      <c r="P2021" s="334" t="str">
        <f t="shared" si="4"/>
        <v>大鉄　堺:豊通Ｈ２(特級)</v>
      </c>
    </row>
    <row r="2022" ht="15.75" customHeight="1">
      <c r="A2022" s="335" t="s">
        <v>3191</v>
      </c>
      <c r="B2022" s="336">
        <v>45841.0</v>
      </c>
      <c r="C2022" s="335" t="s">
        <v>9</v>
      </c>
      <c r="D2022" s="335" t="s">
        <v>47</v>
      </c>
      <c r="E2022" s="337" t="str">
        <f t="shared" si="1"/>
        <v>大鉄　堺:豊通</v>
      </c>
      <c r="F2022" s="338" t="s">
        <v>1237</v>
      </c>
      <c r="G2022" s="339" t="str">
        <f t="shared" si="2"/>
        <v>大鉄　堺:豊通ＪＨ１(H2T山口)鍛造ﾊﾞﾘ</v>
      </c>
      <c r="H2022" s="340">
        <f t="shared" si="3"/>
        <v>26.9</v>
      </c>
      <c r="I2022" s="341">
        <v>-0.5</v>
      </c>
      <c r="J2022" s="332">
        <f>IFERROR(__xludf.DUMMYFUNCTION("IF(IF(COUNTIF(P$2:P2021, P2022)=0, """", INDEX(H$2:H2021,
MAX(FILTER(ROW(H$2:H2021) - ROW(H$2) + 1, P$2:P2021 = P2022))))=""単価"","""",
IF(COUNTIF(P$2:P2021, P2022)=0, """", INDEX(H$2:H2021,
MAX(FILTER(ROW(H$2:H2021) - ROW(H$2) + 1, P$2:P2021 = P2022)))))"),27.4)</f>
        <v>27.4</v>
      </c>
      <c r="N2022" s="335" t="str">
        <f>IF(MAXIFS('単価履歴'!$O:$O,'単価履歴'!$E:$E,E2022,'単価履歴'!$F:$F,F2022)=O2022,"●","")</f>
        <v/>
      </c>
      <c r="O2022" s="346">
        <v>45841.271423611106</v>
      </c>
      <c r="P2022" s="334" t="str">
        <f t="shared" si="4"/>
        <v>大鉄　堺:豊通ＪＨ１(H2T山口)鍛造ﾊﾞﾘ</v>
      </c>
    </row>
    <row r="2023" ht="15.75" customHeight="1">
      <c r="A2023" s="335" t="s">
        <v>3192</v>
      </c>
      <c r="B2023" s="336">
        <v>45841.0</v>
      </c>
      <c r="C2023" s="335" t="s">
        <v>9</v>
      </c>
      <c r="D2023" s="335" t="s">
        <v>47</v>
      </c>
      <c r="E2023" s="337" t="str">
        <f t="shared" si="1"/>
        <v>大鉄　堺:豊通</v>
      </c>
      <c r="F2023" s="338" t="s">
        <v>119</v>
      </c>
      <c r="G2023" s="339" t="str">
        <f t="shared" si="2"/>
        <v>大鉄　堺:豊通Ｈ３(1級)</v>
      </c>
      <c r="H2023" s="340">
        <f t="shared" si="3"/>
        <v>22.7</v>
      </c>
      <c r="I2023" s="341">
        <v>-0.5</v>
      </c>
      <c r="J2023" s="332">
        <f>IFERROR(__xludf.DUMMYFUNCTION("IF(IF(COUNTIF(P$2:P2022, P2023)=0, """", INDEX(H$2:H2022,
MAX(FILTER(ROW(H$2:H2022) - ROW(H$2) + 1, P$2:P2022 = P2023))))=""単価"","""",
IF(COUNTIF(P$2:P2022, P2023)=0, """", INDEX(H$2:H2022,
MAX(FILTER(ROW(H$2:H2022) - ROW(H$2) + 1, P$2:P2022 = P2023)))))"),23.2)</f>
        <v>23.2</v>
      </c>
      <c r="N2023" s="335" t="str">
        <f>IF(MAXIFS('単価履歴'!$O:$O,'単価履歴'!$E:$E,E2023,'単価履歴'!$F:$F,F2023)=O2023,"●","")</f>
        <v/>
      </c>
      <c r="O2023" s="346">
        <v>45841.271423611106</v>
      </c>
      <c r="P2023" s="334" t="str">
        <f t="shared" si="4"/>
        <v>大鉄　堺:豊通Ｈ３(1級)</v>
      </c>
    </row>
    <row r="2024" ht="15.75" customHeight="1">
      <c r="A2024" s="335" t="s">
        <v>3193</v>
      </c>
      <c r="B2024" s="336">
        <v>45841.0</v>
      </c>
      <c r="C2024" s="335" t="s">
        <v>9</v>
      </c>
      <c r="D2024" s="335" t="s">
        <v>47</v>
      </c>
      <c r="E2024" s="337" t="str">
        <f t="shared" si="1"/>
        <v>大鉄　堺:豊通</v>
      </c>
      <c r="F2024" s="338" t="s">
        <v>122</v>
      </c>
      <c r="G2024" s="339" t="str">
        <f t="shared" si="2"/>
        <v>大鉄　堺:豊通Ｌ１(2級)</v>
      </c>
      <c r="H2024" s="340">
        <f t="shared" si="3"/>
        <v>21.2</v>
      </c>
      <c r="I2024" s="341">
        <v>-0.5</v>
      </c>
      <c r="J2024" s="332">
        <f>IFERROR(__xludf.DUMMYFUNCTION("IF(IF(COUNTIF(P$2:P2023, P2024)=0, """", INDEX(H$2:H2023,
MAX(FILTER(ROW(H$2:H2023) - ROW(H$2) + 1, P$2:P2023 = P2024))))=""単価"","""",
IF(COUNTIF(P$2:P2023, P2024)=0, """", INDEX(H$2:H2023,
MAX(FILTER(ROW(H$2:H2023) - ROW(H$2) + 1, P$2:P2023 = P2024)))))"),21.7)</f>
        <v>21.7</v>
      </c>
      <c r="N2024" s="335" t="str">
        <f>IF(MAXIFS('単価履歴'!$O:$O,'単価履歴'!$E:$E,E2024,'単価履歴'!$F:$F,F2024)=O2024,"●","")</f>
        <v/>
      </c>
      <c r="O2024" s="346">
        <v>45841.271423611106</v>
      </c>
      <c r="P2024" s="334" t="str">
        <f t="shared" si="4"/>
        <v>大鉄　堺:豊通Ｌ１(2級)</v>
      </c>
    </row>
    <row r="2025" ht="15.75" customHeight="1">
      <c r="A2025" s="335" t="s">
        <v>3194</v>
      </c>
      <c r="B2025" s="336">
        <v>45841.0</v>
      </c>
      <c r="C2025" s="335" t="s">
        <v>9</v>
      </c>
      <c r="D2025" s="335" t="s">
        <v>47</v>
      </c>
      <c r="E2025" s="337" t="str">
        <f t="shared" si="1"/>
        <v>大鉄　堺:豊通</v>
      </c>
      <c r="F2025" s="338" t="s">
        <v>130</v>
      </c>
      <c r="G2025" s="339" t="str">
        <f t="shared" si="2"/>
        <v>大鉄　堺:豊通新断Ａ</v>
      </c>
      <c r="H2025" s="340">
        <f t="shared" si="3"/>
        <v>24.7</v>
      </c>
      <c r="I2025" s="341">
        <v>-0.5</v>
      </c>
      <c r="J2025" s="332">
        <f>IFERROR(__xludf.DUMMYFUNCTION("IF(IF(COUNTIF(P$2:P2024, P2025)=0, """", INDEX(H$2:H2024,
MAX(FILTER(ROW(H$2:H2024) - ROW(H$2) + 1, P$2:P2024 = P2025))))=""単価"","""",
IF(COUNTIF(P$2:P2024, P2025)=0, """", INDEX(H$2:H2024,
MAX(FILTER(ROW(H$2:H2024) - ROW(H$2) + 1, P$2:P2024 = P2025)))))"),25.2)</f>
        <v>25.2</v>
      </c>
      <c r="N2025" s="335" t="str">
        <f>IF(MAXIFS('単価履歴'!$O:$O,'単価履歴'!$E:$E,E2025,'単価履歴'!$F:$F,F2025)=O2025,"●","")</f>
        <v/>
      </c>
      <c r="O2025" s="346">
        <v>45841.271423611106</v>
      </c>
      <c r="P2025" s="334" t="str">
        <f t="shared" si="4"/>
        <v>大鉄　堺:豊通新断Ａ</v>
      </c>
    </row>
    <row r="2026" ht="15.75" customHeight="1">
      <c r="A2026" s="335" t="s">
        <v>3195</v>
      </c>
      <c r="B2026" s="336">
        <v>45841.0</v>
      </c>
      <c r="C2026" s="335" t="s">
        <v>9</v>
      </c>
      <c r="D2026" s="335" t="s">
        <v>47</v>
      </c>
      <c r="E2026" s="337" t="str">
        <f t="shared" si="1"/>
        <v>大鉄　堺:豊通</v>
      </c>
      <c r="F2026" s="338" t="s">
        <v>131</v>
      </c>
      <c r="G2026" s="339" t="str">
        <f t="shared" si="2"/>
        <v>大鉄　堺:豊通新断Ｂ</v>
      </c>
      <c r="H2026" s="340">
        <f t="shared" si="3"/>
        <v>24.2</v>
      </c>
      <c r="I2026" s="341">
        <v>-0.5</v>
      </c>
      <c r="J2026" s="332">
        <f>IFERROR(__xludf.DUMMYFUNCTION("IF(IF(COUNTIF(P$2:P2025, P2026)=0, """", INDEX(H$2:H2025,
MAX(FILTER(ROW(H$2:H2025) - ROW(H$2) + 1, P$2:P2025 = P2026))))=""単価"","""",
IF(COUNTIF(P$2:P2025, P2026)=0, """", INDEX(H$2:H2025,
MAX(FILTER(ROW(H$2:H2025) - ROW(H$2) + 1, P$2:P2025 = P2026)))))"),24.7)</f>
        <v>24.7</v>
      </c>
      <c r="N2026" s="335" t="str">
        <f>IF(MAXIFS('単価履歴'!$O:$O,'単価履歴'!$E:$E,E2026,'単価履歴'!$F:$F,F2026)=O2026,"●","")</f>
        <v/>
      </c>
      <c r="O2026" s="346">
        <v>45841.271423611106</v>
      </c>
      <c r="P2026" s="334" t="str">
        <f t="shared" si="4"/>
        <v>大鉄　堺:豊通新断Ｂ</v>
      </c>
    </row>
    <row r="2027" ht="15.75" customHeight="1">
      <c r="A2027" s="335" t="s">
        <v>3196</v>
      </c>
      <c r="B2027" s="336">
        <v>45841.0</v>
      </c>
      <c r="C2027" s="335" t="s">
        <v>9</v>
      </c>
      <c r="D2027" s="335" t="s">
        <v>47</v>
      </c>
      <c r="E2027" s="337" t="str">
        <f t="shared" si="1"/>
        <v>大鉄　堺:豊通</v>
      </c>
      <c r="F2027" s="338" t="s">
        <v>575</v>
      </c>
      <c r="G2027" s="339" t="str">
        <f t="shared" si="2"/>
        <v>大鉄　堺:豊通鋼ダライＡ</v>
      </c>
      <c r="H2027" s="340">
        <f t="shared" si="3"/>
        <v>26.7</v>
      </c>
      <c r="I2027" s="341">
        <v>-0.5</v>
      </c>
      <c r="J2027" s="332">
        <f>IFERROR(__xludf.DUMMYFUNCTION("IF(IF(COUNTIF(P$2:P2026, P2027)=0, """", INDEX(H$2:H2026,
MAX(FILTER(ROW(H$2:H2026) - ROW(H$2) + 1, P$2:P2026 = P2027))))=""単価"","""",
IF(COUNTIF(P$2:P2026, P2027)=0, """", INDEX(H$2:H2026,
MAX(FILTER(ROW(H$2:H2026) - ROW(H$2) + 1, P$2:P2026 = P2027)))))"),27.2)</f>
        <v>27.2</v>
      </c>
      <c r="N2027" s="335" t="str">
        <f>IF(MAXIFS('単価履歴'!$O:$O,'単価履歴'!$E:$E,E2027,'単価履歴'!$F:$F,F2027)=O2027,"●","")</f>
        <v/>
      </c>
      <c r="O2027" s="346">
        <v>45841.271423611106</v>
      </c>
      <c r="P2027" s="334" t="str">
        <f t="shared" si="4"/>
        <v>大鉄　堺:豊通鋼ダライＡ</v>
      </c>
    </row>
    <row r="2028" ht="15.75" customHeight="1">
      <c r="A2028" s="335" t="s">
        <v>3197</v>
      </c>
      <c r="B2028" s="336">
        <v>45841.0</v>
      </c>
      <c r="C2028" s="335" t="s">
        <v>9</v>
      </c>
      <c r="D2028" s="335" t="s">
        <v>47</v>
      </c>
      <c r="E2028" s="337" t="str">
        <f t="shared" si="1"/>
        <v>大鉄　堺:豊通</v>
      </c>
      <c r="F2028" s="338" t="s">
        <v>576</v>
      </c>
      <c r="G2028" s="339" t="str">
        <f t="shared" si="2"/>
        <v>大鉄　堺:豊通鋼ダライＢ</v>
      </c>
      <c r="H2028" s="340">
        <f t="shared" si="3"/>
        <v>26.7</v>
      </c>
      <c r="I2028" s="341">
        <v>-0.5</v>
      </c>
      <c r="J2028" s="332">
        <f>IFERROR(__xludf.DUMMYFUNCTION("IF(IF(COUNTIF(P$2:P2027, P2028)=0, """", INDEX(H$2:H2027,
MAX(FILTER(ROW(H$2:H2027) - ROW(H$2) + 1, P$2:P2027 = P2028))))=""単価"","""",
IF(COUNTIF(P$2:P2027, P2028)=0, """", INDEX(H$2:H2027,
MAX(FILTER(ROW(H$2:H2027) - ROW(H$2) + 1, P$2:P2027 = P2028)))))"),27.2)</f>
        <v>27.2</v>
      </c>
      <c r="N2028" s="335" t="str">
        <f>IF(MAXIFS('単価履歴'!$O:$O,'単価履歴'!$E:$E,E2028,'単価履歴'!$F:$F,F2028)=O2028,"●","")</f>
        <v/>
      </c>
      <c r="O2028" s="346">
        <v>45841.271423611106</v>
      </c>
      <c r="P2028" s="334" t="str">
        <f t="shared" si="4"/>
        <v>大鉄　堺:豊通鋼ダライＢ</v>
      </c>
    </row>
    <row r="2029" ht="15.75" customHeight="1">
      <c r="A2029" s="335" t="s">
        <v>3198</v>
      </c>
      <c r="B2029" s="336">
        <v>45841.0</v>
      </c>
      <c r="C2029" s="335" t="s">
        <v>9</v>
      </c>
      <c r="D2029" s="335" t="s">
        <v>47</v>
      </c>
      <c r="E2029" s="337" t="str">
        <f t="shared" si="1"/>
        <v>大鉄　堺:豊通</v>
      </c>
      <c r="F2029" s="338" t="s">
        <v>145</v>
      </c>
      <c r="G2029" s="339" t="str">
        <f t="shared" si="2"/>
        <v>大鉄　堺:豊通シュレＡ</v>
      </c>
      <c r="H2029" s="340">
        <f t="shared" si="3"/>
        <v>28.2</v>
      </c>
      <c r="I2029" s="341">
        <v>-0.5</v>
      </c>
      <c r="J2029" s="332">
        <f>IFERROR(__xludf.DUMMYFUNCTION("IF(IF(COUNTIF(P$2:P2028, P2029)=0, """", INDEX(H$2:H2028,
MAX(FILTER(ROW(H$2:H2028) - ROW(H$2) + 1, P$2:P2028 = P2029))))=""単価"","""",
IF(COUNTIF(P$2:P2028, P2029)=0, """", INDEX(H$2:H2028,
MAX(FILTER(ROW(H$2:H2028) - ROW(H$2) + 1, P$2:P2028 = P2029)))))"),28.7)</f>
        <v>28.7</v>
      </c>
      <c r="N2029" s="335" t="str">
        <f>IF(MAXIFS('単価履歴'!$O:$O,'単価履歴'!$E:$E,E2029,'単価履歴'!$F:$F,F2029)=O2029,"●","")</f>
        <v/>
      </c>
      <c r="O2029" s="346">
        <v>45841.271423611106</v>
      </c>
      <c r="P2029" s="334" t="str">
        <f t="shared" si="4"/>
        <v>大鉄　堺:豊通シュレＡ</v>
      </c>
    </row>
    <row r="2030" ht="15.75" customHeight="1">
      <c r="A2030" s="335" t="s">
        <v>3199</v>
      </c>
      <c r="B2030" s="336">
        <v>45841.0</v>
      </c>
      <c r="C2030" s="335" t="s">
        <v>9</v>
      </c>
      <c r="D2030" s="335" t="s">
        <v>47</v>
      </c>
      <c r="E2030" s="337" t="str">
        <f t="shared" si="1"/>
        <v>大鉄　堺:豊通</v>
      </c>
      <c r="F2030" s="338" t="s">
        <v>149</v>
      </c>
      <c r="G2030" s="339" t="str">
        <f t="shared" si="2"/>
        <v>大鉄　堺:豊通シュレＢ</v>
      </c>
      <c r="H2030" s="340">
        <f t="shared" si="3"/>
        <v>27.5</v>
      </c>
      <c r="I2030" s="341">
        <v>-0.5</v>
      </c>
      <c r="J2030" s="332">
        <f>IFERROR(__xludf.DUMMYFUNCTION("IF(IF(COUNTIF(P$2:P2029, P2030)=0, """", INDEX(H$2:H2029,
MAX(FILTER(ROW(H$2:H2029) - ROW(H$2) + 1, P$2:P2029 = P2030))))=""単価"","""",
IF(COUNTIF(P$2:P2029, P2030)=0, """", INDEX(H$2:H2029,
MAX(FILTER(ROW(H$2:H2029) - ROW(H$2) + 1, P$2:P2029 = P2030)))))"),28.0)</f>
        <v>28</v>
      </c>
      <c r="N2030" s="335" t="str">
        <f>IF(MAXIFS('単価履歴'!$O:$O,'単価履歴'!$E:$E,E2030,'単価履歴'!$F:$F,F2030)=O2030,"●","")</f>
        <v/>
      </c>
      <c r="O2030" s="346">
        <v>45841.271423611106</v>
      </c>
      <c r="P2030" s="334" t="str">
        <f t="shared" si="4"/>
        <v>大鉄　堺:豊通シュレＢ</v>
      </c>
    </row>
    <row r="2031" ht="15.75" customHeight="1">
      <c r="A2031" s="335" t="s">
        <v>3200</v>
      </c>
      <c r="B2031" s="336">
        <v>45841.0</v>
      </c>
      <c r="C2031" s="335" t="s">
        <v>9</v>
      </c>
      <c r="D2031" s="335" t="s">
        <v>47</v>
      </c>
      <c r="E2031" s="337" t="str">
        <f t="shared" si="1"/>
        <v>大鉄　堺:豊通</v>
      </c>
      <c r="F2031" s="338" t="s">
        <v>151</v>
      </c>
      <c r="G2031" s="339" t="str">
        <f t="shared" si="2"/>
        <v>大鉄　堺:豊通シュレＣ</v>
      </c>
      <c r="H2031" s="340">
        <f t="shared" si="3"/>
        <v>26.1</v>
      </c>
      <c r="I2031" s="341">
        <v>-0.5</v>
      </c>
      <c r="J2031" s="332">
        <f>IFERROR(__xludf.DUMMYFUNCTION("IF(IF(COUNTIF(P$2:P2030, P2031)=0, """", INDEX(H$2:H2030,
MAX(FILTER(ROW(H$2:H2030) - ROW(H$2) + 1, P$2:P2030 = P2031))))=""単価"","""",
IF(COUNTIF(P$2:P2030, P2031)=0, """", INDEX(H$2:H2030,
MAX(FILTER(ROW(H$2:H2030) - ROW(H$2) + 1, P$2:P2030 = P2031)))))"),26.6)</f>
        <v>26.6</v>
      </c>
      <c r="N2031" s="335" t="str">
        <f>IF(MAXIFS('単価履歴'!$O:$O,'単価履歴'!$E:$E,E2031,'単価履歴'!$F:$F,F2031)=O2031,"●","")</f>
        <v/>
      </c>
      <c r="O2031" s="346">
        <v>45841.271423611106</v>
      </c>
      <c r="P2031" s="334" t="str">
        <f t="shared" si="4"/>
        <v>大鉄　堺:豊通シュレＣ</v>
      </c>
    </row>
    <row r="2032" ht="15.75" customHeight="1">
      <c r="A2032" s="335" t="s">
        <v>3201</v>
      </c>
      <c r="B2032" s="336">
        <v>45841.0</v>
      </c>
      <c r="C2032" s="335" t="s">
        <v>9</v>
      </c>
      <c r="D2032" s="335" t="s">
        <v>47</v>
      </c>
      <c r="E2032" s="337" t="str">
        <f t="shared" si="1"/>
        <v>大鉄　堺:豊通</v>
      </c>
      <c r="F2032" s="338" t="s">
        <v>154</v>
      </c>
      <c r="G2032" s="339" t="str">
        <f t="shared" si="2"/>
        <v>大鉄　堺:豊通ＣＰ Ａ</v>
      </c>
      <c r="H2032" s="340">
        <f t="shared" si="3"/>
        <v>38.7</v>
      </c>
      <c r="I2032" s="341">
        <v>-0.5</v>
      </c>
      <c r="J2032" s="332">
        <f>IFERROR(__xludf.DUMMYFUNCTION("IF(IF(COUNTIF(P$2:P2031, P2032)=0, """", INDEX(H$2:H2031,
MAX(FILTER(ROW(H$2:H2031) - ROW(H$2) + 1, P$2:P2031 = P2032))))=""単価"","""",
IF(COUNTIF(P$2:P2031, P2032)=0, """", INDEX(H$2:H2031,
MAX(FILTER(ROW(H$2:H2031) - ROW(H$2) + 1, P$2:P2031 = P2032)))))"),39.2)</f>
        <v>39.2</v>
      </c>
      <c r="N2032" s="335" t="str">
        <f>IF(MAXIFS('単価履歴'!$O:$O,'単価履歴'!$E:$E,E2032,'単価履歴'!$F:$F,F2032)=O2032,"●","")</f>
        <v/>
      </c>
      <c r="O2032" s="346">
        <v>45841.271423611106</v>
      </c>
      <c r="P2032" s="334" t="str">
        <f t="shared" si="4"/>
        <v>大鉄　堺:豊通ＣＰ Ａ</v>
      </c>
    </row>
    <row r="2033" ht="15.75" customHeight="1">
      <c r="A2033" s="335" t="s">
        <v>3202</v>
      </c>
      <c r="B2033" s="336">
        <v>45841.0</v>
      </c>
      <c r="C2033" s="335" t="s">
        <v>9</v>
      </c>
      <c r="D2033" s="335" t="s">
        <v>47</v>
      </c>
      <c r="E2033" s="337" t="str">
        <f t="shared" si="1"/>
        <v>大鉄　堺:豊通</v>
      </c>
      <c r="F2033" s="338" t="s">
        <v>156</v>
      </c>
      <c r="G2033" s="339" t="str">
        <f t="shared" si="2"/>
        <v>大鉄　堺:豊通ＣＰ Ｂ一斗缶</v>
      </c>
      <c r="H2033" s="340">
        <f t="shared" si="3"/>
        <v>32.2</v>
      </c>
      <c r="I2033" s="341">
        <v>-0.5</v>
      </c>
      <c r="J2033" s="332">
        <f>IFERROR(__xludf.DUMMYFUNCTION("IF(IF(COUNTIF(P$2:P2032, P2033)=0, """", INDEX(H$2:H2032,
MAX(FILTER(ROW(H$2:H2032) - ROW(H$2) + 1, P$2:P2032 = P2033))))=""単価"","""",
IF(COUNTIF(P$2:P2032, P2033)=0, """", INDEX(H$2:H2032,
MAX(FILTER(ROW(H$2:H2032) - ROW(H$2) + 1, P$2:P2032 = P2033)))))"),32.7)</f>
        <v>32.7</v>
      </c>
      <c r="N2033" s="335" t="str">
        <f>IF(MAXIFS('単価履歴'!$O:$O,'単価履歴'!$E:$E,E2033,'単価履歴'!$F:$F,F2033)=O2033,"●","")</f>
        <v/>
      </c>
      <c r="O2033" s="346">
        <v>45841.271423611106</v>
      </c>
      <c r="P2033" s="334" t="str">
        <f t="shared" si="4"/>
        <v>大鉄　堺:豊通ＣＰ Ｂ一斗缶</v>
      </c>
    </row>
    <row r="2034" ht="15.75" customHeight="1">
      <c r="A2034" s="335" t="s">
        <v>3203</v>
      </c>
      <c r="B2034" s="336">
        <v>45841.0</v>
      </c>
      <c r="C2034" s="335" t="s">
        <v>9</v>
      </c>
      <c r="D2034" s="335" t="s">
        <v>50</v>
      </c>
      <c r="E2034" s="337" t="str">
        <f t="shared" si="1"/>
        <v>大鉄　堺:産振</v>
      </c>
      <c r="F2034" s="338" t="s">
        <v>111</v>
      </c>
      <c r="G2034" s="339" t="str">
        <f t="shared" si="2"/>
        <v>大鉄　堺:産振Ｈ１(特A)</v>
      </c>
      <c r="H2034" s="340">
        <f t="shared" si="3"/>
        <v>43.2</v>
      </c>
      <c r="I2034" s="341">
        <v>-0.5</v>
      </c>
      <c r="J2034" s="332">
        <f>IFERROR(__xludf.DUMMYFUNCTION("IF(IF(COUNTIF(P$2:P2033, P2034)=0, """", INDEX(H$2:H2033,
MAX(FILTER(ROW(H$2:H2033) - ROW(H$2) + 1, P$2:P2033 = P2034))))=""単価"","""",
IF(COUNTIF(P$2:P2033, P2034)=0, """", INDEX(H$2:H2033,
MAX(FILTER(ROW(H$2:H2033) - ROW(H$2) + 1, P$2:P2033 = P2034)))))"),43.7)</f>
        <v>43.7</v>
      </c>
      <c r="N2034" s="335" t="str">
        <f>IF(MAXIFS('単価履歴'!$O:$O,'単価履歴'!$E:$E,E2034,'単価履歴'!$F:$F,F2034)=O2034,"●","")</f>
        <v/>
      </c>
      <c r="O2034" s="346">
        <v>45841.271423611106</v>
      </c>
      <c r="P2034" s="334" t="str">
        <f t="shared" si="4"/>
        <v>大鉄　堺:産振Ｈ１(特A)</v>
      </c>
    </row>
    <row r="2035" ht="15.75" customHeight="1">
      <c r="A2035" s="335" t="s">
        <v>3204</v>
      </c>
      <c r="B2035" s="336">
        <v>45841.0</v>
      </c>
      <c r="C2035" s="335" t="s">
        <v>9</v>
      </c>
      <c r="D2035" s="335" t="s">
        <v>50</v>
      </c>
      <c r="E2035" s="337" t="str">
        <f t="shared" si="1"/>
        <v>大鉄　堺:産振</v>
      </c>
      <c r="F2035" s="338" t="s">
        <v>116</v>
      </c>
      <c r="G2035" s="339" t="str">
        <f t="shared" si="2"/>
        <v>大鉄　堺:産振Ｈ２(特級)</v>
      </c>
      <c r="H2035" s="340">
        <f t="shared" si="3"/>
        <v>40.7</v>
      </c>
      <c r="I2035" s="341">
        <v>-0.5</v>
      </c>
      <c r="J2035" s="332">
        <f>IFERROR(__xludf.DUMMYFUNCTION("IF(IF(COUNTIF(P$2:P2034, P2035)=0, """", INDEX(H$2:H2034,
MAX(FILTER(ROW(H$2:H2034) - ROW(H$2) + 1, P$2:P2034 = P2035))))=""単価"","""",
IF(COUNTIF(P$2:P2034, P2035)=0, """", INDEX(H$2:H2034,
MAX(FILTER(ROW(H$2:H2034) - ROW(H$2) + 1, P$2:P2034 = P2035)))))"),41.2)</f>
        <v>41.2</v>
      </c>
      <c r="N2035" s="335" t="str">
        <f>IF(MAXIFS('単価履歴'!$O:$O,'単価履歴'!$E:$E,E2035,'単価履歴'!$F:$F,F2035)=O2035,"●","")</f>
        <v/>
      </c>
      <c r="O2035" s="346">
        <v>45841.271423611106</v>
      </c>
      <c r="P2035" s="334" t="str">
        <f t="shared" si="4"/>
        <v>大鉄　堺:産振Ｈ２(特級)</v>
      </c>
    </row>
    <row r="2036" ht="15.75" customHeight="1">
      <c r="A2036" s="335" t="s">
        <v>3205</v>
      </c>
      <c r="B2036" s="336">
        <v>45841.0</v>
      </c>
      <c r="C2036" s="335" t="s">
        <v>9</v>
      </c>
      <c r="D2036" s="335" t="s">
        <v>50</v>
      </c>
      <c r="E2036" s="337" t="str">
        <f t="shared" si="1"/>
        <v>大鉄　堺:産振</v>
      </c>
      <c r="F2036" s="338" t="s">
        <v>1237</v>
      </c>
      <c r="G2036" s="339" t="str">
        <f t="shared" si="2"/>
        <v>大鉄　堺:産振ＪＨ１(H2T山口)鍛造ﾊﾞﾘ</v>
      </c>
      <c r="H2036" s="340">
        <f t="shared" si="3"/>
        <v>-2</v>
      </c>
      <c r="I2036" s="341">
        <v>-0.5</v>
      </c>
      <c r="J2036" s="332">
        <f>IFERROR(__xludf.DUMMYFUNCTION("IF(IF(COUNTIF(P$2:P2035, P2036)=0, """", INDEX(H$2:H2035,
MAX(FILTER(ROW(H$2:H2035) - ROW(H$2) + 1, P$2:P2035 = P2036))))=""単価"","""",
IF(COUNTIF(P$2:P2035, P2036)=0, """", INDEX(H$2:H2035,
MAX(FILTER(ROW(H$2:H2035) - ROW(H$2) + 1, P$2:P2035 = P2036)))))"),-1.5)</f>
        <v>-1.5</v>
      </c>
      <c r="N2036" s="335" t="str">
        <f>IF(MAXIFS('単価履歴'!$O:$O,'単価履歴'!$E:$E,E2036,'単価履歴'!$F:$F,F2036)=O2036,"●","")</f>
        <v/>
      </c>
      <c r="O2036" s="346">
        <v>45841.271423611106</v>
      </c>
      <c r="P2036" s="334" t="str">
        <f t="shared" si="4"/>
        <v>大鉄　堺:産振ＪＨ１(H2T山口)鍛造ﾊﾞﾘ</v>
      </c>
    </row>
    <row r="2037" ht="15.75" customHeight="1">
      <c r="A2037" s="335" t="s">
        <v>3206</v>
      </c>
      <c r="B2037" s="336">
        <v>45841.0</v>
      </c>
      <c r="C2037" s="335" t="s">
        <v>9</v>
      </c>
      <c r="D2037" s="335" t="s">
        <v>50</v>
      </c>
      <c r="E2037" s="337" t="str">
        <f t="shared" si="1"/>
        <v>大鉄　堺:産振</v>
      </c>
      <c r="F2037" s="338" t="s">
        <v>119</v>
      </c>
      <c r="G2037" s="339" t="str">
        <f t="shared" si="2"/>
        <v>大鉄　堺:産振Ｈ３(1級)</v>
      </c>
      <c r="H2037" s="340">
        <f t="shared" si="3"/>
        <v>22.7</v>
      </c>
      <c r="I2037" s="341">
        <v>-0.5</v>
      </c>
      <c r="J2037" s="332">
        <f>IFERROR(__xludf.DUMMYFUNCTION("IF(IF(COUNTIF(P$2:P2036, P2037)=0, """", INDEX(H$2:H2036,
MAX(FILTER(ROW(H$2:H2036) - ROW(H$2) + 1, P$2:P2036 = P2037))))=""単価"","""",
IF(COUNTIF(P$2:P2036, P2037)=0, """", INDEX(H$2:H2036,
MAX(FILTER(ROW(H$2:H2036) - ROW(H$2) + 1, P$2:P2036 = P2037)))))"),23.200000000000003)</f>
        <v>23.2</v>
      </c>
      <c r="N2037" s="335" t="str">
        <f>IF(MAXIFS('単価履歴'!$O:$O,'単価履歴'!$E:$E,E2037,'単価履歴'!$F:$F,F2037)=O2037,"●","")</f>
        <v/>
      </c>
      <c r="O2037" s="346">
        <v>45841.271423611106</v>
      </c>
      <c r="P2037" s="334" t="str">
        <f t="shared" si="4"/>
        <v>大鉄　堺:産振Ｈ３(1級)</v>
      </c>
    </row>
    <row r="2038" ht="15.75" customHeight="1">
      <c r="A2038" s="335" t="s">
        <v>3207</v>
      </c>
      <c r="B2038" s="336">
        <v>45841.0</v>
      </c>
      <c r="C2038" s="335" t="s">
        <v>9</v>
      </c>
      <c r="D2038" s="335" t="s">
        <v>50</v>
      </c>
      <c r="E2038" s="337" t="str">
        <f t="shared" si="1"/>
        <v>大鉄　堺:産振</v>
      </c>
      <c r="F2038" s="338" t="s">
        <v>122</v>
      </c>
      <c r="G2038" s="339" t="str">
        <f t="shared" si="2"/>
        <v>大鉄　堺:産振Ｌ１(2級)</v>
      </c>
      <c r="H2038" s="340">
        <f t="shared" si="3"/>
        <v>21.7</v>
      </c>
      <c r="I2038" s="341">
        <v>-0.5</v>
      </c>
      <c r="J2038" s="332">
        <f>IFERROR(__xludf.DUMMYFUNCTION("IF(IF(COUNTIF(P$2:P2037, P2038)=0, """", INDEX(H$2:H2037,
MAX(FILTER(ROW(H$2:H2037) - ROW(H$2) + 1, P$2:P2037 = P2038))))=""単価"","""",
IF(COUNTIF(P$2:P2037, P2038)=0, """", INDEX(H$2:H2037,
MAX(FILTER(ROW(H$2:H2037) - ROW(H$2) + 1, P$2:P2037 = P2038)))))"),22.200000000000003)</f>
        <v>22.2</v>
      </c>
      <c r="N2038" s="335" t="str">
        <f>IF(MAXIFS('単価履歴'!$O:$O,'単価履歴'!$E:$E,E2038,'単価履歴'!$F:$F,F2038)=O2038,"●","")</f>
        <v/>
      </c>
      <c r="O2038" s="346">
        <v>45841.271423611106</v>
      </c>
      <c r="P2038" s="334" t="str">
        <f t="shared" si="4"/>
        <v>大鉄　堺:産振Ｌ１(2級)</v>
      </c>
    </row>
    <row r="2039" ht="15.75" customHeight="1">
      <c r="A2039" s="335" t="s">
        <v>3208</v>
      </c>
      <c r="B2039" s="336">
        <v>45841.0</v>
      </c>
      <c r="C2039" s="335" t="s">
        <v>9</v>
      </c>
      <c r="D2039" s="335" t="s">
        <v>50</v>
      </c>
      <c r="E2039" s="337" t="str">
        <f t="shared" si="1"/>
        <v>大鉄　堺:産振</v>
      </c>
      <c r="F2039" s="338" t="s">
        <v>130</v>
      </c>
      <c r="G2039" s="339" t="str">
        <f t="shared" si="2"/>
        <v>大鉄　堺:産振新断Ａ</v>
      </c>
      <c r="H2039" s="340">
        <f t="shared" si="3"/>
        <v>40.2</v>
      </c>
      <c r="I2039" s="341">
        <v>-0.5</v>
      </c>
      <c r="J2039" s="332">
        <f>IFERROR(__xludf.DUMMYFUNCTION("IF(IF(COUNTIF(P$2:P2038, P2039)=0, """", INDEX(H$2:H2038,
MAX(FILTER(ROW(H$2:H2038) - ROW(H$2) + 1, P$2:P2038 = P2039))))=""単価"","""",
IF(COUNTIF(P$2:P2038, P2039)=0, """", INDEX(H$2:H2038,
MAX(FILTER(ROW(H$2:H2038) - ROW(H$2) + 1, P$2:P2038 = P2039)))))"),40.7)</f>
        <v>40.7</v>
      </c>
      <c r="N2039" s="335" t="str">
        <f>IF(MAXIFS('単価履歴'!$O:$O,'単価履歴'!$E:$E,E2039,'単価履歴'!$F:$F,F2039)=O2039,"●","")</f>
        <v/>
      </c>
      <c r="O2039" s="346">
        <v>45841.271423611106</v>
      </c>
      <c r="P2039" s="334" t="str">
        <f t="shared" si="4"/>
        <v>大鉄　堺:産振新断Ａ</v>
      </c>
    </row>
    <row r="2040" ht="15.75" customHeight="1">
      <c r="A2040" s="335" t="s">
        <v>3209</v>
      </c>
      <c r="B2040" s="336">
        <v>45841.0</v>
      </c>
      <c r="C2040" s="335" t="s">
        <v>9</v>
      </c>
      <c r="D2040" s="335" t="s">
        <v>50</v>
      </c>
      <c r="E2040" s="337" t="str">
        <f t="shared" si="1"/>
        <v>大鉄　堺:産振</v>
      </c>
      <c r="F2040" s="338" t="s">
        <v>131</v>
      </c>
      <c r="G2040" s="339" t="str">
        <f t="shared" si="2"/>
        <v>大鉄　堺:産振新断Ｂ</v>
      </c>
      <c r="H2040" s="340">
        <f t="shared" si="3"/>
        <v>39.7</v>
      </c>
      <c r="I2040" s="341">
        <v>-0.5</v>
      </c>
      <c r="J2040" s="332">
        <f>IFERROR(__xludf.DUMMYFUNCTION("IF(IF(COUNTIF(P$2:P2039, P2040)=0, """", INDEX(H$2:H2039,
MAX(FILTER(ROW(H$2:H2039) - ROW(H$2) + 1, P$2:P2039 = P2040))))=""単価"","""",
IF(COUNTIF(P$2:P2039, P2040)=0, """", INDEX(H$2:H2039,
MAX(FILTER(ROW(H$2:H2039) - ROW(H$2) + 1, P$2:P2039 = P2040)))))"),40.2)</f>
        <v>40.2</v>
      </c>
      <c r="N2040" s="335" t="str">
        <f>IF(MAXIFS('単価履歴'!$O:$O,'単価履歴'!$E:$E,E2040,'単価履歴'!$F:$F,F2040)=O2040,"●","")</f>
        <v/>
      </c>
      <c r="O2040" s="346">
        <v>45841.271423611106</v>
      </c>
      <c r="P2040" s="334" t="str">
        <f t="shared" si="4"/>
        <v>大鉄　堺:産振新断Ｂ</v>
      </c>
    </row>
    <row r="2041" ht="15.75" customHeight="1">
      <c r="A2041" s="335" t="s">
        <v>3210</v>
      </c>
      <c r="B2041" s="336">
        <v>45841.0</v>
      </c>
      <c r="C2041" s="335" t="s">
        <v>9</v>
      </c>
      <c r="D2041" s="335" t="s">
        <v>50</v>
      </c>
      <c r="E2041" s="337" t="str">
        <f t="shared" si="1"/>
        <v>大鉄　堺:産振</v>
      </c>
      <c r="F2041" s="338" t="s">
        <v>575</v>
      </c>
      <c r="G2041" s="339" t="str">
        <f t="shared" si="2"/>
        <v>大鉄　堺:産振鋼ダライＡ</v>
      </c>
      <c r="H2041" s="340">
        <f t="shared" si="3"/>
        <v>36.7</v>
      </c>
      <c r="I2041" s="341">
        <v>-0.5</v>
      </c>
      <c r="J2041" s="332">
        <f>IFERROR(__xludf.DUMMYFUNCTION("IF(IF(COUNTIF(P$2:P2040, P2041)=0, """", INDEX(H$2:H2040,
MAX(FILTER(ROW(H$2:H2040) - ROW(H$2) + 1, P$2:P2040 = P2041))))=""単価"","""",
IF(COUNTIF(P$2:P2040, P2041)=0, """", INDEX(H$2:H2040,
MAX(FILTER(ROW(H$2:H2040) - ROW(H$2) + 1, P$2:P2040 = P2041)))))"),37.2)</f>
        <v>37.2</v>
      </c>
      <c r="N2041" s="335" t="str">
        <f>IF(MAXIFS('単価履歴'!$O:$O,'単価履歴'!$E:$E,E2041,'単価履歴'!$F:$F,F2041)=O2041,"●","")</f>
        <v/>
      </c>
      <c r="O2041" s="346">
        <v>45841.271423611106</v>
      </c>
      <c r="P2041" s="334" t="str">
        <f t="shared" si="4"/>
        <v>大鉄　堺:産振鋼ダライＡ</v>
      </c>
    </row>
    <row r="2042" ht="15.75" customHeight="1">
      <c r="A2042" s="335" t="s">
        <v>3211</v>
      </c>
      <c r="B2042" s="336">
        <v>45841.0</v>
      </c>
      <c r="C2042" s="335" t="s">
        <v>9</v>
      </c>
      <c r="D2042" s="335" t="s">
        <v>50</v>
      </c>
      <c r="E2042" s="337" t="str">
        <f t="shared" si="1"/>
        <v>大鉄　堺:産振</v>
      </c>
      <c r="F2042" s="338" t="s">
        <v>576</v>
      </c>
      <c r="G2042" s="339" t="str">
        <f t="shared" si="2"/>
        <v>大鉄　堺:産振鋼ダライＢ</v>
      </c>
      <c r="H2042" s="340">
        <f t="shared" si="3"/>
        <v>-2</v>
      </c>
      <c r="I2042" s="341">
        <v>-0.5</v>
      </c>
      <c r="J2042" s="332">
        <f>IFERROR(__xludf.DUMMYFUNCTION("IF(IF(COUNTIF(P$2:P2041, P2042)=0, """", INDEX(H$2:H2041,
MAX(FILTER(ROW(H$2:H2041) - ROW(H$2) + 1, P$2:P2041 = P2042))))=""単価"","""",
IF(COUNTIF(P$2:P2041, P2042)=0, """", INDEX(H$2:H2041,
MAX(FILTER(ROW(H$2:H2041) - ROW(H$2) + 1, P$2:P2041 = P2042)))))"),-1.5)</f>
        <v>-1.5</v>
      </c>
      <c r="N2042" s="335" t="str">
        <f>IF(MAXIFS('単価履歴'!$O:$O,'単価履歴'!$E:$E,E2042,'単価履歴'!$F:$F,F2042)=O2042,"●","")</f>
        <v/>
      </c>
      <c r="O2042" s="346">
        <v>45841.271423611106</v>
      </c>
      <c r="P2042" s="334" t="str">
        <f t="shared" si="4"/>
        <v>大鉄　堺:産振鋼ダライＢ</v>
      </c>
    </row>
    <row r="2043" ht="15.75" customHeight="1">
      <c r="A2043" s="335" t="s">
        <v>3212</v>
      </c>
      <c r="B2043" s="336">
        <v>45841.0</v>
      </c>
      <c r="C2043" s="335" t="s">
        <v>9</v>
      </c>
      <c r="D2043" s="335" t="s">
        <v>50</v>
      </c>
      <c r="E2043" s="337" t="str">
        <f t="shared" si="1"/>
        <v>大鉄　堺:産振</v>
      </c>
      <c r="F2043" s="338" t="s">
        <v>145</v>
      </c>
      <c r="G2043" s="339" t="str">
        <f t="shared" si="2"/>
        <v>大鉄　堺:産振シュレＡ</v>
      </c>
      <c r="H2043" s="340">
        <f t="shared" si="3"/>
        <v>-2</v>
      </c>
      <c r="I2043" s="341">
        <v>-0.5</v>
      </c>
      <c r="J2043" s="332">
        <f>IFERROR(__xludf.DUMMYFUNCTION("IF(IF(COUNTIF(P$2:P2042, P2043)=0, """", INDEX(H$2:H2042,
MAX(FILTER(ROW(H$2:H2042) - ROW(H$2) + 1, P$2:P2042 = P2043))))=""単価"","""",
IF(COUNTIF(P$2:P2042, P2043)=0, """", INDEX(H$2:H2042,
MAX(FILTER(ROW(H$2:H2042) - ROW(H$2) + 1, P$2:P2042 = P2043)))))"),-1.5)</f>
        <v>-1.5</v>
      </c>
      <c r="N2043" s="335" t="str">
        <f>IF(MAXIFS('単価履歴'!$O:$O,'単価履歴'!$E:$E,E2043,'単価履歴'!$F:$F,F2043)=O2043,"●","")</f>
        <v/>
      </c>
      <c r="O2043" s="346">
        <v>45841.271423611106</v>
      </c>
      <c r="P2043" s="334" t="str">
        <f t="shared" si="4"/>
        <v>大鉄　堺:産振シュレＡ</v>
      </c>
    </row>
    <row r="2044" ht="15.75" customHeight="1">
      <c r="A2044" s="335" t="s">
        <v>3213</v>
      </c>
      <c r="B2044" s="336">
        <v>45841.0</v>
      </c>
      <c r="C2044" s="335" t="s">
        <v>9</v>
      </c>
      <c r="D2044" s="335" t="s">
        <v>50</v>
      </c>
      <c r="E2044" s="337" t="str">
        <f t="shared" si="1"/>
        <v>大鉄　堺:産振</v>
      </c>
      <c r="F2044" s="338" t="s">
        <v>149</v>
      </c>
      <c r="G2044" s="339" t="str">
        <f t="shared" si="2"/>
        <v>大鉄　堺:産振シュレＢ</v>
      </c>
      <c r="H2044" s="340">
        <f t="shared" si="3"/>
        <v>-2</v>
      </c>
      <c r="I2044" s="341">
        <v>-0.5</v>
      </c>
      <c r="J2044" s="332">
        <f>IFERROR(__xludf.DUMMYFUNCTION("IF(IF(COUNTIF(P$2:P2043, P2044)=0, """", INDEX(H$2:H2043,
MAX(FILTER(ROW(H$2:H2043) - ROW(H$2) + 1, P$2:P2043 = P2044))))=""単価"","""",
IF(COUNTIF(P$2:P2043, P2044)=0, """", INDEX(H$2:H2043,
MAX(FILTER(ROW(H$2:H2043) - ROW(H$2) + 1, P$2:P2043 = P2044)))))"),-1.5)</f>
        <v>-1.5</v>
      </c>
      <c r="N2044" s="335" t="str">
        <f>IF(MAXIFS('単価履歴'!$O:$O,'単価履歴'!$E:$E,E2044,'単価履歴'!$F:$F,F2044)=O2044,"●","")</f>
        <v/>
      </c>
      <c r="O2044" s="346">
        <v>45841.271423611106</v>
      </c>
      <c r="P2044" s="334" t="str">
        <f t="shared" si="4"/>
        <v>大鉄　堺:産振シュレＢ</v>
      </c>
    </row>
    <row r="2045" ht="15.75" customHeight="1">
      <c r="A2045" s="335" t="s">
        <v>3214</v>
      </c>
      <c r="B2045" s="336">
        <v>45841.0</v>
      </c>
      <c r="C2045" s="335" t="s">
        <v>9</v>
      </c>
      <c r="D2045" s="335" t="s">
        <v>50</v>
      </c>
      <c r="E2045" s="337" t="str">
        <f t="shared" si="1"/>
        <v>大鉄　堺:産振</v>
      </c>
      <c r="F2045" s="338" t="s">
        <v>151</v>
      </c>
      <c r="G2045" s="339" t="str">
        <f t="shared" si="2"/>
        <v>大鉄　堺:産振シュレＣ</v>
      </c>
      <c r="H2045" s="340">
        <f t="shared" si="3"/>
        <v>-2</v>
      </c>
      <c r="I2045" s="341">
        <v>-0.5</v>
      </c>
      <c r="J2045" s="332">
        <f>IFERROR(__xludf.DUMMYFUNCTION("IF(IF(COUNTIF(P$2:P2044, P2045)=0, """", INDEX(H$2:H2044,
MAX(FILTER(ROW(H$2:H2044) - ROW(H$2) + 1, P$2:P2044 = P2045))))=""単価"","""",
IF(COUNTIF(P$2:P2044, P2045)=0, """", INDEX(H$2:H2044,
MAX(FILTER(ROW(H$2:H2044) - ROW(H$2) + 1, P$2:P2044 = P2045)))))"),-1.5)</f>
        <v>-1.5</v>
      </c>
      <c r="N2045" s="335" t="str">
        <f>IF(MAXIFS('単価履歴'!$O:$O,'単価履歴'!$E:$E,E2045,'単価履歴'!$F:$F,F2045)=O2045,"●","")</f>
        <v/>
      </c>
      <c r="O2045" s="346">
        <v>45841.271423611106</v>
      </c>
      <c r="P2045" s="334" t="str">
        <f t="shared" si="4"/>
        <v>大鉄　堺:産振シュレＣ</v>
      </c>
    </row>
    <row r="2046" ht="15.75" customHeight="1">
      <c r="A2046" s="335" t="s">
        <v>3215</v>
      </c>
      <c r="B2046" s="336">
        <v>45841.0</v>
      </c>
      <c r="C2046" s="335" t="s">
        <v>9</v>
      </c>
      <c r="D2046" s="335" t="s">
        <v>50</v>
      </c>
      <c r="E2046" s="337" t="str">
        <f t="shared" si="1"/>
        <v>大鉄　堺:産振</v>
      </c>
      <c r="F2046" s="338" t="s">
        <v>154</v>
      </c>
      <c r="G2046" s="339" t="str">
        <f t="shared" si="2"/>
        <v>大鉄　堺:産振ＣＰ Ａ</v>
      </c>
      <c r="H2046" s="340">
        <f t="shared" si="3"/>
        <v>44.2</v>
      </c>
      <c r="I2046" s="341">
        <v>-0.5</v>
      </c>
      <c r="J2046" s="332">
        <f>IFERROR(__xludf.DUMMYFUNCTION("IF(IF(COUNTIF(P$2:P2045, P2046)=0, """", INDEX(H$2:H2045,
MAX(FILTER(ROW(H$2:H2045) - ROW(H$2) + 1, P$2:P2045 = P2046))))=""単価"","""",
IF(COUNTIF(P$2:P2045, P2046)=0, """", INDEX(H$2:H2045,
MAX(FILTER(ROW(H$2:H2045) - ROW(H$2) + 1, P$2:P2045 = P2046)))))"),44.7)</f>
        <v>44.7</v>
      </c>
      <c r="N2046" s="335" t="str">
        <f>IF(MAXIFS('単価履歴'!$O:$O,'単価履歴'!$E:$E,E2046,'単価履歴'!$F:$F,F2046)=O2046,"●","")</f>
        <v/>
      </c>
      <c r="O2046" s="346">
        <v>45841.271423611106</v>
      </c>
      <c r="P2046" s="334" t="str">
        <f t="shared" si="4"/>
        <v>大鉄　堺:産振ＣＰ Ａ</v>
      </c>
    </row>
    <row r="2047" ht="15.75" customHeight="1">
      <c r="A2047" s="335" t="s">
        <v>3216</v>
      </c>
      <c r="B2047" s="336">
        <v>45841.0</v>
      </c>
      <c r="C2047" s="335" t="s">
        <v>9</v>
      </c>
      <c r="D2047" s="335" t="s">
        <v>50</v>
      </c>
      <c r="E2047" s="337" t="str">
        <f t="shared" si="1"/>
        <v>大鉄　堺:産振</v>
      </c>
      <c r="F2047" s="338" t="s">
        <v>156</v>
      </c>
      <c r="G2047" s="339" t="str">
        <f t="shared" si="2"/>
        <v>大鉄　堺:産振ＣＰ Ｂ一斗缶</v>
      </c>
      <c r="H2047" s="340">
        <f t="shared" si="3"/>
        <v>34</v>
      </c>
      <c r="I2047" s="341">
        <v>-0.5</v>
      </c>
      <c r="J2047" s="332">
        <f>IFERROR(__xludf.DUMMYFUNCTION("IF(IF(COUNTIF(P$2:P2046, P2047)=0, """", INDEX(H$2:H2046,
MAX(FILTER(ROW(H$2:H2046) - ROW(H$2) + 1, P$2:P2046 = P2047))))=""単価"","""",
IF(COUNTIF(P$2:P2046, P2047)=0, """", INDEX(H$2:H2046,
MAX(FILTER(ROW(H$2:H2046) - ROW(H$2) + 1, P$2:P2046 = P2047)))))"),34.5)</f>
        <v>34.5</v>
      </c>
      <c r="N2047" s="335" t="str">
        <f>IF(MAXIFS('単価履歴'!$O:$O,'単価履歴'!$E:$E,E2047,'単価履歴'!$F:$F,F2047)=O2047,"●","")</f>
        <v/>
      </c>
      <c r="O2047" s="346">
        <v>45841.271423611106</v>
      </c>
      <c r="P2047" s="334" t="str">
        <f t="shared" si="4"/>
        <v>大鉄　堺:産振ＣＰ Ｂ一斗缶</v>
      </c>
    </row>
    <row r="2048" ht="15.75" customHeight="1">
      <c r="A2048" s="335" t="s">
        <v>3217</v>
      </c>
      <c r="B2048" s="336">
        <v>45841.0</v>
      </c>
      <c r="C2048" s="335" t="s">
        <v>9</v>
      </c>
      <c r="D2048" s="335" t="s">
        <v>49</v>
      </c>
      <c r="E2048" s="337" t="str">
        <f t="shared" si="1"/>
        <v>大鉄　堺:伊藤忠</v>
      </c>
      <c r="F2048" s="338" t="s">
        <v>111</v>
      </c>
      <c r="G2048" s="339" t="str">
        <f t="shared" si="2"/>
        <v>大鉄　堺:伊藤忠Ｈ１(特A)</v>
      </c>
      <c r="H2048" s="340">
        <f t="shared" si="3"/>
        <v>26.8</v>
      </c>
      <c r="I2048" s="341">
        <v>-0.5</v>
      </c>
      <c r="J2048" s="332">
        <f>IFERROR(__xludf.DUMMYFUNCTION("IF(IF(COUNTIF(P$2:P2047, P2048)=0, """", INDEX(H$2:H2047,
MAX(FILTER(ROW(H$2:H2047) - ROW(H$2) + 1, P$2:P2047 = P2048))))=""単価"","""",
IF(COUNTIF(P$2:P2047, P2048)=0, """", INDEX(H$2:H2047,
MAX(FILTER(ROW(H$2:H2047) - ROW(H$2) + 1, P$2:P2047 = P2048)))))"),27.3)</f>
        <v>27.3</v>
      </c>
      <c r="N2048" s="335" t="str">
        <f>IF(MAXIFS('単価履歴'!$O:$O,'単価履歴'!$E:$E,E2048,'単価履歴'!$F:$F,F2048)=O2048,"●","")</f>
        <v/>
      </c>
      <c r="O2048" s="346">
        <v>45841.271423611106</v>
      </c>
      <c r="P2048" s="334" t="str">
        <f t="shared" si="4"/>
        <v>大鉄　堺:伊藤忠Ｈ１(特A)</v>
      </c>
    </row>
    <row r="2049" ht="15.75" customHeight="1">
      <c r="A2049" s="335" t="s">
        <v>3218</v>
      </c>
      <c r="B2049" s="336">
        <v>45841.0</v>
      </c>
      <c r="C2049" s="335" t="s">
        <v>9</v>
      </c>
      <c r="D2049" s="335" t="s">
        <v>49</v>
      </c>
      <c r="E2049" s="337" t="str">
        <f t="shared" si="1"/>
        <v>大鉄　堺:伊藤忠</v>
      </c>
      <c r="F2049" s="338" t="s">
        <v>116</v>
      </c>
      <c r="G2049" s="339" t="str">
        <f t="shared" si="2"/>
        <v>大鉄　堺:伊藤忠Ｈ２(特級)</v>
      </c>
      <c r="H2049" s="340">
        <f t="shared" si="3"/>
        <v>32</v>
      </c>
      <c r="I2049" s="341">
        <v>-0.5</v>
      </c>
      <c r="J2049" s="332">
        <f>IFERROR(__xludf.DUMMYFUNCTION("IF(IF(COUNTIF(P$2:P2048, P2049)=0, """", INDEX(H$2:H2048,
MAX(FILTER(ROW(H$2:H2048) - ROW(H$2) + 1, P$2:P2048 = P2049))))=""単価"","""",
IF(COUNTIF(P$2:P2048, P2049)=0, """", INDEX(H$2:H2048,
MAX(FILTER(ROW(H$2:H2048) - ROW(H$2) + 1, P$2:P2048 = P2049)))))"),32.5)</f>
        <v>32.5</v>
      </c>
      <c r="N2049" s="335" t="str">
        <f>IF(MAXIFS('単価履歴'!$O:$O,'単価履歴'!$E:$E,E2049,'単価履歴'!$F:$F,F2049)=O2049,"●","")</f>
        <v/>
      </c>
      <c r="O2049" s="346">
        <v>45841.271423611106</v>
      </c>
      <c r="P2049" s="334" t="str">
        <f t="shared" si="4"/>
        <v>大鉄　堺:伊藤忠Ｈ２(特級)</v>
      </c>
    </row>
    <row r="2050" ht="15.75" customHeight="1">
      <c r="A2050" s="335" t="s">
        <v>3219</v>
      </c>
      <c r="B2050" s="336">
        <v>45841.0</v>
      </c>
      <c r="C2050" s="335" t="s">
        <v>9</v>
      </c>
      <c r="D2050" s="335" t="s">
        <v>49</v>
      </c>
      <c r="E2050" s="337" t="str">
        <f t="shared" si="1"/>
        <v>大鉄　堺:伊藤忠</v>
      </c>
      <c r="F2050" s="338" t="s">
        <v>1237</v>
      </c>
      <c r="G2050" s="339" t="str">
        <f t="shared" si="2"/>
        <v>大鉄　堺:伊藤忠ＪＨ１(H2T山口)鍛造ﾊﾞﾘ</v>
      </c>
      <c r="H2050" s="340">
        <f t="shared" si="3"/>
        <v>34.2</v>
      </c>
      <c r="I2050" s="341">
        <v>-0.5</v>
      </c>
      <c r="J2050" s="332">
        <f>IFERROR(__xludf.DUMMYFUNCTION("IF(IF(COUNTIF(P$2:P2049, P2050)=0, """", INDEX(H$2:H2049,
MAX(FILTER(ROW(H$2:H2049) - ROW(H$2) + 1, P$2:P2049 = P2050))))=""単価"","""",
IF(COUNTIF(P$2:P2049, P2050)=0, """", INDEX(H$2:H2049,
MAX(FILTER(ROW(H$2:H2049) - ROW(H$2) + 1, P$2:P2049 = P2050)))))"),34.7)</f>
        <v>34.7</v>
      </c>
      <c r="N2050" s="335" t="str">
        <f>IF(MAXIFS('単価履歴'!$O:$O,'単価履歴'!$E:$E,E2050,'単価履歴'!$F:$F,F2050)=O2050,"●","")</f>
        <v/>
      </c>
      <c r="O2050" s="346">
        <v>45841.271423611106</v>
      </c>
      <c r="P2050" s="334" t="str">
        <f t="shared" si="4"/>
        <v>大鉄　堺:伊藤忠ＪＨ１(H2T山口)鍛造ﾊﾞﾘ</v>
      </c>
    </row>
    <row r="2051" ht="15.75" customHeight="1">
      <c r="A2051" s="335" t="s">
        <v>3220</v>
      </c>
      <c r="B2051" s="336">
        <v>45841.0</v>
      </c>
      <c r="C2051" s="335" t="s">
        <v>9</v>
      </c>
      <c r="D2051" s="335" t="s">
        <v>49</v>
      </c>
      <c r="E2051" s="337" t="str">
        <f t="shared" si="1"/>
        <v>大鉄　堺:伊藤忠</v>
      </c>
      <c r="F2051" s="338" t="s">
        <v>119</v>
      </c>
      <c r="G2051" s="339" t="str">
        <f t="shared" si="2"/>
        <v>大鉄　堺:伊藤忠Ｈ３(1級)</v>
      </c>
      <c r="H2051" s="340">
        <f t="shared" si="3"/>
        <v>31</v>
      </c>
      <c r="I2051" s="341">
        <v>-0.5</v>
      </c>
      <c r="J2051" s="332">
        <f>IFERROR(__xludf.DUMMYFUNCTION("IF(IF(COUNTIF(P$2:P2050, P2051)=0, """", INDEX(H$2:H2050,
MAX(FILTER(ROW(H$2:H2050) - ROW(H$2) + 1, P$2:P2050 = P2051))))=""単価"","""",
IF(COUNTIF(P$2:P2050, P2051)=0, """", INDEX(H$2:H2050,
MAX(FILTER(ROW(H$2:H2050) - ROW(H$2) + 1, P$2:P2050 = P2051)))))"),31.5)</f>
        <v>31.5</v>
      </c>
      <c r="N2051" s="335" t="str">
        <f>IF(MAXIFS('単価履歴'!$O:$O,'単価履歴'!$E:$E,E2051,'単価履歴'!$F:$F,F2051)=O2051,"●","")</f>
        <v/>
      </c>
      <c r="O2051" s="346">
        <v>45841.271423611106</v>
      </c>
      <c r="P2051" s="334" t="str">
        <f t="shared" si="4"/>
        <v>大鉄　堺:伊藤忠Ｈ３(1級)</v>
      </c>
    </row>
    <row r="2052" ht="15.75" customHeight="1">
      <c r="A2052" s="335" t="s">
        <v>3221</v>
      </c>
      <c r="B2052" s="336">
        <v>45841.0</v>
      </c>
      <c r="C2052" s="335" t="s">
        <v>9</v>
      </c>
      <c r="D2052" s="335" t="s">
        <v>49</v>
      </c>
      <c r="E2052" s="337" t="str">
        <f t="shared" si="1"/>
        <v>大鉄　堺:伊藤忠</v>
      </c>
      <c r="F2052" s="338" t="s">
        <v>122</v>
      </c>
      <c r="G2052" s="339" t="str">
        <f t="shared" si="2"/>
        <v>大鉄　堺:伊藤忠Ｌ１(2級)</v>
      </c>
      <c r="H2052" s="340">
        <f t="shared" si="3"/>
        <v>30</v>
      </c>
      <c r="I2052" s="341">
        <v>-0.5</v>
      </c>
      <c r="J2052" s="332">
        <f>IFERROR(__xludf.DUMMYFUNCTION("IF(IF(COUNTIF(P$2:P2051, P2052)=0, """", INDEX(H$2:H2051,
MAX(FILTER(ROW(H$2:H2051) - ROW(H$2) + 1, P$2:P2051 = P2052))))=""単価"","""",
IF(COUNTIF(P$2:P2051, P2052)=0, """", INDEX(H$2:H2051,
MAX(FILTER(ROW(H$2:H2051) - ROW(H$2) + 1, P$2:P2051 = P2052)))))"),30.5)</f>
        <v>30.5</v>
      </c>
      <c r="N2052" s="335" t="str">
        <f>IF(MAXIFS('単価履歴'!$O:$O,'単価履歴'!$E:$E,E2052,'単価履歴'!$F:$F,F2052)=O2052,"●","")</f>
        <v/>
      </c>
      <c r="O2052" s="346">
        <v>45841.271423611106</v>
      </c>
      <c r="P2052" s="334" t="str">
        <f t="shared" si="4"/>
        <v>大鉄　堺:伊藤忠Ｌ１(2級)</v>
      </c>
    </row>
    <row r="2053" ht="15.75" customHeight="1">
      <c r="A2053" s="335" t="s">
        <v>3222</v>
      </c>
      <c r="B2053" s="336">
        <v>45841.0</v>
      </c>
      <c r="C2053" s="335" t="s">
        <v>9</v>
      </c>
      <c r="D2053" s="335" t="s">
        <v>49</v>
      </c>
      <c r="E2053" s="337" t="str">
        <f t="shared" si="1"/>
        <v>大鉄　堺:伊藤忠</v>
      </c>
      <c r="F2053" s="338" t="s">
        <v>130</v>
      </c>
      <c r="G2053" s="339" t="str">
        <f t="shared" si="2"/>
        <v>大鉄　堺:伊藤忠新断Ａ</v>
      </c>
      <c r="H2053" s="340">
        <f t="shared" si="3"/>
        <v>26.3</v>
      </c>
      <c r="I2053" s="341">
        <v>-0.5</v>
      </c>
      <c r="J2053" s="332">
        <f>IFERROR(__xludf.DUMMYFUNCTION("IF(IF(COUNTIF(P$2:P2052, P2053)=0, """", INDEX(H$2:H2052,
MAX(FILTER(ROW(H$2:H2052) - ROW(H$2) + 1, P$2:P2052 = P2053))))=""単価"","""",
IF(COUNTIF(P$2:P2052, P2053)=0, """", INDEX(H$2:H2052,
MAX(FILTER(ROW(H$2:H2052) - ROW(H$2) + 1, P$2:P2052 = P2053)))))"),26.8)</f>
        <v>26.8</v>
      </c>
      <c r="N2053" s="335" t="str">
        <f>IF(MAXIFS('単価履歴'!$O:$O,'単価履歴'!$E:$E,E2053,'単価履歴'!$F:$F,F2053)=O2053,"●","")</f>
        <v/>
      </c>
      <c r="O2053" s="346">
        <v>45841.271423611106</v>
      </c>
      <c r="P2053" s="334" t="str">
        <f t="shared" si="4"/>
        <v>大鉄　堺:伊藤忠新断Ａ</v>
      </c>
    </row>
    <row r="2054" ht="15.75" customHeight="1">
      <c r="A2054" s="335" t="s">
        <v>3223</v>
      </c>
      <c r="B2054" s="336">
        <v>45841.0</v>
      </c>
      <c r="C2054" s="335" t="s">
        <v>9</v>
      </c>
      <c r="D2054" s="335" t="s">
        <v>49</v>
      </c>
      <c r="E2054" s="337" t="str">
        <f t="shared" si="1"/>
        <v>大鉄　堺:伊藤忠</v>
      </c>
      <c r="F2054" s="338" t="s">
        <v>131</v>
      </c>
      <c r="G2054" s="339" t="str">
        <f t="shared" si="2"/>
        <v>大鉄　堺:伊藤忠新断Ｂ</v>
      </c>
      <c r="H2054" s="340">
        <f t="shared" si="3"/>
        <v>25.8</v>
      </c>
      <c r="I2054" s="341">
        <v>-0.5</v>
      </c>
      <c r="J2054" s="332">
        <f>IFERROR(__xludf.DUMMYFUNCTION("IF(IF(COUNTIF(P$2:P2053, P2054)=0, """", INDEX(H$2:H2053,
MAX(FILTER(ROW(H$2:H2053) - ROW(H$2) + 1, P$2:P2053 = P2054))))=""単価"","""",
IF(COUNTIF(P$2:P2053, P2054)=0, """", INDEX(H$2:H2053,
MAX(FILTER(ROW(H$2:H2053) - ROW(H$2) + 1, P$2:P2053 = P2054)))))"),26.3)</f>
        <v>26.3</v>
      </c>
      <c r="N2054" s="335" t="str">
        <f>IF(MAXIFS('単価履歴'!$O:$O,'単価履歴'!$E:$E,E2054,'単価履歴'!$F:$F,F2054)=O2054,"●","")</f>
        <v/>
      </c>
      <c r="O2054" s="346">
        <v>45841.271423611106</v>
      </c>
      <c r="P2054" s="334" t="str">
        <f t="shared" si="4"/>
        <v>大鉄　堺:伊藤忠新断Ｂ</v>
      </c>
    </row>
    <row r="2055" ht="15.75" customHeight="1">
      <c r="A2055" s="335" t="s">
        <v>3224</v>
      </c>
      <c r="B2055" s="336">
        <v>45841.0</v>
      </c>
      <c r="C2055" s="335" t="s">
        <v>9</v>
      </c>
      <c r="D2055" s="335" t="s">
        <v>49</v>
      </c>
      <c r="E2055" s="337" t="str">
        <f t="shared" si="1"/>
        <v>大鉄　堺:伊藤忠</v>
      </c>
      <c r="F2055" s="338" t="s">
        <v>575</v>
      </c>
      <c r="G2055" s="339" t="str">
        <f t="shared" si="2"/>
        <v>大鉄　堺:伊藤忠鋼ダライＡ</v>
      </c>
      <c r="H2055" s="340">
        <f t="shared" si="3"/>
        <v>-2</v>
      </c>
      <c r="I2055" s="341">
        <v>-0.5</v>
      </c>
      <c r="J2055" s="332">
        <f>IFERROR(__xludf.DUMMYFUNCTION("IF(IF(COUNTIF(P$2:P2054, P2055)=0, """", INDEX(H$2:H2054,
MAX(FILTER(ROW(H$2:H2054) - ROW(H$2) + 1, P$2:P2054 = P2055))))=""単価"","""",
IF(COUNTIF(P$2:P2054, P2055)=0, """", INDEX(H$2:H2054,
MAX(FILTER(ROW(H$2:H2054) - ROW(H$2) + 1, P$2:P2054 = P2055)))))"),-1.5)</f>
        <v>-1.5</v>
      </c>
      <c r="N2055" s="335" t="str">
        <f>IF(MAXIFS('単価履歴'!$O:$O,'単価履歴'!$E:$E,E2055,'単価履歴'!$F:$F,F2055)=O2055,"●","")</f>
        <v/>
      </c>
      <c r="O2055" s="346">
        <v>45841.271423611106</v>
      </c>
      <c r="P2055" s="334" t="str">
        <f t="shared" si="4"/>
        <v>大鉄　堺:伊藤忠鋼ダライＡ</v>
      </c>
    </row>
    <row r="2056" ht="15.75" customHeight="1">
      <c r="A2056" s="335" t="s">
        <v>3225</v>
      </c>
      <c r="B2056" s="336">
        <v>45841.0</v>
      </c>
      <c r="C2056" s="335" t="s">
        <v>9</v>
      </c>
      <c r="D2056" s="335" t="s">
        <v>49</v>
      </c>
      <c r="E2056" s="337" t="str">
        <f t="shared" si="1"/>
        <v>大鉄　堺:伊藤忠</v>
      </c>
      <c r="F2056" s="338" t="s">
        <v>576</v>
      </c>
      <c r="G2056" s="339" t="str">
        <f t="shared" si="2"/>
        <v>大鉄　堺:伊藤忠鋼ダライＢ</v>
      </c>
      <c r="H2056" s="340">
        <f t="shared" si="3"/>
        <v>-2</v>
      </c>
      <c r="I2056" s="341">
        <v>-0.5</v>
      </c>
      <c r="J2056" s="332">
        <f>IFERROR(__xludf.DUMMYFUNCTION("IF(IF(COUNTIF(P$2:P2055, P2056)=0, """", INDEX(H$2:H2055,
MAX(FILTER(ROW(H$2:H2055) - ROW(H$2) + 1, P$2:P2055 = P2056))))=""単価"","""",
IF(COUNTIF(P$2:P2055, P2056)=0, """", INDEX(H$2:H2055,
MAX(FILTER(ROW(H$2:H2055) - ROW(H$2) + 1, P$2:P2055 = P2056)))))"),-1.5)</f>
        <v>-1.5</v>
      </c>
      <c r="N2056" s="335" t="str">
        <f>IF(MAXIFS('単価履歴'!$O:$O,'単価履歴'!$E:$E,E2056,'単価履歴'!$F:$F,F2056)=O2056,"●","")</f>
        <v/>
      </c>
      <c r="O2056" s="346">
        <v>45841.271423611106</v>
      </c>
      <c r="P2056" s="334" t="str">
        <f t="shared" si="4"/>
        <v>大鉄　堺:伊藤忠鋼ダライＢ</v>
      </c>
    </row>
    <row r="2057" ht="15.75" customHeight="1">
      <c r="A2057" s="335" t="s">
        <v>3226</v>
      </c>
      <c r="B2057" s="336">
        <v>45841.0</v>
      </c>
      <c r="C2057" s="335" t="s">
        <v>9</v>
      </c>
      <c r="D2057" s="335" t="s">
        <v>49</v>
      </c>
      <c r="E2057" s="337" t="str">
        <f t="shared" si="1"/>
        <v>大鉄　堺:伊藤忠</v>
      </c>
      <c r="F2057" s="338" t="s">
        <v>145</v>
      </c>
      <c r="G2057" s="339" t="str">
        <f t="shared" si="2"/>
        <v>大鉄　堺:伊藤忠シュレＡ</v>
      </c>
      <c r="H2057" s="340">
        <f t="shared" si="3"/>
        <v>-2</v>
      </c>
      <c r="I2057" s="341">
        <v>-0.5</v>
      </c>
      <c r="J2057" s="332">
        <f>IFERROR(__xludf.DUMMYFUNCTION("IF(IF(COUNTIF(P$2:P2056, P2057)=0, """", INDEX(H$2:H2056,
MAX(FILTER(ROW(H$2:H2056) - ROW(H$2) + 1, P$2:P2056 = P2057))))=""単価"","""",
IF(COUNTIF(P$2:P2056, P2057)=0, """", INDEX(H$2:H2056,
MAX(FILTER(ROW(H$2:H2056) - ROW(H$2) + 1, P$2:P2056 = P2057)))))"),-1.5)</f>
        <v>-1.5</v>
      </c>
      <c r="N2057" s="335" t="str">
        <f>IF(MAXIFS('単価履歴'!$O:$O,'単価履歴'!$E:$E,E2057,'単価履歴'!$F:$F,F2057)=O2057,"●","")</f>
        <v/>
      </c>
      <c r="O2057" s="346">
        <v>45841.271423611106</v>
      </c>
      <c r="P2057" s="334" t="str">
        <f t="shared" si="4"/>
        <v>大鉄　堺:伊藤忠シュレＡ</v>
      </c>
    </row>
    <row r="2058" ht="15.75" customHeight="1">
      <c r="A2058" s="335" t="s">
        <v>3227</v>
      </c>
      <c r="B2058" s="336">
        <v>45841.0</v>
      </c>
      <c r="C2058" s="335" t="s">
        <v>9</v>
      </c>
      <c r="D2058" s="335" t="s">
        <v>49</v>
      </c>
      <c r="E2058" s="337" t="str">
        <f t="shared" si="1"/>
        <v>大鉄　堺:伊藤忠</v>
      </c>
      <c r="F2058" s="338" t="s">
        <v>149</v>
      </c>
      <c r="G2058" s="339" t="str">
        <f t="shared" si="2"/>
        <v>大鉄　堺:伊藤忠シュレＢ</v>
      </c>
      <c r="H2058" s="340">
        <f t="shared" si="3"/>
        <v>-2</v>
      </c>
      <c r="I2058" s="341">
        <v>-0.5</v>
      </c>
      <c r="J2058" s="332">
        <f>IFERROR(__xludf.DUMMYFUNCTION("IF(IF(COUNTIF(P$2:P2057, P2058)=0, """", INDEX(H$2:H2057,
MAX(FILTER(ROW(H$2:H2057) - ROW(H$2) + 1, P$2:P2057 = P2058))))=""単価"","""",
IF(COUNTIF(P$2:P2057, P2058)=0, """", INDEX(H$2:H2057,
MAX(FILTER(ROW(H$2:H2057) - ROW(H$2) + 1, P$2:P2057 = P2058)))))"),-1.5)</f>
        <v>-1.5</v>
      </c>
      <c r="N2058" s="335" t="str">
        <f>IF(MAXIFS('単価履歴'!$O:$O,'単価履歴'!$E:$E,E2058,'単価履歴'!$F:$F,F2058)=O2058,"●","")</f>
        <v/>
      </c>
      <c r="O2058" s="346">
        <v>45841.271423611106</v>
      </c>
      <c r="P2058" s="334" t="str">
        <f t="shared" si="4"/>
        <v>大鉄　堺:伊藤忠シュレＢ</v>
      </c>
    </row>
    <row r="2059" ht="15.75" customHeight="1">
      <c r="A2059" s="335" t="s">
        <v>3228</v>
      </c>
      <c r="B2059" s="336">
        <v>45841.0</v>
      </c>
      <c r="C2059" s="335" t="s">
        <v>9</v>
      </c>
      <c r="D2059" s="335" t="s">
        <v>49</v>
      </c>
      <c r="E2059" s="337" t="str">
        <f t="shared" si="1"/>
        <v>大鉄　堺:伊藤忠</v>
      </c>
      <c r="F2059" s="338" t="s">
        <v>151</v>
      </c>
      <c r="G2059" s="339" t="str">
        <f t="shared" si="2"/>
        <v>大鉄　堺:伊藤忠シュレＣ</v>
      </c>
      <c r="H2059" s="340">
        <f t="shared" si="3"/>
        <v>-2</v>
      </c>
      <c r="I2059" s="341">
        <v>-0.5</v>
      </c>
      <c r="J2059" s="332">
        <f>IFERROR(__xludf.DUMMYFUNCTION("IF(IF(COUNTIF(P$2:P2058, P2059)=0, """", INDEX(H$2:H2058,
MAX(FILTER(ROW(H$2:H2058) - ROW(H$2) + 1, P$2:P2058 = P2059))))=""単価"","""",
IF(COUNTIF(P$2:P2058, P2059)=0, """", INDEX(H$2:H2058,
MAX(FILTER(ROW(H$2:H2058) - ROW(H$2) + 1, P$2:P2058 = P2059)))))"),-1.5)</f>
        <v>-1.5</v>
      </c>
      <c r="N2059" s="335" t="str">
        <f>IF(MAXIFS('単価履歴'!$O:$O,'単価履歴'!$E:$E,E2059,'単価履歴'!$F:$F,F2059)=O2059,"●","")</f>
        <v/>
      </c>
      <c r="O2059" s="346">
        <v>45841.271423611106</v>
      </c>
      <c r="P2059" s="334" t="str">
        <f t="shared" si="4"/>
        <v>大鉄　堺:伊藤忠シュレＣ</v>
      </c>
    </row>
    <row r="2060" ht="15.75" customHeight="1">
      <c r="A2060" s="335" t="s">
        <v>3229</v>
      </c>
      <c r="B2060" s="336">
        <v>45841.0</v>
      </c>
      <c r="C2060" s="335" t="s">
        <v>9</v>
      </c>
      <c r="D2060" s="335" t="s">
        <v>49</v>
      </c>
      <c r="E2060" s="337" t="str">
        <f t="shared" si="1"/>
        <v>大鉄　堺:伊藤忠</v>
      </c>
      <c r="F2060" s="338" t="s">
        <v>154</v>
      </c>
      <c r="G2060" s="339" t="str">
        <f t="shared" si="2"/>
        <v>大鉄　堺:伊藤忠ＣＰ Ａ</v>
      </c>
      <c r="H2060" s="340">
        <f t="shared" si="3"/>
        <v>-2</v>
      </c>
      <c r="I2060" s="341">
        <v>-0.5</v>
      </c>
      <c r="J2060" s="332">
        <f>IFERROR(__xludf.DUMMYFUNCTION("IF(IF(COUNTIF(P$2:P2059, P2060)=0, """", INDEX(H$2:H2059,
MAX(FILTER(ROW(H$2:H2059) - ROW(H$2) + 1, P$2:P2059 = P2060))))=""単価"","""",
IF(COUNTIF(P$2:P2059, P2060)=0, """", INDEX(H$2:H2059,
MAX(FILTER(ROW(H$2:H2059) - ROW(H$2) + 1, P$2:P2059 = P2060)))))"),-1.5)</f>
        <v>-1.5</v>
      </c>
      <c r="N2060" s="335" t="str">
        <f>IF(MAXIFS('単価履歴'!$O:$O,'単価履歴'!$E:$E,E2060,'単価履歴'!$F:$F,F2060)=O2060,"●","")</f>
        <v/>
      </c>
      <c r="O2060" s="346">
        <v>45841.271423611106</v>
      </c>
      <c r="P2060" s="334" t="str">
        <f t="shared" si="4"/>
        <v>大鉄　堺:伊藤忠ＣＰ Ａ</v>
      </c>
    </row>
    <row r="2061" ht="15.75" customHeight="1">
      <c r="A2061" s="335" t="s">
        <v>3230</v>
      </c>
      <c r="B2061" s="336">
        <v>45841.0</v>
      </c>
      <c r="C2061" s="335" t="s">
        <v>9</v>
      </c>
      <c r="D2061" s="335" t="s">
        <v>49</v>
      </c>
      <c r="E2061" s="337" t="str">
        <f t="shared" si="1"/>
        <v>大鉄　堺:伊藤忠</v>
      </c>
      <c r="F2061" s="338" t="s">
        <v>156</v>
      </c>
      <c r="G2061" s="339" t="str">
        <f t="shared" si="2"/>
        <v>大鉄　堺:伊藤忠ＣＰ Ｂ一斗缶</v>
      </c>
      <c r="H2061" s="340">
        <f t="shared" si="3"/>
        <v>-2</v>
      </c>
      <c r="I2061" s="341">
        <v>-0.5</v>
      </c>
      <c r="J2061" s="332">
        <f>IFERROR(__xludf.DUMMYFUNCTION("IF(IF(COUNTIF(P$2:P2060, P2061)=0, """", INDEX(H$2:H2060,
MAX(FILTER(ROW(H$2:H2060) - ROW(H$2) + 1, P$2:P2060 = P2061))))=""単価"","""",
IF(COUNTIF(P$2:P2060, P2061)=0, """", INDEX(H$2:H2060,
MAX(FILTER(ROW(H$2:H2060) - ROW(H$2) + 1, P$2:P2060 = P2061)))))"),-1.5)</f>
        <v>-1.5</v>
      </c>
      <c r="N2061" s="335" t="str">
        <f>IF(MAXIFS('単価履歴'!$O:$O,'単価履歴'!$E:$E,E2061,'単価履歴'!$F:$F,F2061)=O2061,"●","")</f>
        <v/>
      </c>
      <c r="O2061" s="346">
        <v>45841.271423611106</v>
      </c>
      <c r="P2061" s="334" t="str">
        <f t="shared" si="4"/>
        <v>大鉄　堺:伊藤忠ＣＰ Ｂ一斗缶</v>
      </c>
    </row>
    <row r="2062" ht="15.75" customHeight="1">
      <c r="A2062" s="335"/>
      <c r="B2062" s="336"/>
      <c r="C2062" s="335"/>
      <c r="D2062" s="335"/>
      <c r="E2062" s="337" t="str">
        <f t="shared" si="1"/>
        <v>:</v>
      </c>
      <c r="F2062" s="338"/>
      <c r="G2062" s="339" t="str">
        <f t="shared" si="2"/>
        <v>:</v>
      </c>
      <c r="H2062" s="340">
        <f t="shared" si="3"/>
        <v>0</v>
      </c>
      <c r="I2062" s="341"/>
      <c r="J2062" s="332">
        <f>IFERROR(__xludf.DUMMYFUNCTION("IF(IF(COUNTIF(P$2:P2061, P2062)=0, """", INDEX(H$2:H2061,
MAX(FILTER(ROW(H$2:H2061) - ROW(H$2) + 1, P$2:P2061 = P2062))))=""単価"","""",
IF(COUNTIF(P$2:P2061, P2062)=0, """", INDEX(H$2:H2061,
MAX(FILTER(ROW(H$2:H2061) - ROW(H$2) + 1, P$2:P2061 = P2062)))))"),0.0)</f>
        <v>0</v>
      </c>
      <c r="N2062" s="335" t="str">
        <f>IF(MAXIFS('単価履歴'!$O:$O,'単価履歴'!$E:$E,E2062,'単価履歴'!$F:$F,F2062)=O2062,"●","")</f>
        <v>●</v>
      </c>
      <c r="O2062" s="346"/>
      <c r="P2062" s="334" t="str">
        <f t="shared" si="4"/>
        <v>:</v>
      </c>
    </row>
    <row r="2063" ht="15.75" customHeight="1">
      <c r="A2063" s="335"/>
      <c r="B2063" s="336"/>
      <c r="C2063" s="335"/>
      <c r="D2063" s="335"/>
      <c r="E2063" s="337" t="str">
        <f t="shared" si="1"/>
        <v>:</v>
      </c>
      <c r="F2063" s="338"/>
      <c r="G2063" s="339" t="str">
        <f t="shared" si="2"/>
        <v>:</v>
      </c>
      <c r="H2063" s="340">
        <f t="shared" si="3"/>
        <v>0</v>
      </c>
      <c r="I2063" s="341"/>
      <c r="J2063" s="332">
        <f>IFERROR(__xludf.DUMMYFUNCTION("IF(IF(COUNTIF(P$2:P2062, P2063)=0, """", INDEX(H$2:H2062,
MAX(FILTER(ROW(H$2:H2062) - ROW(H$2) + 1, P$2:P2062 = P2063))))=""単価"","""",
IF(COUNTIF(P$2:P2062, P2063)=0, """", INDEX(H$2:H2062,
MAX(FILTER(ROW(H$2:H2062) - ROW(H$2) + 1, P$2:P2062 = P2063)))))"),0.0)</f>
        <v>0</v>
      </c>
      <c r="N2063" s="335" t="str">
        <f>IF(MAXIFS('単価履歴'!$O:$O,'単価履歴'!$E:$E,E2063,'単価履歴'!$F:$F,F2063)=O2063,"●","")</f>
        <v>●</v>
      </c>
      <c r="O2063" s="346"/>
      <c r="P2063" s="334" t="str">
        <f t="shared" si="4"/>
        <v>:</v>
      </c>
    </row>
    <row r="2064" ht="15.75" customHeight="1">
      <c r="A2064" s="335"/>
      <c r="B2064" s="336"/>
      <c r="C2064" s="335"/>
      <c r="D2064" s="335"/>
      <c r="E2064" s="337" t="str">
        <f t="shared" si="1"/>
        <v>:</v>
      </c>
      <c r="F2064" s="338"/>
      <c r="G2064" s="339" t="str">
        <f t="shared" si="2"/>
        <v>:</v>
      </c>
      <c r="H2064" s="340">
        <f t="shared" si="3"/>
        <v>0</v>
      </c>
      <c r="I2064" s="341"/>
      <c r="J2064" s="332">
        <f>IFERROR(__xludf.DUMMYFUNCTION("IF(IF(COUNTIF(P$2:P2063, P2064)=0, """", INDEX(H$2:H2063,
MAX(FILTER(ROW(H$2:H2063) - ROW(H$2) + 1, P$2:P2063 = P2064))))=""単価"","""",
IF(COUNTIF(P$2:P2063, P2064)=0, """", INDEX(H$2:H2063,
MAX(FILTER(ROW(H$2:H2063) - ROW(H$2) + 1, P$2:P2063 = P2064)))))"),0.0)</f>
        <v>0</v>
      </c>
      <c r="N2064" s="335" t="str">
        <f>IF(MAXIFS('単価履歴'!$O:$O,'単価履歴'!$E:$E,E2064,'単価履歴'!$F:$F,F2064)=O2064,"●","")</f>
        <v>●</v>
      </c>
      <c r="O2064" s="346"/>
      <c r="P2064" s="334" t="str">
        <f t="shared" si="4"/>
        <v>:</v>
      </c>
    </row>
    <row r="2065" ht="15.75" customHeight="1">
      <c r="A2065" s="335"/>
      <c r="B2065" s="336"/>
      <c r="C2065" s="335"/>
      <c r="D2065" s="335"/>
      <c r="E2065" s="337" t="str">
        <f t="shared" si="1"/>
        <v>:</v>
      </c>
      <c r="F2065" s="338"/>
      <c r="G2065" s="339" t="str">
        <f t="shared" si="2"/>
        <v>:</v>
      </c>
      <c r="H2065" s="340">
        <f t="shared" si="3"/>
        <v>0</v>
      </c>
      <c r="I2065" s="341"/>
      <c r="J2065" s="332">
        <f>IFERROR(__xludf.DUMMYFUNCTION("IF(IF(COUNTIF(P$2:P2064, P2065)=0, """", INDEX(H$2:H2064,
MAX(FILTER(ROW(H$2:H2064) - ROW(H$2) + 1, P$2:P2064 = P2065))))=""単価"","""",
IF(COUNTIF(P$2:P2064, P2065)=0, """", INDEX(H$2:H2064,
MAX(FILTER(ROW(H$2:H2064) - ROW(H$2) + 1, P$2:P2064 = P2065)))))"),0.0)</f>
        <v>0</v>
      </c>
      <c r="N2065" s="335" t="str">
        <f>IF(MAXIFS('単価履歴'!$O:$O,'単価履歴'!$E:$E,E2065,'単価履歴'!$F:$F,F2065)=O2065,"●","")</f>
        <v>●</v>
      </c>
      <c r="O2065" s="346"/>
      <c r="P2065" s="334" t="str">
        <f t="shared" si="4"/>
        <v>:</v>
      </c>
    </row>
    <row r="2066" ht="15.75" customHeight="1">
      <c r="A2066" s="335"/>
      <c r="B2066" s="336"/>
      <c r="C2066" s="335"/>
      <c r="D2066" s="335"/>
      <c r="E2066" s="337" t="str">
        <f t="shared" si="1"/>
        <v>:</v>
      </c>
      <c r="F2066" s="338"/>
      <c r="G2066" s="339" t="str">
        <f t="shared" si="2"/>
        <v>:</v>
      </c>
      <c r="H2066" s="340">
        <f t="shared" si="3"/>
        <v>0</v>
      </c>
      <c r="I2066" s="341"/>
      <c r="J2066" s="332">
        <f>IFERROR(__xludf.DUMMYFUNCTION("IF(IF(COUNTIF(P$2:P2065, P2066)=0, """", INDEX(H$2:H2065,
MAX(FILTER(ROW(H$2:H2065) - ROW(H$2) + 1, P$2:P2065 = P2066))))=""単価"","""",
IF(COUNTIF(P$2:P2065, P2066)=0, """", INDEX(H$2:H2065,
MAX(FILTER(ROW(H$2:H2065) - ROW(H$2) + 1, P$2:P2065 = P2066)))))"),0.0)</f>
        <v>0</v>
      </c>
      <c r="N2066" s="335" t="str">
        <f>IF(MAXIFS('単価履歴'!$O:$O,'単価履歴'!$E:$E,E2066,'単価履歴'!$F:$F,F2066)=O2066,"●","")</f>
        <v>●</v>
      </c>
      <c r="O2066" s="346"/>
      <c r="P2066" s="334" t="str">
        <f t="shared" si="4"/>
        <v>:</v>
      </c>
    </row>
    <row r="2067" ht="15.75" customHeight="1">
      <c r="A2067" s="335" t="s">
        <v>3231</v>
      </c>
      <c r="B2067" s="336">
        <v>45841.0</v>
      </c>
      <c r="C2067" s="335" t="s">
        <v>36</v>
      </c>
      <c r="D2067" s="335" t="s">
        <v>1303</v>
      </c>
      <c r="E2067" s="337" t="str">
        <f t="shared" si="1"/>
        <v>共英枚方:ナベ/置場単価</v>
      </c>
      <c r="F2067" s="338" t="s">
        <v>111</v>
      </c>
      <c r="G2067" s="339" t="str">
        <f t="shared" si="2"/>
        <v>共英枚方:ナベ/置場単価Ｈ１(特A)</v>
      </c>
      <c r="H2067" s="340">
        <f t="shared" si="3"/>
        <v>40.5</v>
      </c>
      <c r="I2067" s="341">
        <v>-0.5</v>
      </c>
      <c r="J2067" s="332">
        <f>IFERROR(__xludf.DUMMYFUNCTION("IF(IF(COUNTIF(P$2:P2066, P2067)=0, """", INDEX(H$2:H2066,
MAX(FILTER(ROW(H$2:H2066) - ROW(H$2) + 1, P$2:P2066 = P2067))))=""単価"","""",
IF(COUNTIF(P$2:P2066, P2067)=0, """", INDEX(H$2:H2066,
MAX(FILTER(ROW(H$2:H2066) - ROW(H$2) + 1, P$2:P2066 = P2067)))))"),41.0)</f>
        <v>41</v>
      </c>
      <c r="N2067" s="335" t="str">
        <f>IF(MAXIFS('単価履歴'!$O:$O,'単価履歴'!$E:$E,E2067,'単価履歴'!$F:$F,F2067)=O2067,"●","")</f>
        <v/>
      </c>
      <c r="O2067" s="346">
        <v>45841.272199074076</v>
      </c>
      <c r="P2067" s="334" t="str">
        <f t="shared" si="4"/>
        <v>共英枚方:ナベ/置場単価Ｈ１(特A)</v>
      </c>
    </row>
    <row r="2068" ht="15.75" customHeight="1">
      <c r="A2068" s="335" t="s">
        <v>3232</v>
      </c>
      <c r="B2068" s="336">
        <v>45841.0</v>
      </c>
      <c r="C2068" s="335" t="s">
        <v>36</v>
      </c>
      <c r="D2068" s="335" t="s">
        <v>1303</v>
      </c>
      <c r="E2068" s="337" t="str">
        <f t="shared" si="1"/>
        <v>共英枚方:ナベ/置場単価</v>
      </c>
      <c r="F2068" s="338" t="s">
        <v>116</v>
      </c>
      <c r="G2068" s="339" t="str">
        <f t="shared" si="2"/>
        <v>共英枚方:ナベ/置場単価Ｈ２(特級)</v>
      </c>
      <c r="H2068" s="340">
        <f t="shared" si="3"/>
        <v>38.5</v>
      </c>
      <c r="I2068" s="341">
        <v>-0.5</v>
      </c>
      <c r="J2068" s="332">
        <f>IFERROR(__xludf.DUMMYFUNCTION("IF(IF(COUNTIF(P$2:P2067, P2068)=0, """", INDEX(H$2:H2067,
MAX(FILTER(ROW(H$2:H2067) - ROW(H$2) + 1, P$2:P2067 = P2068))))=""単価"","""",
IF(COUNTIF(P$2:P2067, P2068)=0, """", INDEX(H$2:H2067,
MAX(FILTER(ROW(H$2:H2067) - ROW(H$2) + 1, P$2:P2067 = P2068)))))"),39.0)</f>
        <v>39</v>
      </c>
      <c r="N2068" s="335" t="str">
        <f>IF(MAXIFS('単価履歴'!$O:$O,'単価履歴'!$E:$E,E2068,'単価履歴'!$F:$F,F2068)=O2068,"●","")</f>
        <v/>
      </c>
      <c r="O2068" s="346">
        <v>45841.272199074076</v>
      </c>
      <c r="P2068" s="334" t="str">
        <f t="shared" si="4"/>
        <v>共英枚方:ナベ/置場単価Ｈ２(特級)</v>
      </c>
    </row>
    <row r="2069" ht="15.75" customHeight="1">
      <c r="A2069" s="335" t="s">
        <v>3233</v>
      </c>
      <c r="B2069" s="336">
        <v>45841.0</v>
      </c>
      <c r="C2069" s="335" t="s">
        <v>36</v>
      </c>
      <c r="D2069" s="335" t="s">
        <v>1303</v>
      </c>
      <c r="E2069" s="337" t="str">
        <f t="shared" si="1"/>
        <v>共英枚方:ナベ/置場単価</v>
      </c>
      <c r="F2069" s="338" t="s">
        <v>119</v>
      </c>
      <c r="G2069" s="339" t="str">
        <f t="shared" si="2"/>
        <v>共英枚方:ナベ/置場単価Ｈ３(1級)</v>
      </c>
      <c r="H2069" s="340">
        <f t="shared" si="3"/>
        <v>38</v>
      </c>
      <c r="I2069" s="341">
        <v>-0.5</v>
      </c>
      <c r="J2069" s="332">
        <f>IFERROR(__xludf.DUMMYFUNCTION("IF(IF(COUNTIF(P$2:P2068, P2069)=0, """", INDEX(H$2:H2068,
MAX(FILTER(ROW(H$2:H2068) - ROW(H$2) + 1, P$2:P2068 = P2069))))=""単価"","""",
IF(COUNTIF(P$2:P2068, P2069)=0, """", INDEX(H$2:H2068,
MAX(FILTER(ROW(H$2:H2068) - ROW(H$2) + 1, P$2:P2068 = P2069)))))"),38.5)</f>
        <v>38.5</v>
      </c>
      <c r="N2069" s="335" t="str">
        <f>IF(MAXIFS('単価履歴'!$O:$O,'単価履歴'!$E:$E,E2069,'単価履歴'!$F:$F,F2069)=O2069,"●","")</f>
        <v/>
      </c>
      <c r="O2069" s="346">
        <v>45841.272199074076</v>
      </c>
      <c r="P2069" s="334" t="str">
        <f t="shared" si="4"/>
        <v>共英枚方:ナベ/置場単価Ｈ３(1級)</v>
      </c>
    </row>
    <row r="2070" ht="15.75" customHeight="1">
      <c r="A2070" s="335" t="s">
        <v>3234</v>
      </c>
      <c r="B2070" s="336">
        <v>45841.0</v>
      </c>
      <c r="C2070" s="335" t="s">
        <v>36</v>
      </c>
      <c r="D2070" s="335" t="s">
        <v>1303</v>
      </c>
      <c r="E2070" s="337" t="str">
        <f t="shared" si="1"/>
        <v>共英枚方:ナベ/置場単価</v>
      </c>
      <c r="F2070" s="338" t="s">
        <v>122</v>
      </c>
      <c r="G2070" s="339" t="str">
        <f t="shared" si="2"/>
        <v>共英枚方:ナベ/置場単価Ｌ１(2級)</v>
      </c>
      <c r="H2070" s="340">
        <f t="shared" si="3"/>
        <v>37.5</v>
      </c>
      <c r="I2070" s="341">
        <v>-0.5</v>
      </c>
      <c r="J2070" s="332">
        <f>IFERROR(__xludf.DUMMYFUNCTION("IF(IF(COUNTIF(P$2:P2069, P2070)=0, """", INDEX(H$2:H2069,
MAX(FILTER(ROW(H$2:H2069) - ROW(H$2) + 1, P$2:P2069 = P2070))))=""単価"","""",
IF(COUNTIF(P$2:P2069, P2070)=0, """", INDEX(H$2:H2069,
MAX(FILTER(ROW(H$2:H2069) - ROW(H$2) + 1, P$2:P2069 = P2070)))))"),38.0)</f>
        <v>38</v>
      </c>
      <c r="N2070" s="335" t="str">
        <f>IF(MAXIFS('単価履歴'!$O:$O,'単価履歴'!$E:$E,E2070,'単価履歴'!$F:$F,F2070)=O2070,"●","")</f>
        <v/>
      </c>
      <c r="O2070" s="346">
        <v>45841.272199074076</v>
      </c>
      <c r="P2070" s="334" t="str">
        <f t="shared" si="4"/>
        <v>共英枚方:ナベ/置場単価Ｌ１(2級)</v>
      </c>
    </row>
    <row r="2071" ht="15.75" customHeight="1">
      <c r="A2071" s="335" t="s">
        <v>3235</v>
      </c>
      <c r="B2071" s="336">
        <v>45841.0</v>
      </c>
      <c r="C2071" s="335" t="s">
        <v>36</v>
      </c>
      <c r="D2071" s="335" t="s">
        <v>1303</v>
      </c>
      <c r="E2071" s="337" t="str">
        <f t="shared" si="1"/>
        <v>共英枚方:ナベ/置場単価</v>
      </c>
      <c r="F2071" s="338" t="s">
        <v>154</v>
      </c>
      <c r="G2071" s="339" t="str">
        <f t="shared" si="2"/>
        <v>共英枚方:ナベ/置場単価ＣＰ Ａ</v>
      </c>
      <c r="H2071" s="340">
        <f t="shared" si="3"/>
        <v>44</v>
      </c>
      <c r="I2071" s="341">
        <v>-0.5</v>
      </c>
      <c r="J2071" s="332">
        <f>IFERROR(__xludf.DUMMYFUNCTION("IF(IF(COUNTIF(P$2:P2070, P2071)=0, """", INDEX(H$2:H2070,
MAX(FILTER(ROW(H$2:H2070) - ROW(H$2) + 1, P$2:P2070 = P2071))))=""単価"","""",
IF(COUNTIF(P$2:P2070, P2071)=0, """", INDEX(H$2:H2070,
MAX(FILTER(ROW(H$2:H2070) - ROW(H$2) + 1, P$2:P2070 = P2071)))))"),44.5)</f>
        <v>44.5</v>
      </c>
      <c r="N2071" s="335" t="str">
        <f>IF(MAXIFS('単価履歴'!$O:$O,'単価履歴'!$E:$E,E2071,'単価履歴'!$F:$F,F2071)=O2071,"●","")</f>
        <v/>
      </c>
      <c r="O2071" s="346">
        <v>45841.272199074076</v>
      </c>
      <c r="P2071" s="334" t="str">
        <f t="shared" si="4"/>
        <v>共英枚方:ナベ/置場単価ＣＰ Ａ</v>
      </c>
    </row>
    <row r="2072" ht="15.75" customHeight="1">
      <c r="A2072" s="335" t="s">
        <v>3236</v>
      </c>
      <c r="B2072" s="336">
        <v>45841.0</v>
      </c>
      <c r="C2072" s="335" t="s">
        <v>12</v>
      </c>
      <c r="D2072" s="335" t="s">
        <v>50</v>
      </c>
      <c r="E2072" s="337" t="str">
        <f t="shared" si="1"/>
        <v>山陽特殊:産振</v>
      </c>
      <c r="F2072" s="338" t="s">
        <v>1199</v>
      </c>
      <c r="G2072" s="339" t="str">
        <f t="shared" si="2"/>
        <v>山陽特殊:産振ＨＳ１(単体H1/電特A/HS))</v>
      </c>
      <c r="H2072" s="340">
        <f t="shared" si="3"/>
        <v>43.1</v>
      </c>
      <c r="I2072" s="341">
        <v>-0.5</v>
      </c>
      <c r="J2072" s="332">
        <f>IFERROR(__xludf.DUMMYFUNCTION("IF(IF(COUNTIF(P$2:P2071, P2072)=0, """", INDEX(H$2:H2071,
MAX(FILTER(ROW(H$2:H2071) - ROW(H$2) + 1, P$2:P2071 = P2072))))=""単価"","""",
IF(COUNTIF(P$2:P2071, P2072)=0, """", INDEX(H$2:H2071,
MAX(FILTER(ROW(H$2:H2071) - ROW(H$2) + 1, P$2:P2071 = P2072)))))"),43.6)</f>
        <v>43.6</v>
      </c>
      <c r="N2072" s="335" t="str">
        <f>IF(MAXIFS('単価履歴'!$O:$O,'単価履歴'!$E:$E,E2072,'単価履歴'!$F:$F,F2072)=O2072,"●","")</f>
        <v/>
      </c>
      <c r="O2072" s="346">
        <v>45841.27305555556</v>
      </c>
      <c r="P2072" s="334" t="str">
        <f t="shared" si="4"/>
        <v>山陽特殊:産振ＨＳ１(単体H1/電特A/HS))</v>
      </c>
    </row>
    <row r="2073" ht="15.75" customHeight="1">
      <c r="A2073" s="335" t="s">
        <v>3237</v>
      </c>
      <c r="B2073" s="336">
        <v>45841.0</v>
      </c>
      <c r="C2073" s="335" t="s">
        <v>12</v>
      </c>
      <c r="D2073" s="335" t="s">
        <v>50</v>
      </c>
      <c r="E2073" s="337" t="str">
        <f t="shared" si="1"/>
        <v>山陽特殊:産振</v>
      </c>
      <c r="F2073" s="338" t="s">
        <v>101</v>
      </c>
      <c r="G2073" s="339" t="str">
        <f t="shared" si="2"/>
        <v>山陽特殊:産振ＨＳ２</v>
      </c>
      <c r="H2073" s="340">
        <f t="shared" si="3"/>
        <v>42.9</v>
      </c>
      <c r="I2073" s="341">
        <v>-0.5</v>
      </c>
      <c r="J2073" s="332">
        <f>IFERROR(__xludf.DUMMYFUNCTION("IF(IF(COUNTIF(P$2:P2072, P2073)=0, """", INDEX(H$2:H2072,
MAX(FILTER(ROW(H$2:H2072) - ROW(H$2) + 1, P$2:P2072 = P2073))))=""単価"","""",
IF(COUNTIF(P$2:P2072, P2073)=0, """", INDEX(H$2:H2072,
MAX(FILTER(ROW(H$2:H2072) - ROW(H$2) + 1, P$2:P2072 = P2073)))))"),43.4)</f>
        <v>43.4</v>
      </c>
      <c r="N2073" s="335" t="str">
        <f>IF(MAXIFS('単価履歴'!$O:$O,'単価履歴'!$E:$E,E2073,'単価履歴'!$F:$F,F2073)=O2073,"●","")</f>
        <v/>
      </c>
      <c r="O2073" s="346">
        <v>45841.27305555556</v>
      </c>
      <c r="P2073" s="334" t="str">
        <f t="shared" si="4"/>
        <v>山陽特殊:産振ＨＳ２</v>
      </c>
    </row>
    <row r="2074" ht="15.75" customHeight="1">
      <c r="A2074" s="335" t="s">
        <v>3238</v>
      </c>
      <c r="B2074" s="336">
        <v>45841.0</v>
      </c>
      <c r="C2074" s="335" t="s">
        <v>12</v>
      </c>
      <c r="D2074" s="335" t="s">
        <v>50</v>
      </c>
      <c r="E2074" s="337" t="str">
        <f t="shared" si="1"/>
        <v>山陽特殊:産振</v>
      </c>
      <c r="F2074" s="338" t="s">
        <v>105</v>
      </c>
      <c r="G2074" s="339" t="str">
        <f t="shared" si="2"/>
        <v>山陽特殊:産振ＨＳ３</v>
      </c>
      <c r="H2074" s="340">
        <f t="shared" si="3"/>
        <v>40.9</v>
      </c>
      <c r="I2074" s="341">
        <v>-0.5</v>
      </c>
      <c r="J2074" s="332">
        <f>IFERROR(__xludf.DUMMYFUNCTION("IF(IF(COUNTIF(P$2:P2073, P2074)=0, """", INDEX(H$2:H2073,
MAX(FILTER(ROW(H$2:H2073) - ROW(H$2) + 1, P$2:P2073 = P2074))))=""単価"","""",
IF(COUNTIF(P$2:P2073, P2074)=0, """", INDEX(H$2:H2073,
MAX(FILTER(ROW(H$2:H2073) - ROW(H$2) + 1, P$2:P2073 = P2074)))))"),41.4)</f>
        <v>41.4</v>
      </c>
      <c r="N2074" s="335" t="str">
        <f>IF(MAXIFS('単価履歴'!$O:$O,'単価履歴'!$E:$E,E2074,'単価履歴'!$F:$F,F2074)=O2074,"●","")</f>
        <v/>
      </c>
      <c r="O2074" s="346">
        <v>45841.27305555556</v>
      </c>
      <c r="P2074" s="334" t="str">
        <f t="shared" si="4"/>
        <v>山陽特殊:産振ＨＳ３</v>
      </c>
    </row>
    <row r="2075" ht="15.75" customHeight="1">
      <c r="A2075" s="335" t="s">
        <v>3239</v>
      </c>
      <c r="B2075" s="336">
        <v>45841.0</v>
      </c>
      <c r="C2075" s="335" t="s">
        <v>535</v>
      </c>
      <c r="D2075" s="335" t="s">
        <v>77</v>
      </c>
      <c r="E2075" s="337" t="str">
        <f t="shared" si="1"/>
        <v>東鐵名古屋:直納</v>
      </c>
      <c r="F2075" s="338" t="s">
        <v>1199</v>
      </c>
      <c r="G2075" s="339" t="str">
        <f t="shared" si="2"/>
        <v>東鐵名古屋:直納ＨＳ１(単体H1/電特A/HS))</v>
      </c>
      <c r="H2075" s="340">
        <f t="shared" si="3"/>
        <v>42.5</v>
      </c>
      <c r="I2075" s="341">
        <v>-0.5</v>
      </c>
      <c r="J2075" s="332">
        <f>IFERROR(__xludf.DUMMYFUNCTION("IF(IF(COUNTIF(P$2:P2074, P2075)=0, """", INDEX(H$2:H2074,
MAX(FILTER(ROW(H$2:H2074) - ROW(H$2) + 1, P$2:P2074 = P2075))))=""単価"","""",
IF(COUNTIF(P$2:P2074, P2075)=0, """", INDEX(H$2:H2074,
MAX(FILTER(ROW(H$2:H2074) - ROW(H$2) + 1, P$2:P2074 = P2075)))))"),43.0)</f>
        <v>43</v>
      </c>
      <c r="N2075" s="335" t="str">
        <f>IF(MAXIFS('単価履歴'!$O:$O,'単価履歴'!$E:$E,E2075,'単価履歴'!$F:$F,F2075)=O2075,"●","")</f>
        <v/>
      </c>
      <c r="O2075" s="346">
        <v>45841.274513888886</v>
      </c>
      <c r="P2075" s="334" t="str">
        <f t="shared" si="4"/>
        <v>東鐵名古屋:直納ＨＳ１(単体H1/電特A/HS))</v>
      </c>
    </row>
    <row r="2076" ht="15.75" customHeight="1">
      <c r="A2076" s="335" t="s">
        <v>3240</v>
      </c>
      <c r="B2076" s="336">
        <v>45841.0</v>
      </c>
      <c r="C2076" s="335" t="s">
        <v>535</v>
      </c>
      <c r="D2076" s="335" t="s">
        <v>77</v>
      </c>
      <c r="E2076" s="337" t="str">
        <f t="shared" si="1"/>
        <v>東鐵名古屋:直納</v>
      </c>
      <c r="F2076" s="338" t="s">
        <v>111</v>
      </c>
      <c r="G2076" s="339" t="str">
        <f t="shared" si="2"/>
        <v>東鐵名古屋:直納Ｈ１(特A)</v>
      </c>
      <c r="H2076" s="340">
        <f t="shared" si="3"/>
        <v>40.7</v>
      </c>
      <c r="I2076" s="341">
        <v>-0.5</v>
      </c>
      <c r="J2076" s="332">
        <f>IFERROR(__xludf.DUMMYFUNCTION("IF(IF(COUNTIF(P$2:P2075, P2076)=0, """", INDEX(H$2:H2075,
MAX(FILTER(ROW(H$2:H2075) - ROW(H$2) + 1, P$2:P2075 = P2076))))=""単価"","""",
IF(COUNTIF(P$2:P2075, P2076)=0, """", INDEX(H$2:H2075,
MAX(FILTER(ROW(H$2:H2075) - ROW(H$2) + 1, P$2:P2075 = P2076)))))"),41.2)</f>
        <v>41.2</v>
      </c>
      <c r="N2076" s="335" t="str">
        <f>IF(MAXIFS('単価履歴'!$O:$O,'単価履歴'!$E:$E,E2076,'単価履歴'!$F:$F,F2076)=O2076,"●","")</f>
        <v/>
      </c>
      <c r="O2076" s="346">
        <v>45841.274513888886</v>
      </c>
      <c r="P2076" s="334" t="str">
        <f t="shared" si="4"/>
        <v>東鐵名古屋:直納Ｈ１(特A)</v>
      </c>
    </row>
    <row r="2077" ht="15.75" customHeight="1">
      <c r="A2077" s="335" t="s">
        <v>3241</v>
      </c>
      <c r="B2077" s="336">
        <v>45841.0</v>
      </c>
      <c r="C2077" s="335" t="s">
        <v>535</v>
      </c>
      <c r="D2077" s="335" t="s">
        <v>77</v>
      </c>
      <c r="E2077" s="337" t="str">
        <f t="shared" si="1"/>
        <v>東鐵名古屋:直納</v>
      </c>
      <c r="F2077" s="338" t="s">
        <v>116</v>
      </c>
      <c r="G2077" s="339" t="str">
        <f t="shared" si="2"/>
        <v>東鐵名古屋:直納Ｈ２(特級)</v>
      </c>
      <c r="H2077" s="340">
        <f t="shared" si="3"/>
        <v>40</v>
      </c>
      <c r="I2077" s="341">
        <v>-0.5</v>
      </c>
      <c r="J2077" s="332">
        <f>IFERROR(__xludf.DUMMYFUNCTION("IF(IF(COUNTIF(P$2:P2076, P2077)=0, """", INDEX(H$2:H2076,
MAX(FILTER(ROW(H$2:H2076) - ROW(H$2) + 1, P$2:P2076 = P2077))))=""単価"","""",
IF(COUNTIF(P$2:P2076, P2077)=0, """", INDEX(H$2:H2076,
MAX(FILTER(ROW(H$2:H2076) - ROW(H$2) + 1, P$2:P2076 = P2077)))))"),40.5)</f>
        <v>40.5</v>
      </c>
      <c r="N2077" s="335" t="str">
        <f>IF(MAXIFS('単価履歴'!$O:$O,'単価履歴'!$E:$E,E2077,'単価履歴'!$F:$F,F2077)=O2077,"●","")</f>
        <v/>
      </c>
      <c r="O2077" s="346">
        <v>45841.274513888886</v>
      </c>
      <c r="P2077" s="334" t="str">
        <f t="shared" si="4"/>
        <v>東鐵名古屋:直納Ｈ２(特級)</v>
      </c>
    </row>
    <row r="2078" ht="15.75" customHeight="1">
      <c r="A2078" s="335" t="s">
        <v>3242</v>
      </c>
      <c r="B2078" s="336">
        <v>45841.0</v>
      </c>
      <c r="C2078" s="335" t="s">
        <v>535</v>
      </c>
      <c r="D2078" s="335" t="s">
        <v>77</v>
      </c>
      <c r="E2078" s="337" t="str">
        <f t="shared" si="1"/>
        <v>東鐵名古屋:直納</v>
      </c>
      <c r="F2078" s="338" t="s">
        <v>119</v>
      </c>
      <c r="G2078" s="339" t="str">
        <f t="shared" si="2"/>
        <v>東鐵名古屋:直納Ｈ３(1級)</v>
      </c>
      <c r="H2078" s="340">
        <f t="shared" si="3"/>
        <v>39.5</v>
      </c>
      <c r="I2078" s="341">
        <v>-0.5</v>
      </c>
      <c r="J2078" s="332">
        <f>IFERROR(__xludf.DUMMYFUNCTION("IF(IF(COUNTIF(P$2:P2077, P2078)=0, """", INDEX(H$2:H2077,
MAX(FILTER(ROW(H$2:H2077) - ROW(H$2) + 1, P$2:P2077 = P2078))))=""単価"","""",
IF(COUNTIF(P$2:P2077, P2078)=0, """", INDEX(H$2:H2077,
MAX(FILTER(ROW(H$2:H2077) - ROW(H$2) + 1, P$2:P2077 = P2078)))))"),40.0)</f>
        <v>40</v>
      </c>
      <c r="N2078" s="335" t="str">
        <f>IF(MAXIFS('単価履歴'!$O:$O,'単価履歴'!$E:$E,E2078,'単価履歴'!$F:$F,F2078)=O2078,"●","")</f>
        <v/>
      </c>
      <c r="O2078" s="346">
        <v>45841.274513888886</v>
      </c>
      <c r="P2078" s="334" t="str">
        <f t="shared" si="4"/>
        <v>東鐵名古屋:直納Ｈ３(1級)</v>
      </c>
    </row>
    <row r="2079" ht="15.75" customHeight="1">
      <c r="A2079" s="335" t="s">
        <v>3243</v>
      </c>
      <c r="B2079" s="336">
        <v>45841.0</v>
      </c>
      <c r="C2079" s="335" t="s">
        <v>535</v>
      </c>
      <c r="D2079" s="335" t="s">
        <v>77</v>
      </c>
      <c r="E2079" s="337" t="str">
        <f t="shared" si="1"/>
        <v>東鐵名古屋:直納</v>
      </c>
      <c r="F2079" s="338" t="s">
        <v>122</v>
      </c>
      <c r="G2079" s="339" t="str">
        <f t="shared" si="2"/>
        <v>東鐵名古屋:直納Ｌ１(2級)</v>
      </c>
      <c r="H2079" s="340">
        <f t="shared" si="3"/>
        <v>38</v>
      </c>
      <c r="I2079" s="341">
        <v>-0.5</v>
      </c>
      <c r="J2079" s="332">
        <f>IFERROR(__xludf.DUMMYFUNCTION("IF(IF(COUNTIF(P$2:P2078, P2079)=0, """", INDEX(H$2:H2078,
MAX(FILTER(ROW(H$2:H2078) - ROW(H$2) + 1, P$2:P2078 = P2079))))=""単価"","""",
IF(COUNTIF(P$2:P2078, P2079)=0, """", INDEX(H$2:H2078,
MAX(FILTER(ROW(H$2:H2078) - ROW(H$2) + 1, P$2:P2078 = P2079)))))"),38.5)</f>
        <v>38.5</v>
      </c>
      <c r="N2079" s="335" t="str">
        <f>IF(MAXIFS('単価履歴'!$O:$O,'単価履歴'!$E:$E,E2079,'単価履歴'!$F:$F,F2079)=O2079,"●","")</f>
        <v/>
      </c>
      <c r="O2079" s="346">
        <v>45841.274513888886</v>
      </c>
      <c r="P2079" s="334" t="str">
        <f t="shared" si="4"/>
        <v>東鐵名古屋:直納Ｌ１(2級)</v>
      </c>
    </row>
    <row r="2080" ht="15.75" customHeight="1">
      <c r="A2080" s="335" t="s">
        <v>3244</v>
      </c>
      <c r="B2080" s="336">
        <v>45841.0</v>
      </c>
      <c r="C2080" s="335" t="s">
        <v>535</v>
      </c>
      <c r="D2080" s="335" t="s">
        <v>77</v>
      </c>
      <c r="E2080" s="337" t="str">
        <f t="shared" si="1"/>
        <v>東鐵名古屋:直納</v>
      </c>
      <c r="F2080" s="338" t="s">
        <v>573</v>
      </c>
      <c r="G2080" s="339" t="str">
        <f t="shared" si="2"/>
        <v>東鐵名古屋:直納Ｌ２(H4･級外･L1ﾊﾞﾗ)</v>
      </c>
      <c r="H2080" s="340">
        <f t="shared" si="3"/>
        <v>35</v>
      </c>
      <c r="I2080" s="341">
        <v>-0.5</v>
      </c>
      <c r="J2080" s="332">
        <f>IFERROR(__xludf.DUMMYFUNCTION("IF(IF(COUNTIF(P$2:P2079, P2080)=0, """", INDEX(H$2:H2079,
MAX(FILTER(ROW(H$2:H2079) - ROW(H$2) + 1, P$2:P2079 = P2080))))=""単価"","""",
IF(COUNTIF(P$2:P2079, P2080)=0, """", INDEX(H$2:H2079,
MAX(FILTER(ROW(H$2:H2079) - ROW(H$2) + 1, P$2:P2079 = P2080)))))"),35.5)</f>
        <v>35.5</v>
      </c>
      <c r="N2080" s="335" t="str">
        <f>IF(MAXIFS('単価履歴'!$O:$O,'単価履歴'!$E:$E,E2080,'単価履歴'!$F:$F,F2080)=O2080,"●","")</f>
        <v/>
      </c>
      <c r="O2080" s="346">
        <v>45841.274513888886</v>
      </c>
      <c r="P2080" s="334" t="str">
        <f t="shared" si="4"/>
        <v>東鐵名古屋:直納Ｌ２(H4･級外･L1ﾊﾞﾗ)</v>
      </c>
    </row>
    <row r="2081" ht="15.75" customHeight="1">
      <c r="A2081" s="335" t="s">
        <v>3245</v>
      </c>
      <c r="B2081" s="336">
        <v>45841.0</v>
      </c>
      <c r="C2081" s="335" t="s">
        <v>535</v>
      </c>
      <c r="D2081" s="335" t="s">
        <v>77</v>
      </c>
      <c r="E2081" s="337" t="str">
        <f t="shared" si="1"/>
        <v>東鐵名古屋:直納</v>
      </c>
      <c r="F2081" s="338" t="s">
        <v>145</v>
      </c>
      <c r="G2081" s="339" t="str">
        <f t="shared" si="2"/>
        <v>東鐵名古屋:直納シュレＡ</v>
      </c>
      <c r="H2081" s="340">
        <f t="shared" si="3"/>
        <v>41</v>
      </c>
      <c r="I2081" s="341">
        <v>-0.5</v>
      </c>
      <c r="J2081" s="332">
        <f>IFERROR(__xludf.DUMMYFUNCTION("IF(IF(COUNTIF(P$2:P2080, P2081)=0, """", INDEX(H$2:H2080,
MAX(FILTER(ROW(H$2:H2080) - ROW(H$2) + 1, P$2:P2080 = P2081))))=""単価"","""",
IF(COUNTIF(P$2:P2080, P2081)=0, """", INDEX(H$2:H2080,
MAX(FILTER(ROW(H$2:H2080) - ROW(H$2) + 1, P$2:P2080 = P2081)))))"),41.5)</f>
        <v>41.5</v>
      </c>
      <c r="N2081" s="335" t="str">
        <f>IF(MAXIFS('単価履歴'!$O:$O,'単価履歴'!$E:$E,E2081,'単価履歴'!$F:$F,F2081)=O2081,"●","")</f>
        <v/>
      </c>
      <c r="O2081" s="346">
        <v>45841.274513888886</v>
      </c>
      <c r="P2081" s="334" t="str">
        <f t="shared" si="4"/>
        <v>東鐵名古屋:直納シュレＡ</v>
      </c>
    </row>
    <row r="2082" ht="15.75" customHeight="1">
      <c r="A2082" s="335" t="s">
        <v>3246</v>
      </c>
      <c r="B2082" s="336">
        <v>45841.0</v>
      </c>
      <c r="C2082" s="335" t="s">
        <v>535</v>
      </c>
      <c r="D2082" s="335" t="s">
        <v>77</v>
      </c>
      <c r="E2082" s="337" t="str">
        <f t="shared" si="1"/>
        <v>東鐵名古屋:直納</v>
      </c>
      <c r="F2082" s="338" t="s">
        <v>151</v>
      </c>
      <c r="G2082" s="339" t="str">
        <f t="shared" si="2"/>
        <v>東鐵名古屋:直納シュレＣ</v>
      </c>
      <c r="H2082" s="340">
        <f t="shared" si="3"/>
        <v>40.5</v>
      </c>
      <c r="I2082" s="341">
        <v>-0.5</v>
      </c>
      <c r="J2082" s="332">
        <f>IFERROR(__xludf.DUMMYFUNCTION("IF(IF(COUNTIF(P$2:P2081, P2082)=0, """", INDEX(H$2:H2081,
MAX(FILTER(ROW(H$2:H2081) - ROW(H$2) + 1, P$2:P2081 = P2082))))=""単価"","""",
IF(COUNTIF(P$2:P2081, P2082)=0, """", INDEX(H$2:H2081,
MAX(FILTER(ROW(H$2:H2081) - ROW(H$2) + 1, P$2:P2081 = P2082)))))"),41.0)</f>
        <v>41</v>
      </c>
      <c r="N2082" s="335" t="str">
        <f>IF(MAXIFS('単価履歴'!$O:$O,'単価履歴'!$E:$E,E2082,'単価履歴'!$F:$F,F2082)=O2082,"●","")</f>
        <v/>
      </c>
      <c r="O2082" s="346">
        <v>45841.274513888886</v>
      </c>
      <c r="P2082" s="334" t="str">
        <f t="shared" si="4"/>
        <v>東鐵名古屋:直納シュレＣ</v>
      </c>
    </row>
    <row r="2083" ht="15.75" customHeight="1">
      <c r="A2083" s="335" t="s">
        <v>3247</v>
      </c>
      <c r="B2083" s="336">
        <v>45841.0</v>
      </c>
      <c r="C2083" s="335" t="s">
        <v>536</v>
      </c>
      <c r="D2083" s="335" t="s">
        <v>77</v>
      </c>
      <c r="E2083" s="337" t="str">
        <f t="shared" si="1"/>
        <v>東鐵田原:直納</v>
      </c>
      <c r="F2083" s="338" t="s">
        <v>1199</v>
      </c>
      <c r="G2083" s="339" t="str">
        <f t="shared" si="2"/>
        <v>東鐵田原:直納ＨＳ１(単体H1/電特A/HS))</v>
      </c>
      <c r="H2083" s="340">
        <f t="shared" si="3"/>
        <v>43</v>
      </c>
      <c r="I2083" s="341">
        <v>-0.5</v>
      </c>
      <c r="J2083" s="332">
        <f>IFERROR(__xludf.DUMMYFUNCTION("IF(IF(COUNTIF(P$2:P2082, P2083)=0, """", INDEX(H$2:H2082,
MAX(FILTER(ROW(H$2:H2082) - ROW(H$2) + 1, P$2:P2082 = P2083))))=""単価"","""",
IF(COUNTIF(P$2:P2082, P2083)=0, """", INDEX(H$2:H2082,
MAX(FILTER(ROW(H$2:H2082) - ROW(H$2) + 1, P$2:P2082 = P2083)))))"),43.5)</f>
        <v>43.5</v>
      </c>
      <c r="N2083" s="335" t="str">
        <f>IF(MAXIFS('単価履歴'!$O:$O,'単価履歴'!$E:$E,E2083,'単価履歴'!$F:$F,F2083)=O2083,"●","")</f>
        <v/>
      </c>
      <c r="O2083" s="346">
        <v>45841.27475694445</v>
      </c>
      <c r="P2083" s="334" t="str">
        <f t="shared" si="4"/>
        <v>東鐵田原:直納ＨＳ１(単体H1/電特A/HS))</v>
      </c>
    </row>
    <row r="2084" ht="15.75" customHeight="1">
      <c r="A2084" s="335" t="s">
        <v>3248</v>
      </c>
      <c r="B2084" s="336">
        <v>45841.0</v>
      </c>
      <c r="C2084" s="335" t="s">
        <v>536</v>
      </c>
      <c r="D2084" s="335" t="s">
        <v>77</v>
      </c>
      <c r="E2084" s="337" t="str">
        <f t="shared" si="1"/>
        <v>東鐵田原:直納</v>
      </c>
      <c r="F2084" s="338" t="s">
        <v>111</v>
      </c>
      <c r="G2084" s="339" t="str">
        <f t="shared" si="2"/>
        <v>東鐵田原:直納Ｈ１(特A)</v>
      </c>
      <c r="H2084" s="340">
        <f t="shared" si="3"/>
        <v>42.2</v>
      </c>
      <c r="I2084" s="341">
        <v>-0.5</v>
      </c>
      <c r="J2084" s="332">
        <f>IFERROR(__xludf.DUMMYFUNCTION("IF(IF(COUNTIF(P$2:P2083, P2084)=0, """", INDEX(H$2:H2083,
MAX(FILTER(ROW(H$2:H2083) - ROW(H$2) + 1, P$2:P2083 = P2084))))=""単価"","""",
IF(COUNTIF(P$2:P2083, P2084)=0, """", INDEX(H$2:H2083,
MAX(FILTER(ROW(H$2:H2083) - ROW(H$2) + 1, P$2:P2083 = P2084)))))"),42.7)</f>
        <v>42.7</v>
      </c>
      <c r="N2084" s="335" t="str">
        <f>IF(MAXIFS('単価履歴'!$O:$O,'単価履歴'!$E:$E,E2084,'単価履歴'!$F:$F,F2084)=O2084,"●","")</f>
        <v/>
      </c>
      <c r="O2084" s="346">
        <v>45841.27475694445</v>
      </c>
      <c r="P2084" s="334" t="str">
        <f t="shared" si="4"/>
        <v>東鐵田原:直納Ｈ１(特A)</v>
      </c>
    </row>
    <row r="2085" ht="15.75" customHeight="1">
      <c r="A2085" s="335" t="s">
        <v>3249</v>
      </c>
      <c r="B2085" s="336">
        <v>45841.0</v>
      </c>
      <c r="C2085" s="335" t="s">
        <v>536</v>
      </c>
      <c r="D2085" s="335" t="s">
        <v>77</v>
      </c>
      <c r="E2085" s="337" t="str">
        <f t="shared" si="1"/>
        <v>東鐵田原:直納</v>
      </c>
      <c r="F2085" s="338" t="s">
        <v>116</v>
      </c>
      <c r="G2085" s="339" t="str">
        <f t="shared" si="2"/>
        <v>東鐵田原:直納Ｈ２(特級)</v>
      </c>
      <c r="H2085" s="340">
        <f t="shared" si="3"/>
        <v>40.5</v>
      </c>
      <c r="I2085" s="341">
        <v>-0.5</v>
      </c>
      <c r="J2085" s="332">
        <f>IFERROR(__xludf.DUMMYFUNCTION("IF(IF(COUNTIF(P$2:P2084, P2085)=0, """", INDEX(H$2:H2084,
MAX(FILTER(ROW(H$2:H2084) - ROW(H$2) + 1, P$2:P2084 = P2085))))=""単価"","""",
IF(COUNTIF(P$2:P2084, P2085)=0, """", INDEX(H$2:H2084,
MAX(FILTER(ROW(H$2:H2084) - ROW(H$2) + 1, P$2:P2084 = P2085)))))"),41.0)</f>
        <v>41</v>
      </c>
      <c r="N2085" s="335" t="str">
        <f>IF(MAXIFS('単価履歴'!$O:$O,'単価履歴'!$E:$E,E2085,'単価履歴'!$F:$F,F2085)=O2085,"●","")</f>
        <v/>
      </c>
      <c r="O2085" s="346">
        <v>45841.27475694445</v>
      </c>
      <c r="P2085" s="334" t="str">
        <f t="shared" si="4"/>
        <v>東鐵田原:直納Ｈ２(特級)</v>
      </c>
    </row>
    <row r="2086" ht="15.75" customHeight="1">
      <c r="A2086" s="335" t="s">
        <v>3250</v>
      </c>
      <c r="B2086" s="336">
        <v>45841.0</v>
      </c>
      <c r="C2086" s="335" t="s">
        <v>536</v>
      </c>
      <c r="D2086" s="335" t="s">
        <v>77</v>
      </c>
      <c r="E2086" s="337" t="str">
        <f t="shared" si="1"/>
        <v>東鐵田原:直納</v>
      </c>
      <c r="F2086" s="338" t="s">
        <v>119</v>
      </c>
      <c r="G2086" s="339" t="str">
        <f t="shared" si="2"/>
        <v>東鐵田原:直納Ｈ３(1級)</v>
      </c>
      <c r="H2086" s="340">
        <f t="shared" si="3"/>
        <v>40</v>
      </c>
      <c r="I2086" s="341">
        <v>-0.5</v>
      </c>
      <c r="J2086" s="332">
        <f>IFERROR(__xludf.DUMMYFUNCTION("IF(IF(COUNTIF(P$2:P2085, P2086)=0, """", INDEX(H$2:H2085,
MAX(FILTER(ROW(H$2:H2085) - ROW(H$2) + 1, P$2:P2085 = P2086))))=""単価"","""",
IF(COUNTIF(P$2:P2085, P2086)=0, """", INDEX(H$2:H2085,
MAX(FILTER(ROW(H$2:H2085) - ROW(H$2) + 1, P$2:P2085 = P2086)))))"),40.5)</f>
        <v>40.5</v>
      </c>
      <c r="N2086" s="335" t="str">
        <f>IF(MAXIFS('単価履歴'!$O:$O,'単価履歴'!$E:$E,E2086,'単価履歴'!$F:$F,F2086)=O2086,"●","")</f>
        <v/>
      </c>
      <c r="O2086" s="346">
        <v>45841.27475694445</v>
      </c>
      <c r="P2086" s="334" t="str">
        <f t="shared" si="4"/>
        <v>東鐵田原:直納Ｈ３(1級)</v>
      </c>
    </row>
    <row r="2087" ht="15.75" customHeight="1">
      <c r="A2087" s="335" t="s">
        <v>3251</v>
      </c>
      <c r="B2087" s="336">
        <v>45841.0</v>
      </c>
      <c r="C2087" s="335" t="s">
        <v>536</v>
      </c>
      <c r="D2087" s="335" t="s">
        <v>77</v>
      </c>
      <c r="E2087" s="337" t="str">
        <f t="shared" si="1"/>
        <v>東鐵田原:直納</v>
      </c>
      <c r="F2087" s="338" t="s">
        <v>122</v>
      </c>
      <c r="G2087" s="339" t="str">
        <f t="shared" si="2"/>
        <v>東鐵田原:直納Ｌ１(2級)</v>
      </c>
      <c r="H2087" s="340">
        <f t="shared" si="3"/>
        <v>38.5</v>
      </c>
      <c r="I2087" s="341">
        <v>-0.5</v>
      </c>
      <c r="J2087" s="332">
        <f>IFERROR(__xludf.DUMMYFUNCTION("IF(IF(COUNTIF(P$2:P2086, P2087)=0, """", INDEX(H$2:H2086,
MAX(FILTER(ROW(H$2:H2086) - ROW(H$2) + 1, P$2:P2086 = P2087))))=""単価"","""",
IF(COUNTIF(P$2:P2086, P2087)=0, """", INDEX(H$2:H2086,
MAX(FILTER(ROW(H$2:H2086) - ROW(H$2) + 1, P$2:P2086 = P2087)))))"),39.0)</f>
        <v>39</v>
      </c>
      <c r="N2087" s="335" t="str">
        <f>IF(MAXIFS('単価履歴'!$O:$O,'単価履歴'!$E:$E,E2087,'単価履歴'!$F:$F,F2087)=O2087,"●","")</f>
        <v/>
      </c>
      <c r="O2087" s="346">
        <v>45841.27475694445</v>
      </c>
      <c r="P2087" s="334" t="str">
        <f t="shared" si="4"/>
        <v>東鐵田原:直納Ｌ１(2級)</v>
      </c>
    </row>
    <row r="2088" ht="15.75" customHeight="1">
      <c r="A2088" s="335" t="s">
        <v>3252</v>
      </c>
      <c r="B2088" s="336">
        <v>45841.0</v>
      </c>
      <c r="C2088" s="335" t="s">
        <v>536</v>
      </c>
      <c r="D2088" s="335" t="s">
        <v>77</v>
      </c>
      <c r="E2088" s="337" t="str">
        <f t="shared" si="1"/>
        <v>東鐵田原:直納</v>
      </c>
      <c r="F2088" s="338" t="s">
        <v>573</v>
      </c>
      <c r="G2088" s="339" t="str">
        <f t="shared" si="2"/>
        <v>東鐵田原:直納Ｌ２(H4･級外･L1ﾊﾞﾗ)</v>
      </c>
      <c r="H2088" s="340">
        <f t="shared" si="3"/>
        <v>35.5</v>
      </c>
      <c r="I2088" s="341">
        <v>-0.5</v>
      </c>
      <c r="J2088" s="332">
        <f>IFERROR(__xludf.DUMMYFUNCTION("IF(IF(COUNTIF(P$2:P2087, P2088)=0, """", INDEX(H$2:H2087,
MAX(FILTER(ROW(H$2:H2087) - ROW(H$2) + 1, P$2:P2087 = P2088))))=""単価"","""",
IF(COUNTIF(P$2:P2087, P2088)=0, """", INDEX(H$2:H2087,
MAX(FILTER(ROW(H$2:H2087) - ROW(H$2) + 1, P$2:P2087 = P2088)))))"),36.0)</f>
        <v>36</v>
      </c>
      <c r="N2088" s="335" t="str">
        <f>IF(MAXIFS('単価履歴'!$O:$O,'単価履歴'!$E:$E,E2088,'単価履歴'!$F:$F,F2088)=O2088,"●","")</f>
        <v/>
      </c>
      <c r="O2088" s="346">
        <v>45841.27475694445</v>
      </c>
      <c r="P2088" s="334" t="str">
        <f t="shared" si="4"/>
        <v>東鐵田原:直納Ｌ２(H4･級外･L1ﾊﾞﾗ)</v>
      </c>
    </row>
    <row r="2089" ht="15.75" customHeight="1">
      <c r="A2089" s="335" t="s">
        <v>3253</v>
      </c>
      <c r="B2089" s="336">
        <v>45841.0</v>
      </c>
      <c r="C2089" s="335" t="s">
        <v>536</v>
      </c>
      <c r="D2089" s="335" t="s">
        <v>77</v>
      </c>
      <c r="E2089" s="337" t="str">
        <f t="shared" si="1"/>
        <v>東鐵田原:直納</v>
      </c>
      <c r="F2089" s="338" t="s">
        <v>130</v>
      </c>
      <c r="G2089" s="339" t="str">
        <f t="shared" si="2"/>
        <v>東鐵田原:直納新断Ａ</v>
      </c>
      <c r="H2089" s="340">
        <f t="shared" si="3"/>
        <v>42.5</v>
      </c>
      <c r="I2089" s="341">
        <v>-0.5</v>
      </c>
      <c r="J2089" s="332">
        <f>IFERROR(__xludf.DUMMYFUNCTION("IF(IF(COUNTIF(P$2:P2088, P2089)=0, """", INDEX(H$2:H2088,
MAX(FILTER(ROW(H$2:H2088) - ROW(H$2) + 1, P$2:P2088 = P2089))))=""単価"","""",
IF(COUNTIF(P$2:P2088, P2089)=0, """", INDEX(H$2:H2088,
MAX(FILTER(ROW(H$2:H2088) - ROW(H$2) + 1, P$2:P2088 = P2089)))))"),43.0)</f>
        <v>43</v>
      </c>
      <c r="N2089" s="335" t="str">
        <f>IF(MAXIFS('単価履歴'!$O:$O,'単価履歴'!$E:$E,E2089,'単価履歴'!$F:$F,F2089)=O2089,"●","")</f>
        <v/>
      </c>
      <c r="O2089" s="346">
        <v>45841.27475694445</v>
      </c>
      <c r="P2089" s="334" t="str">
        <f t="shared" si="4"/>
        <v>東鐵田原:直納新断Ａ</v>
      </c>
    </row>
    <row r="2090" ht="15.75" customHeight="1">
      <c r="A2090" s="335" t="s">
        <v>3254</v>
      </c>
      <c r="B2090" s="336">
        <v>45841.0</v>
      </c>
      <c r="C2090" s="335" t="s">
        <v>536</v>
      </c>
      <c r="D2090" s="335" t="s">
        <v>77</v>
      </c>
      <c r="E2090" s="337" t="str">
        <f t="shared" si="1"/>
        <v>東鐵田原:直納</v>
      </c>
      <c r="F2090" s="338" t="s">
        <v>131</v>
      </c>
      <c r="G2090" s="339" t="str">
        <f t="shared" si="2"/>
        <v>東鐵田原:直納新断Ｂ</v>
      </c>
      <c r="H2090" s="340">
        <f t="shared" si="3"/>
        <v>42.5</v>
      </c>
      <c r="I2090" s="341">
        <v>-0.5</v>
      </c>
      <c r="J2090" s="332">
        <f>IFERROR(__xludf.DUMMYFUNCTION("IF(IF(COUNTIF(P$2:P2089, P2090)=0, """", INDEX(H$2:H2089,
MAX(FILTER(ROW(H$2:H2089) - ROW(H$2) + 1, P$2:P2089 = P2090))))=""単価"","""",
IF(COUNTIF(P$2:P2089, P2090)=0, """", INDEX(H$2:H2089,
MAX(FILTER(ROW(H$2:H2089) - ROW(H$2) + 1, P$2:P2089 = P2090)))))"),43.0)</f>
        <v>43</v>
      </c>
      <c r="N2090" s="335" t="str">
        <f>IF(MAXIFS('単価履歴'!$O:$O,'単価履歴'!$E:$E,E2090,'単価履歴'!$F:$F,F2090)=O2090,"●","")</f>
        <v/>
      </c>
      <c r="O2090" s="346">
        <v>45841.27475694445</v>
      </c>
      <c r="P2090" s="334" t="str">
        <f t="shared" si="4"/>
        <v>東鐵田原:直納新断Ｂ</v>
      </c>
    </row>
    <row r="2091" ht="15.75" customHeight="1">
      <c r="A2091" s="335" t="s">
        <v>3255</v>
      </c>
      <c r="B2091" s="336">
        <v>45841.0</v>
      </c>
      <c r="C2091" s="335" t="s">
        <v>536</v>
      </c>
      <c r="D2091" s="335" t="s">
        <v>77</v>
      </c>
      <c r="E2091" s="337" t="str">
        <f t="shared" si="1"/>
        <v>東鐵田原:直納</v>
      </c>
      <c r="F2091" s="338" t="s">
        <v>575</v>
      </c>
      <c r="G2091" s="339" t="str">
        <f t="shared" si="2"/>
        <v>東鐵田原:直納鋼ダライＡ</v>
      </c>
      <c r="H2091" s="340">
        <f t="shared" si="3"/>
        <v>39</v>
      </c>
      <c r="I2091" s="341">
        <v>-0.5</v>
      </c>
      <c r="J2091" s="332">
        <f>IFERROR(__xludf.DUMMYFUNCTION("IF(IF(COUNTIF(P$2:P2090, P2091)=0, """", INDEX(H$2:H2090,
MAX(FILTER(ROW(H$2:H2090) - ROW(H$2) + 1, P$2:P2090 = P2091))))=""単価"","""",
IF(COUNTIF(P$2:P2090, P2091)=0, """", INDEX(H$2:H2090,
MAX(FILTER(ROW(H$2:H2090) - ROW(H$2) + 1, P$2:P2090 = P2091)))))"),39.5)</f>
        <v>39.5</v>
      </c>
      <c r="N2091" s="335" t="str">
        <f>IF(MAXIFS('単価履歴'!$O:$O,'単価履歴'!$E:$E,E2091,'単価履歴'!$F:$F,F2091)=O2091,"●","")</f>
        <v/>
      </c>
      <c r="O2091" s="346">
        <v>45841.27475694445</v>
      </c>
      <c r="P2091" s="334" t="str">
        <f t="shared" si="4"/>
        <v>東鐵田原:直納鋼ダライＡ</v>
      </c>
    </row>
    <row r="2092" ht="15.75" customHeight="1">
      <c r="A2092" s="335" t="s">
        <v>3256</v>
      </c>
      <c r="B2092" s="336">
        <v>45841.0</v>
      </c>
      <c r="C2092" s="335" t="s">
        <v>536</v>
      </c>
      <c r="D2092" s="335" t="s">
        <v>77</v>
      </c>
      <c r="E2092" s="337" t="str">
        <f t="shared" si="1"/>
        <v>東鐵田原:直納</v>
      </c>
      <c r="F2092" s="338" t="s">
        <v>145</v>
      </c>
      <c r="G2092" s="339" t="str">
        <f t="shared" si="2"/>
        <v>東鐵田原:直納シュレＡ</v>
      </c>
      <c r="H2092" s="340">
        <f t="shared" si="3"/>
        <v>41.5</v>
      </c>
      <c r="I2092" s="341">
        <v>-0.5</v>
      </c>
      <c r="J2092" s="332">
        <f>IFERROR(__xludf.DUMMYFUNCTION("IF(IF(COUNTIF(P$2:P2091, P2092)=0, """", INDEX(H$2:H2091,
MAX(FILTER(ROW(H$2:H2091) - ROW(H$2) + 1, P$2:P2091 = P2092))))=""単価"","""",
IF(COUNTIF(P$2:P2091, P2092)=0, """", INDEX(H$2:H2091,
MAX(FILTER(ROW(H$2:H2091) - ROW(H$2) + 1, P$2:P2091 = P2092)))))"),42.0)</f>
        <v>42</v>
      </c>
      <c r="N2092" s="335" t="str">
        <f>IF(MAXIFS('単価履歴'!$O:$O,'単価履歴'!$E:$E,E2092,'単価履歴'!$F:$F,F2092)=O2092,"●","")</f>
        <v/>
      </c>
      <c r="O2092" s="346">
        <v>45841.27475694445</v>
      </c>
      <c r="P2092" s="334" t="str">
        <f t="shared" si="4"/>
        <v>東鐵田原:直納シュレＡ</v>
      </c>
    </row>
    <row r="2093" ht="15.75" customHeight="1">
      <c r="A2093" s="335" t="s">
        <v>3257</v>
      </c>
      <c r="B2093" s="336">
        <v>45841.0</v>
      </c>
      <c r="C2093" s="335" t="s">
        <v>536</v>
      </c>
      <c r="D2093" s="335" t="s">
        <v>77</v>
      </c>
      <c r="E2093" s="337" t="str">
        <f t="shared" si="1"/>
        <v>東鐵田原:直納</v>
      </c>
      <c r="F2093" s="338" t="s">
        <v>151</v>
      </c>
      <c r="G2093" s="339" t="str">
        <f t="shared" si="2"/>
        <v>東鐵田原:直納シュレＣ</v>
      </c>
      <c r="H2093" s="340">
        <f t="shared" si="3"/>
        <v>41</v>
      </c>
      <c r="I2093" s="341">
        <v>-0.5</v>
      </c>
      <c r="J2093" s="332">
        <f>IFERROR(__xludf.DUMMYFUNCTION("IF(IF(COUNTIF(P$2:P2092, P2093)=0, """", INDEX(H$2:H2092,
MAX(FILTER(ROW(H$2:H2092) - ROW(H$2) + 1, P$2:P2092 = P2093))))=""単価"","""",
IF(COUNTIF(P$2:P2092, P2093)=0, """", INDEX(H$2:H2092,
MAX(FILTER(ROW(H$2:H2092) - ROW(H$2) + 1, P$2:P2092 = P2093)))))"),41.5)</f>
        <v>41.5</v>
      </c>
      <c r="N2093" s="335" t="str">
        <f>IF(MAXIFS('単価履歴'!$O:$O,'単価履歴'!$E:$E,E2093,'単価履歴'!$F:$F,F2093)=O2093,"●","")</f>
        <v/>
      </c>
      <c r="O2093" s="346">
        <v>45841.27475694445</v>
      </c>
      <c r="P2093" s="334" t="str">
        <f t="shared" si="4"/>
        <v>東鐵田原:直納シュレＣ</v>
      </c>
    </row>
    <row r="2094" ht="15.75" customHeight="1">
      <c r="A2094" s="335" t="s">
        <v>3258</v>
      </c>
      <c r="B2094" s="336">
        <v>45841.0</v>
      </c>
      <c r="C2094" s="335" t="s">
        <v>536</v>
      </c>
      <c r="D2094" s="335" t="s">
        <v>77</v>
      </c>
      <c r="E2094" s="337" t="str">
        <f t="shared" si="1"/>
        <v>東鐵田原:直納</v>
      </c>
      <c r="F2094" s="338" t="s">
        <v>154</v>
      </c>
      <c r="G2094" s="339" t="str">
        <f t="shared" si="2"/>
        <v>東鐵田原:直納ＣＰ Ａ</v>
      </c>
      <c r="H2094" s="340">
        <f t="shared" si="3"/>
        <v>39</v>
      </c>
      <c r="I2094" s="341">
        <v>-0.5</v>
      </c>
      <c r="J2094" s="332">
        <f>IFERROR(__xludf.DUMMYFUNCTION("IF(IF(COUNTIF(P$2:P2093, P2094)=0, """", INDEX(H$2:H2093,
MAX(FILTER(ROW(H$2:H2093) - ROW(H$2) + 1, P$2:P2093 = P2094))))=""単価"","""",
IF(COUNTIF(P$2:P2093, P2094)=0, """", INDEX(H$2:H2093,
MAX(FILTER(ROW(H$2:H2093) - ROW(H$2) + 1, P$2:P2093 = P2094)))))"),39.5)</f>
        <v>39.5</v>
      </c>
      <c r="N2094" s="335" t="str">
        <f>IF(MAXIFS('単価履歴'!$O:$O,'単価履歴'!$E:$E,E2094,'単価履歴'!$F:$F,F2094)=O2094,"●","")</f>
        <v/>
      </c>
      <c r="O2094" s="346">
        <v>45841.27475694445</v>
      </c>
      <c r="P2094" s="334" t="str">
        <f t="shared" si="4"/>
        <v>東鐵田原:直納ＣＰ Ａ</v>
      </c>
    </row>
    <row r="2095" ht="15.75" customHeight="1">
      <c r="A2095" s="335" t="s">
        <v>3259</v>
      </c>
      <c r="B2095" s="336">
        <v>45841.0</v>
      </c>
      <c r="C2095" s="335" t="s">
        <v>19</v>
      </c>
      <c r="D2095" s="335" t="s">
        <v>61</v>
      </c>
      <c r="E2095" s="337" t="str">
        <f t="shared" si="1"/>
        <v>トピー工業:ＭＭ</v>
      </c>
      <c r="F2095" s="338" t="s">
        <v>116</v>
      </c>
      <c r="G2095" s="339" t="str">
        <f t="shared" si="2"/>
        <v>トピー工業:ＭＭＨ２(特級)</v>
      </c>
      <c r="H2095" s="340">
        <f t="shared" si="3"/>
        <v>33.5</v>
      </c>
      <c r="I2095" s="341">
        <v>-0.5</v>
      </c>
      <c r="J2095" s="332">
        <f>IFERROR(__xludf.DUMMYFUNCTION("IF(IF(COUNTIF(P$2:P2094, P2095)=0, """", INDEX(H$2:H2094,
MAX(FILTER(ROW(H$2:H2094) - ROW(H$2) + 1, P$2:P2094 = P2095))))=""単価"","""",
IF(COUNTIF(P$2:P2094, P2095)=0, """", INDEX(H$2:H2094,
MAX(FILTER(ROW(H$2:H2094) - ROW(H$2) + 1, P$2:P2094 = P2095)))))"),34.0)</f>
        <v>34</v>
      </c>
      <c r="N2095" s="335" t="str">
        <f>IF(MAXIFS('単価履歴'!$O:$O,'単価履歴'!$E:$E,E2095,'単価履歴'!$F:$F,F2095)=O2095,"●","")</f>
        <v/>
      </c>
      <c r="O2095" s="346">
        <v>45841.27506944444</v>
      </c>
      <c r="P2095" s="334" t="str">
        <f t="shared" si="4"/>
        <v>トピー工業:ＭＭＨ２(特級)</v>
      </c>
    </row>
    <row r="2096" ht="15.75" customHeight="1">
      <c r="A2096" s="335" t="s">
        <v>3260</v>
      </c>
      <c r="B2096" s="336">
        <v>45841.0</v>
      </c>
      <c r="C2096" s="335" t="s">
        <v>37</v>
      </c>
      <c r="D2096" s="335" t="s">
        <v>48</v>
      </c>
      <c r="E2096" s="337" t="str">
        <f t="shared" si="1"/>
        <v>共英名古屋:ナベ</v>
      </c>
      <c r="F2096" s="338" t="s">
        <v>111</v>
      </c>
      <c r="G2096" s="339" t="str">
        <f t="shared" si="2"/>
        <v>共英名古屋:ナベＨ１(特A)</v>
      </c>
      <c r="H2096" s="340">
        <f t="shared" si="3"/>
        <v>41.7</v>
      </c>
      <c r="I2096" s="341">
        <v>-0.5</v>
      </c>
      <c r="J2096" s="332">
        <f>IFERROR(__xludf.DUMMYFUNCTION("IF(IF(COUNTIF(P$2:P2095, P2096)=0, """", INDEX(H$2:H2095,
MAX(FILTER(ROW(H$2:H2095) - ROW(H$2) + 1, P$2:P2095 = P2096))))=""単価"","""",
IF(COUNTIF(P$2:P2095, P2096)=0, """", INDEX(H$2:H2095,
MAX(FILTER(ROW(H$2:H2095) - ROW(H$2) + 1, P$2:P2095 = P2096)))))"),42.2)</f>
        <v>42.2</v>
      </c>
      <c r="N2096" s="335" t="str">
        <f>IF(MAXIFS('単価履歴'!$O:$O,'単価履歴'!$E:$E,E2096,'単価履歴'!$F:$F,F2096)=O2096,"●","")</f>
        <v/>
      </c>
      <c r="O2096" s="346">
        <v>45841.275347222225</v>
      </c>
      <c r="P2096" s="334" t="str">
        <f t="shared" si="4"/>
        <v>共英名古屋:ナベＨ１(特A)</v>
      </c>
    </row>
    <row r="2097" ht="15.75" customHeight="1">
      <c r="A2097" s="335" t="s">
        <v>3261</v>
      </c>
      <c r="B2097" s="336">
        <v>45841.0</v>
      </c>
      <c r="C2097" s="335" t="s">
        <v>37</v>
      </c>
      <c r="D2097" s="335" t="s">
        <v>48</v>
      </c>
      <c r="E2097" s="337" t="str">
        <f t="shared" si="1"/>
        <v>共英名古屋:ナベ</v>
      </c>
      <c r="F2097" s="338" t="s">
        <v>116</v>
      </c>
      <c r="G2097" s="339" t="str">
        <f t="shared" si="2"/>
        <v>共英名古屋:ナベＨ２(特級)</v>
      </c>
      <c r="H2097" s="340">
        <f t="shared" si="3"/>
        <v>39</v>
      </c>
      <c r="I2097" s="341">
        <v>-0.5</v>
      </c>
      <c r="J2097" s="332">
        <f>IFERROR(__xludf.DUMMYFUNCTION("IF(IF(COUNTIF(P$2:P2096, P2097)=0, """", INDEX(H$2:H2096,
MAX(FILTER(ROW(H$2:H2096) - ROW(H$2) + 1, P$2:P2096 = P2097))))=""単価"","""",
IF(COUNTIF(P$2:P2096, P2097)=0, """", INDEX(H$2:H2096,
MAX(FILTER(ROW(H$2:H2096) - ROW(H$2) + 1, P$2:P2096 = P2097)))))"),39.5)</f>
        <v>39.5</v>
      </c>
      <c r="N2097" s="335" t="str">
        <f>IF(MAXIFS('単価履歴'!$O:$O,'単価履歴'!$E:$E,E2097,'単価履歴'!$F:$F,F2097)=O2097,"●","")</f>
        <v/>
      </c>
      <c r="O2097" s="346">
        <v>45841.275347222225</v>
      </c>
      <c r="P2097" s="334" t="str">
        <f t="shared" si="4"/>
        <v>共英名古屋:ナベＨ２(特級)</v>
      </c>
    </row>
    <row r="2098" ht="15.75" customHeight="1">
      <c r="A2098" s="335" t="s">
        <v>3262</v>
      </c>
      <c r="B2098" s="336">
        <v>45841.0</v>
      </c>
      <c r="C2098" s="335" t="s">
        <v>37</v>
      </c>
      <c r="D2098" s="335" t="s">
        <v>48</v>
      </c>
      <c r="E2098" s="337" t="str">
        <f t="shared" si="1"/>
        <v>共英名古屋:ナベ</v>
      </c>
      <c r="F2098" s="338" t="s">
        <v>119</v>
      </c>
      <c r="G2098" s="339" t="str">
        <f t="shared" si="2"/>
        <v>共英名古屋:ナベＨ３(1級)</v>
      </c>
      <c r="H2098" s="340">
        <f t="shared" si="3"/>
        <v>38</v>
      </c>
      <c r="I2098" s="341">
        <v>-0.5</v>
      </c>
      <c r="J2098" s="332">
        <f>IFERROR(__xludf.DUMMYFUNCTION("IF(IF(COUNTIF(P$2:P2097, P2098)=0, """", INDEX(H$2:H2097,
MAX(FILTER(ROW(H$2:H2097) - ROW(H$2) + 1, P$2:P2097 = P2098))))=""単価"","""",
IF(COUNTIF(P$2:P2097, P2098)=0, """", INDEX(H$2:H2097,
MAX(FILTER(ROW(H$2:H2097) - ROW(H$2) + 1, P$2:P2097 = P2098)))))"),38.5)</f>
        <v>38.5</v>
      </c>
      <c r="N2098" s="335" t="str">
        <f>IF(MAXIFS('単価履歴'!$O:$O,'単価履歴'!$E:$E,E2098,'単価履歴'!$F:$F,F2098)=O2098,"●","")</f>
        <v/>
      </c>
      <c r="O2098" s="346">
        <v>45841.275347222225</v>
      </c>
      <c r="P2098" s="334" t="str">
        <f t="shared" si="4"/>
        <v>共英名古屋:ナベＨ３(1級)</v>
      </c>
    </row>
    <row r="2099" ht="15.75" customHeight="1">
      <c r="A2099" s="335" t="s">
        <v>3263</v>
      </c>
      <c r="B2099" s="336">
        <v>45841.0</v>
      </c>
      <c r="C2099" s="335" t="s">
        <v>37</v>
      </c>
      <c r="D2099" s="335" t="s">
        <v>48</v>
      </c>
      <c r="E2099" s="337" t="str">
        <f t="shared" si="1"/>
        <v>共英名古屋:ナベ</v>
      </c>
      <c r="F2099" s="338" t="s">
        <v>122</v>
      </c>
      <c r="G2099" s="339" t="str">
        <f t="shared" si="2"/>
        <v>共英名古屋:ナベＬ１(2級)</v>
      </c>
      <c r="H2099" s="340">
        <f t="shared" si="3"/>
        <v>35</v>
      </c>
      <c r="I2099" s="341">
        <v>-0.5</v>
      </c>
      <c r="J2099" s="332">
        <f>IFERROR(__xludf.DUMMYFUNCTION("IF(IF(COUNTIF(P$2:P2098, P2099)=0, """", INDEX(H$2:H2098,
MAX(FILTER(ROW(H$2:H2098) - ROW(H$2) + 1, P$2:P2098 = P2099))))=""単価"","""",
IF(COUNTIF(P$2:P2098, P2099)=0, """", INDEX(H$2:H2098,
MAX(FILTER(ROW(H$2:H2098) - ROW(H$2) + 1, P$2:P2098 = P2099)))))"),35.5)</f>
        <v>35.5</v>
      </c>
      <c r="N2099" s="335" t="str">
        <f>IF(MAXIFS('単価履歴'!$O:$O,'単価履歴'!$E:$E,E2099,'単価履歴'!$F:$F,F2099)=O2099,"●","")</f>
        <v/>
      </c>
      <c r="O2099" s="346">
        <v>45841.275347222225</v>
      </c>
      <c r="P2099" s="334" t="str">
        <f t="shared" si="4"/>
        <v>共英名古屋:ナベＬ１(2級)</v>
      </c>
    </row>
    <row r="2100" ht="15.75" customHeight="1">
      <c r="A2100" s="335" t="s">
        <v>3264</v>
      </c>
      <c r="B2100" s="336">
        <v>45841.0</v>
      </c>
      <c r="C2100" s="335" t="s">
        <v>35</v>
      </c>
      <c r="D2100" s="335" t="s">
        <v>48</v>
      </c>
      <c r="E2100" s="337" t="str">
        <f t="shared" si="1"/>
        <v>ﾆｭｰｽｺﾝ稲永:ナベ</v>
      </c>
      <c r="F2100" s="338" t="s">
        <v>130</v>
      </c>
      <c r="G2100" s="339" t="str">
        <f t="shared" si="2"/>
        <v>ﾆｭｰｽｺﾝ稲永:ナベ新断Ａ</v>
      </c>
      <c r="H2100" s="340">
        <f t="shared" si="3"/>
        <v>43.5</v>
      </c>
      <c r="I2100" s="341">
        <v>-0.5</v>
      </c>
      <c r="J2100" s="332">
        <f>IFERROR(__xludf.DUMMYFUNCTION("IF(IF(COUNTIF(P$2:P2099, P2100)=0, """", INDEX(H$2:H2099,
MAX(FILTER(ROW(H$2:H2099) - ROW(H$2) + 1, P$2:P2099 = P2100))))=""単価"","""",
IF(COUNTIF(P$2:P2099, P2100)=0, """", INDEX(H$2:H2099,
MAX(FILTER(ROW(H$2:H2099) - ROW(H$2) + 1, P$2:P2099 = P2100)))))"),44.0)</f>
        <v>44</v>
      </c>
      <c r="N2100" s="335" t="str">
        <f>IF(MAXIFS('単価履歴'!$O:$O,'単価履歴'!$E:$E,E2100,'単価履歴'!$F:$F,F2100)=O2100,"●","")</f>
        <v/>
      </c>
      <c r="O2100" s="346">
        <v>45841.275624999995</v>
      </c>
      <c r="P2100" s="334" t="str">
        <f t="shared" si="4"/>
        <v>ﾆｭｰｽｺﾝ稲永:ナベ新断Ａ</v>
      </c>
    </row>
    <row r="2101" ht="15.75" customHeight="1">
      <c r="A2101" s="335" t="s">
        <v>3265</v>
      </c>
      <c r="B2101" s="336">
        <v>45841.0</v>
      </c>
      <c r="C2101" s="335" t="s">
        <v>14</v>
      </c>
      <c r="D2101" s="335" t="s">
        <v>48</v>
      </c>
      <c r="E2101" s="337" t="str">
        <f t="shared" si="1"/>
        <v>愛知:ナベ</v>
      </c>
      <c r="F2101" s="338" t="s">
        <v>1199</v>
      </c>
      <c r="G2101" s="339" t="str">
        <f t="shared" si="2"/>
        <v>愛知:ナベＨＳ１(単体H1/電特A/HS))</v>
      </c>
      <c r="H2101" s="340">
        <f t="shared" si="3"/>
        <v>40.5</v>
      </c>
      <c r="I2101" s="341">
        <v>-0.5</v>
      </c>
      <c r="J2101" s="332">
        <f>IFERROR(__xludf.DUMMYFUNCTION("IF(IF(COUNTIF(P$2:P2100, P2101)=0, """", INDEX(H$2:H2100,
MAX(FILTER(ROW(H$2:H2100) - ROW(H$2) + 1, P$2:P2100 = P2101))))=""単価"","""",
IF(COUNTIF(P$2:P2100, P2101)=0, """", INDEX(H$2:H2100,
MAX(FILTER(ROW(H$2:H2100) - ROW(H$2) + 1, P$2:P2100 = P2101)))))"),41.0)</f>
        <v>41</v>
      </c>
      <c r="N2101" s="335" t="str">
        <f>IF(MAXIFS('単価履歴'!$O:$O,'単価履歴'!$E:$E,E2101,'単価履歴'!$F:$F,F2101)=O2101,"●","")</f>
        <v/>
      </c>
      <c r="O2101" s="346">
        <v>45841.2758912037</v>
      </c>
      <c r="P2101" s="334" t="str">
        <f t="shared" si="4"/>
        <v>愛知:ナベＨＳ１(単体H1/電特A/HS))</v>
      </c>
    </row>
    <row r="2102" ht="15.75" customHeight="1">
      <c r="A2102" s="335" t="s">
        <v>3266</v>
      </c>
      <c r="B2102" s="336">
        <v>45841.0</v>
      </c>
      <c r="C2102" s="335" t="s">
        <v>14</v>
      </c>
      <c r="D2102" s="335" t="s">
        <v>48</v>
      </c>
      <c r="E2102" s="337" t="str">
        <f t="shared" si="1"/>
        <v>愛知:ナベ</v>
      </c>
      <c r="F2102" s="338" t="s">
        <v>101</v>
      </c>
      <c r="G2102" s="339" t="str">
        <f t="shared" si="2"/>
        <v>愛知:ナベＨＳ２</v>
      </c>
      <c r="H2102" s="340">
        <f t="shared" si="3"/>
        <v>40</v>
      </c>
      <c r="I2102" s="341">
        <v>-0.5</v>
      </c>
      <c r="J2102" s="332">
        <f>IFERROR(__xludf.DUMMYFUNCTION("IF(IF(COUNTIF(P$2:P2101, P2102)=0, """", INDEX(H$2:H2101,
MAX(FILTER(ROW(H$2:H2101) - ROW(H$2) + 1, P$2:P2101 = P2102))))=""単価"","""",
IF(COUNTIF(P$2:P2101, P2102)=0, """", INDEX(H$2:H2101,
MAX(FILTER(ROW(H$2:H2101) - ROW(H$2) + 1, P$2:P2101 = P2102)))))"),40.5)</f>
        <v>40.5</v>
      </c>
      <c r="N2102" s="335" t="str">
        <f>IF(MAXIFS('単価履歴'!$O:$O,'単価履歴'!$E:$E,E2102,'単価履歴'!$F:$F,F2102)=O2102,"●","")</f>
        <v/>
      </c>
      <c r="O2102" s="346">
        <v>45841.2758912037</v>
      </c>
      <c r="P2102" s="334" t="str">
        <f t="shared" si="4"/>
        <v>愛知:ナベＨＳ２</v>
      </c>
    </row>
    <row r="2103" ht="15.75" customHeight="1">
      <c r="A2103" s="335" t="s">
        <v>3267</v>
      </c>
      <c r="B2103" s="336">
        <v>45841.0</v>
      </c>
      <c r="C2103" s="335" t="s">
        <v>14</v>
      </c>
      <c r="D2103" s="335" t="s">
        <v>48</v>
      </c>
      <c r="E2103" s="337" t="str">
        <f t="shared" si="1"/>
        <v>愛知:ナベ</v>
      </c>
      <c r="F2103" s="338" t="s">
        <v>111</v>
      </c>
      <c r="G2103" s="339" t="str">
        <f t="shared" si="2"/>
        <v>愛知:ナベＨ１(特A)</v>
      </c>
      <c r="H2103" s="340">
        <f t="shared" si="3"/>
        <v>39.5</v>
      </c>
      <c r="I2103" s="341">
        <v>-0.5</v>
      </c>
      <c r="J2103" s="332">
        <f>IFERROR(__xludf.DUMMYFUNCTION("IF(IF(COUNTIF(P$2:P2102, P2103)=0, """", INDEX(H$2:H2102,
MAX(FILTER(ROW(H$2:H2102) - ROW(H$2) + 1, P$2:P2102 = P2103))))=""単価"","""",
IF(COUNTIF(P$2:P2102, P2103)=0, """", INDEX(H$2:H2102,
MAX(FILTER(ROW(H$2:H2102) - ROW(H$2) + 1, P$2:P2102 = P2103)))))"),40.0)</f>
        <v>40</v>
      </c>
      <c r="N2103" s="335" t="str">
        <f>IF(MAXIFS('単価履歴'!$O:$O,'単価履歴'!$E:$E,E2103,'単価履歴'!$F:$F,F2103)=O2103,"●","")</f>
        <v/>
      </c>
      <c r="O2103" s="346">
        <v>45841.2758912037</v>
      </c>
      <c r="P2103" s="334" t="str">
        <f t="shared" si="4"/>
        <v>愛知:ナベＨ１(特A)</v>
      </c>
    </row>
    <row r="2104" ht="15.75" customHeight="1">
      <c r="A2104" s="335" t="s">
        <v>3268</v>
      </c>
      <c r="B2104" s="336">
        <v>45841.0</v>
      </c>
      <c r="C2104" s="335" t="s">
        <v>14</v>
      </c>
      <c r="D2104" s="335" t="s">
        <v>48</v>
      </c>
      <c r="E2104" s="337" t="str">
        <f t="shared" si="1"/>
        <v>愛知:ナベ</v>
      </c>
      <c r="F2104" s="338" t="s">
        <v>116</v>
      </c>
      <c r="G2104" s="339" t="str">
        <f t="shared" si="2"/>
        <v>愛知:ナベＨ２(特級)</v>
      </c>
      <c r="H2104" s="340">
        <f t="shared" si="3"/>
        <v>37.9</v>
      </c>
      <c r="I2104" s="341">
        <v>-0.5</v>
      </c>
      <c r="J2104" s="332">
        <f>IFERROR(__xludf.DUMMYFUNCTION("IF(IF(COUNTIF(P$2:P2103, P2104)=0, """", INDEX(H$2:H2103,
MAX(FILTER(ROW(H$2:H2103) - ROW(H$2) + 1, P$2:P2103 = P2104))))=""単価"","""",
IF(COUNTIF(P$2:P2103, P2104)=0, """", INDEX(H$2:H2103,
MAX(FILTER(ROW(H$2:H2103) - ROW(H$2) + 1, P$2:P2103 = P2104)))))"),38.4)</f>
        <v>38.4</v>
      </c>
      <c r="N2104" s="335" t="str">
        <f>IF(MAXIFS('単価履歴'!$O:$O,'単価履歴'!$E:$E,E2104,'単価履歴'!$F:$F,F2104)=O2104,"●","")</f>
        <v/>
      </c>
      <c r="O2104" s="346">
        <v>45841.2758912037</v>
      </c>
      <c r="P2104" s="334" t="str">
        <f t="shared" si="4"/>
        <v>愛知:ナベＨ２(特級)</v>
      </c>
    </row>
    <row r="2105" ht="15.75" customHeight="1">
      <c r="A2105" s="335" t="s">
        <v>3269</v>
      </c>
      <c r="B2105" s="336">
        <v>45841.0</v>
      </c>
      <c r="C2105" s="335" t="s">
        <v>14</v>
      </c>
      <c r="D2105" s="335" t="s">
        <v>48</v>
      </c>
      <c r="E2105" s="337" t="str">
        <f t="shared" si="1"/>
        <v>愛知:ナベ</v>
      </c>
      <c r="F2105" s="338" t="s">
        <v>119</v>
      </c>
      <c r="G2105" s="339" t="str">
        <f t="shared" si="2"/>
        <v>愛知:ナベＨ３(1級)</v>
      </c>
      <c r="H2105" s="340">
        <f t="shared" si="3"/>
        <v>36.9</v>
      </c>
      <c r="I2105" s="341">
        <v>-0.5</v>
      </c>
      <c r="J2105" s="332">
        <f>IFERROR(__xludf.DUMMYFUNCTION("IF(IF(COUNTIF(P$2:P2104, P2105)=0, """", INDEX(H$2:H2104,
MAX(FILTER(ROW(H$2:H2104) - ROW(H$2) + 1, P$2:P2104 = P2105))))=""単価"","""",
IF(COUNTIF(P$2:P2104, P2105)=0, """", INDEX(H$2:H2104,
MAX(FILTER(ROW(H$2:H2104) - ROW(H$2) + 1, P$2:P2104 = P2105)))))"),37.4)</f>
        <v>37.4</v>
      </c>
      <c r="N2105" s="335" t="str">
        <f>IF(MAXIFS('単価履歴'!$O:$O,'単価履歴'!$E:$E,E2105,'単価履歴'!$F:$F,F2105)=O2105,"●","")</f>
        <v/>
      </c>
      <c r="O2105" s="346">
        <v>45841.2758912037</v>
      </c>
      <c r="P2105" s="334" t="str">
        <f t="shared" si="4"/>
        <v>愛知:ナベＨ３(1級)</v>
      </c>
    </row>
    <row r="2106" ht="15.75" customHeight="1">
      <c r="A2106" s="335" t="s">
        <v>3270</v>
      </c>
      <c r="B2106" s="336">
        <v>45841.0</v>
      </c>
      <c r="C2106" s="335" t="s">
        <v>14</v>
      </c>
      <c r="D2106" s="335" t="s">
        <v>48</v>
      </c>
      <c r="E2106" s="337" t="str">
        <f t="shared" si="1"/>
        <v>愛知:ナベ</v>
      </c>
      <c r="F2106" s="338" t="s">
        <v>573</v>
      </c>
      <c r="G2106" s="339" t="str">
        <f t="shared" si="2"/>
        <v>愛知:ナベＬ２(H4･級外･L1ﾊﾞﾗ)</v>
      </c>
      <c r="H2106" s="340">
        <f t="shared" si="3"/>
        <v>32.9</v>
      </c>
      <c r="I2106" s="341">
        <v>-0.5</v>
      </c>
      <c r="J2106" s="332">
        <f>IFERROR(__xludf.DUMMYFUNCTION("IF(IF(COUNTIF(P$2:P2105, P2106)=0, """", INDEX(H$2:H2105,
MAX(FILTER(ROW(H$2:H2105) - ROW(H$2) + 1, P$2:P2105 = P2106))))=""単価"","""",
IF(COUNTIF(P$2:P2105, P2106)=0, """", INDEX(H$2:H2105,
MAX(FILTER(ROW(H$2:H2105) - ROW(H$2) + 1, P$2:P2105 = P2106)))))"),33.4)</f>
        <v>33.4</v>
      </c>
      <c r="N2106" s="335" t="str">
        <f>IF(MAXIFS('単価履歴'!$O:$O,'単価履歴'!$E:$E,E2106,'単価履歴'!$F:$F,F2106)=O2106,"●","")</f>
        <v/>
      </c>
      <c r="O2106" s="346">
        <v>45841.2758912037</v>
      </c>
      <c r="P2106" s="334" t="str">
        <f t="shared" si="4"/>
        <v>愛知:ナベＬ２(H4･級外･L1ﾊﾞﾗ)</v>
      </c>
    </row>
    <row r="2107" ht="15.75" customHeight="1">
      <c r="A2107" s="335" t="s">
        <v>3271</v>
      </c>
      <c r="B2107" s="336">
        <v>45841.0</v>
      </c>
      <c r="C2107" s="335" t="s">
        <v>14</v>
      </c>
      <c r="D2107" s="335" t="s">
        <v>48</v>
      </c>
      <c r="E2107" s="337" t="str">
        <f t="shared" si="1"/>
        <v>愛知:ナベ</v>
      </c>
      <c r="F2107" s="338" t="s">
        <v>575</v>
      </c>
      <c r="G2107" s="339" t="str">
        <f t="shared" si="2"/>
        <v>愛知:ナベ鋼ダライＡ</v>
      </c>
      <c r="H2107" s="340">
        <f t="shared" si="3"/>
        <v>0</v>
      </c>
      <c r="I2107" s="341">
        <v>-0.5</v>
      </c>
      <c r="J2107" s="332">
        <f>IFERROR(__xludf.DUMMYFUNCTION("IF(IF(COUNTIF(P$2:P2106, P2107)=0, """", INDEX(H$2:H2106,
MAX(FILTER(ROW(H$2:H2106) - ROW(H$2) + 1, P$2:P2106 = P2107))))=""単価"","""",
IF(COUNTIF(P$2:P2106, P2107)=0, """", INDEX(H$2:H2106,
MAX(FILTER(ROW(H$2:H2106) - ROW(H$2) + 1, P$2:P2106 = P2107)))))"),0.5)</f>
        <v>0.5</v>
      </c>
      <c r="N2107" s="335" t="str">
        <f>IF(MAXIFS('単価履歴'!$O:$O,'単価履歴'!$E:$E,E2107,'単価履歴'!$F:$F,F2107)=O2107,"●","")</f>
        <v/>
      </c>
      <c r="O2107" s="346">
        <v>45841.2758912037</v>
      </c>
      <c r="P2107" s="334" t="str">
        <f t="shared" si="4"/>
        <v>愛知:ナベ鋼ダライＡ</v>
      </c>
    </row>
    <row r="2108" ht="15.75" customHeight="1">
      <c r="A2108" s="335" t="s">
        <v>3272</v>
      </c>
      <c r="B2108" s="336">
        <v>45841.0</v>
      </c>
      <c r="C2108" s="335" t="s">
        <v>11</v>
      </c>
      <c r="D2108" s="335" t="s">
        <v>46</v>
      </c>
      <c r="E2108" s="337" t="str">
        <f t="shared" si="1"/>
        <v>ﾔﾏﾄ:阪和</v>
      </c>
      <c r="F2108" s="338" t="s">
        <v>116</v>
      </c>
      <c r="G2108" s="339" t="str">
        <f t="shared" si="2"/>
        <v>ﾔﾏﾄ:阪和Ｈ２(特級)</v>
      </c>
      <c r="H2108" s="340">
        <f t="shared" si="3"/>
        <v>41.1</v>
      </c>
      <c r="I2108" s="341">
        <v>-0.5</v>
      </c>
      <c r="J2108" s="332">
        <f>IFERROR(__xludf.DUMMYFUNCTION("IF(IF(COUNTIF(P$2:P2107, P2108)=0, """", INDEX(H$2:H2107,
MAX(FILTER(ROW(H$2:H2107) - ROW(H$2) + 1, P$2:P2107 = P2108))))=""単価"","""",
IF(COUNTIF(P$2:P2107, P2108)=0, """", INDEX(H$2:H2107,
MAX(FILTER(ROW(H$2:H2107) - ROW(H$2) + 1, P$2:P2107 = P2108)))))"),41.6)</f>
        <v>41.6</v>
      </c>
      <c r="N2108" s="335" t="str">
        <f>IF(MAXIFS('単価履歴'!$O:$O,'単価履歴'!$E:$E,E2108,'単価履歴'!$F:$F,F2108)=O2108,"●","")</f>
        <v/>
      </c>
      <c r="O2108" s="346">
        <v>45841.28766203704</v>
      </c>
      <c r="P2108" s="334" t="str">
        <f t="shared" si="4"/>
        <v>ﾔﾏﾄ:阪和Ｈ２(特級)</v>
      </c>
    </row>
    <row r="2109" ht="15.75" customHeight="1">
      <c r="A2109" s="335" t="s">
        <v>3273</v>
      </c>
      <c r="B2109" s="336">
        <v>45841.0</v>
      </c>
      <c r="C2109" s="335" t="s">
        <v>11</v>
      </c>
      <c r="D2109" s="335" t="s">
        <v>46</v>
      </c>
      <c r="E2109" s="337" t="str">
        <f t="shared" si="1"/>
        <v>ﾔﾏﾄ:阪和</v>
      </c>
      <c r="F2109" s="338" t="s">
        <v>119</v>
      </c>
      <c r="G2109" s="339" t="str">
        <f t="shared" si="2"/>
        <v>ﾔﾏﾄ:阪和Ｈ３(1級)</v>
      </c>
      <c r="H2109" s="340">
        <f t="shared" si="3"/>
        <v>40.1</v>
      </c>
      <c r="I2109" s="341">
        <v>-0.5</v>
      </c>
      <c r="J2109" s="332">
        <f>IFERROR(__xludf.DUMMYFUNCTION("IF(IF(COUNTIF(P$2:P2108, P2109)=0, """", INDEX(H$2:H2108,
MAX(FILTER(ROW(H$2:H2108) - ROW(H$2) + 1, P$2:P2108 = P2109))))=""単価"","""",
IF(COUNTIF(P$2:P2108, P2109)=0, """", INDEX(H$2:H2108,
MAX(FILTER(ROW(H$2:H2108) - ROW(H$2) + 1, P$2:P2108 = P2109)))))"),40.6)</f>
        <v>40.6</v>
      </c>
      <c r="N2109" s="335" t="str">
        <f>IF(MAXIFS('単価履歴'!$O:$O,'単価履歴'!$E:$E,E2109,'単価履歴'!$F:$F,F2109)=O2109,"●","")</f>
        <v/>
      </c>
      <c r="O2109" s="346">
        <v>45841.28766203704</v>
      </c>
      <c r="P2109" s="334" t="str">
        <f t="shared" si="4"/>
        <v>ﾔﾏﾄ:阪和Ｈ３(1級)</v>
      </c>
    </row>
    <row r="2110" ht="15.75" customHeight="1">
      <c r="A2110" s="335" t="s">
        <v>3274</v>
      </c>
      <c r="B2110" s="336">
        <v>45841.0</v>
      </c>
      <c r="C2110" s="335" t="s">
        <v>11</v>
      </c>
      <c r="D2110" s="335" t="s">
        <v>46</v>
      </c>
      <c r="E2110" s="337" t="str">
        <f t="shared" si="1"/>
        <v>ﾔﾏﾄ:阪和</v>
      </c>
      <c r="F2110" s="338" t="s">
        <v>122</v>
      </c>
      <c r="G2110" s="339" t="str">
        <f t="shared" si="2"/>
        <v>ﾔﾏﾄ:阪和Ｌ１(2級)</v>
      </c>
      <c r="H2110" s="340">
        <f t="shared" si="3"/>
        <v>38.1</v>
      </c>
      <c r="I2110" s="341">
        <v>-0.5</v>
      </c>
      <c r="J2110" s="332">
        <f>IFERROR(__xludf.DUMMYFUNCTION("IF(IF(COUNTIF(P$2:P2109, P2110)=0, """", INDEX(H$2:H2109,
MAX(FILTER(ROW(H$2:H2109) - ROW(H$2) + 1, P$2:P2109 = P2110))))=""単価"","""",
IF(COUNTIF(P$2:P2109, P2110)=0, """", INDEX(H$2:H2109,
MAX(FILTER(ROW(H$2:H2109) - ROW(H$2) + 1, P$2:P2109 = P2110)))))"),38.6)</f>
        <v>38.6</v>
      </c>
      <c r="N2110" s="335" t="str">
        <f>IF(MAXIFS('単価履歴'!$O:$O,'単価履歴'!$E:$E,E2110,'単価履歴'!$F:$F,F2110)=O2110,"●","")</f>
        <v/>
      </c>
      <c r="O2110" s="346">
        <v>45841.28766203704</v>
      </c>
      <c r="P2110" s="334" t="str">
        <f t="shared" si="4"/>
        <v>ﾔﾏﾄ:阪和Ｌ１(2級)</v>
      </c>
    </row>
    <row r="2111" ht="15.75" customHeight="1">
      <c r="A2111" s="335" t="s">
        <v>3275</v>
      </c>
      <c r="B2111" s="336">
        <v>45841.0</v>
      </c>
      <c r="C2111" s="335" t="s">
        <v>11</v>
      </c>
      <c r="D2111" s="335" t="s">
        <v>46</v>
      </c>
      <c r="E2111" s="337" t="str">
        <f t="shared" si="1"/>
        <v>ﾔﾏﾄ:阪和</v>
      </c>
      <c r="F2111" s="338" t="s">
        <v>111</v>
      </c>
      <c r="G2111" s="339" t="str">
        <f t="shared" si="2"/>
        <v>ﾔﾏﾄ:阪和Ｈ１(特A)</v>
      </c>
      <c r="H2111" s="340">
        <f t="shared" si="3"/>
        <v>42.1</v>
      </c>
      <c r="I2111" s="341">
        <v>-0.5</v>
      </c>
      <c r="J2111" s="332">
        <f>IFERROR(__xludf.DUMMYFUNCTION("IF(IF(COUNTIF(P$2:P2110, P2111)=0, """", INDEX(H$2:H2110,
MAX(FILTER(ROW(H$2:H2110) - ROW(H$2) + 1, P$2:P2110 = P2111))))=""単価"","""",
IF(COUNTIF(P$2:P2110, P2111)=0, """", INDEX(H$2:H2110,
MAX(FILTER(ROW(H$2:H2110) - ROW(H$2) + 1, P$2:P2110 = P2111)))))"),42.6)</f>
        <v>42.6</v>
      </c>
      <c r="N2111" s="335" t="str">
        <f>IF(MAXIFS('単価履歴'!$O:$O,'単価履歴'!$E:$E,E2111,'単価履歴'!$F:$F,F2111)=O2111,"●","")</f>
        <v/>
      </c>
      <c r="O2111" s="346">
        <v>45841.28766203704</v>
      </c>
      <c r="P2111" s="334" t="str">
        <f t="shared" si="4"/>
        <v>ﾔﾏﾄ:阪和Ｈ１(特A)</v>
      </c>
    </row>
    <row r="2112" ht="15.75" customHeight="1">
      <c r="A2112" s="335" t="s">
        <v>3276</v>
      </c>
      <c r="B2112" s="336">
        <v>45841.0</v>
      </c>
      <c r="C2112" s="335" t="s">
        <v>11</v>
      </c>
      <c r="D2112" s="335" t="s">
        <v>46</v>
      </c>
      <c r="E2112" s="337" t="str">
        <f t="shared" si="1"/>
        <v>ﾔﾏﾄ:阪和</v>
      </c>
      <c r="F2112" s="338" t="s">
        <v>573</v>
      </c>
      <c r="G2112" s="339" t="str">
        <f t="shared" si="2"/>
        <v>ﾔﾏﾄ:阪和Ｌ２(H4･級外･L1ﾊﾞﾗ)</v>
      </c>
      <c r="H2112" s="340">
        <f t="shared" si="3"/>
        <v>35.6</v>
      </c>
      <c r="I2112" s="341">
        <v>-0.5</v>
      </c>
      <c r="J2112" s="332">
        <f>IFERROR(__xludf.DUMMYFUNCTION("IF(IF(COUNTIF(P$2:P2111, P2112)=0, """", INDEX(H$2:H2111,
MAX(FILTER(ROW(H$2:H2111) - ROW(H$2) + 1, P$2:P2111 = P2112))))=""単価"","""",
IF(COUNTIF(P$2:P2111, P2112)=0, """", INDEX(H$2:H2111,
MAX(FILTER(ROW(H$2:H2111) - ROW(H$2) + 1, P$2:P2111 = P2112)))))"),36.1)</f>
        <v>36.1</v>
      </c>
      <c r="N2112" s="335" t="str">
        <f>IF(MAXIFS('単価履歴'!$O:$O,'単価履歴'!$E:$E,E2112,'単価履歴'!$F:$F,F2112)=O2112,"●","")</f>
        <v/>
      </c>
      <c r="O2112" s="346">
        <v>45841.28766203704</v>
      </c>
      <c r="P2112" s="334" t="str">
        <f t="shared" si="4"/>
        <v>ﾔﾏﾄ:阪和Ｌ２(H4･級外･L1ﾊﾞﾗ)</v>
      </c>
    </row>
    <row r="2113" ht="15.75" customHeight="1">
      <c r="A2113" s="335" t="s">
        <v>3277</v>
      </c>
      <c r="B2113" s="336">
        <v>45841.0</v>
      </c>
      <c r="C2113" s="335" t="s">
        <v>28</v>
      </c>
      <c r="D2113" s="335" t="s">
        <v>52</v>
      </c>
      <c r="E2113" s="337" t="str">
        <f t="shared" si="1"/>
        <v>ＪＦＥ条鋼:リバイブ</v>
      </c>
      <c r="F2113" s="338" t="s">
        <v>111</v>
      </c>
      <c r="G2113" s="339" t="str">
        <f t="shared" si="2"/>
        <v>ＪＦＥ条鋼:リバイブＨ１(特A)</v>
      </c>
      <c r="H2113" s="340">
        <f t="shared" si="3"/>
        <v>39</v>
      </c>
      <c r="I2113" s="341">
        <v>-1.5</v>
      </c>
      <c r="J2113" s="332">
        <f>IFERROR(__xludf.DUMMYFUNCTION("IF(IF(COUNTIF(P$2:P2112, P2113)=0, """", INDEX(H$2:H2112,
MAX(FILTER(ROW(H$2:H2112) - ROW(H$2) + 1, P$2:P2112 = P2113))))=""単価"","""",
IF(COUNTIF(P$2:P2112, P2113)=0, """", INDEX(H$2:H2112,
MAX(FILTER(ROW(H$2:H2112) - ROW(H$2) + 1, P$2:P2112 = P2113)))))"),40.5)</f>
        <v>40.5</v>
      </c>
      <c r="N2113" s="335" t="str">
        <f>IF(MAXIFS('単価履歴'!$O:$O,'単価履歴'!$E:$E,E2113,'単価履歴'!$F:$F,F2113)=O2113,"●","")</f>
        <v/>
      </c>
      <c r="O2113" s="346">
        <v>45841.41780092593</v>
      </c>
      <c r="P2113" s="334" t="str">
        <f t="shared" si="4"/>
        <v>ＪＦＥ条鋼:リバイブＨ１(特A)</v>
      </c>
    </row>
    <row r="2114" ht="15.75" customHeight="1">
      <c r="A2114" s="335" t="s">
        <v>3278</v>
      </c>
      <c r="B2114" s="336">
        <v>45841.0</v>
      </c>
      <c r="C2114" s="335" t="s">
        <v>28</v>
      </c>
      <c r="D2114" s="335" t="s">
        <v>52</v>
      </c>
      <c r="E2114" s="337" t="str">
        <f t="shared" si="1"/>
        <v>ＪＦＥ条鋼:リバイブ</v>
      </c>
      <c r="F2114" s="338" t="s">
        <v>116</v>
      </c>
      <c r="G2114" s="339" t="str">
        <f t="shared" si="2"/>
        <v>ＪＦＥ条鋼:リバイブＨ２(特級)</v>
      </c>
      <c r="H2114" s="340">
        <f t="shared" si="3"/>
        <v>38</v>
      </c>
      <c r="I2114" s="341">
        <v>-1.5</v>
      </c>
      <c r="J2114" s="332">
        <f>IFERROR(__xludf.DUMMYFUNCTION("IF(IF(COUNTIF(P$2:P2113, P2114)=0, """", INDEX(H$2:H2113,
MAX(FILTER(ROW(H$2:H2113) - ROW(H$2) + 1, P$2:P2113 = P2114))))=""単価"","""",
IF(COUNTIF(P$2:P2113, P2114)=0, """", INDEX(H$2:H2113,
MAX(FILTER(ROW(H$2:H2113) - ROW(H$2) + 1, P$2:P2113 = P2114)))))"),39.5)</f>
        <v>39.5</v>
      </c>
      <c r="N2114" s="335" t="str">
        <f>IF(MAXIFS('単価履歴'!$O:$O,'単価履歴'!$E:$E,E2114,'単価履歴'!$F:$F,F2114)=O2114,"●","")</f>
        <v/>
      </c>
      <c r="O2114" s="346">
        <v>45841.41780092593</v>
      </c>
      <c r="P2114" s="334" t="str">
        <f t="shared" si="4"/>
        <v>ＪＦＥ条鋼:リバイブＨ２(特級)</v>
      </c>
    </row>
    <row r="2115" ht="15.75" customHeight="1">
      <c r="A2115" s="335" t="s">
        <v>3279</v>
      </c>
      <c r="B2115" s="336">
        <v>45841.0</v>
      </c>
      <c r="C2115" s="335" t="s">
        <v>28</v>
      </c>
      <c r="D2115" s="335" t="s">
        <v>52</v>
      </c>
      <c r="E2115" s="337" t="str">
        <f t="shared" si="1"/>
        <v>ＪＦＥ条鋼:リバイブ</v>
      </c>
      <c r="F2115" s="338" t="s">
        <v>119</v>
      </c>
      <c r="G2115" s="339" t="str">
        <f t="shared" si="2"/>
        <v>ＪＦＥ条鋼:リバイブＨ３(1級)</v>
      </c>
      <c r="H2115" s="340">
        <f t="shared" si="3"/>
        <v>37</v>
      </c>
      <c r="I2115" s="341">
        <v>-1.5</v>
      </c>
      <c r="J2115" s="332">
        <f>IFERROR(__xludf.DUMMYFUNCTION("IF(IF(COUNTIF(P$2:P2114, P2115)=0, """", INDEX(H$2:H2114,
MAX(FILTER(ROW(H$2:H2114) - ROW(H$2) + 1, P$2:P2114 = P2115))))=""単価"","""",
IF(COUNTIF(P$2:P2114, P2115)=0, """", INDEX(H$2:H2114,
MAX(FILTER(ROW(H$2:H2114) - ROW(H$2) + 1, P$2:P2114 = P2115)))))"),38.5)</f>
        <v>38.5</v>
      </c>
      <c r="N2115" s="335" t="str">
        <f>IF(MAXIFS('単価履歴'!$O:$O,'単価履歴'!$E:$E,E2115,'単価履歴'!$F:$F,F2115)=O2115,"●","")</f>
        <v/>
      </c>
      <c r="O2115" s="346">
        <v>45841.41780092593</v>
      </c>
      <c r="P2115" s="334" t="str">
        <f t="shared" si="4"/>
        <v>ＪＦＥ条鋼:リバイブＨ３(1級)</v>
      </c>
    </row>
    <row r="2116" ht="15.75" customHeight="1">
      <c r="A2116" s="335" t="s">
        <v>3280</v>
      </c>
      <c r="B2116" s="336">
        <v>45841.0</v>
      </c>
      <c r="C2116" s="335" t="s">
        <v>28</v>
      </c>
      <c r="D2116" s="335" t="s">
        <v>52</v>
      </c>
      <c r="E2116" s="337" t="str">
        <f t="shared" si="1"/>
        <v>ＪＦＥ条鋼:リバイブ</v>
      </c>
      <c r="F2116" s="338" t="s">
        <v>122</v>
      </c>
      <c r="G2116" s="339" t="str">
        <f t="shared" si="2"/>
        <v>ＪＦＥ条鋼:リバイブＬ１(2級)</v>
      </c>
      <c r="H2116" s="340">
        <f t="shared" si="3"/>
        <v>33.8</v>
      </c>
      <c r="I2116" s="341">
        <v>-1.5</v>
      </c>
      <c r="J2116" s="332">
        <f>IFERROR(__xludf.DUMMYFUNCTION("IF(IF(COUNTIF(P$2:P2115, P2116)=0, """", INDEX(H$2:H2115,
MAX(FILTER(ROW(H$2:H2115) - ROW(H$2) + 1, P$2:P2115 = P2116))))=""単価"","""",
IF(COUNTIF(P$2:P2115, P2116)=0, """", INDEX(H$2:H2115,
MAX(FILTER(ROW(H$2:H2115) - ROW(H$2) + 1, P$2:P2115 = P2116)))))"),35.3)</f>
        <v>35.3</v>
      </c>
      <c r="N2116" s="335" t="str">
        <f>IF(MAXIFS('単価履歴'!$O:$O,'単価履歴'!$E:$E,E2116,'単価履歴'!$F:$F,F2116)=O2116,"●","")</f>
        <v/>
      </c>
      <c r="O2116" s="346">
        <v>45841.41780092593</v>
      </c>
      <c r="P2116" s="334" t="str">
        <f t="shared" si="4"/>
        <v>ＪＦＥ条鋼:リバイブＬ１(2級)</v>
      </c>
    </row>
    <row r="2117" ht="15.75" customHeight="1">
      <c r="A2117" s="335" t="s">
        <v>3281</v>
      </c>
      <c r="B2117" s="336">
        <v>45841.0</v>
      </c>
      <c r="C2117" s="335" t="s">
        <v>28</v>
      </c>
      <c r="D2117" s="335" t="s">
        <v>52</v>
      </c>
      <c r="E2117" s="337" t="str">
        <f t="shared" si="1"/>
        <v>ＪＦＥ条鋼:リバイブ</v>
      </c>
      <c r="F2117" s="338" t="s">
        <v>573</v>
      </c>
      <c r="G2117" s="339" t="str">
        <f t="shared" si="2"/>
        <v>ＪＦＥ条鋼:リバイブＬ２(H4･級外･L1ﾊﾞﾗ)</v>
      </c>
      <c r="H2117" s="340">
        <f t="shared" si="3"/>
        <v>37.9</v>
      </c>
      <c r="I2117" s="341">
        <v>-1.5</v>
      </c>
      <c r="J2117" s="332">
        <f>IFERROR(__xludf.DUMMYFUNCTION("IF(IF(COUNTIF(P$2:P2116, P2117)=0, """", INDEX(H$2:H2116,
MAX(FILTER(ROW(H$2:H2116) - ROW(H$2) + 1, P$2:P2116 = P2117))))=""単価"","""",
IF(COUNTIF(P$2:P2116, P2117)=0, """", INDEX(H$2:H2116,
MAX(FILTER(ROW(H$2:H2116) - ROW(H$2) + 1, P$2:P2116 = P2117)))))"),39.4)</f>
        <v>39.4</v>
      </c>
      <c r="N2117" s="335" t="str">
        <f>IF(MAXIFS('単価履歴'!$O:$O,'単価履歴'!$E:$E,E2117,'単価履歴'!$F:$F,F2117)=O2117,"●","")</f>
        <v/>
      </c>
      <c r="O2117" s="346">
        <v>45841.41780092593</v>
      </c>
      <c r="P2117" s="334" t="str">
        <f t="shared" si="4"/>
        <v>ＪＦＥ条鋼:リバイブＬ２(H4･級外･L1ﾊﾞﾗ)</v>
      </c>
    </row>
    <row r="2118" ht="15.75" customHeight="1">
      <c r="A2118" s="335" t="s">
        <v>3282</v>
      </c>
      <c r="B2118" s="336">
        <v>45841.0</v>
      </c>
      <c r="C2118" s="335" t="s">
        <v>28</v>
      </c>
      <c r="D2118" s="335" t="s">
        <v>52</v>
      </c>
      <c r="E2118" s="337" t="str">
        <f t="shared" si="1"/>
        <v>ＪＦＥ条鋼:リバイブ</v>
      </c>
      <c r="F2118" s="338" t="s">
        <v>130</v>
      </c>
      <c r="G2118" s="339" t="str">
        <f t="shared" si="2"/>
        <v>ＪＦＥ条鋼:リバイブ新断Ａ</v>
      </c>
      <c r="H2118" s="340">
        <f t="shared" si="3"/>
        <v>43.5</v>
      </c>
      <c r="I2118" s="341">
        <v>-1.0</v>
      </c>
      <c r="J2118" s="332">
        <f>IFERROR(__xludf.DUMMYFUNCTION("IF(IF(COUNTIF(P$2:P2117, P2118)=0, """", INDEX(H$2:H2117,
MAX(FILTER(ROW(H$2:H2117) - ROW(H$2) + 1, P$2:P2117 = P2118))))=""単価"","""",
IF(COUNTIF(P$2:P2117, P2118)=0, """", INDEX(H$2:H2117,
MAX(FILTER(ROW(H$2:H2117) - ROW(H$2) + 1, P$2:P2117 = P2118)))))"),44.5)</f>
        <v>44.5</v>
      </c>
      <c r="N2118" s="335" t="str">
        <f>IF(MAXIFS('単価履歴'!$O:$O,'単価履歴'!$E:$E,E2118,'単価履歴'!$F:$F,F2118)=O2118,"●","")</f>
        <v/>
      </c>
      <c r="O2118" s="346">
        <v>45841.418495370366</v>
      </c>
      <c r="P2118" s="334" t="str">
        <f t="shared" si="4"/>
        <v>ＪＦＥ条鋼:リバイブ新断Ａ</v>
      </c>
    </row>
    <row r="2119" ht="15.75" customHeight="1">
      <c r="A2119" s="335" t="s">
        <v>3283</v>
      </c>
      <c r="B2119" s="336">
        <v>45841.0</v>
      </c>
      <c r="C2119" s="335" t="s">
        <v>28</v>
      </c>
      <c r="D2119" s="335" t="s">
        <v>52</v>
      </c>
      <c r="E2119" s="337" t="str">
        <f t="shared" si="1"/>
        <v>ＪＦＥ条鋼:リバイブ</v>
      </c>
      <c r="F2119" s="338" t="s">
        <v>131</v>
      </c>
      <c r="G2119" s="339" t="str">
        <f t="shared" si="2"/>
        <v>ＪＦＥ条鋼:リバイブ新断Ｂ</v>
      </c>
      <c r="H2119" s="340">
        <f t="shared" si="3"/>
        <v>42.5</v>
      </c>
      <c r="I2119" s="341">
        <v>-1.0</v>
      </c>
      <c r="J2119" s="332">
        <f>IFERROR(__xludf.DUMMYFUNCTION("IF(IF(COUNTIF(P$2:P2118, P2119)=0, """", INDEX(H$2:H2118,
MAX(FILTER(ROW(H$2:H2118) - ROW(H$2) + 1, P$2:P2118 = P2119))))=""単価"","""",
IF(COUNTIF(P$2:P2118, P2119)=0, """", INDEX(H$2:H2118,
MAX(FILTER(ROW(H$2:H2118) - ROW(H$2) + 1, P$2:P2118 = P2119)))))"),43.5)</f>
        <v>43.5</v>
      </c>
      <c r="N2119" s="335" t="str">
        <f>IF(MAXIFS('単価履歴'!$O:$O,'単価履歴'!$E:$E,E2119,'単価履歴'!$F:$F,F2119)=O2119,"●","")</f>
        <v/>
      </c>
      <c r="O2119" s="346">
        <v>45841.418495370366</v>
      </c>
      <c r="P2119" s="334" t="str">
        <f t="shared" si="4"/>
        <v>ＪＦＥ条鋼:リバイブ新断Ｂ</v>
      </c>
    </row>
    <row r="2120" ht="15.75" customHeight="1">
      <c r="A2120" s="335" t="s">
        <v>3284</v>
      </c>
      <c r="B2120" s="336">
        <v>45841.0</v>
      </c>
      <c r="C2120" s="335" t="s">
        <v>28</v>
      </c>
      <c r="D2120" s="335" t="s">
        <v>52</v>
      </c>
      <c r="E2120" s="337" t="str">
        <f t="shared" si="1"/>
        <v>ＪＦＥ条鋼:リバイブ</v>
      </c>
      <c r="F2120" s="338" t="s">
        <v>575</v>
      </c>
      <c r="G2120" s="339" t="str">
        <f t="shared" si="2"/>
        <v>ＪＦＥ条鋼:リバイブ鋼ダライＡ</v>
      </c>
      <c r="H2120" s="340">
        <f t="shared" si="3"/>
        <v>37.5</v>
      </c>
      <c r="I2120" s="341">
        <v>-0.5</v>
      </c>
      <c r="J2120" s="332">
        <f>IFERROR(__xludf.DUMMYFUNCTION("IF(IF(COUNTIF(P$2:P2119, P2120)=0, """", INDEX(H$2:H2119,
MAX(FILTER(ROW(H$2:H2119) - ROW(H$2) + 1, P$2:P2119 = P2120))))=""単価"","""",
IF(COUNTIF(P$2:P2119, P2120)=0, """", INDEX(H$2:H2119,
MAX(FILTER(ROW(H$2:H2119) - ROW(H$2) + 1, P$2:P2119 = P2120)))))"),38.0)</f>
        <v>38</v>
      </c>
      <c r="N2120" s="335" t="str">
        <f>IF(MAXIFS('単価履歴'!$O:$O,'単価履歴'!$E:$E,E2120,'単価履歴'!$F:$F,F2120)=O2120,"●","")</f>
        <v/>
      </c>
      <c r="O2120" s="346">
        <v>45841.41890046296</v>
      </c>
      <c r="P2120" s="334" t="str">
        <f t="shared" si="4"/>
        <v>ＪＦＥ条鋼:リバイブ鋼ダライＡ</v>
      </c>
    </row>
    <row r="2121" ht="15.75" customHeight="1">
      <c r="A2121" s="335" t="s">
        <v>3285</v>
      </c>
      <c r="B2121" s="336">
        <v>45841.0</v>
      </c>
      <c r="C2121" s="335" t="s">
        <v>28</v>
      </c>
      <c r="D2121" s="335" t="s">
        <v>52</v>
      </c>
      <c r="E2121" s="337" t="str">
        <f t="shared" si="1"/>
        <v>ＪＦＥ条鋼:リバイブ</v>
      </c>
      <c r="F2121" s="338" t="s">
        <v>154</v>
      </c>
      <c r="G2121" s="339" t="str">
        <f t="shared" si="2"/>
        <v>ＪＦＥ条鋼:リバイブＣＰ Ａ</v>
      </c>
      <c r="H2121" s="340">
        <f t="shared" si="3"/>
        <v>42.5</v>
      </c>
      <c r="I2121" s="341">
        <v>-0.5</v>
      </c>
      <c r="J2121" s="332">
        <f>IFERROR(__xludf.DUMMYFUNCTION("IF(IF(COUNTIF(P$2:P2120, P2121)=0, """", INDEX(H$2:H2120,
MAX(FILTER(ROW(H$2:H2120) - ROW(H$2) + 1, P$2:P2120 = P2121))))=""単価"","""",
IF(COUNTIF(P$2:P2120, P2121)=0, """", INDEX(H$2:H2120,
MAX(FILTER(ROW(H$2:H2120) - ROW(H$2) + 1, P$2:P2120 = P2121)))))"),43.0)</f>
        <v>43</v>
      </c>
      <c r="N2121" s="335" t="str">
        <f>IF(MAXIFS('単価履歴'!$O:$O,'単価履歴'!$E:$E,E2121,'単価履歴'!$F:$F,F2121)=O2121,"●","")</f>
        <v/>
      </c>
      <c r="O2121" s="346">
        <v>45841.41890046296</v>
      </c>
      <c r="P2121" s="334" t="str">
        <f t="shared" si="4"/>
        <v>ＪＦＥ条鋼:リバイブＣＰ Ａ</v>
      </c>
    </row>
    <row r="2122" ht="15.75" customHeight="1">
      <c r="A2122" s="335" t="s">
        <v>3286</v>
      </c>
      <c r="B2122" s="336">
        <v>45839.0</v>
      </c>
      <c r="C2122" s="335" t="s">
        <v>28</v>
      </c>
      <c r="D2122" s="335" t="s">
        <v>52</v>
      </c>
      <c r="E2122" s="337" t="str">
        <f t="shared" si="1"/>
        <v>ＪＦＥ条鋼:リバイブ</v>
      </c>
      <c r="F2122" s="338" t="s">
        <v>111</v>
      </c>
      <c r="G2122" s="339" t="str">
        <f t="shared" si="2"/>
        <v>ＪＦＥ条鋼:リバイブＨ１(特A)</v>
      </c>
      <c r="H2122" s="340">
        <f t="shared" si="3"/>
        <v>38.5</v>
      </c>
      <c r="I2122" s="341">
        <v>-0.5</v>
      </c>
      <c r="J2122" s="332">
        <f>IFERROR(__xludf.DUMMYFUNCTION("IF(IF(COUNTIF(P$2:P2121, P2122)=0, """", INDEX(H$2:H2121,
MAX(FILTER(ROW(H$2:H2121) - ROW(H$2) + 1, P$2:P2121 = P2122))))=""単価"","""",
IF(COUNTIF(P$2:P2121, P2122)=0, """", INDEX(H$2:H2121,
MAX(FILTER(ROW(H$2:H2121) - ROW(H$2) + 1, P$2:P2121 = P2122)))))"),39.0)</f>
        <v>39</v>
      </c>
      <c r="N2122" s="335" t="str">
        <f>IF(MAXIFS('単価履歴'!$O:$O,'単価履歴'!$E:$E,E2122,'単価履歴'!$F:$F,F2122)=O2122,"●","")</f>
        <v/>
      </c>
      <c r="O2122" s="346">
        <v>45841.598553240736</v>
      </c>
      <c r="P2122" s="334" t="str">
        <f t="shared" si="4"/>
        <v>ＪＦＥ条鋼:リバイブＨ１(特A)</v>
      </c>
    </row>
    <row r="2123" ht="15.75" customHeight="1">
      <c r="A2123" s="335" t="s">
        <v>3287</v>
      </c>
      <c r="B2123" s="336">
        <v>45842.0</v>
      </c>
      <c r="C2123" s="335" t="s">
        <v>12</v>
      </c>
      <c r="D2123" s="335" t="s">
        <v>53</v>
      </c>
      <c r="E2123" s="337" t="str">
        <f t="shared" si="1"/>
        <v>山陽特殊:MM</v>
      </c>
      <c r="F2123" s="338" t="s">
        <v>1199</v>
      </c>
      <c r="G2123" s="339" t="str">
        <f t="shared" si="2"/>
        <v>山陽特殊:MMＨＳ１(単体H1/電特A/HS))</v>
      </c>
      <c r="H2123" s="340">
        <f t="shared" si="3"/>
        <v>46</v>
      </c>
      <c r="I2123" s="341">
        <v>-0.5</v>
      </c>
      <c r="J2123" s="332">
        <f>IFERROR(__xludf.DUMMYFUNCTION("IF(IF(COUNTIF(P$2:P2122, P2123)=0, """", INDEX(H$2:H2122,
MAX(FILTER(ROW(H$2:H2122) - ROW(H$2) + 1, P$2:P2122 = P2123))))=""単価"","""",
IF(COUNTIF(P$2:P2122, P2123)=0, """", INDEX(H$2:H2122,
MAX(FILTER(ROW(H$2:H2122) - ROW(H$2) + 1, P$2:P2122 = P2123)))))"),46.5)</f>
        <v>46.5</v>
      </c>
      <c r="N2123" s="335" t="str">
        <f>IF(MAXIFS('単価履歴'!$O:$O,'単価履歴'!$E:$E,E2123,'単価履歴'!$F:$F,F2123)=O2123,"●","")</f>
        <v/>
      </c>
      <c r="O2123" s="346">
        <v>45842.264710648145</v>
      </c>
      <c r="P2123" s="334" t="str">
        <f t="shared" si="4"/>
        <v>山陽特殊:MMＨＳ１(単体H1/電特A/HS))</v>
      </c>
    </row>
    <row r="2124" ht="15.75" customHeight="1">
      <c r="A2124" s="335" t="s">
        <v>3288</v>
      </c>
      <c r="B2124" s="336">
        <v>45842.0</v>
      </c>
      <c r="C2124" s="335" t="s">
        <v>12</v>
      </c>
      <c r="D2124" s="335" t="s">
        <v>53</v>
      </c>
      <c r="E2124" s="337" t="str">
        <f t="shared" si="1"/>
        <v>山陽特殊:MM</v>
      </c>
      <c r="F2124" s="338" t="s">
        <v>101</v>
      </c>
      <c r="G2124" s="339" t="str">
        <f t="shared" si="2"/>
        <v>山陽特殊:MMＨＳ２</v>
      </c>
      <c r="H2124" s="340">
        <f t="shared" si="3"/>
        <v>45.8</v>
      </c>
      <c r="I2124" s="341">
        <v>-0.5</v>
      </c>
      <c r="J2124" s="332">
        <f>IFERROR(__xludf.DUMMYFUNCTION("IF(IF(COUNTIF(P$2:P2123, P2124)=0, """", INDEX(H$2:H2123,
MAX(FILTER(ROW(H$2:H2123) - ROW(H$2) + 1, P$2:P2123 = P2124))))=""単価"","""",
IF(COUNTIF(P$2:P2123, P2124)=0, """", INDEX(H$2:H2123,
MAX(FILTER(ROW(H$2:H2123) - ROW(H$2) + 1, P$2:P2123 = P2124)))))"),46.3)</f>
        <v>46.3</v>
      </c>
      <c r="N2124" s="335" t="str">
        <f>IF(MAXIFS('単価履歴'!$O:$O,'単価履歴'!$E:$E,E2124,'単価履歴'!$F:$F,F2124)=O2124,"●","")</f>
        <v/>
      </c>
      <c r="O2124" s="346">
        <v>45842.264710648145</v>
      </c>
      <c r="P2124" s="334" t="str">
        <f t="shared" si="4"/>
        <v>山陽特殊:MMＨＳ２</v>
      </c>
    </row>
    <row r="2125" ht="15.75" customHeight="1">
      <c r="A2125" s="335" t="s">
        <v>3289</v>
      </c>
      <c r="B2125" s="336">
        <v>45842.0</v>
      </c>
      <c r="C2125" s="335" t="s">
        <v>12</v>
      </c>
      <c r="D2125" s="335" t="s">
        <v>53</v>
      </c>
      <c r="E2125" s="337" t="str">
        <f t="shared" si="1"/>
        <v>山陽特殊:MM</v>
      </c>
      <c r="F2125" s="338" t="s">
        <v>105</v>
      </c>
      <c r="G2125" s="339" t="str">
        <f t="shared" si="2"/>
        <v>山陽特殊:MMＨＳ３</v>
      </c>
      <c r="H2125" s="340">
        <f t="shared" si="3"/>
        <v>43.8</v>
      </c>
      <c r="I2125" s="341">
        <v>-0.5</v>
      </c>
      <c r="J2125" s="332">
        <f>IFERROR(__xludf.DUMMYFUNCTION("IF(IF(COUNTIF(P$2:P2124, P2125)=0, """", INDEX(H$2:H2124,
MAX(FILTER(ROW(H$2:H2124) - ROW(H$2) + 1, P$2:P2124 = P2125))))=""単価"","""",
IF(COUNTIF(P$2:P2124, P2125)=0, """", INDEX(H$2:H2124,
MAX(FILTER(ROW(H$2:H2124) - ROW(H$2) + 1, P$2:P2124 = P2125)))))"),44.3)</f>
        <v>44.3</v>
      </c>
      <c r="N2125" s="335" t="str">
        <f>IF(MAXIFS('単価履歴'!$O:$O,'単価履歴'!$E:$E,E2125,'単価履歴'!$F:$F,F2125)=O2125,"●","")</f>
        <v/>
      </c>
      <c r="O2125" s="346">
        <v>45842.264710648145</v>
      </c>
      <c r="P2125" s="334" t="str">
        <f t="shared" si="4"/>
        <v>山陽特殊:MMＨＳ３</v>
      </c>
    </row>
    <row r="2126" ht="15.75" customHeight="1">
      <c r="A2126" s="335" t="s">
        <v>3290</v>
      </c>
      <c r="B2126" s="336">
        <v>45842.0</v>
      </c>
      <c r="C2126" s="335" t="s">
        <v>12</v>
      </c>
      <c r="D2126" s="335" t="s">
        <v>53</v>
      </c>
      <c r="E2126" s="337" t="str">
        <f t="shared" si="1"/>
        <v>山陽特殊:MM</v>
      </c>
      <c r="F2126" s="338" t="s">
        <v>122</v>
      </c>
      <c r="G2126" s="339" t="str">
        <f t="shared" si="2"/>
        <v>山陽特殊:MMＬ１(2級)</v>
      </c>
      <c r="H2126" s="340">
        <f t="shared" si="3"/>
        <v>1.5</v>
      </c>
      <c r="I2126" s="341">
        <v>-0.5</v>
      </c>
      <c r="J2126" s="332">
        <f>IFERROR(__xludf.DUMMYFUNCTION("IF(IF(COUNTIF(P$2:P2125, P2126)=0, """", INDEX(H$2:H2125,
MAX(FILTER(ROW(H$2:H2125) - ROW(H$2) + 1, P$2:P2125 = P2126))))=""単価"","""",
IF(COUNTIF(P$2:P2125, P2126)=0, """", INDEX(H$2:H2125,
MAX(FILTER(ROW(H$2:H2125) - ROW(H$2) + 1, P$2:P2125 = P2126)))))"),2.0)</f>
        <v>2</v>
      </c>
      <c r="N2126" s="335" t="str">
        <f>IF(MAXIFS('単価履歴'!$O:$O,'単価履歴'!$E:$E,E2126,'単価履歴'!$F:$F,F2126)=O2126,"●","")</f>
        <v/>
      </c>
      <c r="O2126" s="346">
        <v>45842.264710648145</v>
      </c>
      <c r="P2126" s="334" t="str">
        <f t="shared" si="4"/>
        <v>山陽特殊:MMＬ１(2級)</v>
      </c>
    </row>
    <row r="2127" ht="15.75" customHeight="1">
      <c r="A2127" s="335" t="s">
        <v>3291</v>
      </c>
      <c r="B2127" s="336">
        <v>45842.0</v>
      </c>
      <c r="C2127" s="335" t="s">
        <v>12</v>
      </c>
      <c r="D2127" s="335" t="s">
        <v>53</v>
      </c>
      <c r="E2127" s="337" t="str">
        <f t="shared" si="1"/>
        <v>山陽特殊:MM</v>
      </c>
      <c r="F2127" s="338" t="s">
        <v>130</v>
      </c>
      <c r="G2127" s="339" t="str">
        <f t="shared" si="2"/>
        <v>山陽特殊:MM新断Ａ</v>
      </c>
      <c r="H2127" s="340">
        <f t="shared" si="3"/>
        <v>45</v>
      </c>
      <c r="I2127" s="341">
        <v>-0.5</v>
      </c>
      <c r="J2127" s="332">
        <f>IFERROR(__xludf.DUMMYFUNCTION("IF(IF(COUNTIF(P$2:P2126, P2127)=0, """", INDEX(H$2:H2126,
MAX(FILTER(ROW(H$2:H2126) - ROW(H$2) + 1, P$2:P2126 = P2127))))=""単価"","""",
IF(COUNTIF(P$2:P2126, P2127)=0, """", INDEX(H$2:H2126,
MAX(FILTER(ROW(H$2:H2126) - ROW(H$2) + 1, P$2:P2126 = P2127)))))"),45.5)</f>
        <v>45.5</v>
      </c>
      <c r="N2127" s="335" t="str">
        <f>IF(MAXIFS('単価履歴'!$O:$O,'単価履歴'!$E:$E,E2127,'単価履歴'!$F:$F,F2127)=O2127,"●","")</f>
        <v/>
      </c>
      <c r="O2127" s="346">
        <v>45842.264710648145</v>
      </c>
      <c r="P2127" s="334" t="str">
        <f t="shared" si="4"/>
        <v>山陽特殊:MM新断Ａ</v>
      </c>
    </row>
    <row r="2128" ht="15.75" customHeight="1">
      <c r="A2128" s="335" t="s">
        <v>3292</v>
      </c>
      <c r="B2128" s="336">
        <v>45842.0</v>
      </c>
      <c r="C2128" s="335" t="s">
        <v>12</v>
      </c>
      <c r="D2128" s="335" t="s">
        <v>53</v>
      </c>
      <c r="E2128" s="337" t="str">
        <f t="shared" si="1"/>
        <v>山陽特殊:MM</v>
      </c>
      <c r="F2128" s="338" t="s">
        <v>131</v>
      </c>
      <c r="G2128" s="339" t="str">
        <f t="shared" si="2"/>
        <v>山陽特殊:MM新断Ｂ</v>
      </c>
      <c r="H2128" s="340">
        <f t="shared" si="3"/>
        <v>44</v>
      </c>
      <c r="I2128" s="341">
        <v>-0.5</v>
      </c>
      <c r="J2128" s="332">
        <f>IFERROR(__xludf.DUMMYFUNCTION("IF(IF(COUNTIF(P$2:P2127, P2128)=0, """", INDEX(H$2:H2127,
MAX(FILTER(ROW(H$2:H2127) - ROW(H$2) + 1, P$2:P2127 = P2128))))=""単価"","""",
IF(COUNTIF(P$2:P2127, P2128)=0, """", INDEX(H$2:H2127,
MAX(FILTER(ROW(H$2:H2127) - ROW(H$2) + 1, P$2:P2127 = P2128)))))"),44.5)</f>
        <v>44.5</v>
      </c>
      <c r="N2128" s="335" t="str">
        <f>IF(MAXIFS('単価履歴'!$O:$O,'単価履歴'!$E:$E,E2128,'単価履歴'!$F:$F,F2128)=O2128,"●","")</f>
        <v/>
      </c>
      <c r="O2128" s="346">
        <v>45842.264710648145</v>
      </c>
      <c r="P2128" s="334" t="str">
        <f t="shared" si="4"/>
        <v>山陽特殊:MM新断Ｂ</v>
      </c>
    </row>
    <row r="2129" ht="15.75" customHeight="1">
      <c r="A2129" s="335" t="s">
        <v>3293</v>
      </c>
      <c r="B2129" s="336">
        <v>45842.0</v>
      </c>
      <c r="C2129" s="335" t="s">
        <v>12</v>
      </c>
      <c r="D2129" s="335" t="s">
        <v>53</v>
      </c>
      <c r="E2129" s="337" t="str">
        <f t="shared" si="1"/>
        <v>山陽特殊:MM</v>
      </c>
      <c r="F2129" s="338" t="s">
        <v>574</v>
      </c>
      <c r="G2129" s="339" t="str">
        <f t="shared" si="2"/>
        <v>山陽特殊:MM新断Ｃ</v>
      </c>
      <c r="H2129" s="340">
        <f t="shared" si="3"/>
        <v>41.2</v>
      </c>
      <c r="I2129" s="341">
        <v>-0.5</v>
      </c>
      <c r="J2129" s="332">
        <f>IFERROR(__xludf.DUMMYFUNCTION("IF(IF(COUNTIF(P$2:P2128, P2129)=0, """", INDEX(H$2:H2128,
MAX(FILTER(ROW(H$2:H2128) - ROW(H$2) + 1, P$2:P2128 = P2129))))=""単価"","""",
IF(COUNTIF(P$2:P2128, P2129)=0, """", INDEX(H$2:H2128,
MAX(FILTER(ROW(H$2:H2128) - ROW(H$2) + 1, P$2:P2128 = P2129)))))"),41.699999999999996)</f>
        <v>41.7</v>
      </c>
      <c r="N2129" s="335" t="str">
        <f>IF(MAXIFS('単価履歴'!$O:$O,'単価履歴'!$E:$E,E2129,'単価履歴'!$F:$F,F2129)=O2129,"●","")</f>
        <v/>
      </c>
      <c r="O2129" s="346">
        <v>45842.264710648145</v>
      </c>
      <c r="P2129" s="334" t="str">
        <f t="shared" si="4"/>
        <v>山陽特殊:MM新断Ｃ</v>
      </c>
    </row>
    <row r="2130" ht="15.75" customHeight="1">
      <c r="A2130" s="335" t="s">
        <v>3294</v>
      </c>
      <c r="B2130" s="336">
        <v>45842.0</v>
      </c>
      <c r="C2130" s="335" t="s">
        <v>14</v>
      </c>
      <c r="D2130" s="335" t="s">
        <v>46</v>
      </c>
      <c r="E2130" s="337" t="str">
        <f t="shared" si="1"/>
        <v>愛知:阪和</v>
      </c>
      <c r="F2130" s="338" t="s">
        <v>1199</v>
      </c>
      <c r="G2130" s="339" t="str">
        <f t="shared" si="2"/>
        <v>愛知:阪和ＨＳ１(単体H1/電特A/HS))</v>
      </c>
      <c r="H2130" s="340">
        <f t="shared" si="3"/>
        <v>42.7</v>
      </c>
      <c r="I2130" s="341">
        <v>-0.5</v>
      </c>
      <c r="J2130" s="332">
        <f>IFERROR(__xludf.DUMMYFUNCTION("IF(IF(COUNTIF(P$2:P2129, P2130)=0, """", INDEX(H$2:H2129,
MAX(FILTER(ROW(H$2:H2129) - ROW(H$2) + 1, P$2:P2129 = P2130))))=""単価"","""",
IF(COUNTIF(P$2:P2129, P2130)=0, """", INDEX(H$2:H2129,
MAX(FILTER(ROW(H$2:H2129) - ROW(H$2) + 1, P$2:P2129 = P2130)))))"),43.2)</f>
        <v>43.2</v>
      </c>
      <c r="N2130" s="335" t="str">
        <f>IF(MAXIFS('単価履歴'!$O:$O,'単価履歴'!$E:$E,E2130,'単価履歴'!$F:$F,F2130)=O2130,"●","")</f>
        <v/>
      </c>
      <c r="O2130" s="346">
        <v>45842.26567129629</v>
      </c>
      <c r="P2130" s="334" t="str">
        <f t="shared" si="4"/>
        <v>愛知:阪和ＨＳ１(単体H1/電特A/HS))</v>
      </c>
    </row>
    <row r="2131" ht="15.75" customHeight="1">
      <c r="A2131" s="335" t="s">
        <v>3295</v>
      </c>
      <c r="B2131" s="336">
        <v>45842.0</v>
      </c>
      <c r="C2131" s="335" t="s">
        <v>14</v>
      </c>
      <c r="D2131" s="335" t="s">
        <v>46</v>
      </c>
      <c r="E2131" s="337" t="str">
        <f t="shared" si="1"/>
        <v>愛知:阪和</v>
      </c>
      <c r="F2131" s="338" t="s">
        <v>101</v>
      </c>
      <c r="G2131" s="339" t="str">
        <f t="shared" si="2"/>
        <v>愛知:阪和ＨＳ２</v>
      </c>
      <c r="H2131" s="340">
        <f t="shared" si="3"/>
        <v>42.2</v>
      </c>
      <c r="I2131" s="341">
        <v>-0.5</v>
      </c>
      <c r="J2131" s="332">
        <f>IFERROR(__xludf.DUMMYFUNCTION("IF(IF(COUNTIF(P$2:P2130, P2131)=0, """", INDEX(H$2:H2130,
MAX(FILTER(ROW(H$2:H2130) - ROW(H$2) + 1, P$2:P2130 = P2131))))=""単価"","""",
IF(COUNTIF(P$2:P2130, P2131)=0, """", INDEX(H$2:H2130,
MAX(FILTER(ROW(H$2:H2130) - ROW(H$2) + 1, P$2:P2130 = P2131)))))"),42.7)</f>
        <v>42.7</v>
      </c>
      <c r="N2131" s="335" t="str">
        <f>IF(MAXIFS('単価履歴'!$O:$O,'単価履歴'!$E:$E,E2131,'単価履歴'!$F:$F,F2131)=O2131,"●","")</f>
        <v/>
      </c>
      <c r="O2131" s="346">
        <v>45842.26567129629</v>
      </c>
      <c r="P2131" s="334" t="str">
        <f t="shared" si="4"/>
        <v>愛知:阪和ＨＳ２</v>
      </c>
    </row>
    <row r="2132" ht="15.75" customHeight="1">
      <c r="A2132" s="335" t="s">
        <v>3296</v>
      </c>
      <c r="B2132" s="336">
        <v>45842.0</v>
      </c>
      <c r="C2132" s="335" t="s">
        <v>14</v>
      </c>
      <c r="D2132" s="335" t="s">
        <v>46</v>
      </c>
      <c r="E2132" s="337" t="str">
        <f t="shared" si="1"/>
        <v>愛知:阪和</v>
      </c>
      <c r="F2132" s="338" t="s">
        <v>111</v>
      </c>
      <c r="G2132" s="339" t="str">
        <f t="shared" si="2"/>
        <v>愛知:阪和Ｈ１(特A)</v>
      </c>
      <c r="H2132" s="340">
        <f t="shared" si="3"/>
        <v>37.7</v>
      </c>
      <c r="I2132" s="341">
        <v>-0.5</v>
      </c>
      <c r="J2132" s="332">
        <f>IFERROR(__xludf.DUMMYFUNCTION("IF(IF(COUNTIF(P$2:P2131, P2132)=0, """", INDEX(H$2:H2131,
MAX(FILTER(ROW(H$2:H2131) - ROW(H$2) + 1, P$2:P2131 = P2132))))=""単価"","""",
IF(COUNTIF(P$2:P2131, P2132)=0, """", INDEX(H$2:H2131,
MAX(FILTER(ROW(H$2:H2131) - ROW(H$2) + 1, P$2:P2131 = P2132)))))"),38.2)</f>
        <v>38.2</v>
      </c>
      <c r="N2132" s="335" t="str">
        <f>IF(MAXIFS('単価履歴'!$O:$O,'単価履歴'!$E:$E,E2132,'単価履歴'!$F:$F,F2132)=O2132,"●","")</f>
        <v/>
      </c>
      <c r="O2132" s="346">
        <v>45842.26567129629</v>
      </c>
      <c r="P2132" s="334" t="str">
        <f t="shared" si="4"/>
        <v>愛知:阪和Ｈ１(特A)</v>
      </c>
    </row>
    <row r="2133" ht="15.75" customHeight="1">
      <c r="A2133" s="335" t="s">
        <v>3297</v>
      </c>
      <c r="B2133" s="336">
        <v>45842.0</v>
      </c>
      <c r="C2133" s="335" t="s">
        <v>14</v>
      </c>
      <c r="D2133" s="335" t="s">
        <v>46</v>
      </c>
      <c r="E2133" s="337" t="str">
        <f t="shared" si="1"/>
        <v>愛知:阪和</v>
      </c>
      <c r="F2133" s="338" t="s">
        <v>116</v>
      </c>
      <c r="G2133" s="339" t="str">
        <f t="shared" si="2"/>
        <v>愛知:阪和Ｈ２(特級)</v>
      </c>
      <c r="H2133" s="340">
        <f t="shared" si="3"/>
        <v>37.2</v>
      </c>
      <c r="I2133" s="341">
        <v>-0.5</v>
      </c>
      <c r="J2133" s="332">
        <f>IFERROR(__xludf.DUMMYFUNCTION("IF(IF(COUNTIF(P$2:P2132, P2133)=0, """", INDEX(H$2:H2132,
MAX(FILTER(ROW(H$2:H2132) - ROW(H$2) + 1, P$2:P2132 = P2133))))=""単価"","""",
IF(COUNTIF(P$2:P2132, P2133)=0, """", INDEX(H$2:H2132,
MAX(FILTER(ROW(H$2:H2132) - ROW(H$2) + 1, P$2:P2132 = P2133)))))"),37.7)</f>
        <v>37.7</v>
      </c>
      <c r="N2133" s="335" t="str">
        <f>IF(MAXIFS('単価履歴'!$O:$O,'単価履歴'!$E:$E,E2133,'単価履歴'!$F:$F,F2133)=O2133,"●","")</f>
        <v/>
      </c>
      <c r="O2133" s="346">
        <v>45842.26567129629</v>
      </c>
      <c r="P2133" s="334" t="str">
        <f t="shared" si="4"/>
        <v>愛知:阪和Ｈ２(特級)</v>
      </c>
    </row>
    <row r="2134" ht="15.75" customHeight="1">
      <c r="A2134" s="335" t="s">
        <v>3298</v>
      </c>
      <c r="B2134" s="336">
        <v>45842.0</v>
      </c>
      <c r="C2134" s="335" t="s">
        <v>14</v>
      </c>
      <c r="D2134" s="335" t="s">
        <v>46</v>
      </c>
      <c r="E2134" s="337" t="str">
        <f t="shared" si="1"/>
        <v>愛知:阪和</v>
      </c>
      <c r="F2134" s="338" t="s">
        <v>119</v>
      </c>
      <c r="G2134" s="339" t="str">
        <f t="shared" si="2"/>
        <v>愛知:阪和Ｈ３(1級)</v>
      </c>
      <c r="H2134" s="340">
        <f t="shared" si="3"/>
        <v>36.2</v>
      </c>
      <c r="I2134" s="341">
        <v>-0.5</v>
      </c>
      <c r="J2134" s="332">
        <f>IFERROR(__xludf.DUMMYFUNCTION("IF(IF(COUNTIF(P$2:P2133, P2134)=0, """", INDEX(H$2:H2133,
MAX(FILTER(ROW(H$2:H2133) - ROW(H$2) + 1, P$2:P2133 = P2134))))=""単価"","""",
IF(COUNTIF(P$2:P2133, P2134)=0, """", INDEX(H$2:H2133,
MAX(FILTER(ROW(H$2:H2133) - ROW(H$2) + 1, P$2:P2133 = P2134)))))"),36.7)</f>
        <v>36.7</v>
      </c>
      <c r="N2134" s="335" t="str">
        <f>IF(MAXIFS('単価履歴'!$O:$O,'単価履歴'!$E:$E,E2134,'単価履歴'!$F:$F,F2134)=O2134,"●","")</f>
        <v/>
      </c>
      <c r="O2134" s="346">
        <v>45842.26567129629</v>
      </c>
      <c r="P2134" s="334" t="str">
        <f t="shared" si="4"/>
        <v>愛知:阪和Ｈ３(1級)</v>
      </c>
    </row>
    <row r="2135" ht="15.75" customHeight="1">
      <c r="A2135" s="335" t="s">
        <v>3299</v>
      </c>
      <c r="B2135" s="336">
        <v>45842.0</v>
      </c>
      <c r="C2135" s="335" t="s">
        <v>14</v>
      </c>
      <c r="D2135" s="335" t="s">
        <v>46</v>
      </c>
      <c r="E2135" s="337" t="str">
        <f t="shared" si="1"/>
        <v>愛知:阪和</v>
      </c>
      <c r="F2135" s="338" t="s">
        <v>573</v>
      </c>
      <c r="G2135" s="339" t="str">
        <f t="shared" si="2"/>
        <v>愛知:阪和Ｌ２(H4･級外･L1ﾊﾞﾗ)</v>
      </c>
      <c r="H2135" s="340">
        <f t="shared" si="3"/>
        <v>32.8</v>
      </c>
      <c r="I2135" s="341">
        <v>-0.5</v>
      </c>
      <c r="J2135" s="332">
        <f>IFERROR(__xludf.DUMMYFUNCTION("IF(IF(COUNTIF(P$2:P2134, P2135)=0, """", INDEX(H$2:H2134,
MAX(FILTER(ROW(H$2:H2134) - ROW(H$2) + 1, P$2:P2134 = P2135))))=""単価"","""",
IF(COUNTIF(P$2:P2134, P2135)=0, """", INDEX(H$2:H2134,
MAX(FILTER(ROW(H$2:H2134) - ROW(H$2) + 1, P$2:P2134 = P2135)))))"),33.3)</f>
        <v>33.3</v>
      </c>
      <c r="N2135" s="335" t="str">
        <f>IF(MAXIFS('単価履歴'!$O:$O,'単価履歴'!$E:$E,E2135,'単価履歴'!$F:$F,F2135)=O2135,"●","")</f>
        <v/>
      </c>
      <c r="O2135" s="346">
        <v>45842.26567129629</v>
      </c>
      <c r="P2135" s="334" t="str">
        <f t="shared" si="4"/>
        <v>愛知:阪和Ｌ２(H4･級外･L1ﾊﾞﾗ)</v>
      </c>
    </row>
    <row r="2136" ht="15.75" customHeight="1">
      <c r="A2136" s="335" t="s">
        <v>3300</v>
      </c>
      <c r="B2136" s="336">
        <v>45842.0</v>
      </c>
      <c r="C2136" s="335" t="s">
        <v>14</v>
      </c>
      <c r="D2136" s="335" t="s">
        <v>46</v>
      </c>
      <c r="E2136" s="337" t="str">
        <f t="shared" si="1"/>
        <v>愛知:阪和</v>
      </c>
      <c r="F2136" s="338" t="s">
        <v>130</v>
      </c>
      <c r="G2136" s="339" t="str">
        <f t="shared" si="2"/>
        <v>愛知:阪和新断Ａ</v>
      </c>
      <c r="H2136" s="340">
        <f t="shared" si="3"/>
        <v>43</v>
      </c>
      <c r="I2136" s="341">
        <v>-0.5</v>
      </c>
      <c r="J2136" s="332">
        <f>IFERROR(__xludf.DUMMYFUNCTION("IF(IF(COUNTIF(P$2:P2135, P2136)=0, """", INDEX(H$2:H2135,
MAX(FILTER(ROW(H$2:H2135) - ROW(H$2) + 1, P$2:P2135 = P2136))))=""単価"","""",
IF(COUNTIF(P$2:P2135, P2136)=0, """", INDEX(H$2:H2135,
MAX(FILTER(ROW(H$2:H2135) - ROW(H$2) + 1, P$2:P2135 = P2136)))))"),43.5)</f>
        <v>43.5</v>
      </c>
      <c r="N2136" s="335" t="str">
        <f>IF(MAXIFS('単価履歴'!$O:$O,'単価履歴'!$E:$E,E2136,'単価履歴'!$F:$F,F2136)=O2136,"●","")</f>
        <v/>
      </c>
      <c r="O2136" s="346">
        <v>45842.26567129629</v>
      </c>
      <c r="P2136" s="334" t="str">
        <f t="shared" si="4"/>
        <v>愛知:阪和新断Ａ</v>
      </c>
    </row>
    <row r="2137" ht="15.75" customHeight="1">
      <c r="A2137" s="335" t="s">
        <v>3301</v>
      </c>
      <c r="B2137" s="336">
        <v>45842.0</v>
      </c>
      <c r="C2137" s="335" t="s">
        <v>14</v>
      </c>
      <c r="D2137" s="335" t="s">
        <v>46</v>
      </c>
      <c r="E2137" s="337" t="str">
        <f t="shared" si="1"/>
        <v>愛知:阪和</v>
      </c>
      <c r="F2137" s="338" t="s">
        <v>131</v>
      </c>
      <c r="G2137" s="339" t="str">
        <f t="shared" si="2"/>
        <v>愛知:阪和新断Ｂ</v>
      </c>
      <c r="H2137" s="340">
        <f t="shared" si="3"/>
        <v>42</v>
      </c>
      <c r="I2137" s="341">
        <v>-0.5</v>
      </c>
      <c r="J2137" s="332">
        <f>IFERROR(__xludf.DUMMYFUNCTION("IF(IF(COUNTIF(P$2:P2136, P2137)=0, """", INDEX(H$2:H2136,
MAX(FILTER(ROW(H$2:H2136) - ROW(H$2) + 1, P$2:P2136 = P2137))))=""単価"","""",
IF(COUNTIF(P$2:P2136, P2137)=0, """", INDEX(H$2:H2136,
MAX(FILTER(ROW(H$2:H2136) - ROW(H$2) + 1, P$2:P2136 = P2137)))))"),42.5)</f>
        <v>42.5</v>
      </c>
      <c r="N2137" s="335" t="str">
        <f>IF(MAXIFS('単価履歴'!$O:$O,'単価履歴'!$E:$E,E2137,'単価履歴'!$F:$F,F2137)=O2137,"●","")</f>
        <v/>
      </c>
      <c r="O2137" s="346">
        <v>45842.26567129629</v>
      </c>
      <c r="P2137" s="334" t="str">
        <f t="shared" si="4"/>
        <v>愛知:阪和新断Ｂ</v>
      </c>
    </row>
    <row r="2138" ht="15.75" customHeight="1">
      <c r="A2138" s="335" t="s">
        <v>3302</v>
      </c>
      <c r="B2138" s="336">
        <v>45842.0</v>
      </c>
      <c r="C2138" s="335" t="s">
        <v>14</v>
      </c>
      <c r="D2138" s="335" t="s">
        <v>46</v>
      </c>
      <c r="E2138" s="337" t="str">
        <f t="shared" si="1"/>
        <v>愛知:阪和</v>
      </c>
      <c r="F2138" s="338" t="s">
        <v>145</v>
      </c>
      <c r="G2138" s="339" t="str">
        <f t="shared" si="2"/>
        <v>愛知:阪和シュレＡ</v>
      </c>
      <c r="H2138" s="340">
        <f t="shared" si="3"/>
        <v>43</v>
      </c>
      <c r="I2138" s="341">
        <v>-0.5</v>
      </c>
      <c r="J2138" s="332">
        <f>IFERROR(__xludf.DUMMYFUNCTION("IF(IF(COUNTIF(P$2:P2137, P2138)=0, """", INDEX(H$2:H2137,
MAX(FILTER(ROW(H$2:H2137) - ROW(H$2) + 1, P$2:P2137 = P2138))))=""単価"","""",
IF(COUNTIF(P$2:P2137, P2138)=0, """", INDEX(H$2:H2137,
MAX(FILTER(ROW(H$2:H2137) - ROW(H$2) + 1, P$2:P2137 = P2138)))))"),43.5)</f>
        <v>43.5</v>
      </c>
      <c r="N2138" s="335" t="str">
        <f>IF(MAXIFS('単価履歴'!$O:$O,'単価履歴'!$E:$E,E2138,'単価履歴'!$F:$F,F2138)=O2138,"●","")</f>
        <v/>
      </c>
      <c r="O2138" s="346">
        <v>45842.26567129629</v>
      </c>
      <c r="P2138" s="334" t="str">
        <f t="shared" si="4"/>
        <v>愛知:阪和シュレＡ</v>
      </c>
    </row>
    <row r="2139" ht="15.75" customHeight="1">
      <c r="A2139" s="335" t="s">
        <v>3303</v>
      </c>
      <c r="B2139" s="336">
        <v>45842.0</v>
      </c>
      <c r="C2139" s="335" t="s">
        <v>15</v>
      </c>
      <c r="D2139" s="335" t="s">
        <v>58</v>
      </c>
      <c r="E2139" s="337" t="str">
        <f t="shared" si="1"/>
        <v>山口鋼業:MM建材</v>
      </c>
      <c r="F2139" s="338" t="s">
        <v>1199</v>
      </c>
      <c r="G2139" s="339" t="str">
        <f t="shared" si="2"/>
        <v>山口鋼業:MM建材ＨＳ１(単体H1/電特A/HS))</v>
      </c>
      <c r="H2139" s="340">
        <f t="shared" si="3"/>
        <v>39.5</v>
      </c>
      <c r="I2139" s="341">
        <v>-0.5</v>
      </c>
      <c r="J2139" s="332">
        <f>IFERROR(__xludf.DUMMYFUNCTION("IF(IF(COUNTIF(P$2:P2138, P2139)=0, """", INDEX(H$2:H2138,
MAX(FILTER(ROW(H$2:H2138) - ROW(H$2) + 1, P$2:P2138 = P2139))))=""単価"","""",
IF(COUNTIF(P$2:P2138, P2139)=0, """", INDEX(H$2:H2138,
MAX(FILTER(ROW(H$2:H2138) - ROW(H$2) + 1, P$2:P2138 = P2139)))))"),40.0)</f>
        <v>40</v>
      </c>
      <c r="N2139" s="335" t="str">
        <f>IF(MAXIFS('単価履歴'!$O:$O,'単価履歴'!$E:$E,E2139,'単価履歴'!$F:$F,F2139)=O2139,"●","")</f>
        <v/>
      </c>
      <c r="O2139" s="346">
        <v>45842.26590277778</v>
      </c>
      <c r="P2139" s="334" t="str">
        <f t="shared" si="4"/>
        <v>山口鋼業:MM建材ＨＳ１(単体H1/電特A/HS))</v>
      </c>
    </row>
    <row r="2140" ht="15.75" customHeight="1">
      <c r="A2140" s="335" t="s">
        <v>3304</v>
      </c>
      <c r="B2140" s="336">
        <v>45842.0</v>
      </c>
      <c r="C2140" s="335" t="s">
        <v>15</v>
      </c>
      <c r="D2140" s="335" t="s">
        <v>58</v>
      </c>
      <c r="E2140" s="337" t="str">
        <f t="shared" si="1"/>
        <v>山口鋼業:MM建材</v>
      </c>
      <c r="F2140" s="338" t="s">
        <v>1237</v>
      </c>
      <c r="G2140" s="339" t="str">
        <f t="shared" si="2"/>
        <v>山口鋼業:MM建材ＪＨ１(H2T山口)鍛造ﾊﾞﾘ</v>
      </c>
      <c r="H2140" s="340">
        <f t="shared" si="3"/>
        <v>39</v>
      </c>
      <c r="I2140" s="341">
        <v>-0.5</v>
      </c>
      <c r="J2140" s="332">
        <f>IFERROR(__xludf.DUMMYFUNCTION("IF(IF(COUNTIF(P$2:P2139, P2140)=0, """", INDEX(H$2:H2139,
MAX(FILTER(ROW(H$2:H2139) - ROW(H$2) + 1, P$2:P2139 = P2140))))=""単価"","""",
IF(COUNTIF(P$2:P2139, P2140)=0, """", INDEX(H$2:H2139,
MAX(FILTER(ROW(H$2:H2139) - ROW(H$2) + 1, P$2:P2139 = P2140)))))"),39.5)</f>
        <v>39.5</v>
      </c>
      <c r="N2140" s="335" t="str">
        <f>IF(MAXIFS('単価履歴'!$O:$O,'単価履歴'!$E:$E,E2140,'単価履歴'!$F:$F,F2140)=O2140,"●","")</f>
        <v/>
      </c>
      <c r="O2140" s="346">
        <v>45842.26590277778</v>
      </c>
      <c r="P2140" s="334" t="str">
        <f t="shared" si="4"/>
        <v>山口鋼業:MM建材ＪＨ１(H2T山口)鍛造ﾊﾞﾘ</v>
      </c>
    </row>
    <row r="2141" ht="15.75" customHeight="1">
      <c r="A2141" s="335" t="s">
        <v>3305</v>
      </c>
      <c r="B2141" s="336">
        <v>45842.0</v>
      </c>
      <c r="C2141" s="335" t="s">
        <v>15</v>
      </c>
      <c r="D2141" s="335" t="s">
        <v>58</v>
      </c>
      <c r="E2141" s="337" t="str">
        <f t="shared" si="1"/>
        <v>山口鋼業:MM建材</v>
      </c>
      <c r="F2141" s="338" t="s">
        <v>116</v>
      </c>
      <c r="G2141" s="339" t="str">
        <f t="shared" si="2"/>
        <v>山口鋼業:MM建材Ｈ２(特級)</v>
      </c>
      <c r="H2141" s="340">
        <f t="shared" si="3"/>
        <v>38</v>
      </c>
      <c r="I2141" s="341">
        <v>-0.5</v>
      </c>
      <c r="J2141" s="332">
        <f>IFERROR(__xludf.DUMMYFUNCTION("IF(IF(COUNTIF(P$2:P2140, P2141)=0, """", INDEX(H$2:H2140,
MAX(FILTER(ROW(H$2:H2140) - ROW(H$2) + 1, P$2:P2140 = P2141))))=""単価"","""",
IF(COUNTIF(P$2:P2140, P2141)=0, """", INDEX(H$2:H2140,
MAX(FILTER(ROW(H$2:H2140) - ROW(H$2) + 1, P$2:P2140 = P2141)))))"),38.5)</f>
        <v>38.5</v>
      </c>
      <c r="N2141" s="335" t="str">
        <f>IF(MAXIFS('単価履歴'!$O:$O,'単価履歴'!$E:$E,E2141,'単価履歴'!$F:$F,F2141)=O2141,"●","")</f>
        <v/>
      </c>
      <c r="O2141" s="346">
        <v>45842.26590277778</v>
      </c>
      <c r="P2141" s="334" t="str">
        <f t="shared" si="4"/>
        <v>山口鋼業:MM建材Ｈ２(特級)</v>
      </c>
    </row>
    <row r="2142" ht="15.75" customHeight="1">
      <c r="A2142" s="335" t="s">
        <v>3306</v>
      </c>
      <c r="B2142" s="336">
        <v>45842.0</v>
      </c>
      <c r="C2142" s="335" t="s">
        <v>15</v>
      </c>
      <c r="D2142" s="335" t="s">
        <v>58</v>
      </c>
      <c r="E2142" s="337" t="str">
        <f t="shared" si="1"/>
        <v>山口鋼業:MM建材</v>
      </c>
      <c r="F2142" s="338" t="s">
        <v>119</v>
      </c>
      <c r="G2142" s="339" t="str">
        <f t="shared" si="2"/>
        <v>山口鋼業:MM建材Ｈ３(1級)</v>
      </c>
      <c r="H2142" s="340">
        <f t="shared" si="3"/>
        <v>37</v>
      </c>
      <c r="I2142" s="341">
        <v>-0.5</v>
      </c>
      <c r="J2142" s="332">
        <f>IFERROR(__xludf.DUMMYFUNCTION("IF(IF(COUNTIF(P$2:P2141, P2142)=0, """", INDEX(H$2:H2141,
MAX(FILTER(ROW(H$2:H2141) - ROW(H$2) + 1, P$2:P2141 = P2142))))=""単価"","""",
IF(COUNTIF(P$2:P2141, P2142)=0, """", INDEX(H$2:H2141,
MAX(FILTER(ROW(H$2:H2141) - ROW(H$2) + 1, P$2:P2141 = P2142)))))"),37.5)</f>
        <v>37.5</v>
      </c>
      <c r="N2142" s="335" t="str">
        <f>IF(MAXIFS('単価履歴'!$O:$O,'単価履歴'!$E:$E,E2142,'単価履歴'!$F:$F,F2142)=O2142,"●","")</f>
        <v/>
      </c>
      <c r="O2142" s="346">
        <v>45842.26590277778</v>
      </c>
      <c r="P2142" s="334" t="str">
        <f t="shared" si="4"/>
        <v>山口鋼業:MM建材Ｈ３(1級)</v>
      </c>
    </row>
    <row r="2143" ht="15.75" customHeight="1">
      <c r="A2143" s="335" t="s">
        <v>3307</v>
      </c>
      <c r="B2143" s="336">
        <v>45842.0</v>
      </c>
      <c r="C2143" s="335" t="s">
        <v>15</v>
      </c>
      <c r="D2143" s="335" t="s">
        <v>58</v>
      </c>
      <c r="E2143" s="337" t="str">
        <f t="shared" si="1"/>
        <v>山口鋼業:MM建材</v>
      </c>
      <c r="F2143" s="338" t="s">
        <v>573</v>
      </c>
      <c r="G2143" s="339" t="str">
        <f t="shared" si="2"/>
        <v>山口鋼業:MM建材Ｌ２(H4･級外･L1ﾊﾞﾗ)</v>
      </c>
      <c r="H2143" s="340">
        <f t="shared" si="3"/>
        <v>35.5</v>
      </c>
      <c r="I2143" s="341">
        <v>-0.5</v>
      </c>
      <c r="J2143" s="332">
        <f>IFERROR(__xludf.DUMMYFUNCTION("IF(IF(COUNTIF(P$2:P2142, P2143)=0, """", INDEX(H$2:H2142,
MAX(FILTER(ROW(H$2:H2142) - ROW(H$2) + 1, P$2:P2142 = P2143))))=""単価"","""",
IF(COUNTIF(P$2:P2142, P2143)=0, """", INDEX(H$2:H2142,
MAX(FILTER(ROW(H$2:H2142) - ROW(H$2) + 1, P$2:P2142 = P2143)))))"),36.0)</f>
        <v>36</v>
      </c>
      <c r="N2143" s="335" t="str">
        <f>IF(MAXIFS('単価履歴'!$O:$O,'単価履歴'!$E:$E,E2143,'単価履歴'!$F:$F,F2143)=O2143,"●","")</f>
        <v/>
      </c>
      <c r="O2143" s="346">
        <v>45842.26590277778</v>
      </c>
      <c r="P2143" s="334" t="str">
        <f t="shared" si="4"/>
        <v>山口鋼業:MM建材Ｌ２(H4･級外･L1ﾊﾞﾗ)</v>
      </c>
    </row>
    <row r="2144" ht="15.75" customHeight="1">
      <c r="A2144" s="335" t="s">
        <v>3308</v>
      </c>
      <c r="B2144" s="336">
        <v>45842.0</v>
      </c>
      <c r="C2144" s="335" t="s">
        <v>15</v>
      </c>
      <c r="D2144" s="335" t="s">
        <v>58</v>
      </c>
      <c r="E2144" s="337" t="str">
        <f t="shared" si="1"/>
        <v>山口鋼業:MM建材</v>
      </c>
      <c r="F2144" s="338" t="s">
        <v>575</v>
      </c>
      <c r="G2144" s="339" t="str">
        <f t="shared" si="2"/>
        <v>山口鋼業:MM建材鋼ダライＡ</v>
      </c>
      <c r="H2144" s="340">
        <f t="shared" si="3"/>
        <v>35.6</v>
      </c>
      <c r="I2144" s="341">
        <v>-0.5</v>
      </c>
      <c r="J2144" s="332">
        <f>IFERROR(__xludf.DUMMYFUNCTION("IF(IF(COUNTIF(P$2:P2143, P2144)=0, """", INDEX(H$2:H2143,
MAX(FILTER(ROW(H$2:H2143) - ROW(H$2) + 1, P$2:P2143 = P2144))))=""単価"","""",
IF(COUNTIF(P$2:P2143, P2144)=0, """", INDEX(H$2:H2143,
MAX(FILTER(ROW(H$2:H2143) - ROW(H$2) + 1, P$2:P2143 = P2144)))))"),36.1)</f>
        <v>36.1</v>
      </c>
      <c r="N2144" s="335" t="str">
        <f>IF(MAXIFS('単価履歴'!$O:$O,'単価履歴'!$E:$E,E2144,'単価履歴'!$F:$F,F2144)=O2144,"●","")</f>
        <v/>
      </c>
      <c r="O2144" s="346">
        <v>45842.26590277778</v>
      </c>
      <c r="P2144" s="334" t="str">
        <f t="shared" si="4"/>
        <v>山口鋼業:MM建材鋼ダライＡ</v>
      </c>
    </row>
    <row r="2145" ht="15.75" customHeight="1">
      <c r="A2145" s="335" t="s">
        <v>3309</v>
      </c>
      <c r="B2145" s="336">
        <v>45842.0</v>
      </c>
      <c r="C2145" s="335" t="s">
        <v>15</v>
      </c>
      <c r="D2145" s="335" t="s">
        <v>58</v>
      </c>
      <c r="E2145" s="337" t="str">
        <f t="shared" si="1"/>
        <v>山口鋼業:MM建材</v>
      </c>
      <c r="F2145" s="338" t="s">
        <v>577</v>
      </c>
      <c r="G2145" s="339" t="str">
        <f t="shared" si="2"/>
        <v>山口鋼業:MM建材鋳物・ﾀﾞｸﾀｲﾙ</v>
      </c>
      <c r="H2145" s="340">
        <f t="shared" si="3"/>
        <v>39.5</v>
      </c>
      <c r="I2145" s="341">
        <v>-0.5</v>
      </c>
      <c r="J2145" s="332">
        <f>IFERROR(__xludf.DUMMYFUNCTION("IF(IF(COUNTIF(P$2:P2144, P2145)=0, """", INDEX(H$2:H2144,
MAX(FILTER(ROW(H$2:H2144) - ROW(H$2) + 1, P$2:P2144 = P2145))))=""単価"","""",
IF(COUNTIF(P$2:P2144, P2145)=0, """", INDEX(H$2:H2144,
MAX(FILTER(ROW(H$2:H2144) - ROW(H$2) + 1, P$2:P2144 = P2145)))))"),40.0)</f>
        <v>40</v>
      </c>
      <c r="N2145" s="335" t="str">
        <f>IF(MAXIFS('単価履歴'!$O:$O,'単価履歴'!$E:$E,E2145,'単価履歴'!$F:$F,F2145)=O2145,"●","")</f>
        <v/>
      </c>
      <c r="O2145" s="346">
        <v>45842.26590277778</v>
      </c>
      <c r="P2145" s="334" t="str">
        <f t="shared" si="4"/>
        <v>山口鋼業:MM建材鋳物・ﾀﾞｸﾀｲﾙ</v>
      </c>
    </row>
    <row r="2146" ht="15.75" customHeight="1">
      <c r="A2146" s="335"/>
      <c r="B2146" s="336"/>
      <c r="C2146" s="335"/>
      <c r="D2146" s="335"/>
      <c r="E2146" s="337" t="str">
        <f t="shared" si="1"/>
        <v>:</v>
      </c>
      <c r="F2146" s="338"/>
      <c r="G2146" s="339" t="str">
        <f t="shared" si="2"/>
        <v>:</v>
      </c>
      <c r="H2146" s="340">
        <f t="shared" si="3"/>
        <v>0</v>
      </c>
      <c r="I2146" s="341"/>
      <c r="J2146" s="332">
        <f>IFERROR(__xludf.DUMMYFUNCTION("IF(IF(COUNTIF(P$2:P2145, P2146)=0, """", INDEX(H$2:H2145,
MAX(FILTER(ROW(H$2:H2145) - ROW(H$2) + 1, P$2:P2145 = P2146))))=""単価"","""",
IF(COUNTIF(P$2:P2145, P2146)=0, """", INDEX(H$2:H2145,
MAX(FILTER(ROW(H$2:H2145) - ROW(H$2) + 1, P$2:P2145 = P2146)))))"),0.0)</f>
        <v>0</v>
      </c>
      <c r="N2146" s="335" t="str">
        <f>IF(MAXIFS('単価履歴'!$O:$O,'単価履歴'!$E:$E,E2146,'単価履歴'!$F:$F,F2146)=O2146,"●","")</f>
        <v>●</v>
      </c>
      <c r="O2146" s="346"/>
      <c r="P2146" s="334" t="str">
        <f t="shared" si="4"/>
        <v>:</v>
      </c>
    </row>
    <row r="2147" ht="15.75" customHeight="1">
      <c r="A2147" s="335" t="s">
        <v>3310</v>
      </c>
      <c r="B2147" s="336">
        <v>45842.0</v>
      </c>
      <c r="C2147" s="335" t="s">
        <v>15</v>
      </c>
      <c r="D2147" s="335" t="s">
        <v>46</v>
      </c>
      <c r="E2147" s="337" t="str">
        <f t="shared" si="1"/>
        <v>山口鋼業:阪和</v>
      </c>
      <c r="F2147" s="338" t="s">
        <v>1199</v>
      </c>
      <c r="G2147" s="339" t="str">
        <f t="shared" si="2"/>
        <v>山口鋼業:阪和ＨＳ１(単体H1/電特A/HS))</v>
      </c>
      <c r="H2147" s="340">
        <f t="shared" si="3"/>
        <v>41</v>
      </c>
      <c r="I2147" s="341">
        <v>-0.5</v>
      </c>
      <c r="J2147" s="332">
        <f>IFERROR(__xludf.DUMMYFUNCTION("IF(IF(COUNTIF(P$2:P2146, P2147)=0, """", INDEX(H$2:H2146,
MAX(FILTER(ROW(H$2:H2146) - ROW(H$2) + 1, P$2:P2146 = P2147))))=""単価"","""",
IF(COUNTIF(P$2:P2146, P2147)=0, """", INDEX(H$2:H2146,
MAX(FILTER(ROW(H$2:H2146) - ROW(H$2) + 1, P$2:P2146 = P2147)))))"),41.5)</f>
        <v>41.5</v>
      </c>
      <c r="N2147" s="335" t="str">
        <f>IF(MAXIFS('単価履歴'!$O:$O,'単価履歴'!$E:$E,E2147,'単価履歴'!$F:$F,F2147)=O2147,"●","")</f>
        <v/>
      </c>
      <c r="O2147" s="346">
        <v>45842.26590277778</v>
      </c>
      <c r="P2147" s="334" t="str">
        <f t="shared" si="4"/>
        <v>山口鋼業:阪和ＨＳ１(単体H1/電特A/HS))</v>
      </c>
    </row>
    <row r="2148" ht="15.75" customHeight="1">
      <c r="A2148" s="335"/>
      <c r="B2148" s="336"/>
      <c r="C2148" s="335"/>
      <c r="D2148" s="335"/>
      <c r="E2148" s="337" t="str">
        <f t="shared" si="1"/>
        <v>:</v>
      </c>
      <c r="F2148" s="338"/>
      <c r="G2148" s="339" t="str">
        <f t="shared" si="2"/>
        <v>:</v>
      </c>
      <c r="H2148" s="340">
        <f t="shared" si="3"/>
        <v>0</v>
      </c>
      <c r="I2148" s="341"/>
      <c r="J2148" s="332">
        <f>IFERROR(__xludf.DUMMYFUNCTION("IF(IF(COUNTIF(P$2:P2147, P2148)=0, """", INDEX(H$2:H2147,
MAX(FILTER(ROW(H$2:H2147) - ROW(H$2) + 1, P$2:P2147 = P2148))))=""単価"","""",
IF(COUNTIF(P$2:P2147, P2148)=0, """", INDEX(H$2:H2147,
MAX(FILTER(ROW(H$2:H2147) - ROW(H$2) + 1, P$2:P2147 = P2148)))))"),0.0)</f>
        <v>0</v>
      </c>
      <c r="N2148" s="335" t="str">
        <f>IF(MAXIFS('単価履歴'!$O:$O,'単価履歴'!$E:$E,E2148,'単価履歴'!$F:$F,F2148)=O2148,"●","")</f>
        <v>●</v>
      </c>
      <c r="O2148" s="346"/>
      <c r="P2148" s="334" t="str">
        <f t="shared" si="4"/>
        <v>:</v>
      </c>
    </row>
    <row r="2149" ht="15.75" customHeight="1">
      <c r="A2149" s="335" t="s">
        <v>3311</v>
      </c>
      <c r="B2149" s="336">
        <v>45842.0</v>
      </c>
      <c r="C2149" s="335" t="s">
        <v>15</v>
      </c>
      <c r="D2149" s="335" t="s">
        <v>46</v>
      </c>
      <c r="E2149" s="337" t="str">
        <f t="shared" si="1"/>
        <v>山口鋼業:阪和</v>
      </c>
      <c r="F2149" s="338" t="s">
        <v>116</v>
      </c>
      <c r="G2149" s="339" t="str">
        <f t="shared" si="2"/>
        <v>山口鋼業:阪和Ｈ２(特級)</v>
      </c>
      <c r="H2149" s="340">
        <f t="shared" si="3"/>
        <v>39</v>
      </c>
      <c r="I2149" s="341">
        <v>-0.5</v>
      </c>
      <c r="J2149" s="332">
        <f>IFERROR(__xludf.DUMMYFUNCTION("IF(IF(COUNTIF(P$2:P2148, P2149)=0, """", INDEX(H$2:H2148,
MAX(FILTER(ROW(H$2:H2148) - ROW(H$2) + 1, P$2:P2148 = P2149))))=""単価"","""",
IF(COUNTIF(P$2:P2148, P2149)=0, """", INDEX(H$2:H2148,
MAX(FILTER(ROW(H$2:H2148) - ROW(H$2) + 1, P$2:P2148 = P2149)))))"),39.5)</f>
        <v>39.5</v>
      </c>
      <c r="N2149" s="335" t="str">
        <f>IF(MAXIFS('単価履歴'!$O:$O,'単価履歴'!$E:$E,E2149,'単価履歴'!$F:$F,F2149)=O2149,"●","")</f>
        <v/>
      </c>
      <c r="O2149" s="346">
        <v>45842.26590277778</v>
      </c>
      <c r="P2149" s="334" t="str">
        <f t="shared" si="4"/>
        <v>山口鋼業:阪和Ｈ２(特級)</v>
      </c>
    </row>
    <row r="2150" ht="15.75" customHeight="1">
      <c r="A2150" s="335" t="s">
        <v>3312</v>
      </c>
      <c r="B2150" s="336">
        <v>45842.0</v>
      </c>
      <c r="C2150" s="335" t="s">
        <v>15</v>
      </c>
      <c r="D2150" s="335" t="s">
        <v>46</v>
      </c>
      <c r="E2150" s="337" t="str">
        <f t="shared" si="1"/>
        <v>山口鋼業:阪和</v>
      </c>
      <c r="F2150" s="338" t="s">
        <v>119</v>
      </c>
      <c r="G2150" s="339" t="str">
        <f t="shared" si="2"/>
        <v>山口鋼業:阪和Ｈ３(1級)</v>
      </c>
      <c r="H2150" s="340">
        <f t="shared" si="3"/>
        <v>38</v>
      </c>
      <c r="I2150" s="341">
        <v>-0.5</v>
      </c>
      <c r="J2150" s="332">
        <f>IFERROR(__xludf.DUMMYFUNCTION("IF(IF(COUNTIF(P$2:P2149, P2150)=0, """", INDEX(H$2:H2149,
MAX(FILTER(ROW(H$2:H2149) - ROW(H$2) + 1, P$2:P2149 = P2150))))=""単価"","""",
IF(COUNTIF(P$2:P2149, P2150)=0, """", INDEX(H$2:H2149,
MAX(FILTER(ROW(H$2:H2149) - ROW(H$2) + 1, P$2:P2149 = P2150)))))"),38.5)</f>
        <v>38.5</v>
      </c>
      <c r="N2150" s="335" t="str">
        <f>IF(MAXIFS('単価履歴'!$O:$O,'単価履歴'!$E:$E,E2150,'単価履歴'!$F:$F,F2150)=O2150,"●","")</f>
        <v/>
      </c>
      <c r="O2150" s="346">
        <v>45842.26590277778</v>
      </c>
      <c r="P2150" s="334" t="str">
        <f t="shared" si="4"/>
        <v>山口鋼業:阪和Ｈ３(1級)</v>
      </c>
    </row>
    <row r="2151" ht="15.75" customHeight="1">
      <c r="A2151" s="335" t="s">
        <v>3313</v>
      </c>
      <c r="B2151" s="336">
        <v>45842.0</v>
      </c>
      <c r="C2151" s="335" t="s">
        <v>15</v>
      </c>
      <c r="D2151" s="335" t="s">
        <v>46</v>
      </c>
      <c r="E2151" s="337" t="str">
        <f t="shared" si="1"/>
        <v>山口鋼業:阪和</v>
      </c>
      <c r="F2151" s="338" t="s">
        <v>573</v>
      </c>
      <c r="G2151" s="339" t="str">
        <f t="shared" si="2"/>
        <v>山口鋼業:阪和Ｌ２(H4･級外･L1ﾊﾞﾗ)</v>
      </c>
      <c r="H2151" s="340">
        <f t="shared" si="3"/>
        <v>36.5</v>
      </c>
      <c r="I2151" s="341">
        <v>-0.5</v>
      </c>
      <c r="J2151" s="332">
        <f>IFERROR(__xludf.DUMMYFUNCTION("IF(IF(COUNTIF(P$2:P2150, P2151)=0, """", INDEX(H$2:H2150,
MAX(FILTER(ROW(H$2:H2150) - ROW(H$2) + 1, P$2:P2150 = P2151))))=""単価"","""",
IF(COUNTIF(P$2:P2150, P2151)=0, """", INDEX(H$2:H2150,
MAX(FILTER(ROW(H$2:H2150) - ROW(H$2) + 1, P$2:P2150 = P2151)))))"),37.0)</f>
        <v>37</v>
      </c>
      <c r="N2151" s="335" t="str">
        <f>IF(MAXIFS('単価履歴'!$O:$O,'単価履歴'!$E:$E,E2151,'単価履歴'!$F:$F,F2151)=O2151,"●","")</f>
        <v/>
      </c>
      <c r="O2151" s="346">
        <v>45842.26590277778</v>
      </c>
      <c r="P2151" s="334" t="str">
        <f t="shared" si="4"/>
        <v>山口鋼業:阪和Ｌ２(H4･級外･L1ﾊﾞﾗ)</v>
      </c>
    </row>
    <row r="2152" ht="15.75" customHeight="1">
      <c r="A2152" s="335"/>
      <c r="B2152" s="336"/>
      <c r="C2152" s="335"/>
      <c r="D2152" s="335"/>
      <c r="E2152" s="337" t="str">
        <f t="shared" si="1"/>
        <v>:</v>
      </c>
      <c r="F2152" s="338"/>
      <c r="G2152" s="339" t="str">
        <f t="shared" si="2"/>
        <v>:</v>
      </c>
      <c r="H2152" s="340">
        <f t="shared" si="3"/>
        <v>0</v>
      </c>
      <c r="I2152" s="341"/>
      <c r="J2152" s="332">
        <f>IFERROR(__xludf.DUMMYFUNCTION("IF(IF(COUNTIF(P$2:P2151, P2152)=0, """", INDEX(H$2:H2151,
MAX(FILTER(ROW(H$2:H2151) - ROW(H$2) + 1, P$2:P2151 = P2152))))=""単価"","""",
IF(COUNTIF(P$2:P2151, P2152)=0, """", INDEX(H$2:H2151,
MAX(FILTER(ROW(H$2:H2151) - ROW(H$2) + 1, P$2:P2151 = P2152)))))"),0.0)</f>
        <v>0</v>
      </c>
      <c r="N2152" s="335" t="str">
        <f>IF(MAXIFS('単価履歴'!$O:$O,'単価履歴'!$E:$E,E2152,'単価履歴'!$F:$F,F2152)=O2152,"●","")</f>
        <v>●</v>
      </c>
      <c r="O2152" s="346"/>
      <c r="P2152" s="334" t="str">
        <f t="shared" si="4"/>
        <v>:</v>
      </c>
    </row>
    <row r="2153" ht="15.75" customHeight="1">
      <c r="A2153" s="335"/>
      <c r="B2153" s="336"/>
      <c r="C2153" s="335"/>
      <c r="D2153" s="335"/>
      <c r="E2153" s="337" t="str">
        <f t="shared" si="1"/>
        <v>:</v>
      </c>
      <c r="F2153" s="338"/>
      <c r="G2153" s="339" t="str">
        <f t="shared" si="2"/>
        <v>:</v>
      </c>
      <c r="H2153" s="340">
        <f t="shared" si="3"/>
        <v>0</v>
      </c>
      <c r="I2153" s="341"/>
      <c r="J2153" s="332">
        <f>IFERROR(__xludf.DUMMYFUNCTION("IF(IF(COUNTIF(P$2:P2152, P2153)=0, """", INDEX(H$2:H2152,
MAX(FILTER(ROW(H$2:H2152) - ROW(H$2) + 1, P$2:P2152 = P2153))))=""単価"","""",
IF(COUNTIF(P$2:P2152, P2153)=0, """", INDEX(H$2:H2152,
MAX(FILTER(ROW(H$2:H2152) - ROW(H$2) + 1, P$2:P2152 = P2153)))))"),0.0)</f>
        <v>0</v>
      </c>
      <c r="N2153" s="335" t="str">
        <f>IF(MAXIFS('単価履歴'!$O:$O,'単価履歴'!$E:$E,E2153,'単価履歴'!$F:$F,F2153)=O2153,"●","")</f>
        <v>●</v>
      </c>
      <c r="O2153" s="346"/>
      <c r="P2153" s="334" t="str">
        <f t="shared" si="4"/>
        <v>:</v>
      </c>
    </row>
    <row r="2154" ht="15.75" customHeight="1">
      <c r="A2154" s="335" t="s">
        <v>3314</v>
      </c>
      <c r="B2154" s="336">
        <v>45842.0</v>
      </c>
      <c r="C2154" s="335" t="s">
        <v>15</v>
      </c>
      <c r="D2154" s="335" t="s">
        <v>46</v>
      </c>
      <c r="E2154" s="337" t="str">
        <f t="shared" si="1"/>
        <v>山口鋼業:阪和</v>
      </c>
      <c r="F2154" s="338" t="s">
        <v>111</v>
      </c>
      <c r="G2154" s="339" t="str">
        <f t="shared" si="2"/>
        <v>山口鋼業:阪和Ｈ１(特A)</v>
      </c>
      <c r="H2154" s="340">
        <f t="shared" si="3"/>
        <v>39.5</v>
      </c>
      <c r="I2154" s="341">
        <v>-0.5</v>
      </c>
      <c r="J2154" s="332">
        <f>IFERROR(__xludf.DUMMYFUNCTION("IF(IF(COUNTIF(P$2:P2153, P2154)=0, """", INDEX(H$2:H2153,
MAX(FILTER(ROW(H$2:H2153) - ROW(H$2) + 1, P$2:P2153 = P2154))))=""単価"","""",
IF(COUNTIF(P$2:P2153, P2154)=0, """", INDEX(H$2:H2153,
MAX(FILTER(ROW(H$2:H2153) - ROW(H$2) + 1, P$2:P2153 = P2154)))))"),40.0)</f>
        <v>40</v>
      </c>
      <c r="N2154" s="335" t="str">
        <f>IF(MAXIFS('単価履歴'!$O:$O,'単価履歴'!$E:$E,E2154,'単価履歴'!$F:$F,F2154)=O2154,"●","")</f>
        <v/>
      </c>
      <c r="O2154" s="346">
        <v>45842.26590277778</v>
      </c>
      <c r="P2154" s="334" t="str">
        <f t="shared" si="4"/>
        <v>山口鋼業:阪和Ｈ１(特A)</v>
      </c>
    </row>
    <row r="2155" ht="15.75" customHeight="1">
      <c r="A2155" s="335" t="s">
        <v>3315</v>
      </c>
      <c r="B2155" s="336">
        <v>45842.0</v>
      </c>
      <c r="C2155" s="335" t="s">
        <v>537</v>
      </c>
      <c r="D2155" s="335" t="s">
        <v>59</v>
      </c>
      <c r="E2155" s="337" t="str">
        <f t="shared" si="1"/>
        <v>大同特殊鋼:大同興業</v>
      </c>
      <c r="F2155" s="338" t="s">
        <v>1199</v>
      </c>
      <c r="G2155" s="339" t="str">
        <f t="shared" si="2"/>
        <v>大同特殊鋼:大同興業ＨＳ１(単体H1/電特A/HS))</v>
      </c>
      <c r="H2155" s="340">
        <f t="shared" si="3"/>
        <v>43</v>
      </c>
      <c r="I2155" s="341">
        <v>-0.5</v>
      </c>
      <c r="J2155" s="332">
        <f>IFERROR(__xludf.DUMMYFUNCTION("IF(IF(COUNTIF(P$2:P2154, P2155)=0, """", INDEX(H$2:H2154,
MAX(FILTER(ROW(H$2:H2154) - ROW(H$2) + 1, P$2:P2154 = P2155))))=""単価"","""",
IF(COUNTIF(P$2:P2154, P2155)=0, """", INDEX(H$2:H2154,
MAX(FILTER(ROW(H$2:H2154) - ROW(H$2) + 1, P$2:P2154 = P2155)))))"),43.5)</f>
        <v>43.5</v>
      </c>
      <c r="N2155" s="335" t="str">
        <f>IF(MAXIFS('単価履歴'!$O:$O,'単価履歴'!$E:$E,E2155,'単価履歴'!$F:$F,F2155)=O2155,"●","")</f>
        <v/>
      </c>
      <c r="O2155" s="346">
        <v>45842.26635416667</v>
      </c>
      <c r="P2155" s="334" t="str">
        <f t="shared" si="4"/>
        <v>大同特殊鋼:大同興業ＨＳ１(単体H1/電特A/HS))</v>
      </c>
    </row>
    <row r="2156" ht="15.75" customHeight="1">
      <c r="A2156" s="335" t="s">
        <v>3316</v>
      </c>
      <c r="B2156" s="336">
        <v>45842.0</v>
      </c>
      <c r="C2156" s="335" t="s">
        <v>537</v>
      </c>
      <c r="D2156" s="335" t="s">
        <v>59</v>
      </c>
      <c r="E2156" s="337" t="str">
        <f t="shared" si="1"/>
        <v>大同特殊鋼:大同興業</v>
      </c>
      <c r="F2156" s="338" t="s">
        <v>575</v>
      </c>
      <c r="G2156" s="339" t="str">
        <f t="shared" si="2"/>
        <v>大同特殊鋼:大同興業鋼ダライＡ</v>
      </c>
      <c r="H2156" s="340">
        <f t="shared" si="3"/>
        <v>36.4</v>
      </c>
      <c r="I2156" s="341">
        <v>-0.5</v>
      </c>
      <c r="J2156" s="332">
        <f>IFERROR(__xludf.DUMMYFUNCTION("IF(IF(COUNTIF(P$2:P2155, P2156)=0, """", INDEX(H$2:H2155,
MAX(FILTER(ROW(H$2:H2155) - ROW(H$2) + 1, P$2:P2155 = P2156))))=""単価"","""",
IF(COUNTIF(P$2:P2155, P2156)=0, """", INDEX(H$2:H2155,
MAX(FILTER(ROW(H$2:H2155) - ROW(H$2) + 1, P$2:P2155 = P2156)))))"),36.9)</f>
        <v>36.9</v>
      </c>
      <c r="N2156" s="335" t="str">
        <f>IF(MAXIFS('単価履歴'!$O:$O,'単価履歴'!$E:$E,E2156,'単価履歴'!$F:$F,F2156)=O2156,"●","")</f>
        <v/>
      </c>
      <c r="O2156" s="346">
        <v>45842.26635416667</v>
      </c>
      <c r="P2156" s="334" t="str">
        <f t="shared" si="4"/>
        <v>大同特殊鋼:大同興業鋼ダライＡ</v>
      </c>
    </row>
    <row r="2157" ht="15.75" customHeight="1">
      <c r="A2157" s="335" t="s">
        <v>3317</v>
      </c>
      <c r="B2157" s="336">
        <v>45842.0</v>
      </c>
      <c r="C2157" s="335" t="s">
        <v>537</v>
      </c>
      <c r="D2157" s="335" t="s">
        <v>59</v>
      </c>
      <c r="E2157" s="337" t="str">
        <f t="shared" si="1"/>
        <v>大同特殊鋼:大同興業</v>
      </c>
      <c r="F2157" s="338" t="s">
        <v>116</v>
      </c>
      <c r="G2157" s="339" t="str">
        <f t="shared" si="2"/>
        <v>大同特殊鋼:大同興業Ｈ２(特級)</v>
      </c>
      <c r="H2157" s="340">
        <f t="shared" si="3"/>
        <v>-0.5</v>
      </c>
      <c r="I2157" s="341">
        <v>-0.5</v>
      </c>
      <c r="J2157" s="332">
        <f>IFERROR(__xludf.DUMMYFUNCTION("IF(IF(COUNTIF(P$2:P2156, P2157)=0, """", INDEX(H$2:H2156,
MAX(FILTER(ROW(H$2:H2156) - ROW(H$2) + 1, P$2:P2156 = P2157))))=""単価"","""",
IF(COUNTIF(P$2:P2156, P2157)=0, """", INDEX(H$2:H2156,
MAX(FILTER(ROW(H$2:H2156) - ROW(H$2) + 1, P$2:P2156 = P2157)))))"),0.0)</f>
        <v>0</v>
      </c>
      <c r="N2157" s="335" t="str">
        <f>IF(MAXIFS('単価履歴'!$O:$O,'単価履歴'!$E:$E,E2157,'単価履歴'!$F:$F,F2157)=O2157,"●","")</f>
        <v/>
      </c>
      <c r="O2157" s="346">
        <v>45842.26635416667</v>
      </c>
      <c r="P2157" s="334" t="str">
        <f t="shared" si="4"/>
        <v>大同特殊鋼:大同興業Ｈ２(特級)</v>
      </c>
    </row>
    <row r="2158" ht="15.75" customHeight="1">
      <c r="A2158" s="335" t="s">
        <v>3318</v>
      </c>
      <c r="B2158" s="336">
        <v>45842.0</v>
      </c>
      <c r="C2158" s="335" t="s">
        <v>537</v>
      </c>
      <c r="D2158" s="335" t="s">
        <v>1404</v>
      </c>
      <c r="E2158" s="337" t="str">
        <f t="shared" si="1"/>
        <v>大同特殊鋼:JSE/大和ﾘﾃｯｸ</v>
      </c>
      <c r="F2158" s="338" t="s">
        <v>1199</v>
      </c>
      <c r="G2158" s="339" t="str">
        <f t="shared" si="2"/>
        <v>大同特殊鋼:JSE/大和ﾘﾃｯｸＨＳ１(単体H1/電特A/HS))</v>
      </c>
      <c r="H2158" s="340">
        <f t="shared" si="3"/>
        <v>42.3</v>
      </c>
      <c r="I2158" s="341">
        <v>-0.5</v>
      </c>
      <c r="J2158" s="332">
        <f>IFERROR(__xludf.DUMMYFUNCTION("IF(IF(COUNTIF(P$2:P2157, P2158)=0, """", INDEX(H$2:H2157,
MAX(FILTER(ROW(H$2:H2157) - ROW(H$2) + 1, P$2:P2157 = P2158))))=""単価"","""",
IF(COUNTIF(P$2:P2157, P2158)=0, """", INDEX(H$2:H2157,
MAX(FILTER(ROW(H$2:H2157) - ROW(H$2) + 1, P$2:P2157 = P2158)))))"),42.8)</f>
        <v>42.8</v>
      </c>
      <c r="N2158" s="335" t="str">
        <f>IF(MAXIFS('単価履歴'!$O:$O,'単価履歴'!$E:$E,E2158,'単価履歴'!$F:$F,F2158)=O2158,"●","")</f>
        <v/>
      </c>
      <c r="O2158" s="346">
        <v>45842.26635416667</v>
      </c>
      <c r="P2158" s="334" t="str">
        <f t="shared" si="4"/>
        <v>大同特殊鋼:JSE/大和ﾘﾃｯｸＨＳ１(単体H1/電特A/HS))</v>
      </c>
    </row>
    <row r="2159" ht="15.75" customHeight="1">
      <c r="A2159" s="335" t="s">
        <v>3319</v>
      </c>
      <c r="B2159" s="336">
        <v>45842.0</v>
      </c>
      <c r="C2159" s="335" t="s">
        <v>537</v>
      </c>
      <c r="D2159" s="335" t="s">
        <v>1404</v>
      </c>
      <c r="E2159" s="337" t="str">
        <f t="shared" si="1"/>
        <v>大同特殊鋼:JSE/大和ﾘﾃｯｸ</v>
      </c>
      <c r="F2159" s="338" t="s">
        <v>575</v>
      </c>
      <c r="G2159" s="339" t="str">
        <f t="shared" si="2"/>
        <v>大同特殊鋼:JSE/大和ﾘﾃｯｸ鋼ダライＡ</v>
      </c>
      <c r="H2159" s="340">
        <f t="shared" si="3"/>
        <v>38.5</v>
      </c>
      <c r="I2159" s="341">
        <v>-0.5</v>
      </c>
      <c r="J2159" s="332">
        <f>IFERROR(__xludf.DUMMYFUNCTION("IF(IF(COUNTIF(P$2:P2158, P2159)=0, """", INDEX(H$2:H2158,
MAX(FILTER(ROW(H$2:H2158) - ROW(H$2) + 1, P$2:P2158 = P2159))))=""単価"","""",
IF(COUNTIF(P$2:P2158, P2159)=0, """", INDEX(H$2:H2158,
MAX(FILTER(ROW(H$2:H2158) - ROW(H$2) + 1, P$2:P2158 = P2159)))))"),39.0)</f>
        <v>39</v>
      </c>
      <c r="N2159" s="335" t="str">
        <f>IF(MAXIFS('単価履歴'!$O:$O,'単価履歴'!$E:$E,E2159,'単価履歴'!$F:$F,F2159)=O2159,"●","")</f>
        <v/>
      </c>
      <c r="O2159" s="346">
        <v>45842.26635416667</v>
      </c>
      <c r="P2159" s="334" t="str">
        <f t="shared" si="4"/>
        <v>大同特殊鋼:JSE/大和ﾘﾃｯｸ鋼ダライＡ</v>
      </c>
    </row>
    <row r="2160" ht="15.75" customHeight="1">
      <c r="A2160" s="335" t="s">
        <v>3320</v>
      </c>
      <c r="B2160" s="336">
        <v>45842.0</v>
      </c>
      <c r="C2160" s="335" t="s">
        <v>537</v>
      </c>
      <c r="D2160" s="335" t="s">
        <v>1404</v>
      </c>
      <c r="E2160" s="337" t="str">
        <f t="shared" si="1"/>
        <v>大同特殊鋼:JSE/大和ﾘﾃｯｸ</v>
      </c>
      <c r="F2160" s="338" t="s">
        <v>116</v>
      </c>
      <c r="G2160" s="339" t="str">
        <f t="shared" si="2"/>
        <v>大同特殊鋼:JSE/大和ﾘﾃｯｸＨ２(特級)</v>
      </c>
      <c r="H2160" s="340">
        <f t="shared" si="3"/>
        <v>39.2</v>
      </c>
      <c r="I2160" s="341">
        <v>-0.5</v>
      </c>
      <c r="J2160" s="332">
        <f>IFERROR(__xludf.DUMMYFUNCTION("IF(IF(COUNTIF(P$2:P2159, P2160)=0, """", INDEX(H$2:H2159,
MAX(FILTER(ROW(H$2:H2159) - ROW(H$2) + 1, P$2:P2159 = P2160))))=""単価"","""",
IF(COUNTIF(P$2:P2159, P2160)=0, """", INDEX(H$2:H2159,
MAX(FILTER(ROW(H$2:H2159) - ROW(H$2) + 1, P$2:P2159 = P2160)))))"),39.7)</f>
        <v>39.7</v>
      </c>
      <c r="N2160" s="335" t="str">
        <f>IF(MAXIFS('単価履歴'!$O:$O,'単価履歴'!$E:$E,E2160,'単価履歴'!$F:$F,F2160)=O2160,"●","")</f>
        <v/>
      </c>
      <c r="O2160" s="346">
        <v>45842.26635416667</v>
      </c>
      <c r="P2160" s="334" t="str">
        <f t="shared" si="4"/>
        <v>大同特殊鋼:JSE/大和ﾘﾃｯｸＨ２(特級)</v>
      </c>
    </row>
    <row r="2161" ht="15.75" customHeight="1">
      <c r="A2161" s="335" t="s">
        <v>3321</v>
      </c>
      <c r="B2161" s="336">
        <v>45842.0</v>
      </c>
      <c r="C2161" s="335" t="s">
        <v>537</v>
      </c>
      <c r="D2161" s="335" t="s">
        <v>1407</v>
      </c>
      <c r="E2161" s="337" t="str">
        <f t="shared" si="1"/>
        <v>大同特殊鋼:JSE/第二＠2.3</v>
      </c>
      <c r="F2161" s="338" t="s">
        <v>1199</v>
      </c>
      <c r="G2161" s="339" t="str">
        <f t="shared" si="2"/>
        <v>大同特殊鋼:JSE/第二＠2.3ＨＳ１(単体H1/電特A/HS))</v>
      </c>
      <c r="H2161" s="340">
        <f t="shared" si="3"/>
        <v>40</v>
      </c>
      <c r="I2161" s="341">
        <v>-0.5</v>
      </c>
      <c r="J2161" s="332">
        <f>IFERROR(__xludf.DUMMYFUNCTION("IF(IF(COUNTIF(P$2:P2160, P2161)=0, """", INDEX(H$2:H2160,
MAX(FILTER(ROW(H$2:H2160) - ROW(H$2) + 1, P$2:P2160 = P2161))))=""単価"","""",
IF(COUNTIF(P$2:P2160, P2161)=0, """", INDEX(H$2:H2160,
MAX(FILTER(ROW(H$2:H2160) - ROW(H$2) + 1, P$2:P2160 = P2161)))))"),40.5)</f>
        <v>40.5</v>
      </c>
      <c r="N2161" s="335" t="str">
        <f>IF(MAXIFS('単価履歴'!$O:$O,'単価履歴'!$E:$E,E2161,'単価履歴'!$F:$F,F2161)=O2161,"●","")</f>
        <v/>
      </c>
      <c r="O2161" s="346">
        <v>45842.26635416667</v>
      </c>
      <c r="P2161" s="334" t="str">
        <f t="shared" si="4"/>
        <v>大同特殊鋼:JSE/第二＠2.3ＨＳ１(単体H1/電特A/HS))</v>
      </c>
    </row>
    <row r="2162" ht="15.75" customHeight="1">
      <c r="A2162" s="335" t="s">
        <v>3322</v>
      </c>
      <c r="B2162" s="336">
        <v>45842.0</v>
      </c>
      <c r="C2162" s="335" t="s">
        <v>537</v>
      </c>
      <c r="D2162" s="335" t="s">
        <v>1407</v>
      </c>
      <c r="E2162" s="337" t="str">
        <f t="shared" si="1"/>
        <v>大同特殊鋼:JSE/第二＠2.3</v>
      </c>
      <c r="F2162" s="338" t="s">
        <v>575</v>
      </c>
      <c r="G2162" s="339" t="str">
        <f t="shared" si="2"/>
        <v>大同特殊鋼:JSE/第二＠2.3鋼ダライＡ</v>
      </c>
      <c r="H2162" s="340">
        <f t="shared" si="3"/>
        <v>36.2</v>
      </c>
      <c r="I2162" s="341">
        <v>-0.5</v>
      </c>
      <c r="J2162" s="332">
        <f>IFERROR(__xludf.DUMMYFUNCTION("IF(IF(COUNTIF(P$2:P2161, P2162)=0, """", INDEX(H$2:H2161,
MAX(FILTER(ROW(H$2:H2161) - ROW(H$2) + 1, P$2:P2161 = P2162))))=""単価"","""",
IF(COUNTIF(P$2:P2161, P2162)=0, """", INDEX(H$2:H2161,
MAX(FILTER(ROW(H$2:H2161) - ROW(H$2) + 1, P$2:P2161 = P2162)))))"),36.7)</f>
        <v>36.7</v>
      </c>
      <c r="N2162" s="335" t="str">
        <f>IF(MAXIFS('単価履歴'!$O:$O,'単価履歴'!$E:$E,E2162,'単価履歴'!$F:$F,F2162)=O2162,"●","")</f>
        <v/>
      </c>
      <c r="O2162" s="346">
        <v>45842.26635416667</v>
      </c>
      <c r="P2162" s="334" t="str">
        <f t="shared" si="4"/>
        <v>大同特殊鋼:JSE/第二＠2.3鋼ダライＡ</v>
      </c>
    </row>
    <row r="2163" ht="15.75" customHeight="1">
      <c r="A2163" s="335" t="s">
        <v>3323</v>
      </c>
      <c r="B2163" s="336">
        <v>45842.0</v>
      </c>
      <c r="C2163" s="335" t="s">
        <v>537</v>
      </c>
      <c r="D2163" s="335" t="s">
        <v>1407</v>
      </c>
      <c r="E2163" s="337" t="str">
        <f t="shared" si="1"/>
        <v>大同特殊鋼:JSE/第二＠2.3</v>
      </c>
      <c r="F2163" s="338" t="s">
        <v>116</v>
      </c>
      <c r="G2163" s="339" t="str">
        <f t="shared" si="2"/>
        <v>大同特殊鋼:JSE/第二＠2.3Ｈ２(特級)</v>
      </c>
      <c r="H2163" s="340">
        <f t="shared" si="3"/>
        <v>36.9</v>
      </c>
      <c r="I2163" s="341">
        <v>-0.5</v>
      </c>
      <c r="J2163" s="332">
        <f>IFERROR(__xludf.DUMMYFUNCTION("IF(IF(COUNTIF(P$2:P2162, P2163)=0, """", INDEX(H$2:H2162,
MAX(FILTER(ROW(H$2:H2162) - ROW(H$2) + 1, P$2:P2162 = P2163))))=""単価"","""",
IF(COUNTIF(P$2:P2162, P2163)=0, """", INDEX(H$2:H2162,
MAX(FILTER(ROW(H$2:H2162) - ROW(H$2) + 1, P$2:P2162 = P2163)))))"),37.400000000000006)</f>
        <v>37.4</v>
      </c>
      <c r="N2163" s="335" t="str">
        <f>IF(MAXIFS('単価履歴'!$O:$O,'単価履歴'!$E:$E,E2163,'単価履歴'!$F:$F,F2163)=O2163,"●","")</f>
        <v/>
      </c>
      <c r="O2163" s="346">
        <v>45842.26635416667</v>
      </c>
      <c r="P2163" s="334" t="str">
        <f t="shared" si="4"/>
        <v>大同特殊鋼:JSE/第二＠2.3Ｈ２(特級)</v>
      </c>
    </row>
    <row r="2164" ht="15.75" customHeight="1">
      <c r="A2164" s="335" t="s">
        <v>3324</v>
      </c>
      <c r="B2164" s="336">
        <v>45842.0</v>
      </c>
      <c r="C2164" s="335" t="s">
        <v>537</v>
      </c>
      <c r="D2164" s="335" t="s">
        <v>1410</v>
      </c>
      <c r="E2164" s="337" t="str">
        <f t="shared" si="1"/>
        <v>大同特殊鋼:JSE/岐阜＠1.5</v>
      </c>
      <c r="F2164" s="338" t="s">
        <v>1199</v>
      </c>
      <c r="G2164" s="339" t="str">
        <f t="shared" si="2"/>
        <v>大同特殊鋼:JSE/岐阜＠1.5ＨＳ１(単体H1/電特A/HS))</v>
      </c>
      <c r="H2164" s="340">
        <f t="shared" si="3"/>
        <v>40.8</v>
      </c>
      <c r="I2164" s="341">
        <v>-0.5</v>
      </c>
      <c r="J2164" s="332">
        <f>IFERROR(__xludf.DUMMYFUNCTION("IF(IF(COUNTIF(P$2:P2163, P2164)=0, """", INDEX(H$2:H2163,
MAX(FILTER(ROW(H$2:H2163) - ROW(H$2) + 1, P$2:P2163 = P2164))))=""単価"","""",
IF(COUNTIF(P$2:P2163, P2164)=0, """", INDEX(H$2:H2163,
MAX(FILTER(ROW(H$2:H2163) - ROW(H$2) + 1, P$2:P2163 = P2164)))))"),41.3)</f>
        <v>41.3</v>
      </c>
      <c r="N2164" s="335" t="str">
        <f>IF(MAXIFS('単価履歴'!$O:$O,'単価履歴'!$E:$E,E2164,'単価履歴'!$F:$F,F2164)=O2164,"●","")</f>
        <v/>
      </c>
      <c r="O2164" s="346">
        <v>45842.26635416667</v>
      </c>
      <c r="P2164" s="334" t="str">
        <f t="shared" si="4"/>
        <v>大同特殊鋼:JSE/岐阜＠1.5ＨＳ１(単体H1/電特A/HS))</v>
      </c>
    </row>
    <row r="2165" ht="15.75" customHeight="1">
      <c r="A2165" s="335" t="s">
        <v>3325</v>
      </c>
      <c r="B2165" s="336">
        <v>45842.0</v>
      </c>
      <c r="C2165" s="335" t="s">
        <v>537</v>
      </c>
      <c r="D2165" s="335" t="s">
        <v>1410</v>
      </c>
      <c r="E2165" s="337" t="str">
        <f t="shared" si="1"/>
        <v>大同特殊鋼:JSE/岐阜＠1.5</v>
      </c>
      <c r="F2165" s="338" t="s">
        <v>575</v>
      </c>
      <c r="G2165" s="339" t="str">
        <f t="shared" si="2"/>
        <v>大同特殊鋼:JSE/岐阜＠1.5鋼ダライＡ</v>
      </c>
      <c r="H2165" s="340">
        <f t="shared" si="3"/>
        <v>37</v>
      </c>
      <c r="I2165" s="341">
        <v>-0.5</v>
      </c>
      <c r="J2165" s="332">
        <f>IFERROR(__xludf.DUMMYFUNCTION("IF(IF(COUNTIF(P$2:P2164, P2165)=0, """", INDEX(H$2:H2164,
MAX(FILTER(ROW(H$2:H2164) - ROW(H$2) + 1, P$2:P2164 = P2165))))=""単価"","""",
IF(COUNTIF(P$2:P2164, P2165)=0, """", INDEX(H$2:H2164,
MAX(FILTER(ROW(H$2:H2164) - ROW(H$2) + 1, P$2:P2164 = P2165)))))"),37.5)</f>
        <v>37.5</v>
      </c>
      <c r="N2165" s="335" t="str">
        <f>IF(MAXIFS('単価履歴'!$O:$O,'単価履歴'!$E:$E,E2165,'単価履歴'!$F:$F,F2165)=O2165,"●","")</f>
        <v/>
      </c>
      <c r="O2165" s="346">
        <v>45842.26635416667</v>
      </c>
      <c r="P2165" s="334" t="str">
        <f t="shared" si="4"/>
        <v>大同特殊鋼:JSE/岐阜＠1.5鋼ダライＡ</v>
      </c>
    </row>
    <row r="2166" ht="15.75" customHeight="1">
      <c r="A2166" s="335" t="s">
        <v>3326</v>
      </c>
      <c r="B2166" s="336">
        <v>45842.0</v>
      </c>
      <c r="C2166" s="335" t="s">
        <v>537</v>
      </c>
      <c r="D2166" s="335" t="s">
        <v>1410</v>
      </c>
      <c r="E2166" s="337" t="str">
        <f t="shared" si="1"/>
        <v>大同特殊鋼:JSE/岐阜＠1.5</v>
      </c>
      <c r="F2166" s="338" t="s">
        <v>116</v>
      </c>
      <c r="G2166" s="339" t="str">
        <f t="shared" si="2"/>
        <v>大同特殊鋼:JSE/岐阜＠1.5Ｈ２(特級)</v>
      </c>
      <c r="H2166" s="340">
        <f t="shared" si="3"/>
        <v>37.7</v>
      </c>
      <c r="I2166" s="341">
        <v>-0.5</v>
      </c>
      <c r="J2166" s="332">
        <f>IFERROR(__xludf.DUMMYFUNCTION("IF(IF(COUNTIF(P$2:P2165, P2166)=0, """", INDEX(H$2:H2165,
MAX(FILTER(ROW(H$2:H2165) - ROW(H$2) + 1, P$2:P2165 = P2166))))=""単価"","""",
IF(COUNTIF(P$2:P2165, P2166)=0, """", INDEX(H$2:H2165,
MAX(FILTER(ROW(H$2:H2165) - ROW(H$2) + 1, P$2:P2165 = P2166)))))"),38.2)</f>
        <v>38.2</v>
      </c>
      <c r="N2166" s="335" t="str">
        <f>IF(MAXIFS('単価履歴'!$O:$O,'単価履歴'!$E:$E,E2166,'単価履歴'!$F:$F,F2166)=O2166,"●","")</f>
        <v/>
      </c>
      <c r="O2166" s="346">
        <v>45842.26635416667</v>
      </c>
      <c r="P2166" s="334" t="str">
        <f t="shared" si="4"/>
        <v>大同特殊鋼:JSE/岐阜＠1.5Ｈ２(特級)</v>
      </c>
    </row>
    <row r="2167" ht="15.75" customHeight="1">
      <c r="A2167" s="335" t="s">
        <v>3327</v>
      </c>
      <c r="B2167" s="336">
        <v>45842.0</v>
      </c>
      <c r="C2167" s="335" t="s">
        <v>17</v>
      </c>
      <c r="D2167" s="335" t="s">
        <v>563</v>
      </c>
      <c r="E2167" s="337" t="str">
        <f t="shared" si="1"/>
        <v>RTA:第二置場単価</v>
      </c>
      <c r="F2167" s="338" t="s">
        <v>575</v>
      </c>
      <c r="G2167" s="339" t="str">
        <f t="shared" si="2"/>
        <v>RTA:第二置場単価鋼ダライＡ</v>
      </c>
      <c r="H2167" s="340">
        <f t="shared" si="3"/>
        <v>37</v>
      </c>
      <c r="I2167" s="341">
        <v>-1.0</v>
      </c>
      <c r="J2167" s="332">
        <f>IFERROR(__xludf.DUMMYFUNCTION("IF(IF(COUNTIF(P$2:P2166, P2167)=0, """", INDEX(H$2:H2166,
MAX(FILTER(ROW(H$2:H2166) - ROW(H$2) + 1, P$2:P2166 = P2167))))=""単価"","""",
IF(COUNTIF(P$2:P2166, P2167)=0, """", INDEX(H$2:H2166,
MAX(FILTER(ROW(H$2:H2166) - ROW(H$2) + 1, P$2:P2166 = P2167)))))"),38.0)</f>
        <v>38</v>
      </c>
      <c r="N2167" s="335" t="str">
        <f>IF(MAXIFS('単価履歴'!$O:$O,'単価履歴'!$E:$E,E2167,'単価履歴'!$F:$F,F2167)=O2167,"●","")</f>
        <v/>
      </c>
      <c r="O2167" s="346">
        <v>45842.642418981486</v>
      </c>
      <c r="P2167" s="334" t="str">
        <f t="shared" si="4"/>
        <v>RTA:第二置場単価鋼ダライＡ</v>
      </c>
    </row>
    <row r="2168" ht="15.75" customHeight="1">
      <c r="A2168" s="335" t="s">
        <v>3328</v>
      </c>
      <c r="B2168" s="336">
        <v>45846.0</v>
      </c>
      <c r="C2168" s="335" t="s">
        <v>28</v>
      </c>
      <c r="D2168" s="335" t="s">
        <v>52</v>
      </c>
      <c r="E2168" s="337" t="str">
        <f t="shared" si="1"/>
        <v>ＪＦＥ条鋼:リバイブ</v>
      </c>
      <c r="F2168" s="338" t="s">
        <v>111</v>
      </c>
      <c r="G2168" s="339" t="str">
        <f t="shared" si="2"/>
        <v>ＪＦＥ条鋼:リバイブＨ１(特A)</v>
      </c>
      <c r="H2168" s="340">
        <f t="shared" si="3"/>
        <v>38</v>
      </c>
      <c r="I2168" s="341">
        <v>-0.5</v>
      </c>
      <c r="J2168" s="332">
        <f>IFERROR(__xludf.DUMMYFUNCTION("IF(IF(COUNTIF(P$2:P2167, P2168)=0, """", INDEX(H$2:H2167,
MAX(FILTER(ROW(H$2:H2167) - ROW(H$2) + 1, P$2:P2167 = P2168))))=""単価"","""",
IF(COUNTIF(P$2:P2167, P2168)=0, """", INDEX(H$2:H2167,
MAX(FILTER(ROW(H$2:H2167) - ROW(H$2) + 1, P$2:P2167 = P2168)))))"),38.5)</f>
        <v>38.5</v>
      </c>
      <c r="N2168" s="335" t="str">
        <f>IF(MAXIFS('単価履歴'!$O:$O,'単価履歴'!$E:$E,E2168,'単価履歴'!$F:$F,F2168)=O2168,"●","")</f>
        <v/>
      </c>
      <c r="O2168" s="346">
        <v>45849.467881944445</v>
      </c>
      <c r="P2168" s="334" t="str">
        <f t="shared" si="4"/>
        <v>ＪＦＥ条鋼:リバイブＨ１(特A)</v>
      </c>
    </row>
    <row r="2169" ht="15.75" customHeight="1">
      <c r="A2169" s="335" t="s">
        <v>3329</v>
      </c>
      <c r="B2169" s="336">
        <v>45846.0</v>
      </c>
      <c r="C2169" s="335" t="s">
        <v>28</v>
      </c>
      <c r="D2169" s="335" t="s">
        <v>52</v>
      </c>
      <c r="E2169" s="337" t="str">
        <f t="shared" si="1"/>
        <v>ＪＦＥ条鋼:リバイブ</v>
      </c>
      <c r="F2169" s="338" t="s">
        <v>122</v>
      </c>
      <c r="G2169" s="339" t="str">
        <f t="shared" si="2"/>
        <v>ＪＦＥ条鋼:リバイブＬ１(2級)</v>
      </c>
      <c r="H2169" s="340">
        <f t="shared" si="3"/>
        <v>34</v>
      </c>
      <c r="I2169" s="341">
        <v>0.2</v>
      </c>
      <c r="J2169" s="332">
        <f>IFERROR(__xludf.DUMMYFUNCTION("IF(IF(COUNTIF(P$2:P2168, P2169)=0, """", INDEX(H$2:H2168,
MAX(FILTER(ROW(H$2:H2168) - ROW(H$2) + 1, P$2:P2168 = P2169))))=""単価"","""",
IF(COUNTIF(P$2:P2168, P2169)=0, """", INDEX(H$2:H2168,
MAX(FILTER(ROW(H$2:H2168) - ROW(H$2) + 1, P$2:P2168 = P2169)))))"),33.8)</f>
        <v>33.8</v>
      </c>
      <c r="N2169" s="335" t="str">
        <f>IF(MAXIFS('単価履歴'!$O:$O,'単価履歴'!$E:$E,E2169,'単価履歴'!$F:$F,F2169)=O2169,"●","")</f>
        <v/>
      </c>
      <c r="O2169" s="346">
        <v>45849.46864583333</v>
      </c>
      <c r="P2169" s="334" t="str">
        <f t="shared" si="4"/>
        <v>ＪＦＥ条鋼:リバイブＬ１(2級)</v>
      </c>
    </row>
    <row r="2170" ht="15.75" customHeight="1">
      <c r="A2170" s="335" t="s">
        <v>3330</v>
      </c>
      <c r="B2170" s="336">
        <v>45846.0</v>
      </c>
      <c r="C2170" s="335" t="s">
        <v>28</v>
      </c>
      <c r="D2170" s="335" t="s">
        <v>52</v>
      </c>
      <c r="E2170" s="337" t="str">
        <f t="shared" si="1"/>
        <v>ＪＦＥ条鋼:リバイブ</v>
      </c>
      <c r="F2170" s="338" t="s">
        <v>573</v>
      </c>
      <c r="G2170" s="339" t="str">
        <f t="shared" si="2"/>
        <v>ＪＦＥ条鋼:リバイブＬ２(H4･級外･L1ﾊﾞﾗ)</v>
      </c>
      <c r="H2170" s="340">
        <f t="shared" si="3"/>
        <v>29</v>
      </c>
      <c r="I2170" s="341">
        <v>-8.9</v>
      </c>
      <c r="J2170" s="332">
        <f>IFERROR(__xludf.DUMMYFUNCTION("IF(IF(COUNTIF(P$2:P2169, P2170)=0, """", INDEX(H$2:H2169,
MAX(FILTER(ROW(H$2:H2169) - ROW(H$2) + 1, P$2:P2169 = P2170))))=""単価"","""",
IF(COUNTIF(P$2:P2169, P2170)=0, """", INDEX(H$2:H2169,
MAX(FILTER(ROW(H$2:H2169) - ROW(H$2) + 1, P$2:P2169 = P2170)))))"),37.9)</f>
        <v>37.9</v>
      </c>
      <c r="N2170" s="335" t="str">
        <f>IF(MAXIFS('単価履歴'!$O:$O,'単価履歴'!$E:$E,E2170,'単価履歴'!$F:$F,F2170)=O2170,"●","")</f>
        <v/>
      </c>
      <c r="O2170" s="346">
        <v>45849.46938657407</v>
      </c>
      <c r="P2170" s="334" t="str">
        <f t="shared" si="4"/>
        <v>ＪＦＥ条鋼:リバイブＬ２(H4･級外･L1ﾊﾞﾗ)</v>
      </c>
    </row>
    <row r="2171" ht="15.75" customHeight="1">
      <c r="A2171" s="335" t="s">
        <v>3331</v>
      </c>
      <c r="B2171" s="336">
        <v>45846.0</v>
      </c>
      <c r="C2171" s="335" t="s">
        <v>10</v>
      </c>
      <c r="D2171" s="335" t="s">
        <v>46</v>
      </c>
      <c r="E2171" s="337" t="str">
        <f t="shared" si="1"/>
        <v>岸和田:阪和</v>
      </c>
      <c r="F2171" s="338" t="s">
        <v>149</v>
      </c>
      <c r="G2171" s="339" t="str">
        <f t="shared" si="2"/>
        <v>岸和田:阪和シュレＢ</v>
      </c>
      <c r="H2171" s="340">
        <f t="shared" si="3"/>
        <v>42.8</v>
      </c>
      <c r="I2171" s="341">
        <v>42.8</v>
      </c>
      <c r="J2171" s="332" t="str">
        <f>IFERROR(__xludf.DUMMYFUNCTION("IF(IF(COUNTIF(P$2:P2170, P2171)=0, """", INDEX(H$2:H2170,
MAX(FILTER(ROW(H$2:H2170) - ROW(H$2) + 1, P$2:P2170 = P2171))))=""単価"","""",
IF(COUNTIF(P$2:P2170, P2171)=0, """", INDEX(H$2:H2170,
MAX(FILTER(ROW(H$2:H2170) - ROW(H$2) + 1, P$2:P2170 = P2171)))))"),"")</f>
        <v/>
      </c>
      <c r="N2171" s="335" t="str">
        <f>IF(MAXIFS('単価履歴'!$O:$O,'単価履歴'!$E:$E,E2171,'単価履歴'!$F:$F,F2171)=O2171,"●","")</f>
        <v/>
      </c>
      <c r="O2171" s="346">
        <v>45852.81909722222</v>
      </c>
      <c r="P2171" s="334" t="str">
        <f t="shared" si="4"/>
        <v>岸和田:阪和シュレＢ</v>
      </c>
    </row>
    <row r="2172" ht="15.75" customHeight="1">
      <c r="A2172" s="335" t="s">
        <v>3332</v>
      </c>
      <c r="B2172" s="336">
        <v>45845.0</v>
      </c>
      <c r="C2172" s="335" t="s">
        <v>533</v>
      </c>
      <c r="D2172" s="335" t="s">
        <v>77</v>
      </c>
      <c r="E2172" s="337" t="str">
        <f t="shared" si="1"/>
        <v>ﾏｷｳﾗ鋼業:直納</v>
      </c>
      <c r="F2172" s="338" t="s">
        <v>145</v>
      </c>
      <c r="G2172" s="339" t="str">
        <f t="shared" si="2"/>
        <v>ﾏｷｳﾗ鋼業:直納シュレＡ</v>
      </c>
      <c r="H2172" s="340">
        <f t="shared" si="3"/>
        <v>42.5</v>
      </c>
      <c r="I2172" s="341">
        <v>42.5</v>
      </c>
      <c r="J2172" s="332" t="str">
        <f>IFERROR(__xludf.DUMMYFUNCTION("IF(IF(COUNTIF(P$2:P2171, P2172)=0, """", INDEX(H$2:H2171,
MAX(FILTER(ROW(H$2:H2171) - ROW(H$2) + 1, P$2:P2171 = P2172))))=""単価"","""",
IF(COUNTIF(P$2:P2171, P2172)=0, """", INDEX(H$2:H2171,
MAX(FILTER(ROW(H$2:H2171) - ROW(H$2) + 1, P$2:P2171 = P2172)))))"),"")</f>
        <v/>
      </c>
      <c r="N2172" s="335" t="str">
        <f>IF(MAXIFS('単価履歴'!$O:$O,'単価履歴'!$E:$E,E2172,'単価履歴'!$F:$F,F2172)=O2172,"●","")</f>
        <v/>
      </c>
      <c r="O2172" s="346">
        <v>45852.82105324074</v>
      </c>
      <c r="P2172" s="334" t="str">
        <f t="shared" si="4"/>
        <v>ﾏｷｳﾗ鋼業:直納シュレＡ</v>
      </c>
    </row>
    <row r="2173" ht="15.75" customHeight="1">
      <c r="A2173" s="335" t="s">
        <v>3333</v>
      </c>
      <c r="B2173" s="336">
        <v>45861.0</v>
      </c>
      <c r="C2173" s="335" t="s">
        <v>12</v>
      </c>
      <c r="D2173" s="335" t="s">
        <v>50</v>
      </c>
      <c r="E2173" s="337" t="str">
        <f t="shared" si="1"/>
        <v>山陽特殊:産振</v>
      </c>
      <c r="F2173" s="338" t="s">
        <v>1199</v>
      </c>
      <c r="G2173" s="339" t="str">
        <f t="shared" si="2"/>
        <v>山陽特殊:産振ＨＳ１(単体H1/電特A/HS))</v>
      </c>
      <c r="H2173" s="340">
        <f t="shared" si="3"/>
        <v>42.6</v>
      </c>
      <c r="I2173" s="341">
        <v>-0.5</v>
      </c>
      <c r="J2173" s="332">
        <f>IFERROR(__xludf.DUMMYFUNCTION("IF(IF(COUNTIF(P$2:P2172, P2173)=0, """", INDEX(H$2:H2172,
MAX(FILTER(ROW(H$2:H2172) - ROW(H$2) + 1, P$2:P2172 = P2173))))=""単価"","""",
IF(COUNTIF(P$2:P2172, P2173)=0, """", INDEX(H$2:H2172,
MAX(FILTER(ROW(H$2:H2172) - ROW(H$2) + 1, P$2:P2172 = P2173)))))"),43.1)</f>
        <v>43.1</v>
      </c>
      <c r="N2173" s="335" t="str">
        <f>IF(MAXIFS('単価履歴'!$O:$O,'単価履歴'!$E:$E,E2173,'単価履歴'!$F:$F,F2173)=O2173,"●","")</f>
        <v/>
      </c>
      <c r="O2173" s="346">
        <v>45863.280335648145</v>
      </c>
      <c r="P2173" s="334" t="str">
        <f t="shared" si="4"/>
        <v>山陽特殊:産振ＨＳ１(単体H1/電特A/HS))</v>
      </c>
    </row>
    <row r="2174" ht="15.75" customHeight="1">
      <c r="A2174" s="335" t="s">
        <v>3334</v>
      </c>
      <c r="B2174" s="336">
        <v>45861.0</v>
      </c>
      <c r="C2174" s="335" t="s">
        <v>12</v>
      </c>
      <c r="D2174" s="335" t="s">
        <v>50</v>
      </c>
      <c r="E2174" s="337" t="str">
        <f t="shared" si="1"/>
        <v>山陽特殊:産振</v>
      </c>
      <c r="F2174" s="338" t="s">
        <v>101</v>
      </c>
      <c r="G2174" s="339" t="str">
        <f t="shared" si="2"/>
        <v>山陽特殊:産振ＨＳ２</v>
      </c>
      <c r="H2174" s="340">
        <f t="shared" si="3"/>
        <v>42.4</v>
      </c>
      <c r="I2174" s="341">
        <v>-0.5</v>
      </c>
      <c r="J2174" s="332">
        <f>IFERROR(__xludf.DUMMYFUNCTION("IF(IF(COUNTIF(P$2:P2173, P2174)=0, """", INDEX(H$2:H2173,
MAX(FILTER(ROW(H$2:H2173) - ROW(H$2) + 1, P$2:P2173 = P2174))))=""単価"","""",
IF(COUNTIF(P$2:P2173, P2174)=0, """", INDEX(H$2:H2173,
MAX(FILTER(ROW(H$2:H2173) - ROW(H$2) + 1, P$2:P2173 = P2174)))))"),42.9)</f>
        <v>42.9</v>
      </c>
      <c r="N2174" s="335" t="str">
        <f>IF(MAXIFS('単価履歴'!$O:$O,'単価履歴'!$E:$E,E2174,'単価履歴'!$F:$F,F2174)=O2174,"●","")</f>
        <v/>
      </c>
      <c r="O2174" s="346">
        <v>45863.280335648145</v>
      </c>
      <c r="P2174" s="334" t="str">
        <f t="shared" si="4"/>
        <v>山陽特殊:産振ＨＳ２</v>
      </c>
    </row>
    <row r="2175" ht="15.75" customHeight="1">
      <c r="A2175" s="335" t="s">
        <v>3335</v>
      </c>
      <c r="B2175" s="336">
        <v>45861.0</v>
      </c>
      <c r="C2175" s="335" t="s">
        <v>12</v>
      </c>
      <c r="D2175" s="335" t="s">
        <v>50</v>
      </c>
      <c r="E2175" s="337" t="str">
        <f t="shared" si="1"/>
        <v>山陽特殊:産振</v>
      </c>
      <c r="F2175" s="338" t="s">
        <v>105</v>
      </c>
      <c r="G2175" s="339" t="str">
        <f t="shared" si="2"/>
        <v>山陽特殊:産振ＨＳ３</v>
      </c>
      <c r="H2175" s="340">
        <f t="shared" si="3"/>
        <v>40.4</v>
      </c>
      <c r="I2175" s="341">
        <v>-0.5</v>
      </c>
      <c r="J2175" s="332">
        <f>IFERROR(__xludf.DUMMYFUNCTION("IF(IF(COUNTIF(P$2:P2174, P2175)=0, """", INDEX(H$2:H2174,
MAX(FILTER(ROW(H$2:H2174) - ROW(H$2) + 1, P$2:P2174 = P2175))))=""単価"","""",
IF(COUNTIF(P$2:P2174, P2175)=0, """", INDEX(H$2:H2174,
MAX(FILTER(ROW(H$2:H2174) - ROW(H$2) + 1, P$2:P2174 = P2175)))))"),40.9)</f>
        <v>40.9</v>
      </c>
      <c r="N2175" s="335" t="str">
        <f>IF(MAXIFS('単価履歴'!$O:$O,'単価履歴'!$E:$E,E2175,'単価履歴'!$F:$F,F2175)=O2175,"●","")</f>
        <v/>
      </c>
      <c r="O2175" s="346">
        <v>45863.280335648145</v>
      </c>
      <c r="P2175" s="334" t="str">
        <f t="shared" si="4"/>
        <v>山陽特殊:産振ＨＳ３</v>
      </c>
    </row>
    <row r="2176" ht="15.75" customHeight="1">
      <c r="A2176" s="335"/>
      <c r="B2176" s="336"/>
      <c r="C2176" s="335"/>
      <c r="D2176" s="335"/>
      <c r="E2176" s="337" t="str">
        <f t="shared" si="1"/>
        <v>:</v>
      </c>
      <c r="F2176" s="338"/>
      <c r="G2176" s="339" t="str">
        <f t="shared" si="2"/>
        <v>:</v>
      </c>
      <c r="H2176" s="340">
        <f t="shared" si="3"/>
        <v>0</v>
      </c>
      <c r="I2176" s="341"/>
      <c r="J2176" s="332">
        <f>IFERROR(__xludf.DUMMYFUNCTION("IF(IF(COUNTIF(P$2:P2175, P2176)=0, """", INDEX(H$2:H2175,
MAX(FILTER(ROW(H$2:H2175) - ROW(H$2) + 1, P$2:P2175 = P2176))))=""単価"","""",
IF(COUNTIF(P$2:P2175, P2176)=0, """", INDEX(H$2:H2175,
MAX(FILTER(ROW(H$2:H2175) - ROW(H$2) + 1, P$2:P2175 = P2176)))))"),0.0)</f>
        <v>0</v>
      </c>
      <c r="N2176" s="335" t="str">
        <f>IF(MAXIFS('単価履歴'!$O:$O,'単価履歴'!$E:$E,E2176,'単価履歴'!$F:$F,F2176)=O2176,"●","")</f>
        <v>●</v>
      </c>
      <c r="O2176" s="346"/>
      <c r="P2176" s="334" t="str">
        <f t="shared" si="4"/>
        <v>:</v>
      </c>
    </row>
    <row r="2177" ht="15.75" customHeight="1">
      <c r="A2177" s="335"/>
      <c r="B2177" s="336"/>
      <c r="C2177" s="335"/>
      <c r="D2177" s="335"/>
      <c r="E2177" s="337" t="str">
        <f t="shared" si="1"/>
        <v>:</v>
      </c>
      <c r="F2177" s="338"/>
      <c r="G2177" s="339" t="str">
        <f t="shared" si="2"/>
        <v>:</v>
      </c>
      <c r="H2177" s="340">
        <f t="shared" si="3"/>
        <v>0</v>
      </c>
      <c r="I2177" s="341"/>
      <c r="J2177" s="332">
        <f>IFERROR(__xludf.DUMMYFUNCTION("IF(IF(COUNTIF(P$2:P2176, P2177)=0, """", INDEX(H$2:H2176,
MAX(FILTER(ROW(H$2:H2176) - ROW(H$2) + 1, P$2:P2176 = P2177))))=""単価"","""",
IF(COUNTIF(P$2:P2176, P2177)=0, """", INDEX(H$2:H2176,
MAX(FILTER(ROW(H$2:H2176) - ROW(H$2) + 1, P$2:P2176 = P2177)))))"),0.0)</f>
        <v>0</v>
      </c>
      <c r="N2177" s="335" t="str">
        <f>IF(MAXIFS('単価履歴'!$O:$O,'単価履歴'!$E:$E,E2177,'単価履歴'!$F:$F,F2177)=O2177,"●","")</f>
        <v>●</v>
      </c>
      <c r="O2177" s="346"/>
      <c r="P2177" s="334" t="str">
        <f t="shared" si="4"/>
        <v>:</v>
      </c>
    </row>
    <row r="2178" ht="15.75" customHeight="1">
      <c r="A2178" s="335"/>
      <c r="B2178" s="336"/>
      <c r="C2178" s="335"/>
      <c r="D2178" s="335"/>
      <c r="E2178" s="337" t="str">
        <f t="shared" si="1"/>
        <v>:</v>
      </c>
      <c r="F2178" s="338"/>
      <c r="G2178" s="339" t="str">
        <f t="shared" si="2"/>
        <v>:</v>
      </c>
      <c r="H2178" s="340">
        <f t="shared" si="3"/>
        <v>0</v>
      </c>
      <c r="I2178" s="341"/>
      <c r="J2178" s="332">
        <f>IFERROR(__xludf.DUMMYFUNCTION("IF(IF(COUNTIF(P$2:P2177, P2178)=0, """", INDEX(H$2:H2177,
MAX(FILTER(ROW(H$2:H2177) - ROW(H$2) + 1, P$2:P2177 = P2178))))=""単価"","""",
IF(COUNTIF(P$2:P2177, P2178)=0, """", INDEX(H$2:H2177,
MAX(FILTER(ROW(H$2:H2177) - ROW(H$2) + 1, P$2:P2177 = P2178)))))"),0.0)</f>
        <v>0</v>
      </c>
      <c r="N2178" s="335" t="str">
        <f>IF(MAXIFS('単価履歴'!$O:$O,'単価履歴'!$E:$E,E2178,'単価履歴'!$F:$F,F2178)=O2178,"●","")</f>
        <v>●</v>
      </c>
      <c r="O2178" s="346"/>
      <c r="P2178" s="334" t="str">
        <f t="shared" si="4"/>
        <v>:</v>
      </c>
    </row>
    <row r="2179" ht="15.75" customHeight="1">
      <c r="A2179" s="335"/>
      <c r="B2179" s="336"/>
      <c r="C2179" s="335"/>
      <c r="D2179" s="335"/>
      <c r="E2179" s="337" t="str">
        <f t="shared" si="1"/>
        <v>:</v>
      </c>
      <c r="F2179" s="338"/>
      <c r="G2179" s="339" t="str">
        <f t="shared" si="2"/>
        <v>:</v>
      </c>
      <c r="H2179" s="340">
        <f t="shared" si="3"/>
        <v>0</v>
      </c>
      <c r="I2179" s="341"/>
      <c r="J2179" s="332">
        <f>IFERROR(__xludf.DUMMYFUNCTION("IF(IF(COUNTIF(P$2:P2178, P2179)=0, """", INDEX(H$2:H2178,
MAX(FILTER(ROW(H$2:H2178) - ROW(H$2) + 1, P$2:P2178 = P2179))))=""単価"","""",
IF(COUNTIF(P$2:P2178, P2179)=0, """", INDEX(H$2:H2178,
MAX(FILTER(ROW(H$2:H2178) - ROW(H$2) + 1, P$2:P2178 = P2179)))))"),0.0)</f>
        <v>0</v>
      </c>
      <c r="N2179" s="335" t="str">
        <f>IF(MAXIFS('単価履歴'!$O:$O,'単価履歴'!$E:$E,E2179,'単価履歴'!$F:$F,F2179)=O2179,"●","")</f>
        <v>●</v>
      </c>
      <c r="O2179" s="346"/>
      <c r="P2179" s="334" t="str">
        <f t="shared" si="4"/>
        <v>:</v>
      </c>
    </row>
    <row r="2180" ht="15.75" customHeight="1">
      <c r="A2180" s="335"/>
      <c r="B2180" s="336"/>
      <c r="C2180" s="335"/>
      <c r="D2180" s="335"/>
      <c r="E2180" s="337" t="str">
        <f t="shared" si="1"/>
        <v>:</v>
      </c>
      <c r="F2180" s="338"/>
      <c r="G2180" s="339" t="str">
        <f t="shared" si="2"/>
        <v>:</v>
      </c>
      <c r="H2180" s="340">
        <f t="shared" si="3"/>
        <v>0</v>
      </c>
      <c r="I2180" s="341"/>
      <c r="J2180" s="332">
        <f>IFERROR(__xludf.DUMMYFUNCTION("IF(IF(COUNTIF(P$2:P2179, P2180)=0, """", INDEX(H$2:H2179,
MAX(FILTER(ROW(H$2:H2179) - ROW(H$2) + 1, P$2:P2179 = P2180))))=""単価"","""",
IF(COUNTIF(P$2:P2179, P2180)=0, """", INDEX(H$2:H2179,
MAX(FILTER(ROW(H$2:H2179) - ROW(H$2) + 1, P$2:P2179 = P2180)))))"),0.0)</f>
        <v>0</v>
      </c>
      <c r="N2180" s="335" t="str">
        <f>IF(MAXIFS('単価履歴'!$O:$O,'単価履歴'!$E:$E,E2180,'単価履歴'!$F:$F,F2180)=O2180,"●","")</f>
        <v>●</v>
      </c>
      <c r="O2180" s="346"/>
      <c r="P2180" s="334" t="str">
        <f t="shared" si="4"/>
        <v>:</v>
      </c>
    </row>
    <row r="2181" ht="15.75" customHeight="1">
      <c r="A2181" s="335" t="s">
        <v>3336</v>
      </c>
      <c r="B2181" s="336">
        <v>45861.0</v>
      </c>
      <c r="C2181" s="335" t="s">
        <v>29</v>
      </c>
      <c r="D2181" s="335" t="s">
        <v>63</v>
      </c>
      <c r="E2181" s="337" t="str">
        <f t="shared" si="1"/>
        <v>南港:ﾅﾝｾｲ</v>
      </c>
      <c r="F2181" s="338" t="s">
        <v>1199</v>
      </c>
      <c r="G2181" s="339" t="str">
        <f t="shared" si="2"/>
        <v>南港:ﾅﾝｾｲＨＳ１(単体H1/電特A/HS))</v>
      </c>
      <c r="H2181" s="340">
        <f t="shared" si="3"/>
        <v>43.5</v>
      </c>
      <c r="I2181" s="341">
        <v>-0.5</v>
      </c>
      <c r="J2181" s="332">
        <f>IFERROR(__xludf.DUMMYFUNCTION("IF(IF(COUNTIF(P$2:P2180, P2181)=0, """", INDEX(H$2:H2180,
MAX(FILTER(ROW(H$2:H2180) - ROW(H$2) + 1, P$2:P2180 = P2181))))=""単価"","""",
IF(COUNTIF(P$2:P2180, P2181)=0, """", INDEX(H$2:H2180,
MAX(FILTER(ROW(H$2:H2180) - ROW(H$2) + 1, P$2:P2180 = P2181)))))"),44.0)</f>
        <v>44</v>
      </c>
      <c r="N2181" s="335" t="str">
        <f>IF(MAXIFS('単価履歴'!$O:$O,'単価履歴'!$E:$E,E2181,'単価履歴'!$F:$F,F2181)=O2181,"●","")</f>
        <v/>
      </c>
      <c r="O2181" s="346">
        <v>45863.282546296294</v>
      </c>
      <c r="P2181" s="334" t="str">
        <f t="shared" si="4"/>
        <v>南港:ﾅﾝｾｲＨＳ１(単体H1/電特A/HS))</v>
      </c>
    </row>
    <row r="2182" ht="15.75" customHeight="1">
      <c r="A2182" s="335" t="s">
        <v>3337</v>
      </c>
      <c r="B2182" s="336">
        <v>45861.0</v>
      </c>
      <c r="C2182" s="335" t="s">
        <v>29</v>
      </c>
      <c r="D2182" s="335" t="s">
        <v>63</v>
      </c>
      <c r="E2182" s="337" t="str">
        <f t="shared" si="1"/>
        <v>南港:ﾅﾝｾｲ</v>
      </c>
      <c r="F2182" s="338" t="s">
        <v>130</v>
      </c>
      <c r="G2182" s="339" t="str">
        <f t="shared" si="2"/>
        <v>南港:ﾅﾝｾｲ新断Ａ</v>
      </c>
      <c r="H2182" s="340">
        <f t="shared" si="3"/>
        <v>43.5</v>
      </c>
      <c r="I2182" s="341">
        <v>-0.5</v>
      </c>
      <c r="J2182" s="332">
        <f>IFERROR(__xludf.DUMMYFUNCTION("IF(IF(COUNTIF(P$2:P2181, P2182)=0, """", INDEX(H$2:H2181,
MAX(FILTER(ROW(H$2:H2181) - ROW(H$2) + 1, P$2:P2181 = P2182))))=""単価"","""",
IF(COUNTIF(P$2:P2181, P2182)=0, """", INDEX(H$2:H2181,
MAX(FILTER(ROW(H$2:H2181) - ROW(H$2) + 1, P$2:P2181 = P2182)))))"),44.0)</f>
        <v>44</v>
      </c>
      <c r="N2182" s="335" t="str">
        <f>IF(MAXIFS('単価履歴'!$O:$O,'単価履歴'!$E:$E,E2182,'単価履歴'!$F:$F,F2182)=O2182,"●","")</f>
        <v>●</v>
      </c>
      <c r="O2182" s="346">
        <v>45863.282546296294</v>
      </c>
      <c r="P2182" s="334" t="str">
        <f t="shared" si="4"/>
        <v>南港:ﾅﾝｾｲ新断Ａ</v>
      </c>
    </row>
    <row r="2183" ht="15.75" customHeight="1">
      <c r="A2183" s="335" t="s">
        <v>3338</v>
      </c>
      <c r="B2183" s="336">
        <v>45861.0</v>
      </c>
      <c r="C2183" s="335" t="s">
        <v>29</v>
      </c>
      <c r="D2183" s="335" t="s">
        <v>63</v>
      </c>
      <c r="E2183" s="337" t="str">
        <f t="shared" si="1"/>
        <v>南港:ﾅﾝｾｲ</v>
      </c>
      <c r="F2183" s="338" t="s">
        <v>116</v>
      </c>
      <c r="G2183" s="339" t="str">
        <f t="shared" si="2"/>
        <v>南港:ﾅﾝｾｲＨ２(特級)</v>
      </c>
      <c r="H2183" s="340">
        <f t="shared" si="3"/>
        <v>38</v>
      </c>
      <c r="I2183" s="341">
        <v>-2.0</v>
      </c>
      <c r="J2183" s="332">
        <f>IFERROR(__xludf.DUMMYFUNCTION("IF(IF(COUNTIF(P$2:P2182, P2183)=0, """", INDEX(H$2:H2182,
MAX(FILTER(ROW(H$2:H2182) - ROW(H$2) + 1, P$2:P2182 = P2183))))=""単価"","""",
IF(COUNTIF(P$2:P2182, P2183)=0, """", INDEX(H$2:H2182,
MAX(FILTER(ROW(H$2:H2182) - ROW(H$2) + 1, P$2:P2182 = P2183)))))"),40.0)</f>
        <v>40</v>
      </c>
      <c r="N2183" s="335" t="str">
        <f>IF(MAXIFS('単価履歴'!$O:$O,'単価履歴'!$E:$E,E2183,'単価履歴'!$F:$F,F2183)=O2183,"●","")</f>
        <v/>
      </c>
      <c r="O2183" s="346">
        <v>45863.283159722225</v>
      </c>
      <c r="P2183" s="334" t="str">
        <f t="shared" si="4"/>
        <v>南港:ﾅﾝｾｲＨ２(特級)</v>
      </c>
    </row>
    <row r="2184" ht="15.75" customHeight="1">
      <c r="A2184" s="335" t="s">
        <v>3339</v>
      </c>
      <c r="B2184" s="336">
        <v>45864.0</v>
      </c>
      <c r="C2184" s="335" t="s">
        <v>11</v>
      </c>
      <c r="D2184" s="335" t="s">
        <v>46</v>
      </c>
      <c r="E2184" s="337" t="str">
        <f t="shared" si="1"/>
        <v>ﾔﾏﾄ:阪和</v>
      </c>
      <c r="F2184" s="338" t="s">
        <v>116</v>
      </c>
      <c r="G2184" s="339" t="str">
        <f t="shared" si="2"/>
        <v>ﾔﾏﾄ:阪和Ｈ２(特級)</v>
      </c>
      <c r="H2184" s="340">
        <f t="shared" si="3"/>
        <v>40.6</v>
      </c>
      <c r="I2184" s="341">
        <v>-0.5</v>
      </c>
      <c r="J2184" s="332">
        <f>IFERROR(__xludf.DUMMYFUNCTION("IF(IF(COUNTIF(P$2:P2183, P2184)=0, """", INDEX(H$2:H2183,
MAX(FILTER(ROW(H$2:H2183) - ROW(H$2) + 1, P$2:P2183 = P2184))))=""単価"","""",
IF(COUNTIF(P$2:P2183, P2184)=0, """", INDEX(H$2:H2183,
MAX(FILTER(ROW(H$2:H2183) - ROW(H$2) + 1, P$2:P2183 = P2184)))))"),41.1)</f>
        <v>41.1</v>
      </c>
      <c r="N2184" s="335" t="str">
        <f>IF(MAXIFS('単価履歴'!$O:$O,'単価履歴'!$E:$E,E2184,'単価履歴'!$F:$F,F2184)=O2184,"●","")</f>
        <v/>
      </c>
      <c r="O2184" s="346">
        <v>45863.71943287037</v>
      </c>
      <c r="P2184" s="334" t="str">
        <f t="shared" si="4"/>
        <v>ﾔﾏﾄ:阪和Ｈ２(特級)</v>
      </c>
    </row>
    <row r="2185" ht="15.75" customHeight="1">
      <c r="A2185" s="335" t="s">
        <v>3340</v>
      </c>
      <c r="B2185" s="336">
        <v>45864.0</v>
      </c>
      <c r="C2185" s="335" t="s">
        <v>11</v>
      </c>
      <c r="D2185" s="335" t="s">
        <v>46</v>
      </c>
      <c r="E2185" s="337" t="str">
        <f t="shared" si="1"/>
        <v>ﾔﾏﾄ:阪和</v>
      </c>
      <c r="F2185" s="338" t="s">
        <v>119</v>
      </c>
      <c r="G2185" s="339" t="str">
        <f t="shared" si="2"/>
        <v>ﾔﾏﾄ:阪和Ｈ３(1級)</v>
      </c>
      <c r="H2185" s="340">
        <f t="shared" si="3"/>
        <v>39.6</v>
      </c>
      <c r="I2185" s="341">
        <v>-0.5</v>
      </c>
      <c r="J2185" s="332">
        <f>IFERROR(__xludf.DUMMYFUNCTION("IF(IF(COUNTIF(P$2:P2184, P2185)=0, """", INDEX(H$2:H2184,
MAX(FILTER(ROW(H$2:H2184) - ROW(H$2) + 1, P$2:P2184 = P2185))))=""単価"","""",
IF(COUNTIF(P$2:P2184, P2185)=0, """", INDEX(H$2:H2184,
MAX(FILTER(ROW(H$2:H2184) - ROW(H$2) + 1, P$2:P2184 = P2185)))))"),40.1)</f>
        <v>40.1</v>
      </c>
      <c r="N2185" s="335" t="str">
        <f>IF(MAXIFS('単価履歴'!$O:$O,'単価履歴'!$E:$E,E2185,'単価履歴'!$F:$F,F2185)=O2185,"●","")</f>
        <v/>
      </c>
      <c r="O2185" s="346">
        <v>45863.71943287037</v>
      </c>
      <c r="P2185" s="334" t="str">
        <f t="shared" si="4"/>
        <v>ﾔﾏﾄ:阪和Ｈ３(1級)</v>
      </c>
    </row>
    <row r="2186" ht="15.75" customHeight="1">
      <c r="A2186" s="335" t="s">
        <v>3341</v>
      </c>
      <c r="B2186" s="336">
        <v>45864.0</v>
      </c>
      <c r="C2186" s="335" t="s">
        <v>11</v>
      </c>
      <c r="D2186" s="335" t="s">
        <v>46</v>
      </c>
      <c r="E2186" s="337" t="str">
        <f t="shared" si="1"/>
        <v>ﾔﾏﾄ:阪和</v>
      </c>
      <c r="F2186" s="338" t="s">
        <v>122</v>
      </c>
      <c r="G2186" s="339" t="str">
        <f t="shared" si="2"/>
        <v>ﾔﾏﾄ:阪和Ｌ１(2級)</v>
      </c>
      <c r="H2186" s="340">
        <f t="shared" si="3"/>
        <v>37.6</v>
      </c>
      <c r="I2186" s="341">
        <v>-0.5</v>
      </c>
      <c r="J2186" s="332">
        <f>IFERROR(__xludf.DUMMYFUNCTION("IF(IF(COUNTIF(P$2:P2185, P2186)=0, """", INDEX(H$2:H2185,
MAX(FILTER(ROW(H$2:H2185) - ROW(H$2) + 1, P$2:P2185 = P2186))))=""単価"","""",
IF(COUNTIF(P$2:P2185, P2186)=0, """", INDEX(H$2:H2185,
MAX(FILTER(ROW(H$2:H2185) - ROW(H$2) + 1, P$2:P2185 = P2186)))))"),38.1)</f>
        <v>38.1</v>
      </c>
      <c r="N2186" s="335" t="str">
        <f>IF(MAXIFS('単価履歴'!$O:$O,'単価履歴'!$E:$E,E2186,'単価履歴'!$F:$F,F2186)=O2186,"●","")</f>
        <v/>
      </c>
      <c r="O2186" s="346">
        <v>45863.71943287037</v>
      </c>
      <c r="P2186" s="334" t="str">
        <f t="shared" si="4"/>
        <v>ﾔﾏﾄ:阪和Ｌ１(2級)</v>
      </c>
    </row>
    <row r="2187" ht="15.75" customHeight="1">
      <c r="A2187" s="335" t="s">
        <v>3342</v>
      </c>
      <c r="B2187" s="336">
        <v>45864.0</v>
      </c>
      <c r="C2187" s="335" t="s">
        <v>11</v>
      </c>
      <c r="D2187" s="335" t="s">
        <v>46</v>
      </c>
      <c r="E2187" s="337" t="str">
        <f t="shared" si="1"/>
        <v>ﾔﾏﾄ:阪和</v>
      </c>
      <c r="F2187" s="338" t="s">
        <v>111</v>
      </c>
      <c r="G2187" s="339" t="str">
        <f t="shared" si="2"/>
        <v>ﾔﾏﾄ:阪和Ｈ１(特A)</v>
      </c>
      <c r="H2187" s="340">
        <f t="shared" si="3"/>
        <v>41.6</v>
      </c>
      <c r="I2187" s="341">
        <v>-0.5</v>
      </c>
      <c r="J2187" s="332">
        <f>IFERROR(__xludf.DUMMYFUNCTION("IF(IF(COUNTIF(P$2:P2186, P2187)=0, """", INDEX(H$2:H2186,
MAX(FILTER(ROW(H$2:H2186) - ROW(H$2) + 1, P$2:P2186 = P2187))))=""単価"","""",
IF(COUNTIF(P$2:P2186, P2187)=0, """", INDEX(H$2:H2186,
MAX(FILTER(ROW(H$2:H2186) - ROW(H$2) + 1, P$2:P2186 = P2187)))))"),42.1)</f>
        <v>42.1</v>
      </c>
      <c r="N2187" s="335" t="str">
        <f>IF(MAXIFS('単価履歴'!$O:$O,'単価履歴'!$E:$E,E2187,'単価履歴'!$F:$F,F2187)=O2187,"●","")</f>
        <v/>
      </c>
      <c r="O2187" s="346">
        <v>45863.71943287037</v>
      </c>
      <c r="P2187" s="334" t="str">
        <f t="shared" si="4"/>
        <v>ﾔﾏﾄ:阪和Ｈ１(特A)</v>
      </c>
    </row>
    <row r="2188" ht="15.75" customHeight="1">
      <c r="A2188" s="335" t="s">
        <v>3343</v>
      </c>
      <c r="B2188" s="336">
        <v>45864.0</v>
      </c>
      <c r="C2188" s="335" t="s">
        <v>11</v>
      </c>
      <c r="D2188" s="335" t="s">
        <v>46</v>
      </c>
      <c r="E2188" s="337" t="str">
        <f t="shared" si="1"/>
        <v>ﾔﾏﾄ:阪和</v>
      </c>
      <c r="F2188" s="338" t="s">
        <v>573</v>
      </c>
      <c r="G2188" s="339" t="str">
        <f t="shared" si="2"/>
        <v>ﾔﾏﾄ:阪和Ｌ２(H4･級外･L1ﾊﾞﾗ)</v>
      </c>
      <c r="H2188" s="340">
        <f t="shared" si="3"/>
        <v>35.1</v>
      </c>
      <c r="I2188" s="341">
        <v>-0.5</v>
      </c>
      <c r="J2188" s="332">
        <f>IFERROR(__xludf.DUMMYFUNCTION("IF(IF(COUNTIF(P$2:P2187, P2188)=0, """", INDEX(H$2:H2187,
MAX(FILTER(ROW(H$2:H2187) - ROW(H$2) + 1, P$2:P2187 = P2188))))=""単価"","""",
IF(COUNTIF(P$2:P2187, P2188)=0, """", INDEX(H$2:H2187,
MAX(FILTER(ROW(H$2:H2187) - ROW(H$2) + 1, P$2:P2187 = P2188)))))"),35.6)</f>
        <v>35.6</v>
      </c>
      <c r="N2188" s="335" t="str">
        <f>IF(MAXIFS('単価履歴'!$O:$O,'単価履歴'!$E:$E,E2188,'単価履歴'!$F:$F,F2188)=O2188,"●","")</f>
        <v/>
      </c>
      <c r="O2188" s="346">
        <v>45863.71943287037</v>
      </c>
      <c r="P2188" s="334" t="str">
        <f t="shared" si="4"/>
        <v>ﾔﾏﾄ:阪和Ｌ２(H4･級外･L1ﾊﾞﾗ)</v>
      </c>
    </row>
    <row r="2189" ht="15.75" customHeight="1">
      <c r="A2189" s="335" t="s">
        <v>3344</v>
      </c>
      <c r="B2189" s="336">
        <v>45864.0</v>
      </c>
      <c r="C2189" s="335" t="s">
        <v>533</v>
      </c>
      <c r="D2189" s="335" t="s">
        <v>77</v>
      </c>
      <c r="E2189" s="337" t="str">
        <f t="shared" si="1"/>
        <v>ﾏｷｳﾗ鋼業:直納</v>
      </c>
      <c r="F2189" s="338" t="s">
        <v>145</v>
      </c>
      <c r="G2189" s="339" t="str">
        <f t="shared" si="2"/>
        <v>ﾏｷｳﾗ鋼業:直納シュレＡ</v>
      </c>
      <c r="H2189" s="340">
        <f t="shared" si="3"/>
        <v>42</v>
      </c>
      <c r="I2189" s="341">
        <v>-0.5</v>
      </c>
      <c r="J2189" s="332">
        <f>IFERROR(__xludf.DUMMYFUNCTION("IF(IF(COUNTIF(P$2:P2188, P2189)=0, """", INDEX(H$2:H2188,
MAX(FILTER(ROW(H$2:H2188) - ROW(H$2) + 1, P$2:P2188 = P2189))))=""単価"","""",
IF(COUNTIF(P$2:P2188, P2189)=0, """", INDEX(H$2:H2188,
MAX(FILTER(ROW(H$2:H2188) - ROW(H$2) + 1, P$2:P2188 = P2189)))))"),42.5)</f>
        <v>42.5</v>
      </c>
      <c r="N2189" s="335" t="str">
        <f>IF(MAXIFS('単価履歴'!$O:$O,'単価履歴'!$E:$E,E2189,'単価履歴'!$F:$F,F2189)=O2189,"●","")</f>
        <v>●</v>
      </c>
      <c r="O2189" s="346">
        <v>45871.288773148146</v>
      </c>
      <c r="P2189" s="334" t="str">
        <f t="shared" si="4"/>
        <v>ﾏｷｳﾗ鋼業:直納シュレＡ</v>
      </c>
    </row>
    <row r="2190" ht="15.75" customHeight="1">
      <c r="A2190" s="335" t="s">
        <v>3345</v>
      </c>
      <c r="B2190" s="336">
        <v>45889.0</v>
      </c>
      <c r="C2190" s="335" t="s">
        <v>531</v>
      </c>
      <c r="D2190" s="335" t="s">
        <v>77</v>
      </c>
      <c r="E2190" s="337" t="str">
        <f t="shared" si="1"/>
        <v>東鐵関西:直納</v>
      </c>
      <c r="F2190" s="338" t="s">
        <v>1199</v>
      </c>
      <c r="G2190" s="339" t="str">
        <f t="shared" si="2"/>
        <v>東鐵関西:直納ＨＳ１(単体H1/電特A/HS))</v>
      </c>
      <c r="H2190" s="340">
        <f t="shared" si="3"/>
        <v>42</v>
      </c>
      <c r="I2190" s="341">
        <v>-0.5</v>
      </c>
      <c r="J2190" s="332">
        <f>IFERROR(__xludf.DUMMYFUNCTION("IF(IF(COUNTIF(P$2:P2189, P2190)=0, """", INDEX(H$2:H2189,
MAX(FILTER(ROW(H$2:H2189) - ROW(H$2) + 1, P$2:P2189 = P2190))))=""単価"","""",
IF(COUNTIF(P$2:P2189, P2190)=0, """", INDEX(H$2:H2189,
MAX(FILTER(ROW(H$2:H2189) - ROW(H$2) + 1, P$2:P2189 = P2190)))))"),42.5)</f>
        <v>42.5</v>
      </c>
      <c r="N2190" s="335" t="str">
        <f>IF(MAXIFS('単価履歴'!$O:$O,'単価履歴'!$E:$E,E2190,'単価履歴'!$F:$F,F2190)=O2190,"●","")</f>
        <v/>
      </c>
      <c r="O2190" s="346">
        <v>45889.25015046296</v>
      </c>
      <c r="P2190" s="334" t="str">
        <f t="shared" si="4"/>
        <v>東鐵関西:直納ＨＳ１(単体H1/電特A/HS))</v>
      </c>
    </row>
    <row r="2191" ht="15.75" customHeight="1">
      <c r="A2191" s="335" t="s">
        <v>3346</v>
      </c>
      <c r="B2191" s="336">
        <v>45889.0</v>
      </c>
      <c r="C2191" s="335" t="s">
        <v>531</v>
      </c>
      <c r="D2191" s="335" t="s">
        <v>77</v>
      </c>
      <c r="E2191" s="337" t="str">
        <f t="shared" si="1"/>
        <v>東鐵関西:直納</v>
      </c>
      <c r="F2191" s="338" t="s">
        <v>122</v>
      </c>
      <c r="G2191" s="339" t="str">
        <f t="shared" si="2"/>
        <v>東鐵関西:直納Ｌ１(2級)</v>
      </c>
      <c r="H2191" s="340">
        <f t="shared" si="3"/>
        <v>37.5</v>
      </c>
      <c r="I2191" s="341">
        <v>-0.5</v>
      </c>
      <c r="J2191" s="332">
        <f>IFERROR(__xludf.DUMMYFUNCTION("IF(IF(COUNTIF(P$2:P2190, P2191)=0, """", INDEX(H$2:H2190,
MAX(FILTER(ROW(H$2:H2190) - ROW(H$2) + 1, P$2:P2190 = P2191))))=""単価"","""",
IF(COUNTIF(P$2:P2190, P2191)=0, """", INDEX(H$2:H2190,
MAX(FILTER(ROW(H$2:H2190) - ROW(H$2) + 1, P$2:P2190 = P2191)))))"),38.0)</f>
        <v>38</v>
      </c>
      <c r="N2191" s="335" t="str">
        <f>IF(MAXIFS('単価履歴'!$O:$O,'単価履歴'!$E:$E,E2191,'単価履歴'!$F:$F,F2191)=O2191,"●","")</f>
        <v/>
      </c>
      <c r="O2191" s="346">
        <v>45889.25015046296</v>
      </c>
      <c r="P2191" s="334" t="str">
        <f t="shared" si="4"/>
        <v>東鐵関西:直納Ｌ１(2級)</v>
      </c>
    </row>
    <row r="2192" ht="15.75" customHeight="1">
      <c r="A2192" s="335" t="s">
        <v>3347</v>
      </c>
      <c r="B2192" s="336">
        <v>45889.0</v>
      </c>
      <c r="C2192" s="335" t="s">
        <v>531</v>
      </c>
      <c r="D2192" s="335" t="s">
        <v>77</v>
      </c>
      <c r="E2192" s="337" t="str">
        <f t="shared" si="1"/>
        <v>東鐵関西:直納</v>
      </c>
      <c r="F2192" s="338" t="s">
        <v>111</v>
      </c>
      <c r="G2192" s="339" t="str">
        <f t="shared" si="2"/>
        <v>東鐵関西:直納Ｈ１(特A)</v>
      </c>
      <c r="H2192" s="340">
        <f t="shared" si="3"/>
        <v>41.5</v>
      </c>
      <c r="I2192" s="341">
        <v>-0.5</v>
      </c>
      <c r="J2192" s="332">
        <f>IFERROR(__xludf.DUMMYFUNCTION("IF(IF(COUNTIF(P$2:P2191, P2192)=0, """", INDEX(H$2:H2191,
MAX(FILTER(ROW(H$2:H2191) - ROW(H$2) + 1, P$2:P2191 = P2192))))=""単価"","""",
IF(COUNTIF(P$2:P2191, P2192)=0, """", INDEX(H$2:H2191,
MAX(FILTER(ROW(H$2:H2191) - ROW(H$2) + 1, P$2:P2191 = P2192)))))"),42.0)</f>
        <v>42</v>
      </c>
      <c r="N2192" s="335" t="str">
        <f>IF(MAXIFS('単価履歴'!$O:$O,'単価履歴'!$E:$E,E2192,'単価履歴'!$F:$F,F2192)=O2192,"●","")</f>
        <v/>
      </c>
      <c r="O2192" s="346">
        <v>45889.25015046296</v>
      </c>
      <c r="P2192" s="334" t="str">
        <f t="shared" si="4"/>
        <v>東鐵関西:直納Ｈ１(特A)</v>
      </c>
    </row>
    <row r="2193" ht="15.75" customHeight="1">
      <c r="A2193" s="335" t="s">
        <v>3348</v>
      </c>
      <c r="B2193" s="336">
        <v>45889.0</v>
      </c>
      <c r="C2193" s="335" t="s">
        <v>531</v>
      </c>
      <c r="D2193" s="335" t="s">
        <v>77</v>
      </c>
      <c r="E2193" s="337" t="str">
        <f t="shared" si="1"/>
        <v>東鐵関西:直納</v>
      </c>
      <c r="F2193" s="338" t="s">
        <v>573</v>
      </c>
      <c r="G2193" s="339" t="str">
        <f t="shared" si="2"/>
        <v>東鐵関西:直納Ｌ２(H4･級外･L1ﾊﾞﾗ)</v>
      </c>
      <c r="H2193" s="340">
        <f t="shared" si="3"/>
        <v>34.5</v>
      </c>
      <c r="I2193" s="341">
        <v>-0.5</v>
      </c>
      <c r="J2193" s="332">
        <f>IFERROR(__xludf.DUMMYFUNCTION("IF(IF(COUNTIF(P$2:P2192, P2193)=0, """", INDEX(H$2:H2192,
MAX(FILTER(ROW(H$2:H2192) - ROW(H$2) + 1, P$2:P2192 = P2193))))=""単価"","""",
IF(COUNTIF(P$2:P2192, P2193)=0, """", INDEX(H$2:H2192,
MAX(FILTER(ROW(H$2:H2192) - ROW(H$2) + 1, P$2:P2192 = P2193)))))"),35.0)</f>
        <v>35</v>
      </c>
      <c r="N2193" s="335" t="str">
        <f>IF(MAXIFS('単価履歴'!$O:$O,'単価履歴'!$E:$E,E2193,'単価履歴'!$F:$F,F2193)=O2193,"●","")</f>
        <v/>
      </c>
      <c r="O2193" s="346">
        <v>45889.25015046296</v>
      </c>
      <c r="P2193" s="334" t="str">
        <f t="shared" si="4"/>
        <v>東鐵関西:直納Ｌ２(H4･級外･L1ﾊﾞﾗ)</v>
      </c>
    </row>
    <row r="2194" ht="15.75" customHeight="1">
      <c r="A2194" s="335" t="s">
        <v>3349</v>
      </c>
      <c r="B2194" s="336">
        <v>45889.0</v>
      </c>
      <c r="C2194" s="335" t="s">
        <v>531</v>
      </c>
      <c r="D2194" s="335" t="s">
        <v>77</v>
      </c>
      <c r="E2194" s="337" t="str">
        <f t="shared" si="1"/>
        <v>東鐵関西:直納</v>
      </c>
      <c r="F2194" s="338" t="s">
        <v>116</v>
      </c>
      <c r="G2194" s="339" t="str">
        <f t="shared" si="2"/>
        <v>東鐵関西:直納Ｈ２(特級)</v>
      </c>
      <c r="H2194" s="340">
        <f t="shared" si="3"/>
        <v>39.5</v>
      </c>
      <c r="I2194" s="341">
        <v>-0.5</v>
      </c>
      <c r="J2194" s="332">
        <f>IFERROR(__xludf.DUMMYFUNCTION("IF(IF(COUNTIF(P$2:P2193, P2194)=0, """", INDEX(H$2:H2193,
MAX(FILTER(ROW(H$2:H2193) - ROW(H$2) + 1, P$2:P2193 = P2194))))=""単価"","""",
IF(COUNTIF(P$2:P2193, P2194)=0, """", INDEX(H$2:H2193,
MAX(FILTER(ROW(H$2:H2193) - ROW(H$2) + 1, P$2:P2193 = P2194)))))"),40.0)</f>
        <v>40</v>
      </c>
      <c r="N2194" s="335" t="str">
        <f>IF(MAXIFS('単価履歴'!$O:$O,'単価履歴'!$E:$E,E2194,'単価履歴'!$F:$F,F2194)=O2194,"●","")</f>
        <v/>
      </c>
      <c r="O2194" s="346">
        <v>45889.25015046296</v>
      </c>
      <c r="P2194" s="334" t="str">
        <f t="shared" si="4"/>
        <v>東鐵関西:直納Ｈ２(特級)</v>
      </c>
    </row>
    <row r="2195" ht="15.75" customHeight="1">
      <c r="A2195" s="335" t="s">
        <v>3350</v>
      </c>
      <c r="B2195" s="336">
        <v>45889.0</v>
      </c>
      <c r="C2195" s="335" t="s">
        <v>531</v>
      </c>
      <c r="D2195" s="335" t="s">
        <v>77</v>
      </c>
      <c r="E2195" s="337" t="str">
        <f t="shared" si="1"/>
        <v>東鐵関西:直納</v>
      </c>
      <c r="F2195" s="338" t="s">
        <v>145</v>
      </c>
      <c r="G2195" s="339" t="str">
        <f t="shared" si="2"/>
        <v>東鐵関西:直納シュレＡ</v>
      </c>
      <c r="H2195" s="340">
        <f t="shared" si="3"/>
        <v>41.5</v>
      </c>
      <c r="I2195" s="341">
        <v>-0.5</v>
      </c>
      <c r="J2195" s="332">
        <f>IFERROR(__xludf.DUMMYFUNCTION("IF(IF(COUNTIF(P$2:P2194, P2195)=0, """", INDEX(H$2:H2194,
MAX(FILTER(ROW(H$2:H2194) - ROW(H$2) + 1, P$2:P2194 = P2195))))=""単価"","""",
IF(COUNTIF(P$2:P2194, P2195)=0, """", INDEX(H$2:H2194,
MAX(FILTER(ROW(H$2:H2194) - ROW(H$2) + 1, P$2:P2194 = P2195)))))"),42.0)</f>
        <v>42</v>
      </c>
      <c r="N2195" s="335" t="str">
        <f>IF(MAXIFS('単価履歴'!$O:$O,'単価履歴'!$E:$E,E2195,'単価履歴'!$F:$F,F2195)=O2195,"●","")</f>
        <v/>
      </c>
      <c r="O2195" s="346">
        <v>45889.25015046296</v>
      </c>
      <c r="P2195" s="334" t="str">
        <f t="shared" si="4"/>
        <v>東鐵関西:直納シュレＡ</v>
      </c>
    </row>
    <row r="2196" ht="15.75" customHeight="1">
      <c r="A2196" s="335" t="s">
        <v>3351</v>
      </c>
      <c r="B2196" s="336">
        <v>45889.0</v>
      </c>
      <c r="C2196" s="335" t="s">
        <v>531</v>
      </c>
      <c r="D2196" s="335" t="s">
        <v>77</v>
      </c>
      <c r="E2196" s="337" t="str">
        <f t="shared" si="1"/>
        <v>東鐵関西:直納</v>
      </c>
      <c r="F2196" s="338" t="s">
        <v>119</v>
      </c>
      <c r="G2196" s="339" t="str">
        <f t="shared" si="2"/>
        <v>東鐵関西:直納Ｈ３(1級)</v>
      </c>
      <c r="H2196" s="340">
        <f t="shared" si="3"/>
        <v>39.5</v>
      </c>
      <c r="I2196" s="341">
        <v>-0.5</v>
      </c>
      <c r="J2196" s="332">
        <f>IFERROR(__xludf.DUMMYFUNCTION("IF(IF(COUNTIF(P$2:P2195, P2196)=0, """", INDEX(H$2:H2195,
MAX(FILTER(ROW(H$2:H2195) - ROW(H$2) + 1, P$2:P2195 = P2196))))=""単価"","""",
IF(COUNTIF(P$2:P2195, P2196)=0, """", INDEX(H$2:H2195,
MAX(FILTER(ROW(H$2:H2195) - ROW(H$2) + 1, P$2:P2195 = P2196)))))"),40.0)</f>
        <v>40</v>
      </c>
      <c r="N2196" s="335" t="str">
        <f>IF(MAXIFS('単価履歴'!$O:$O,'単価履歴'!$E:$E,E2196,'単価履歴'!$F:$F,F2196)=O2196,"●","")</f>
        <v/>
      </c>
      <c r="O2196" s="346">
        <v>45889.25015046296</v>
      </c>
      <c r="P2196" s="334" t="str">
        <f t="shared" si="4"/>
        <v>東鐵関西:直納Ｈ３(1級)</v>
      </c>
    </row>
    <row r="2197" ht="15.75" customHeight="1">
      <c r="A2197" s="335" t="s">
        <v>3352</v>
      </c>
      <c r="B2197" s="336">
        <v>45889.0</v>
      </c>
      <c r="C2197" s="335" t="s">
        <v>531</v>
      </c>
      <c r="D2197" s="335" t="s">
        <v>77</v>
      </c>
      <c r="E2197" s="337" t="str">
        <f t="shared" si="1"/>
        <v>東鐵関西:直納</v>
      </c>
      <c r="F2197" s="338" t="s">
        <v>151</v>
      </c>
      <c r="G2197" s="339" t="str">
        <f t="shared" si="2"/>
        <v>東鐵関西:直納シュレＣ</v>
      </c>
      <c r="H2197" s="340">
        <f t="shared" si="3"/>
        <v>40.5</v>
      </c>
      <c r="I2197" s="341">
        <v>-0.5</v>
      </c>
      <c r="J2197" s="332">
        <f>IFERROR(__xludf.DUMMYFUNCTION("IF(IF(COUNTIF(P$2:P2196, P2197)=0, """", INDEX(H$2:H2196,
MAX(FILTER(ROW(H$2:H2196) - ROW(H$2) + 1, P$2:P2196 = P2197))))=""単価"","""",
IF(COUNTIF(P$2:P2196, P2197)=0, """", INDEX(H$2:H2196,
MAX(FILTER(ROW(H$2:H2196) - ROW(H$2) + 1, P$2:P2196 = P2197)))))"),41.0)</f>
        <v>41</v>
      </c>
      <c r="N2197" s="335" t="str">
        <f>IF(MAXIFS('単価履歴'!$O:$O,'単価履歴'!$E:$E,E2197,'単価履歴'!$F:$F,F2197)=O2197,"●","")</f>
        <v/>
      </c>
      <c r="O2197" s="346">
        <v>45889.25015046296</v>
      </c>
      <c r="P2197" s="334" t="str">
        <f t="shared" si="4"/>
        <v>東鐵関西:直納シュレＣ</v>
      </c>
    </row>
    <row r="2198" ht="15.75" customHeight="1">
      <c r="A2198" s="335" t="s">
        <v>3353</v>
      </c>
      <c r="B2198" s="336">
        <v>45891.0</v>
      </c>
      <c r="C2198" s="335" t="s">
        <v>532</v>
      </c>
      <c r="D2198" s="335" t="s">
        <v>77</v>
      </c>
      <c r="E2198" s="337" t="str">
        <f t="shared" si="1"/>
        <v>東鐵岡山:直納</v>
      </c>
      <c r="F2198" s="338" t="s">
        <v>1199</v>
      </c>
      <c r="G2198" s="339" t="str">
        <f t="shared" si="2"/>
        <v>東鐵岡山:直納ＨＳ１(単体H1/電特A/HS))</v>
      </c>
      <c r="H2198" s="340">
        <f t="shared" si="3"/>
        <v>41.5</v>
      </c>
      <c r="I2198" s="341">
        <v>-0.5</v>
      </c>
      <c r="J2198" s="332">
        <f>IFERROR(__xludf.DUMMYFUNCTION("IF(IF(COUNTIF(P$2:P2197, P2198)=0, """", INDEX(H$2:H2197,
MAX(FILTER(ROW(H$2:H2197) - ROW(H$2) + 1, P$2:P2197 = P2198))))=""単価"","""",
IF(COUNTIF(P$2:P2197, P2198)=0, """", INDEX(H$2:H2197,
MAX(FILTER(ROW(H$2:H2197) - ROW(H$2) + 1, P$2:P2197 = P2198)))))"),42.0)</f>
        <v>42</v>
      </c>
      <c r="N2198" s="335" t="str">
        <f>IF(MAXIFS('単価履歴'!$O:$O,'単価履歴'!$E:$E,E2198,'単価履歴'!$F:$F,F2198)=O2198,"●","")</f>
        <v/>
      </c>
      <c r="O2198" s="346">
        <v>45890.74146990741</v>
      </c>
      <c r="P2198" s="334" t="str">
        <f t="shared" si="4"/>
        <v>東鐵岡山:直納ＨＳ１(単体H1/電特A/HS))</v>
      </c>
    </row>
    <row r="2199" ht="15.75" customHeight="1">
      <c r="A2199" s="335" t="s">
        <v>3354</v>
      </c>
      <c r="B2199" s="336">
        <v>45891.0</v>
      </c>
      <c r="C2199" s="335" t="s">
        <v>532</v>
      </c>
      <c r="D2199" s="335" t="s">
        <v>77</v>
      </c>
      <c r="E2199" s="337" t="str">
        <f t="shared" si="1"/>
        <v>東鐵岡山:直納</v>
      </c>
      <c r="F2199" s="338" t="s">
        <v>111</v>
      </c>
      <c r="G2199" s="339" t="str">
        <f t="shared" si="2"/>
        <v>東鐵岡山:直納Ｈ１(特A)</v>
      </c>
      <c r="H2199" s="340">
        <f t="shared" si="3"/>
        <v>40.2</v>
      </c>
      <c r="I2199" s="341">
        <v>-0.5</v>
      </c>
      <c r="J2199" s="332">
        <f>IFERROR(__xludf.DUMMYFUNCTION("IF(IF(COUNTIF(P$2:P2198, P2199)=0, """", INDEX(H$2:H2198,
MAX(FILTER(ROW(H$2:H2198) - ROW(H$2) + 1, P$2:P2198 = P2199))))=""単価"","""",
IF(COUNTIF(P$2:P2198, P2199)=0, """", INDEX(H$2:H2198,
MAX(FILTER(ROW(H$2:H2198) - ROW(H$2) + 1, P$2:P2198 = P2199)))))"),40.7)</f>
        <v>40.7</v>
      </c>
      <c r="N2199" s="335" t="str">
        <f>IF(MAXIFS('単価履歴'!$O:$O,'単価履歴'!$E:$E,E2199,'単価履歴'!$F:$F,F2199)=O2199,"●","")</f>
        <v/>
      </c>
      <c r="O2199" s="346">
        <v>45890.74146990741</v>
      </c>
      <c r="P2199" s="334" t="str">
        <f t="shared" si="4"/>
        <v>東鐵岡山:直納Ｈ１(特A)</v>
      </c>
    </row>
    <row r="2200" ht="15.75" customHeight="1">
      <c r="A2200" s="335" t="s">
        <v>3355</v>
      </c>
      <c r="B2200" s="336">
        <v>45891.0</v>
      </c>
      <c r="C2200" s="335" t="s">
        <v>532</v>
      </c>
      <c r="D2200" s="335" t="s">
        <v>77</v>
      </c>
      <c r="E2200" s="337" t="str">
        <f t="shared" si="1"/>
        <v>東鐵岡山:直納</v>
      </c>
      <c r="F2200" s="338" t="s">
        <v>116</v>
      </c>
      <c r="G2200" s="339" t="str">
        <f t="shared" si="2"/>
        <v>東鐵岡山:直納Ｈ２(特級)</v>
      </c>
      <c r="H2200" s="340">
        <f t="shared" si="3"/>
        <v>39.5</v>
      </c>
      <c r="I2200" s="341">
        <v>-0.5</v>
      </c>
      <c r="J2200" s="332">
        <f>IFERROR(__xludf.DUMMYFUNCTION("IF(IF(COUNTIF(P$2:P2199, P2200)=0, """", INDEX(H$2:H2199,
MAX(FILTER(ROW(H$2:H2199) - ROW(H$2) + 1, P$2:P2199 = P2200))))=""単価"","""",
IF(COUNTIF(P$2:P2199, P2200)=0, """", INDEX(H$2:H2199,
MAX(FILTER(ROW(H$2:H2199) - ROW(H$2) + 1, P$2:P2199 = P2200)))))"),40.0)</f>
        <v>40</v>
      </c>
      <c r="N2200" s="335" t="str">
        <f>IF(MAXIFS('単価履歴'!$O:$O,'単価履歴'!$E:$E,E2200,'単価履歴'!$F:$F,F2200)=O2200,"●","")</f>
        <v/>
      </c>
      <c r="O2200" s="346">
        <v>45890.74146990741</v>
      </c>
      <c r="P2200" s="334" t="str">
        <f t="shared" si="4"/>
        <v>東鐵岡山:直納Ｈ２(特級)</v>
      </c>
    </row>
    <row r="2201" ht="15.75" customHeight="1">
      <c r="A2201" s="335" t="s">
        <v>3356</v>
      </c>
      <c r="B2201" s="336">
        <v>45891.0</v>
      </c>
      <c r="C2201" s="335" t="s">
        <v>532</v>
      </c>
      <c r="D2201" s="335" t="s">
        <v>77</v>
      </c>
      <c r="E2201" s="337" t="str">
        <f t="shared" si="1"/>
        <v>東鐵岡山:直納</v>
      </c>
      <c r="F2201" s="338" t="s">
        <v>119</v>
      </c>
      <c r="G2201" s="339" t="str">
        <f t="shared" si="2"/>
        <v>東鐵岡山:直納Ｈ３(1級)</v>
      </c>
      <c r="H2201" s="340">
        <f t="shared" si="3"/>
        <v>39</v>
      </c>
      <c r="I2201" s="341">
        <v>-0.5</v>
      </c>
      <c r="J2201" s="332">
        <f>IFERROR(__xludf.DUMMYFUNCTION("IF(IF(COUNTIF(P$2:P2200, P2201)=0, """", INDEX(H$2:H2200,
MAX(FILTER(ROW(H$2:H2200) - ROW(H$2) + 1, P$2:P2200 = P2201))))=""単価"","""",
IF(COUNTIF(P$2:P2200, P2201)=0, """", INDEX(H$2:H2200,
MAX(FILTER(ROW(H$2:H2200) - ROW(H$2) + 1, P$2:P2200 = P2201)))))"),39.5)</f>
        <v>39.5</v>
      </c>
      <c r="N2201" s="335" t="str">
        <f>IF(MAXIFS('単価履歴'!$O:$O,'単価履歴'!$E:$E,E2201,'単価履歴'!$F:$F,F2201)=O2201,"●","")</f>
        <v/>
      </c>
      <c r="O2201" s="346">
        <v>45890.74146990741</v>
      </c>
      <c r="P2201" s="334" t="str">
        <f t="shared" si="4"/>
        <v>東鐵岡山:直納Ｈ３(1級)</v>
      </c>
    </row>
    <row r="2202" ht="15.75" customHeight="1">
      <c r="A2202" s="335" t="s">
        <v>3357</v>
      </c>
      <c r="B2202" s="336">
        <v>45891.0</v>
      </c>
      <c r="C2202" s="335" t="s">
        <v>532</v>
      </c>
      <c r="D2202" s="335" t="s">
        <v>77</v>
      </c>
      <c r="E2202" s="337" t="str">
        <f t="shared" si="1"/>
        <v>東鐵岡山:直納</v>
      </c>
      <c r="F2202" s="338" t="s">
        <v>122</v>
      </c>
      <c r="G2202" s="339" t="str">
        <f t="shared" si="2"/>
        <v>東鐵岡山:直納Ｌ１(2級)</v>
      </c>
      <c r="H2202" s="340">
        <f t="shared" si="3"/>
        <v>37.5</v>
      </c>
      <c r="I2202" s="341">
        <v>-0.5</v>
      </c>
      <c r="J2202" s="332">
        <f>IFERROR(__xludf.DUMMYFUNCTION("IF(IF(COUNTIF(P$2:P2201, P2202)=0, """", INDEX(H$2:H2201,
MAX(FILTER(ROW(H$2:H2201) - ROW(H$2) + 1, P$2:P2201 = P2202))))=""単価"","""",
IF(COUNTIF(P$2:P2201, P2202)=0, """", INDEX(H$2:H2201,
MAX(FILTER(ROW(H$2:H2201) - ROW(H$2) + 1, P$2:P2201 = P2202)))))"),38.0)</f>
        <v>38</v>
      </c>
      <c r="N2202" s="335" t="str">
        <f>IF(MAXIFS('単価履歴'!$O:$O,'単価履歴'!$E:$E,E2202,'単価履歴'!$F:$F,F2202)=O2202,"●","")</f>
        <v/>
      </c>
      <c r="O2202" s="346">
        <v>45890.74146990741</v>
      </c>
      <c r="P2202" s="334" t="str">
        <f t="shared" si="4"/>
        <v>東鐵岡山:直納Ｌ１(2級)</v>
      </c>
    </row>
    <row r="2203" ht="15.75" customHeight="1">
      <c r="A2203" s="335" t="s">
        <v>3358</v>
      </c>
      <c r="B2203" s="336">
        <v>45891.0</v>
      </c>
      <c r="C2203" s="335" t="s">
        <v>532</v>
      </c>
      <c r="D2203" s="335" t="s">
        <v>77</v>
      </c>
      <c r="E2203" s="337" t="str">
        <f t="shared" si="1"/>
        <v>東鐵岡山:直納</v>
      </c>
      <c r="F2203" s="338" t="s">
        <v>573</v>
      </c>
      <c r="G2203" s="339" t="str">
        <f t="shared" si="2"/>
        <v>東鐵岡山:直納Ｌ２(H4･級外･L1ﾊﾞﾗ)</v>
      </c>
      <c r="H2203" s="340">
        <f t="shared" si="3"/>
        <v>34.5</v>
      </c>
      <c r="I2203" s="341">
        <v>-0.5</v>
      </c>
      <c r="J2203" s="332">
        <f>IFERROR(__xludf.DUMMYFUNCTION("IF(IF(COUNTIF(P$2:P2202, P2203)=0, """", INDEX(H$2:H2202,
MAX(FILTER(ROW(H$2:H2202) - ROW(H$2) + 1, P$2:P2202 = P2203))))=""単価"","""",
IF(COUNTIF(P$2:P2202, P2203)=0, """", INDEX(H$2:H2202,
MAX(FILTER(ROW(H$2:H2202) - ROW(H$2) + 1, P$2:P2202 = P2203)))))"),35.0)</f>
        <v>35</v>
      </c>
      <c r="N2203" s="335" t="str">
        <f>IF(MAXIFS('単価履歴'!$O:$O,'単価履歴'!$E:$E,E2203,'単価履歴'!$F:$F,F2203)=O2203,"●","")</f>
        <v/>
      </c>
      <c r="O2203" s="346">
        <v>45890.74146990741</v>
      </c>
      <c r="P2203" s="334" t="str">
        <f t="shared" si="4"/>
        <v>東鐵岡山:直納Ｌ２(H4･級外･L1ﾊﾞﾗ)</v>
      </c>
    </row>
    <row r="2204" ht="15.75" customHeight="1">
      <c r="A2204" s="335" t="s">
        <v>3359</v>
      </c>
      <c r="B2204" s="336">
        <v>45891.0</v>
      </c>
      <c r="C2204" s="335" t="s">
        <v>532</v>
      </c>
      <c r="D2204" s="335" t="s">
        <v>77</v>
      </c>
      <c r="E2204" s="337" t="str">
        <f t="shared" si="1"/>
        <v>東鐵岡山:直納</v>
      </c>
      <c r="F2204" s="338" t="s">
        <v>145</v>
      </c>
      <c r="G2204" s="339" t="str">
        <f t="shared" si="2"/>
        <v>東鐵岡山:直納シュレＡ</v>
      </c>
      <c r="H2204" s="340">
        <f t="shared" si="3"/>
        <v>40</v>
      </c>
      <c r="I2204" s="341">
        <v>-0.5</v>
      </c>
      <c r="J2204" s="332">
        <f>IFERROR(__xludf.DUMMYFUNCTION("IF(IF(COUNTIF(P$2:P2203, P2204)=0, """", INDEX(H$2:H2203,
MAX(FILTER(ROW(H$2:H2203) - ROW(H$2) + 1, P$2:P2203 = P2204))))=""単価"","""",
IF(COUNTIF(P$2:P2203, P2204)=0, """", INDEX(H$2:H2203,
MAX(FILTER(ROW(H$2:H2203) - ROW(H$2) + 1, P$2:P2203 = P2204)))))"),40.5)</f>
        <v>40.5</v>
      </c>
      <c r="N2204" s="335" t="str">
        <f>IF(MAXIFS('単価履歴'!$O:$O,'単価履歴'!$E:$E,E2204,'単価履歴'!$F:$F,F2204)=O2204,"●","")</f>
        <v/>
      </c>
      <c r="O2204" s="346">
        <v>45890.74146990741</v>
      </c>
      <c r="P2204" s="334" t="str">
        <f t="shared" si="4"/>
        <v>東鐵岡山:直納シュレＡ</v>
      </c>
    </row>
    <row r="2205" ht="15.75" customHeight="1">
      <c r="A2205" s="335" t="s">
        <v>3360</v>
      </c>
      <c r="B2205" s="336">
        <v>45891.0</v>
      </c>
      <c r="C2205" s="335" t="s">
        <v>532</v>
      </c>
      <c r="D2205" s="335" t="s">
        <v>77</v>
      </c>
      <c r="E2205" s="337" t="str">
        <f t="shared" si="1"/>
        <v>東鐵岡山:直納</v>
      </c>
      <c r="F2205" s="338" t="s">
        <v>151</v>
      </c>
      <c r="G2205" s="339" t="str">
        <f t="shared" si="2"/>
        <v>東鐵岡山:直納シュレＣ</v>
      </c>
      <c r="H2205" s="340">
        <f t="shared" si="3"/>
        <v>39.5</v>
      </c>
      <c r="I2205" s="341">
        <v>-0.5</v>
      </c>
      <c r="J2205" s="332">
        <f>IFERROR(__xludf.DUMMYFUNCTION("IF(IF(COUNTIF(P$2:P2204, P2205)=0, """", INDEX(H$2:H2204,
MAX(FILTER(ROW(H$2:H2204) - ROW(H$2) + 1, P$2:P2204 = P2205))))=""単価"","""",
IF(COUNTIF(P$2:P2204, P2205)=0, """", INDEX(H$2:H2204,
MAX(FILTER(ROW(H$2:H2204) - ROW(H$2) + 1, P$2:P2204 = P2205)))))"),40.0)</f>
        <v>40</v>
      </c>
      <c r="N2205" s="335" t="str">
        <f>IF(MAXIFS('単価履歴'!$O:$O,'単価履歴'!$E:$E,E2205,'単価履歴'!$F:$F,F2205)=O2205,"●","")</f>
        <v/>
      </c>
      <c r="O2205" s="346">
        <v>45890.74146990741</v>
      </c>
      <c r="P2205" s="334" t="str">
        <f t="shared" si="4"/>
        <v>東鐵岡山:直納シュレＣ</v>
      </c>
    </row>
    <row r="2206" ht="15.75" customHeight="1">
      <c r="A2206" s="335" t="s">
        <v>3361</v>
      </c>
      <c r="B2206" s="336">
        <v>45891.0</v>
      </c>
      <c r="C2206" s="335" t="s">
        <v>532</v>
      </c>
      <c r="D2206" s="335" t="s">
        <v>77</v>
      </c>
      <c r="E2206" s="337" t="str">
        <f t="shared" si="1"/>
        <v>東鐵岡山:直納</v>
      </c>
      <c r="F2206" s="338" t="s">
        <v>130</v>
      </c>
      <c r="G2206" s="339" t="str">
        <f t="shared" si="2"/>
        <v>東鐵岡山:直納新断Ａ</v>
      </c>
      <c r="H2206" s="340">
        <f t="shared" si="3"/>
        <v>40.5</v>
      </c>
      <c r="I2206" s="341">
        <v>-0.5</v>
      </c>
      <c r="J2206" s="332">
        <f>IFERROR(__xludf.DUMMYFUNCTION("IF(IF(COUNTIF(P$2:P2205, P2206)=0, """", INDEX(H$2:H2205,
MAX(FILTER(ROW(H$2:H2205) - ROW(H$2) + 1, P$2:P2205 = P2206))))=""単価"","""",
IF(COUNTIF(P$2:P2205, P2206)=0, """", INDEX(H$2:H2205,
MAX(FILTER(ROW(H$2:H2205) - ROW(H$2) + 1, P$2:P2205 = P2206)))))"),41.0)</f>
        <v>41</v>
      </c>
      <c r="N2206" s="335" t="str">
        <f>IF(MAXIFS('単価履歴'!$O:$O,'単価履歴'!$E:$E,E2206,'単価履歴'!$F:$F,F2206)=O2206,"●","")</f>
        <v/>
      </c>
      <c r="O2206" s="346">
        <v>45890.74146990741</v>
      </c>
      <c r="P2206" s="334" t="str">
        <f t="shared" si="4"/>
        <v>東鐵岡山:直納新断Ａ</v>
      </c>
    </row>
    <row r="2207" ht="15.75" customHeight="1">
      <c r="A2207" s="335" t="s">
        <v>3362</v>
      </c>
      <c r="B2207" s="336">
        <v>45891.0</v>
      </c>
      <c r="C2207" s="335" t="s">
        <v>532</v>
      </c>
      <c r="D2207" s="335" t="s">
        <v>77</v>
      </c>
      <c r="E2207" s="337" t="str">
        <f t="shared" si="1"/>
        <v>東鐵岡山:直納</v>
      </c>
      <c r="F2207" s="338" t="s">
        <v>131</v>
      </c>
      <c r="G2207" s="339" t="str">
        <f t="shared" si="2"/>
        <v>東鐵岡山:直納新断Ｂ</v>
      </c>
      <c r="H2207" s="340">
        <f t="shared" si="3"/>
        <v>40.5</v>
      </c>
      <c r="I2207" s="341">
        <v>-0.5</v>
      </c>
      <c r="J2207" s="332">
        <f>IFERROR(__xludf.DUMMYFUNCTION("IF(IF(COUNTIF(P$2:P2206, P2207)=0, """", INDEX(H$2:H2206,
MAX(FILTER(ROW(H$2:H2206) - ROW(H$2) + 1, P$2:P2206 = P2207))))=""単価"","""",
IF(COUNTIF(P$2:P2206, P2207)=0, """", INDEX(H$2:H2206,
MAX(FILTER(ROW(H$2:H2206) - ROW(H$2) + 1, P$2:P2206 = P2207)))))"),41.0)</f>
        <v>41</v>
      </c>
      <c r="N2207" s="335" t="str">
        <f>IF(MAXIFS('単価履歴'!$O:$O,'単価履歴'!$E:$E,E2207,'単価履歴'!$F:$F,F2207)=O2207,"●","")</f>
        <v/>
      </c>
      <c r="O2207" s="346">
        <v>45890.74146990741</v>
      </c>
      <c r="P2207" s="334" t="str">
        <f t="shared" si="4"/>
        <v>東鐵岡山:直納新断Ｂ</v>
      </c>
    </row>
    <row r="2208" ht="15.75" customHeight="1">
      <c r="A2208" s="335" t="s">
        <v>3363</v>
      </c>
      <c r="B2208" s="336">
        <v>45891.0</v>
      </c>
      <c r="C2208" s="335" t="s">
        <v>532</v>
      </c>
      <c r="D2208" s="335" t="s">
        <v>77</v>
      </c>
      <c r="E2208" s="337" t="str">
        <f t="shared" si="1"/>
        <v>東鐵岡山:直納</v>
      </c>
      <c r="F2208" s="338" t="s">
        <v>575</v>
      </c>
      <c r="G2208" s="339" t="str">
        <f t="shared" si="2"/>
        <v>東鐵岡山:直納鋼ダライＡ</v>
      </c>
      <c r="H2208" s="340">
        <f t="shared" si="3"/>
        <v>35.5</v>
      </c>
      <c r="I2208" s="341">
        <v>-0.5</v>
      </c>
      <c r="J2208" s="332">
        <f>IFERROR(__xludf.DUMMYFUNCTION("IF(IF(COUNTIF(P$2:P2207, P2208)=0, """", INDEX(H$2:H2207,
MAX(FILTER(ROW(H$2:H2207) - ROW(H$2) + 1, P$2:P2207 = P2208))))=""単価"","""",
IF(COUNTIF(P$2:P2207, P2208)=0, """", INDEX(H$2:H2207,
MAX(FILTER(ROW(H$2:H2207) - ROW(H$2) + 1, P$2:P2207 = P2208)))))"),36.0)</f>
        <v>36</v>
      </c>
      <c r="N2208" s="335" t="str">
        <f>IF(MAXIFS('単価履歴'!$O:$O,'単価履歴'!$E:$E,E2208,'単価履歴'!$F:$F,F2208)=O2208,"●","")</f>
        <v/>
      </c>
      <c r="O2208" s="346">
        <v>45890.74146990741</v>
      </c>
      <c r="P2208" s="334" t="str">
        <f t="shared" si="4"/>
        <v>東鐵岡山:直納鋼ダライＡ</v>
      </c>
    </row>
    <row r="2209" ht="15.75" customHeight="1">
      <c r="A2209" s="335" t="s">
        <v>3364</v>
      </c>
      <c r="B2209" s="336">
        <v>45891.0</v>
      </c>
      <c r="C2209" s="335" t="s">
        <v>532</v>
      </c>
      <c r="D2209" s="335" t="s">
        <v>77</v>
      </c>
      <c r="E2209" s="337" t="str">
        <f t="shared" si="1"/>
        <v>東鐵岡山:直納</v>
      </c>
      <c r="F2209" s="338" t="s">
        <v>25</v>
      </c>
      <c r="G2209" s="339" t="str">
        <f t="shared" si="2"/>
        <v>東鐵岡山:直納銑ダライ</v>
      </c>
      <c r="H2209" s="340">
        <f t="shared" si="3"/>
        <v>32</v>
      </c>
      <c r="I2209" s="341">
        <v>-0.5</v>
      </c>
      <c r="J2209" s="332">
        <f>IFERROR(__xludf.DUMMYFUNCTION("IF(IF(COUNTIF(P$2:P2208, P2209)=0, """", INDEX(H$2:H2208,
MAX(FILTER(ROW(H$2:H2208) - ROW(H$2) + 1, P$2:P2208 = P2209))))=""単価"","""",
IF(COUNTIF(P$2:P2208, P2209)=0, """", INDEX(H$2:H2208,
MAX(FILTER(ROW(H$2:H2208) - ROW(H$2) + 1, P$2:P2208 = P2209)))))"),32.5)</f>
        <v>32.5</v>
      </c>
      <c r="N2209" s="335" t="str">
        <f>IF(MAXIFS('単価履歴'!$O:$O,'単価履歴'!$E:$E,E2209,'単価履歴'!$F:$F,F2209)=O2209,"●","")</f>
        <v/>
      </c>
      <c r="O2209" s="346">
        <v>45890.74146990741</v>
      </c>
      <c r="P2209" s="334" t="str">
        <f t="shared" si="4"/>
        <v>東鐵岡山:直納銑ダライ</v>
      </c>
    </row>
    <row r="2210" ht="15.75" customHeight="1">
      <c r="A2210" s="335" t="s">
        <v>3365</v>
      </c>
      <c r="B2210" s="336">
        <v>45891.0</v>
      </c>
      <c r="C2210" s="335" t="s">
        <v>532</v>
      </c>
      <c r="D2210" s="335" t="s">
        <v>77</v>
      </c>
      <c r="E2210" s="337" t="str">
        <f t="shared" si="1"/>
        <v>東鐵岡山:直納</v>
      </c>
      <c r="F2210" s="338" t="s">
        <v>154</v>
      </c>
      <c r="G2210" s="339" t="str">
        <f t="shared" si="2"/>
        <v>東鐵岡山:直納ＣＰ Ａ</v>
      </c>
      <c r="H2210" s="340">
        <f t="shared" si="3"/>
        <v>38</v>
      </c>
      <c r="I2210" s="341">
        <v>-0.5</v>
      </c>
      <c r="J2210" s="332">
        <f>IFERROR(__xludf.DUMMYFUNCTION("IF(IF(COUNTIF(P$2:P2209, P2210)=0, """", INDEX(H$2:H2209,
MAX(FILTER(ROW(H$2:H2209) - ROW(H$2) + 1, P$2:P2209 = P2210))))=""単価"","""",
IF(COUNTIF(P$2:P2209, P2210)=0, """", INDEX(H$2:H2209,
MAX(FILTER(ROW(H$2:H2209) - ROW(H$2) + 1, P$2:P2209 = P2210)))))"),38.5)</f>
        <v>38.5</v>
      </c>
      <c r="N2210" s="335" t="str">
        <f>IF(MAXIFS('単価履歴'!$O:$O,'単価履歴'!$E:$E,E2210,'単価履歴'!$F:$F,F2210)=O2210,"●","")</f>
        <v/>
      </c>
      <c r="O2210" s="346">
        <v>45890.74146990741</v>
      </c>
      <c r="P2210" s="334" t="str">
        <f t="shared" si="4"/>
        <v>東鐵岡山:直納ＣＰ Ａ</v>
      </c>
    </row>
    <row r="2211" ht="15.75" customHeight="1">
      <c r="A2211" s="335" t="s">
        <v>3366</v>
      </c>
      <c r="B2211" s="336">
        <v>45891.0</v>
      </c>
      <c r="C2211" s="335" t="s">
        <v>12</v>
      </c>
      <c r="D2211" s="335" t="s">
        <v>50</v>
      </c>
      <c r="E2211" s="337" t="str">
        <f t="shared" si="1"/>
        <v>山陽特殊:産振</v>
      </c>
      <c r="F2211" s="338" t="s">
        <v>1199</v>
      </c>
      <c r="G2211" s="339" t="str">
        <f t="shared" si="2"/>
        <v>山陽特殊:産振ＨＳ１(単体H1/電特A/HS))</v>
      </c>
      <c r="H2211" s="340">
        <f t="shared" si="3"/>
        <v>42.1</v>
      </c>
      <c r="I2211" s="341">
        <v>-0.5</v>
      </c>
      <c r="J2211" s="332">
        <f>IFERROR(__xludf.DUMMYFUNCTION("IF(IF(COUNTIF(P$2:P2210, P2211)=0, """", INDEX(H$2:H2210,
MAX(FILTER(ROW(H$2:H2210) - ROW(H$2) + 1, P$2:P2210 = P2211))))=""単価"","""",
IF(COUNTIF(P$2:P2210, P2211)=0, """", INDEX(H$2:H2210,
MAX(FILTER(ROW(H$2:H2210) - ROW(H$2) + 1, P$2:P2210 = P2211)))))"),42.6)</f>
        <v>42.6</v>
      </c>
      <c r="N2211" s="335" t="str">
        <f>IF(MAXIFS('単価履歴'!$O:$O,'単価履歴'!$E:$E,E2211,'単価履歴'!$F:$F,F2211)=O2211,"●","")</f>
        <v/>
      </c>
      <c r="O2211" s="346">
        <v>45890.74302083333</v>
      </c>
      <c r="P2211" s="334" t="str">
        <f t="shared" si="4"/>
        <v>山陽特殊:産振ＨＳ１(単体H1/電特A/HS))</v>
      </c>
    </row>
    <row r="2212" ht="15.75" customHeight="1">
      <c r="A2212" s="335" t="s">
        <v>3367</v>
      </c>
      <c r="B2212" s="336">
        <v>45891.0</v>
      </c>
      <c r="C2212" s="335" t="s">
        <v>12</v>
      </c>
      <c r="D2212" s="335" t="s">
        <v>50</v>
      </c>
      <c r="E2212" s="337" t="str">
        <f t="shared" si="1"/>
        <v>山陽特殊:産振</v>
      </c>
      <c r="F2212" s="338" t="s">
        <v>101</v>
      </c>
      <c r="G2212" s="339" t="str">
        <f t="shared" si="2"/>
        <v>山陽特殊:産振ＨＳ２</v>
      </c>
      <c r="H2212" s="340">
        <f t="shared" si="3"/>
        <v>41.9</v>
      </c>
      <c r="I2212" s="341">
        <v>-0.5</v>
      </c>
      <c r="J2212" s="332">
        <f>IFERROR(__xludf.DUMMYFUNCTION("IF(IF(COUNTIF(P$2:P2211, P2212)=0, """", INDEX(H$2:H2211,
MAX(FILTER(ROW(H$2:H2211) - ROW(H$2) + 1, P$2:P2211 = P2212))))=""単価"","""",
IF(COUNTIF(P$2:P2211, P2212)=0, """", INDEX(H$2:H2211,
MAX(FILTER(ROW(H$2:H2211) - ROW(H$2) + 1, P$2:P2211 = P2212)))))"),42.4)</f>
        <v>42.4</v>
      </c>
      <c r="N2212" s="335" t="str">
        <f>IF(MAXIFS('単価履歴'!$O:$O,'単価履歴'!$E:$E,E2212,'単価履歴'!$F:$F,F2212)=O2212,"●","")</f>
        <v/>
      </c>
      <c r="O2212" s="346">
        <v>45890.74302083333</v>
      </c>
      <c r="P2212" s="334" t="str">
        <f t="shared" si="4"/>
        <v>山陽特殊:産振ＨＳ２</v>
      </c>
    </row>
    <row r="2213" ht="15.75" customHeight="1">
      <c r="A2213" s="335" t="s">
        <v>3368</v>
      </c>
      <c r="B2213" s="336">
        <v>45891.0</v>
      </c>
      <c r="C2213" s="335" t="s">
        <v>12</v>
      </c>
      <c r="D2213" s="335" t="s">
        <v>50</v>
      </c>
      <c r="E2213" s="337" t="str">
        <f t="shared" si="1"/>
        <v>山陽特殊:産振</v>
      </c>
      <c r="F2213" s="338" t="s">
        <v>105</v>
      </c>
      <c r="G2213" s="339" t="str">
        <f t="shared" si="2"/>
        <v>山陽特殊:産振ＨＳ３</v>
      </c>
      <c r="H2213" s="340">
        <f t="shared" si="3"/>
        <v>39.9</v>
      </c>
      <c r="I2213" s="341">
        <v>-0.5</v>
      </c>
      <c r="J2213" s="332">
        <f>IFERROR(__xludf.DUMMYFUNCTION("IF(IF(COUNTIF(P$2:P2212, P2213)=0, """", INDEX(H$2:H2212,
MAX(FILTER(ROW(H$2:H2212) - ROW(H$2) + 1, P$2:P2212 = P2213))))=""単価"","""",
IF(COUNTIF(P$2:P2212, P2213)=0, """", INDEX(H$2:H2212,
MAX(FILTER(ROW(H$2:H2212) - ROW(H$2) + 1, P$2:P2212 = P2213)))))"),40.4)</f>
        <v>40.4</v>
      </c>
      <c r="N2213" s="335" t="str">
        <f>IF(MAXIFS('単価履歴'!$O:$O,'単価履歴'!$E:$E,E2213,'単価履歴'!$F:$F,F2213)=O2213,"●","")</f>
        <v/>
      </c>
      <c r="O2213" s="346">
        <v>45890.74302083333</v>
      </c>
      <c r="P2213" s="334" t="str">
        <f t="shared" si="4"/>
        <v>山陽特殊:産振ＨＳ３</v>
      </c>
    </row>
    <row r="2214" ht="15.75" customHeight="1">
      <c r="A2214" s="335" t="s">
        <v>3369</v>
      </c>
      <c r="B2214" s="336">
        <v>45896.0</v>
      </c>
      <c r="C2214" s="335" t="s">
        <v>531</v>
      </c>
      <c r="D2214" s="335" t="s">
        <v>77</v>
      </c>
      <c r="E2214" s="337" t="str">
        <f t="shared" si="1"/>
        <v>東鐵関西:直納</v>
      </c>
      <c r="F2214" s="338" t="s">
        <v>1199</v>
      </c>
      <c r="G2214" s="339" t="str">
        <f t="shared" si="2"/>
        <v>東鐵関西:直納ＨＳ１(単体H1/電特A/HS))</v>
      </c>
      <c r="H2214" s="340">
        <f t="shared" si="3"/>
        <v>41.5</v>
      </c>
      <c r="I2214" s="341">
        <v>-0.5</v>
      </c>
      <c r="J2214" s="332">
        <f>IFERROR(__xludf.DUMMYFUNCTION("IF(IF(COUNTIF(P$2:P2213, P2214)=0, """", INDEX(H$2:H2213,
MAX(FILTER(ROW(H$2:H2213) - ROW(H$2) + 1, P$2:P2213 = P2214))))=""単価"","""",
IF(COUNTIF(P$2:P2213, P2214)=0, """", INDEX(H$2:H2213,
MAX(FILTER(ROW(H$2:H2213) - ROW(H$2) + 1, P$2:P2213 = P2214)))))"),42.0)</f>
        <v>42</v>
      </c>
      <c r="N2214" s="335" t="str">
        <f>IF(MAXIFS('単価履歴'!$O:$O,'単価履歴'!$E:$E,E2214,'単価履歴'!$F:$F,F2214)=O2214,"●","")</f>
        <v/>
      </c>
      <c r="O2214" s="346">
        <v>45896.26832175926</v>
      </c>
      <c r="P2214" s="334" t="str">
        <f t="shared" si="4"/>
        <v>東鐵関西:直納ＨＳ１(単体H1/電特A/HS))</v>
      </c>
    </row>
    <row r="2215" ht="15.75" customHeight="1">
      <c r="A2215" s="335" t="s">
        <v>3370</v>
      </c>
      <c r="B2215" s="336">
        <v>45896.0</v>
      </c>
      <c r="C2215" s="335" t="s">
        <v>531</v>
      </c>
      <c r="D2215" s="335" t="s">
        <v>77</v>
      </c>
      <c r="E2215" s="337" t="str">
        <f t="shared" si="1"/>
        <v>東鐵関西:直納</v>
      </c>
      <c r="F2215" s="338" t="s">
        <v>111</v>
      </c>
      <c r="G2215" s="339" t="str">
        <f t="shared" si="2"/>
        <v>東鐵関西:直納Ｈ１(特A)</v>
      </c>
      <c r="H2215" s="340">
        <f t="shared" si="3"/>
        <v>41</v>
      </c>
      <c r="I2215" s="341">
        <v>-0.5</v>
      </c>
      <c r="J2215" s="332">
        <f>IFERROR(__xludf.DUMMYFUNCTION("IF(IF(COUNTIF(P$2:P2214, P2215)=0, """", INDEX(H$2:H2214,
MAX(FILTER(ROW(H$2:H2214) - ROW(H$2) + 1, P$2:P2214 = P2215))))=""単価"","""",
IF(COUNTIF(P$2:P2214, P2215)=0, """", INDEX(H$2:H2214,
MAX(FILTER(ROW(H$2:H2214) - ROW(H$2) + 1, P$2:P2214 = P2215)))))"),41.5)</f>
        <v>41.5</v>
      </c>
      <c r="N2215" s="335" t="str">
        <f>IF(MAXIFS('単価履歴'!$O:$O,'単価履歴'!$E:$E,E2215,'単価履歴'!$F:$F,F2215)=O2215,"●","")</f>
        <v/>
      </c>
      <c r="O2215" s="346">
        <v>45896.26832175926</v>
      </c>
      <c r="P2215" s="334" t="str">
        <f t="shared" si="4"/>
        <v>東鐵関西:直納Ｈ１(特A)</v>
      </c>
    </row>
    <row r="2216" ht="15.75" customHeight="1">
      <c r="A2216" s="335" t="s">
        <v>3371</v>
      </c>
      <c r="B2216" s="336">
        <v>45896.0</v>
      </c>
      <c r="C2216" s="335" t="s">
        <v>531</v>
      </c>
      <c r="D2216" s="335" t="s">
        <v>77</v>
      </c>
      <c r="E2216" s="337" t="str">
        <f t="shared" si="1"/>
        <v>東鐵関西:直納</v>
      </c>
      <c r="F2216" s="338" t="s">
        <v>116</v>
      </c>
      <c r="G2216" s="339" t="str">
        <f t="shared" si="2"/>
        <v>東鐵関西:直納Ｈ２(特級)</v>
      </c>
      <c r="H2216" s="340">
        <f t="shared" si="3"/>
        <v>39</v>
      </c>
      <c r="I2216" s="341">
        <v>-0.5</v>
      </c>
      <c r="J2216" s="332">
        <f>IFERROR(__xludf.DUMMYFUNCTION("IF(IF(COUNTIF(P$2:P2215, P2216)=0, """", INDEX(H$2:H2215,
MAX(FILTER(ROW(H$2:H2215) - ROW(H$2) + 1, P$2:P2215 = P2216))))=""単価"","""",
IF(COUNTIF(P$2:P2215, P2216)=0, """", INDEX(H$2:H2215,
MAX(FILTER(ROW(H$2:H2215) - ROW(H$2) + 1, P$2:P2215 = P2216)))))"),39.5)</f>
        <v>39.5</v>
      </c>
      <c r="N2216" s="335" t="str">
        <f>IF(MAXIFS('単価履歴'!$O:$O,'単価履歴'!$E:$E,E2216,'単価履歴'!$F:$F,F2216)=O2216,"●","")</f>
        <v/>
      </c>
      <c r="O2216" s="346">
        <v>45896.26832175926</v>
      </c>
      <c r="P2216" s="334" t="str">
        <f t="shared" si="4"/>
        <v>東鐵関西:直納Ｈ２(特級)</v>
      </c>
    </row>
    <row r="2217" ht="15.75" customHeight="1">
      <c r="A2217" s="335" t="s">
        <v>3372</v>
      </c>
      <c r="B2217" s="336">
        <v>45896.0</v>
      </c>
      <c r="C2217" s="335" t="s">
        <v>531</v>
      </c>
      <c r="D2217" s="335" t="s">
        <v>77</v>
      </c>
      <c r="E2217" s="337" t="str">
        <f t="shared" si="1"/>
        <v>東鐵関西:直納</v>
      </c>
      <c r="F2217" s="338" t="s">
        <v>119</v>
      </c>
      <c r="G2217" s="339" t="str">
        <f t="shared" si="2"/>
        <v>東鐵関西:直納Ｈ３(1級)</v>
      </c>
      <c r="H2217" s="340">
        <f t="shared" si="3"/>
        <v>39</v>
      </c>
      <c r="I2217" s="341">
        <v>-0.5</v>
      </c>
      <c r="J2217" s="332">
        <f>IFERROR(__xludf.DUMMYFUNCTION("IF(IF(COUNTIF(P$2:P2216, P2217)=0, """", INDEX(H$2:H2216,
MAX(FILTER(ROW(H$2:H2216) - ROW(H$2) + 1, P$2:P2216 = P2217))))=""単価"","""",
IF(COUNTIF(P$2:P2216, P2217)=0, """", INDEX(H$2:H2216,
MAX(FILTER(ROW(H$2:H2216) - ROW(H$2) + 1, P$2:P2216 = P2217)))))"),39.5)</f>
        <v>39.5</v>
      </c>
      <c r="N2217" s="335" t="str">
        <f>IF(MAXIFS('単価履歴'!$O:$O,'単価履歴'!$E:$E,E2217,'単価履歴'!$F:$F,F2217)=O2217,"●","")</f>
        <v/>
      </c>
      <c r="O2217" s="346">
        <v>45896.26832175926</v>
      </c>
      <c r="P2217" s="334" t="str">
        <f t="shared" si="4"/>
        <v>東鐵関西:直納Ｈ３(1級)</v>
      </c>
    </row>
    <row r="2218" ht="15.75" customHeight="1">
      <c r="A2218" s="335" t="s">
        <v>3373</v>
      </c>
      <c r="B2218" s="336">
        <v>45896.0</v>
      </c>
      <c r="C2218" s="335" t="s">
        <v>531</v>
      </c>
      <c r="D2218" s="335" t="s">
        <v>77</v>
      </c>
      <c r="E2218" s="337" t="str">
        <f t="shared" si="1"/>
        <v>東鐵関西:直納</v>
      </c>
      <c r="F2218" s="338" t="s">
        <v>122</v>
      </c>
      <c r="G2218" s="339" t="str">
        <f t="shared" si="2"/>
        <v>東鐵関西:直納Ｌ１(2級)</v>
      </c>
      <c r="H2218" s="340">
        <f t="shared" si="3"/>
        <v>37</v>
      </c>
      <c r="I2218" s="341">
        <v>-0.5</v>
      </c>
      <c r="J2218" s="332">
        <f>IFERROR(__xludf.DUMMYFUNCTION("IF(IF(COUNTIF(P$2:P2217, P2218)=0, """", INDEX(H$2:H2217,
MAX(FILTER(ROW(H$2:H2217) - ROW(H$2) + 1, P$2:P2217 = P2218))))=""単価"","""",
IF(COUNTIF(P$2:P2217, P2218)=0, """", INDEX(H$2:H2217,
MAX(FILTER(ROW(H$2:H2217) - ROW(H$2) + 1, P$2:P2217 = P2218)))))"),37.5)</f>
        <v>37.5</v>
      </c>
      <c r="N2218" s="335" t="str">
        <f>IF(MAXIFS('単価履歴'!$O:$O,'単価履歴'!$E:$E,E2218,'単価履歴'!$F:$F,F2218)=O2218,"●","")</f>
        <v/>
      </c>
      <c r="O2218" s="346">
        <v>45896.26832175926</v>
      </c>
      <c r="P2218" s="334" t="str">
        <f t="shared" si="4"/>
        <v>東鐵関西:直納Ｌ１(2級)</v>
      </c>
    </row>
    <row r="2219" ht="15.75" customHeight="1">
      <c r="A2219" s="335" t="s">
        <v>3374</v>
      </c>
      <c r="B2219" s="336">
        <v>45896.0</v>
      </c>
      <c r="C2219" s="335" t="s">
        <v>531</v>
      </c>
      <c r="D2219" s="335" t="s">
        <v>77</v>
      </c>
      <c r="E2219" s="337" t="str">
        <f t="shared" si="1"/>
        <v>東鐵関西:直納</v>
      </c>
      <c r="F2219" s="338" t="s">
        <v>573</v>
      </c>
      <c r="G2219" s="339" t="str">
        <f t="shared" si="2"/>
        <v>東鐵関西:直納Ｌ２(H4･級外･L1ﾊﾞﾗ)</v>
      </c>
      <c r="H2219" s="340">
        <f t="shared" si="3"/>
        <v>34</v>
      </c>
      <c r="I2219" s="341">
        <v>-0.5</v>
      </c>
      <c r="J2219" s="332">
        <f>IFERROR(__xludf.DUMMYFUNCTION("IF(IF(COUNTIF(P$2:P2218, P2219)=0, """", INDEX(H$2:H2218,
MAX(FILTER(ROW(H$2:H2218) - ROW(H$2) + 1, P$2:P2218 = P2219))))=""単価"","""",
IF(COUNTIF(P$2:P2218, P2219)=0, """", INDEX(H$2:H2218,
MAX(FILTER(ROW(H$2:H2218) - ROW(H$2) + 1, P$2:P2218 = P2219)))))"),34.5)</f>
        <v>34.5</v>
      </c>
      <c r="N2219" s="335" t="str">
        <f>IF(MAXIFS('単価履歴'!$O:$O,'単価履歴'!$E:$E,E2219,'単価履歴'!$F:$F,F2219)=O2219,"●","")</f>
        <v/>
      </c>
      <c r="O2219" s="346">
        <v>45896.26832175926</v>
      </c>
      <c r="P2219" s="334" t="str">
        <f t="shared" si="4"/>
        <v>東鐵関西:直納Ｌ２(H4･級外･L1ﾊﾞﾗ)</v>
      </c>
    </row>
    <row r="2220" ht="15.75" customHeight="1">
      <c r="A2220" s="335" t="s">
        <v>3375</v>
      </c>
      <c r="B2220" s="336">
        <v>45896.0</v>
      </c>
      <c r="C2220" s="335" t="s">
        <v>531</v>
      </c>
      <c r="D2220" s="335" t="s">
        <v>77</v>
      </c>
      <c r="E2220" s="337" t="str">
        <f t="shared" si="1"/>
        <v>東鐵関西:直納</v>
      </c>
      <c r="F2220" s="338" t="s">
        <v>145</v>
      </c>
      <c r="G2220" s="339" t="str">
        <f t="shared" si="2"/>
        <v>東鐵関西:直納シュレＡ</v>
      </c>
      <c r="H2220" s="340">
        <f t="shared" si="3"/>
        <v>41</v>
      </c>
      <c r="I2220" s="341">
        <v>-0.5</v>
      </c>
      <c r="J2220" s="332">
        <f>IFERROR(__xludf.DUMMYFUNCTION("IF(IF(COUNTIF(P$2:P2219, P2220)=0, """", INDEX(H$2:H2219,
MAX(FILTER(ROW(H$2:H2219) - ROW(H$2) + 1, P$2:P2219 = P2220))))=""単価"","""",
IF(COUNTIF(P$2:P2219, P2220)=0, """", INDEX(H$2:H2219,
MAX(FILTER(ROW(H$2:H2219) - ROW(H$2) + 1, P$2:P2219 = P2220)))))"),41.5)</f>
        <v>41.5</v>
      </c>
      <c r="N2220" s="335" t="str">
        <f>IF(MAXIFS('単価履歴'!$O:$O,'単価履歴'!$E:$E,E2220,'単価履歴'!$F:$F,F2220)=O2220,"●","")</f>
        <v/>
      </c>
      <c r="O2220" s="346">
        <v>45896.26832175926</v>
      </c>
      <c r="P2220" s="334" t="str">
        <f t="shared" si="4"/>
        <v>東鐵関西:直納シュレＡ</v>
      </c>
    </row>
    <row r="2221" ht="15.75" customHeight="1">
      <c r="A2221" s="335" t="s">
        <v>3376</v>
      </c>
      <c r="B2221" s="336">
        <v>45896.0</v>
      </c>
      <c r="C2221" s="335" t="s">
        <v>531</v>
      </c>
      <c r="D2221" s="335" t="s">
        <v>77</v>
      </c>
      <c r="E2221" s="337" t="str">
        <f t="shared" si="1"/>
        <v>東鐵関西:直納</v>
      </c>
      <c r="F2221" s="338" t="s">
        <v>151</v>
      </c>
      <c r="G2221" s="339" t="str">
        <f t="shared" si="2"/>
        <v>東鐵関西:直納シュレＣ</v>
      </c>
      <c r="H2221" s="340">
        <f t="shared" si="3"/>
        <v>40</v>
      </c>
      <c r="I2221" s="341">
        <v>-0.5</v>
      </c>
      <c r="J2221" s="332">
        <f>IFERROR(__xludf.DUMMYFUNCTION("IF(IF(COUNTIF(P$2:P2220, P2221)=0, """", INDEX(H$2:H2220,
MAX(FILTER(ROW(H$2:H2220) - ROW(H$2) + 1, P$2:P2220 = P2221))))=""単価"","""",
IF(COUNTIF(P$2:P2220, P2221)=0, """", INDEX(H$2:H2220,
MAX(FILTER(ROW(H$2:H2220) - ROW(H$2) + 1, P$2:P2220 = P2221)))))"),40.5)</f>
        <v>40.5</v>
      </c>
      <c r="N2221" s="335" t="str">
        <f>IF(MAXIFS('単価履歴'!$O:$O,'単価履歴'!$E:$E,E2221,'単価履歴'!$F:$F,F2221)=O2221,"●","")</f>
        <v/>
      </c>
      <c r="O2221" s="346">
        <v>45896.26832175926</v>
      </c>
      <c r="P2221" s="334" t="str">
        <f t="shared" si="4"/>
        <v>東鐵関西:直納シュレＣ</v>
      </c>
    </row>
    <row r="2222" ht="15.75" customHeight="1">
      <c r="A2222" s="335" t="s">
        <v>3377</v>
      </c>
      <c r="B2222" s="336">
        <v>45896.0</v>
      </c>
      <c r="C2222" s="335" t="s">
        <v>532</v>
      </c>
      <c r="D2222" s="335" t="s">
        <v>77</v>
      </c>
      <c r="E2222" s="337" t="str">
        <f t="shared" si="1"/>
        <v>東鐵岡山:直納</v>
      </c>
      <c r="F2222" s="338" t="s">
        <v>1199</v>
      </c>
      <c r="G2222" s="339" t="str">
        <f t="shared" si="2"/>
        <v>東鐵岡山:直納ＨＳ１(単体H1/電特A/HS))</v>
      </c>
      <c r="H2222" s="340">
        <f t="shared" si="3"/>
        <v>41</v>
      </c>
      <c r="I2222" s="341">
        <v>-0.5</v>
      </c>
      <c r="J2222" s="332">
        <f>IFERROR(__xludf.DUMMYFUNCTION("IF(IF(COUNTIF(P$2:P2221, P2222)=0, """", INDEX(H$2:H2221,
MAX(FILTER(ROW(H$2:H2221) - ROW(H$2) + 1, P$2:P2221 = P2222))))=""単価"","""",
IF(COUNTIF(P$2:P2221, P2222)=0, """", INDEX(H$2:H2221,
MAX(FILTER(ROW(H$2:H2221) - ROW(H$2) + 1, P$2:P2221 = P2222)))))"),41.5)</f>
        <v>41.5</v>
      </c>
      <c r="N2222" s="335" t="str">
        <f>IF(MAXIFS('単価履歴'!$O:$O,'単価履歴'!$E:$E,E2222,'単価履歴'!$F:$F,F2222)=O2222,"●","")</f>
        <v/>
      </c>
      <c r="O2222" s="346">
        <v>45896.268807870365</v>
      </c>
      <c r="P2222" s="334" t="str">
        <f t="shared" si="4"/>
        <v>東鐵岡山:直納ＨＳ１(単体H1/電特A/HS))</v>
      </c>
    </row>
    <row r="2223" ht="15.75" customHeight="1">
      <c r="A2223" s="335" t="s">
        <v>3378</v>
      </c>
      <c r="B2223" s="336">
        <v>45896.0</v>
      </c>
      <c r="C2223" s="335" t="s">
        <v>532</v>
      </c>
      <c r="D2223" s="335" t="s">
        <v>77</v>
      </c>
      <c r="E2223" s="337" t="str">
        <f t="shared" si="1"/>
        <v>東鐵岡山:直納</v>
      </c>
      <c r="F2223" s="338" t="s">
        <v>111</v>
      </c>
      <c r="G2223" s="339" t="str">
        <f t="shared" si="2"/>
        <v>東鐵岡山:直納Ｈ１(特A)</v>
      </c>
      <c r="H2223" s="340">
        <f t="shared" si="3"/>
        <v>39.7</v>
      </c>
      <c r="I2223" s="341">
        <v>-0.5</v>
      </c>
      <c r="J2223" s="332">
        <f>IFERROR(__xludf.DUMMYFUNCTION("IF(IF(COUNTIF(P$2:P2222, P2223)=0, """", INDEX(H$2:H2222,
MAX(FILTER(ROW(H$2:H2222) - ROW(H$2) + 1, P$2:P2222 = P2223))))=""単価"","""",
IF(COUNTIF(P$2:P2222, P2223)=0, """", INDEX(H$2:H2222,
MAX(FILTER(ROW(H$2:H2222) - ROW(H$2) + 1, P$2:P2222 = P2223)))))"),40.2)</f>
        <v>40.2</v>
      </c>
      <c r="N2223" s="335" t="str">
        <f>IF(MAXIFS('単価履歴'!$O:$O,'単価履歴'!$E:$E,E2223,'単価履歴'!$F:$F,F2223)=O2223,"●","")</f>
        <v/>
      </c>
      <c r="O2223" s="346">
        <v>45896.268807870365</v>
      </c>
      <c r="P2223" s="334" t="str">
        <f t="shared" si="4"/>
        <v>東鐵岡山:直納Ｈ１(特A)</v>
      </c>
    </row>
    <row r="2224" ht="15.75" customHeight="1">
      <c r="A2224" s="335" t="s">
        <v>3379</v>
      </c>
      <c r="B2224" s="336">
        <v>45896.0</v>
      </c>
      <c r="C2224" s="335" t="s">
        <v>532</v>
      </c>
      <c r="D2224" s="335" t="s">
        <v>77</v>
      </c>
      <c r="E2224" s="337" t="str">
        <f t="shared" si="1"/>
        <v>東鐵岡山:直納</v>
      </c>
      <c r="F2224" s="338" t="s">
        <v>116</v>
      </c>
      <c r="G2224" s="339" t="str">
        <f t="shared" si="2"/>
        <v>東鐵岡山:直納Ｈ２(特級)</v>
      </c>
      <c r="H2224" s="340">
        <f t="shared" si="3"/>
        <v>39</v>
      </c>
      <c r="I2224" s="341">
        <v>-0.5</v>
      </c>
      <c r="J2224" s="332">
        <f>IFERROR(__xludf.DUMMYFUNCTION("IF(IF(COUNTIF(P$2:P2223, P2224)=0, """", INDEX(H$2:H2223,
MAX(FILTER(ROW(H$2:H2223) - ROW(H$2) + 1, P$2:P2223 = P2224))))=""単価"","""",
IF(COUNTIF(P$2:P2223, P2224)=0, """", INDEX(H$2:H2223,
MAX(FILTER(ROW(H$2:H2223) - ROW(H$2) + 1, P$2:P2223 = P2224)))))"),39.5)</f>
        <v>39.5</v>
      </c>
      <c r="N2224" s="335" t="str">
        <f>IF(MAXIFS('単価履歴'!$O:$O,'単価履歴'!$E:$E,E2224,'単価履歴'!$F:$F,F2224)=O2224,"●","")</f>
        <v/>
      </c>
      <c r="O2224" s="346">
        <v>45896.268807870365</v>
      </c>
      <c r="P2224" s="334" t="str">
        <f t="shared" si="4"/>
        <v>東鐵岡山:直納Ｈ２(特級)</v>
      </c>
    </row>
    <row r="2225" ht="15.75" customHeight="1">
      <c r="A2225" s="335" t="s">
        <v>3380</v>
      </c>
      <c r="B2225" s="336">
        <v>45896.0</v>
      </c>
      <c r="C2225" s="335" t="s">
        <v>532</v>
      </c>
      <c r="D2225" s="335" t="s">
        <v>77</v>
      </c>
      <c r="E2225" s="337" t="str">
        <f t="shared" si="1"/>
        <v>東鐵岡山:直納</v>
      </c>
      <c r="F2225" s="338" t="s">
        <v>119</v>
      </c>
      <c r="G2225" s="339" t="str">
        <f t="shared" si="2"/>
        <v>東鐵岡山:直納Ｈ３(1級)</v>
      </c>
      <c r="H2225" s="340">
        <f t="shared" si="3"/>
        <v>38.5</v>
      </c>
      <c r="I2225" s="341">
        <v>-0.5</v>
      </c>
      <c r="J2225" s="332">
        <f>IFERROR(__xludf.DUMMYFUNCTION("IF(IF(COUNTIF(P$2:P2224, P2225)=0, """", INDEX(H$2:H2224,
MAX(FILTER(ROW(H$2:H2224) - ROW(H$2) + 1, P$2:P2224 = P2225))))=""単価"","""",
IF(COUNTIF(P$2:P2224, P2225)=0, """", INDEX(H$2:H2224,
MAX(FILTER(ROW(H$2:H2224) - ROW(H$2) + 1, P$2:P2224 = P2225)))))"),39.0)</f>
        <v>39</v>
      </c>
      <c r="N2225" s="335" t="str">
        <f>IF(MAXIFS('単価履歴'!$O:$O,'単価履歴'!$E:$E,E2225,'単価履歴'!$F:$F,F2225)=O2225,"●","")</f>
        <v/>
      </c>
      <c r="O2225" s="346">
        <v>45896.268807870365</v>
      </c>
      <c r="P2225" s="334" t="str">
        <f t="shared" si="4"/>
        <v>東鐵岡山:直納Ｈ３(1級)</v>
      </c>
    </row>
    <row r="2226" ht="15.75" customHeight="1">
      <c r="A2226" s="335" t="s">
        <v>3381</v>
      </c>
      <c r="B2226" s="336">
        <v>45896.0</v>
      </c>
      <c r="C2226" s="335" t="s">
        <v>532</v>
      </c>
      <c r="D2226" s="335" t="s">
        <v>77</v>
      </c>
      <c r="E2226" s="337" t="str">
        <f t="shared" si="1"/>
        <v>東鐵岡山:直納</v>
      </c>
      <c r="F2226" s="338" t="s">
        <v>122</v>
      </c>
      <c r="G2226" s="339" t="str">
        <f t="shared" si="2"/>
        <v>東鐵岡山:直納Ｌ１(2級)</v>
      </c>
      <c r="H2226" s="340">
        <f t="shared" si="3"/>
        <v>37</v>
      </c>
      <c r="I2226" s="341">
        <v>-0.5</v>
      </c>
      <c r="J2226" s="332">
        <f>IFERROR(__xludf.DUMMYFUNCTION("IF(IF(COUNTIF(P$2:P2225, P2226)=0, """", INDEX(H$2:H2225,
MAX(FILTER(ROW(H$2:H2225) - ROW(H$2) + 1, P$2:P2225 = P2226))))=""単価"","""",
IF(COUNTIF(P$2:P2225, P2226)=0, """", INDEX(H$2:H2225,
MAX(FILTER(ROW(H$2:H2225) - ROW(H$2) + 1, P$2:P2225 = P2226)))))"),37.5)</f>
        <v>37.5</v>
      </c>
      <c r="N2226" s="335" t="str">
        <f>IF(MAXIFS('単価履歴'!$O:$O,'単価履歴'!$E:$E,E2226,'単価履歴'!$F:$F,F2226)=O2226,"●","")</f>
        <v/>
      </c>
      <c r="O2226" s="346">
        <v>45896.268807870365</v>
      </c>
      <c r="P2226" s="334" t="str">
        <f t="shared" si="4"/>
        <v>東鐵岡山:直納Ｌ１(2級)</v>
      </c>
    </row>
    <row r="2227" ht="15.75" customHeight="1">
      <c r="A2227" s="335" t="s">
        <v>3382</v>
      </c>
      <c r="B2227" s="336">
        <v>45896.0</v>
      </c>
      <c r="C2227" s="335" t="s">
        <v>532</v>
      </c>
      <c r="D2227" s="335" t="s">
        <v>77</v>
      </c>
      <c r="E2227" s="337" t="str">
        <f t="shared" si="1"/>
        <v>東鐵岡山:直納</v>
      </c>
      <c r="F2227" s="338" t="s">
        <v>573</v>
      </c>
      <c r="G2227" s="339" t="str">
        <f t="shared" si="2"/>
        <v>東鐵岡山:直納Ｌ２(H4･級外･L1ﾊﾞﾗ)</v>
      </c>
      <c r="H2227" s="340">
        <f t="shared" si="3"/>
        <v>34</v>
      </c>
      <c r="I2227" s="341">
        <v>-0.5</v>
      </c>
      <c r="J2227" s="332">
        <f>IFERROR(__xludf.DUMMYFUNCTION("IF(IF(COUNTIF(P$2:P2226, P2227)=0, """", INDEX(H$2:H2226,
MAX(FILTER(ROW(H$2:H2226) - ROW(H$2) + 1, P$2:P2226 = P2227))))=""単価"","""",
IF(COUNTIF(P$2:P2226, P2227)=0, """", INDEX(H$2:H2226,
MAX(FILTER(ROW(H$2:H2226) - ROW(H$2) + 1, P$2:P2226 = P2227)))))"),34.5)</f>
        <v>34.5</v>
      </c>
      <c r="N2227" s="335" t="str">
        <f>IF(MAXIFS('単価履歴'!$O:$O,'単価履歴'!$E:$E,E2227,'単価履歴'!$F:$F,F2227)=O2227,"●","")</f>
        <v/>
      </c>
      <c r="O2227" s="346">
        <v>45896.268807870365</v>
      </c>
      <c r="P2227" s="334" t="str">
        <f t="shared" si="4"/>
        <v>東鐵岡山:直納Ｌ２(H4･級外･L1ﾊﾞﾗ)</v>
      </c>
    </row>
    <row r="2228" ht="15.75" customHeight="1">
      <c r="A2228" s="335" t="s">
        <v>3383</v>
      </c>
      <c r="B2228" s="336">
        <v>45896.0</v>
      </c>
      <c r="C2228" s="335" t="s">
        <v>532</v>
      </c>
      <c r="D2228" s="335" t="s">
        <v>77</v>
      </c>
      <c r="E2228" s="337" t="str">
        <f t="shared" si="1"/>
        <v>東鐵岡山:直納</v>
      </c>
      <c r="F2228" s="338" t="s">
        <v>145</v>
      </c>
      <c r="G2228" s="339" t="str">
        <f t="shared" si="2"/>
        <v>東鐵岡山:直納シュレＡ</v>
      </c>
      <c r="H2228" s="340">
        <f t="shared" si="3"/>
        <v>39.5</v>
      </c>
      <c r="I2228" s="341">
        <v>-0.5</v>
      </c>
      <c r="J2228" s="332">
        <f>IFERROR(__xludf.DUMMYFUNCTION("IF(IF(COUNTIF(P$2:P2227, P2228)=0, """", INDEX(H$2:H2227,
MAX(FILTER(ROW(H$2:H2227) - ROW(H$2) + 1, P$2:P2227 = P2228))))=""単価"","""",
IF(COUNTIF(P$2:P2227, P2228)=0, """", INDEX(H$2:H2227,
MAX(FILTER(ROW(H$2:H2227) - ROW(H$2) + 1, P$2:P2227 = P2228)))))"),40.0)</f>
        <v>40</v>
      </c>
      <c r="N2228" s="335" t="str">
        <f>IF(MAXIFS('単価履歴'!$O:$O,'単価履歴'!$E:$E,E2228,'単価履歴'!$F:$F,F2228)=O2228,"●","")</f>
        <v/>
      </c>
      <c r="O2228" s="346">
        <v>45896.268807870365</v>
      </c>
      <c r="P2228" s="334" t="str">
        <f t="shared" si="4"/>
        <v>東鐵岡山:直納シュレＡ</v>
      </c>
    </row>
    <row r="2229" ht="15.75" customHeight="1">
      <c r="A2229" s="335" t="s">
        <v>3384</v>
      </c>
      <c r="B2229" s="336">
        <v>45896.0</v>
      </c>
      <c r="C2229" s="335" t="s">
        <v>532</v>
      </c>
      <c r="D2229" s="335" t="s">
        <v>77</v>
      </c>
      <c r="E2229" s="337" t="str">
        <f t="shared" si="1"/>
        <v>東鐵岡山:直納</v>
      </c>
      <c r="F2229" s="338" t="s">
        <v>151</v>
      </c>
      <c r="G2229" s="339" t="str">
        <f t="shared" si="2"/>
        <v>東鐵岡山:直納シュレＣ</v>
      </c>
      <c r="H2229" s="340">
        <f t="shared" si="3"/>
        <v>39</v>
      </c>
      <c r="I2229" s="341">
        <v>-0.5</v>
      </c>
      <c r="J2229" s="332">
        <f>IFERROR(__xludf.DUMMYFUNCTION("IF(IF(COUNTIF(P$2:P2228, P2229)=0, """", INDEX(H$2:H2228,
MAX(FILTER(ROW(H$2:H2228) - ROW(H$2) + 1, P$2:P2228 = P2229))))=""単価"","""",
IF(COUNTIF(P$2:P2228, P2229)=0, """", INDEX(H$2:H2228,
MAX(FILTER(ROW(H$2:H2228) - ROW(H$2) + 1, P$2:P2228 = P2229)))))"),39.5)</f>
        <v>39.5</v>
      </c>
      <c r="N2229" s="335" t="str">
        <f>IF(MAXIFS('単価履歴'!$O:$O,'単価履歴'!$E:$E,E2229,'単価履歴'!$F:$F,F2229)=O2229,"●","")</f>
        <v/>
      </c>
      <c r="O2229" s="346">
        <v>45896.268807870365</v>
      </c>
      <c r="P2229" s="334" t="str">
        <f t="shared" si="4"/>
        <v>東鐵岡山:直納シュレＣ</v>
      </c>
    </row>
    <row r="2230" ht="15.75" customHeight="1">
      <c r="A2230" s="335" t="s">
        <v>3385</v>
      </c>
      <c r="B2230" s="336">
        <v>45896.0</v>
      </c>
      <c r="C2230" s="335" t="s">
        <v>532</v>
      </c>
      <c r="D2230" s="335" t="s">
        <v>77</v>
      </c>
      <c r="E2230" s="337" t="str">
        <f t="shared" si="1"/>
        <v>東鐵岡山:直納</v>
      </c>
      <c r="F2230" s="338" t="s">
        <v>130</v>
      </c>
      <c r="G2230" s="339" t="str">
        <f t="shared" si="2"/>
        <v>東鐵岡山:直納新断Ａ</v>
      </c>
      <c r="H2230" s="340">
        <f t="shared" si="3"/>
        <v>40</v>
      </c>
      <c r="I2230" s="341">
        <v>-0.5</v>
      </c>
      <c r="J2230" s="332">
        <f>IFERROR(__xludf.DUMMYFUNCTION("IF(IF(COUNTIF(P$2:P2229, P2230)=0, """", INDEX(H$2:H2229,
MAX(FILTER(ROW(H$2:H2229) - ROW(H$2) + 1, P$2:P2229 = P2230))))=""単価"","""",
IF(COUNTIF(P$2:P2229, P2230)=0, """", INDEX(H$2:H2229,
MAX(FILTER(ROW(H$2:H2229) - ROW(H$2) + 1, P$2:P2229 = P2230)))))"),40.5)</f>
        <v>40.5</v>
      </c>
      <c r="N2230" s="335" t="str">
        <f>IF(MAXIFS('単価履歴'!$O:$O,'単価履歴'!$E:$E,E2230,'単価履歴'!$F:$F,F2230)=O2230,"●","")</f>
        <v/>
      </c>
      <c r="O2230" s="346">
        <v>45896.268807870365</v>
      </c>
      <c r="P2230" s="334" t="str">
        <f t="shared" si="4"/>
        <v>東鐵岡山:直納新断Ａ</v>
      </c>
    </row>
    <row r="2231" ht="15.75" customHeight="1">
      <c r="A2231" s="335" t="s">
        <v>3386</v>
      </c>
      <c r="B2231" s="336">
        <v>45896.0</v>
      </c>
      <c r="C2231" s="335" t="s">
        <v>532</v>
      </c>
      <c r="D2231" s="335" t="s">
        <v>77</v>
      </c>
      <c r="E2231" s="337" t="str">
        <f t="shared" si="1"/>
        <v>東鐵岡山:直納</v>
      </c>
      <c r="F2231" s="338" t="s">
        <v>131</v>
      </c>
      <c r="G2231" s="339" t="str">
        <f t="shared" si="2"/>
        <v>東鐵岡山:直納新断Ｂ</v>
      </c>
      <c r="H2231" s="340">
        <f t="shared" si="3"/>
        <v>40</v>
      </c>
      <c r="I2231" s="341">
        <v>-0.5</v>
      </c>
      <c r="J2231" s="332">
        <f>IFERROR(__xludf.DUMMYFUNCTION("IF(IF(COUNTIF(P$2:P2230, P2231)=0, """", INDEX(H$2:H2230,
MAX(FILTER(ROW(H$2:H2230) - ROW(H$2) + 1, P$2:P2230 = P2231))))=""単価"","""",
IF(COUNTIF(P$2:P2230, P2231)=0, """", INDEX(H$2:H2230,
MAX(FILTER(ROW(H$2:H2230) - ROW(H$2) + 1, P$2:P2230 = P2231)))))"),40.5)</f>
        <v>40.5</v>
      </c>
      <c r="N2231" s="335" t="str">
        <f>IF(MAXIFS('単価履歴'!$O:$O,'単価履歴'!$E:$E,E2231,'単価履歴'!$F:$F,F2231)=O2231,"●","")</f>
        <v/>
      </c>
      <c r="O2231" s="346">
        <v>45896.268807870365</v>
      </c>
      <c r="P2231" s="334" t="str">
        <f t="shared" si="4"/>
        <v>東鐵岡山:直納新断Ｂ</v>
      </c>
    </row>
    <row r="2232" ht="15.75" customHeight="1">
      <c r="A2232" s="335" t="s">
        <v>3387</v>
      </c>
      <c r="B2232" s="336">
        <v>45896.0</v>
      </c>
      <c r="C2232" s="335" t="s">
        <v>532</v>
      </c>
      <c r="D2232" s="335" t="s">
        <v>77</v>
      </c>
      <c r="E2232" s="337" t="str">
        <f t="shared" si="1"/>
        <v>東鐵岡山:直納</v>
      </c>
      <c r="F2232" s="338" t="s">
        <v>575</v>
      </c>
      <c r="G2232" s="339" t="str">
        <f t="shared" si="2"/>
        <v>東鐵岡山:直納鋼ダライＡ</v>
      </c>
      <c r="H2232" s="340">
        <f t="shared" si="3"/>
        <v>35</v>
      </c>
      <c r="I2232" s="341">
        <v>-0.5</v>
      </c>
      <c r="J2232" s="332">
        <f>IFERROR(__xludf.DUMMYFUNCTION("IF(IF(COUNTIF(P$2:P2231, P2232)=0, """", INDEX(H$2:H2231,
MAX(FILTER(ROW(H$2:H2231) - ROW(H$2) + 1, P$2:P2231 = P2232))))=""単価"","""",
IF(COUNTIF(P$2:P2231, P2232)=0, """", INDEX(H$2:H2231,
MAX(FILTER(ROW(H$2:H2231) - ROW(H$2) + 1, P$2:P2231 = P2232)))))"),35.5)</f>
        <v>35.5</v>
      </c>
      <c r="N2232" s="335" t="str">
        <f>IF(MAXIFS('単価履歴'!$O:$O,'単価履歴'!$E:$E,E2232,'単価履歴'!$F:$F,F2232)=O2232,"●","")</f>
        <v/>
      </c>
      <c r="O2232" s="346">
        <v>45896.268807870365</v>
      </c>
      <c r="P2232" s="334" t="str">
        <f t="shared" si="4"/>
        <v>東鐵岡山:直納鋼ダライＡ</v>
      </c>
    </row>
    <row r="2233" ht="15.75" customHeight="1">
      <c r="A2233" s="335" t="s">
        <v>3388</v>
      </c>
      <c r="B2233" s="336">
        <v>45896.0</v>
      </c>
      <c r="C2233" s="335" t="s">
        <v>532</v>
      </c>
      <c r="D2233" s="335" t="s">
        <v>77</v>
      </c>
      <c r="E2233" s="337" t="str">
        <f t="shared" si="1"/>
        <v>東鐵岡山:直納</v>
      </c>
      <c r="F2233" s="338" t="s">
        <v>25</v>
      </c>
      <c r="G2233" s="339" t="str">
        <f t="shared" si="2"/>
        <v>東鐵岡山:直納銑ダライ</v>
      </c>
      <c r="H2233" s="340">
        <f t="shared" si="3"/>
        <v>31.5</v>
      </c>
      <c r="I2233" s="341">
        <v>-0.5</v>
      </c>
      <c r="J2233" s="332">
        <f>IFERROR(__xludf.DUMMYFUNCTION("IF(IF(COUNTIF(P$2:P2232, P2233)=0, """", INDEX(H$2:H2232,
MAX(FILTER(ROW(H$2:H2232) - ROW(H$2) + 1, P$2:P2232 = P2233))))=""単価"","""",
IF(COUNTIF(P$2:P2232, P2233)=0, """", INDEX(H$2:H2232,
MAX(FILTER(ROW(H$2:H2232) - ROW(H$2) + 1, P$2:P2232 = P2233)))))"),32.0)</f>
        <v>32</v>
      </c>
      <c r="N2233" s="335" t="str">
        <f>IF(MAXIFS('単価履歴'!$O:$O,'単価履歴'!$E:$E,E2233,'単価履歴'!$F:$F,F2233)=O2233,"●","")</f>
        <v/>
      </c>
      <c r="O2233" s="346">
        <v>45896.268807870365</v>
      </c>
      <c r="P2233" s="334" t="str">
        <f t="shared" si="4"/>
        <v>東鐵岡山:直納銑ダライ</v>
      </c>
    </row>
    <row r="2234" ht="15.75" customHeight="1">
      <c r="A2234" s="335" t="s">
        <v>3389</v>
      </c>
      <c r="B2234" s="336">
        <v>45896.0</v>
      </c>
      <c r="C2234" s="335" t="s">
        <v>532</v>
      </c>
      <c r="D2234" s="335" t="s">
        <v>77</v>
      </c>
      <c r="E2234" s="337" t="str">
        <f t="shared" si="1"/>
        <v>東鐵岡山:直納</v>
      </c>
      <c r="F2234" s="338" t="s">
        <v>154</v>
      </c>
      <c r="G2234" s="339" t="str">
        <f t="shared" si="2"/>
        <v>東鐵岡山:直納ＣＰ Ａ</v>
      </c>
      <c r="H2234" s="340">
        <f t="shared" si="3"/>
        <v>37.5</v>
      </c>
      <c r="I2234" s="341">
        <v>-0.5</v>
      </c>
      <c r="J2234" s="332">
        <f>IFERROR(__xludf.DUMMYFUNCTION("IF(IF(COUNTIF(P$2:P2233, P2234)=0, """", INDEX(H$2:H2233,
MAX(FILTER(ROW(H$2:H2233) - ROW(H$2) + 1, P$2:P2233 = P2234))))=""単価"","""",
IF(COUNTIF(P$2:P2233, P2234)=0, """", INDEX(H$2:H2233,
MAX(FILTER(ROW(H$2:H2233) - ROW(H$2) + 1, P$2:P2233 = P2234)))))"),38.0)</f>
        <v>38</v>
      </c>
      <c r="N2234" s="335" t="str">
        <f>IF(MAXIFS('単価履歴'!$O:$O,'単価履歴'!$E:$E,E2234,'単価履歴'!$F:$F,F2234)=O2234,"●","")</f>
        <v/>
      </c>
      <c r="O2234" s="346">
        <v>45896.268807870365</v>
      </c>
      <c r="P2234" s="334" t="str">
        <f t="shared" si="4"/>
        <v>東鐵岡山:直納ＣＰ Ａ</v>
      </c>
    </row>
    <row r="2235" ht="15.75" customHeight="1">
      <c r="A2235" s="335" t="s">
        <v>3390</v>
      </c>
      <c r="B2235" s="336">
        <v>45896.0</v>
      </c>
      <c r="C2235" s="335" t="s">
        <v>5</v>
      </c>
      <c r="D2235" s="335" t="s">
        <v>46</v>
      </c>
      <c r="E2235" s="337" t="str">
        <f t="shared" si="1"/>
        <v>中山製鋼:阪和</v>
      </c>
      <c r="F2235" s="338" t="s">
        <v>101</v>
      </c>
      <c r="G2235" s="339" t="str">
        <f t="shared" si="2"/>
        <v>中山製鋼:阪和ＨＳ２</v>
      </c>
      <c r="H2235" s="340">
        <f t="shared" si="3"/>
        <v>42.4</v>
      </c>
      <c r="I2235" s="341">
        <v>-0.5</v>
      </c>
      <c r="J2235" s="332">
        <f>IFERROR(__xludf.DUMMYFUNCTION("IF(IF(COUNTIF(P$2:P2234, P2235)=0, """", INDEX(H$2:H2234,
MAX(FILTER(ROW(H$2:H2234) - ROW(H$2) + 1, P$2:P2234 = P2235))))=""単価"","""",
IF(COUNTIF(P$2:P2234, P2235)=0, """", INDEX(H$2:H2234,
MAX(FILTER(ROW(H$2:H2234) - ROW(H$2) + 1, P$2:P2234 = P2235)))))"),42.9)</f>
        <v>42.9</v>
      </c>
      <c r="N2235" s="335" t="str">
        <f>IF(MAXIFS('単価履歴'!$O:$O,'単価履歴'!$E:$E,E2235,'単価履歴'!$F:$F,F2235)=O2235,"●","")</f>
        <v/>
      </c>
      <c r="O2235" s="346">
        <v>45896.26903935186</v>
      </c>
      <c r="P2235" s="334" t="str">
        <f t="shared" si="4"/>
        <v>中山製鋼:阪和ＨＳ２</v>
      </c>
    </row>
    <row r="2236" ht="15.75" customHeight="1">
      <c r="A2236" s="335" t="s">
        <v>3391</v>
      </c>
      <c r="B2236" s="336">
        <v>45896.0</v>
      </c>
      <c r="C2236" s="335" t="s">
        <v>5</v>
      </c>
      <c r="D2236" s="335" t="s">
        <v>46</v>
      </c>
      <c r="E2236" s="337" t="str">
        <f t="shared" si="1"/>
        <v>中山製鋼:阪和</v>
      </c>
      <c r="F2236" s="338" t="s">
        <v>108</v>
      </c>
      <c r="G2236" s="339" t="str">
        <f t="shared" si="2"/>
        <v>中山製鋼:阪和Ｈ１/ｻﾑﾃｯｸ</v>
      </c>
      <c r="H2236" s="340">
        <f t="shared" si="3"/>
        <v>-0.5</v>
      </c>
      <c r="I2236" s="341">
        <v>-0.5</v>
      </c>
      <c r="J2236" s="332">
        <f>IFERROR(__xludf.DUMMYFUNCTION("IF(IF(COUNTIF(P$2:P2235, P2236)=0, """", INDEX(H$2:H2235,
MAX(FILTER(ROW(H$2:H2235) - ROW(H$2) + 1, P$2:P2235 = P2236))))=""単価"","""",
IF(COUNTIF(P$2:P2235, P2236)=0, """", INDEX(H$2:H2235,
MAX(FILTER(ROW(H$2:H2235) - ROW(H$2) + 1, P$2:P2235 = P2236)))))"),0.0)</f>
        <v>0</v>
      </c>
      <c r="N2236" s="335" t="str">
        <f>IF(MAXIFS('単価履歴'!$O:$O,'単価履歴'!$E:$E,E2236,'単価履歴'!$F:$F,F2236)=O2236,"●","")</f>
        <v/>
      </c>
      <c r="O2236" s="346">
        <v>45896.26903935186</v>
      </c>
      <c r="P2236" s="334" t="str">
        <f t="shared" si="4"/>
        <v>中山製鋼:阪和Ｈ１/ｻﾑﾃｯｸ</v>
      </c>
    </row>
    <row r="2237" ht="15.75" customHeight="1">
      <c r="A2237" s="335" t="s">
        <v>3392</v>
      </c>
      <c r="B2237" s="336">
        <v>45896.0</v>
      </c>
      <c r="C2237" s="335" t="s">
        <v>5</v>
      </c>
      <c r="D2237" s="335" t="s">
        <v>46</v>
      </c>
      <c r="E2237" s="337" t="str">
        <f t="shared" si="1"/>
        <v>中山製鋼:阪和</v>
      </c>
      <c r="F2237" s="338" t="s">
        <v>111</v>
      </c>
      <c r="G2237" s="339" t="str">
        <f t="shared" si="2"/>
        <v>中山製鋼:阪和Ｈ１(特A)</v>
      </c>
      <c r="H2237" s="340">
        <f t="shared" si="3"/>
        <v>40</v>
      </c>
      <c r="I2237" s="341">
        <v>-0.5</v>
      </c>
      <c r="J2237" s="332">
        <f>IFERROR(__xludf.DUMMYFUNCTION("IF(IF(COUNTIF(P$2:P2236, P2237)=0, """", INDEX(H$2:H2236,
MAX(FILTER(ROW(H$2:H2236) - ROW(H$2) + 1, P$2:P2236 = P2237))))=""単価"","""",
IF(COUNTIF(P$2:P2236, P2237)=0, """", INDEX(H$2:H2236,
MAX(FILTER(ROW(H$2:H2236) - ROW(H$2) + 1, P$2:P2236 = P2237)))))"),40.5)</f>
        <v>40.5</v>
      </c>
      <c r="N2237" s="335" t="str">
        <f>IF(MAXIFS('単価履歴'!$O:$O,'単価履歴'!$E:$E,E2237,'単価履歴'!$F:$F,F2237)=O2237,"●","")</f>
        <v/>
      </c>
      <c r="O2237" s="346">
        <v>45896.26903935186</v>
      </c>
      <c r="P2237" s="334" t="str">
        <f t="shared" si="4"/>
        <v>中山製鋼:阪和Ｈ１(特A)</v>
      </c>
    </row>
    <row r="2238" ht="15.75" customHeight="1">
      <c r="A2238" s="335" t="s">
        <v>3393</v>
      </c>
      <c r="B2238" s="336">
        <v>45896.0</v>
      </c>
      <c r="C2238" s="335" t="s">
        <v>5</v>
      </c>
      <c r="D2238" s="335" t="s">
        <v>46</v>
      </c>
      <c r="E2238" s="337" t="str">
        <f t="shared" si="1"/>
        <v>中山製鋼:阪和</v>
      </c>
      <c r="F2238" s="338" t="s">
        <v>116</v>
      </c>
      <c r="G2238" s="339" t="str">
        <f t="shared" si="2"/>
        <v>中山製鋼:阪和Ｈ２(特級)</v>
      </c>
      <c r="H2238" s="340">
        <f t="shared" si="3"/>
        <v>35.3</v>
      </c>
      <c r="I2238" s="341">
        <v>-0.5</v>
      </c>
      <c r="J2238" s="332">
        <f>IFERROR(__xludf.DUMMYFUNCTION("IF(IF(COUNTIF(P$2:P2237, P2238)=0, """", INDEX(H$2:H2237,
MAX(FILTER(ROW(H$2:H2237) - ROW(H$2) + 1, P$2:P2237 = P2238))))=""単価"","""",
IF(COUNTIF(P$2:P2237, P2238)=0, """", INDEX(H$2:H2237,
MAX(FILTER(ROW(H$2:H2237) - ROW(H$2) + 1, P$2:P2237 = P2238)))))"),35.8)</f>
        <v>35.8</v>
      </c>
      <c r="N2238" s="335" t="str">
        <f>IF(MAXIFS('単価履歴'!$O:$O,'単価履歴'!$E:$E,E2238,'単価履歴'!$F:$F,F2238)=O2238,"●","")</f>
        <v/>
      </c>
      <c r="O2238" s="346">
        <v>45896.26903935186</v>
      </c>
      <c r="P2238" s="334" t="str">
        <f t="shared" si="4"/>
        <v>中山製鋼:阪和Ｈ２(特級)</v>
      </c>
    </row>
    <row r="2239" ht="15.75" customHeight="1">
      <c r="A2239" s="335" t="s">
        <v>3394</v>
      </c>
      <c r="B2239" s="336">
        <v>45896.0</v>
      </c>
      <c r="C2239" s="335" t="s">
        <v>5</v>
      </c>
      <c r="D2239" s="335" t="s">
        <v>46</v>
      </c>
      <c r="E2239" s="337" t="str">
        <f t="shared" si="1"/>
        <v>中山製鋼:阪和</v>
      </c>
      <c r="F2239" s="338" t="s">
        <v>119</v>
      </c>
      <c r="G2239" s="339" t="str">
        <f t="shared" si="2"/>
        <v>中山製鋼:阪和Ｈ３(1級)</v>
      </c>
      <c r="H2239" s="340">
        <f t="shared" si="3"/>
        <v>31.3</v>
      </c>
      <c r="I2239" s="341">
        <v>-0.5</v>
      </c>
      <c r="J2239" s="332">
        <f>IFERROR(__xludf.DUMMYFUNCTION("IF(IF(COUNTIF(P$2:P2238, P2239)=0, """", INDEX(H$2:H2238,
MAX(FILTER(ROW(H$2:H2238) - ROW(H$2) + 1, P$2:P2238 = P2239))))=""単価"","""",
IF(COUNTIF(P$2:P2238, P2239)=0, """", INDEX(H$2:H2238,
MAX(FILTER(ROW(H$2:H2238) - ROW(H$2) + 1, P$2:P2238 = P2239)))))"),31.799999999999997)</f>
        <v>31.8</v>
      </c>
      <c r="N2239" s="335" t="str">
        <f>IF(MAXIFS('単価履歴'!$O:$O,'単価履歴'!$E:$E,E2239,'単価履歴'!$F:$F,F2239)=O2239,"●","")</f>
        <v/>
      </c>
      <c r="O2239" s="346">
        <v>45896.26903935186</v>
      </c>
      <c r="P2239" s="334" t="str">
        <f t="shared" si="4"/>
        <v>中山製鋼:阪和Ｈ３(1級)</v>
      </c>
    </row>
    <row r="2240" ht="15.75" customHeight="1">
      <c r="A2240" s="335" t="s">
        <v>3395</v>
      </c>
      <c r="B2240" s="336">
        <v>45896.0</v>
      </c>
      <c r="C2240" s="335" t="s">
        <v>5</v>
      </c>
      <c r="D2240" s="335" t="s">
        <v>46</v>
      </c>
      <c r="E2240" s="337" t="str">
        <f t="shared" si="1"/>
        <v>中山製鋼:阪和</v>
      </c>
      <c r="F2240" s="338" t="s">
        <v>122</v>
      </c>
      <c r="G2240" s="339" t="str">
        <f t="shared" si="2"/>
        <v>中山製鋼:阪和Ｌ１(2級)</v>
      </c>
      <c r="H2240" s="340">
        <f t="shared" si="3"/>
        <v>24.8</v>
      </c>
      <c r="I2240" s="341">
        <v>-0.5</v>
      </c>
      <c r="J2240" s="332">
        <f>IFERROR(__xludf.DUMMYFUNCTION("IF(IF(COUNTIF(P$2:P2239, P2240)=0, """", INDEX(H$2:H2239,
MAX(FILTER(ROW(H$2:H2239) - ROW(H$2) + 1, P$2:P2239 = P2240))))=""単価"","""",
IF(COUNTIF(P$2:P2239, P2240)=0, """", INDEX(H$2:H2239,
MAX(FILTER(ROW(H$2:H2239) - ROW(H$2) + 1, P$2:P2239 = P2240)))))"),25.3)</f>
        <v>25.3</v>
      </c>
      <c r="N2240" s="335" t="str">
        <f>IF(MAXIFS('単価履歴'!$O:$O,'単価履歴'!$E:$E,E2240,'単価履歴'!$F:$F,F2240)=O2240,"●","")</f>
        <v/>
      </c>
      <c r="O2240" s="346">
        <v>45896.26903935186</v>
      </c>
      <c r="P2240" s="334" t="str">
        <f t="shared" si="4"/>
        <v>中山製鋼:阪和Ｌ１(2級)</v>
      </c>
    </row>
    <row r="2241" ht="15.75" customHeight="1">
      <c r="A2241" s="335" t="s">
        <v>3396</v>
      </c>
      <c r="B2241" s="336">
        <v>45896.0</v>
      </c>
      <c r="C2241" s="335" t="s">
        <v>5</v>
      </c>
      <c r="D2241" s="335" t="s">
        <v>46</v>
      </c>
      <c r="E2241" s="337" t="str">
        <f t="shared" si="1"/>
        <v>中山製鋼:阪和</v>
      </c>
      <c r="F2241" s="338" t="s">
        <v>130</v>
      </c>
      <c r="G2241" s="339" t="str">
        <f t="shared" si="2"/>
        <v>中山製鋼:阪和新断Ａ</v>
      </c>
      <c r="H2241" s="340">
        <f t="shared" si="3"/>
        <v>43.8</v>
      </c>
      <c r="I2241" s="341">
        <v>-0.5</v>
      </c>
      <c r="J2241" s="332">
        <f>IFERROR(__xludf.DUMMYFUNCTION("IF(IF(COUNTIF(P$2:P2240, P2241)=0, """", INDEX(H$2:H2240,
MAX(FILTER(ROW(H$2:H2240) - ROW(H$2) + 1, P$2:P2240 = P2241))))=""単価"","""",
IF(COUNTIF(P$2:P2240, P2241)=0, """", INDEX(H$2:H2240,
MAX(FILTER(ROW(H$2:H2240) - ROW(H$2) + 1, P$2:P2240 = P2241)))))"),44.3)</f>
        <v>44.3</v>
      </c>
      <c r="N2241" s="335" t="str">
        <f>IF(MAXIFS('単価履歴'!$O:$O,'単価履歴'!$E:$E,E2241,'単価履歴'!$F:$F,F2241)=O2241,"●","")</f>
        <v/>
      </c>
      <c r="O2241" s="346">
        <v>45896.26903935186</v>
      </c>
      <c r="P2241" s="334" t="str">
        <f t="shared" si="4"/>
        <v>中山製鋼:阪和新断Ａ</v>
      </c>
    </row>
    <row r="2242" ht="15.75" customHeight="1">
      <c r="A2242" s="335" t="s">
        <v>3397</v>
      </c>
      <c r="B2242" s="336">
        <v>45896.0</v>
      </c>
      <c r="C2242" s="335" t="s">
        <v>5</v>
      </c>
      <c r="D2242" s="335" t="s">
        <v>46</v>
      </c>
      <c r="E2242" s="337" t="str">
        <f t="shared" si="1"/>
        <v>中山製鋼:阪和</v>
      </c>
      <c r="F2242" s="338" t="s">
        <v>131</v>
      </c>
      <c r="G2242" s="339" t="str">
        <f t="shared" si="2"/>
        <v>中山製鋼:阪和新断Ｂ</v>
      </c>
      <c r="H2242" s="340">
        <f t="shared" si="3"/>
        <v>42.8</v>
      </c>
      <c r="I2242" s="341">
        <v>-0.5</v>
      </c>
      <c r="J2242" s="332">
        <f>IFERROR(__xludf.DUMMYFUNCTION("IF(IF(COUNTIF(P$2:P2241, P2242)=0, """", INDEX(H$2:H2241,
MAX(FILTER(ROW(H$2:H2241) - ROW(H$2) + 1, P$2:P2241 = P2242))))=""単価"","""",
IF(COUNTIF(P$2:P2241, P2242)=0, """", INDEX(H$2:H2241,
MAX(FILTER(ROW(H$2:H2241) - ROW(H$2) + 1, P$2:P2241 = P2242)))))"),43.3)</f>
        <v>43.3</v>
      </c>
      <c r="N2242" s="335" t="str">
        <f>IF(MAXIFS('単価履歴'!$O:$O,'単価履歴'!$E:$E,E2242,'単価履歴'!$F:$F,F2242)=O2242,"●","")</f>
        <v/>
      </c>
      <c r="O2242" s="346">
        <v>45896.26903935186</v>
      </c>
      <c r="P2242" s="334" t="str">
        <f t="shared" si="4"/>
        <v>中山製鋼:阪和新断Ｂ</v>
      </c>
    </row>
    <row r="2243" ht="15.75" customHeight="1">
      <c r="A2243" s="335" t="s">
        <v>3398</v>
      </c>
      <c r="B2243" s="336">
        <v>45896.0</v>
      </c>
      <c r="C2243" s="335" t="s">
        <v>5</v>
      </c>
      <c r="D2243" s="335" t="s">
        <v>46</v>
      </c>
      <c r="E2243" s="337" t="str">
        <f t="shared" si="1"/>
        <v>中山製鋼:阪和</v>
      </c>
      <c r="F2243" s="338" t="s">
        <v>574</v>
      </c>
      <c r="G2243" s="339" t="str">
        <f t="shared" si="2"/>
        <v>中山製鋼:阪和新断Ｃ</v>
      </c>
      <c r="H2243" s="340">
        <f t="shared" si="3"/>
        <v>41.8</v>
      </c>
      <c r="I2243" s="341">
        <v>-0.5</v>
      </c>
      <c r="J2243" s="332">
        <f>IFERROR(__xludf.DUMMYFUNCTION("IF(IF(COUNTIF(P$2:P2242, P2243)=0, """", INDEX(H$2:H2242,
MAX(FILTER(ROW(H$2:H2242) - ROW(H$2) + 1, P$2:P2242 = P2243))))=""単価"","""",
IF(COUNTIF(P$2:P2242, P2243)=0, """", INDEX(H$2:H2242,
MAX(FILTER(ROW(H$2:H2242) - ROW(H$2) + 1, P$2:P2242 = P2243)))))"),42.3)</f>
        <v>42.3</v>
      </c>
      <c r="N2243" s="335" t="str">
        <f>IF(MAXIFS('単価履歴'!$O:$O,'単価履歴'!$E:$E,E2243,'単価履歴'!$F:$F,F2243)=O2243,"●","")</f>
        <v/>
      </c>
      <c r="O2243" s="346">
        <v>45896.26903935186</v>
      </c>
      <c r="P2243" s="334" t="str">
        <f t="shared" si="4"/>
        <v>中山製鋼:阪和新断Ｃ</v>
      </c>
    </row>
    <row r="2244" ht="15.75" customHeight="1">
      <c r="A2244" s="335" t="s">
        <v>3399</v>
      </c>
      <c r="B2244" s="336">
        <v>45896.0</v>
      </c>
      <c r="C2244" s="335" t="s">
        <v>5</v>
      </c>
      <c r="D2244" s="335" t="s">
        <v>46</v>
      </c>
      <c r="E2244" s="337" t="str">
        <f t="shared" si="1"/>
        <v>中山製鋼:阪和</v>
      </c>
      <c r="F2244" s="338" t="s">
        <v>1199</v>
      </c>
      <c r="G2244" s="339" t="str">
        <f t="shared" si="2"/>
        <v>中山製鋼:阪和ＨＳ１(単体H1/電特A/HS))</v>
      </c>
      <c r="H2244" s="340">
        <f t="shared" si="3"/>
        <v>-1</v>
      </c>
      <c r="I2244" s="341">
        <v>-0.5</v>
      </c>
      <c r="J2244" s="332">
        <f>IFERROR(__xludf.DUMMYFUNCTION("IF(IF(COUNTIF(P$2:P2243, P2244)=0, """", INDEX(H$2:H2243,
MAX(FILTER(ROW(H$2:H2243) - ROW(H$2) + 1, P$2:P2243 = P2244))))=""単価"","""",
IF(COUNTIF(P$2:P2243, P2244)=0, """", INDEX(H$2:H2243,
MAX(FILTER(ROW(H$2:H2243) - ROW(H$2) + 1, P$2:P2243 = P2244)))))"),-0.5)</f>
        <v>-0.5</v>
      </c>
      <c r="N2244" s="335" t="str">
        <f>IF(MAXIFS('単価履歴'!$O:$O,'単価履歴'!$E:$E,E2244,'単価履歴'!$F:$F,F2244)=O2244,"●","")</f>
        <v>●</v>
      </c>
      <c r="O2244" s="346">
        <v>45896.26903935186</v>
      </c>
      <c r="P2244" s="334" t="str">
        <f t="shared" si="4"/>
        <v>中山製鋼:阪和ＨＳ１(単体H1/電特A/HS))</v>
      </c>
    </row>
    <row r="2245" ht="15.75" customHeight="1">
      <c r="A2245" s="335" t="s">
        <v>3400</v>
      </c>
      <c r="B2245" s="336">
        <v>45896.0</v>
      </c>
      <c r="C2245" s="335" t="s">
        <v>5</v>
      </c>
      <c r="D2245" s="335" t="s">
        <v>47</v>
      </c>
      <c r="E2245" s="337" t="str">
        <f t="shared" si="1"/>
        <v>中山製鋼:豊通</v>
      </c>
      <c r="F2245" s="338" t="s">
        <v>101</v>
      </c>
      <c r="G2245" s="339" t="str">
        <f t="shared" si="2"/>
        <v>中山製鋼:豊通ＨＳ２</v>
      </c>
      <c r="H2245" s="340">
        <f t="shared" si="3"/>
        <v>42.3</v>
      </c>
      <c r="I2245" s="341">
        <v>-0.5</v>
      </c>
      <c r="J2245" s="332">
        <f>IFERROR(__xludf.DUMMYFUNCTION("IF(IF(COUNTIF(P$2:P2244, P2245)=0, """", INDEX(H$2:H2244,
MAX(FILTER(ROW(H$2:H2244) - ROW(H$2) + 1, P$2:P2244 = P2245))))=""単価"","""",
IF(COUNTIF(P$2:P2244, P2245)=0, """", INDEX(H$2:H2244,
MAX(FILTER(ROW(H$2:H2244) - ROW(H$2) + 1, P$2:P2244 = P2245)))))"),42.8)</f>
        <v>42.8</v>
      </c>
      <c r="N2245" s="335" t="str">
        <f>IF(MAXIFS('単価履歴'!$O:$O,'単価履歴'!$E:$E,E2245,'単価履歴'!$F:$F,F2245)=O2245,"●","")</f>
        <v/>
      </c>
      <c r="O2245" s="346">
        <v>45896.26903935186</v>
      </c>
      <c r="P2245" s="334" t="str">
        <f t="shared" si="4"/>
        <v>中山製鋼:豊通ＨＳ２</v>
      </c>
    </row>
    <row r="2246" ht="15.75" customHeight="1">
      <c r="A2246" s="335" t="s">
        <v>3401</v>
      </c>
      <c r="B2246" s="336">
        <v>45896.0</v>
      </c>
      <c r="C2246" s="335" t="s">
        <v>5</v>
      </c>
      <c r="D2246" s="335" t="s">
        <v>47</v>
      </c>
      <c r="E2246" s="337" t="str">
        <f t="shared" si="1"/>
        <v>中山製鋼:豊通</v>
      </c>
      <c r="F2246" s="338" t="s">
        <v>108</v>
      </c>
      <c r="G2246" s="339" t="str">
        <f t="shared" si="2"/>
        <v>中山製鋼:豊通Ｈ１/ｻﾑﾃｯｸ</v>
      </c>
      <c r="H2246" s="340">
        <f t="shared" si="3"/>
        <v>-0.5</v>
      </c>
      <c r="I2246" s="341">
        <v>-0.5</v>
      </c>
      <c r="J2246" s="332">
        <f>IFERROR(__xludf.DUMMYFUNCTION("IF(IF(COUNTIF(P$2:P2245, P2246)=0, """", INDEX(H$2:H2245,
MAX(FILTER(ROW(H$2:H2245) - ROW(H$2) + 1, P$2:P2245 = P2246))))=""単価"","""",
IF(COUNTIF(P$2:P2245, P2246)=0, """", INDEX(H$2:H2245,
MAX(FILTER(ROW(H$2:H2245) - ROW(H$2) + 1, P$2:P2245 = P2246)))))"),0.0)</f>
        <v>0</v>
      </c>
      <c r="N2246" s="335" t="str">
        <f>IF(MAXIFS('単価履歴'!$O:$O,'単価履歴'!$E:$E,E2246,'単価履歴'!$F:$F,F2246)=O2246,"●","")</f>
        <v/>
      </c>
      <c r="O2246" s="346">
        <v>45896.26903935186</v>
      </c>
      <c r="P2246" s="334" t="str">
        <f t="shared" si="4"/>
        <v>中山製鋼:豊通Ｈ１/ｻﾑﾃｯｸ</v>
      </c>
    </row>
    <row r="2247" ht="15.75" customHeight="1">
      <c r="A2247" s="335" t="s">
        <v>3402</v>
      </c>
      <c r="B2247" s="336">
        <v>45896.0</v>
      </c>
      <c r="C2247" s="335" t="s">
        <v>5</v>
      </c>
      <c r="D2247" s="335" t="s">
        <v>47</v>
      </c>
      <c r="E2247" s="337" t="str">
        <f t="shared" si="1"/>
        <v>中山製鋼:豊通</v>
      </c>
      <c r="F2247" s="338" t="s">
        <v>111</v>
      </c>
      <c r="G2247" s="339" t="str">
        <f t="shared" si="2"/>
        <v>中山製鋼:豊通Ｈ１(特A)</v>
      </c>
      <c r="H2247" s="340">
        <f t="shared" si="3"/>
        <v>41.3</v>
      </c>
      <c r="I2247" s="341">
        <v>-0.5</v>
      </c>
      <c r="J2247" s="332">
        <f>IFERROR(__xludf.DUMMYFUNCTION("IF(IF(COUNTIF(P$2:P2246, P2247)=0, """", INDEX(H$2:H2246,
MAX(FILTER(ROW(H$2:H2246) - ROW(H$2) + 1, P$2:P2246 = P2247))))=""単価"","""",
IF(COUNTIF(P$2:P2246, P2247)=0, """", INDEX(H$2:H2246,
MAX(FILTER(ROW(H$2:H2246) - ROW(H$2) + 1, P$2:P2246 = P2247)))))"),41.8)</f>
        <v>41.8</v>
      </c>
      <c r="N2247" s="335" t="str">
        <f>IF(MAXIFS('単価履歴'!$O:$O,'単価履歴'!$E:$E,E2247,'単価履歴'!$F:$F,F2247)=O2247,"●","")</f>
        <v/>
      </c>
      <c r="O2247" s="346">
        <v>45896.26903935186</v>
      </c>
      <c r="P2247" s="334" t="str">
        <f t="shared" si="4"/>
        <v>中山製鋼:豊通Ｈ１(特A)</v>
      </c>
    </row>
    <row r="2248" ht="15.75" customHeight="1">
      <c r="A2248" s="335" t="s">
        <v>3403</v>
      </c>
      <c r="B2248" s="336">
        <v>45896.0</v>
      </c>
      <c r="C2248" s="335" t="s">
        <v>5</v>
      </c>
      <c r="D2248" s="335" t="s">
        <v>47</v>
      </c>
      <c r="E2248" s="337" t="str">
        <f t="shared" si="1"/>
        <v>中山製鋼:豊通</v>
      </c>
      <c r="F2248" s="338" t="s">
        <v>116</v>
      </c>
      <c r="G2248" s="339" t="str">
        <f t="shared" si="2"/>
        <v>中山製鋼:豊通Ｈ２(特級)</v>
      </c>
      <c r="H2248" s="340">
        <f t="shared" si="3"/>
        <v>35.3</v>
      </c>
      <c r="I2248" s="341">
        <v>-0.5</v>
      </c>
      <c r="J2248" s="332">
        <f>IFERROR(__xludf.DUMMYFUNCTION("IF(IF(COUNTIF(P$2:P2247, P2248)=0, """", INDEX(H$2:H2247,
MAX(FILTER(ROW(H$2:H2247) - ROW(H$2) + 1, P$2:P2247 = P2248))))=""単価"","""",
IF(COUNTIF(P$2:P2247, P2248)=0, """", INDEX(H$2:H2247,
MAX(FILTER(ROW(H$2:H2247) - ROW(H$2) + 1, P$2:P2247 = P2248)))))"),35.8)</f>
        <v>35.8</v>
      </c>
      <c r="N2248" s="335" t="str">
        <f>IF(MAXIFS('単価履歴'!$O:$O,'単価履歴'!$E:$E,E2248,'単価履歴'!$F:$F,F2248)=O2248,"●","")</f>
        <v/>
      </c>
      <c r="O2248" s="346">
        <v>45896.26903935186</v>
      </c>
      <c r="P2248" s="334" t="str">
        <f t="shared" si="4"/>
        <v>中山製鋼:豊通Ｈ２(特級)</v>
      </c>
    </row>
    <row r="2249" ht="15.75" customHeight="1">
      <c r="A2249" s="335" t="s">
        <v>3404</v>
      </c>
      <c r="B2249" s="336">
        <v>45896.0</v>
      </c>
      <c r="C2249" s="335" t="s">
        <v>5</v>
      </c>
      <c r="D2249" s="335" t="s">
        <v>47</v>
      </c>
      <c r="E2249" s="337" t="str">
        <f t="shared" si="1"/>
        <v>中山製鋼:豊通</v>
      </c>
      <c r="F2249" s="338" t="s">
        <v>119</v>
      </c>
      <c r="G2249" s="339" t="str">
        <f t="shared" si="2"/>
        <v>中山製鋼:豊通Ｈ３(1級)</v>
      </c>
      <c r="H2249" s="340">
        <f t="shared" si="3"/>
        <v>31.3</v>
      </c>
      <c r="I2249" s="341">
        <v>-0.5</v>
      </c>
      <c r="J2249" s="332">
        <f>IFERROR(__xludf.DUMMYFUNCTION("IF(IF(COUNTIF(P$2:P2248, P2249)=0, """", INDEX(H$2:H2248,
MAX(FILTER(ROW(H$2:H2248) - ROW(H$2) + 1, P$2:P2248 = P2249))))=""単価"","""",
IF(COUNTIF(P$2:P2248, P2249)=0, """", INDEX(H$2:H2248,
MAX(FILTER(ROW(H$2:H2248) - ROW(H$2) + 1, P$2:P2248 = P2249)))))"),31.799999999999997)</f>
        <v>31.8</v>
      </c>
      <c r="N2249" s="335" t="str">
        <f>IF(MAXIFS('単価履歴'!$O:$O,'単価履歴'!$E:$E,E2249,'単価履歴'!$F:$F,F2249)=O2249,"●","")</f>
        <v/>
      </c>
      <c r="O2249" s="346">
        <v>45896.26903935186</v>
      </c>
      <c r="P2249" s="334" t="str">
        <f t="shared" si="4"/>
        <v>中山製鋼:豊通Ｈ３(1級)</v>
      </c>
    </row>
    <row r="2250" ht="15.75" customHeight="1">
      <c r="A2250" s="335" t="s">
        <v>3405</v>
      </c>
      <c r="B2250" s="336">
        <v>45896.0</v>
      </c>
      <c r="C2250" s="335" t="s">
        <v>5</v>
      </c>
      <c r="D2250" s="335" t="s">
        <v>47</v>
      </c>
      <c r="E2250" s="337" t="str">
        <f t="shared" si="1"/>
        <v>中山製鋼:豊通</v>
      </c>
      <c r="F2250" s="338" t="s">
        <v>122</v>
      </c>
      <c r="G2250" s="339" t="str">
        <f t="shared" si="2"/>
        <v>中山製鋼:豊通Ｌ１(2級)</v>
      </c>
      <c r="H2250" s="340">
        <f t="shared" si="3"/>
        <v>24.8</v>
      </c>
      <c r="I2250" s="341">
        <v>-0.5</v>
      </c>
      <c r="J2250" s="332">
        <f>IFERROR(__xludf.DUMMYFUNCTION("IF(IF(COUNTIF(P$2:P2249, P2250)=0, """", INDEX(H$2:H2249,
MAX(FILTER(ROW(H$2:H2249) - ROW(H$2) + 1, P$2:P2249 = P2250))))=""単価"","""",
IF(COUNTIF(P$2:P2249, P2250)=0, """", INDEX(H$2:H2249,
MAX(FILTER(ROW(H$2:H2249) - ROW(H$2) + 1, P$2:P2249 = P2250)))))"),25.3)</f>
        <v>25.3</v>
      </c>
      <c r="N2250" s="335" t="str">
        <f>IF(MAXIFS('単価履歴'!$O:$O,'単価履歴'!$E:$E,E2250,'単価履歴'!$F:$F,F2250)=O2250,"●","")</f>
        <v/>
      </c>
      <c r="O2250" s="346">
        <v>45896.26903935186</v>
      </c>
      <c r="P2250" s="334" t="str">
        <f t="shared" si="4"/>
        <v>中山製鋼:豊通Ｌ１(2級)</v>
      </c>
    </row>
    <row r="2251" ht="15.75" customHeight="1">
      <c r="A2251" s="335" t="s">
        <v>3406</v>
      </c>
      <c r="B2251" s="336">
        <v>45896.0</v>
      </c>
      <c r="C2251" s="335" t="s">
        <v>5</v>
      </c>
      <c r="D2251" s="335" t="s">
        <v>47</v>
      </c>
      <c r="E2251" s="337" t="str">
        <f t="shared" si="1"/>
        <v>中山製鋼:豊通</v>
      </c>
      <c r="F2251" s="338" t="s">
        <v>130</v>
      </c>
      <c r="G2251" s="339" t="str">
        <f t="shared" si="2"/>
        <v>中山製鋼:豊通新断Ａ</v>
      </c>
      <c r="H2251" s="340">
        <f t="shared" si="3"/>
        <v>43.8</v>
      </c>
      <c r="I2251" s="341">
        <v>-0.5</v>
      </c>
      <c r="J2251" s="332">
        <f>IFERROR(__xludf.DUMMYFUNCTION("IF(IF(COUNTIF(P$2:P2250, P2251)=0, """", INDEX(H$2:H2250,
MAX(FILTER(ROW(H$2:H2250) - ROW(H$2) + 1, P$2:P2250 = P2251))))=""単価"","""",
IF(COUNTIF(P$2:P2250, P2251)=0, """", INDEX(H$2:H2250,
MAX(FILTER(ROW(H$2:H2250) - ROW(H$2) + 1, P$2:P2250 = P2251)))))"),44.3)</f>
        <v>44.3</v>
      </c>
      <c r="N2251" s="335" t="str">
        <f>IF(MAXIFS('単価履歴'!$O:$O,'単価履歴'!$E:$E,E2251,'単価履歴'!$F:$F,F2251)=O2251,"●","")</f>
        <v/>
      </c>
      <c r="O2251" s="346">
        <v>45896.26903935186</v>
      </c>
      <c r="P2251" s="334" t="str">
        <f t="shared" si="4"/>
        <v>中山製鋼:豊通新断Ａ</v>
      </c>
    </row>
    <row r="2252" ht="15.75" customHeight="1">
      <c r="A2252" s="335" t="s">
        <v>3407</v>
      </c>
      <c r="B2252" s="336">
        <v>45896.0</v>
      </c>
      <c r="C2252" s="335" t="s">
        <v>5</v>
      </c>
      <c r="D2252" s="335" t="s">
        <v>47</v>
      </c>
      <c r="E2252" s="337" t="str">
        <f t="shared" si="1"/>
        <v>中山製鋼:豊通</v>
      </c>
      <c r="F2252" s="338" t="s">
        <v>131</v>
      </c>
      <c r="G2252" s="339" t="str">
        <f t="shared" si="2"/>
        <v>中山製鋼:豊通新断Ｂ</v>
      </c>
      <c r="H2252" s="340">
        <f t="shared" si="3"/>
        <v>42.8</v>
      </c>
      <c r="I2252" s="341">
        <v>-0.5</v>
      </c>
      <c r="J2252" s="332">
        <f>IFERROR(__xludf.DUMMYFUNCTION("IF(IF(COUNTIF(P$2:P2251, P2252)=0, """", INDEX(H$2:H2251,
MAX(FILTER(ROW(H$2:H2251) - ROW(H$2) + 1, P$2:P2251 = P2252))))=""単価"","""",
IF(COUNTIF(P$2:P2251, P2252)=0, """", INDEX(H$2:H2251,
MAX(FILTER(ROW(H$2:H2251) - ROW(H$2) + 1, P$2:P2251 = P2252)))))"),43.3)</f>
        <v>43.3</v>
      </c>
      <c r="N2252" s="335" t="str">
        <f>IF(MAXIFS('単価履歴'!$O:$O,'単価履歴'!$E:$E,E2252,'単価履歴'!$F:$F,F2252)=O2252,"●","")</f>
        <v/>
      </c>
      <c r="O2252" s="346">
        <v>45896.26903935186</v>
      </c>
      <c r="P2252" s="334" t="str">
        <f t="shared" si="4"/>
        <v>中山製鋼:豊通新断Ｂ</v>
      </c>
    </row>
    <row r="2253" ht="15.75" customHeight="1">
      <c r="A2253" s="335" t="s">
        <v>3408</v>
      </c>
      <c r="B2253" s="336">
        <v>45896.0</v>
      </c>
      <c r="C2253" s="335" t="s">
        <v>5</v>
      </c>
      <c r="D2253" s="335" t="s">
        <v>47</v>
      </c>
      <c r="E2253" s="337" t="str">
        <f t="shared" si="1"/>
        <v>中山製鋼:豊通</v>
      </c>
      <c r="F2253" s="338" t="s">
        <v>574</v>
      </c>
      <c r="G2253" s="339" t="str">
        <f t="shared" si="2"/>
        <v>中山製鋼:豊通新断Ｃ</v>
      </c>
      <c r="H2253" s="340">
        <f t="shared" si="3"/>
        <v>41.8</v>
      </c>
      <c r="I2253" s="341">
        <v>-0.5</v>
      </c>
      <c r="J2253" s="332">
        <f>IFERROR(__xludf.DUMMYFUNCTION("IF(IF(COUNTIF(P$2:P2252, P2253)=0, """", INDEX(H$2:H2252,
MAX(FILTER(ROW(H$2:H2252) - ROW(H$2) + 1, P$2:P2252 = P2253))))=""単価"","""",
IF(COUNTIF(P$2:P2252, P2253)=0, """", INDEX(H$2:H2252,
MAX(FILTER(ROW(H$2:H2252) - ROW(H$2) + 1, P$2:P2252 = P2253)))))"),42.3)</f>
        <v>42.3</v>
      </c>
      <c r="N2253" s="335" t="str">
        <f>IF(MAXIFS('単価履歴'!$O:$O,'単価履歴'!$E:$E,E2253,'単価履歴'!$F:$F,F2253)=O2253,"●","")</f>
        <v/>
      </c>
      <c r="O2253" s="346">
        <v>45896.26903935186</v>
      </c>
      <c r="P2253" s="334" t="str">
        <f t="shared" si="4"/>
        <v>中山製鋼:豊通新断Ｃ</v>
      </c>
    </row>
    <row r="2254" ht="15.75" customHeight="1">
      <c r="A2254" s="335" t="s">
        <v>3409</v>
      </c>
      <c r="B2254" s="336">
        <v>45896.0</v>
      </c>
      <c r="C2254" s="335" t="s">
        <v>5</v>
      </c>
      <c r="D2254" s="335" t="s">
        <v>47</v>
      </c>
      <c r="E2254" s="337" t="str">
        <f t="shared" si="1"/>
        <v>中山製鋼:豊通</v>
      </c>
      <c r="F2254" s="338" t="s">
        <v>1199</v>
      </c>
      <c r="G2254" s="339" t="str">
        <f t="shared" si="2"/>
        <v>中山製鋼:豊通ＨＳ１(単体H1/電特A/HS))</v>
      </c>
      <c r="H2254" s="340">
        <f t="shared" si="3"/>
        <v>42.3</v>
      </c>
      <c r="I2254" s="341">
        <v>-0.5</v>
      </c>
      <c r="J2254" s="332">
        <f>IFERROR(__xludf.DUMMYFUNCTION("IF(IF(COUNTIF(P$2:P2253, P2254)=0, """", INDEX(H$2:H2253,
MAX(FILTER(ROW(H$2:H2253) - ROW(H$2) + 1, P$2:P2253 = P2254))))=""単価"","""",
IF(COUNTIF(P$2:P2253, P2254)=0, """", INDEX(H$2:H2253,
MAX(FILTER(ROW(H$2:H2253) - ROW(H$2) + 1, P$2:P2253 = P2254)))))"),42.8)</f>
        <v>42.8</v>
      </c>
      <c r="N2254" s="335" t="str">
        <f>IF(MAXIFS('単価履歴'!$O:$O,'単価履歴'!$E:$E,E2254,'単価履歴'!$F:$F,F2254)=O2254,"●","")</f>
        <v/>
      </c>
      <c r="O2254" s="346">
        <v>45896.26903935186</v>
      </c>
      <c r="P2254" s="334" t="str">
        <f t="shared" si="4"/>
        <v>中山製鋼:豊通ＨＳ１(単体H1/電特A/HS))</v>
      </c>
    </row>
    <row r="2255" ht="15.75" customHeight="1">
      <c r="A2255" s="335" t="s">
        <v>3410</v>
      </c>
      <c r="B2255" s="336">
        <v>45896.0</v>
      </c>
      <c r="C2255" s="335" t="s">
        <v>5</v>
      </c>
      <c r="D2255" s="335" t="s">
        <v>1232</v>
      </c>
      <c r="E2255" s="337" t="str">
        <f t="shared" si="1"/>
        <v>中山製鋼:豊通/出張商店</v>
      </c>
      <c r="F2255" s="338" t="s">
        <v>130</v>
      </c>
      <c r="G2255" s="339" t="str">
        <f t="shared" si="2"/>
        <v>中山製鋼:豊通/出張商店新断Ａ</v>
      </c>
      <c r="H2255" s="340">
        <f t="shared" si="3"/>
        <v>42.8</v>
      </c>
      <c r="I2255" s="341">
        <v>-0.5</v>
      </c>
      <c r="J2255" s="332">
        <f>IFERROR(__xludf.DUMMYFUNCTION("IF(IF(COUNTIF(P$2:P2254, P2255)=0, """", INDEX(H$2:H2254,
MAX(FILTER(ROW(H$2:H2254) - ROW(H$2) + 1, P$2:P2254 = P2255))))=""単価"","""",
IF(COUNTIF(P$2:P2254, P2255)=0, """", INDEX(H$2:H2254,
MAX(FILTER(ROW(H$2:H2254) - ROW(H$2) + 1, P$2:P2254 = P2255)))))"),43.3)</f>
        <v>43.3</v>
      </c>
      <c r="N2255" s="335" t="str">
        <f>IF(MAXIFS('単価履歴'!$O:$O,'単価履歴'!$E:$E,E2255,'単価履歴'!$F:$F,F2255)=O2255,"●","")</f>
        <v/>
      </c>
      <c r="O2255" s="346">
        <v>45896.26950231481</v>
      </c>
      <c r="P2255" s="334" t="str">
        <f t="shared" si="4"/>
        <v>中山製鋼:豊通/出張商店新断Ａ</v>
      </c>
    </row>
    <row r="2256" ht="15.75" customHeight="1">
      <c r="A2256" s="335" t="s">
        <v>3411</v>
      </c>
      <c r="B2256" s="336">
        <v>45896.0</v>
      </c>
      <c r="C2256" s="335" t="s">
        <v>5</v>
      </c>
      <c r="D2256" s="335" t="s">
        <v>1234</v>
      </c>
      <c r="E2256" s="337" t="str">
        <f t="shared" si="1"/>
        <v>中山製鋼:豊通/中川嘉弘商店</v>
      </c>
      <c r="F2256" s="338" t="s">
        <v>130</v>
      </c>
      <c r="G2256" s="339" t="str">
        <f t="shared" si="2"/>
        <v>中山製鋼:豊通/中川嘉弘商店新断Ａ</v>
      </c>
      <c r="H2256" s="340">
        <f t="shared" si="3"/>
        <v>40.8</v>
      </c>
      <c r="I2256" s="341">
        <v>-0.5</v>
      </c>
      <c r="J2256" s="332">
        <f>IFERROR(__xludf.DUMMYFUNCTION("IF(IF(COUNTIF(P$2:P2255, P2256)=0, """", INDEX(H$2:H2255,
MAX(FILTER(ROW(H$2:H2255) - ROW(H$2) + 1, P$2:P2255 = P2256))))=""単価"","""",
IF(COUNTIF(P$2:P2255, P2256)=0, """", INDEX(H$2:H2255,
MAX(FILTER(ROW(H$2:H2255) - ROW(H$2) + 1, P$2:P2255 = P2256)))))"),41.3)</f>
        <v>41.3</v>
      </c>
      <c r="N2256" s="335" t="str">
        <f>IF(MAXIFS('単価履歴'!$O:$O,'単価履歴'!$E:$E,E2256,'単価履歴'!$F:$F,F2256)=O2256,"●","")</f>
        <v/>
      </c>
      <c r="O2256" s="346">
        <v>45896.26950231481</v>
      </c>
      <c r="P2256" s="334" t="str">
        <f t="shared" si="4"/>
        <v>中山製鋼:豊通/中川嘉弘商店新断Ａ</v>
      </c>
    </row>
    <row r="2257" ht="15.75" customHeight="1">
      <c r="A2257" s="335" t="s">
        <v>3412</v>
      </c>
      <c r="B2257" s="336">
        <v>45896.0</v>
      </c>
      <c r="C2257" s="335" t="s">
        <v>6</v>
      </c>
      <c r="D2257" s="335" t="s">
        <v>48</v>
      </c>
      <c r="E2257" s="337" t="str">
        <f t="shared" si="1"/>
        <v>中山鋼業:ナベ</v>
      </c>
      <c r="F2257" s="338" t="s">
        <v>111</v>
      </c>
      <c r="G2257" s="339" t="str">
        <f t="shared" si="2"/>
        <v>中山鋼業:ナベＨ１(特A)</v>
      </c>
      <c r="H2257" s="340">
        <f t="shared" si="3"/>
        <v>42.5</v>
      </c>
      <c r="I2257" s="341">
        <v>-0.5</v>
      </c>
      <c r="J2257" s="332">
        <f>IFERROR(__xludf.DUMMYFUNCTION("IF(IF(COUNTIF(P$2:P2256, P2257)=0, """", INDEX(H$2:H2256,
MAX(FILTER(ROW(H$2:H2256) - ROW(H$2) + 1, P$2:P2256 = P2257))))=""単価"","""",
IF(COUNTIF(P$2:P2256, P2257)=0, """", INDEX(H$2:H2256,
MAX(FILTER(ROW(H$2:H2256) - ROW(H$2) + 1, P$2:P2256 = P2257)))))"),43.0)</f>
        <v>43</v>
      </c>
      <c r="N2257" s="335" t="str">
        <f>IF(MAXIFS('単価履歴'!$O:$O,'単価履歴'!$E:$E,E2257,'単価履歴'!$F:$F,F2257)=O2257,"●","")</f>
        <v/>
      </c>
      <c r="O2257" s="346">
        <v>45896.26971064815</v>
      </c>
      <c r="P2257" s="334" t="str">
        <f t="shared" si="4"/>
        <v>中山鋼業:ナベＨ１(特A)</v>
      </c>
    </row>
    <row r="2258" ht="15.75" customHeight="1">
      <c r="A2258" s="335" t="s">
        <v>3413</v>
      </c>
      <c r="B2258" s="336">
        <v>45896.0</v>
      </c>
      <c r="C2258" s="335" t="s">
        <v>6</v>
      </c>
      <c r="D2258" s="335" t="s">
        <v>48</v>
      </c>
      <c r="E2258" s="337" t="str">
        <f t="shared" si="1"/>
        <v>中山鋼業:ナベ</v>
      </c>
      <c r="F2258" s="338" t="s">
        <v>1237</v>
      </c>
      <c r="G2258" s="339" t="str">
        <f t="shared" si="2"/>
        <v>中山鋼業:ナベＪＨ１(H2T山口)鍛造ﾊﾞﾘ</v>
      </c>
      <c r="H2258" s="340">
        <f t="shared" si="3"/>
        <v>41.7</v>
      </c>
      <c r="I2258" s="341">
        <v>-0.5</v>
      </c>
      <c r="J2258" s="332">
        <f>IFERROR(__xludf.DUMMYFUNCTION("IF(IF(COUNTIF(P$2:P2257, P2258)=0, """", INDEX(H$2:H2257,
MAX(FILTER(ROW(H$2:H2257) - ROW(H$2) + 1, P$2:P2257 = P2258))))=""単価"","""",
IF(COUNTIF(P$2:P2257, P2258)=0, """", INDEX(H$2:H2257,
MAX(FILTER(ROW(H$2:H2257) - ROW(H$2) + 1, P$2:P2257 = P2258)))))"),42.2)</f>
        <v>42.2</v>
      </c>
      <c r="N2258" s="335" t="str">
        <f>IF(MAXIFS('単価履歴'!$O:$O,'単価履歴'!$E:$E,E2258,'単価履歴'!$F:$F,F2258)=O2258,"●","")</f>
        <v/>
      </c>
      <c r="O2258" s="346">
        <v>45896.26971064815</v>
      </c>
      <c r="P2258" s="334" t="str">
        <f t="shared" si="4"/>
        <v>中山鋼業:ナベＪＨ１(H2T山口)鍛造ﾊﾞﾘ</v>
      </c>
    </row>
    <row r="2259" ht="15.75" customHeight="1">
      <c r="A2259" s="335" t="s">
        <v>3414</v>
      </c>
      <c r="B2259" s="336">
        <v>45896.0</v>
      </c>
      <c r="C2259" s="335" t="s">
        <v>6</v>
      </c>
      <c r="D2259" s="335" t="s">
        <v>48</v>
      </c>
      <c r="E2259" s="337" t="str">
        <f t="shared" si="1"/>
        <v>中山鋼業:ナベ</v>
      </c>
      <c r="F2259" s="338" t="s">
        <v>116</v>
      </c>
      <c r="G2259" s="339" t="str">
        <f t="shared" si="2"/>
        <v>中山鋼業:ナベＨ２(特級)</v>
      </c>
      <c r="H2259" s="340">
        <f t="shared" si="3"/>
        <v>40.5</v>
      </c>
      <c r="I2259" s="341">
        <v>-0.5</v>
      </c>
      <c r="J2259" s="332">
        <f>IFERROR(__xludf.DUMMYFUNCTION("IF(IF(COUNTIF(P$2:P2258, P2259)=0, """", INDEX(H$2:H2258,
MAX(FILTER(ROW(H$2:H2258) - ROW(H$2) + 1, P$2:P2258 = P2259))))=""単価"","""",
IF(COUNTIF(P$2:P2258, P2259)=0, """", INDEX(H$2:H2258,
MAX(FILTER(ROW(H$2:H2258) - ROW(H$2) + 1, P$2:P2258 = P2259)))))"),41.0)</f>
        <v>41</v>
      </c>
      <c r="N2259" s="335" t="str">
        <f>IF(MAXIFS('単価履歴'!$O:$O,'単価履歴'!$E:$E,E2259,'単価履歴'!$F:$F,F2259)=O2259,"●","")</f>
        <v/>
      </c>
      <c r="O2259" s="346">
        <v>45896.26971064815</v>
      </c>
      <c r="P2259" s="334" t="str">
        <f t="shared" si="4"/>
        <v>中山鋼業:ナベＨ２(特級)</v>
      </c>
    </row>
    <row r="2260" ht="15.75" customHeight="1">
      <c r="A2260" s="335" t="s">
        <v>3415</v>
      </c>
      <c r="B2260" s="336">
        <v>45896.0</v>
      </c>
      <c r="C2260" s="335" t="s">
        <v>6</v>
      </c>
      <c r="D2260" s="335" t="s">
        <v>48</v>
      </c>
      <c r="E2260" s="337" t="str">
        <f t="shared" si="1"/>
        <v>中山鋼業:ナベ</v>
      </c>
      <c r="F2260" s="338" t="s">
        <v>119</v>
      </c>
      <c r="G2260" s="339" t="str">
        <f t="shared" si="2"/>
        <v>中山鋼業:ナベＨ３(1級)</v>
      </c>
      <c r="H2260" s="340">
        <f t="shared" si="3"/>
        <v>39</v>
      </c>
      <c r="I2260" s="341">
        <v>-0.5</v>
      </c>
      <c r="J2260" s="332">
        <f>IFERROR(__xludf.DUMMYFUNCTION("IF(IF(COUNTIF(P$2:P2259, P2260)=0, """", INDEX(H$2:H2259,
MAX(FILTER(ROW(H$2:H2259) - ROW(H$2) + 1, P$2:P2259 = P2260))))=""単価"","""",
IF(COUNTIF(P$2:P2259, P2260)=0, """", INDEX(H$2:H2259,
MAX(FILTER(ROW(H$2:H2259) - ROW(H$2) + 1, P$2:P2259 = P2260)))))"),39.5)</f>
        <v>39.5</v>
      </c>
      <c r="N2260" s="335" t="str">
        <f>IF(MAXIFS('単価履歴'!$O:$O,'単価履歴'!$E:$E,E2260,'単価履歴'!$F:$F,F2260)=O2260,"●","")</f>
        <v/>
      </c>
      <c r="O2260" s="346">
        <v>45896.26971064815</v>
      </c>
      <c r="P2260" s="334" t="str">
        <f t="shared" si="4"/>
        <v>中山鋼業:ナベＨ３(1級)</v>
      </c>
    </row>
    <row r="2261" ht="15.75" customHeight="1">
      <c r="A2261" s="335" t="s">
        <v>3416</v>
      </c>
      <c r="B2261" s="336">
        <v>45896.0</v>
      </c>
      <c r="C2261" s="335" t="s">
        <v>6</v>
      </c>
      <c r="D2261" s="335" t="s">
        <v>48</v>
      </c>
      <c r="E2261" s="337" t="str">
        <f t="shared" si="1"/>
        <v>中山鋼業:ナベ</v>
      </c>
      <c r="F2261" s="338" t="s">
        <v>122</v>
      </c>
      <c r="G2261" s="339" t="str">
        <f t="shared" si="2"/>
        <v>中山鋼業:ナベＬ１(2級)</v>
      </c>
      <c r="H2261" s="340">
        <f t="shared" si="3"/>
        <v>38.5</v>
      </c>
      <c r="I2261" s="341">
        <v>-0.5</v>
      </c>
      <c r="J2261" s="332">
        <f>IFERROR(__xludf.DUMMYFUNCTION("IF(IF(COUNTIF(P$2:P2260, P2261)=0, """", INDEX(H$2:H2260,
MAX(FILTER(ROW(H$2:H2260) - ROW(H$2) + 1, P$2:P2260 = P2261))))=""単価"","""",
IF(COUNTIF(P$2:P2260, P2261)=0, """", INDEX(H$2:H2260,
MAX(FILTER(ROW(H$2:H2260) - ROW(H$2) + 1, P$2:P2260 = P2261)))))"),39.0)</f>
        <v>39</v>
      </c>
      <c r="N2261" s="335" t="str">
        <f>IF(MAXIFS('単価履歴'!$O:$O,'単価履歴'!$E:$E,E2261,'単価履歴'!$F:$F,F2261)=O2261,"●","")</f>
        <v/>
      </c>
      <c r="O2261" s="346">
        <v>45896.26971064815</v>
      </c>
      <c r="P2261" s="334" t="str">
        <f t="shared" si="4"/>
        <v>中山鋼業:ナベＬ１(2級)</v>
      </c>
    </row>
    <row r="2262" ht="15.75" customHeight="1">
      <c r="A2262" s="335" t="s">
        <v>3417</v>
      </c>
      <c r="B2262" s="336">
        <v>45896.0</v>
      </c>
      <c r="C2262" s="335" t="s">
        <v>6</v>
      </c>
      <c r="D2262" s="335" t="s">
        <v>48</v>
      </c>
      <c r="E2262" s="337" t="str">
        <f t="shared" si="1"/>
        <v>中山鋼業:ナベ</v>
      </c>
      <c r="F2262" s="338" t="s">
        <v>573</v>
      </c>
      <c r="G2262" s="339" t="str">
        <f t="shared" si="2"/>
        <v>中山鋼業:ナベＬ２(H4･級外･L1ﾊﾞﾗ)</v>
      </c>
      <c r="H2262" s="340">
        <f t="shared" si="3"/>
        <v>35</v>
      </c>
      <c r="I2262" s="341">
        <v>-0.5</v>
      </c>
      <c r="J2262" s="332">
        <f>IFERROR(__xludf.DUMMYFUNCTION("IF(IF(COUNTIF(P$2:P2261, P2262)=0, """", INDEX(H$2:H2261,
MAX(FILTER(ROW(H$2:H2261) - ROW(H$2) + 1, P$2:P2261 = P2262))))=""単価"","""",
IF(COUNTIF(P$2:P2261, P2262)=0, """", INDEX(H$2:H2261,
MAX(FILTER(ROW(H$2:H2261) - ROW(H$2) + 1, P$2:P2261 = P2262)))))"),35.5)</f>
        <v>35.5</v>
      </c>
      <c r="N2262" s="335" t="str">
        <f>IF(MAXIFS('単価履歴'!$O:$O,'単価履歴'!$E:$E,E2262,'単価履歴'!$F:$F,F2262)=O2262,"●","")</f>
        <v/>
      </c>
      <c r="O2262" s="346">
        <v>45896.26971064815</v>
      </c>
      <c r="P2262" s="334" t="str">
        <f t="shared" si="4"/>
        <v>中山鋼業:ナベＬ２(H4･級外･L1ﾊﾞﾗ)</v>
      </c>
    </row>
    <row r="2263" ht="15.75" customHeight="1">
      <c r="A2263" s="335" t="s">
        <v>3418</v>
      </c>
      <c r="B2263" s="336">
        <v>45896.0</v>
      </c>
      <c r="C2263" s="335" t="s">
        <v>6</v>
      </c>
      <c r="D2263" s="335" t="s">
        <v>48</v>
      </c>
      <c r="E2263" s="337" t="str">
        <f t="shared" si="1"/>
        <v>中山鋼業:ナベ</v>
      </c>
      <c r="F2263" s="338" t="s">
        <v>130</v>
      </c>
      <c r="G2263" s="339" t="str">
        <f t="shared" si="2"/>
        <v>中山鋼業:ナベ新断Ａ</v>
      </c>
      <c r="H2263" s="340">
        <f t="shared" si="3"/>
        <v>-1.5</v>
      </c>
      <c r="I2263" s="341">
        <v>-0.5</v>
      </c>
      <c r="J2263" s="332">
        <f>IFERROR(__xludf.DUMMYFUNCTION("IF(IF(COUNTIF(P$2:P2262, P2263)=0, """", INDEX(H$2:H2262,
MAX(FILTER(ROW(H$2:H2262) - ROW(H$2) + 1, P$2:P2262 = P2263))))=""単価"","""",
IF(COUNTIF(P$2:P2262, P2263)=0, """", INDEX(H$2:H2262,
MAX(FILTER(ROW(H$2:H2262) - ROW(H$2) + 1, P$2:P2262 = P2263)))))"),-1.0)</f>
        <v>-1</v>
      </c>
      <c r="N2263" s="335" t="str">
        <f>IF(MAXIFS('単価履歴'!$O:$O,'単価履歴'!$E:$E,E2263,'単価履歴'!$F:$F,F2263)=O2263,"●","")</f>
        <v/>
      </c>
      <c r="O2263" s="346">
        <v>45896.26971064815</v>
      </c>
      <c r="P2263" s="334" t="str">
        <f t="shared" si="4"/>
        <v>中山鋼業:ナベ新断Ａ</v>
      </c>
    </row>
    <row r="2264" ht="15.75" customHeight="1">
      <c r="A2264" s="335" t="s">
        <v>3419</v>
      </c>
      <c r="B2264" s="336">
        <v>45896.0</v>
      </c>
      <c r="C2264" s="335" t="s">
        <v>6</v>
      </c>
      <c r="D2264" s="335" t="s">
        <v>48</v>
      </c>
      <c r="E2264" s="337" t="str">
        <f t="shared" si="1"/>
        <v>中山鋼業:ナベ</v>
      </c>
      <c r="F2264" s="338" t="s">
        <v>575</v>
      </c>
      <c r="G2264" s="339" t="str">
        <f t="shared" si="2"/>
        <v>中山鋼業:ナベ鋼ダライＡ</v>
      </c>
      <c r="H2264" s="340">
        <f t="shared" si="3"/>
        <v>33.2</v>
      </c>
      <c r="I2264" s="341">
        <v>-0.5</v>
      </c>
      <c r="J2264" s="332">
        <f>IFERROR(__xludf.DUMMYFUNCTION("IF(IF(COUNTIF(P$2:P2263, P2264)=0, """", INDEX(H$2:H2263,
MAX(FILTER(ROW(H$2:H2263) - ROW(H$2) + 1, P$2:P2263 = P2264))))=""単価"","""",
IF(COUNTIF(P$2:P2263, P2264)=0, """", INDEX(H$2:H2263,
MAX(FILTER(ROW(H$2:H2263) - ROW(H$2) + 1, P$2:P2263 = P2264)))))"),33.7)</f>
        <v>33.7</v>
      </c>
      <c r="N2264" s="335" t="str">
        <f>IF(MAXIFS('単価履歴'!$O:$O,'単価履歴'!$E:$E,E2264,'単価履歴'!$F:$F,F2264)=O2264,"●","")</f>
        <v/>
      </c>
      <c r="O2264" s="346">
        <v>45896.26971064815</v>
      </c>
      <c r="P2264" s="334" t="str">
        <f t="shared" si="4"/>
        <v>中山鋼業:ナベ鋼ダライＡ</v>
      </c>
    </row>
    <row r="2265" ht="15.75" customHeight="1">
      <c r="A2265" s="335" t="s">
        <v>3420</v>
      </c>
      <c r="B2265" s="336">
        <v>45896.0</v>
      </c>
      <c r="C2265" s="335" t="s">
        <v>9</v>
      </c>
      <c r="D2265" s="335" t="s">
        <v>51</v>
      </c>
      <c r="E2265" s="337" t="str">
        <f t="shared" si="1"/>
        <v>大鉄　堺:大鉄堺</v>
      </c>
      <c r="F2265" s="338" t="s">
        <v>111</v>
      </c>
      <c r="G2265" s="339" t="str">
        <f t="shared" si="2"/>
        <v>大鉄　堺:大鉄堺Ｈ１(特A)</v>
      </c>
      <c r="H2265" s="340">
        <f t="shared" si="3"/>
        <v>42</v>
      </c>
      <c r="I2265" s="341">
        <v>-1.0</v>
      </c>
      <c r="J2265" s="332">
        <f>IFERROR(__xludf.DUMMYFUNCTION("IF(IF(COUNTIF(P$2:P2264, P2265)=0, """", INDEX(H$2:H2264,
MAX(FILTER(ROW(H$2:H2264) - ROW(H$2) + 1, P$2:P2264 = P2265))))=""単価"","""",
IF(COUNTIF(P$2:P2264, P2265)=0, """", INDEX(H$2:H2264,
MAX(FILTER(ROW(H$2:H2264) - ROW(H$2) + 1, P$2:P2264 = P2265)))))"),43.0)</f>
        <v>43</v>
      </c>
      <c r="N2265" s="335" t="str">
        <f>IF(MAXIFS('単価履歴'!$O:$O,'単価履歴'!$E:$E,E2265,'単価履歴'!$F:$F,F2265)=O2265,"●","")</f>
        <v/>
      </c>
      <c r="O2265" s="346">
        <v>45896.27023148148</v>
      </c>
      <c r="P2265" s="334" t="str">
        <f t="shared" si="4"/>
        <v>大鉄　堺:大鉄堺Ｈ１(特A)</v>
      </c>
    </row>
    <row r="2266" ht="15.75" customHeight="1">
      <c r="A2266" s="335" t="s">
        <v>3421</v>
      </c>
      <c r="B2266" s="336">
        <v>45896.0</v>
      </c>
      <c r="C2266" s="335" t="s">
        <v>9</v>
      </c>
      <c r="D2266" s="335" t="s">
        <v>51</v>
      </c>
      <c r="E2266" s="337" t="str">
        <f t="shared" si="1"/>
        <v>大鉄　堺:大鉄堺</v>
      </c>
      <c r="F2266" s="338" t="s">
        <v>116</v>
      </c>
      <c r="G2266" s="339" t="str">
        <f t="shared" si="2"/>
        <v>大鉄　堺:大鉄堺Ｈ２(特級)</v>
      </c>
      <c r="H2266" s="340">
        <f t="shared" si="3"/>
        <v>39</v>
      </c>
      <c r="I2266" s="341">
        <v>-1.0</v>
      </c>
      <c r="J2266" s="332">
        <f>IFERROR(__xludf.DUMMYFUNCTION("IF(IF(COUNTIF(P$2:P2265, P2266)=0, """", INDEX(H$2:H2265,
MAX(FILTER(ROW(H$2:H2265) - ROW(H$2) + 1, P$2:P2265 = P2266))))=""単価"","""",
IF(COUNTIF(P$2:P2265, P2266)=0, """", INDEX(H$2:H2265,
MAX(FILTER(ROW(H$2:H2265) - ROW(H$2) + 1, P$2:P2265 = P2266)))))"),40.0)</f>
        <v>40</v>
      </c>
      <c r="N2266" s="335" t="str">
        <f>IF(MAXIFS('単価履歴'!$O:$O,'単価履歴'!$E:$E,E2266,'単価履歴'!$F:$F,F2266)=O2266,"●","")</f>
        <v/>
      </c>
      <c r="O2266" s="346">
        <v>45896.27023148148</v>
      </c>
      <c r="P2266" s="334" t="str">
        <f t="shared" si="4"/>
        <v>大鉄　堺:大鉄堺Ｈ２(特級)</v>
      </c>
    </row>
    <row r="2267" ht="15.75" customHeight="1">
      <c r="A2267" s="335" t="s">
        <v>3422</v>
      </c>
      <c r="B2267" s="336">
        <v>45896.0</v>
      </c>
      <c r="C2267" s="335" t="s">
        <v>9</v>
      </c>
      <c r="D2267" s="335" t="s">
        <v>51</v>
      </c>
      <c r="E2267" s="337" t="str">
        <f t="shared" si="1"/>
        <v>大鉄　堺:大鉄堺</v>
      </c>
      <c r="F2267" s="338" t="s">
        <v>1237</v>
      </c>
      <c r="G2267" s="339" t="str">
        <f t="shared" si="2"/>
        <v>大鉄　堺:大鉄堺ＪＨ１(H2T山口)鍛造ﾊﾞﾘ</v>
      </c>
      <c r="H2267" s="340">
        <f t="shared" si="3"/>
        <v>41</v>
      </c>
      <c r="I2267" s="341">
        <v>-1.0</v>
      </c>
      <c r="J2267" s="332">
        <f>IFERROR(__xludf.DUMMYFUNCTION("IF(IF(COUNTIF(P$2:P2266, P2267)=0, """", INDEX(H$2:H2266,
MAX(FILTER(ROW(H$2:H2266) - ROW(H$2) + 1, P$2:P2266 = P2267))))=""単価"","""",
IF(COUNTIF(P$2:P2266, P2267)=0, """", INDEX(H$2:H2266,
MAX(FILTER(ROW(H$2:H2266) - ROW(H$2) + 1, P$2:P2266 = P2267)))))"),42.0)</f>
        <v>42</v>
      </c>
      <c r="N2267" s="335" t="str">
        <f>IF(MAXIFS('単価履歴'!$O:$O,'単価履歴'!$E:$E,E2267,'単価履歴'!$F:$F,F2267)=O2267,"●","")</f>
        <v/>
      </c>
      <c r="O2267" s="346">
        <v>45896.27023148148</v>
      </c>
      <c r="P2267" s="334" t="str">
        <f t="shared" si="4"/>
        <v>大鉄　堺:大鉄堺ＪＨ１(H2T山口)鍛造ﾊﾞﾘ</v>
      </c>
    </row>
    <row r="2268" ht="15.75" customHeight="1">
      <c r="A2268" s="335" t="s">
        <v>3423</v>
      </c>
      <c r="B2268" s="336">
        <v>45896.0</v>
      </c>
      <c r="C2268" s="335" t="s">
        <v>9</v>
      </c>
      <c r="D2268" s="335" t="s">
        <v>51</v>
      </c>
      <c r="E2268" s="337" t="str">
        <f t="shared" si="1"/>
        <v>大鉄　堺:大鉄堺</v>
      </c>
      <c r="F2268" s="338" t="s">
        <v>119</v>
      </c>
      <c r="G2268" s="339" t="str">
        <f t="shared" si="2"/>
        <v>大鉄　堺:大鉄堺Ｈ３(1級)</v>
      </c>
      <c r="H2268" s="340">
        <f t="shared" si="3"/>
        <v>38.5</v>
      </c>
      <c r="I2268" s="341">
        <v>-1.0</v>
      </c>
      <c r="J2268" s="332">
        <f>IFERROR(__xludf.DUMMYFUNCTION("IF(IF(COUNTIF(P$2:P2267, P2268)=0, """", INDEX(H$2:H2267,
MAX(FILTER(ROW(H$2:H2267) - ROW(H$2) + 1, P$2:P2267 = P2268))))=""単価"","""",
IF(COUNTIF(P$2:P2267, P2268)=0, """", INDEX(H$2:H2267,
MAX(FILTER(ROW(H$2:H2267) - ROW(H$2) + 1, P$2:P2267 = P2268)))))"),39.5)</f>
        <v>39.5</v>
      </c>
      <c r="N2268" s="335" t="str">
        <f>IF(MAXIFS('単価履歴'!$O:$O,'単価履歴'!$E:$E,E2268,'単価履歴'!$F:$F,F2268)=O2268,"●","")</f>
        <v/>
      </c>
      <c r="O2268" s="346">
        <v>45896.27023148148</v>
      </c>
      <c r="P2268" s="334" t="str">
        <f t="shared" si="4"/>
        <v>大鉄　堺:大鉄堺Ｈ３(1級)</v>
      </c>
    </row>
    <row r="2269" ht="15.75" customHeight="1">
      <c r="A2269" s="335" t="s">
        <v>3424</v>
      </c>
      <c r="B2269" s="336">
        <v>45896.0</v>
      </c>
      <c r="C2269" s="335" t="s">
        <v>9</v>
      </c>
      <c r="D2269" s="335" t="s">
        <v>51</v>
      </c>
      <c r="E2269" s="337" t="str">
        <f t="shared" si="1"/>
        <v>大鉄　堺:大鉄堺</v>
      </c>
      <c r="F2269" s="338" t="s">
        <v>122</v>
      </c>
      <c r="G2269" s="339" t="str">
        <f t="shared" si="2"/>
        <v>大鉄　堺:大鉄堺Ｌ１(2級)</v>
      </c>
      <c r="H2269" s="340">
        <f t="shared" si="3"/>
        <v>38</v>
      </c>
      <c r="I2269" s="341">
        <v>-1.0</v>
      </c>
      <c r="J2269" s="332">
        <f>IFERROR(__xludf.DUMMYFUNCTION("IF(IF(COUNTIF(P$2:P2268, P2269)=0, """", INDEX(H$2:H2268,
MAX(FILTER(ROW(H$2:H2268) - ROW(H$2) + 1, P$2:P2268 = P2269))))=""単価"","""",
IF(COUNTIF(P$2:P2268, P2269)=0, """", INDEX(H$2:H2268,
MAX(FILTER(ROW(H$2:H2268) - ROW(H$2) + 1, P$2:P2268 = P2269)))))"),39.0)</f>
        <v>39</v>
      </c>
      <c r="N2269" s="335" t="str">
        <f>IF(MAXIFS('単価履歴'!$O:$O,'単価履歴'!$E:$E,E2269,'単価履歴'!$F:$F,F2269)=O2269,"●","")</f>
        <v/>
      </c>
      <c r="O2269" s="346">
        <v>45896.27023148148</v>
      </c>
      <c r="P2269" s="334" t="str">
        <f t="shared" si="4"/>
        <v>大鉄　堺:大鉄堺Ｌ１(2級)</v>
      </c>
    </row>
    <row r="2270" ht="15.75" customHeight="1">
      <c r="A2270" s="335" t="s">
        <v>3425</v>
      </c>
      <c r="B2270" s="336">
        <v>45896.0</v>
      </c>
      <c r="C2270" s="335" t="s">
        <v>9</v>
      </c>
      <c r="D2270" s="335" t="s">
        <v>51</v>
      </c>
      <c r="E2270" s="337" t="str">
        <f t="shared" si="1"/>
        <v>大鉄　堺:大鉄堺</v>
      </c>
      <c r="F2270" s="338" t="s">
        <v>130</v>
      </c>
      <c r="G2270" s="339" t="str">
        <f t="shared" si="2"/>
        <v>大鉄　堺:大鉄堺新断Ａ</v>
      </c>
      <c r="H2270" s="340">
        <f t="shared" si="3"/>
        <v>25.5</v>
      </c>
      <c r="I2270" s="341">
        <v>-1.0</v>
      </c>
      <c r="J2270" s="332">
        <f>IFERROR(__xludf.DUMMYFUNCTION("IF(IF(COUNTIF(P$2:P2269, P2270)=0, """", INDEX(H$2:H2269,
MAX(FILTER(ROW(H$2:H2269) - ROW(H$2) + 1, P$2:P2269 = P2270))))=""単価"","""",
IF(COUNTIF(P$2:P2269, P2270)=0, """", INDEX(H$2:H2269,
MAX(FILTER(ROW(H$2:H2269) - ROW(H$2) + 1, P$2:P2269 = P2270)))))"),26.5)</f>
        <v>26.5</v>
      </c>
      <c r="N2270" s="335" t="str">
        <f>IF(MAXIFS('単価履歴'!$O:$O,'単価履歴'!$E:$E,E2270,'単価履歴'!$F:$F,F2270)=O2270,"●","")</f>
        <v/>
      </c>
      <c r="O2270" s="346">
        <v>45896.27023148148</v>
      </c>
      <c r="P2270" s="334" t="str">
        <f t="shared" si="4"/>
        <v>大鉄　堺:大鉄堺新断Ａ</v>
      </c>
    </row>
    <row r="2271" ht="15.75" customHeight="1">
      <c r="A2271" s="335" t="s">
        <v>3426</v>
      </c>
      <c r="B2271" s="336">
        <v>45896.0</v>
      </c>
      <c r="C2271" s="335" t="s">
        <v>9</v>
      </c>
      <c r="D2271" s="335" t="s">
        <v>51</v>
      </c>
      <c r="E2271" s="337" t="str">
        <f t="shared" si="1"/>
        <v>大鉄　堺:大鉄堺</v>
      </c>
      <c r="F2271" s="338" t="s">
        <v>131</v>
      </c>
      <c r="G2271" s="339" t="str">
        <f t="shared" si="2"/>
        <v>大鉄　堺:大鉄堺新断Ｂ</v>
      </c>
      <c r="H2271" s="340">
        <f t="shared" si="3"/>
        <v>25</v>
      </c>
      <c r="I2271" s="341">
        <v>-1.0</v>
      </c>
      <c r="J2271" s="332">
        <f>IFERROR(__xludf.DUMMYFUNCTION("IF(IF(COUNTIF(P$2:P2270, P2271)=0, """", INDEX(H$2:H2270,
MAX(FILTER(ROW(H$2:H2270) - ROW(H$2) + 1, P$2:P2270 = P2271))))=""単価"","""",
IF(COUNTIF(P$2:P2270, P2271)=0, """", INDEX(H$2:H2270,
MAX(FILTER(ROW(H$2:H2270) - ROW(H$2) + 1, P$2:P2270 = P2271)))))"),26.0)</f>
        <v>26</v>
      </c>
      <c r="N2271" s="335" t="str">
        <f>IF(MAXIFS('単価履歴'!$O:$O,'単価履歴'!$E:$E,E2271,'単価履歴'!$F:$F,F2271)=O2271,"●","")</f>
        <v/>
      </c>
      <c r="O2271" s="346">
        <v>45896.27023148148</v>
      </c>
      <c r="P2271" s="334" t="str">
        <f t="shared" si="4"/>
        <v>大鉄　堺:大鉄堺新断Ｂ</v>
      </c>
    </row>
    <row r="2272" ht="15.75" customHeight="1">
      <c r="A2272" s="335" t="s">
        <v>3427</v>
      </c>
      <c r="B2272" s="336">
        <v>45896.0</v>
      </c>
      <c r="C2272" s="335" t="s">
        <v>9</v>
      </c>
      <c r="D2272" s="335" t="s">
        <v>51</v>
      </c>
      <c r="E2272" s="337" t="str">
        <f t="shared" si="1"/>
        <v>大鉄　堺:大鉄堺</v>
      </c>
      <c r="F2272" s="338" t="s">
        <v>575</v>
      </c>
      <c r="G2272" s="339" t="str">
        <f t="shared" si="2"/>
        <v>大鉄　堺:大鉄堺鋼ダライＡ</v>
      </c>
      <c r="H2272" s="340">
        <f t="shared" si="3"/>
        <v>26</v>
      </c>
      <c r="I2272" s="341">
        <v>-1.0</v>
      </c>
      <c r="J2272" s="332">
        <f>IFERROR(__xludf.DUMMYFUNCTION("IF(IF(COUNTIF(P$2:P2271, P2272)=0, """", INDEX(H$2:H2271,
MAX(FILTER(ROW(H$2:H2271) - ROW(H$2) + 1, P$2:P2271 = P2272))))=""単価"","""",
IF(COUNTIF(P$2:P2271, P2272)=0, """", INDEX(H$2:H2271,
MAX(FILTER(ROW(H$2:H2271) - ROW(H$2) + 1, P$2:P2271 = P2272)))))"),27.0)</f>
        <v>27</v>
      </c>
      <c r="N2272" s="335" t="str">
        <f>IF(MAXIFS('単価履歴'!$O:$O,'単価履歴'!$E:$E,E2272,'単価履歴'!$F:$F,F2272)=O2272,"●","")</f>
        <v/>
      </c>
      <c r="O2272" s="346">
        <v>45896.27023148148</v>
      </c>
      <c r="P2272" s="334" t="str">
        <f t="shared" si="4"/>
        <v>大鉄　堺:大鉄堺鋼ダライＡ</v>
      </c>
    </row>
    <row r="2273" ht="15.75" customHeight="1">
      <c r="A2273" s="335" t="s">
        <v>3428</v>
      </c>
      <c r="B2273" s="336">
        <v>45896.0</v>
      </c>
      <c r="C2273" s="335" t="s">
        <v>9</v>
      </c>
      <c r="D2273" s="335" t="s">
        <v>51</v>
      </c>
      <c r="E2273" s="337" t="str">
        <f t="shared" si="1"/>
        <v>大鉄　堺:大鉄堺</v>
      </c>
      <c r="F2273" s="338" t="s">
        <v>576</v>
      </c>
      <c r="G2273" s="339" t="str">
        <f t="shared" si="2"/>
        <v>大鉄　堺:大鉄堺鋼ダライＢ</v>
      </c>
      <c r="H2273" s="340">
        <f t="shared" si="3"/>
        <v>26</v>
      </c>
      <c r="I2273" s="341">
        <v>-1.0</v>
      </c>
      <c r="J2273" s="332">
        <f>IFERROR(__xludf.DUMMYFUNCTION("IF(IF(COUNTIF(P$2:P2272, P2273)=0, """", INDEX(H$2:H2272,
MAX(FILTER(ROW(H$2:H2272) - ROW(H$2) + 1, P$2:P2272 = P2273))))=""単価"","""",
IF(COUNTIF(P$2:P2272, P2273)=0, """", INDEX(H$2:H2272,
MAX(FILTER(ROW(H$2:H2272) - ROW(H$2) + 1, P$2:P2272 = P2273)))))"),27.0)</f>
        <v>27</v>
      </c>
      <c r="N2273" s="335" t="str">
        <f>IF(MAXIFS('単価履歴'!$O:$O,'単価履歴'!$E:$E,E2273,'単価履歴'!$F:$F,F2273)=O2273,"●","")</f>
        <v/>
      </c>
      <c r="O2273" s="346">
        <v>45896.27023148148</v>
      </c>
      <c r="P2273" s="334" t="str">
        <f t="shared" si="4"/>
        <v>大鉄　堺:大鉄堺鋼ダライＢ</v>
      </c>
    </row>
    <row r="2274" ht="15.75" customHeight="1">
      <c r="A2274" s="335" t="s">
        <v>3429</v>
      </c>
      <c r="B2274" s="336">
        <v>45896.0</v>
      </c>
      <c r="C2274" s="335" t="s">
        <v>9</v>
      </c>
      <c r="D2274" s="335" t="s">
        <v>51</v>
      </c>
      <c r="E2274" s="337" t="str">
        <f t="shared" si="1"/>
        <v>大鉄　堺:大鉄堺</v>
      </c>
      <c r="F2274" s="338" t="s">
        <v>145</v>
      </c>
      <c r="G2274" s="339" t="str">
        <f t="shared" si="2"/>
        <v>大鉄　堺:大鉄堺シュレＡ</v>
      </c>
      <c r="H2274" s="340">
        <f t="shared" si="3"/>
        <v>28</v>
      </c>
      <c r="I2274" s="341">
        <v>-1.0</v>
      </c>
      <c r="J2274" s="332">
        <f>IFERROR(__xludf.DUMMYFUNCTION("IF(IF(COUNTIF(P$2:P2273, P2274)=0, """", INDEX(H$2:H2273,
MAX(FILTER(ROW(H$2:H2273) - ROW(H$2) + 1, P$2:P2273 = P2274))))=""単価"","""",
IF(COUNTIF(P$2:P2273, P2274)=0, """", INDEX(H$2:H2273,
MAX(FILTER(ROW(H$2:H2273) - ROW(H$2) + 1, P$2:P2273 = P2274)))))"),29.0)</f>
        <v>29</v>
      </c>
      <c r="N2274" s="335" t="str">
        <f>IF(MAXIFS('単価履歴'!$O:$O,'単価履歴'!$E:$E,E2274,'単価履歴'!$F:$F,F2274)=O2274,"●","")</f>
        <v/>
      </c>
      <c r="O2274" s="346">
        <v>45896.27023148148</v>
      </c>
      <c r="P2274" s="334" t="str">
        <f t="shared" si="4"/>
        <v>大鉄　堺:大鉄堺シュレＡ</v>
      </c>
    </row>
    <row r="2275" ht="15.75" customHeight="1">
      <c r="A2275" s="335" t="s">
        <v>3430</v>
      </c>
      <c r="B2275" s="336">
        <v>45896.0</v>
      </c>
      <c r="C2275" s="335" t="s">
        <v>9</v>
      </c>
      <c r="D2275" s="335" t="s">
        <v>51</v>
      </c>
      <c r="E2275" s="337" t="str">
        <f t="shared" si="1"/>
        <v>大鉄　堺:大鉄堺</v>
      </c>
      <c r="F2275" s="338" t="s">
        <v>149</v>
      </c>
      <c r="G2275" s="339" t="str">
        <f t="shared" si="2"/>
        <v>大鉄　堺:大鉄堺シュレＢ</v>
      </c>
      <c r="H2275" s="340">
        <f t="shared" si="3"/>
        <v>27.3</v>
      </c>
      <c r="I2275" s="341">
        <v>-1.0</v>
      </c>
      <c r="J2275" s="332">
        <f>IFERROR(__xludf.DUMMYFUNCTION("IF(IF(COUNTIF(P$2:P2274, P2275)=0, """", INDEX(H$2:H2274,
MAX(FILTER(ROW(H$2:H2274) - ROW(H$2) + 1, P$2:P2274 = P2275))))=""単価"","""",
IF(COUNTIF(P$2:P2274, P2275)=0, """", INDEX(H$2:H2274,
MAX(FILTER(ROW(H$2:H2274) - ROW(H$2) + 1, P$2:P2274 = P2275)))))"),28.3)</f>
        <v>28.3</v>
      </c>
      <c r="N2275" s="335" t="str">
        <f>IF(MAXIFS('単価履歴'!$O:$O,'単価履歴'!$E:$E,E2275,'単価履歴'!$F:$F,F2275)=O2275,"●","")</f>
        <v/>
      </c>
      <c r="O2275" s="346">
        <v>45896.27023148148</v>
      </c>
      <c r="P2275" s="334" t="str">
        <f t="shared" si="4"/>
        <v>大鉄　堺:大鉄堺シュレＢ</v>
      </c>
    </row>
    <row r="2276" ht="15.75" customHeight="1">
      <c r="A2276" s="335" t="s">
        <v>3431</v>
      </c>
      <c r="B2276" s="336">
        <v>45896.0</v>
      </c>
      <c r="C2276" s="335" t="s">
        <v>9</v>
      </c>
      <c r="D2276" s="335" t="s">
        <v>51</v>
      </c>
      <c r="E2276" s="337" t="str">
        <f t="shared" si="1"/>
        <v>大鉄　堺:大鉄堺</v>
      </c>
      <c r="F2276" s="338" t="s">
        <v>151</v>
      </c>
      <c r="G2276" s="339" t="str">
        <f t="shared" si="2"/>
        <v>大鉄　堺:大鉄堺シュレＣ</v>
      </c>
      <c r="H2276" s="340">
        <f t="shared" si="3"/>
        <v>25.9</v>
      </c>
      <c r="I2276" s="341">
        <v>-1.0</v>
      </c>
      <c r="J2276" s="332">
        <f>IFERROR(__xludf.DUMMYFUNCTION("IF(IF(COUNTIF(P$2:P2275, P2276)=0, """", INDEX(H$2:H2275,
MAX(FILTER(ROW(H$2:H2275) - ROW(H$2) + 1, P$2:P2275 = P2276))))=""単価"","""",
IF(COUNTIF(P$2:P2275, P2276)=0, """", INDEX(H$2:H2275,
MAX(FILTER(ROW(H$2:H2275) - ROW(H$2) + 1, P$2:P2275 = P2276)))))"),26.9)</f>
        <v>26.9</v>
      </c>
      <c r="N2276" s="335" t="str">
        <f>IF(MAXIFS('単価履歴'!$O:$O,'単価履歴'!$E:$E,E2276,'単価履歴'!$F:$F,F2276)=O2276,"●","")</f>
        <v/>
      </c>
      <c r="O2276" s="346">
        <v>45896.27023148148</v>
      </c>
      <c r="P2276" s="334" t="str">
        <f t="shared" si="4"/>
        <v>大鉄　堺:大鉄堺シュレＣ</v>
      </c>
    </row>
    <row r="2277" ht="15.75" customHeight="1">
      <c r="A2277" s="335" t="s">
        <v>3432</v>
      </c>
      <c r="B2277" s="336">
        <v>45896.0</v>
      </c>
      <c r="C2277" s="335" t="s">
        <v>9</v>
      </c>
      <c r="D2277" s="335" t="s">
        <v>51</v>
      </c>
      <c r="E2277" s="337" t="str">
        <f t="shared" si="1"/>
        <v>大鉄　堺:大鉄堺</v>
      </c>
      <c r="F2277" s="338" t="s">
        <v>154</v>
      </c>
      <c r="G2277" s="339" t="str">
        <f t="shared" si="2"/>
        <v>大鉄　堺:大鉄堺ＣＰ Ａ</v>
      </c>
      <c r="H2277" s="340">
        <f t="shared" si="3"/>
        <v>33.5</v>
      </c>
      <c r="I2277" s="341">
        <v>-1.0</v>
      </c>
      <c r="J2277" s="332">
        <f>IFERROR(__xludf.DUMMYFUNCTION("IF(IF(COUNTIF(P$2:P2276, P2277)=0, """", INDEX(H$2:H2276,
MAX(FILTER(ROW(H$2:H2276) - ROW(H$2) + 1, P$2:P2276 = P2277))))=""単価"","""",
IF(COUNTIF(P$2:P2276, P2277)=0, """", INDEX(H$2:H2276,
MAX(FILTER(ROW(H$2:H2276) - ROW(H$2) + 1, P$2:P2276 = P2277)))))"),34.5)</f>
        <v>34.5</v>
      </c>
      <c r="N2277" s="335" t="str">
        <f>IF(MAXIFS('単価履歴'!$O:$O,'単価履歴'!$E:$E,E2277,'単価履歴'!$F:$F,F2277)=O2277,"●","")</f>
        <v/>
      </c>
      <c r="O2277" s="346">
        <v>45896.27023148148</v>
      </c>
      <c r="P2277" s="334" t="str">
        <f t="shared" si="4"/>
        <v>大鉄　堺:大鉄堺ＣＰ Ａ</v>
      </c>
    </row>
    <row r="2278" ht="15.75" customHeight="1">
      <c r="A2278" s="335" t="s">
        <v>3433</v>
      </c>
      <c r="B2278" s="336">
        <v>45896.0</v>
      </c>
      <c r="C2278" s="335" t="s">
        <v>9</v>
      </c>
      <c r="D2278" s="335" t="s">
        <v>51</v>
      </c>
      <c r="E2278" s="337" t="str">
        <f t="shared" si="1"/>
        <v>大鉄　堺:大鉄堺</v>
      </c>
      <c r="F2278" s="338" t="s">
        <v>156</v>
      </c>
      <c r="G2278" s="339" t="str">
        <f t="shared" si="2"/>
        <v>大鉄　堺:大鉄堺ＣＰ Ｂ一斗缶</v>
      </c>
      <c r="H2278" s="340">
        <f t="shared" si="3"/>
        <v>27</v>
      </c>
      <c r="I2278" s="341">
        <v>-1.0</v>
      </c>
      <c r="J2278" s="332">
        <f>IFERROR(__xludf.DUMMYFUNCTION("IF(IF(COUNTIF(P$2:P2277, P2278)=0, """", INDEX(H$2:H2277,
MAX(FILTER(ROW(H$2:H2277) - ROW(H$2) + 1, P$2:P2277 = P2278))))=""単価"","""",
IF(COUNTIF(P$2:P2277, P2278)=0, """", INDEX(H$2:H2277,
MAX(FILTER(ROW(H$2:H2277) - ROW(H$2) + 1, P$2:P2277 = P2278)))))"),28.0)</f>
        <v>28</v>
      </c>
      <c r="N2278" s="335" t="str">
        <f>IF(MAXIFS('単価履歴'!$O:$O,'単価履歴'!$E:$E,E2278,'単価履歴'!$F:$F,F2278)=O2278,"●","")</f>
        <v/>
      </c>
      <c r="O2278" s="346">
        <v>45896.27023148148</v>
      </c>
      <c r="P2278" s="334" t="str">
        <f t="shared" si="4"/>
        <v>大鉄　堺:大鉄堺ＣＰ Ｂ一斗缶</v>
      </c>
    </row>
    <row r="2279" ht="15.75" customHeight="1">
      <c r="A2279" s="335" t="s">
        <v>3434</v>
      </c>
      <c r="B2279" s="336">
        <v>45896.0</v>
      </c>
      <c r="C2279" s="335" t="s">
        <v>9</v>
      </c>
      <c r="D2279" s="335" t="s">
        <v>47</v>
      </c>
      <c r="E2279" s="337" t="str">
        <f t="shared" si="1"/>
        <v>大鉄　堺:豊通</v>
      </c>
      <c r="F2279" s="338" t="s">
        <v>111</v>
      </c>
      <c r="G2279" s="339" t="str">
        <f t="shared" si="2"/>
        <v>大鉄　堺:豊通Ｈ１(特A)</v>
      </c>
      <c r="H2279" s="340">
        <f t="shared" si="3"/>
        <v>26.9</v>
      </c>
      <c r="I2279" s="341">
        <v>-1.0</v>
      </c>
      <c r="J2279" s="332">
        <f>IFERROR(__xludf.DUMMYFUNCTION("IF(IF(COUNTIF(P$2:P2278, P2279)=0, """", INDEX(H$2:H2278,
MAX(FILTER(ROW(H$2:H2278) - ROW(H$2) + 1, P$2:P2278 = P2279))))=""単価"","""",
IF(COUNTIF(P$2:P2278, P2279)=0, """", INDEX(H$2:H2278,
MAX(FILTER(ROW(H$2:H2278) - ROW(H$2) + 1, P$2:P2278 = P2279)))))"),27.9)</f>
        <v>27.9</v>
      </c>
      <c r="N2279" s="335" t="str">
        <f>IF(MAXIFS('単価履歴'!$O:$O,'単価履歴'!$E:$E,E2279,'単価履歴'!$F:$F,F2279)=O2279,"●","")</f>
        <v/>
      </c>
      <c r="O2279" s="346">
        <v>45896.27023148148</v>
      </c>
      <c r="P2279" s="334" t="str">
        <f t="shared" si="4"/>
        <v>大鉄　堺:豊通Ｈ１(特A)</v>
      </c>
    </row>
    <row r="2280" ht="15.75" customHeight="1">
      <c r="A2280" s="335" t="s">
        <v>3435</v>
      </c>
      <c r="B2280" s="336">
        <v>45896.0</v>
      </c>
      <c r="C2280" s="335" t="s">
        <v>9</v>
      </c>
      <c r="D2280" s="335" t="s">
        <v>47</v>
      </c>
      <c r="E2280" s="337" t="str">
        <f t="shared" si="1"/>
        <v>大鉄　堺:豊通</v>
      </c>
      <c r="F2280" s="338" t="s">
        <v>116</v>
      </c>
      <c r="G2280" s="339" t="str">
        <f t="shared" si="2"/>
        <v>大鉄　堺:豊通Ｈ２(特級)</v>
      </c>
      <c r="H2280" s="340">
        <f t="shared" si="3"/>
        <v>22.7</v>
      </c>
      <c r="I2280" s="341">
        <v>-1.0</v>
      </c>
      <c r="J2280" s="332">
        <f>IFERROR(__xludf.DUMMYFUNCTION("IF(IF(COUNTIF(P$2:P2279, P2280)=0, """", INDEX(H$2:H2279,
MAX(FILTER(ROW(H$2:H2279) - ROW(H$2) + 1, P$2:P2279 = P2280))))=""単価"","""",
IF(COUNTIF(P$2:P2279, P2280)=0, """", INDEX(H$2:H2279,
MAX(FILTER(ROW(H$2:H2279) - ROW(H$2) + 1, P$2:P2279 = P2280)))))"),23.7)</f>
        <v>23.7</v>
      </c>
      <c r="N2280" s="335" t="str">
        <f>IF(MAXIFS('単価履歴'!$O:$O,'単価履歴'!$E:$E,E2280,'単価履歴'!$F:$F,F2280)=O2280,"●","")</f>
        <v/>
      </c>
      <c r="O2280" s="346">
        <v>45896.27023148148</v>
      </c>
      <c r="P2280" s="334" t="str">
        <f t="shared" si="4"/>
        <v>大鉄　堺:豊通Ｈ２(特級)</v>
      </c>
    </row>
    <row r="2281" ht="15.75" customHeight="1">
      <c r="A2281" s="335" t="s">
        <v>3436</v>
      </c>
      <c r="B2281" s="336">
        <v>45896.0</v>
      </c>
      <c r="C2281" s="335" t="s">
        <v>9</v>
      </c>
      <c r="D2281" s="335" t="s">
        <v>47</v>
      </c>
      <c r="E2281" s="337" t="str">
        <f t="shared" si="1"/>
        <v>大鉄　堺:豊通</v>
      </c>
      <c r="F2281" s="338" t="s">
        <v>1237</v>
      </c>
      <c r="G2281" s="339" t="str">
        <f t="shared" si="2"/>
        <v>大鉄　堺:豊通ＪＨ１(H2T山口)鍛造ﾊﾞﾘ</v>
      </c>
      <c r="H2281" s="340">
        <f t="shared" si="3"/>
        <v>25.9</v>
      </c>
      <c r="I2281" s="341">
        <v>-1.0</v>
      </c>
      <c r="J2281" s="332">
        <f>IFERROR(__xludf.DUMMYFUNCTION("IF(IF(COUNTIF(P$2:P2280, P2281)=0, """", INDEX(H$2:H2280,
MAX(FILTER(ROW(H$2:H2280) - ROW(H$2) + 1, P$2:P2280 = P2281))))=""単価"","""",
IF(COUNTIF(P$2:P2280, P2281)=0, """", INDEX(H$2:H2280,
MAX(FILTER(ROW(H$2:H2280) - ROW(H$2) + 1, P$2:P2280 = P2281)))))"),26.9)</f>
        <v>26.9</v>
      </c>
      <c r="N2281" s="335" t="str">
        <f>IF(MAXIFS('単価履歴'!$O:$O,'単価履歴'!$E:$E,E2281,'単価履歴'!$F:$F,F2281)=O2281,"●","")</f>
        <v/>
      </c>
      <c r="O2281" s="346">
        <v>45896.27023148148</v>
      </c>
      <c r="P2281" s="334" t="str">
        <f t="shared" si="4"/>
        <v>大鉄　堺:豊通ＪＨ１(H2T山口)鍛造ﾊﾞﾘ</v>
      </c>
    </row>
    <row r="2282" ht="15.75" customHeight="1">
      <c r="A2282" s="335" t="s">
        <v>3437</v>
      </c>
      <c r="B2282" s="336">
        <v>45896.0</v>
      </c>
      <c r="C2282" s="335" t="s">
        <v>9</v>
      </c>
      <c r="D2282" s="335" t="s">
        <v>47</v>
      </c>
      <c r="E2282" s="337" t="str">
        <f t="shared" si="1"/>
        <v>大鉄　堺:豊通</v>
      </c>
      <c r="F2282" s="338" t="s">
        <v>119</v>
      </c>
      <c r="G2282" s="339" t="str">
        <f t="shared" si="2"/>
        <v>大鉄　堺:豊通Ｈ３(1級)</v>
      </c>
      <c r="H2282" s="340">
        <f t="shared" si="3"/>
        <v>21.7</v>
      </c>
      <c r="I2282" s="341">
        <v>-1.0</v>
      </c>
      <c r="J2282" s="332">
        <f>IFERROR(__xludf.DUMMYFUNCTION("IF(IF(COUNTIF(P$2:P2281, P2282)=0, """", INDEX(H$2:H2281,
MAX(FILTER(ROW(H$2:H2281) - ROW(H$2) + 1, P$2:P2281 = P2282))))=""単価"","""",
IF(COUNTIF(P$2:P2281, P2282)=0, """", INDEX(H$2:H2281,
MAX(FILTER(ROW(H$2:H2281) - ROW(H$2) + 1, P$2:P2281 = P2282)))))"),22.7)</f>
        <v>22.7</v>
      </c>
      <c r="N2282" s="335" t="str">
        <f>IF(MAXIFS('単価履歴'!$O:$O,'単価履歴'!$E:$E,E2282,'単価履歴'!$F:$F,F2282)=O2282,"●","")</f>
        <v/>
      </c>
      <c r="O2282" s="346">
        <v>45896.27023148148</v>
      </c>
      <c r="P2282" s="334" t="str">
        <f t="shared" si="4"/>
        <v>大鉄　堺:豊通Ｈ３(1級)</v>
      </c>
    </row>
    <row r="2283" ht="15.75" customHeight="1">
      <c r="A2283" s="335" t="s">
        <v>3438</v>
      </c>
      <c r="B2283" s="336">
        <v>45896.0</v>
      </c>
      <c r="C2283" s="335" t="s">
        <v>9</v>
      </c>
      <c r="D2283" s="335" t="s">
        <v>47</v>
      </c>
      <c r="E2283" s="337" t="str">
        <f t="shared" si="1"/>
        <v>大鉄　堺:豊通</v>
      </c>
      <c r="F2283" s="338" t="s">
        <v>122</v>
      </c>
      <c r="G2283" s="339" t="str">
        <f t="shared" si="2"/>
        <v>大鉄　堺:豊通Ｌ１(2級)</v>
      </c>
      <c r="H2283" s="340">
        <f t="shared" si="3"/>
        <v>20.2</v>
      </c>
      <c r="I2283" s="341">
        <v>-1.0</v>
      </c>
      <c r="J2283" s="332">
        <f>IFERROR(__xludf.DUMMYFUNCTION("IF(IF(COUNTIF(P$2:P2282, P2283)=0, """", INDEX(H$2:H2282,
MAX(FILTER(ROW(H$2:H2282) - ROW(H$2) + 1, P$2:P2282 = P2283))))=""単価"","""",
IF(COUNTIF(P$2:P2282, P2283)=0, """", INDEX(H$2:H2282,
MAX(FILTER(ROW(H$2:H2282) - ROW(H$2) + 1, P$2:P2282 = P2283)))))"),21.2)</f>
        <v>21.2</v>
      </c>
      <c r="N2283" s="335" t="str">
        <f>IF(MAXIFS('単価履歴'!$O:$O,'単価履歴'!$E:$E,E2283,'単価履歴'!$F:$F,F2283)=O2283,"●","")</f>
        <v/>
      </c>
      <c r="O2283" s="346">
        <v>45896.27023148148</v>
      </c>
      <c r="P2283" s="334" t="str">
        <f t="shared" si="4"/>
        <v>大鉄　堺:豊通Ｌ１(2級)</v>
      </c>
    </row>
    <row r="2284" ht="15.75" customHeight="1">
      <c r="A2284" s="335" t="s">
        <v>3439</v>
      </c>
      <c r="B2284" s="336">
        <v>45896.0</v>
      </c>
      <c r="C2284" s="335" t="s">
        <v>9</v>
      </c>
      <c r="D2284" s="335" t="s">
        <v>47</v>
      </c>
      <c r="E2284" s="337" t="str">
        <f t="shared" si="1"/>
        <v>大鉄　堺:豊通</v>
      </c>
      <c r="F2284" s="338" t="s">
        <v>130</v>
      </c>
      <c r="G2284" s="339" t="str">
        <f t="shared" si="2"/>
        <v>大鉄　堺:豊通新断Ａ</v>
      </c>
      <c r="H2284" s="340">
        <f t="shared" si="3"/>
        <v>23.7</v>
      </c>
      <c r="I2284" s="341">
        <v>-1.0</v>
      </c>
      <c r="J2284" s="332">
        <f>IFERROR(__xludf.DUMMYFUNCTION("IF(IF(COUNTIF(P$2:P2283, P2284)=0, """", INDEX(H$2:H2283,
MAX(FILTER(ROW(H$2:H2283) - ROW(H$2) + 1, P$2:P2283 = P2284))))=""単価"","""",
IF(COUNTIF(P$2:P2283, P2284)=0, """", INDEX(H$2:H2283,
MAX(FILTER(ROW(H$2:H2283) - ROW(H$2) + 1, P$2:P2283 = P2284)))))"),24.7)</f>
        <v>24.7</v>
      </c>
      <c r="N2284" s="335" t="str">
        <f>IF(MAXIFS('単価履歴'!$O:$O,'単価履歴'!$E:$E,E2284,'単価履歴'!$F:$F,F2284)=O2284,"●","")</f>
        <v/>
      </c>
      <c r="O2284" s="346">
        <v>45896.27023148148</v>
      </c>
      <c r="P2284" s="334" t="str">
        <f t="shared" si="4"/>
        <v>大鉄　堺:豊通新断Ａ</v>
      </c>
    </row>
    <row r="2285" ht="15.75" customHeight="1">
      <c r="A2285" s="335" t="s">
        <v>3440</v>
      </c>
      <c r="B2285" s="336">
        <v>45896.0</v>
      </c>
      <c r="C2285" s="335" t="s">
        <v>9</v>
      </c>
      <c r="D2285" s="335" t="s">
        <v>47</v>
      </c>
      <c r="E2285" s="337" t="str">
        <f t="shared" si="1"/>
        <v>大鉄　堺:豊通</v>
      </c>
      <c r="F2285" s="338" t="s">
        <v>131</v>
      </c>
      <c r="G2285" s="339" t="str">
        <f t="shared" si="2"/>
        <v>大鉄　堺:豊通新断Ｂ</v>
      </c>
      <c r="H2285" s="340">
        <f t="shared" si="3"/>
        <v>23.2</v>
      </c>
      <c r="I2285" s="341">
        <v>-1.0</v>
      </c>
      <c r="J2285" s="332">
        <f>IFERROR(__xludf.DUMMYFUNCTION("IF(IF(COUNTIF(P$2:P2284, P2285)=0, """", INDEX(H$2:H2284,
MAX(FILTER(ROW(H$2:H2284) - ROW(H$2) + 1, P$2:P2284 = P2285))))=""単価"","""",
IF(COUNTIF(P$2:P2284, P2285)=0, """", INDEX(H$2:H2284,
MAX(FILTER(ROW(H$2:H2284) - ROW(H$2) + 1, P$2:P2284 = P2285)))))"),24.2)</f>
        <v>24.2</v>
      </c>
      <c r="N2285" s="335" t="str">
        <f>IF(MAXIFS('単価履歴'!$O:$O,'単価履歴'!$E:$E,E2285,'単価履歴'!$F:$F,F2285)=O2285,"●","")</f>
        <v/>
      </c>
      <c r="O2285" s="346">
        <v>45896.27023148148</v>
      </c>
      <c r="P2285" s="334" t="str">
        <f t="shared" si="4"/>
        <v>大鉄　堺:豊通新断Ｂ</v>
      </c>
    </row>
    <row r="2286" ht="15.75" customHeight="1">
      <c r="A2286" s="335" t="s">
        <v>3441</v>
      </c>
      <c r="B2286" s="336">
        <v>45896.0</v>
      </c>
      <c r="C2286" s="335" t="s">
        <v>9</v>
      </c>
      <c r="D2286" s="335" t="s">
        <v>47</v>
      </c>
      <c r="E2286" s="337" t="str">
        <f t="shared" si="1"/>
        <v>大鉄　堺:豊通</v>
      </c>
      <c r="F2286" s="338" t="s">
        <v>575</v>
      </c>
      <c r="G2286" s="339" t="str">
        <f t="shared" si="2"/>
        <v>大鉄　堺:豊通鋼ダライＡ</v>
      </c>
      <c r="H2286" s="340">
        <f t="shared" si="3"/>
        <v>25.7</v>
      </c>
      <c r="I2286" s="341">
        <v>-1.0</v>
      </c>
      <c r="J2286" s="332">
        <f>IFERROR(__xludf.DUMMYFUNCTION("IF(IF(COUNTIF(P$2:P2285, P2286)=0, """", INDEX(H$2:H2285,
MAX(FILTER(ROW(H$2:H2285) - ROW(H$2) + 1, P$2:P2285 = P2286))))=""単価"","""",
IF(COUNTIF(P$2:P2285, P2286)=0, """", INDEX(H$2:H2285,
MAX(FILTER(ROW(H$2:H2285) - ROW(H$2) + 1, P$2:P2285 = P2286)))))"),26.7)</f>
        <v>26.7</v>
      </c>
      <c r="N2286" s="335" t="str">
        <f>IF(MAXIFS('単価履歴'!$O:$O,'単価履歴'!$E:$E,E2286,'単価履歴'!$F:$F,F2286)=O2286,"●","")</f>
        <v/>
      </c>
      <c r="O2286" s="346">
        <v>45896.27023148148</v>
      </c>
      <c r="P2286" s="334" t="str">
        <f t="shared" si="4"/>
        <v>大鉄　堺:豊通鋼ダライＡ</v>
      </c>
    </row>
    <row r="2287" ht="15.75" customHeight="1">
      <c r="A2287" s="335" t="s">
        <v>3442</v>
      </c>
      <c r="B2287" s="336">
        <v>45896.0</v>
      </c>
      <c r="C2287" s="335" t="s">
        <v>9</v>
      </c>
      <c r="D2287" s="335" t="s">
        <v>47</v>
      </c>
      <c r="E2287" s="337" t="str">
        <f t="shared" si="1"/>
        <v>大鉄　堺:豊通</v>
      </c>
      <c r="F2287" s="338" t="s">
        <v>576</v>
      </c>
      <c r="G2287" s="339" t="str">
        <f t="shared" si="2"/>
        <v>大鉄　堺:豊通鋼ダライＢ</v>
      </c>
      <c r="H2287" s="340">
        <f t="shared" si="3"/>
        <v>25.7</v>
      </c>
      <c r="I2287" s="341">
        <v>-1.0</v>
      </c>
      <c r="J2287" s="332">
        <f>IFERROR(__xludf.DUMMYFUNCTION("IF(IF(COUNTIF(P$2:P2286, P2287)=0, """", INDEX(H$2:H2286,
MAX(FILTER(ROW(H$2:H2286) - ROW(H$2) + 1, P$2:P2286 = P2287))))=""単価"","""",
IF(COUNTIF(P$2:P2286, P2287)=0, """", INDEX(H$2:H2286,
MAX(FILTER(ROW(H$2:H2286) - ROW(H$2) + 1, P$2:P2286 = P2287)))))"),26.7)</f>
        <v>26.7</v>
      </c>
      <c r="N2287" s="335" t="str">
        <f>IF(MAXIFS('単価履歴'!$O:$O,'単価履歴'!$E:$E,E2287,'単価履歴'!$F:$F,F2287)=O2287,"●","")</f>
        <v/>
      </c>
      <c r="O2287" s="346">
        <v>45896.27023148148</v>
      </c>
      <c r="P2287" s="334" t="str">
        <f t="shared" si="4"/>
        <v>大鉄　堺:豊通鋼ダライＢ</v>
      </c>
    </row>
    <row r="2288" ht="15.75" customHeight="1">
      <c r="A2288" s="335" t="s">
        <v>3443</v>
      </c>
      <c r="B2288" s="336">
        <v>45896.0</v>
      </c>
      <c r="C2288" s="335" t="s">
        <v>9</v>
      </c>
      <c r="D2288" s="335" t="s">
        <v>47</v>
      </c>
      <c r="E2288" s="337" t="str">
        <f t="shared" si="1"/>
        <v>大鉄　堺:豊通</v>
      </c>
      <c r="F2288" s="338" t="s">
        <v>145</v>
      </c>
      <c r="G2288" s="339" t="str">
        <f t="shared" si="2"/>
        <v>大鉄　堺:豊通シュレＡ</v>
      </c>
      <c r="H2288" s="340">
        <f t="shared" si="3"/>
        <v>27.2</v>
      </c>
      <c r="I2288" s="341">
        <v>-1.0</v>
      </c>
      <c r="J2288" s="332">
        <f>IFERROR(__xludf.DUMMYFUNCTION("IF(IF(COUNTIF(P$2:P2287, P2288)=0, """", INDEX(H$2:H2287,
MAX(FILTER(ROW(H$2:H2287) - ROW(H$2) + 1, P$2:P2287 = P2288))))=""単価"","""",
IF(COUNTIF(P$2:P2287, P2288)=0, """", INDEX(H$2:H2287,
MAX(FILTER(ROW(H$2:H2287) - ROW(H$2) + 1, P$2:P2287 = P2288)))))"),28.2)</f>
        <v>28.2</v>
      </c>
      <c r="N2288" s="335" t="str">
        <f>IF(MAXIFS('単価履歴'!$O:$O,'単価履歴'!$E:$E,E2288,'単価履歴'!$F:$F,F2288)=O2288,"●","")</f>
        <v/>
      </c>
      <c r="O2288" s="346">
        <v>45896.27023148148</v>
      </c>
      <c r="P2288" s="334" t="str">
        <f t="shared" si="4"/>
        <v>大鉄　堺:豊通シュレＡ</v>
      </c>
    </row>
    <row r="2289" ht="15.75" customHeight="1">
      <c r="A2289" s="335" t="s">
        <v>3444</v>
      </c>
      <c r="B2289" s="336">
        <v>45896.0</v>
      </c>
      <c r="C2289" s="335" t="s">
        <v>9</v>
      </c>
      <c r="D2289" s="335" t="s">
        <v>47</v>
      </c>
      <c r="E2289" s="337" t="str">
        <f t="shared" si="1"/>
        <v>大鉄　堺:豊通</v>
      </c>
      <c r="F2289" s="338" t="s">
        <v>149</v>
      </c>
      <c r="G2289" s="339" t="str">
        <f t="shared" si="2"/>
        <v>大鉄　堺:豊通シュレＢ</v>
      </c>
      <c r="H2289" s="340">
        <f t="shared" si="3"/>
        <v>26.5</v>
      </c>
      <c r="I2289" s="341">
        <v>-1.0</v>
      </c>
      <c r="J2289" s="332">
        <f>IFERROR(__xludf.DUMMYFUNCTION("IF(IF(COUNTIF(P$2:P2288, P2289)=0, """", INDEX(H$2:H2288,
MAX(FILTER(ROW(H$2:H2288) - ROW(H$2) + 1, P$2:P2288 = P2289))))=""単価"","""",
IF(COUNTIF(P$2:P2288, P2289)=0, """", INDEX(H$2:H2288,
MAX(FILTER(ROW(H$2:H2288) - ROW(H$2) + 1, P$2:P2288 = P2289)))))"),27.5)</f>
        <v>27.5</v>
      </c>
      <c r="N2289" s="335" t="str">
        <f>IF(MAXIFS('単価履歴'!$O:$O,'単価履歴'!$E:$E,E2289,'単価履歴'!$F:$F,F2289)=O2289,"●","")</f>
        <v/>
      </c>
      <c r="O2289" s="346">
        <v>45896.27023148148</v>
      </c>
      <c r="P2289" s="334" t="str">
        <f t="shared" si="4"/>
        <v>大鉄　堺:豊通シュレＢ</v>
      </c>
    </row>
    <row r="2290" ht="15.75" customHeight="1">
      <c r="A2290" s="335" t="s">
        <v>3445</v>
      </c>
      <c r="B2290" s="336">
        <v>45896.0</v>
      </c>
      <c r="C2290" s="335" t="s">
        <v>9</v>
      </c>
      <c r="D2290" s="335" t="s">
        <v>47</v>
      </c>
      <c r="E2290" s="337" t="str">
        <f t="shared" si="1"/>
        <v>大鉄　堺:豊通</v>
      </c>
      <c r="F2290" s="338" t="s">
        <v>151</v>
      </c>
      <c r="G2290" s="339" t="str">
        <f t="shared" si="2"/>
        <v>大鉄　堺:豊通シュレＣ</v>
      </c>
      <c r="H2290" s="340">
        <f t="shared" si="3"/>
        <v>25.1</v>
      </c>
      <c r="I2290" s="341">
        <v>-1.0</v>
      </c>
      <c r="J2290" s="332">
        <f>IFERROR(__xludf.DUMMYFUNCTION("IF(IF(COUNTIF(P$2:P2289, P2290)=0, """", INDEX(H$2:H2289,
MAX(FILTER(ROW(H$2:H2289) - ROW(H$2) + 1, P$2:P2289 = P2290))))=""単価"","""",
IF(COUNTIF(P$2:P2289, P2290)=0, """", INDEX(H$2:H2289,
MAX(FILTER(ROW(H$2:H2289) - ROW(H$2) + 1, P$2:P2289 = P2290)))))"),26.1)</f>
        <v>26.1</v>
      </c>
      <c r="N2290" s="335" t="str">
        <f>IF(MAXIFS('単価履歴'!$O:$O,'単価履歴'!$E:$E,E2290,'単価履歴'!$F:$F,F2290)=O2290,"●","")</f>
        <v/>
      </c>
      <c r="O2290" s="346">
        <v>45896.27023148148</v>
      </c>
      <c r="P2290" s="334" t="str">
        <f t="shared" si="4"/>
        <v>大鉄　堺:豊通シュレＣ</v>
      </c>
    </row>
    <row r="2291" ht="15.75" customHeight="1">
      <c r="A2291" s="335" t="s">
        <v>3446</v>
      </c>
      <c r="B2291" s="336">
        <v>45896.0</v>
      </c>
      <c r="C2291" s="335" t="s">
        <v>9</v>
      </c>
      <c r="D2291" s="335" t="s">
        <v>47</v>
      </c>
      <c r="E2291" s="337" t="str">
        <f t="shared" si="1"/>
        <v>大鉄　堺:豊通</v>
      </c>
      <c r="F2291" s="338" t="s">
        <v>154</v>
      </c>
      <c r="G2291" s="339" t="str">
        <f t="shared" si="2"/>
        <v>大鉄　堺:豊通ＣＰ Ａ</v>
      </c>
      <c r="H2291" s="340">
        <f t="shared" si="3"/>
        <v>37.7</v>
      </c>
      <c r="I2291" s="341">
        <v>-1.0</v>
      </c>
      <c r="J2291" s="332">
        <f>IFERROR(__xludf.DUMMYFUNCTION("IF(IF(COUNTIF(P$2:P2290, P2291)=0, """", INDEX(H$2:H2290,
MAX(FILTER(ROW(H$2:H2290) - ROW(H$2) + 1, P$2:P2290 = P2291))))=""単価"","""",
IF(COUNTIF(P$2:P2290, P2291)=0, """", INDEX(H$2:H2290,
MAX(FILTER(ROW(H$2:H2290) - ROW(H$2) + 1, P$2:P2290 = P2291)))))"),38.7)</f>
        <v>38.7</v>
      </c>
      <c r="N2291" s="335" t="str">
        <f>IF(MAXIFS('単価履歴'!$O:$O,'単価履歴'!$E:$E,E2291,'単価履歴'!$F:$F,F2291)=O2291,"●","")</f>
        <v/>
      </c>
      <c r="O2291" s="346">
        <v>45896.27023148148</v>
      </c>
      <c r="P2291" s="334" t="str">
        <f t="shared" si="4"/>
        <v>大鉄　堺:豊通ＣＰ Ａ</v>
      </c>
    </row>
    <row r="2292" ht="15.75" customHeight="1">
      <c r="A2292" s="335" t="s">
        <v>3447</v>
      </c>
      <c r="B2292" s="336">
        <v>45896.0</v>
      </c>
      <c r="C2292" s="335" t="s">
        <v>9</v>
      </c>
      <c r="D2292" s="335" t="s">
        <v>47</v>
      </c>
      <c r="E2292" s="337" t="str">
        <f t="shared" si="1"/>
        <v>大鉄　堺:豊通</v>
      </c>
      <c r="F2292" s="338" t="s">
        <v>156</v>
      </c>
      <c r="G2292" s="339" t="str">
        <f t="shared" si="2"/>
        <v>大鉄　堺:豊通ＣＰ Ｂ一斗缶</v>
      </c>
      <c r="H2292" s="340">
        <f t="shared" si="3"/>
        <v>31.2</v>
      </c>
      <c r="I2292" s="341">
        <v>-1.0</v>
      </c>
      <c r="J2292" s="332">
        <f>IFERROR(__xludf.DUMMYFUNCTION("IF(IF(COUNTIF(P$2:P2291, P2292)=0, """", INDEX(H$2:H2291,
MAX(FILTER(ROW(H$2:H2291) - ROW(H$2) + 1, P$2:P2291 = P2292))))=""単価"","""",
IF(COUNTIF(P$2:P2291, P2292)=0, """", INDEX(H$2:H2291,
MAX(FILTER(ROW(H$2:H2291) - ROW(H$2) + 1, P$2:P2291 = P2292)))))"),32.2)</f>
        <v>32.2</v>
      </c>
      <c r="N2292" s="335" t="str">
        <f>IF(MAXIFS('単価履歴'!$O:$O,'単価履歴'!$E:$E,E2292,'単価履歴'!$F:$F,F2292)=O2292,"●","")</f>
        <v/>
      </c>
      <c r="O2292" s="346">
        <v>45896.27023148148</v>
      </c>
      <c r="P2292" s="334" t="str">
        <f t="shared" si="4"/>
        <v>大鉄　堺:豊通ＣＰ Ｂ一斗缶</v>
      </c>
    </row>
    <row r="2293" ht="15.75" customHeight="1">
      <c r="A2293" s="335" t="s">
        <v>3448</v>
      </c>
      <c r="B2293" s="336">
        <v>45896.0</v>
      </c>
      <c r="C2293" s="335" t="s">
        <v>9</v>
      </c>
      <c r="D2293" s="335" t="s">
        <v>50</v>
      </c>
      <c r="E2293" s="337" t="str">
        <f t="shared" si="1"/>
        <v>大鉄　堺:産振</v>
      </c>
      <c r="F2293" s="338" t="s">
        <v>111</v>
      </c>
      <c r="G2293" s="339" t="str">
        <f t="shared" si="2"/>
        <v>大鉄　堺:産振Ｈ１(特A)</v>
      </c>
      <c r="H2293" s="340">
        <f t="shared" si="3"/>
        <v>42.2</v>
      </c>
      <c r="I2293" s="341">
        <v>-1.0</v>
      </c>
      <c r="J2293" s="332">
        <f>IFERROR(__xludf.DUMMYFUNCTION("IF(IF(COUNTIF(P$2:P2292, P2293)=0, """", INDEX(H$2:H2292,
MAX(FILTER(ROW(H$2:H2292) - ROW(H$2) + 1, P$2:P2292 = P2293))))=""単価"","""",
IF(COUNTIF(P$2:P2292, P2293)=0, """", INDEX(H$2:H2292,
MAX(FILTER(ROW(H$2:H2292) - ROW(H$2) + 1, P$2:P2292 = P2293)))))"),43.2)</f>
        <v>43.2</v>
      </c>
      <c r="N2293" s="335" t="str">
        <f>IF(MAXIFS('単価履歴'!$O:$O,'単価履歴'!$E:$E,E2293,'単価履歴'!$F:$F,F2293)=O2293,"●","")</f>
        <v/>
      </c>
      <c r="O2293" s="346">
        <v>45896.27023148148</v>
      </c>
      <c r="P2293" s="334" t="str">
        <f t="shared" si="4"/>
        <v>大鉄　堺:産振Ｈ１(特A)</v>
      </c>
    </row>
    <row r="2294" ht="15.75" customHeight="1">
      <c r="A2294" s="335" t="s">
        <v>3449</v>
      </c>
      <c r="B2294" s="336">
        <v>45896.0</v>
      </c>
      <c r="C2294" s="335" t="s">
        <v>9</v>
      </c>
      <c r="D2294" s="335" t="s">
        <v>50</v>
      </c>
      <c r="E2294" s="337" t="str">
        <f t="shared" si="1"/>
        <v>大鉄　堺:産振</v>
      </c>
      <c r="F2294" s="338" t="s">
        <v>116</v>
      </c>
      <c r="G2294" s="339" t="str">
        <f t="shared" si="2"/>
        <v>大鉄　堺:産振Ｈ２(特級)</v>
      </c>
      <c r="H2294" s="340">
        <f t="shared" si="3"/>
        <v>39.7</v>
      </c>
      <c r="I2294" s="341">
        <v>-1.0</v>
      </c>
      <c r="J2294" s="332">
        <f>IFERROR(__xludf.DUMMYFUNCTION("IF(IF(COUNTIF(P$2:P2293, P2294)=0, """", INDEX(H$2:H2293,
MAX(FILTER(ROW(H$2:H2293) - ROW(H$2) + 1, P$2:P2293 = P2294))))=""単価"","""",
IF(COUNTIF(P$2:P2293, P2294)=0, """", INDEX(H$2:H2293,
MAX(FILTER(ROW(H$2:H2293) - ROW(H$2) + 1, P$2:P2293 = P2294)))))"),40.7)</f>
        <v>40.7</v>
      </c>
      <c r="N2294" s="335" t="str">
        <f>IF(MAXIFS('単価履歴'!$O:$O,'単価履歴'!$E:$E,E2294,'単価履歴'!$F:$F,F2294)=O2294,"●","")</f>
        <v/>
      </c>
      <c r="O2294" s="346">
        <v>45896.27023148148</v>
      </c>
      <c r="P2294" s="334" t="str">
        <f t="shared" si="4"/>
        <v>大鉄　堺:産振Ｈ２(特級)</v>
      </c>
    </row>
    <row r="2295" ht="15.75" customHeight="1">
      <c r="A2295" s="335" t="s">
        <v>3450</v>
      </c>
      <c r="B2295" s="336">
        <v>45896.0</v>
      </c>
      <c r="C2295" s="335" t="s">
        <v>9</v>
      </c>
      <c r="D2295" s="335" t="s">
        <v>50</v>
      </c>
      <c r="E2295" s="337" t="str">
        <f t="shared" si="1"/>
        <v>大鉄　堺:産振</v>
      </c>
      <c r="F2295" s="338" t="s">
        <v>1237</v>
      </c>
      <c r="G2295" s="339" t="str">
        <f t="shared" si="2"/>
        <v>大鉄　堺:産振ＪＨ１(H2T山口)鍛造ﾊﾞﾘ</v>
      </c>
      <c r="H2295" s="340">
        <f t="shared" si="3"/>
        <v>-3</v>
      </c>
      <c r="I2295" s="341">
        <v>-1.0</v>
      </c>
      <c r="J2295" s="332">
        <f>IFERROR(__xludf.DUMMYFUNCTION("IF(IF(COUNTIF(P$2:P2294, P2295)=0, """", INDEX(H$2:H2294,
MAX(FILTER(ROW(H$2:H2294) - ROW(H$2) + 1, P$2:P2294 = P2295))))=""単価"","""",
IF(COUNTIF(P$2:P2294, P2295)=0, """", INDEX(H$2:H2294,
MAX(FILTER(ROW(H$2:H2294) - ROW(H$2) + 1, P$2:P2294 = P2295)))))"),-2.0)</f>
        <v>-2</v>
      </c>
      <c r="N2295" s="335" t="str">
        <f>IF(MAXIFS('単価履歴'!$O:$O,'単価履歴'!$E:$E,E2295,'単価履歴'!$F:$F,F2295)=O2295,"●","")</f>
        <v>●</v>
      </c>
      <c r="O2295" s="346">
        <v>45896.27023148148</v>
      </c>
      <c r="P2295" s="334" t="str">
        <f t="shared" si="4"/>
        <v>大鉄　堺:産振ＪＨ１(H2T山口)鍛造ﾊﾞﾘ</v>
      </c>
    </row>
    <row r="2296" ht="15.75" customHeight="1">
      <c r="A2296" s="335" t="s">
        <v>3451</v>
      </c>
      <c r="B2296" s="336">
        <v>45896.0</v>
      </c>
      <c r="C2296" s="335" t="s">
        <v>9</v>
      </c>
      <c r="D2296" s="335" t="s">
        <v>50</v>
      </c>
      <c r="E2296" s="337" t="str">
        <f t="shared" si="1"/>
        <v>大鉄　堺:産振</v>
      </c>
      <c r="F2296" s="338" t="s">
        <v>119</v>
      </c>
      <c r="G2296" s="339" t="str">
        <f t="shared" si="2"/>
        <v>大鉄　堺:産振Ｈ３(1級)</v>
      </c>
      <c r="H2296" s="340">
        <f t="shared" si="3"/>
        <v>21.7</v>
      </c>
      <c r="I2296" s="341">
        <v>-1.0</v>
      </c>
      <c r="J2296" s="332">
        <f>IFERROR(__xludf.DUMMYFUNCTION("IF(IF(COUNTIF(P$2:P2295, P2296)=0, """", INDEX(H$2:H2295,
MAX(FILTER(ROW(H$2:H2295) - ROW(H$2) + 1, P$2:P2295 = P2296))))=""単価"","""",
IF(COUNTIF(P$2:P2295, P2296)=0, """", INDEX(H$2:H2295,
MAX(FILTER(ROW(H$2:H2295) - ROW(H$2) + 1, P$2:P2295 = P2296)))))"),22.700000000000003)</f>
        <v>22.7</v>
      </c>
      <c r="N2296" s="335" t="str">
        <f>IF(MAXIFS('単価履歴'!$O:$O,'単価履歴'!$E:$E,E2296,'単価履歴'!$F:$F,F2296)=O2296,"●","")</f>
        <v/>
      </c>
      <c r="O2296" s="346">
        <v>45896.27023148148</v>
      </c>
      <c r="P2296" s="334" t="str">
        <f t="shared" si="4"/>
        <v>大鉄　堺:産振Ｈ３(1級)</v>
      </c>
    </row>
    <row r="2297" ht="15.75" customHeight="1">
      <c r="A2297" s="335" t="s">
        <v>3452</v>
      </c>
      <c r="B2297" s="336">
        <v>45896.0</v>
      </c>
      <c r="C2297" s="335" t="s">
        <v>9</v>
      </c>
      <c r="D2297" s="335" t="s">
        <v>50</v>
      </c>
      <c r="E2297" s="337" t="str">
        <f t="shared" si="1"/>
        <v>大鉄　堺:産振</v>
      </c>
      <c r="F2297" s="338" t="s">
        <v>122</v>
      </c>
      <c r="G2297" s="339" t="str">
        <f t="shared" si="2"/>
        <v>大鉄　堺:産振Ｌ１(2級)</v>
      </c>
      <c r="H2297" s="340">
        <f t="shared" si="3"/>
        <v>20.7</v>
      </c>
      <c r="I2297" s="341">
        <v>-1.0</v>
      </c>
      <c r="J2297" s="332">
        <f>IFERROR(__xludf.DUMMYFUNCTION("IF(IF(COUNTIF(P$2:P2296, P2297)=0, """", INDEX(H$2:H2296,
MAX(FILTER(ROW(H$2:H2296) - ROW(H$2) + 1, P$2:P2296 = P2297))))=""単価"","""",
IF(COUNTIF(P$2:P2296, P2297)=0, """", INDEX(H$2:H2296,
MAX(FILTER(ROW(H$2:H2296) - ROW(H$2) + 1, P$2:P2296 = P2297)))))"),21.700000000000003)</f>
        <v>21.7</v>
      </c>
      <c r="N2297" s="335" t="str">
        <f>IF(MAXIFS('単価履歴'!$O:$O,'単価履歴'!$E:$E,E2297,'単価履歴'!$F:$F,F2297)=O2297,"●","")</f>
        <v/>
      </c>
      <c r="O2297" s="346">
        <v>45896.27023148148</v>
      </c>
      <c r="P2297" s="334" t="str">
        <f t="shared" si="4"/>
        <v>大鉄　堺:産振Ｌ１(2級)</v>
      </c>
    </row>
    <row r="2298" ht="15.75" customHeight="1">
      <c r="A2298" s="335" t="s">
        <v>3453</v>
      </c>
      <c r="B2298" s="336">
        <v>45896.0</v>
      </c>
      <c r="C2298" s="335" t="s">
        <v>9</v>
      </c>
      <c r="D2298" s="335" t="s">
        <v>50</v>
      </c>
      <c r="E2298" s="337" t="str">
        <f t="shared" si="1"/>
        <v>大鉄　堺:産振</v>
      </c>
      <c r="F2298" s="338" t="s">
        <v>130</v>
      </c>
      <c r="G2298" s="339" t="str">
        <f t="shared" si="2"/>
        <v>大鉄　堺:産振新断Ａ</v>
      </c>
      <c r="H2298" s="340">
        <f t="shared" si="3"/>
        <v>39.2</v>
      </c>
      <c r="I2298" s="341">
        <v>-1.0</v>
      </c>
      <c r="J2298" s="332">
        <f>IFERROR(__xludf.DUMMYFUNCTION("IF(IF(COUNTIF(P$2:P2297, P2298)=0, """", INDEX(H$2:H2297,
MAX(FILTER(ROW(H$2:H2297) - ROW(H$2) + 1, P$2:P2297 = P2298))))=""単価"","""",
IF(COUNTIF(P$2:P2297, P2298)=0, """", INDEX(H$2:H2297,
MAX(FILTER(ROW(H$2:H2297) - ROW(H$2) + 1, P$2:P2297 = P2298)))))"),40.2)</f>
        <v>40.2</v>
      </c>
      <c r="N2298" s="335" t="str">
        <f>IF(MAXIFS('単価履歴'!$O:$O,'単価履歴'!$E:$E,E2298,'単価履歴'!$F:$F,F2298)=O2298,"●","")</f>
        <v/>
      </c>
      <c r="O2298" s="346">
        <v>45896.27023148148</v>
      </c>
      <c r="P2298" s="334" t="str">
        <f t="shared" si="4"/>
        <v>大鉄　堺:産振新断Ａ</v>
      </c>
    </row>
    <row r="2299" ht="15.75" customHeight="1">
      <c r="A2299" s="335" t="s">
        <v>3454</v>
      </c>
      <c r="B2299" s="336">
        <v>45896.0</v>
      </c>
      <c r="C2299" s="335" t="s">
        <v>9</v>
      </c>
      <c r="D2299" s="335" t="s">
        <v>50</v>
      </c>
      <c r="E2299" s="337" t="str">
        <f t="shared" si="1"/>
        <v>大鉄　堺:産振</v>
      </c>
      <c r="F2299" s="338" t="s">
        <v>131</v>
      </c>
      <c r="G2299" s="339" t="str">
        <f t="shared" si="2"/>
        <v>大鉄　堺:産振新断Ｂ</v>
      </c>
      <c r="H2299" s="340">
        <f t="shared" si="3"/>
        <v>38.7</v>
      </c>
      <c r="I2299" s="341">
        <v>-1.0</v>
      </c>
      <c r="J2299" s="332">
        <f>IFERROR(__xludf.DUMMYFUNCTION("IF(IF(COUNTIF(P$2:P2298, P2299)=0, """", INDEX(H$2:H2298,
MAX(FILTER(ROW(H$2:H2298) - ROW(H$2) + 1, P$2:P2298 = P2299))))=""単価"","""",
IF(COUNTIF(P$2:P2298, P2299)=0, """", INDEX(H$2:H2298,
MAX(FILTER(ROW(H$2:H2298) - ROW(H$2) + 1, P$2:P2298 = P2299)))))"),39.7)</f>
        <v>39.7</v>
      </c>
      <c r="N2299" s="335" t="str">
        <f>IF(MAXIFS('単価履歴'!$O:$O,'単価履歴'!$E:$E,E2299,'単価履歴'!$F:$F,F2299)=O2299,"●","")</f>
        <v/>
      </c>
      <c r="O2299" s="346">
        <v>45896.27023148148</v>
      </c>
      <c r="P2299" s="334" t="str">
        <f t="shared" si="4"/>
        <v>大鉄　堺:産振新断Ｂ</v>
      </c>
    </row>
    <row r="2300" ht="15.75" customHeight="1">
      <c r="A2300" s="335" t="s">
        <v>3455</v>
      </c>
      <c r="B2300" s="336">
        <v>45896.0</v>
      </c>
      <c r="C2300" s="335" t="s">
        <v>9</v>
      </c>
      <c r="D2300" s="335" t="s">
        <v>50</v>
      </c>
      <c r="E2300" s="337" t="str">
        <f t="shared" si="1"/>
        <v>大鉄　堺:産振</v>
      </c>
      <c r="F2300" s="338" t="s">
        <v>575</v>
      </c>
      <c r="G2300" s="339" t="str">
        <f t="shared" si="2"/>
        <v>大鉄　堺:産振鋼ダライＡ</v>
      </c>
      <c r="H2300" s="340">
        <f t="shared" si="3"/>
        <v>35.7</v>
      </c>
      <c r="I2300" s="341">
        <v>-1.0</v>
      </c>
      <c r="J2300" s="332">
        <f>IFERROR(__xludf.DUMMYFUNCTION("IF(IF(COUNTIF(P$2:P2299, P2300)=0, """", INDEX(H$2:H2299,
MAX(FILTER(ROW(H$2:H2299) - ROW(H$2) + 1, P$2:P2299 = P2300))))=""単価"","""",
IF(COUNTIF(P$2:P2299, P2300)=0, """", INDEX(H$2:H2299,
MAX(FILTER(ROW(H$2:H2299) - ROW(H$2) + 1, P$2:P2299 = P2300)))))"),36.7)</f>
        <v>36.7</v>
      </c>
      <c r="N2300" s="335" t="str">
        <f>IF(MAXIFS('単価履歴'!$O:$O,'単価履歴'!$E:$E,E2300,'単価履歴'!$F:$F,F2300)=O2300,"●","")</f>
        <v/>
      </c>
      <c r="O2300" s="346">
        <v>45896.27023148148</v>
      </c>
      <c r="P2300" s="334" t="str">
        <f t="shared" si="4"/>
        <v>大鉄　堺:産振鋼ダライＡ</v>
      </c>
    </row>
    <row r="2301" ht="15.75" customHeight="1">
      <c r="A2301" s="335" t="s">
        <v>3456</v>
      </c>
      <c r="B2301" s="336">
        <v>45896.0</v>
      </c>
      <c r="C2301" s="335" t="s">
        <v>9</v>
      </c>
      <c r="D2301" s="335" t="s">
        <v>50</v>
      </c>
      <c r="E2301" s="337" t="str">
        <f t="shared" si="1"/>
        <v>大鉄　堺:産振</v>
      </c>
      <c r="F2301" s="338" t="s">
        <v>576</v>
      </c>
      <c r="G2301" s="339" t="str">
        <f t="shared" si="2"/>
        <v>大鉄　堺:産振鋼ダライＢ</v>
      </c>
      <c r="H2301" s="340">
        <f t="shared" si="3"/>
        <v>-3</v>
      </c>
      <c r="I2301" s="341">
        <v>-1.0</v>
      </c>
      <c r="J2301" s="332">
        <f>IFERROR(__xludf.DUMMYFUNCTION("IF(IF(COUNTIF(P$2:P2300, P2301)=0, """", INDEX(H$2:H2300,
MAX(FILTER(ROW(H$2:H2300) - ROW(H$2) + 1, P$2:P2300 = P2301))))=""単価"","""",
IF(COUNTIF(P$2:P2300, P2301)=0, """", INDEX(H$2:H2300,
MAX(FILTER(ROW(H$2:H2300) - ROW(H$2) + 1, P$2:P2300 = P2301)))))"),-2.0)</f>
        <v>-2</v>
      </c>
      <c r="N2301" s="335" t="str">
        <f>IF(MAXIFS('単価履歴'!$O:$O,'単価履歴'!$E:$E,E2301,'単価履歴'!$F:$F,F2301)=O2301,"●","")</f>
        <v/>
      </c>
      <c r="O2301" s="346">
        <v>45896.27023148148</v>
      </c>
      <c r="P2301" s="334" t="str">
        <f t="shared" si="4"/>
        <v>大鉄　堺:産振鋼ダライＢ</v>
      </c>
    </row>
    <row r="2302" ht="15.75" customHeight="1">
      <c r="A2302" s="335" t="s">
        <v>3457</v>
      </c>
      <c r="B2302" s="336">
        <v>45896.0</v>
      </c>
      <c r="C2302" s="335" t="s">
        <v>9</v>
      </c>
      <c r="D2302" s="335" t="s">
        <v>50</v>
      </c>
      <c r="E2302" s="337" t="str">
        <f t="shared" si="1"/>
        <v>大鉄　堺:産振</v>
      </c>
      <c r="F2302" s="338" t="s">
        <v>145</v>
      </c>
      <c r="G2302" s="339" t="str">
        <f t="shared" si="2"/>
        <v>大鉄　堺:産振シュレＡ</v>
      </c>
      <c r="H2302" s="340">
        <f t="shared" si="3"/>
        <v>-3</v>
      </c>
      <c r="I2302" s="341">
        <v>-1.0</v>
      </c>
      <c r="J2302" s="332">
        <f>IFERROR(__xludf.DUMMYFUNCTION("IF(IF(COUNTIF(P$2:P2301, P2302)=0, """", INDEX(H$2:H2301,
MAX(FILTER(ROW(H$2:H2301) - ROW(H$2) + 1, P$2:P2301 = P2302))))=""単価"","""",
IF(COUNTIF(P$2:P2301, P2302)=0, """", INDEX(H$2:H2301,
MAX(FILTER(ROW(H$2:H2301) - ROW(H$2) + 1, P$2:P2301 = P2302)))))"),-2.0)</f>
        <v>-2</v>
      </c>
      <c r="N2302" s="335" t="str">
        <f>IF(MAXIFS('単価履歴'!$O:$O,'単価履歴'!$E:$E,E2302,'単価履歴'!$F:$F,F2302)=O2302,"●","")</f>
        <v>●</v>
      </c>
      <c r="O2302" s="346">
        <v>45896.27023148148</v>
      </c>
      <c r="P2302" s="334" t="str">
        <f t="shared" si="4"/>
        <v>大鉄　堺:産振シュレＡ</v>
      </c>
    </row>
    <row r="2303" ht="15.75" customHeight="1">
      <c r="A2303" s="335" t="s">
        <v>3458</v>
      </c>
      <c r="B2303" s="336">
        <v>45896.0</v>
      </c>
      <c r="C2303" s="335" t="s">
        <v>9</v>
      </c>
      <c r="D2303" s="335" t="s">
        <v>50</v>
      </c>
      <c r="E2303" s="337" t="str">
        <f t="shared" si="1"/>
        <v>大鉄　堺:産振</v>
      </c>
      <c r="F2303" s="338" t="s">
        <v>149</v>
      </c>
      <c r="G2303" s="339" t="str">
        <f t="shared" si="2"/>
        <v>大鉄　堺:産振シュレＢ</v>
      </c>
      <c r="H2303" s="340">
        <f t="shared" si="3"/>
        <v>-3</v>
      </c>
      <c r="I2303" s="341">
        <v>-1.0</v>
      </c>
      <c r="J2303" s="332">
        <f>IFERROR(__xludf.DUMMYFUNCTION("IF(IF(COUNTIF(P$2:P2302, P2303)=0, """", INDEX(H$2:H2302,
MAX(FILTER(ROW(H$2:H2302) - ROW(H$2) + 1, P$2:P2302 = P2303))))=""単価"","""",
IF(COUNTIF(P$2:P2302, P2303)=0, """", INDEX(H$2:H2302,
MAX(FILTER(ROW(H$2:H2302) - ROW(H$2) + 1, P$2:P2302 = P2303)))))"),-2.0)</f>
        <v>-2</v>
      </c>
      <c r="N2303" s="335" t="str">
        <f>IF(MAXIFS('単価履歴'!$O:$O,'単価履歴'!$E:$E,E2303,'単価履歴'!$F:$F,F2303)=O2303,"●","")</f>
        <v>●</v>
      </c>
      <c r="O2303" s="346">
        <v>45896.27023148148</v>
      </c>
      <c r="P2303" s="334" t="str">
        <f t="shared" si="4"/>
        <v>大鉄　堺:産振シュレＢ</v>
      </c>
    </row>
    <row r="2304" ht="15.75" customHeight="1">
      <c r="A2304" s="335" t="s">
        <v>3459</v>
      </c>
      <c r="B2304" s="336">
        <v>45896.0</v>
      </c>
      <c r="C2304" s="335" t="s">
        <v>9</v>
      </c>
      <c r="D2304" s="335" t="s">
        <v>50</v>
      </c>
      <c r="E2304" s="337" t="str">
        <f t="shared" si="1"/>
        <v>大鉄　堺:産振</v>
      </c>
      <c r="F2304" s="338" t="s">
        <v>151</v>
      </c>
      <c r="G2304" s="339" t="str">
        <f t="shared" si="2"/>
        <v>大鉄　堺:産振シュレＣ</v>
      </c>
      <c r="H2304" s="340">
        <f t="shared" si="3"/>
        <v>-3</v>
      </c>
      <c r="I2304" s="341">
        <v>-1.0</v>
      </c>
      <c r="J2304" s="332">
        <f>IFERROR(__xludf.DUMMYFUNCTION("IF(IF(COUNTIF(P$2:P2303, P2304)=0, """", INDEX(H$2:H2303,
MAX(FILTER(ROW(H$2:H2303) - ROW(H$2) + 1, P$2:P2303 = P2304))))=""単価"","""",
IF(COUNTIF(P$2:P2303, P2304)=0, """", INDEX(H$2:H2303,
MAX(FILTER(ROW(H$2:H2303) - ROW(H$2) + 1, P$2:P2303 = P2304)))))"),-2.0)</f>
        <v>-2</v>
      </c>
      <c r="N2304" s="335" t="str">
        <f>IF(MAXIFS('単価履歴'!$O:$O,'単価履歴'!$E:$E,E2304,'単価履歴'!$F:$F,F2304)=O2304,"●","")</f>
        <v>●</v>
      </c>
      <c r="O2304" s="346">
        <v>45896.27023148148</v>
      </c>
      <c r="P2304" s="334" t="str">
        <f t="shared" si="4"/>
        <v>大鉄　堺:産振シュレＣ</v>
      </c>
    </row>
    <row r="2305" ht="15.75" customHeight="1">
      <c r="A2305" s="335" t="s">
        <v>3460</v>
      </c>
      <c r="B2305" s="336">
        <v>45896.0</v>
      </c>
      <c r="C2305" s="335" t="s">
        <v>9</v>
      </c>
      <c r="D2305" s="335" t="s">
        <v>50</v>
      </c>
      <c r="E2305" s="337" t="str">
        <f t="shared" si="1"/>
        <v>大鉄　堺:産振</v>
      </c>
      <c r="F2305" s="338" t="s">
        <v>154</v>
      </c>
      <c r="G2305" s="339" t="str">
        <f t="shared" si="2"/>
        <v>大鉄　堺:産振ＣＰ Ａ</v>
      </c>
      <c r="H2305" s="340">
        <f t="shared" si="3"/>
        <v>43.2</v>
      </c>
      <c r="I2305" s="341">
        <v>-1.0</v>
      </c>
      <c r="J2305" s="332">
        <f>IFERROR(__xludf.DUMMYFUNCTION("IF(IF(COUNTIF(P$2:P2304, P2305)=0, """", INDEX(H$2:H2304,
MAX(FILTER(ROW(H$2:H2304) - ROW(H$2) + 1, P$2:P2304 = P2305))))=""単価"","""",
IF(COUNTIF(P$2:P2304, P2305)=0, """", INDEX(H$2:H2304,
MAX(FILTER(ROW(H$2:H2304) - ROW(H$2) + 1, P$2:P2304 = P2305)))))"),44.2)</f>
        <v>44.2</v>
      </c>
      <c r="N2305" s="335" t="str">
        <f>IF(MAXIFS('単価履歴'!$O:$O,'単価履歴'!$E:$E,E2305,'単価履歴'!$F:$F,F2305)=O2305,"●","")</f>
        <v/>
      </c>
      <c r="O2305" s="346">
        <v>45896.27023148148</v>
      </c>
      <c r="P2305" s="334" t="str">
        <f t="shared" si="4"/>
        <v>大鉄　堺:産振ＣＰ Ａ</v>
      </c>
    </row>
    <row r="2306" ht="15.75" customHeight="1">
      <c r="A2306" s="335" t="s">
        <v>3461</v>
      </c>
      <c r="B2306" s="336">
        <v>45896.0</v>
      </c>
      <c r="C2306" s="335" t="s">
        <v>9</v>
      </c>
      <c r="D2306" s="335" t="s">
        <v>50</v>
      </c>
      <c r="E2306" s="337" t="str">
        <f t="shared" si="1"/>
        <v>大鉄　堺:産振</v>
      </c>
      <c r="F2306" s="338" t="s">
        <v>156</v>
      </c>
      <c r="G2306" s="339" t="str">
        <f t="shared" si="2"/>
        <v>大鉄　堺:産振ＣＰ Ｂ一斗缶</v>
      </c>
      <c r="H2306" s="340">
        <f t="shared" si="3"/>
        <v>33</v>
      </c>
      <c r="I2306" s="341">
        <v>-1.0</v>
      </c>
      <c r="J2306" s="332">
        <f>IFERROR(__xludf.DUMMYFUNCTION("IF(IF(COUNTIF(P$2:P2305, P2306)=0, """", INDEX(H$2:H2305,
MAX(FILTER(ROW(H$2:H2305) - ROW(H$2) + 1, P$2:P2305 = P2306))))=""単価"","""",
IF(COUNTIF(P$2:P2305, P2306)=0, """", INDEX(H$2:H2305,
MAX(FILTER(ROW(H$2:H2305) - ROW(H$2) + 1, P$2:P2305 = P2306)))))"),34.0)</f>
        <v>34</v>
      </c>
      <c r="N2306" s="335" t="str">
        <f>IF(MAXIFS('単価履歴'!$O:$O,'単価履歴'!$E:$E,E2306,'単価履歴'!$F:$F,F2306)=O2306,"●","")</f>
        <v/>
      </c>
      <c r="O2306" s="346">
        <v>45896.27023148148</v>
      </c>
      <c r="P2306" s="334" t="str">
        <f t="shared" si="4"/>
        <v>大鉄　堺:産振ＣＰ Ｂ一斗缶</v>
      </c>
    </row>
    <row r="2307" ht="15.75" customHeight="1">
      <c r="A2307" s="335" t="s">
        <v>3462</v>
      </c>
      <c r="B2307" s="336">
        <v>45896.0</v>
      </c>
      <c r="C2307" s="335" t="s">
        <v>9</v>
      </c>
      <c r="D2307" s="335" t="s">
        <v>49</v>
      </c>
      <c r="E2307" s="337" t="str">
        <f t="shared" si="1"/>
        <v>大鉄　堺:伊藤忠</v>
      </c>
      <c r="F2307" s="338" t="s">
        <v>111</v>
      </c>
      <c r="G2307" s="339" t="str">
        <f t="shared" si="2"/>
        <v>大鉄　堺:伊藤忠Ｈ１(特A)</v>
      </c>
      <c r="H2307" s="340">
        <f t="shared" si="3"/>
        <v>25.8</v>
      </c>
      <c r="I2307" s="341">
        <v>-1.0</v>
      </c>
      <c r="J2307" s="332">
        <f>IFERROR(__xludf.DUMMYFUNCTION("IF(IF(COUNTIF(P$2:P2306, P2307)=0, """", INDEX(H$2:H2306,
MAX(FILTER(ROW(H$2:H2306) - ROW(H$2) + 1, P$2:P2306 = P2307))))=""単価"","""",
IF(COUNTIF(P$2:P2306, P2307)=0, """", INDEX(H$2:H2306,
MAX(FILTER(ROW(H$2:H2306) - ROW(H$2) + 1, P$2:P2306 = P2307)))))"),26.8)</f>
        <v>26.8</v>
      </c>
      <c r="N2307" s="335" t="str">
        <f>IF(MAXIFS('単価履歴'!$O:$O,'単価履歴'!$E:$E,E2307,'単価履歴'!$F:$F,F2307)=O2307,"●","")</f>
        <v/>
      </c>
      <c r="O2307" s="346">
        <v>45896.27023148148</v>
      </c>
      <c r="P2307" s="334" t="str">
        <f t="shared" si="4"/>
        <v>大鉄　堺:伊藤忠Ｈ１(特A)</v>
      </c>
    </row>
    <row r="2308" ht="15.75" customHeight="1">
      <c r="A2308" s="335" t="s">
        <v>3463</v>
      </c>
      <c r="B2308" s="336">
        <v>45896.0</v>
      </c>
      <c r="C2308" s="335" t="s">
        <v>9</v>
      </c>
      <c r="D2308" s="335" t="s">
        <v>49</v>
      </c>
      <c r="E2308" s="337" t="str">
        <f t="shared" si="1"/>
        <v>大鉄　堺:伊藤忠</v>
      </c>
      <c r="F2308" s="338" t="s">
        <v>116</v>
      </c>
      <c r="G2308" s="339" t="str">
        <f t="shared" si="2"/>
        <v>大鉄　堺:伊藤忠Ｈ２(特級)</v>
      </c>
      <c r="H2308" s="340">
        <f t="shared" si="3"/>
        <v>31</v>
      </c>
      <c r="I2308" s="341">
        <v>-1.0</v>
      </c>
      <c r="J2308" s="332">
        <f>IFERROR(__xludf.DUMMYFUNCTION("IF(IF(COUNTIF(P$2:P2307, P2308)=0, """", INDEX(H$2:H2307,
MAX(FILTER(ROW(H$2:H2307) - ROW(H$2) + 1, P$2:P2307 = P2308))))=""単価"","""",
IF(COUNTIF(P$2:P2307, P2308)=0, """", INDEX(H$2:H2307,
MAX(FILTER(ROW(H$2:H2307) - ROW(H$2) + 1, P$2:P2307 = P2308)))))"),32.0)</f>
        <v>32</v>
      </c>
      <c r="N2308" s="335" t="str">
        <f>IF(MAXIFS('単価履歴'!$O:$O,'単価履歴'!$E:$E,E2308,'単価履歴'!$F:$F,F2308)=O2308,"●","")</f>
        <v/>
      </c>
      <c r="O2308" s="346">
        <v>45896.27023148148</v>
      </c>
      <c r="P2308" s="334" t="str">
        <f t="shared" si="4"/>
        <v>大鉄　堺:伊藤忠Ｈ２(特級)</v>
      </c>
    </row>
    <row r="2309" ht="15.75" customHeight="1">
      <c r="A2309" s="335" t="s">
        <v>3464</v>
      </c>
      <c r="B2309" s="336">
        <v>45896.0</v>
      </c>
      <c r="C2309" s="335" t="s">
        <v>9</v>
      </c>
      <c r="D2309" s="335" t="s">
        <v>49</v>
      </c>
      <c r="E2309" s="337" t="str">
        <f t="shared" si="1"/>
        <v>大鉄　堺:伊藤忠</v>
      </c>
      <c r="F2309" s="338" t="s">
        <v>1237</v>
      </c>
      <c r="G2309" s="339" t="str">
        <f t="shared" si="2"/>
        <v>大鉄　堺:伊藤忠ＪＨ１(H2T山口)鍛造ﾊﾞﾘ</v>
      </c>
      <c r="H2309" s="340">
        <f t="shared" si="3"/>
        <v>33.2</v>
      </c>
      <c r="I2309" s="341">
        <v>-1.0</v>
      </c>
      <c r="J2309" s="332">
        <f>IFERROR(__xludf.DUMMYFUNCTION("IF(IF(COUNTIF(P$2:P2308, P2309)=0, """", INDEX(H$2:H2308,
MAX(FILTER(ROW(H$2:H2308) - ROW(H$2) + 1, P$2:P2308 = P2309))))=""単価"","""",
IF(COUNTIF(P$2:P2308, P2309)=0, """", INDEX(H$2:H2308,
MAX(FILTER(ROW(H$2:H2308) - ROW(H$2) + 1, P$2:P2308 = P2309)))))"),34.2)</f>
        <v>34.2</v>
      </c>
      <c r="N2309" s="335" t="str">
        <f>IF(MAXIFS('単価履歴'!$O:$O,'単価履歴'!$E:$E,E2309,'単価履歴'!$F:$F,F2309)=O2309,"●","")</f>
        <v/>
      </c>
      <c r="O2309" s="346">
        <v>45896.27023148148</v>
      </c>
      <c r="P2309" s="334" t="str">
        <f t="shared" si="4"/>
        <v>大鉄　堺:伊藤忠ＪＨ１(H2T山口)鍛造ﾊﾞﾘ</v>
      </c>
    </row>
    <row r="2310" ht="15.75" customHeight="1">
      <c r="A2310" s="335" t="s">
        <v>3465</v>
      </c>
      <c r="B2310" s="336">
        <v>45896.0</v>
      </c>
      <c r="C2310" s="335" t="s">
        <v>9</v>
      </c>
      <c r="D2310" s="335" t="s">
        <v>49</v>
      </c>
      <c r="E2310" s="337" t="str">
        <f t="shared" si="1"/>
        <v>大鉄　堺:伊藤忠</v>
      </c>
      <c r="F2310" s="338" t="s">
        <v>119</v>
      </c>
      <c r="G2310" s="339" t="str">
        <f t="shared" si="2"/>
        <v>大鉄　堺:伊藤忠Ｈ３(1級)</v>
      </c>
      <c r="H2310" s="340">
        <f t="shared" si="3"/>
        <v>30</v>
      </c>
      <c r="I2310" s="341">
        <v>-1.0</v>
      </c>
      <c r="J2310" s="332">
        <f>IFERROR(__xludf.DUMMYFUNCTION("IF(IF(COUNTIF(P$2:P2309, P2310)=0, """", INDEX(H$2:H2309,
MAX(FILTER(ROW(H$2:H2309) - ROW(H$2) + 1, P$2:P2309 = P2310))))=""単価"","""",
IF(COUNTIF(P$2:P2309, P2310)=0, """", INDEX(H$2:H2309,
MAX(FILTER(ROW(H$2:H2309) - ROW(H$2) + 1, P$2:P2309 = P2310)))))"),31.0)</f>
        <v>31</v>
      </c>
      <c r="N2310" s="335" t="str">
        <f>IF(MAXIFS('単価履歴'!$O:$O,'単価履歴'!$E:$E,E2310,'単価履歴'!$F:$F,F2310)=O2310,"●","")</f>
        <v/>
      </c>
      <c r="O2310" s="346">
        <v>45896.27023148148</v>
      </c>
      <c r="P2310" s="334" t="str">
        <f t="shared" si="4"/>
        <v>大鉄　堺:伊藤忠Ｈ３(1級)</v>
      </c>
    </row>
    <row r="2311" ht="15.75" customHeight="1">
      <c r="A2311" s="335" t="s">
        <v>3466</v>
      </c>
      <c r="B2311" s="336">
        <v>45896.0</v>
      </c>
      <c r="C2311" s="335" t="s">
        <v>9</v>
      </c>
      <c r="D2311" s="335" t="s">
        <v>49</v>
      </c>
      <c r="E2311" s="337" t="str">
        <f t="shared" si="1"/>
        <v>大鉄　堺:伊藤忠</v>
      </c>
      <c r="F2311" s="338" t="s">
        <v>122</v>
      </c>
      <c r="G2311" s="339" t="str">
        <f t="shared" si="2"/>
        <v>大鉄　堺:伊藤忠Ｌ１(2級)</v>
      </c>
      <c r="H2311" s="340">
        <f t="shared" si="3"/>
        <v>29</v>
      </c>
      <c r="I2311" s="341">
        <v>-1.0</v>
      </c>
      <c r="J2311" s="332">
        <f>IFERROR(__xludf.DUMMYFUNCTION("IF(IF(COUNTIF(P$2:P2310, P2311)=0, """", INDEX(H$2:H2310,
MAX(FILTER(ROW(H$2:H2310) - ROW(H$2) + 1, P$2:P2310 = P2311))))=""単価"","""",
IF(COUNTIF(P$2:P2310, P2311)=0, """", INDEX(H$2:H2310,
MAX(FILTER(ROW(H$2:H2310) - ROW(H$2) + 1, P$2:P2310 = P2311)))))"),30.0)</f>
        <v>30</v>
      </c>
      <c r="N2311" s="335" t="str">
        <f>IF(MAXIFS('単価履歴'!$O:$O,'単価履歴'!$E:$E,E2311,'単価履歴'!$F:$F,F2311)=O2311,"●","")</f>
        <v/>
      </c>
      <c r="O2311" s="346">
        <v>45896.27023148148</v>
      </c>
      <c r="P2311" s="334" t="str">
        <f t="shared" si="4"/>
        <v>大鉄　堺:伊藤忠Ｌ１(2級)</v>
      </c>
    </row>
    <row r="2312" ht="15.75" customHeight="1">
      <c r="A2312" s="335" t="s">
        <v>3467</v>
      </c>
      <c r="B2312" s="336">
        <v>45896.0</v>
      </c>
      <c r="C2312" s="335" t="s">
        <v>9</v>
      </c>
      <c r="D2312" s="335" t="s">
        <v>49</v>
      </c>
      <c r="E2312" s="337" t="str">
        <f t="shared" si="1"/>
        <v>大鉄　堺:伊藤忠</v>
      </c>
      <c r="F2312" s="338" t="s">
        <v>130</v>
      </c>
      <c r="G2312" s="339" t="str">
        <f t="shared" si="2"/>
        <v>大鉄　堺:伊藤忠新断Ａ</v>
      </c>
      <c r="H2312" s="340">
        <f t="shared" si="3"/>
        <v>25.3</v>
      </c>
      <c r="I2312" s="341">
        <v>-1.0</v>
      </c>
      <c r="J2312" s="332">
        <f>IFERROR(__xludf.DUMMYFUNCTION("IF(IF(COUNTIF(P$2:P2311, P2312)=0, """", INDEX(H$2:H2311,
MAX(FILTER(ROW(H$2:H2311) - ROW(H$2) + 1, P$2:P2311 = P2312))))=""単価"","""",
IF(COUNTIF(P$2:P2311, P2312)=0, """", INDEX(H$2:H2311,
MAX(FILTER(ROW(H$2:H2311) - ROW(H$2) + 1, P$2:P2311 = P2312)))))"),26.3)</f>
        <v>26.3</v>
      </c>
      <c r="N2312" s="335" t="str">
        <f>IF(MAXIFS('単価履歴'!$O:$O,'単価履歴'!$E:$E,E2312,'単価履歴'!$F:$F,F2312)=O2312,"●","")</f>
        <v/>
      </c>
      <c r="O2312" s="346">
        <v>45896.27023148148</v>
      </c>
      <c r="P2312" s="334" t="str">
        <f t="shared" si="4"/>
        <v>大鉄　堺:伊藤忠新断Ａ</v>
      </c>
    </row>
    <row r="2313" ht="15.75" customHeight="1">
      <c r="A2313" s="335" t="s">
        <v>3468</v>
      </c>
      <c r="B2313" s="336">
        <v>45896.0</v>
      </c>
      <c r="C2313" s="335" t="s">
        <v>9</v>
      </c>
      <c r="D2313" s="335" t="s">
        <v>49</v>
      </c>
      <c r="E2313" s="337" t="str">
        <f t="shared" si="1"/>
        <v>大鉄　堺:伊藤忠</v>
      </c>
      <c r="F2313" s="338" t="s">
        <v>131</v>
      </c>
      <c r="G2313" s="339" t="str">
        <f t="shared" si="2"/>
        <v>大鉄　堺:伊藤忠新断Ｂ</v>
      </c>
      <c r="H2313" s="340">
        <f t="shared" si="3"/>
        <v>24.8</v>
      </c>
      <c r="I2313" s="341">
        <v>-1.0</v>
      </c>
      <c r="J2313" s="332">
        <f>IFERROR(__xludf.DUMMYFUNCTION("IF(IF(COUNTIF(P$2:P2312, P2313)=0, """", INDEX(H$2:H2312,
MAX(FILTER(ROW(H$2:H2312) - ROW(H$2) + 1, P$2:P2312 = P2313))))=""単価"","""",
IF(COUNTIF(P$2:P2312, P2313)=0, """", INDEX(H$2:H2312,
MAX(FILTER(ROW(H$2:H2312) - ROW(H$2) + 1, P$2:P2312 = P2313)))))"),25.8)</f>
        <v>25.8</v>
      </c>
      <c r="N2313" s="335" t="str">
        <f>IF(MAXIFS('単価履歴'!$O:$O,'単価履歴'!$E:$E,E2313,'単価履歴'!$F:$F,F2313)=O2313,"●","")</f>
        <v/>
      </c>
      <c r="O2313" s="346">
        <v>45896.27023148148</v>
      </c>
      <c r="P2313" s="334" t="str">
        <f t="shared" si="4"/>
        <v>大鉄　堺:伊藤忠新断Ｂ</v>
      </c>
    </row>
    <row r="2314" ht="15.75" customHeight="1">
      <c r="A2314" s="335" t="s">
        <v>3469</v>
      </c>
      <c r="B2314" s="336">
        <v>45896.0</v>
      </c>
      <c r="C2314" s="335" t="s">
        <v>9</v>
      </c>
      <c r="D2314" s="335" t="s">
        <v>49</v>
      </c>
      <c r="E2314" s="337" t="str">
        <f t="shared" si="1"/>
        <v>大鉄　堺:伊藤忠</v>
      </c>
      <c r="F2314" s="338" t="s">
        <v>575</v>
      </c>
      <c r="G2314" s="339" t="str">
        <f t="shared" si="2"/>
        <v>大鉄　堺:伊藤忠鋼ダライＡ</v>
      </c>
      <c r="H2314" s="340">
        <f t="shared" si="3"/>
        <v>-3</v>
      </c>
      <c r="I2314" s="341">
        <v>-1.0</v>
      </c>
      <c r="J2314" s="332">
        <f>IFERROR(__xludf.DUMMYFUNCTION("IF(IF(COUNTIF(P$2:P2313, P2314)=0, """", INDEX(H$2:H2313,
MAX(FILTER(ROW(H$2:H2313) - ROW(H$2) + 1, P$2:P2313 = P2314))))=""単価"","""",
IF(COUNTIF(P$2:P2313, P2314)=0, """", INDEX(H$2:H2313,
MAX(FILTER(ROW(H$2:H2313) - ROW(H$2) + 1, P$2:P2313 = P2314)))))"),-2.0)</f>
        <v>-2</v>
      </c>
      <c r="N2314" s="335" t="str">
        <f>IF(MAXIFS('単価履歴'!$O:$O,'単価履歴'!$E:$E,E2314,'単価履歴'!$F:$F,F2314)=O2314,"●","")</f>
        <v>●</v>
      </c>
      <c r="O2314" s="346">
        <v>45896.27023148148</v>
      </c>
      <c r="P2314" s="334" t="str">
        <f t="shared" si="4"/>
        <v>大鉄　堺:伊藤忠鋼ダライＡ</v>
      </c>
    </row>
    <row r="2315" ht="15.75" customHeight="1">
      <c r="A2315" s="335" t="s">
        <v>3470</v>
      </c>
      <c r="B2315" s="336">
        <v>45896.0</v>
      </c>
      <c r="C2315" s="335" t="s">
        <v>9</v>
      </c>
      <c r="D2315" s="335" t="s">
        <v>49</v>
      </c>
      <c r="E2315" s="337" t="str">
        <f t="shared" si="1"/>
        <v>大鉄　堺:伊藤忠</v>
      </c>
      <c r="F2315" s="338" t="s">
        <v>576</v>
      </c>
      <c r="G2315" s="339" t="str">
        <f t="shared" si="2"/>
        <v>大鉄　堺:伊藤忠鋼ダライＢ</v>
      </c>
      <c r="H2315" s="340">
        <f t="shared" si="3"/>
        <v>-3</v>
      </c>
      <c r="I2315" s="341">
        <v>-1.0</v>
      </c>
      <c r="J2315" s="332">
        <f>IFERROR(__xludf.DUMMYFUNCTION("IF(IF(COUNTIF(P$2:P2314, P2315)=0, """", INDEX(H$2:H2314,
MAX(FILTER(ROW(H$2:H2314) - ROW(H$2) + 1, P$2:P2314 = P2315))))=""単価"","""",
IF(COUNTIF(P$2:P2314, P2315)=0, """", INDEX(H$2:H2314,
MAX(FILTER(ROW(H$2:H2314) - ROW(H$2) + 1, P$2:P2314 = P2315)))))"),-2.0)</f>
        <v>-2</v>
      </c>
      <c r="N2315" s="335" t="str">
        <f>IF(MAXIFS('単価履歴'!$O:$O,'単価履歴'!$E:$E,E2315,'単価履歴'!$F:$F,F2315)=O2315,"●","")</f>
        <v>●</v>
      </c>
      <c r="O2315" s="346">
        <v>45896.27023148148</v>
      </c>
      <c r="P2315" s="334" t="str">
        <f t="shared" si="4"/>
        <v>大鉄　堺:伊藤忠鋼ダライＢ</v>
      </c>
    </row>
    <row r="2316" ht="15.75" customHeight="1">
      <c r="A2316" s="335" t="s">
        <v>3471</v>
      </c>
      <c r="B2316" s="336">
        <v>45896.0</v>
      </c>
      <c r="C2316" s="335" t="s">
        <v>9</v>
      </c>
      <c r="D2316" s="335" t="s">
        <v>49</v>
      </c>
      <c r="E2316" s="337" t="str">
        <f t="shared" si="1"/>
        <v>大鉄　堺:伊藤忠</v>
      </c>
      <c r="F2316" s="338" t="s">
        <v>145</v>
      </c>
      <c r="G2316" s="339" t="str">
        <f t="shared" si="2"/>
        <v>大鉄　堺:伊藤忠シュレＡ</v>
      </c>
      <c r="H2316" s="340">
        <f t="shared" si="3"/>
        <v>-3</v>
      </c>
      <c r="I2316" s="341">
        <v>-1.0</v>
      </c>
      <c r="J2316" s="332">
        <f>IFERROR(__xludf.DUMMYFUNCTION("IF(IF(COUNTIF(P$2:P2315, P2316)=0, """", INDEX(H$2:H2315,
MAX(FILTER(ROW(H$2:H2315) - ROW(H$2) + 1, P$2:P2315 = P2316))))=""単価"","""",
IF(COUNTIF(P$2:P2315, P2316)=0, """", INDEX(H$2:H2315,
MAX(FILTER(ROW(H$2:H2315) - ROW(H$2) + 1, P$2:P2315 = P2316)))))"),-2.0)</f>
        <v>-2</v>
      </c>
      <c r="N2316" s="335" t="str">
        <f>IF(MAXIFS('単価履歴'!$O:$O,'単価履歴'!$E:$E,E2316,'単価履歴'!$F:$F,F2316)=O2316,"●","")</f>
        <v>●</v>
      </c>
      <c r="O2316" s="346">
        <v>45896.27023148148</v>
      </c>
      <c r="P2316" s="334" t="str">
        <f t="shared" si="4"/>
        <v>大鉄　堺:伊藤忠シュレＡ</v>
      </c>
    </row>
    <row r="2317" ht="15.75" customHeight="1">
      <c r="A2317" s="335" t="s">
        <v>3472</v>
      </c>
      <c r="B2317" s="336">
        <v>45896.0</v>
      </c>
      <c r="C2317" s="335" t="s">
        <v>9</v>
      </c>
      <c r="D2317" s="335" t="s">
        <v>49</v>
      </c>
      <c r="E2317" s="337" t="str">
        <f t="shared" si="1"/>
        <v>大鉄　堺:伊藤忠</v>
      </c>
      <c r="F2317" s="338" t="s">
        <v>149</v>
      </c>
      <c r="G2317" s="339" t="str">
        <f t="shared" si="2"/>
        <v>大鉄　堺:伊藤忠シュレＢ</v>
      </c>
      <c r="H2317" s="340">
        <f t="shared" si="3"/>
        <v>-3</v>
      </c>
      <c r="I2317" s="341">
        <v>-1.0</v>
      </c>
      <c r="J2317" s="332">
        <f>IFERROR(__xludf.DUMMYFUNCTION("IF(IF(COUNTIF(P$2:P2316, P2317)=0, """", INDEX(H$2:H2316,
MAX(FILTER(ROW(H$2:H2316) - ROW(H$2) + 1, P$2:P2316 = P2317))))=""単価"","""",
IF(COUNTIF(P$2:P2316, P2317)=0, """", INDEX(H$2:H2316,
MAX(FILTER(ROW(H$2:H2316) - ROW(H$2) + 1, P$2:P2316 = P2317)))))"),-2.0)</f>
        <v>-2</v>
      </c>
      <c r="N2317" s="335" t="str">
        <f>IF(MAXIFS('単価履歴'!$O:$O,'単価履歴'!$E:$E,E2317,'単価履歴'!$F:$F,F2317)=O2317,"●","")</f>
        <v>●</v>
      </c>
      <c r="O2317" s="346">
        <v>45896.27023148148</v>
      </c>
      <c r="P2317" s="334" t="str">
        <f t="shared" si="4"/>
        <v>大鉄　堺:伊藤忠シュレＢ</v>
      </c>
    </row>
    <row r="2318" ht="15.75" customHeight="1">
      <c r="A2318" s="335" t="s">
        <v>3473</v>
      </c>
      <c r="B2318" s="336">
        <v>45896.0</v>
      </c>
      <c r="C2318" s="335" t="s">
        <v>9</v>
      </c>
      <c r="D2318" s="335" t="s">
        <v>49</v>
      </c>
      <c r="E2318" s="337" t="str">
        <f t="shared" si="1"/>
        <v>大鉄　堺:伊藤忠</v>
      </c>
      <c r="F2318" s="338" t="s">
        <v>151</v>
      </c>
      <c r="G2318" s="339" t="str">
        <f t="shared" si="2"/>
        <v>大鉄　堺:伊藤忠シュレＣ</v>
      </c>
      <c r="H2318" s="340">
        <f t="shared" si="3"/>
        <v>-3</v>
      </c>
      <c r="I2318" s="341">
        <v>-1.0</v>
      </c>
      <c r="J2318" s="332">
        <f>IFERROR(__xludf.DUMMYFUNCTION("IF(IF(COUNTIF(P$2:P2317, P2318)=0, """", INDEX(H$2:H2317,
MAX(FILTER(ROW(H$2:H2317) - ROW(H$2) + 1, P$2:P2317 = P2318))))=""単価"","""",
IF(COUNTIF(P$2:P2317, P2318)=0, """", INDEX(H$2:H2317,
MAX(FILTER(ROW(H$2:H2317) - ROW(H$2) + 1, P$2:P2317 = P2318)))))"),-2.0)</f>
        <v>-2</v>
      </c>
      <c r="N2318" s="335" t="str">
        <f>IF(MAXIFS('単価履歴'!$O:$O,'単価履歴'!$E:$E,E2318,'単価履歴'!$F:$F,F2318)=O2318,"●","")</f>
        <v>●</v>
      </c>
      <c r="O2318" s="346">
        <v>45896.27023148148</v>
      </c>
      <c r="P2318" s="334" t="str">
        <f t="shared" si="4"/>
        <v>大鉄　堺:伊藤忠シュレＣ</v>
      </c>
    </row>
    <row r="2319" ht="15.75" customHeight="1">
      <c r="A2319" s="335" t="s">
        <v>3474</v>
      </c>
      <c r="B2319" s="336">
        <v>45896.0</v>
      </c>
      <c r="C2319" s="335" t="s">
        <v>9</v>
      </c>
      <c r="D2319" s="335" t="s">
        <v>49</v>
      </c>
      <c r="E2319" s="337" t="str">
        <f t="shared" si="1"/>
        <v>大鉄　堺:伊藤忠</v>
      </c>
      <c r="F2319" s="338" t="s">
        <v>154</v>
      </c>
      <c r="G2319" s="339" t="str">
        <f t="shared" si="2"/>
        <v>大鉄　堺:伊藤忠ＣＰ Ａ</v>
      </c>
      <c r="H2319" s="340">
        <f t="shared" si="3"/>
        <v>-3</v>
      </c>
      <c r="I2319" s="341">
        <v>-1.0</v>
      </c>
      <c r="J2319" s="332">
        <f>IFERROR(__xludf.DUMMYFUNCTION("IF(IF(COUNTIF(P$2:P2318, P2319)=0, """", INDEX(H$2:H2318,
MAX(FILTER(ROW(H$2:H2318) - ROW(H$2) + 1, P$2:P2318 = P2319))))=""単価"","""",
IF(COUNTIF(P$2:P2318, P2319)=0, """", INDEX(H$2:H2318,
MAX(FILTER(ROW(H$2:H2318) - ROW(H$2) + 1, P$2:P2318 = P2319)))))"),-2.0)</f>
        <v>-2</v>
      </c>
      <c r="N2319" s="335" t="str">
        <f>IF(MAXIFS('単価履歴'!$O:$O,'単価履歴'!$E:$E,E2319,'単価履歴'!$F:$F,F2319)=O2319,"●","")</f>
        <v>●</v>
      </c>
      <c r="O2319" s="346">
        <v>45896.27023148148</v>
      </c>
      <c r="P2319" s="334" t="str">
        <f t="shared" si="4"/>
        <v>大鉄　堺:伊藤忠ＣＰ Ａ</v>
      </c>
    </row>
    <row r="2320" ht="15.75" customHeight="1">
      <c r="A2320" s="335" t="s">
        <v>3475</v>
      </c>
      <c r="B2320" s="336">
        <v>45896.0</v>
      </c>
      <c r="C2320" s="335" t="s">
        <v>9</v>
      </c>
      <c r="D2320" s="335" t="s">
        <v>49</v>
      </c>
      <c r="E2320" s="337" t="str">
        <f t="shared" si="1"/>
        <v>大鉄　堺:伊藤忠</v>
      </c>
      <c r="F2320" s="338" t="s">
        <v>156</v>
      </c>
      <c r="G2320" s="339" t="str">
        <f t="shared" si="2"/>
        <v>大鉄　堺:伊藤忠ＣＰ Ｂ一斗缶</v>
      </c>
      <c r="H2320" s="340">
        <f t="shared" si="3"/>
        <v>-3</v>
      </c>
      <c r="I2320" s="341">
        <v>-1.0</v>
      </c>
      <c r="J2320" s="332">
        <f>IFERROR(__xludf.DUMMYFUNCTION("IF(IF(COUNTIF(P$2:P2319, P2320)=0, """", INDEX(H$2:H2319,
MAX(FILTER(ROW(H$2:H2319) - ROW(H$2) + 1, P$2:P2319 = P2320))))=""単価"","""",
IF(COUNTIF(P$2:P2319, P2320)=0, """", INDEX(H$2:H2319,
MAX(FILTER(ROW(H$2:H2319) - ROW(H$2) + 1, P$2:P2319 = P2320)))))"),-2.0)</f>
        <v>-2</v>
      </c>
      <c r="N2320" s="335" t="str">
        <f>IF(MAXIFS('単価履歴'!$O:$O,'単価履歴'!$E:$E,E2320,'単価履歴'!$F:$F,F2320)=O2320,"●","")</f>
        <v>●</v>
      </c>
      <c r="O2320" s="346">
        <v>45896.27023148148</v>
      </c>
      <c r="P2320" s="334" t="str">
        <f t="shared" si="4"/>
        <v>大鉄　堺:伊藤忠ＣＰ Ｂ一斗缶</v>
      </c>
    </row>
    <row r="2321" ht="15.75" customHeight="1">
      <c r="A2321" s="335" t="s">
        <v>3476</v>
      </c>
      <c r="B2321" s="336">
        <v>45896.0</v>
      </c>
      <c r="C2321" s="335" t="s">
        <v>10</v>
      </c>
      <c r="D2321" s="335" t="s">
        <v>47</v>
      </c>
      <c r="E2321" s="337" t="str">
        <f t="shared" si="1"/>
        <v>岸和田:豊通</v>
      </c>
      <c r="F2321" s="338" t="s">
        <v>111</v>
      </c>
      <c r="G2321" s="339" t="str">
        <f t="shared" si="2"/>
        <v>岸和田:豊通Ｈ１(特A)</v>
      </c>
      <c r="H2321" s="340">
        <f t="shared" si="3"/>
        <v>41.5</v>
      </c>
      <c r="I2321" s="341">
        <v>-0.5</v>
      </c>
      <c r="J2321" s="332">
        <f>IFERROR(__xludf.DUMMYFUNCTION("IF(IF(COUNTIF(P$2:P2320, P2321)=0, """", INDEX(H$2:H2320,
MAX(FILTER(ROW(H$2:H2320) - ROW(H$2) + 1, P$2:P2320 = P2321))))=""単価"","""",
IF(COUNTIF(P$2:P2320, P2321)=0, """", INDEX(H$2:H2320,
MAX(FILTER(ROW(H$2:H2320) - ROW(H$2) + 1, P$2:P2320 = P2321)))))"),42.0)</f>
        <v>42</v>
      </c>
      <c r="N2321" s="335" t="str">
        <f>IF(MAXIFS('単価履歴'!$O:$O,'単価履歴'!$E:$E,E2321,'単価履歴'!$F:$F,F2321)=O2321,"●","")</f>
        <v/>
      </c>
      <c r="O2321" s="346">
        <v>45896.27081018519</v>
      </c>
      <c r="P2321" s="334" t="str">
        <f t="shared" si="4"/>
        <v>岸和田:豊通Ｈ１(特A)</v>
      </c>
    </row>
    <row r="2322" ht="15.75" customHeight="1">
      <c r="A2322" s="335" t="s">
        <v>3477</v>
      </c>
      <c r="B2322" s="336">
        <v>45896.0</v>
      </c>
      <c r="C2322" s="335" t="s">
        <v>10</v>
      </c>
      <c r="D2322" s="335" t="s">
        <v>47</v>
      </c>
      <c r="E2322" s="337" t="str">
        <f t="shared" si="1"/>
        <v>岸和田:豊通</v>
      </c>
      <c r="F2322" s="338" t="s">
        <v>116</v>
      </c>
      <c r="G2322" s="339" t="str">
        <f t="shared" si="2"/>
        <v>岸和田:豊通Ｈ２(特級)</v>
      </c>
      <c r="H2322" s="340">
        <f t="shared" si="3"/>
        <v>39.5</v>
      </c>
      <c r="I2322" s="341">
        <v>-0.5</v>
      </c>
      <c r="J2322" s="332">
        <f>IFERROR(__xludf.DUMMYFUNCTION("IF(IF(COUNTIF(P$2:P2321, P2322)=0, """", INDEX(H$2:H2321,
MAX(FILTER(ROW(H$2:H2321) - ROW(H$2) + 1, P$2:P2321 = P2322))))=""単価"","""",
IF(COUNTIF(P$2:P2321, P2322)=0, """", INDEX(H$2:H2321,
MAX(FILTER(ROW(H$2:H2321) - ROW(H$2) + 1, P$2:P2321 = P2322)))))"),40.0)</f>
        <v>40</v>
      </c>
      <c r="N2322" s="335" t="str">
        <f>IF(MAXIFS('単価履歴'!$O:$O,'単価履歴'!$E:$E,E2322,'単価履歴'!$F:$F,F2322)=O2322,"●","")</f>
        <v/>
      </c>
      <c r="O2322" s="346">
        <v>45896.27081018519</v>
      </c>
      <c r="P2322" s="334" t="str">
        <f t="shared" si="4"/>
        <v>岸和田:豊通Ｈ２(特級)</v>
      </c>
    </row>
    <row r="2323" ht="15.75" customHeight="1">
      <c r="A2323" s="335" t="s">
        <v>3478</v>
      </c>
      <c r="B2323" s="336">
        <v>45896.0</v>
      </c>
      <c r="C2323" s="335" t="s">
        <v>10</v>
      </c>
      <c r="D2323" s="335" t="s">
        <v>47</v>
      </c>
      <c r="E2323" s="337" t="str">
        <f t="shared" si="1"/>
        <v>岸和田:豊通</v>
      </c>
      <c r="F2323" s="338" t="s">
        <v>119</v>
      </c>
      <c r="G2323" s="339" t="str">
        <f t="shared" si="2"/>
        <v>岸和田:豊通Ｈ３(1級)</v>
      </c>
      <c r="H2323" s="340">
        <f t="shared" si="3"/>
        <v>39</v>
      </c>
      <c r="I2323" s="341">
        <v>-0.5</v>
      </c>
      <c r="J2323" s="332">
        <f>IFERROR(__xludf.DUMMYFUNCTION("IF(IF(COUNTIF(P$2:P2322, P2323)=0, """", INDEX(H$2:H2322,
MAX(FILTER(ROW(H$2:H2322) - ROW(H$2) + 1, P$2:P2322 = P2323))))=""単価"","""",
IF(COUNTIF(P$2:P2322, P2323)=0, """", INDEX(H$2:H2322,
MAX(FILTER(ROW(H$2:H2322) - ROW(H$2) + 1, P$2:P2322 = P2323)))))"),39.5)</f>
        <v>39.5</v>
      </c>
      <c r="N2323" s="335" t="str">
        <f>IF(MAXIFS('単価履歴'!$O:$O,'単価履歴'!$E:$E,E2323,'単価履歴'!$F:$F,F2323)=O2323,"●","")</f>
        <v/>
      </c>
      <c r="O2323" s="346">
        <v>45896.27081018519</v>
      </c>
      <c r="P2323" s="334" t="str">
        <f t="shared" si="4"/>
        <v>岸和田:豊通Ｈ３(1級)</v>
      </c>
    </row>
    <row r="2324" ht="15.75" customHeight="1">
      <c r="A2324" s="335" t="s">
        <v>3479</v>
      </c>
      <c r="B2324" s="336">
        <v>45896.0</v>
      </c>
      <c r="C2324" s="335" t="s">
        <v>10</v>
      </c>
      <c r="D2324" s="335" t="s">
        <v>47</v>
      </c>
      <c r="E2324" s="337" t="str">
        <f t="shared" si="1"/>
        <v>岸和田:豊通</v>
      </c>
      <c r="F2324" s="338" t="s">
        <v>122</v>
      </c>
      <c r="G2324" s="339" t="str">
        <f t="shared" si="2"/>
        <v>岸和田:豊通Ｌ１(2級)</v>
      </c>
      <c r="H2324" s="340">
        <f t="shared" si="3"/>
        <v>38.5</v>
      </c>
      <c r="I2324" s="341">
        <v>-0.5</v>
      </c>
      <c r="J2324" s="332">
        <f>IFERROR(__xludf.DUMMYFUNCTION("IF(IF(COUNTIF(P$2:P2323, P2324)=0, """", INDEX(H$2:H2323,
MAX(FILTER(ROW(H$2:H2323) - ROW(H$2) + 1, P$2:P2323 = P2324))))=""単価"","""",
IF(COUNTIF(P$2:P2323, P2324)=0, """", INDEX(H$2:H2323,
MAX(FILTER(ROW(H$2:H2323) - ROW(H$2) + 1, P$2:P2323 = P2324)))))"),39.0)</f>
        <v>39</v>
      </c>
      <c r="N2324" s="335" t="str">
        <f>IF(MAXIFS('単価履歴'!$O:$O,'単価履歴'!$E:$E,E2324,'単価履歴'!$F:$F,F2324)=O2324,"●","")</f>
        <v/>
      </c>
      <c r="O2324" s="346">
        <v>45896.27081018519</v>
      </c>
      <c r="P2324" s="334" t="str">
        <f t="shared" si="4"/>
        <v>岸和田:豊通Ｌ１(2級)</v>
      </c>
    </row>
    <row r="2325" ht="15.75" customHeight="1">
      <c r="A2325" s="335" t="s">
        <v>3480</v>
      </c>
      <c r="B2325" s="336">
        <v>45896.0</v>
      </c>
      <c r="C2325" s="335" t="s">
        <v>10</v>
      </c>
      <c r="D2325" s="335" t="s">
        <v>47</v>
      </c>
      <c r="E2325" s="337" t="str">
        <f t="shared" si="1"/>
        <v>岸和田:豊通</v>
      </c>
      <c r="F2325" s="338" t="s">
        <v>154</v>
      </c>
      <c r="G2325" s="339" t="str">
        <f t="shared" si="2"/>
        <v>岸和田:豊通ＣＰ Ａ</v>
      </c>
      <c r="H2325" s="340">
        <f t="shared" si="3"/>
        <v>41.7</v>
      </c>
      <c r="I2325" s="341">
        <v>-0.5</v>
      </c>
      <c r="J2325" s="332">
        <f>IFERROR(__xludf.DUMMYFUNCTION("IF(IF(COUNTIF(P$2:P2324, P2325)=0, """", INDEX(H$2:H2324,
MAX(FILTER(ROW(H$2:H2324) - ROW(H$2) + 1, P$2:P2324 = P2325))))=""単価"","""",
IF(COUNTIF(P$2:P2324, P2325)=0, """", INDEX(H$2:H2324,
MAX(FILTER(ROW(H$2:H2324) - ROW(H$2) + 1, P$2:P2324 = P2325)))))"),42.2)</f>
        <v>42.2</v>
      </c>
      <c r="N2325" s="335" t="str">
        <f>IF(MAXIFS('単価履歴'!$O:$O,'単価履歴'!$E:$E,E2325,'単価履歴'!$F:$F,F2325)=O2325,"●","")</f>
        <v/>
      </c>
      <c r="O2325" s="346">
        <v>45896.27081018519</v>
      </c>
      <c r="P2325" s="334" t="str">
        <f t="shared" si="4"/>
        <v>岸和田:豊通ＣＰ Ａ</v>
      </c>
    </row>
    <row r="2326" ht="15.75" customHeight="1">
      <c r="A2326" s="335"/>
      <c r="B2326" s="336"/>
      <c r="C2326" s="335"/>
      <c r="D2326" s="335"/>
      <c r="E2326" s="337" t="str">
        <f t="shared" si="1"/>
        <v>:</v>
      </c>
      <c r="F2326" s="338"/>
      <c r="G2326" s="339" t="str">
        <f t="shared" si="2"/>
        <v>:</v>
      </c>
      <c r="H2326" s="340">
        <f t="shared" si="3"/>
        <v>0</v>
      </c>
      <c r="I2326" s="341"/>
      <c r="J2326" s="332">
        <f>IFERROR(__xludf.DUMMYFUNCTION("IF(IF(COUNTIF(P$2:P2325, P2326)=0, """", INDEX(H$2:H2325,
MAX(FILTER(ROW(H$2:H2325) - ROW(H$2) + 1, P$2:P2325 = P2326))))=""単価"","""",
IF(COUNTIF(P$2:P2325, P2326)=0, """", INDEX(H$2:H2325,
MAX(FILTER(ROW(H$2:H2325) - ROW(H$2) + 1, P$2:P2325 = P2326)))))"),0.0)</f>
        <v>0</v>
      </c>
      <c r="N2326" s="335" t="str">
        <f>IF(MAXIFS('単価履歴'!$O:$O,'単価履歴'!$E:$E,E2326,'単価履歴'!$F:$F,F2326)=O2326,"●","")</f>
        <v>●</v>
      </c>
      <c r="O2326" s="346"/>
      <c r="P2326" s="334" t="str">
        <f t="shared" si="4"/>
        <v>:</v>
      </c>
    </row>
    <row r="2327" ht="15.75" customHeight="1">
      <c r="A2327" s="335" t="s">
        <v>3481</v>
      </c>
      <c r="B2327" s="336">
        <v>45896.0</v>
      </c>
      <c r="C2327" s="335" t="s">
        <v>10</v>
      </c>
      <c r="D2327" s="335" t="s">
        <v>46</v>
      </c>
      <c r="E2327" s="337" t="str">
        <f t="shared" si="1"/>
        <v>岸和田:阪和</v>
      </c>
      <c r="F2327" s="338" t="s">
        <v>149</v>
      </c>
      <c r="G2327" s="339" t="str">
        <f t="shared" si="2"/>
        <v>岸和田:阪和シュレＢ</v>
      </c>
      <c r="H2327" s="340">
        <f t="shared" si="3"/>
        <v>42.3</v>
      </c>
      <c r="I2327" s="341">
        <v>-0.5</v>
      </c>
      <c r="J2327" s="332">
        <f>IFERROR(__xludf.DUMMYFUNCTION("IF(IF(COUNTIF(P$2:P2326, P2327)=0, """", INDEX(H$2:H2326,
MAX(FILTER(ROW(H$2:H2326) - ROW(H$2) + 1, P$2:P2326 = P2327))))=""単価"","""",
IF(COUNTIF(P$2:P2326, P2327)=0, """", INDEX(H$2:H2326,
MAX(FILTER(ROW(H$2:H2326) - ROW(H$2) + 1, P$2:P2326 = P2327)))))"),42.8)</f>
        <v>42.8</v>
      </c>
      <c r="N2327" s="335" t="str">
        <f>IF(MAXIFS('単価履歴'!$O:$O,'単価履歴'!$E:$E,E2327,'単価履歴'!$F:$F,F2327)=O2327,"●","")</f>
        <v/>
      </c>
      <c r="O2327" s="346">
        <v>45896.27137731481</v>
      </c>
      <c r="P2327" s="334" t="str">
        <f t="shared" si="4"/>
        <v>岸和田:阪和シュレＢ</v>
      </c>
    </row>
    <row r="2328" ht="15.75" customHeight="1">
      <c r="A2328" s="335"/>
      <c r="B2328" s="336"/>
      <c r="C2328" s="335"/>
      <c r="D2328" s="335"/>
      <c r="E2328" s="337" t="str">
        <f t="shared" si="1"/>
        <v>:</v>
      </c>
      <c r="F2328" s="338"/>
      <c r="G2328" s="339" t="str">
        <f t="shared" si="2"/>
        <v>:</v>
      </c>
      <c r="H2328" s="340">
        <f t="shared" si="3"/>
        <v>0</v>
      </c>
      <c r="I2328" s="341"/>
      <c r="J2328" s="332">
        <f>IFERROR(__xludf.DUMMYFUNCTION("IF(IF(COUNTIF(P$2:P2327, P2328)=0, """", INDEX(H$2:H2327,
MAX(FILTER(ROW(H$2:H2327) - ROW(H$2) + 1, P$2:P2327 = P2328))))=""単価"","""",
IF(COUNTIF(P$2:P2327, P2328)=0, """", INDEX(H$2:H2327,
MAX(FILTER(ROW(H$2:H2327) - ROW(H$2) + 1, P$2:P2327 = P2328)))))"),0.0)</f>
        <v>0</v>
      </c>
      <c r="N2328" s="335" t="str">
        <f>IF(MAXIFS('単価履歴'!$O:$O,'単価履歴'!$E:$E,E2328,'単価履歴'!$F:$F,F2328)=O2328,"●","")</f>
        <v>●</v>
      </c>
      <c r="O2328" s="346"/>
      <c r="P2328" s="334" t="str">
        <f t="shared" si="4"/>
        <v>:</v>
      </c>
    </row>
    <row r="2329" ht="15.75" customHeight="1">
      <c r="A2329" s="335" t="s">
        <v>3482</v>
      </c>
      <c r="B2329" s="336">
        <v>45896.0</v>
      </c>
      <c r="C2329" s="335" t="s">
        <v>22</v>
      </c>
      <c r="D2329" s="335" t="s">
        <v>47</v>
      </c>
      <c r="E2329" s="337" t="str">
        <f t="shared" si="1"/>
        <v>栗本鐵工:豊通</v>
      </c>
      <c r="F2329" s="338" t="s">
        <v>1199</v>
      </c>
      <c r="G2329" s="339" t="str">
        <f t="shared" si="2"/>
        <v>栗本鐵工:豊通ＨＳ１(単体H1/電特A/HS))</v>
      </c>
      <c r="H2329" s="340">
        <f t="shared" si="3"/>
        <v>46.3</v>
      </c>
      <c r="I2329" s="341">
        <v>-0.5</v>
      </c>
      <c r="J2329" s="332">
        <f>IFERROR(__xludf.DUMMYFUNCTION("IF(IF(COUNTIF(P$2:P2328, P2329)=0, """", INDEX(H$2:H2328,
MAX(FILTER(ROW(H$2:H2328) - ROW(H$2) + 1, P$2:P2328 = P2329))))=""単価"","""",
IF(COUNTIF(P$2:P2328, P2329)=0, """", INDEX(H$2:H2328,
MAX(FILTER(ROW(H$2:H2328) - ROW(H$2) + 1, P$2:P2328 = P2329)))))"),46.8)</f>
        <v>46.8</v>
      </c>
      <c r="N2329" s="335" t="str">
        <f>IF(MAXIFS('単価履歴'!$O:$O,'単価履歴'!$E:$E,E2329,'単価履歴'!$F:$F,F2329)=O2329,"●","")</f>
        <v/>
      </c>
      <c r="O2329" s="346">
        <v>45896.27166666667</v>
      </c>
      <c r="P2329" s="334" t="str">
        <f t="shared" si="4"/>
        <v>栗本鐵工:豊通ＨＳ１(単体H1/電特A/HS))</v>
      </c>
    </row>
    <row r="2330" ht="15.75" customHeight="1">
      <c r="A2330" s="335" t="s">
        <v>3483</v>
      </c>
      <c r="B2330" s="336">
        <v>45896.0</v>
      </c>
      <c r="C2330" s="335" t="s">
        <v>22</v>
      </c>
      <c r="D2330" s="335" t="s">
        <v>47</v>
      </c>
      <c r="E2330" s="337" t="str">
        <f t="shared" si="1"/>
        <v>栗本鐵工:豊通</v>
      </c>
      <c r="F2330" s="338" t="s">
        <v>101</v>
      </c>
      <c r="G2330" s="339" t="str">
        <f t="shared" si="2"/>
        <v>栗本鐵工:豊通ＨＳ２</v>
      </c>
      <c r="H2330" s="340">
        <f t="shared" si="3"/>
        <v>46</v>
      </c>
      <c r="I2330" s="341">
        <v>-0.5</v>
      </c>
      <c r="J2330" s="332">
        <f>IFERROR(__xludf.DUMMYFUNCTION("IF(IF(COUNTIF(P$2:P2329, P2330)=0, """", INDEX(H$2:H2329,
MAX(FILTER(ROW(H$2:H2329) - ROW(H$2) + 1, P$2:P2329 = P2330))))=""単価"","""",
IF(COUNTIF(P$2:P2329, P2330)=0, """", INDEX(H$2:H2329,
MAX(FILTER(ROW(H$2:H2329) - ROW(H$2) + 1, P$2:P2329 = P2330)))))"),46.5)</f>
        <v>46.5</v>
      </c>
      <c r="N2330" s="335" t="str">
        <f>IF(MAXIFS('単価履歴'!$O:$O,'単価履歴'!$E:$E,E2330,'単価履歴'!$F:$F,F2330)=O2330,"●","")</f>
        <v/>
      </c>
      <c r="O2330" s="346">
        <v>45896.27166666667</v>
      </c>
      <c r="P2330" s="334" t="str">
        <f t="shared" si="4"/>
        <v>栗本鐵工:豊通ＨＳ２</v>
      </c>
    </row>
    <row r="2331" ht="15.75" customHeight="1">
      <c r="A2331" s="335" t="s">
        <v>3484</v>
      </c>
      <c r="B2331" s="336">
        <v>45896.0</v>
      </c>
      <c r="C2331" s="335" t="s">
        <v>22</v>
      </c>
      <c r="D2331" s="335" t="s">
        <v>47</v>
      </c>
      <c r="E2331" s="337" t="str">
        <f t="shared" si="1"/>
        <v>栗本鐵工:豊通</v>
      </c>
      <c r="F2331" s="338" t="s">
        <v>105</v>
      </c>
      <c r="G2331" s="339" t="str">
        <f t="shared" si="2"/>
        <v>栗本鐵工:豊通ＨＳ３</v>
      </c>
      <c r="H2331" s="340">
        <f t="shared" si="3"/>
        <v>45.1</v>
      </c>
      <c r="I2331" s="341">
        <v>-0.5</v>
      </c>
      <c r="J2331" s="332">
        <f>IFERROR(__xludf.DUMMYFUNCTION("IF(IF(COUNTIF(P$2:P2330, P2331)=0, """", INDEX(H$2:H2330,
MAX(FILTER(ROW(H$2:H2330) - ROW(H$2) + 1, P$2:P2330 = P2331))))=""単価"","""",
IF(COUNTIF(P$2:P2330, P2331)=0, """", INDEX(H$2:H2330,
MAX(FILTER(ROW(H$2:H2330) - ROW(H$2) + 1, P$2:P2330 = P2331)))))"),45.6)</f>
        <v>45.6</v>
      </c>
      <c r="N2331" s="335" t="str">
        <f>IF(MAXIFS('単価履歴'!$O:$O,'単価履歴'!$E:$E,E2331,'単価履歴'!$F:$F,F2331)=O2331,"●","")</f>
        <v/>
      </c>
      <c r="O2331" s="346">
        <v>45896.27166666667</v>
      </c>
      <c r="P2331" s="334" t="str">
        <f t="shared" si="4"/>
        <v>栗本鐵工:豊通ＨＳ３</v>
      </c>
    </row>
    <row r="2332" ht="15.75" customHeight="1">
      <c r="A2332" s="335" t="s">
        <v>3485</v>
      </c>
      <c r="B2332" s="336">
        <v>45896.0</v>
      </c>
      <c r="C2332" s="335" t="s">
        <v>22</v>
      </c>
      <c r="D2332" s="335" t="s">
        <v>47</v>
      </c>
      <c r="E2332" s="337" t="str">
        <f t="shared" si="1"/>
        <v>栗本鐵工:豊通</v>
      </c>
      <c r="F2332" s="338" t="s">
        <v>577</v>
      </c>
      <c r="G2332" s="339" t="str">
        <f t="shared" si="2"/>
        <v>栗本鐵工:豊通鋳物・ﾀﾞｸﾀｲﾙ</v>
      </c>
      <c r="H2332" s="340">
        <f t="shared" si="3"/>
        <v>44.9</v>
      </c>
      <c r="I2332" s="341">
        <v>-0.5</v>
      </c>
      <c r="J2332" s="332">
        <f>IFERROR(__xludf.DUMMYFUNCTION("IF(IF(COUNTIF(P$2:P2331, P2332)=0, """", INDEX(H$2:H2331,
MAX(FILTER(ROW(H$2:H2331) - ROW(H$2) + 1, P$2:P2331 = P2332))))=""単価"","""",
IF(COUNTIF(P$2:P2331, P2332)=0, """", INDEX(H$2:H2331,
MAX(FILTER(ROW(H$2:H2331) - ROW(H$2) + 1, P$2:P2331 = P2332)))))"),45.4)</f>
        <v>45.4</v>
      </c>
      <c r="N2332" s="335" t="str">
        <f>IF(MAXIFS('単価履歴'!$O:$O,'単価履歴'!$E:$E,E2332,'単価履歴'!$F:$F,F2332)=O2332,"●","")</f>
        <v/>
      </c>
      <c r="O2332" s="346">
        <v>45896.27166666667</v>
      </c>
      <c r="P2332" s="334" t="str">
        <f t="shared" si="4"/>
        <v>栗本鐵工:豊通鋳物・ﾀﾞｸﾀｲﾙ</v>
      </c>
    </row>
    <row r="2333" ht="15.75" customHeight="1">
      <c r="A2333" s="335" t="s">
        <v>3486</v>
      </c>
      <c r="B2333" s="336">
        <v>45896.0</v>
      </c>
      <c r="C2333" s="335" t="s">
        <v>36</v>
      </c>
      <c r="D2333" s="335" t="s">
        <v>1303</v>
      </c>
      <c r="E2333" s="337" t="str">
        <f t="shared" si="1"/>
        <v>共英枚方:ナベ/置場単価</v>
      </c>
      <c r="F2333" s="338" t="s">
        <v>111</v>
      </c>
      <c r="G2333" s="339" t="str">
        <f t="shared" si="2"/>
        <v>共英枚方:ナベ/置場単価Ｈ１(特A)</v>
      </c>
      <c r="H2333" s="340">
        <f t="shared" si="3"/>
        <v>40</v>
      </c>
      <c r="I2333" s="341">
        <v>-0.5</v>
      </c>
      <c r="J2333" s="332">
        <f>IFERROR(__xludf.DUMMYFUNCTION("IF(IF(COUNTIF(P$2:P2332, P2333)=0, """", INDEX(H$2:H2332,
MAX(FILTER(ROW(H$2:H2332) - ROW(H$2) + 1, P$2:P2332 = P2333))))=""単価"","""",
IF(COUNTIF(P$2:P2332, P2333)=0, """", INDEX(H$2:H2332,
MAX(FILTER(ROW(H$2:H2332) - ROW(H$2) + 1, P$2:P2332 = P2333)))))"),40.5)</f>
        <v>40.5</v>
      </c>
      <c r="N2333" s="335" t="str">
        <f>IF(MAXIFS('単価履歴'!$O:$O,'単価履歴'!$E:$E,E2333,'単価履歴'!$F:$F,F2333)=O2333,"●","")</f>
        <v/>
      </c>
      <c r="O2333" s="346">
        <v>45896.27201388888</v>
      </c>
      <c r="P2333" s="334" t="str">
        <f t="shared" si="4"/>
        <v>共英枚方:ナベ/置場単価Ｈ１(特A)</v>
      </c>
    </row>
    <row r="2334" ht="15.75" customHeight="1">
      <c r="A2334" s="335" t="s">
        <v>3487</v>
      </c>
      <c r="B2334" s="336">
        <v>45896.0</v>
      </c>
      <c r="C2334" s="335" t="s">
        <v>36</v>
      </c>
      <c r="D2334" s="335" t="s">
        <v>1303</v>
      </c>
      <c r="E2334" s="337" t="str">
        <f t="shared" si="1"/>
        <v>共英枚方:ナベ/置場単価</v>
      </c>
      <c r="F2334" s="338" t="s">
        <v>116</v>
      </c>
      <c r="G2334" s="339" t="str">
        <f t="shared" si="2"/>
        <v>共英枚方:ナベ/置場単価Ｈ２(特級)</v>
      </c>
      <c r="H2334" s="340">
        <f t="shared" si="3"/>
        <v>38</v>
      </c>
      <c r="I2334" s="341">
        <v>-0.5</v>
      </c>
      <c r="J2334" s="332">
        <f>IFERROR(__xludf.DUMMYFUNCTION("IF(IF(COUNTIF(P$2:P2333, P2334)=0, """", INDEX(H$2:H2333,
MAX(FILTER(ROW(H$2:H2333) - ROW(H$2) + 1, P$2:P2333 = P2334))))=""単価"","""",
IF(COUNTIF(P$2:P2333, P2334)=0, """", INDEX(H$2:H2333,
MAX(FILTER(ROW(H$2:H2333) - ROW(H$2) + 1, P$2:P2333 = P2334)))))"),38.5)</f>
        <v>38.5</v>
      </c>
      <c r="N2334" s="335" t="str">
        <f>IF(MAXIFS('単価履歴'!$O:$O,'単価履歴'!$E:$E,E2334,'単価履歴'!$F:$F,F2334)=O2334,"●","")</f>
        <v/>
      </c>
      <c r="O2334" s="346">
        <v>45896.27201388888</v>
      </c>
      <c r="P2334" s="334" t="str">
        <f t="shared" si="4"/>
        <v>共英枚方:ナベ/置場単価Ｈ２(特級)</v>
      </c>
    </row>
    <row r="2335" ht="15.75" customHeight="1">
      <c r="A2335" s="335" t="s">
        <v>3488</v>
      </c>
      <c r="B2335" s="336">
        <v>45896.0</v>
      </c>
      <c r="C2335" s="335" t="s">
        <v>36</v>
      </c>
      <c r="D2335" s="335" t="s">
        <v>1303</v>
      </c>
      <c r="E2335" s="337" t="str">
        <f t="shared" si="1"/>
        <v>共英枚方:ナベ/置場単価</v>
      </c>
      <c r="F2335" s="338" t="s">
        <v>119</v>
      </c>
      <c r="G2335" s="339" t="str">
        <f t="shared" si="2"/>
        <v>共英枚方:ナベ/置場単価Ｈ３(1級)</v>
      </c>
      <c r="H2335" s="340">
        <f t="shared" si="3"/>
        <v>37.5</v>
      </c>
      <c r="I2335" s="341">
        <v>-0.5</v>
      </c>
      <c r="J2335" s="332">
        <f>IFERROR(__xludf.DUMMYFUNCTION("IF(IF(COUNTIF(P$2:P2334, P2335)=0, """", INDEX(H$2:H2334,
MAX(FILTER(ROW(H$2:H2334) - ROW(H$2) + 1, P$2:P2334 = P2335))))=""単価"","""",
IF(COUNTIF(P$2:P2334, P2335)=0, """", INDEX(H$2:H2334,
MAX(FILTER(ROW(H$2:H2334) - ROW(H$2) + 1, P$2:P2334 = P2335)))))"),38.0)</f>
        <v>38</v>
      </c>
      <c r="N2335" s="335" t="str">
        <f>IF(MAXIFS('単価履歴'!$O:$O,'単価履歴'!$E:$E,E2335,'単価履歴'!$F:$F,F2335)=O2335,"●","")</f>
        <v/>
      </c>
      <c r="O2335" s="346">
        <v>45896.27201388888</v>
      </c>
      <c r="P2335" s="334" t="str">
        <f t="shared" si="4"/>
        <v>共英枚方:ナベ/置場単価Ｈ３(1級)</v>
      </c>
    </row>
    <row r="2336" ht="15.75" customHeight="1">
      <c r="A2336" s="335" t="s">
        <v>3489</v>
      </c>
      <c r="B2336" s="336">
        <v>45896.0</v>
      </c>
      <c r="C2336" s="335" t="s">
        <v>36</v>
      </c>
      <c r="D2336" s="335" t="s">
        <v>1303</v>
      </c>
      <c r="E2336" s="337" t="str">
        <f t="shared" si="1"/>
        <v>共英枚方:ナベ/置場単価</v>
      </c>
      <c r="F2336" s="338" t="s">
        <v>122</v>
      </c>
      <c r="G2336" s="339" t="str">
        <f t="shared" si="2"/>
        <v>共英枚方:ナベ/置場単価Ｌ１(2級)</v>
      </c>
      <c r="H2336" s="340">
        <f t="shared" si="3"/>
        <v>37</v>
      </c>
      <c r="I2336" s="341">
        <v>-0.5</v>
      </c>
      <c r="J2336" s="332">
        <f>IFERROR(__xludf.DUMMYFUNCTION("IF(IF(COUNTIF(P$2:P2335, P2336)=0, """", INDEX(H$2:H2335,
MAX(FILTER(ROW(H$2:H2335) - ROW(H$2) + 1, P$2:P2335 = P2336))))=""単価"","""",
IF(COUNTIF(P$2:P2335, P2336)=0, """", INDEX(H$2:H2335,
MAX(FILTER(ROW(H$2:H2335) - ROW(H$2) + 1, P$2:P2335 = P2336)))))"),37.5)</f>
        <v>37.5</v>
      </c>
      <c r="N2336" s="335" t="str">
        <f>IF(MAXIFS('単価履歴'!$O:$O,'単価履歴'!$E:$E,E2336,'単価履歴'!$F:$F,F2336)=O2336,"●","")</f>
        <v/>
      </c>
      <c r="O2336" s="346">
        <v>45896.27201388888</v>
      </c>
      <c r="P2336" s="334" t="str">
        <f t="shared" si="4"/>
        <v>共英枚方:ナベ/置場単価Ｌ１(2級)</v>
      </c>
    </row>
    <row r="2337" ht="15.75" customHeight="1">
      <c r="A2337" s="335" t="s">
        <v>3490</v>
      </c>
      <c r="B2337" s="336">
        <v>45896.0</v>
      </c>
      <c r="C2337" s="335" t="s">
        <v>36</v>
      </c>
      <c r="D2337" s="335" t="s">
        <v>1303</v>
      </c>
      <c r="E2337" s="337" t="str">
        <f t="shared" si="1"/>
        <v>共英枚方:ナベ/置場単価</v>
      </c>
      <c r="F2337" s="338" t="s">
        <v>154</v>
      </c>
      <c r="G2337" s="339" t="str">
        <f t="shared" si="2"/>
        <v>共英枚方:ナベ/置場単価ＣＰ Ａ</v>
      </c>
      <c r="H2337" s="340">
        <f t="shared" si="3"/>
        <v>43.5</v>
      </c>
      <c r="I2337" s="341">
        <v>-0.5</v>
      </c>
      <c r="J2337" s="332">
        <f>IFERROR(__xludf.DUMMYFUNCTION("IF(IF(COUNTIF(P$2:P2336, P2337)=0, """", INDEX(H$2:H2336,
MAX(FILTER(ROW(H$2:H2336) - ROW(H$2) + 1, P$2:P2336 = P2337))))=""単価"","""",
IF(COUNTIF(P$2:P2336, P2337)=0, """", INDEX(H$2:H2336,
MAX(FILTER(ROW(H$2:H2336) - ROW(H$2) + 1, P$2:P2336 = P2337)))))"),44.0)</f>
        <v>44</v>
      </c>
      <c r="N2337" s="335" t="str">
        <f>IF(MAXIFS('単価履歴'!$O:$O,'単価履歴'!$E:$E,E2337,'単価履歴'!$F:$F,F2337)=O2337,"●","")</f>
        <v/>
      </c>
      <c r="O2337" s="346">
        <v>45896.27201388888</v>
      </c>
      <c r="P2337" s="334" t="str">
        <f t="shared" si="4"/>
        <v>共英枚方:ナベ/置場単価ＣＰ Ａ</v>
      </c>
    </row>
    <row r="2338" ht="15.75" customHeight="1">
      <c r="A2338" s="335" t="s">
        <v>3491</v>
      </c>
      <c r="B2338" s="336">
        <v>45895.0</v>
      </c>
      <c r="C2338" s="335" t="s">
        <v>28</v>
      </c>
      <c r="D2338" s="335" t="s">
        <v>52</v>
      </c>
      <c r="E2338" s="337" t="str">
        <f t="shared" si="1"/>
        <v>ＪＦＥ条鋼:リバイブ</v>
      </c>
      <c r="F2338" s="338" t="s">
        <v>111</v>
      </c>
      <c r="G2338" s="339" t="str">
        <f t="shared" si="2"/>
        <v>ＪＦＥ条鋼:リバイブＨ１(特A)</v>
      </c>
      <c r="H2338" s="340">
        <f t="shared" si="3"/>
        <v>36</v>
      </c>
      <c r="I2338" s="341">
        <v>-2.0</v>
      </c>
      <c r="J2338" s="332">
        <f>IFERROR(__xludf.DUMMYFUNCTION("IF(IF(COUNTIF(P$2:P2337, P2338)=0, """", INDEX(H$2:H2337,
MAX(FILTER(ROW(H$2:H2337) - ROW(H$2) + 1, P$2:P2337 = P2338))))=""単価"","""",
IF(COUNTIF(P$2:P2337, P2338)=0, """", INDEX(H$2:H2337,
MAX(FILTER(ROW(H$2:H2337) - ROW(H$2) + 1, P$2:P2337 = P2338)))))"),38.0)</f>
        <v>38</v>
      </c>
      <c r="N2338" s="335" t="str">
        <f>IF(MAXIFS('単価履歴'!$O:$O,'単価履歴'!$E:$E,E2338,'単価履歴'!$F:$F,F2338)=O2338,"●","")</f>
        <v/>
      </c>
      <c r="O2338" s="346">
        <v>45896.27334490741</v>
      </c>
      <c r="P2338" s="334" t="str">
        <f t="shared" si="4"/>
        <v>ＪＦＥ条鋼:リバイブＨ１(特A)</v>
      </c>
    </row>
    <row r="2339" ht="15.75" customHeight="1">
      <c r="A2339" s="335" t="s">
        <v>3492</v>
      </c>
      <c r="B2339" s="336">
        <v>45895.0</v>
      </c>
      <c r="C2339" s="335" t="s">
        <v>28</v>
      </c>
      <c r="D2339" s="335" t="s">
        <v>52</v>
      </c>
      <c r="E2339" s="337" t="str">
        <f t="shared" si="1"/>
        <v>ＪＦＥ条鋼:リバイブ</v>
      </c>
      <c r="F2339" s="338" t="s">
        <v>116</v>
      </c>
      <c r="G2339" s="339" t="str">
        <f t="shared" si="2"/>
        <v>ＪＦＥ条鋼:リバイブＨ２(特級)</v>
      </c>
      <c r="H2339" s="340">
        <f t="shared" si="3"/>
        <v>36</v>
      </c>
      <c r="I2339" s="341">
        <v>-2.0</v>
      </c>
      <c r="J2339" s="332">
        <f>IFERROR(__xludf.DUMMYFUNCTION("IF(IF(COUNTIF(P$2:P2338, P2339)=0, """", INDEX(H$2:H2338,
MAX(FILTER(ROW(H$2:H2338) - ROW(H$2) + 1, P$2:P2338 = P2339))))=""単価"","""",
IF(COUNTIF(P$2:P2338, P2339)=0, """", INDEX(H$2:H2338,
MAX(FILTER(ROW(H$2:H2338) - ROW(H$2) + 1, P$2:P2338 = P2339)))))"),38.0)</f>
        <v>38</v>
      </c>
      <c r="N2339" s="335" t="str">
        <f>IF(MAXIFS('単価履歴'!$O:$O,'単価履歴'!$E:$E,E2339,'単価履歴'!$F:$F,F2339)=O2339,"●","")</f>
        <v/>
      </c>
      <c r="O2339" s="346">
        <v>45896.27334490741</v>
      </c>
      <c r="P2339" s="334" t="str">
        <f t="shared" si="4"/>
        <v>ＪＦＥ条鋼:リバイブＨ２(特級)</v>
      </c>
    </row>
    <row r="2340" ht="15.75" customHeight="1">
      <c r="A2340" s="335" t="s">
        <v>3493</v>
      </c>
      <c r="B2340" s="336">
        <v>45895.0</v>
      </c>
      <c r="C2340" s="335" t="s">
        <v>28</v>
      </c>
      <c r="D2340" s="335" t="s">
        <v>52</v>
      </c>
      <c r="E2340" s="337" t="str">
        <f t="shared" si="1"/>
        <v>ＪＦＥ条鋼:リバイブ</v>
      </c>
      <c r="F2340" s="338" t="s">
        <v>119</v>
      </c>
      <c r="G2340" s="339" t="str">
        <f t="shared" si="2"/>
        <v>ＪＦＥ条鋼:リバイブＨ３(1級)</v>
      </c>
      <c r="H2340" s="340">
        <f t="shared" si="3"/>
        <v>35</v>
      </c>
      <c r="I2340" s="341">
        <v>-2.0</v>
      </c>
      <c r="J2340" s="332">
        <f>IFERROR(__xludf.DUMMYFUNCTION("IF(IF(COUNTIF(P$2:P2339, P2340)=0, """", INDEX(H$2:H2339,
MAX(FILTER(ROW(H$2:H2339) - ROW(H$2) + 1, P$2:P2339 = P2340))))=""単価"","""",
IF(COUNTIF(P$2:P2339, P2340)=0, """", INDEX(H$2:H2339,
MAX(FILTER(ROW(H$2:H2339) - ROW(H$2) + 1, P$2:P2339 = P2340)))))"),37.0)</f>
        <v>37</v>
      </c>
      <c r="N2340" s="335" t="str">
        <f>IF(MAXIFS('単価履歴'!$O:$O,'単価履歴'!$E:$E,E2340,'単価履歴'!$F:$F,F2340)=O2340,"●","")</f>
        <v/>
      </c>
      <c r="O2340" s="346">
        <v>45896.27334490741</v>
      </c>
      <c r="P2340" s="334" t="str">
        <f t="shared" si="4"/>
        <v>ＪＦＥ条鋼:リバイブＨ３(1級)</v>
      </c>
    </row>
    <row r="2341" ht="15.75" customHeight="1">
      <c r="A2341" s="335" t="s">
        <v>3494</v>
      </c>
      <c r="B2341" s="336">
        <v>45895.0</v>
      </c>
      <c r="C2341" s="335" t="s">
        <v>28</v>
      </c>
      <c r="D2341" s="335" t="s">
        <v>52</v>
      </c>
      <c r="E2341" s="337" t="str">
        <f t="shared" si="1"/>
        <v>ＪＦＥ条鋼:リバイブ</v>
      </c>
      <c r="F2341" s="338" t="s">
        <v>122</v>
      </c>
      <c r="G2341" s="339" t="str">
        <f t="shared" si="2"/>
        <v>ＪＦＥ条鋼:リバイブＬ１(2級)</v>
      </c>
      <c r="H2341" s="340">
        <f t="shared" si="3"/>
        <v>32</v>
      </c>
      <c r="I2341" s="341">
        <v>-2.0</v>
      </c>
      <c r="J2341" s="332">
        <f>IFERROR(__xludf.DUMMYFUNCTION("IF(IF(COUNTIF(P$2:P2340, P2341)=0, """", INDEX(H$2:H2340,
MAX(FILTER(ROW(H$2:H2340) - ROW(H$2) + 1, P$2:P2340 = P2341))))=""単価"","""",
IF(COUNTIF(P$2:P2340, P2341)=0, """", INDEX(H$2:H2340,
MAX(FILTER(ROW(H$2:H2340) - ROW(H$2) + 1, P$2:P2340 = P2341)))))"),34.0)</f>
        <v>34</v>
      </c>
      <c r="N2341" s="335" t="str">
        <f>IF(MAXIFS('単価履歴'!$O:$O,'単価履歴'!$E:$E,E2341,'単価履歴'!$F:$F,F2341)=O2341,"●","")</f>
        <v/>
      </c>
      <c r="O2341" s="346">
        <v>45896.27334490741</v>
      </c>
      <c r="P2341" s="334" t="str">
        <f t="shared" si="4"/>
        <v>ＪＦＥ条鋼:リバイブＬ１(2級)</v>
      </c>
    </row>
    <row r="2342" ht="15.75" customHeight="1">
      <c r="A2342" s="335" t="s">
        <v>3495</v>
      </c>
      <c r="B2342" s="336">
        <v>45895.0</v>
      </c>
      <c r="C2342" s="335" t="s">
        <v>28</v>
      </c>
      <c r="D2342" s="335" t="s">
        <v>52</v>
      </c>
      <c r="E2342" s="337" t="str">
        <f t="shared" si="1"/>
        <v>ＪＦＥ条鋼:リバイブ</v>
      </c>
      <c r="F2342" s="338" t="s">
        <v>573</v>
      </c>
      <c r="G2342" s="339" t="str">
        <f t="shared" si="2"/>
        <v>ＪＦＥ条鋼:リバイブＬ２(H4･級外･L1ﾊﾞﾗ)</v>
      </c>
      <c r="H2342" s="340">
        <f t="shared" si="3"/>
        <v>27</v>
      </c>
      <c r="I2342" s="341">
        <v>-2.0</v>
      </c>
      <c r="J2342" s="332">
        <f>IFERROR(__xludf.DUMMYFUNCTION("IF(IF(COUNTIF(P$2:P2341, P2342)=0, """", INDEX(H$2:H2341,
MAX(FILTER(ROW(H$2:H2341) - ROW(H$2) + 1, P$2:P2341 = P2342))))=""単価"","""",
IF(COUNTIF(P$2:P2341, P2342)=0, """", INDEX(H$2:H2341,
MAX(FILTER(ROW(H$2:H2341) - ROW(H$2) + 1, P$2:P2341 = P2342)))))"),29.0)</f>
        <v>29</v>
      </c>
      <c r="N2342" s="335" t="str">
        <f>IF(MAXIFS('単価履歴'!$O:$O,'単価履歴'!$E:$E,E2342,'単価履歴'!$F:$F,F2342)=O2342,"●","")</f>
        <v/>
      </c>
      <c r="O2342" s="346">
        <v>45896.27334490741</v>
      </c>
      <c r="P2342" s="334" t="str">
        <f t="shared" si="4"/>
        <v>ＪＦＥ条鋼:リバイブＬ２(H4･級外･L1ﾊﾞﾗ)</v>
      </c>
    </row>
    <row r="2343" ht="15.75" customHeight="1">
      <c r="A2343" s="335" t="s">
        <v>3496</v>
      </c>
      <c r="B2343" s="336">
        <v>45895.0</v>
      </c>
      <c r="C2343" s="335" t="s">
        <v>28</v>
      </c>
      <c r="D2343" s="335" t="s">
        <v>52</v>
      </c>
      <c r="E2343" s="337" t="str">
        <f t="shared" si="1"/>
        <v>ＪＦＥ条鋼:リバイブ</v>
      </c>
      <c r="F2343" s="338" t="s">
        <v>130</v>
      </c>
      <c r="G2343" s="339" t="str">
        <f t="shared" si="2"/>
        <v>ＪＦＥ条鋼:リバイブ新断Ａ</v>
      </c>
      <c r="H2343" s="340">
        <f t="shared" si="3"/>
        <v>41.5</v>
      </c>
      <c r="I2343" s="341">
        <v>-2.0</v>
      </c>
      <c r="J2343" s="332">
        <f>IFERROR(__xludf.DUMMYFUNCTION("IF(IF(COUNTIF(P$2:P2342, P2343)=0, """", INDEX(H$2:H2342,
MAX(FILTER(ROW(H$2:H2342) - ROW(H$2) + 1, P$2:P2342 = P2343))))=""単価"","""",
IF(COUNTIF(P$2:P2342, P2343)=0, """", INDEX(H$2:H2342,
MAX(FILTER(ROW(H$2:H2342) - ROW(H$2) + 1, P$2:P2342 = P2343)))))"),43.5)</f>
        <v>43.5</v>
      </c>
      <c r="N2343" s="335" t="str">
        <f>IF(MAXIFS('単価履歴'!$O:$O,'単価履歴'!$E:$E,E2343,'単価履歴'!$F:$F,F2343)=O2343,"●","")</f>
        <v/>
      </c>
      <c r="O2343" s="346">
        <v>45896.27334490741</v>
      </c>
      <c r="P2343" s="334" t="str">
        <f t="shared" si="4"/>
        <v>ＪＦＥ条鋼:リバイブ新断Ａ</v>
      </c>
    </row>
    <row r="2344" ht="15.75" customHeight="1">
      <c r="A2344" s="335" t="s">
        <v>3497</v>
      </c>
      <c r="B2344" s="336">
        <v>45895.0</v>
      </c>
      <c r="C2344" s="335" t="s">
        <v>28</v>
      </c>
      <c r="D2344" s="335" t="s">
        <v>52</v>
      </c>
      <c r="E2344" s="337" t="str">
        <f t="shared" si="1"/>
        <v>ＪＦＥ条鋼:リバイブ</v>
      </c>
      <c r="F2344" s="338" t="s">
        <v>131</v>
      </c>
      <c r="G2344" s="339" t="str">
        <f t="shared" si="2"/>
        <v>ＪＦＥ条鋼:リバイブ新断Ｂ</v>
      </c>
      <c r="H2344" s="340">
        <f t="shared" si="3"/>
        <v>40.5</v>
      </c>
      <c r="I2344" s="341">
        <v>-2.0</v>
      </c>
      <c r="J2344" s="332">
        <f>IFERROR(__xludf.DUMMYFUNCTION("IF(IF(COUNTIF(P$2:P2343, P2344)=0, """", INDEX(H$2:H2343,
MAX(FILTER(ROW(H$2:H2343) - ROW(H$2) + 1, P$2:P2343 = P2344))))=""単価"","""",
IF(COUNTIF(P$2:P2343, P2344)=0, """", INDEX(H$2:H2343,
MAX(FILTER(ROW(H$2:H2343) - ROW(H$2) + 1, P$2:P2343 = P2344)))))"),42.5)</f>
        <v>42.5</v>
      </c>
      <c r="N2344" s="335" t="str">
        <f>IF(MAXIFS('単価履歴'!$O:$O,'単価履歴'!$E:$E,E2344,'単価履歴'!$F:$F,F2344)=O2344,"●","")</f>
        <v/>
      </c>
      <c r="O2344" s="346">
        <v>45896.27334490741</v>
      </c>
      <c r="P2344" s="334" t="str">
        <f t="shared" si="4"/>
        <v>ＪＦＥ条鋼:リバイブ新断Ｂ</v>
      </c>
    </row>
    <row r="2345" ht="15.75" customHeight="1">
      <c r="A2345" s="335" t="s">
        <v>3498</v>
      </c>
      <c r="B2345" s="336">
        <v>45895.0</v>
      </c>
      <c r="C2345" s="335" t="s">
        <v>28</v>
      </c>
      <c r="D2345" s="335" t="s">
        <v>52</v>
      </c>
      <c r="E2345" s="337" t="str">
        <f t="shared" si="1"/>
        <v>ＪＦＥ条鋼:リバイブ</v>
      </c>
      <c r="F2345" s="338" t="s">
        <v>575</v>
      </c>
      <c r="G2345" s="339" t="str">
        <f t="shared" si="2"/>
        <v>ＪＦＥ条鋼:リバイブ鋼ダライＡ</v>
      </c>
      <c r="H2345" s="340">
        <f t="shared" si="3"/>
        <v>35.5</v>
      </c>
      <c r="I2345" s="341">
        <v>-2.0</v>
      </c>
      <c r="J2345" s="332">
        <f>IFERROR(__xludf.DUMMYFUNCTION("IF(IF(COUNTIF(P$2:P2344, P2345)=0, """", INDEX(H$2:H2344,
MAX(FILTER(ROW(H$2:H2344) - ROW(H$2) + 1, P$2:P2344 = P2345))))=""単価"","""",
IF(COUNTIF(P$2:P2344, P2345)=0, """", INDEX(H$2:H2344,
MAX(FILTER(ROW(H$2:H2344) - ROW(H$2) + 1, P$2:P2344 = P2345)))))"),37.5)</f>
        <v>37.5</v>
      </c>
      <c r="N2345" s="335" t="str">
        <f>IF(MAXIFS('単価履歴'!$O:$O,'単価履歴'!$E:$E,E2345,'単価履歴'!$F:$F,F2345)=O2345,"●","")</f>
        <v/>
      </c>
      <c r="O2345" s="346">
        <v>45896.27334490741</v>
      </c>
      <c r="P2345" s="334" t="str">
        <f t="shared" si="4"/>
        <v>ＪＦＥ条鋼:リバイブ鋼ダライＡ</v>
      </c>
    </row>
    <row r="2346" ht="15.75" customHeight="1">
      <c r="A2346" s="335"/>
      <c r="B2346" s="336"/>
      <c r="C2346" s="335"/>
      <c r="D2346" s="335"/>
      <c r="E2346" s="337" t="str">
        <f t="shared" si="1"/>
        <v>:</v>
      </c>
      <c r="F2346" s="338"/>
      <c r="G2346" s="339" t="str">
        <f t="shared" si="2"/>
        <v>:</v>
      </c>
      <c r="H2346" s="340">
        <f t="shared" si="3"/>
        <v>0</v>
      </c>
      <c r="I2346" s="341"/>
      <c r="J2346" s="332">
        <f>IFERROR(__xludf.DUMMYFUNCTION("IF(IF(COUNTIF(P$2:P2345, P2346)=0, """", INDEX(H$2:H2345,
MAX(FILTER(ROW(H$2:H2345) - ROW(H$2) + 1, P$2:P2345 = P2346))))=""単価"","""",
IF(COUNTIF(P$2:P2345, P2346)=0, """", INDEX(H$2:H2345,
MAX(FILTER(ROW(H$2:H2345) - ROW(H$2) + 1, P$2:P2345 = P2346)))))"),0.0)</f>
        <v>0</v>
      </c>
      <c r="N2346" s="335" t="str">
        <f>IF(MAXIFS('単価履歴'!$O:$O,'単価履歴'!$E:$E,E2346,'単価履歴'!$F:$F,F2346)=O2346,"●","")</f>
        <v>●</v>
      </c>
      <c r="O2346" s="346"/>
      <c r="P2346" s="334" t="str">
        <f t="shared" si="4"/>
        <v>:</v>
      </c>
    </row>
    <row r="2347" ht="15.75" customHeight="1">
      <c r="A2347" s="335" t="s">
        <v>3499</v>
      </c>
      <c r="B2347" s="336">
        <v>45896.0</v>
      </c>
      <c r="C2347" s="335" t="s">
        <v>28</v>
      </c>
      <c r="D2347" s="335" t="s">
        <v>52</v>
      </c>
      <c r="E2347" s="337" t="str">
        <f t="shared" si="1"/>
        <v>ＪＦＥ条鋼:リバイブ</v>
      </c>
      <c r="F2347" s="338" t="s">
        <v>111</v>
      </c>
      <c r="G2347" s="339" t="str">
        <f t="shared" si="2"/>
        <v>ＪＦＥ条鋼:リバイブＨ１(特A)</v>
      </c>
      <c r="H2347" s="340">
        <f t="shared" si="3"/>
        <v>35.5</v>
      </c>
      <c r="I2347" s="341">
        <v>-0.5</v>
      </c>
      <c r="J2347" s="332">
        <f>IFERROR(__xludf.DUMMYFUNCTION("IF(IF(COUNTIF(P$2:P2346, P2347)=0, """", INDEX(H$2:H2346,
MAX(FILTER(ROW(H$2:H2346) - ROW(H$2) + 1, P$2:P2346 = P2347))))=""単価"","""",
IF(COUNTIF(P$2:P2346, P2347)=0, """", INDEX(H$2:H2346,
MAX(FILTER(ROW(H$2:H2346) - ROW(H$2) + 1, P$2:P2346 = P2347)))))"),36.0)</f>
        <v>36</v>
      </c>
      <c r="N2347" s="335" t="str">
        <f>IF(MAXIFS('単価履歴'!$O:$O,'単価履歴'!$E:$E,E2347,'単価履歴'!$F:$F,F2347)=O2347,"●","")</f>
        <v/>
      </c>
      <c r="O2347" s="346">
        <v>45896.273622685185</v>
      </c>
      <c r="P2347" s="334" t="str">
        <f t="shared" si="4"/>
        <v>ＪＦＥ条鋼:リバイブＨ１(特A)</v>
      </c>
    </row>
    <row r="2348" ht="15.75" customHeight="1">
      <c r="A2348" s="335" t="s">
        <v>3500</v>
      </c>
      <c r="B2348" s="336">
        <v>45896.0</v>
      </c>
      <c r="C2348" s="335" t="s">
        <v>28</v>
      </c>
      <c r="D2348" s="335" t="s">
        <v>52</v>
      </c>
      <c r="E2348" s="337" t="str">
        <f t="shared" si="1"/>
        <v>ＪＦＥ条鋼:リバイブ</v>
      </c>
      <c r="F2348" s="338" t="s">
        <v>116</v>
      </c>
      <c r="G2348" s="339" t="str">
        <f t="shared" si="2"/>
        <v>ＪＦＥ条鋼:リバイブＨ２(特級)</v>
      </c>
      <c r="H2348" s="340">
        <f t="shared" si="3"/>
        <v>35.5</v>
      </c>
      <c r="I2348" s="341">
        <v>-0.5</v>
      </c>
      <c r="J2348" s="332">
        <f>IFERROR(__xludf.DUMMYFUNCTION("IF(IF(COUNTIF(P$2:P2347, P2348)=0, """", INDEX(H$2:H2347,
MAX(FILTER(ROW(H$2:H2347) - ROW(H$2) + 1, P$2:P2347 = P2348))))=""単価"","""",
IF(COUNTIF(P$2:P2347, P2348)=0, """", INDEX(H$2:H2347,
MAX(FILTER(ROW(H$2:H2347) - ROW(H$2) + 1, P$2:P2347 = P2348)))))"),36.0)</f>
        <v>36</v>
      </c>
      <c r="N2348" s="335" t="str">
        <f>IF(MAXIFS('単価履歴'!$O:$O,'単価履歴'!$E:$E,E2348,'単価履歴'!$F:$F,F2348)=O2348,"●","")</f>
        <v/>
      </c>
      <c r="O2348" s="346">
        <v>45896.273622685185</v>
      </c>
      <c r="P2348" s="334" t="str">
        <f t="shared" si="4"/>
        <v>ＪＦＥ条鋼:リバイブＨ２(特級)</v>
      </c>
    </row>
    <row r="2349" ht="15.75" customHeight="1">
      <c r="A2349" s="335" t="s">
        <v>3501</v>
      </c>
      <c r="B2349" s="336">
        <v>45896.0</v>
      </c>
      <c r="C2349" s="335" t="s">
        <v>28</v>
      </c>
      <c r="D2349" s="335" t="s">
        <v>52</v>
      </c>
      <c r="E2349" s="337" t="str">
        <f t="shared" si="1"/>
        <v>ＪＦＥ条鋼:リバイブ</v>
      </c>
      <c r="F2349" s="338" t="s">
        <v>119</v>
      </c>
      <c r="G2349" s="339" t="str">
        <f t="shared" si="2"/>
        <v>ＪＦＥ条鋼:リバイブＨ３(1級)</v>
      </c>
      <c r="H2349" s="340">
        <f t="shared" si="3"/>
        <v>34.5</v>
      </c>
      <c r="I2349" s="341">
        <v>-0.5</v>
      </c>
      <c r="J2349" s="332">
        <f>IFERROR(__xludf.DUMMYFUNCTION("IF(IF(COUNTIF(P$2:P2348, P2349)=0, """", INDEX(H$2:H2348,
MAX(FILTER(ROW(H$2:H2348) - ROW(H$2) + 1, P$2:P2348 = P2349))))=""単価"","""",
IF(COUNTIF(P$2:P2348, P2349)=0, """", INDEX(H$2:H2348,
MAX(FILTER(ROW(H$2:H2348) - ROW(H$2) + 1, P$2:P2348 = P2349)))))"),35.0)</f>
        <v>35</v>
      </c>
      <c r="N2349" s="335" t="str">
        <f>IF(MAXIFS('単価履歴'!$O:$O,'単価履歴'!$E:$E,E2349,'単価履歴'!$F:$F,F2349)=O2349,"●","")</f>
        <v/>
      </c>
      <c r="O2349" s="346">
        <v>45896.273622685185</v>
      </c>
      <c r="P2349" s="334" t="str">
        <f t="shared" si="4"/>
        <v>ＪＦＥ条鋼:リバイブＨ３(1級)</v>
      </c>
    </row>
    <row r="2350" ht="15.75" customHeight="1">
      <c r="A2350" s="335" t="s">
        <v>3502</v>
      </c>
      <c r="B2350" s="336">
        <v>45896.0</v>
      </c>
      <c r="C2350" s="335" t="s">
        <v>28</v>
      </c>
      <c r="D2350" s="335" t="s">
        <v>52</v>
      </c>
      <c r="E2350" s="337" t="str">
        <f t="shared" si="1"/>
        <v>ＪＦＥ条鋼:リバイブ</v>
      </c>
      <c r="F2350" s="338" t="s">
        <v>122</v>
      </c>
      <c r="G2350" s="339" t="str">
        <f t="shared" si="2"/>
        <v>ＪＦＥ条鋼:リバイブＬ１(2級)</v>
      </c>
      <c r="H2350" s="340">
        <f t="shared" si="3"/>
        <v>31.5</v>
      </c>
      <c r="I2350" s="341">
        <v>-0.5</v>
      </c>
      <c r="J2350" s="332">
        <f>IFERROR(__xludf.DUMMYFUNCTION("IF(IF(COUNTIF(P$2:P2349, P2350)=0, """", INDEX(H$2:H2349,
MAX(FILTER(ROW(H$2:H2349) - ROW(H$2) + 1, P$2:P2349 = P2350))))=""単価"","""",
IF(COUNTIF(P$2:P2349, P2350)=0, """", INDEX(H$2:H2349,
MAX(FILTER(ROW(H$2:H2349) - ROW(H$2) + 1, P$2:P2349 = P2350)))))"),32.0)</f>
        <v>32</v>
      </c>
      <c r="N2350" s="335" t="str">
        <f>IF(MAXIFS('単価履歴'!$O:$O,'単価履歴'!$E:$E,E2350,'単価履歴'!$F:$F,F2350)=O2350,"●","")</f>
        <v/>
      </c>
      <c r="O2350" s="346">
        <v>45896.273622685185</v>
      </c>
      <c r="P2350" s="334" t="str">
        <f t="shared" si="4"/>
        <v>ＪＦＥ条鋼:リバイブＬ１(2級)</v>
      </c>
    </row>
    <row r="2351" ht="15.75" customHeight="1">
      <c r="A2351" s="335" t="s">
        <v>3503</v>
      </c>
      <c r="B2351" s="336">
        <v>45896.0</v>
      </c>
      <c r="C2351" s="335" t="s">
        <v>28</v>
      </c>
      <c r="D2351" s="335" t="s">
        <v>52</v>
      </c>
      <c r="E2351" s="337" t="str">
        <f t="shared" si="1"/>
        <v>ＪＦＥ条鋼:リバイブ</v>
      </c>
      <c r="F2351" s="338" t="s">
        <v>573</v>
      </c>
      <c r="G2351" s="339" t="str">
        <f t="shared" si="2"/>
        <v>ＪＦＥ条鋼:リバイブＬ２(H4･級外･L1ﾊﾞﾗ)</v>
      </c>
      <c r="H2351" s="340">
        <f t="shared" si="3"/>
        <v>26.5</v>
      </c>
      <c r="I2351" s="341">
        <v>-0.5</v>
      </c>
      <c r="J2351" s="332">
        <f>IFERROR(__xludf.DUMMYFUNCTION("IF(IF(COUNTIF(P$2:P2350, P2351)=0, """", INDEX(H$2:H2350,
MAX(FILTER(ROW(H$2:H2350) - ROW(H$2) + 1, P$2:P2350 = P2351))))=""単価"","""",
IF(COUNTIF(P$2:P2350, P2351)=0, """", INDEX(H$2:H2350,
MAX(FILTER(ROW(H$2:H2350) - ROW(H$2) + 1, P$2:P2350 = P2351)))))"),27.0)</f>
        <v>27</v>
      </c>
      <c r="N2351" s="335" t="str">
        <f>IF(MAXIFS('単価履歴'!$O:$O,'単価履歴'!$E:$E,E2351,'単価履歴'!$F:$F,F2351)=O2351,"●","")</f>
        <v/>
      </c>
      <c r="O2351" s="346">
        <v>45896.273622685185</v>
      </c>
      <c r="P2351" s="334" t="str">
        <f t="shared" si="4"/>
        <v>ＪＦＥ条鋼:リバイブＬ２(H4･級外･L1ﾊﾞﾗ)</v>
      </c>
    </row>
    <row r="2352" ht="15.75" customHeight="1">
      <c r="A2352" s="335" t="s">
        <v>3504</v>
      </c>
      <c r="B2352" s="336">
        <v>45896.0</v>
      </c>
      <c r="C2352" s="335" t="s">
        <v>28</v>
      </c>
      <c r="D2352" s="335" t="s">
        <v>52</v>
      </c>
      <c r="E2352" s="337" t="str">
        <f t="shared" si="1"/>
        <v>ＪＦＥ条鋼:リバイブ</v>
      </c>
      <c r="F2352" s="338" t="s">
        <v>130</v>
      </c>
      <c r="G2352" s="339" t="str">
        <f t="shared" si="2"/>
        <v>ＪＦＥ条鋼:リバイブ新断Ａ</v>
      </c>
      <c r="H2352" s="340">
        <f t="shared" si="3"/>
        <v>41</v>
      </c>
      <c r="I2352" s="341">
        <v>-0.5</v>
      </c>
      <c r="J2352" s="332">
        <f>IFERROR(__xludf.DUMMYFUNCTION("IF(IF(COUNTIF(P$2:P2351, P2352)=0, """", INDEX(H$2:H2351,
MAX(FILTER(ROW(H$2:H2351) - ROW(H$2) + 1, P$2:P2351 = P2352))))=""単価"","""",
IF(COUNTIF(P$2:P2351, P2352)=0, """", INDEX(H$2:H2351,
MAX(FILTER(ROW(H$2:H2351) - ROW(H$2) + 1, P$2:P2351 = P2352)))))"),41.5)</f>
        <v>41.5</v>
      </c>
      <c r="N2352" s="335" t="str">
        <f>IF(MAXIFS('単価履歴'!$O:$O,'単価履歴'!$E:$E,E2352,'単価履歴'!$F:$F,F2352)=O2352,"●","")</f>
        <v/>
      </c>
      <c r="O2352" s="346">
        <v>45896.273622685185</v>
      </c>
      <c r="P2352" s="334" t="str">
        <f t="shared" si="4"/>
        <v>ＪＦＥ条鋼:リバイブ新断Ａ</v>
      </c>
    </row>
    <row r="2353" ht="15.75" customHeight="1">
      <c r="A2353" s="335" t="s">
        <v>3505</v>
      </c>
      <c r="B2353" s="336">
        <v>45896.0</v>
      </c>
      <c r="C2353" s="335" t="s">
        <v>28</v>
      </c>
      <c r="D2353" s="335" t="s">
        <v>52</v>
      </c>
      <c r="E2353" s="337" t="str">
        <f t="shared" si="1"/>
        <v>ＪＦＥ条鋼:リバイブ</v>
      </c>
      <c r="F2353" s="338" t="s">
        <v>131</v>
      </c>
      <c r="G2353" s="339" t="str">
        <f t="shared" si="2"/>
        <v>ＪＦＥ条鋼:リバイブ新断Ｂ</v>
      </c>
      <c r="H2353" s="340">
        <f t="shared" si="3"/>
        <v>40</v>
      </c>
      <c r="I2353" s="341">
        <v>-0.5</v>
      </c>
      <c r="J2353" s="332">
        <f>IFERROR(__xludf.DUMMYFUNCTION("IF(IF(COUNTIF(P$2:P2352, P2353)=0, """", INDEX(H$2:H2352,
MAX(FILTER(ROW(H$2:H2352) - ROW(H$2) + 1, P$2:P2352 = P2353))))=""単価"","""",
IF(COUNTIF(P$2:P2352, P2353)=0, """", INDEX(H$2:H2352,
MAX(FILTER(ROW(H$2:H2352) - ROW(H$2) + 1, P$2:P2352 = P2353)))))"),40.5)</f>
        <v>40.5</v>
      </c>
      <c r="N2353" s="335" t="str">
        <f>IF(MAXIFS('単価履歴'!$O:$O,'単価履歴'!$E:$E,E2353,'単価履歴'!$F:$F,F2353)=O2353,"●","")</f>
        <v/>
      </c>
      <c r="O2353" s="346">
        <v>45896.273622685185</v>
      </c>
      <c r="P2353" s="334" t="str">
        <f t="shared" si="4"/>
        <v>ＪＦＥ条鋼:リバイブ新断Ｂ</v>
      </c>
    </row>
    <row r="2354" ht="15.75" customHeight="1">
      <c r="A2354" s="335" t="s">
        <v>3506</v>
      </c>
      <c r="B2354" s="336">
        <v>45896.0</v>
      </c>
      <c r="C2354" s="335" t="s">
        <v>28</v>
      </c>
      <c r="D2354" s="335" t="s">
        <v>52</v>
      </c>
      <c r="E2354" s="337" t="str">
        <f t="shared" si="1"/>
        <v>ＪＦＥ条鋼:リバイブ</v>
      </c>
      <c r="F2354" s="338" t="s">
        <v>575</v>
      </c>
      <c r="G2354" s="339" t="str">
        <f t="shared" si="2"/>
        <v>ＪＦＥ条鋼:リバイブ鋼ダライＡ</v>
      </c>
      <c r="H2354" s="340">
        <f t="shared" si="3"/>
        <v>35</v>
      </c>
      <c r="I2354" s="341">
        <v>-0.5</v>
      </c>
      <c r="J2354" s="332">
        <f>IFERROR(__xludf.DUMMYFUNCTION("IF(IF(COUNTIF(P$2:P2353, P2354)=0, """", INDEX(H$2:H2353,
MAX(FILTER(ROW(H$2:H2353) - ROW(H$2) + 1, P$2:P2353 = P2354))))=""単価"","""",
IF(COUNTIF(P$2:P2353, P2354)=0, """", INDEX(H$2:H2353,
MAX(FILTER(ROW(H$2:H2353) - ROW(H$2) + 1, P$2:P2353 = P2354)))))"),35.5)</f>
        <v>35.5</v>
      </c>
      <c r="N2354" s="335" t="str">
        <f>IF(MAXIFS('単価履歴'!$O:$O,'単価履歴'!$E:$E,E2354,'単価履歴'!$F:$F,F2354)=O2354,"●","")</f>
        <v/>
      </c>
      <c r="O2354" s="346">
        <v>45896.273622685185</v>
      </c>
      <c r="P2354" s="334" t="str">
        <f t="shared" si="4"/>
        <v>ＪＦＥ条鋼:リバイブ鋼ダライＡ</v>
      </c>
    </row>
    <row r="2355" ht="15.75" customHeight="1">
      <c r="A2355" s="335" t="s">
        <v>3507</v>
      </c>
      <c r="B2355" s="336">
        <v>45896.0</v>
      </c>
      <c r="C2355" s="335" t="s">
        <v>28</v>
      </c>
      <c r="D2355" s="335" t="s">
        <v>52</v>
      </c>
      <c r="E2355" s="337" t="str">
        <f t="shared" si="1"/>
        <v>ＪＦＥ条鋼:リバイブ</v>
      </c>
      <c r="F2355" s="338" t="s">
        <v>154</v>
      </c>
      <c r="G2355" s="339" t="str">
        <f t="shared" si="2"/>
        <v>ＪＦＥ条鋼:リバイブＣＰ Ａ</v>
      </c>
      <c r="H2355" s="340">
        <f t="shared" si="3"/>
        <v>42</v>
      </c>
      <c r="I2355" s="341">
        <v>-0.5</v>
      </c>
      <c r="J2355" s="332">
        <f>IFERROR(__xludf.DUMMYFUNCTION("IF(IF(COUNTIF(P$2:P2354, P2355)=0, """", INDEX(H$2:H2354,
MAX(FILTER(ROW(H$2:H2354) - ROW(H$2) + 1, P$2:P2354 = P2355))))=""単価"","""",
IF(COUNTIF(P$2:P2354, P2355)=0, """", INDEX(H$2:H2354,
MAX(FILTER(ROW(H$2:H2354) - ROW(H$2) + 1, P$2:P2354 = P2355)))))"),42.5)</f>
        <v>42.5</v>
      </c>
      <c r="N2355" s="335" t="str">
        <f>IF(MAXIFS('単価履歴'!$O:$O,'単価履歴'!$E:$E,E2355,'単価履歴'!$F:$F,F2355)=O2355,"●","")</f>
        <v/>
      </c>
      <c r="O2355" s="346">
        <v>45896.273622685185</v>
      </c>
      <c r="P2355" s="334" t="str">
        <f t="shared" si="4"/>
        <v>ＪＦＥ条鋼:リバイブＣＰ Ａ</v>
      </c>
    </row>
    <row r="2356" ht="15.75" customHeight="1">
      <c r="A2356" s="335" t="s">
        <v>3508</v>
      </c>
      <c r="B2356" s="336">
        <v>45896.0</v>
      </c>
      <c r="C2356" s="335" t="s">
        <v>28</v>
      </c>
      <c r="D2356" s="335" t="s">
        <v>52</v>
      </c>
      <c r="E2356" s="337" t="str">
        <f t="shared" si="1"/>
        <v>ＪＦＥ条鋼:リバイブ</v>
      </c>
      <c r="F2356" s="338" t="s">
        <v>111</v>
      </c>
      <c r="G2356" s="339" t="str">
        <f t="shared" si="2"/>
        <v>ＪＦＥ条鋼:リバイブＨ１(特A)</v>
      </c>
      <c r="H2356" s="340">
        <f t="shared" si="3"/>
        <v>35</v>
      </c>
      <c r="I2356" s="341">
        <v>-0.5</v>
      </c>
      <c r="J2356" s="332">
        <f>IFERROR(__xludf.DUMMYFUNCTION("IF(IF(COUNTIF(P$2:P2355, P2356)=0, """", INDEX(H$2:H2355,
MAX(FILTER(ROW(H$2:H2355) - ROW(H$2) + 1, P$2:P2355 = P2356))))=""単価"","""",
IF(COUNTIF(P$2:P2355, P2356)=0, """", INDEX(H$2:H2355,
MAX(FILTER(ROW(H$2:H2355) - ROW(H$2) + 1, P$2:P2355 = P2356)))))"),35.5)</f>
        <v>35.5</v>
      </c>
      <c r="N2356" s="335" t="str">
        <f>IF(MAXIFS('単価履歴'!$O:$O,'単価履歴'!$E:$E,E2356,'単価履歴'!$F:$F,F2356)=O2356,"●","")</f>
        <v/>
      </c>
      <c r="O2356" s="346">
        <v>45896.342685185184</v>
      </c>
      <c r="P2356" s="334" t="str">
        <f t="shared" si="4"/>
        <v>ＪＦＥ条鋼:リバイブＨ１(特A)</v>
      </c>
    </row>
    <row r="2357" ht="15.75" customHeight="1">
      <c r="A2357" s="335" t="s">
        <v>3509</v>
      </c>
      <c r="B2357" s="336">
        <v>45896.0</v>
      </c>
      <c r="C2357" s="335" t="s">
        <v>28</v>
      </c>
      <c r="D2357" s="335" t="s">
        <v>52</v>
      </c>
      <c r="E2357" s="337" t="str">
        <f t="shared" si="1"/>
        <v>ＪＦＥ条鋼:リバイブ</v>
      </c>
      <c r="F2357" s="338" t="s">
        <v>116</v>
      </c>
      <c r="G2357" s="339" t="str">
        <f t="shared" si="2"/>
        <v>ＪＦＥ条鋼:リバイブＨ２(特級)</v>
      </c>
      <c r="H2357" s="340">
        <f t="shared" si="3"/>
        <v>35</v>
      </c>
      <c r="I2357" s="341">
        <v>-0.5</v>
      </c>
      <c r="J2357" s="332">
        <f>IFERROR(__xludf.DUMMYFUNCTION("IF(IF(COUNTIF(P$2:P2356, P2357)=0, """", INDEX(H$2:H2356,
MAX(FILTER(ROW(H$2:H2356) - ROW(H$2) + 1, P$2:P2356 = P2357))))=""単価"","""",
IF(COUNTIF(P$2:P2356, P2357)=0, """", INDEX(H$2:H2356,
MAX(FILTER(ROW(H$2:H2356) - ROW(H$2) + 1, P$2:P2356 = P2357)))))"),35.5)</f>
        <v>35.5</v>
      </c>
      <c r="N2357" s="335" t="str">
        <f>IF(MAXIFS('単価履歴'!$O:$O,'単価履歴'!$E:$E,E2357,'単価履歴'!$F:$F,F2357)=O2357,"●","")</f>
        <v/>
      </c>
      <c r="O2357" s="346">
        <v>45896.342685185184</v>
      </c>
      <c r="P2357" s="334" t="str">
        <f t="shared" si="4"/>
        <v>ＪＦＥ条鋼:リバイブＨ２(特級)</v>
      </c>
    </row>
    <row r="2358" ht="15.75" customHeight="1">
      <c r="A2358" s="335" t="s">
        <v>3510</v>
      </c>
      <c r="B2358" s="336">
        <v>45896.0</v>
      </c>
      <c r="C2358" s="335" t="s">
        <v>28</v>
      </c>
      <c r="D2358" s="335" t="s">
        <v>52</v>
      </c>
      <c r="E2358" s="337" t="str">
        <f t="shared" si="1"/>
        <v>ＪＦＥ条鋼:リバイブ</v>
      </c>
      <c r="F2358" s="338" t="s">
        <v>119</v>
      </c>
      <c r="G2358" s="339" t="str">
        <f t="shared" si="2"/>
        <v>ＪＦＥ条鋼:リバイブＨ３(1級)</v>
      </c>
      <c r="H2358" s="340">
        <f t="shared" si="3"/>
        <v>34</v>
      </c>
      <c r="I2358" s="341">
        <v>-0.5</v>
      </c>
      <c r="J2358" s="332">
        <f>IFERROR(__xludf.DUMMYFUNCTION("IF(IF(COUNTIF(P$2:P2357, P2358)=0, """", INDEX(H$2:H2357,
MAX(FILTER(ROW(H$2:H2357) - ROW(H$2) + 1, P$2:P2357 = P2358))))=""単価"","""",
IF(COUNTIF(P$2:P2357, P2358)=0, """", INDEX(H$2:H2357,
MAX(FILTER(ROW(H$2:H2357) - ROW(H$2) + 1, P$2:P2357 = P2358)))))"),34.5)</f>
        <v>34.5</v>
      </c>
      <c r="N2358" s="335" t="str">
        <f>IF(MAXIFS('単価履歴'!$O:$O,'単価履歴'!$E:$E,E2358,'単価履歴'!$F:$F,F2358)=O2358,"●","")</f>
        <v/>
      </c>
      <c r="O2358" s="346">
        <v>45896.342685185184</v>
      </c>
      <c r="P2358" s="334" t="str">
        <f t="shared" si="4"/>
        <v>ＪＦＥ条鋼:リバイブＨ３(1級)</v>
      </c>
    </row>
    <row r="2359" ht="15.75" customHeight="1">
      <c r="A2359" s="335" t="s">
        <v>3511</v>
      </c>
      <c r="B2359" s="336">
        <v>45896.0</v>
      </c>
      <c r="C2359" s="335" t="s">
        <v>28</v>
      </c>
      <c r="D2359" s="335" t="s">
        <v>52</v>
      </c>
      <c r="E2359" s="337" t="str">
        <f t="shared" si="1"/>
        <v>ＪＦＥ条鋼:リバイブ</v>
      </c>
      <c r="F2359" s="338" t="s">
        <v>122</v>
      </c>
      <c r="G2359" s="339" t="str">
        <f t="shared" si="2"/>
        <v>ＪＦＥ条鋼:リバイブＬ１(2級)</v>
      </c>
      <c r="H2359" s="340">
        <f t="shared" si="3"/>
        <v>31</v>
      </c>
      <c r="I2359" s="341">
        <v>-0.5</v>
      </c>
      <c r="J2359" s="332">
        <f>IFERROR(__xludf.DUMMYFUNCTION("IF(IF(COUNTIF(P$2:P2358, P2359)=0, """", INDEX(H$2:H2358,
MAX(FILTER(ROW(H$2:H2358) - ROW(H$2) + 1, P$2:P2358 = P2359))))=""単価"","""",
IF(COUNTIF(P$2:P2358, P2359)=0, """", INDEX(H$2:H2358,
MAX(FILTER(ROW(H$2:H2358) - ROW(H$2) + 1, P$2:P2358 = P2359)))))"),31.5)</f>
        <v>31.5</v>
      </c>
      <c r="N2359" s="335" t="str">
        <f>IF(MAXIFS('単価履歴'!$O:$O,'単価履歴'!$E:$E,E2359,'単価履歴'!$F:$F,F2359)=O2359,"●","")</f>
        <v/>
      </c>
      <c r="O2359" s="346">
        <v>45896.342685185184</v>
      </c>
      <c r="P2359" s="334" t="str">
        <f t="shared" si="4"/>
        <v>ＪＦＥ条鋼:リバイブＬ１(2級)</v>
      </c>
    </row>
    <row r="2360" ht="15.75" customHeight="1">
      <c r="A2360" s="335" t="s">
        <v>3512</v>
      </c>
      <c r="B2360" s="336">
        <v>45896.0</v>
      </c>
      <c r="C2360" s="335" t="s">
        <v>28</v>
      </c>
      <c r="D2360" s="335" t="s">
        <v>52</v>
      </c>
      <c r="E2360" s="337" t="str">
        <f t="shared" si="1"/>
        <v>ＪＦＥ条鋼:リバイブ</v>
      </c>
      <c r="F2360" s="338" t="s">
        <v>573</v>
      </c>
      <c r="G2360" s="339" t="str">
        <f t="shared" si="2"/>
        <v>ＪＦＥ条鋼:リバイブＬ２(H4･級外･L1ﾊﾞﾗ)</v>
      </c>
      <c r="H2360" s="340">
        <f t="shared" si="3"/>
        <v>26</v>
      </c>
      <c r="I2360" s="341">
        <v>-0.5</v>
      </c>
      <c r="J2360" s="332">
        <f>IFERROR(__xludf.DUMMYFUNCTION("IF(IF(COUNTIF(P$2:P2359, P2360)=0, """", INDEX(H$2:H2359,
MAX(FILTER(ROW(H$2:H2359) - ROW(H$2) + 1, P$2:P2359 = P2360))))=""単価"","""",
IF(COUNTIF(P$2:P2359, P2360)=0, """", INDEX(H$2:H2359,
MAX(FILTER(ROW(H$2:H2359) - ROW(H$2) + 1, P$2:P2359 = P2360)))))"),26.5)</f>
        <v>26.5</v>
      </c>
      <c r="N2360" s="335" t="str">
        <f>IF(MAXIFS('単価履歴'!$O:$O,'単価履歴'!$E:$E,E2360,'単価履歴'!$F:$F,F2360)=O2360,"●","")</f>
        <v/>
      </c>
      <c r="O2360" s="346">
        <v>45896.342685185184</v>
      </c>
      <c r="P2360" s="334" t="str">
        <f t="shared" si="4"/>
        <v>ＪＦＥ条鋼:リバイブＬ２(H4･級外･L1ﾊﾞﾗ)</v>
      </c>
    </row>
    <row r="2361" ht="15.75" customHeight="1">
      <c r="A2361" s="335" t="s">
        <v>3513</v>
      </c>
      <c r="B2361" s="336">
        <v>45896.0</v>
      </c>
      <c r="C2361" s="335" t="s">
        <v>28</v>
      </c>
      <c r="D2361" s="335" t="s">
        <v>52</v>
      </c>
      <c r="E2361" s="337" t="str">
        <f t="shared" si="1"/>
        <v>ＪＦＥ条鋼:リバイブ</v>
      </c>
      <c r="F2361" s="338" t="s">
        <v>130</v>
      </c>
      <c r="G2361" s="339" t="str">
        <f t="shared" si="2"/>
        <v>ＪＦＥ条鋼:リバイブ新断Ａ</v>
      </c>
      <c r="H2361" s="340">
        <f t="shared" si="3"/>
        <v>40.5</v>
      </c>
      <c r="I2361" s="341">
        <v>-0.5</v>
      </c>
      <c r="J2361" s="332">
        <f>IFERROR(__xludf.DUMMYFUNCTION("IF(IF(COUNTIF(P$2:P2360, P2361)=0, """", INDEX(H$2:H2360,
MAX(FILTER(ROW(H$2:H2360) - ROW(H$2) + 1, P$2:P2360 = P2361))))=""単価"","""",
IF(COUNTIF(P$2:P2360, P2361)=0, """", INDEX(H$2:H2360,
MAX(FILTER(ROW(H$2:H2360) - ROW(H$2) + 1, P$2:P2360 = P2361)))))"),41.0)</f>
        <v>41</v>
      </c>
      <c r="N2361" s="335" t="str">
        <f>IF(MAXIFS('単価履歴'!$O:$O,'単価履歴'!$E:$E,E2361,'単価履歴'!$F:$F,F2361)=O2361,"●","")</f>
        <v/>
      </c>
      <c r="O2361" s="346">
        <v>45896.342685185184</v>
      </c>
      <c r="P2361" s="334" t="str">
        <f t="shared" si="4"/>
        <v>ＪＦＥ条鋼:リバイブ新断Ａ</v>
      </c>
    </row>
    <row r="2362" ht="15.75" customHeight="1">
      <c r="A2362" s="335" t="s">
        <v>3514</v>
      </c>
      <c r="B2362" s="336">
        <v>45896.0</v>
      </c>
      <c r="C2362" s="335" t="s">
        <v>28</v>
      </c>
      <c r="D2362" s="335" t="s">
        <v>52</v>
      </c>
      <c r="E2362" s="337" t="str">
        <f t="shared" si="1"/>
        <v>ＪＦＥ条鋼:リバイブ</v>
      </c>
      <c r="F2362" s="338" t="s">
        <v>131</v>
      </c>
      <c r="G2362" s="339" t="str">
        <f t="shared" si="2"/>
        <v>ＪＦＥ条鋼:リバイブ新断Ｂ</v>
      </c>
      <c r="H2362" s="340">
        <f t="shared" si="3"/>
        <v>39.5</v>
      </c>
      <c r="I2362" s="341">
        <v>-0.5</v>
      </c>
      <c r="J2362" s="332">
        <f>IFERROR(__xludf.DUMMYFUNCTION("IF(IF(COUNTIF(P$2:P2361, P2362)=0, """", INDEX(H$2:H2361,
MAX(FILTER(ROW(H$2:H2361) - ROW(H$2) + 1, P$2:P2361 = P2362))))=""単価"","""",
IF(COUNTIF(P$2:P2361, P2362)=0, """", INDEX(H$2:H2361,
MAX(FILTER(ROW(H$2:H2361) - ROW(H$2) + 1, P$2:P2361 = P2362)))))"),40.0)</f>
        <v>40</v>
      </c>
      <c r="N2362" s="335" t="str">
        <f>IF(MAXIFS('単価履歴'!$O:$O,'単価履歴'!$E:$E,E2362,'単価履歴'!$F:$F,F2362)=O2362,"●","")</f>
        <v/>
      </c>
      <c r="O2362" s="346">
        <v>45896.342685185184</v>
      </c>
      <c r="P2362" s="334" t="str">
        <f t="shared" si="4"/>
        <v>ＪＦＥ条鋼:リバイブ新断Ｂ</v>
      </c>
    </row>
    <row r="2363" ht="15.75" customHeight="1">
      <c r="A2363" s="335" t="s">
        <v>3515</v>
      </c>
      <c r="B2363" s="336">
        <v>45896.0</v>
      </c>
      <c r="C2363" s="335" t="s">
        <v>28</v>
      </c>
      <c r="D2363" s="335" t="s">
        <v>52</v>
      </c>
      <c r="E2363" s="337" t="str">
        <f t="shared" si="1"/>
        <v>ＪＦＥ条鋼:リバイブ</v>
      </c>
      <c r="F2363" s="338" t="s">
        <v>575</v>
      </c>
      <c r="G2363" s="339" t="str">
        <f t="shared" si="2"/>
        <v>ＪＦＥ条鋼:リバイブ鋼ダライＡ</v>
      </c>
      <c r="H2363" s="340">
        <f t="shared" si="3"/>
        <v>34.5</v>
      </c>
      <c r="I2363" s="341">
        <v>-0.5</v>
      </c>
      <c r="J2363" s="332">
        <f>IFERROR(__xludf.DUMMYFUNCTION("IF(IF(COUNTIF(P$2:P2362, P2363)=0, """", INDEX(H$2:H2362,
MAX(FILTER(ROW(H$2:H2362) - ROW(H$2) + 1, P$2:P2362 = P2363))))=""単価"","""",
IF(COUNTIF(P$2:P2362, P2363)=0, """", INDEX(H$2:H2362,
MAX(FILTER(ROW(H$2:H2362) - ROW(H$2) + 1, P$2:P2362 = P2363)))))"),35.0)</f>
        <v>35</v>
      </c>
      <c r="N2363" s="335" t="str">
        <f>IF(MAXIFS('単価履歴'!$O:$O,'単価履歴'!$E:$E,E2363,'単価履歴'!$F:$F,F2363)=O2363,"●","")</f>
        <v/>
      </c>
      <c r="O2363" s="346">
        <v>45896.342685185184</v>
      </c>
      <c r="P2363" s="334" t="str">
        <f t="shared" si="4"/>
        <v>ＪＦＥ条鋼:リバイブ鋼ダライＡ</v>
      </c>
    </row>
    <row r="2364" ht="15.75" customHeight="1">
      <c r="A2364" s="335" t="s">
        <v>3516</v>
      </c>
      <c r="B2364" s="336">
        <v>45896.0</v>
      </c>
      <c r="C2364" s="335" t="s">
        <v>28</v>
      </c>
      <c r="D2364" s="335" t="s">
        <v>52</v>
      </c>
      <c r="E2364" s="337" t="str">
        <f t="shared" si="1"/>
        <v>ＪＦＥ条鋼:リバイブ</v>
      </c>
      <c r="F2364" s="338" t="s">
        <v>154</v>
      </c>
      <c r="G2364" s="339" t="str">
        <f t="shared" si="2"/>
        <v>ＪＦＥ条鋼:リバイブＣＰ Ａ</v>
      </c>
      <c r="H2364" s="340">
        <f t="shared" si="3"/>
        <v>41.5</v>
      </c>
      <c r="I2364" s="341">
        <v>-0.5</v>
      </c>
      <c r="J2364" s="332">
        <f>IFERROR(__xludf.DUMMYFUNCTION("IF(IF(COUNTIF(P$2:P2363, P2364)=0, """", INDEX(H$2:H2363,
MAX(FILTER(ROW(H$2:H2363) - ROW(H$2) + 1, P$2:P2363 = P2364))))=""単価"","""",
IF(COUNTIF(P$2:P2363, P2364)=0, """", INDEX(H$2:H2363,
MAX(FILTER(ROW(H$2:H2363) - ROW(H$2) + 1, P$2:P2363 = P2364)))))"),42.0)</f>
        <v>42</v>
      </c>
      <c r="N2364" s="335" t="str">
        <f>IF(MAXIFS('単価履歴'!$O:$O,'単価履歴'!$E:$E,E2364,'単価履歴'!$F:$F,F2364)=O2364,"●","")</f>
        <v/>
      </c>
      <c r="O2364" s="346">
        <v>45896.342685185184</v>
      </c>
      <c r="P2364" s="334" t="str">
        <f t="shared" si="4"/>
        <v>ＪＦＥ条鋼:リバイブＣＰ Ａ</v>
      </c>
    </row>
    <row r="2365" ht="15.75" customHeight="1">
      <c r="A2365" s="335" t="s">
        <v>3517</v>
      </c>
      <c r="B2365" s="336">
        <v>45899.0</v>
      </c>
      <c r="C2365" s="335" t="s">
        <v>13</v>
      </c>
      <c r="D2365" s="335" t="s">
        <v>49</v>
      </c>
      <c r="E2365" s="337" t="str">
        <f t="shared" si="1"/>
        <v>ｸﾎﾞﾀ:伊藤忠</v>
      </c>
      <c r="F2365" s="338" t="s">
        <v>130</v>
      </c>
      <c r="G2365" s="339" t="str">
        <f t="shared" si="2"/>
        <v>ｸﾎﾞﾀ:伊藤忠新断Ａ</v>
      </c>
      <c r="H2365" s="340">
        <f t="shared" si="3"/>
        <v>46.7</v>
      </c>
      <c r="I2365" s="341">
        <v>-0.5</v>
      </c>
      <c r="J2365" s="332">
        <f>IFERROR(__xludf.DUMMYFUNCTION("IF(IF(COUNTIF(P$2:P2364, P2365)=0, """", INDEX(H$2:H2364,
MAX(FILTER(ROW(H$2:H2364) - ROW(H$2) + 1, P$2:P2364 = P2365))))=""単価"","""",
IF(COUNTIF(P$2:P2364, P2365)=0, """", INDEX(H$2:H2364,
MAX(FILTER(ROW(H$2:H2364) - ROW(H$2) + 1, P$2:P2364 = P2365)))))"),47.2)</f>
        <v>47.2</v>
      </c>
      <c r="N2365" s="335" t="str">
        <f>IF(MAXIFS('単価履歴'!$O:$O,'単価履歴'!$E:$E,E2365,'単価履歴'!$F:$F,F2365)=O2365,"●","")</f>
        <v/>
      </c>
      <c r="O2365" s="346">
        <v>45899.28099537037</v>
      </c>
      <c r="P2365" s="334" t="str">
        <f t="shared" si="4"/>
        <v>ｸﾎﾞﾀ:伊藤忠新断Ａ</v>
      </c>
    </row>
    <row r="2366" ht="15.75" customHeight="1">
      <c r="A2366" s="335" t="s">
        <v>3518</v>
      </c>
      <c r="B2366" s="336">
        <v>45903.0</v>
      </c>
      <c r="C2366" s="335" t="s">
        <v>10</v>
      </c>
      <c r="D2366" s="335" t="s">
        <v>47</v>
      </c>
      <c r="E2366" s="337" t="str">
        <f t="shared" si="1"/>
        <v>岸和田:豊通</v>
      </c>
      <c r="F2366" s="338" t="s">
        <v>111</v>
      </c>
      <c r="G2366" s="339" t="str">
        <f t="shared" si="2"/>
        <v>岸和田:豊通Ｈ１(特A)</v>
      </c>
      <c r="H2366" s="340">
        <f t="shared" si="3"/>
        <v>41</v>
      </c>
      <c r="I2366" s="341">
        <v>-0.5</v>
      </c>
      <c r="J2366" s="332">
        <f>IFERROR(__xludf.DUMMYFUNCTION("IF(IF(COUNTIF(P$2:P2365, P2366)=0, """", INDEX(H$2:H2365,
MAX(FILTER(ROW(H$2:H2365) - ROW(H$2) + 1, P$2:P2365 = P2366))))=""単価"","""",
IF(COUNTIF(P$2:P2365, P2366)=0, """", INDEX(H$2:H2365,
MAX(FILTER(ROW(H$2:H2365) - ROW(H$2) + 1, P$2:P2365 = P2366)))))"),41.5)</f>
        <v>41.5</v>
      </c>
      <c r="N2366" s="335" t="str">
        <f>IF(MAXIFS('単価履歴'!$O:$O,'単価履歴'!$E:$E,E2366,'単価履歴'!$F:$F,F2366)=O2366,"●","")</f>
        <v/>
      </c>
      <c r="O2366" s="346">
        <v>45903.2703125</v>
      </c>
      <c r="P2366" s="334" t="str">
        <f t="shared" si="4"/>
        <v>岸和田:豊通Ｈ１(特A)</v>
      </c>
    </row>
    <row r="2367" ht="15.75" customHeight="1">
      <c r="A2367" s="335" t="s">
        <v>3519</v>
      </c>
      <c r="B2367" s="336">
        <v>45903.0</v>
      </c>
      <c r="C2367" s="335" t="s">
        <v>10</v>
      </c>
      <c r="D2367" s="335" t="s">
        <v>47</v>
      </c>
      <c r="E2367" s="337" t="str">
        <f t="shared" si="1"/>
        <v>岸和田:豊通</v>
      </c>
      <c r="F2367" s="338" t="s">
        <v>116</v>
      </c>
      <c r="G2367" s="339" t="str">
        <f t="shared" si="2"/>
        <v>岸和田:豊通Ｈ２(特級)</v>
      </c>
      <c r="H2367" s="340">
        <f t="shared" si="3"/>
        <v>39</v>
      </c>
      <c r="I2367" s="341">
        <v>-0.5</v>
      </c>
      <c r="J2367" s="332">
        <f>IFERROR(__xludf.DUMMYFUNCTION("IF(IF(COUNTIF(P$2:P2366, P2367)=0, """", INDEX(H$2:H2366,
MAX(FILTER(ROW(H$2:H2366) - ROW(H$2) + 1, P$2:P2366 = P2367))))=""単価"","""",
IF(COUNTIF(P$2:P2366, P2367)=0, """", INDEX(H$2:H2366,
MAX(FILTER(ROW(H$2:H2366) - ROW(H$2) + 1, P$2:P2366 = P2367)))))"),39.5)</f>
        <v>39.5</v>
      </c>
      <c r="N2367" s="335" t="str">
        <f>IF(MAXIFS('単価履歴'!$O:$O,'単価履歴'!$E:$E,E2367,'単価履歴'!$F:$F,F2367)=O2367,"●","")</f>
        <v/>
      </c>
      <c r="O2367" s="346">
        <v>45903.2703125</v>
      </c>
      <c r="P2367" s="334" t="str">
        <f t="shared" si="4"/>
        <v>岸和田:豊通Ｈ２(特級)</v>
      </c>
    </row>
    <row r="2368" ht="15.75" customHeight="1">
      <c r="A2368" s="335" t="s">
        <v>3520</v>
      </c>
      <c r="B2368" s="336">
        <v>45903.0</v>
      </c>
      <c r="C2368" s="335" t="s">
        <v>10</v>
      </c>
      <c r="D2368" s="335" t="s">
        <v>47</v>
      </c>
      <c r="E2368" s="337" t="str">
        <f t="shared" si="1"/>
        <v>岸和田:豊通</v>
      </c>
      <c r="F2368" s="338" t="s">
        <v>119</v>
      </c>
      <c r="G2368" s="339" t="str">
        <f t="shared" si="2"/>
        <v>岸和田:豊通Ｈ３(1級)</v>
      </c>
      <c r="H2368" s="340">
        <f t="shared" si="3"/>
        <v>38.5</v>
      </c>
      <c r="I2368" s="341">
        <v>-0.5</v>
      </c>
      <c r="J2368" s="332">
        <f>IFERROR(__xludf.DUMMYFUNCTION("IF(IF(COUNTIF(P$2:P2367, P2368)=0, """", INDEX(H$2:H2367,
MAX(FILTER(ROW(H$2:H2367) - ROW(H$2) + 1, P$2:P2367 = P2368))))=""単価"","""",
IF(COUNTIF(P$2:P2367, P2368)=0, """", INDEX(H$2:H2367,
MAX(FILTER(ROW(H$2:H2367) - ROW(H$2) + 1, P$2:P2367 = P2368)))))"),39.0)</f>
        <v>39</v>
      </c>
      <c r="N2368" s="335" t="str">
        <f>IF(MAXIFS('単価履歴'!$O:$O,'単価履歴'!$E:$E,E2368,'単価履歴'!$F:$F,F2368)=O2368,"●","")</f>
        <v/>
      </c>
      <c r="O2368" s="346">
        <v>45903.2703125</v>
      </c>
      <c r="P2368" s="334" t="str">
        <f t="shared" si="4"/>
        <v>岸和田:豊通Ｈ３(1級)</v>
      </c>
    </row>
    <row r="2369" ht="15.75" customHeight="1">
      <c r="A2369" s="335" t="s">
        <v>3521</v>
      </c>
      <c r="B2369" s="336">
        <v>45903.0</v>
      </c>
      <c r="C2369" s="335" t="s">
        <v>10</v>
      </c>
      <c r="D2369" s="335" t="s">
        <v>47</v>
      </c>
      <c r="E2369" s="337" t="str">
        <f t="shared" si="1"/>
        <v>岸和田:豊通</v>
      </c>
      <c r="F2369" s="338" t="s">
        <v>122</v>
      </c>
      <c r="G2369" s="339" t="str">
        <f t="shared" si="2"/>
        <v>岸和田:豊通Ｌ１(2級)</v>
      </c>
      <c r="H2369" s="340">
        <f t="shared" si="3"/>
        <v>38</v>
      </c>
      <c r="I2369" s="341">
        <v>-0.5</v>
      </c>
      <c r="J2369" s="332">
        <f>IFERROR(__xludf.DUMMYFUNCTION("IF(IF(COUNTIF(P$2:P2368, P2369)=0, """", INDEX(H$2:H2368,
MAX(FILTER(ROW(H$2:H2368) - ROW(H$2) + 1, P$2:P2368 = P2369))))=""単価"","""",
IF(COUNTIF(P$2:P2368, P2369)=0, """", INDEX(H$2:H2368,
MAX(FILTER(ROW(H$2:H2368) - ROW(H$2) + 1, P$2:P2368 = P2369)))))"),38.5)</f>
        <v>38.5</v>
      </c>
      <c r="N2369" s="335" t="str">
        <f>IF(MAXIFS('単価履歴'!$O:$O,'単価履歴'!$E:$E,E2369,'単価履歴'!$F:$F,F2369)=O2369,"●","")</f>
        <v/>
      </c>
      <c r="O2369" s="346">
        <v>45903.2703125</v>
      </c>
      <c r="P2369" s="334" t="str">
        <f t="shared" si="4"/>
        <v>岸和田:豊通Ｌ１(2級)</v>
      </c>
    </row>
    <row r="2370" ht="15.75" customHeight="1">
      <c r="A2370" s="335" t="s">
        <v>3522</v>
      </c>
      <c r="B2370" s="336">
        <v>45903.0</v>
      </c>
      <c r="C2370" s="335" t="s">
        <v>10</v>
      </c>
      <c r="D2370" s="335" t="s">
        <v>47</v>
      </c>
      <c r="E2370" s="337" t="str">
        <f t="shared" si="1"/>
        <v>岸和田:豊通</v>
      </c>
      <c r="F2370" s="338" t="s">
        <v>154</v>
      </c>
      <c r="G2370" s="339" t="str">
        <f t="shared" si="2"/>
        <v>岸和田:豊通ＣＰ Ａ</v>
      </c>
      <c r="H2370" s="340">
        <f t="shared" si="3"/>
        <v>41.2</v>
      </c>
      <c r="I2370" s="341">
        <v>-0.5</v>
      </c>
      <c r="J2370" s="332">
        <f>IFERROR(__xludf.DUMMYFUNCTION("IF(IF(COUNTIF(P$2:P2369, P2370)=0, """", INDEX(H$2:H2369,
MAX(FILTER(ROW(H$2:H2369) - ROW(H$2) + 1, P$2:P2369 = P2370))))=""単価"","""",
IF(COUNTIF(P$2:P2369, P2370)=0, """", INDEX(H$2:H2369,
MAX(FILTER(ROW(H$2:H2369) - ROW(H$2) + 1, P$2:P2369 = P2370)))))"),41.7)</f>
        <v>41.7</v>
      </c>
      <c r="N2370" s="335" t="str">
        <f>IF(MAXIFS('単価履歴'!$O:$O,'単価履歴'!$E:$E,E2370,'単価履歴'!$F:$F,F2370)=O2370,"●","")</f>
        <v/>
      </c>
      <c r="O2370" s="346">
        <v>45903.2703125</v>
      </c>
      <c r="P2370" s="334" t="str">
        <f t="shared" si="4"/>
        <v>岸和田:豊通ＣＰ Ａ</v>
      </c>
    </row>
    <row r="2371" ht="15.75" customHeight="1">
      <c r="A2371" s="335" t="s">
        <v>3523</v>
      </c>
      <c r="B2371" s="336">
        <v>45908.0</v>
      </c>
      <c r="C2371" s="335" t="s">
        <v>19</v>
      </c>
      <c r="D2371" s="335" t="s">
        <v>61</v>
      </c>
      <c r="E2371" s="337" t="str">
        <f t="shared" si="1"/>
        <v>トピー工業:ＭＭ</v>
      </c>
      <c r="F2371" s="338" t="s">
        <v>116</v>
      </c>
      <c r="G2371" s="339" t="str">
        <f t="shared" si="2"/>
        <v>トピー工業:ＭＭＨ２(特級)</v>
      </c>
      <c r="H2371" s="340">
        <f t="shared" si="3"/>
        <v>34</v>
      </c>
      <c r="I2371" s="341">
        <v>0.5</v>
      </c>
      <c r="J2371" s="332">
        <f>IFERROR(__xludf.DUMMYFUNCTION("IF(IF(COUNTIF(P$2:P2370, P2371)=0, """", INDEX(H$2:H2370,
MAX(FILTER(ROW(H$2:H2370) - ROW(H$2) + 1, P$2:P2370 = P2371))))=""単価"","""",
IF(COUNTIF(P$2:P2370, P2371)=0, """", INDEX(H$2:H2370,
MAX(FILTER(ROW(H$2:H2370) - ROW(H$2) + 1, P$2:P2370 = P2371)))))"),33.5)</f>
        <v>33.5</v>
      </c>
      <c r="N2371" s="335" t="str">
        <f>IF(MAXIFS('単価履歴'!$O:$O,'単価履歴'!$E:$E,E2371,'単価履歴'!$F:$F,F2371)=O2371,"●","")</f>
        <v/>
      </c>
      <c r="O2371" s="346">
        <v>45906.26969907407</v>
      </c>
      <c r="P2371" s="334" t="str">
        <f t="shared" si="4"/>
        <v>トピー工業:ＭＭＨ２(特級)</v>
      </c>
    </row>
    <row r="2372" ht="15.75" customHeight="1">
      <c r="A2372" s="335" t="s">
        <v>3524</v>
      </c>
      <c r="B2372" s="336">
        <v>45909.0</v>
      </c>
      <c r="C2372" s="335" t="s">
        <v>28</v>
      </c>
      <c r="D2372" s="335" t="s">
        <v>52</v>
      </c>
      <c r="E2372" s="337" t="str">
        <f t="shared" si="1"/>
        <v>ＪＦＥ条鋼:リバイブ</v>
      </c>
      <c r="F2372" s="338" t="s">
        <v>111</v>
      </c>
      <c r="G2372" s="339" t="str">
        <f t="shared" si="2"/>
        <v>ＪＦＥ条鋼:リバイブＨ１(特A)</v>
      </c>
      <c r="H2372" s="340">
        <f t="shared" si="3"/>
        <v>35.5</v>
      </c>
      <c r="I2372" s="341">
        <v>0.5</v>
      </c>
      <c r="J2372" s="332">
        <f>IFERROR(__xludf.DUMMYFUNCTION("IF(IF(COUNTIF(P$2:P2371, P2372)=0, """", INDEX(H$2:H2371,
MAX(FILTER(ROW(H$2:H2371) - ROW(H$2) + 1, P$2:P2371 = P2372))))=""単価"","""",
IF(COUNTIF(P$2:P2371, P2372)=0, """", INDEX(H$2:H2371,
MAX(FILTER(ROW(H$2:H2371) - ROW(H$2) + 1, P$2:P2371 = P2372)))))"),35.0)</f>
        <v>35</v>
      </c>
      <c r="N2372" s="335" t="str">
        <f>IF(MAXIFS('単価履歴'!$O:$O,'単価履歴'!$E:$E,E2372,'単価履歴'!$F:$F,F2372)=O2372,"●","")</f>
        <v/>
      </c>
      <c r="O2372" s="346">
        <v>45909.437060185184</v>
      </c>
      <c r="P2372" s="334" t="str">
        <f t="shared" si="4"/>
        <v>ＪＦＥ条鋼:リバイブＨ１(特A)</v>
      </c>
    </row>
    <row r="2373" ht="15.75" customHeight="1">
      <c r="A2373" s="335" t="s">
        <v>3525</v>
      </c>
      <c r="B2373" s="336">
        <v>45909.0</v>
      </c>
      <c r="C2373" s="335" t="s">
        <v>28</v>
      </c>
      <c r="D2373" s="335" t="s">
        <v>52</v>
      </c>
      <c r="E2373" s="337" t="str">
        <f t="shared" si="1"/>
        <v>ＪＦＥ条鋼:リバイブ</v>
      </c>
      <c r="F2373" s="338" t="s">
        <v>116</v>
      </c>
      <c r="G2373" s="339" t="str">
        <f t="shared" si="2"/>
        <v>ＪＦＥ条鋼:リバイブＨ２(特級)</v>
      </c>
      <c r="H2373" s="340">
        <f t="shared" si="3"/>
        <v>35.5</v>
      </c>
      <c r="I2373" s="341">
        <v>0.5</v>
      </c>
      <c r="J2373" s="332">
        <f>IFERROR(__xludf.DUMMYFUNCTION("IF(IF(COUNTIF(P$2:P2372, P2373)=0, """", INDEX(H$2:H2372,
MAX(FILTER(ROW(H$2:H2372) - ROW(H$2) + 1, P$2:P2372 = P2373))))=""単価"","""",
IF(COUNTIF(P$2:P2372, P2373)=0, """", INDEX(H$2:H2372,
MAX(FILTER(ROW(H$2:H2372) - ROW(H$2) + 1, P$2:P2372 = P2373)))))"),35.0)</f>
        <v>35</v>
      </c>
      <c r="N2373" s="335" t="str">
        <f>IF(MAXIFS('単価履歴'!$O:$O,'単価履歴'!$E:$E,E2373,'単価履歴'!$F:$F,F2373)=O2373,"●","")</f>
        <v/>
      </c>
      <c r="O2373" s="346">
        <v>45909.437060185184</v>
      </c>
      <c r="P2373" s="334" t="str">
        <f t="shared" si="4"/>
        <v>ＪＦＥ条鋼:リバイブＨ２(特級)</v>
      </c>
    </row>
    <row r="2374" ht="15.75" customHeight="1">
      <c r="A2374" s="335" t="s">
        <v>3526</v>
      </c>
      <c r="B2374" s="336">
        <v>45909.0</v>
      </c>
      <c r="C2374" s="335" t="s">
        <v>28</v>
      </c>
      <c r="D2374" s="335" t="s">
        <v>52</v>
      </c>
      <c r="E2374" s="337" t="str">
        <f t="shared" si="1"/>
        <v>ＪＦＥ条鋼:リバイブ</v>
      </c>
      <c r="F2374" s="338" t="s">
        <v>119</v>
      </c>
      <c r="G2374" s="339" t="str">
        <f t="shared" si="2"/>
        <v>ＪＦＥ条鋼:リバイブＨ３(1級)</v>
      </c>
      <c r="H2374" s="340">
        <f t="shared" si="3"/>
        <v>34.5</v>
      </c>
      <c r="I2374" s="341">
        <v>0.5</v>
      </c>
      <c r="J2374" s="332">
        <f>IFERROR(__xludf.DUMMYFUNCTION("IF(IF(COUNTIF(P$2:P2373, P2374)=0, """", INDEX(H$2:H2373,
MAX(FILTER(ROW(H$2:H2373) - ROW(H$2) + 1, P$2:P2373 = P2374))))=""単価"","""",
IF(COUNTIF(P$2:P2373, P2374)=0, """", INDEX(H$2:H2373,
MAX(FILTER(ROW(H$2:H2373) - ROW(H$2) + 1, P$2:P2373 = P2374)))))"),34.0)</f>
        <v>34</v>
      </c>
      <c r="N2374" s="335" t="str">
        <f>IF(MAXIFS('単価履歴'!$O:$O,'単価履歴'!$E:$E,E2374,'単価履歴'!$F:$F,F2374)=O2374,"●","")</f>
        <v/>
      </c>
      <c r="O2374" s="346">
        <v>45909.437060185184</v>
      </c>
      <c r="P2374" s="334" t="str">
        <f t="shared" si="4"/>
        <v>ＪＦＥ条鋼:リバイブＨ３(1級)</v>
      </c>
    </row>
    <row r="2375" ht="15.75" customHeight="1">
      <c r="A2375" s="335" t="s">
        <v>3527</v>
      </c>
      <c r="B2375" s="336">
        <v>45909.0</v>
      </c>
      <c r="C2375" s="335" t="s">
        <v>28</v>
      </c>
      <c r="D2375" s="335" t="s">
        <v>52</v>
      </c>
      <c r="E2375" s="337" t="str">
        <f t="shared" si="1"/>
        <v>ＪＦＥ条鋼:リバイブ</v>
      </c>
      <c r="F2375" s="338" t="s">
        <v>122</v>
      </c>
      <c r="G2375" s="339" t="str">
        <f t="shared" si="2"/>
        <v>ＪＦＥ条鋼:リバイブＬ１(2級)</v>
      </c>
      <c r="H2375" s="340">
        <f t="shared" si="3"/>
        <v>31.5</v>
      </c>
      <c r="I2375" s="341">
        <v>0.5</v>
      </c>
      <c r="J2375" s="332">
        <f>IFERROR(__xludf.DUMMYFUNCTION("IF(IF(COUNTIF(P$2:P2374, P2375)=0, """", INDEX(H$2:H2374,
MAX(FILTER(ROW(H$2:H2374) - ROW(H$2) + 1, P$2:P2374 = P2375))))=""単価"","""",
IF(COUNTIF(P$2:P2374, P2375)=0, """", INDEX(H$2:H2374,
MAX(FILTER(ROW(H$2:H2374) - ROW(H$2) + 1, P$2:P2374 = P2375)))))"),31.0)</f>
        <v>31</v>
      </c>
      <c r="N2375" s="335" t="str">
        <f>IF(MAXIFS('単価履歴'!$O:$O,'単価履歴'!$E:$E,E2375,'単価履歴'!$F:$F,F2375)=O2375,"●","")</f>
        <v/>
      </c>
      <c r="O2375" s="346">
        <v>45909.437060185184</v>
      </c>
      <c r="P2375" s="334" t="str">
        <f t="shared" si="4"/>
        <v>ＪＦＥ条鋼:リバイブＬ１(2級)</v>
      </c>
    </row>
    <row r="2376" ht="15.75" customHeight="1">
      <c r="A2376" s="335" t="s">
        <v>3528</v>
      </c>
      <c r="B2376" s="336">
        <v>45909.0</v>
      </c>
      <c r="C2376" s="335" t="s">
        <v>28</v>
      </c>
      <c r="D2376" s="335" t="s">
        <v>52</v>
      </c>
      <c r="E2376" s="337" t="str">
        <f t="shared" si="1"/>
        <v>ＪＦＥ条鋼:リバイブ</v>
      </c>
      <c r="F2376" s="338" t="s">
        <v>573</v>
      </c>
      <c r="G2376" s="339" t="str">
        <f t="shared" si="2"/>
        <v>ＪＦＥ条鋼:リバイブＬ２(H4･級外･L1ﾊﾞﾗ)</v>
      </c>
      <c r="H2376" s="340">
        <f t="shared" si="3"/>
        <v>26.5</v>
      </c>
      <c r="I2376" s="341">
        <v>0.5</v>
      </c>
      <c r="J2376" s="332">
        <f>IFERROR(__xludf.DUMMYFUNCTION("IF(IF(COUNTIF(P$2:P2375, P2376)=0, """", INDEX(H$2:H2375,
MAX(FILTER(ROW(H$2:H2375) - ROW(H$2) + 1, P$2:P2375 = P2376))))=""単価"","""",
IF(COUNTIF(P$2:P2375, P2376)=0, """", INDEX(H$2:H2375,
MAX(FILTER(ROW(H$2:H2375) - ROW(H$2) + 1, P$2:P2375 = P2376)))))"),26.0)</f>
        <v>26</v>
      </c>
      <c r="N2376" s="335" t="str">
        <f>IF(MAXIFS('単価履歴'!$O:$O,'単価履歴'!$E:$E,E2376,'単価履歴'!$F:$F,F2376)=O2376,"●","")</f>
        <v/>
      </c>
      <c r="O2376" s="346">
        <v>45909.437060185184</v>
      </c>
      <c r="P2376" s="334" t="str">
        <f t="shared" si="4"/>
        <v>ＪＦＥ条鋼:リバイブＬ２(H4･級外･L1ﾊﾞﾗ)</v>
      </c>
    </row>
    <row r="2377" ht="15.75" customHeight="1">
      <c r="A2377" s="335" t="s">
        <v>3529</v>
      </c>
      <c r="B2377" s="336">
        <v>45909.0</v>
      </c>
      <c r="C2377" s="335" t="s">
        <v>28</v>
      </c>
      <c r="D2377" s="335" t="s">
        <v>52</v>
      </c>
      <c r="E2377" s="337" t="str">
        <f t="shared" si="1"/>
        <v>ＪＦＥ条鋼:リバイブ</v>
      </c>
      <c r="F2377" s="338" t="s">
        <v>130</v>
      </c>
      <c r="G2377" s="339" t="str">
        <f t="shared" si="2"/>
        <v>ＪＦＥ条鋼:リバイブ新断Ａ</v>
      </c>
      <c r="H2377" s="340">
        <f t="shared" si="3"/>
        <v>41</v>
      </c>
      <c r="I2377" s="341">
        <v>0.5</v>
      </c>
      <c r="J2377" s="332">
        <f>IFERROR(__xludf.DUMMYFUNCTION("IF(IF(COUNTIF(P$2:P2376, P2377)=0, """", INDEX(H$2:H2376,
MAX(FILTER(ROW(H$2:H2376) - ROW(H$2) + 1, P$2:P2376 = P2377))))=""単価"","""",
IF(COUNTIF(P$2:P2376, P2377)=0, """", INDEX(H$2:H2376,
MAX(FILTER(ROW(H$2:H2376) - ROW(H$2) + 1, P$2:P2376 = P2377)))))"),40.5)</f>
        <v>40.5</v>
      </c>
      <c r="N2377" s="335" t="str">
        <f>IF(MAXIFS('単価履歴'!$O:$O,'単価履歴'!$E:$E,E2377,'単価履歴'!$F:$F,F2377)=O2377,"●","")</f>
        <v/>
      </c>
      <c r="O2377" s="346">
        <v>45909.437060185184</v>
      </c>
      <c r="P2377" s="334" t="str">
        <f t="shared" si="4"/>
        <v>ＪＦＥ条鋼:リバイブ新断Ａ</v>
      </c>
    </row>
    <row r="2378" ht="15.75" customHeight="1">
      <c r="A2378" s="335" t="s">
        <v>3530</v>
      </c>
      <c r="B2378" s="336">
        <v>45909.0</v>
      </c>
      <c r="C2378" s="335" t="s">
        <v>28</v>
      </c>
      <c r="D2378" s="335" t="s">
        <v>52</v>
      </c>
      <c r="E2378" s="337" t="str">
        <f t="shared" si="1"/>
        <v>ＪＦＥ条鋼:リバイブ</v>
      </c>
      <c r="F2378" s="338" t="s">
        <v>131</v>
      </c>
      <c r="G2378" s="339" t="str">
        <f t="shared" si="2"/>
        <v>ＪＦＥ条鋼:リバイブ新断Ｂ</v>
      </c>
      <c r="H2378" s="340">
        <f t="shared" si="3"/>
        <v>40</v>
      </c>
      <c r="I2378" s="341">
        <v>0.5</v>
      </c>
      <c r="J2378" s="332">
        <f>IFERROR(__xludf.DUMMYFUNCTION("IF(IF(COUNTIF(P$2:P2377, P2378)=0, """", INDEX(H$2:H2377,
MAX(FILTER(ROW(H$2:H2377) - ROW(H$2) + 1, P$2:P2377 = P2378))))=""単価"","""",
IF(COUNTIF(P$2:P2377, P2378)=0, """", INDEX(H$2:H2377,
MAX(FILTER(ROW(H$2:H2377) - ROW(H$2) + 1, P$2:P2377 = P2378)))))"),39.5)</f>
        <v>39.5</v>
      </c>
      <c r="N2378" s="335" t="str">
        <f>IF(MAXIFS('単価履歴'!$O:$O,'単価履歴'!$E:$E,E2378,'単価履歴'!$F:$F,F2378)=O2378,"●","")</f>
        <v/>
      </c>
      <c r="O2378" s="346">
        <v>45909.437060185184</v>
      </c>
      <c r="P2378" s="334" t="str">
        <f t="shared" si="4"/>
        <v>ＪＦＥ条鋼:リバイブ新断Ｂ</v>
      </c>
    </row>
    <row r="2379" ht="15.75" customHeight="1">
      <c r="A2379" s="335" t="s">
        <v>3531</v>
      </c>
      <c r="B2379" s="336">
        <v>45909.0</v>
      </c>
      <c r="C2379" s="335" t="s">
        <v>28</v>
      </c>
      <c r="D2379" s="335" t="s">
        <v>52</v>
      </c>
      <c r="E2379" s="337" t="str">
        <f t="shared" si="1"/>
        <v>ＪＦＥ条鋼:リバイブ</v>
      </c>
      <c r="F2379" s="338" t="s">
        <v>575</v>
      </c>
      <c r="G2379" s="339" t="str">
        <f t="shared" si="2"/>
        <v>ＪＦＥ条鋼:リバイブ鋼ダライＡ</v>
      </c>
      <c r="H2379" s="340">
        <f t="shared" si="3"/>
        <v>35</v>
      </c>
      <c r="I2379" s="341">
        <v>0.5</v>
      </c>
      <c r="J2379" s="332">
        <f>IFERROR(__xludf.DUMMYFUNCTION("IF(IF(COUNTIF(P$2:P2378, P2379)=0, """", INDEX(H$2:H2378,
MAX(FILTER(ROW(H$2:H2378) - ROW(H$2) + 1, P$2:P2378 = P2379))))=""単価"","""",
IF(COUNTIF(P$2:P2378, P2379)=0, """", INDEX(H$2:H2378,
MAX(FILTER(ROW(H$2:H2378) - ROW(H$2) + 1, P$2:P2378 = P2379)))))"),34.5)</f>
        <v>34.5</v>
      </c>
      <c r="N2379" s="335" t="str">
        <f>IF(MAXIFS('単価履歴'!$O:$O,'単価履歴'!$E:$E,E2379,'単価履歴'!$F:$F,F2379)=O2379,"●","")</f>
        <v/>
      </c>
      <c r="O2379" s="346">
        <v>45909.437060185184</v>
      </c>
      <c r="P2379" s="334" t="str">
        <f t="shared" si="4"/>
        <v>ＪＦＥ条鋼:リバイブ鋼ダライＡ</v>
      </c>
    </row>
    <row r="2380" ht="15.75" customHeight="1">
      <c r="A2380" s="335" t="s">
        <v>3532</v>
      </c>
      <c r="B2380" s="336">
        <v>45912.0</v>
      </c>
      <c r="C2380" s="335" t="s">
        <v>17</v>
      </c>
      <c r="D2380" s="335" t="s">
        <v>563</v>
      </c>
      <c r="E2380" s="337" t="str">
        <f t="shared" si="1"/>
        <v>RTA:第二置場単価</v>
      </c>
      <c r="F2380" s="338" t="s">
        <v>575</v>
      </c>
      <c r="G2380" s="339" t="str">
        <f t="shared" si="2"/>
        <v>RTA:第二置場単価鋼ダライＡ</v>
      </c>
      <c r="H2380" s="340">
        <f t="shared" si="3"/>
        <v>36.5</v>
      </c>
      <c r="I2380" s="341">
        <v>-0.5</v>
      </c>
      <c r="J2380" s="332">
        <f>IFERROR(__xludf.DUMMYFUNCTION("IF(IF(COUNTIF(P$2:P2379, P2380)=0, """", INDEX(H$2:H2379,
MAX(FILTER(ROW(H$2:H2379) - ROW(H$2) + 1, P$2:P2379 = P2380))))=""単価"","""",
IF(COUNTIF(P$2:P2379, P2380)=0, """", INDEX(H$2:H2379,
MAX(FILTER(ROW(H$2:H2379) - ROW(H$2) + 1, P$2:P2379 = P2380)))))"),37.0)</f>
        <v>37</v>
      </c>
      <c r="N2380" s="335" t="str">
        <f>IF(MAXIFS('単価履歴'!$O:$O,'単価履歴'!$E:$E,E2380,'単価履歴'!$F:$F,F2380)=O2380,"●","")</f>
        <v/>
      </c>
      <c r="O2380" s="346">
        <v>45912.52684027777</v>
      </c>
      <c r="P2380" s="334" t="str">
        <f t="shared" si="4"/>
        <v>RTA:第二置場単価鋼ダライＡ</v>
      </c>
    </row>
    <row r="2381" ht="15.75" customHeight="1">
      <c r="A2381" s="335" t="s">
        <v>3533</v>
      </c>
      <c r="B2381" s="336">
        <v>45913.0</v>
      </c>
      <c r="C2381" s="335" t="s">
        <v>532</v>
      </c>
      <c r="D2381" s="335" t="s">
        <v>77</v>
      </c>
      <c r="E2381" s="337" t="str">
        <f t="shared" si="1"/>
        <v>東鐵岡山:直納</v>
      </c>
      <c r="F2381" s="338" t="s">
        <v>119</v>
      </c>
      <c r="G2381" s="339" t="str">
        <f t="shared" si="2"/>
        <v>東鐵岡山:直納Ｈ３(1級)</v>
      </c>
      <c r="H2381" s="340">
        <f t="shared" si="3"/>
        <v>39</v>
      </c>
      <c r="I2381" s="341">
        <v>0.5</v>
      </c>
      <c r="J2381" s="332">
        <f>IFERROR(__xludf.DUMMYFUNCTION("IF(IF(COUNTIF(P$2:P2380, P2381)=0, """", INDEX(H$2:H2380,
MAX(FILTER(ROW(H$2:H2380) - ROW(H$2) + 1, P$2:P2380 = P2381))))=""単価"","""",
IF(COUNTIF(P$2:P2380, P2381)=0, """", INDEX(H$2:H2380,
MAX(FILTER(ROW(H$2:H2380) - ROW(H$2) + 1, P$2:P2380 = P2381)))))"),38.5)</f>
        <v>38.5</v>
      </c>
      <c r="N2381" s="335" t="str">
        <f>IF(MAXIFS('単価履歴'!$O:$O,'単価履歴'!$E:$E,E2381,'単価履歴'!$F:$F,F2381)=O2381,"●","")</f>
        <v/>
      </c>
      <c r="O2381" s="346">
        <v>45913.2725462963</v>
      </c>
      <c r="P2381" s="334" t="str">
        <f t="shared" si="4"/>
        <v>東鐵岡山:直納Ｈ３(1級)</v>
      </c>
    </row>
    <row r="2382" ht="15.75" customHeight="1">
      <c r="A2382" s="335" t="s">
        <v>3534</v>
      </c>
      <c r="B2382" s="336">
        <v>45913.0</v>
      </c>
      <c r="C2382" s="335" t="s">
        <v>532</v>
      </c>
      <c r="D2382" s="335" t="s">
        <v>77</v>
      </c>
      <c r="E2382" s="337" t="str">
        <f t="shared" si="1"/>
        <v>東鐵岡山:直納</v>
      </c>
      <c r="F2382" s="338" t="s">
        <v>145</v>
      </c>
      <c r="G2382" s="339" t="str">
        <f t="shared" si="2"/>
        <v>東鐵岡山:直納シュレＡ</v>
      </c>
      <c r="H2382" s="340">
        <f t="shared" si="3"/>
        <v>40</v>
      </c>
      <c r="I2382" s="341">
        <v>0.5</v>
      </c>
      <c r="J2382" s="332">
        <f>IFERROR(__xludf.DUMMYFUNCTION("IF(IF(COUNTIF(P$2:P2381, P2382)=0, """", INDEX(H$2:H2381,
MAX(FILTER(ROW(H$2:H2381) - ROW(H$2) + 1, P$2:P2381 = P2382))))=""単価"","""",
IF(COUNTIF(P$2:P2381, P2382)=0, """", INDEX(H$2:H2381,
MAX(FILTER(ROW(H$2:H2381) - ROW(H$2) + 1, P$2:P2381 = P2382)))))"),39.5)</f>
        <v>39.5</v>
      </c>
      <c r="N2382" s="335" t="str">
        <f>IF(MAXIFS('単価履歴'!$O:$O,'単価履歴'!$E:$E,E2382,'単価履歴'!$F:$F,F2382)=O2382,"●","")</f>
        <v/>
      </c>
      <c r="O2382" s="346">
        <v>45913.2725462963</v>
      </c>
      <c r="P2382" s="334" t="str">
        <f t="shared" si="4"/>
        <v>東鐵岡山:直納シュレＡ</v>
      </c>
    </row>
    <row r="2383" ht="15.75" customHeight="1">
      <c r="A2383" s="335" t="s">
        <v>3535</v>
      </c>
      <c r="B2383" s="336">
        <v>45913.0</v>
      </c>
      <c r="C2383" s="335" t="s">
        <v>532</v>
      </c>
      <c r="D2383" s="335" t="s">
        <v>77</v>
      </c>
      <c r="E2383" s="337" t="str">
        <f t="shared" si="1"/>
        <v>東鐵岡山:直納</v>
      </c>
      <c r="F2383" s="338" t="s">
        <v>575</v>
      </c>
      <c r="G2383" s="339" t="str">
        <f t="shared" si="2"/>
        <v>東鐵岡山:直納鋼ダライＡ</v>
      </c>
      <c r="H2383" s="340">
        <f t="shared" si="3"/>
        <v>35.5</v>
      </c>
      <c r="I2383" s="341">
        <v>0.5</v>
      </c>
      <c r="J2383" s="332">
        <f>IFERROR(__xludf.DUMMYFUNCTION("IF(IF(COUNTIF(P$2:P2382, P2383)=0, """", INDEX(H$2:H2382,
MAX(FILTER(ROW(H$2:H2382) - ROW(H$2) + 1, P$2:P2382 = P2383))))=""単価"","""",
IF(COUNTIF(P$2:P2382, P2383)=0, """", INDEX(H$2:H2382,
MAX(FILTER(ROW(H$2:H2382) - ROW(H$2) + 1, P$2:P2382 = P2383)))))"),35.0)</f>
        <v>35</v>
      </c>
      <c r="N2383" s="335" t="str">
        <f>IF(MAXIFS('単価履歴'!$O:$O,'単価履歴'!$E:$E,E2383,'単価履歴'!$F:$F,F2383)=O2383,"●","")</f>
        <v/>
      </c>
      <c r="O2383" s="346">
        <v>45913.2725462963</v>
      </c>
      <c r="P2383" s="334" t="str">
        <f t="shared" si="4"/>
        <v>東鐵岡山:直納鋼ダライＡ</v>
      </c>
    </row>
    <row r="2384" ht="15.75" customHeight="1">
      <c r="A2384" s="335" t="s">
        <v>3536</v>
      </c>
      <c r="B2384" s="336">
        <v>45913.0</v>
      </c>
      <c r="C2384" s="335" t="s">
        <v>532</v>
      </c>
      <c r="D2384" s="335" t="s">
        <v>77</v>
      </c>
      <c r="E2384" s="337" t="str">
        <f t="shared" si="1"/>
        <v>東鐵岡山:直納</v>
      </c>
      <c r="F2384" s="338" t="s">
        <v>1199</v>
      </c>
      <c r="G2384" s="339" t="str">
        <f t="shared" si="2"/>
        <v>東鐵岡山:直納ＨＳ１(単体H1/電特A/HS))</v>
      </c>
      <c r="H2384" s="340">
        <f t="shared" si="3"/>
        <v>41.5</v>
      </c>
      <c r="I2384" s="341">
        <v>0.5</v>
      </c>
      <c r="J2384" s="332">
        <f>IFERROR(__xludf.DUMMYFUNCTION("IF(IF(COUNTIF(P$2:P2383, P2384)=0, """", INDEX(H$2:H2383,
MAX(FILTER(ROW(H$2:H2383) - ROW(H$2) + 1, P$2:P2383 = P2384))))=""単価"","""",
IF(COUNTIF(P$2:P2383, P2384)=0, """", INDEX(H$2:H2383,
MAX(FILTER(ROW(H$2:H2383) - ROW(H$2) + 1, P$2:P2383 = P2384)))))"),41.0)</f>
        <v>41</v>
      </c>
      <c r="N2384" s="335" t="str">
        <f>IF(MAXIFS('単価履歴'!$O:$O,'単価履歴'!$E:$E,E2384,'単価履歴'!$F:$F,F2384)=O2384,"●","")</f>
        <v/>
      </c>
      <c r="O2384" s="346">
        <v>45913.2725462963</v>
      </c>
      <c r="P2384" s="334" t="str">
        <f t="shared" si="4"/>
        <v>東鐵岡山:直納ＨＳ１(単体H1/電特A/HS))</v>
      </c>
    </row>
    <row r="2385" ht="15.75" customHeight="1">
      <c r="A2385" s="335" t="s">
        <v>3537</v>
      </c>
      <c r="B2385" s="336">
        <v>45913.0</v>
      </c>
      <c r="C2385" s="335" t="s">
        <v>532</v>
      </c>
      <c r="D2385" s="335" t="s">
        <v>77</v>
      </c>
      <c r="E2385" s="337" t="str">
        <f t="shared" si="1"/>
        <v>東鐵岡山:直納</v>
      </c>
      <c r="F2385" s="338" t="s">
        <v>122</v>
      </c>
      <c r="G2385" s="339" t="str">
        <f t="shared" si="2"/>
        <v>東鐵岡山:直納Ｌ１(2級)</v>
      </c>
      <c r="H2385" s="340">
        <f t="shared" si="3"/>
        <v>37.5</v>
      </c>
      <c r="I2385" s="341">
        <v>0.5</v>
      </c>
      <c r="J2385" s="332">
        <f>IFERROR(__xludf.DUMMYFUNCTION("IF(IF(COUNTIF(P$2:P2384, P2385)=0, """", INDEX(H$2:H2384,
MAX(FILTER(ROW(H$2:H2384) - ROW(H$2) + 1, P$2:P2384 = P2385))))=""単価"","""",
IF(COUNTIF(P$2:P2384, P2385)=0, """", INDEX(H$2:H2384,
MAX(FILTER(ROW(H$2:H2384) - ROW(H$2) + 1, P$2:P2384 = P2385)))))"),37.0)</f>
        <v>37</v>
      </c>
      <c r="N2385" s="335" t="str">
        <f>IF(MAXIFS('単価履歴'!$O:$O,'単価履歴'!$E:$E,E2385,'単価履歴'!$F:$F,F2385)=O2385,"●","")</f>
        <v/>
      </c>
      <c r="O2385" s="346">
        <v>45913.2725462963</v>
      </c>
      <c r="P2385" s="334" t="str">
        <f t="shared" si="4"/>
        <v>東鐵岡山:直納Ｌ１(2級)</v>
      </c>
    </row>
    <row r="2386" ht="15.75" customHeight="1">
      <c r="A2386" s="335" t="s">
        <v>3538</v>
      </c>
      <c r="B2386" s="336">
        <v>45913.0</v>
      </c>
      <c r="C2386" s="335" t="s">
        <v>532</v>
      </c>
      <c r="D2386" s="335" t="s">
        <v>77</v>
      </c>
      <c r="E2386" s="337" t="str">
        <f t="shared" si="1"/>
        <v>東鐵岡山:直納</v>
      </c>
      <c r="F2386" s="338" t="s">
        <v>151</v>
      </c>
      <c r="G2386" s="339" t="str">
        <f t="shared" si="2"/>
        <v>東鐵岡山:直納シュレＣ</v>
      </c>
      <c r="H2386" s="340">
        <f t="shared" si="3"/>
        <v>39.5</v>
      </c>
      <c r="I2386" s="341">
        <v>0.5</v>
      </c>
      <c r="J2386" s="332">
        <f>IFERROR(__xludf.DUMMYFUNCTION("IF(IF(COUNTIF(P$2:P2385, P2386)=0, """", INDEX(H$2:H2385,
MAX(FILTER(ROW(H$2:H2385) - ROW(H$2) + 1, P$2:P2385 = P2386))))=""単価"","""",
IF(COUNTIF(P$2:P2385, P2386)=0, """", INDEX(H$2:H2385,
MAX(FILTER(ROW(H$2:H2385) - ROW(H$2) + 1, P$2:P2385 = P2386)))))"),39.0)</f>
        <v>39</v>
      </c>
      <c r="N2386" s="335" t="str">
        <f>IF(MAXIFS('単価履歴'!$O:$O,'単価履歴'!$E:$E,E2386,'単価履歴'!$F:$F,F2386)=O2386,"●","")</f>
        <v/>
      </c>
      <c r="O2386" s="346">
        <v>45913.2725462963</v>
      </c>
      <c r="P2386" s="334" t="str">
        <f t="shared" si="4"/>
        <v>東鐵岡山:直納シュレＣ</v>
      </c>
    </row>
    <row r="2387" ht="15.75" customHeight="1">
      <c r="A2387" s="335" t="s">
        <v>3539</v>
      </c>
      <c r="B2387" s="336">
        <v>45913.0</v>
      </c>
      <c r="C2387" s="335" t="s">
        <v>532</v>
      </c>
      <c r="D2387" s="335" t="s">
        <v>77</v>
      </c>
      <c r="E2387" s="337" t="str">
        <f t="shared" si="1"/>
        <v>東鐵岡山:直納</v>
      </c>
      <c r="F2387" s="338" t="s">
        <v>25</v>
      </c>
      <c r="G2387" s="339" t="str">
        <f t="shared" si="2"/>
        <v>東鐵岡山:直納銑ダライ</v>
      </c>
      <c r="H2387" s="340">
        <f t="shared" si="3"/>
        <v>32</v>
      </c>
      <c r="I2387" s="341">
        <v>0.5</v>
      </c>
      <c r="J2387" s="332">
        <f>IFERROR(__xludf.DUMMYFUNCTION("IF(IF(COUNTIF(P$2:P2386, P2387)=0, """", INDEX(H$2:H2386,
MAX(FILTER(ROW(H$2:H2386) - ROW(H$2) + 1, P$2:P2386 = P2387))))=""単価"","""",
IF(COUNTIF(P$2:P2386, P2387)=0, """", INDEX(H$2:H2386,
MAX(FILTER(ROW(H$2:H2386) - ROW(H$2) + 1, P$2:P2386 = P2387)))))"),31.5)</f>
        <v>31.5</v>
      </c>
      <c r="N2387" s="335" t="str">
        <f>IF(MAXIFS('単価履歴'!$O:$O,'単価履歴'!$E:$E,E2387,'単価履歴'!$F:$F,F2387)=O2387,"●","")</f>
        <v/>
      </c>
      <c r="O2387" s="346">
        <v>45913.2725462963</v>
      </c>
      <c r="P2387" s="334" t="str">
        <f t="shared" si="4"/>
        <v>東鐵岡山:直納銑ダライ</v>
      </c>
    </row>
    <row r="2388" ht="15.75" customHeight="1">
      <c r="A2388" s="335" t="s">
        <v>3540</v>
      </c>
      <c r="B2388" s="336">
        <v>45913.0</v>
      </c>
      <c r="C2388" s="335" t="s">
        <v>532</v>
      </c>
      <c r="D2388" s="335" t="s">
        <v>77</v>
      </c>
      <c r="E2388" s="337" t="str">
        <f t="shared" si="1"/>
        <v>東鐵岡山:直納</v>
      </c>
      <c r="F2388" s="338" t="s">
        <v>111</v>
      </c>
      <c r="G2388" s="339" t="str">
        <f t="shared" si="2"/>
        <v>東鐵岡山:直納Ｈ１(特A)</v>
      </c>
      <c r="H2388" s="340">
        <f t="shared" si="3"/>
        <v>40.2</v>
      </c>
      <c r="I2388" s="341">
        <v>0.5</v>
      </c>
      <c r="J2388" s="332">
        <f>IFERROR(__xludf.DUMMYFUNCTION("IF(IF(COUNTIF(P$2:P2387, P2388)=0, """", INDEX(H$2:H2387,
MAX(FILTER(ROW(H$2:H2387) - ROW(H$2) + 1, P$2:P2387 = P2388))))=""単価"","""",
IF(COUNTIF(P$2:P2387, P2388)=0, """", INDEX(H$2:H2387,
MAX(FILTER(ROW(H$2:H2387) - ROW(H$2) + 1, P$2:P2387 = P2388)))))"),39.7)</f>
        <v>39.7</v>
      </c>
      <c r="N2388" s="335" t="str">
        <f>IF(MAXIFS('単価履歴'!$O:$O,'単価履歴'!$E:$E,E2388,'単価履歴'!$F:$F,F2388)=O2388,"●","")</f>
        <v/>
      </c>
      <c r="O2388" s="346">
        <v>45913.2725462963</v>
      </c>
      <c r="P2388" s="334" t="str">
        <f t="shared" si="4"/>
        <v>東鐵岡山:直納Ｈ１(特A)</v>
      </c>
    </row>
    <row r="2389" ht="15.75" customHeight="1">
      <c r="A2389" s="335" t="s">
        <v>3541</v>
      </c>
      <c r="B2389" s="336">
        <v>45913.0</v>
      </c>
      <c r="C2389" s="335" t="s">
        <v>532</v>
      </c>
      <c r="D2389" s="335" t="s">
        <v>77</v>
      </c>
      <c r="E2389" s="337" t="str">
        <f t="shared" si="1"/>
        <v>東鐵岡山:直納</v>
      </c>
      <c r="F2389" s="338" t="s">
        <v>573</v>
      </c>
      <c r="G2389" s="339" t="str">
        <f t="shared" si="2"/>
        <v>東鐵岡山:直納Ｌ２(H4･級外･L1ﾊﾞﾗ)</v>
      </c>
      <c r="H2389" s="340">
        <f t="shared" si="3"/>
        <v>34.5</v>
      </c>
      <c r="I2389" s="341">
        <v>0.5</v>
      </c>
      <c r="J2389" s="332">
        <f>IFERROR(__xludf.DUMMYFUNCTION("IF(IF(COUNTIF(P$2:P2388, P2389)=0, """", INDEX(H$2:H2388,
MAX(FILTER(ROW(H$2:H2388) - ROW(H$2) + 1, P$2:P2388 = P2389))))=""単価"","""",
IF(COUNTIF(P$2:P2388, P2389)=0, """", INDEX(H$2:H2388,
MAX(FILTER(ROW(H$2:H2388) - ROW(H$2) + 1, P$2:P2388 = P2389)))))"),34.0)</f>
        <v>34</v>
      </c>
      <c r="N2389" s="335" t="str">
        <f>IF(MAXIFS('単価履歴'!$O:$O,'単価履歴'!$E:$E,E2389,'単価履歴'!$F:$F,F2389)=O2389,"●","")</f>
        <v/>
      </c>
      <c r="O2389" s="346">
        <v>45913.2725462963</v>
      </c>
      <c r="P2389" s="334" t="str">
        <f t="shared" si="4"/>
        <v>東鐵岡山:直納Ｌ２(H4･級外･L1ﾊﾞﾗ)</v>
      </c>
    </row>
    <row r="2390" ht="15.75" customHeight="1">
      <c r="A2390" s="335" t="s">
        <v>3542</v>
      </c>
      <c r="B2390" s="336">
        <v>45913.0</v>
      </c>
      <c r="C2390" s="335" t="s">
        <v>532</v>
      </c>
      <c r="D2390" s="335" t="s">
        <v>77</v>
      </c>
      <c r="E2390" s="337" t="str">
        <f t="shared" si="1"/>
        <v>東鐵岡山:直納</v>
      </c>
      <c r="F2390" s="338" t="s">
        <v>130</v>
      </c>
      <c r="G2390" s="339" t="str">
        <f t="shared" si="2"/>
        <v>東鐵岡山:直納新断Ａ</v>
      </c>
      <c r="H2390" s="340">
        <f t="shared" si="3"/>
        <v>40.5</v>
      </c>
      <c r="I2390" s="341">
        <v>0.5</v>
      </c>
      <c r="J2390" s="332">
        <f>IFERROR(__xludf.DUMMYFUNCTION("IF(IF(COUNTIF(P$2:P2389, P2390)=0, """", INDEX(H$2:H2389,
MAX(FILTER(ROW(H$2:H2389) - ROW(H$2) + 1, P$2:P2389 = P2390))))=""単価"","""",
IF(COUNTIF(P$2:P2389, P2390)=0, """", INDEX(H$2:H2389,
MAX(FILTER(ROW(H$2:H2389) - ROW(H$2) + 1, P$2:P2389 = P2390)))))"),40.0)</f>
        <v>40</v>
      </c>
      <c r="N2390" s="335" t="str">
        <f>IF(MAXIFS('単価履歴'!$O:$O,'単価履歴'!$E:$E,E2390,'単価履歴'!$F:$F,F2390)=O2390,"●","")</f>
        <v/>
      </c>
      <c r="O2390" s="346">
        <v>45913.2725462963</v>
      </c>
      <c r="P2390" s="334" t="str">
        <f t="shared" si="4"/>
        <v>東鐵岡山:直納新断Ａ</v>
      </c>
    </row>
    <row r="2391" ht="15.75" customHeight="1">
      <c r="A2391" s="335" t="s">
        <v>3543</v>
      </c>
      <c r="B2391" s="336">
        <v>45913.0</v>
      </c>
      <c r="C2391" s="335" t="s">
        <v>532</v>
      </c>
      <c r="D2391" s="335" t="s">
        <v>77</v>
      </c>
      <c r="E2391" s="337" t="str">
        <f t="shared" si="1"/>
        <v>東鐵岡山:直納</v>
      </c>
      <c r="F2391" s="338" t="s">
        <v>154</v>
      </c>
      <c r="G2391" s="339" t="str">
        <f t="shared" si="2"/>
        <v>東鐵岡山:直納ＣＰ Ａ</v>
      </c>
      <c r="H2391" s="340">
        <f t="shared" si="3"/>
        <v>38</v>
      </c>
      <c r="I2391" s="341">
        <v>0.5</v>
      </c>
      <c r="J2391" s="332">
        <f>IFERROR(__xludf.DUMMYFUNCTION("IF(IF(COUNTIF(P$2:P2390, P2391)=0, """", INDEX(H$2:H2390,
MAX(FILTER(ROW(H$2:H2390) - ROW(H$2) + 1, P$2:P2390 = P2391))))=""単価"","""",
IF(COUNTIF(P$2:P2390, P2391)=0, """", INDEX(H$2:H2390,
MAX(FILTER(ROW(H$2:H2390) - ROW(H$2) + 1, P$2:P2390 = P2391)))))"),37.5)</f>
        <v>37.5</v>
      </c>
      <c r="N2391" s="335" t="str">
        <f>IF(MAXIFS('単価履歴'!$O:$O,'単価履歴'!$E:$E,E2391,'単価履歴'!$F:$F,F2391)=O2391,"●","")</f>
        <v/>
      </c>
      <c r="O2391" s="346">
        <v>45913.2725462963</v>
      </c>
      <c r="P2391" s="334" t="str">
        <f t="shared" si="4"/>
        <v>東鐵岡山:直納ＣＰ Ａ</v>
      </c>
    </row>
    <row r="2392" ht="15.75" customHeight="1">
      <c r="A2392" s="335" t="s">
        <v>3544</v>
      </c>
      <c r="B2392" s="336">
        <v>45913.0</v>
      </c>
      <c r="C2392" s="335" t="s">
        <v>532</v>
      </c>
      <c r="D2392" s="335" t="s">
        <v>77</v>
      </c>
      <c r="E2392" s="337" t="str">
        <f t="shared" si="1"/>
        <v>東鐵岡山:直納</v>
      </c>
      <c r="F2392" s="338" t="s">
        <v>116</v>
      </c>
      <c r="G2392" s="339" t="str">
        <f t="shared" si="2"/>
        <v>東鐵岡山:直納Ｈ２(特級)</v>
      </c>
      <c r="H2392" s="340">
        <f t="shared" si="3"/>
        <v>39.5</v>
      </c>
      <c r="I2392" s="341">
        <v>0.5</v>
      </c>
      <c r="J2392" s="332">
        <f>IFERROR(__xludf.DUMMYFUNCTION("IF(IF(COUNTIF(P$2:P2391, P2392)=0, """", INDEX(H$2:H2391,
MAX(FILTER(ROW(H$2:H2391) - ROW(H$2) + 1, P$2:P2391 = P2392))))=""単価"","""",
IF(COUNTIF(P$2:P2391, P2392)=0, """", INDEX(H$2:H2391,
MAX(FILTER(ROW(H$2:H2391) - ROW(H$2) + 1, P$2:P2391 = P2392)))))"),39.0)</f>
        <v>39</v>
      </c>
      <c r="N2392" s="335" t="str">
        <f>IF(MAXIFS('単価履歴'!$O:$O,'単価履歴'!$E:$E,E2392,'単価履歴'!$F:$F,F2392)=O2392,"●","")</f>
        <v/>
      </c>
      <c r="O2392" s="346">
        <v>45913.2725462963</v>
      </c>
      <c r="P2392" s="334" t="str">
        <f t="shared" si="4"/>
        <v>東鐵岡山:直納Ｈ２(特級)</v>
      </c>
    </row>
    <row r="2393" ht="15.75" customHeight="1">
      <c r="A2393" s="335" t="s">
        <v>3545</v>
      </c>
      <c r="B2393" s="336">
        <v>45913.0</v>
      </c>
      <c r="C2393" s="335" t="s">
        <v>532</v>
      </c>
      <c r="D2393" s="335" t="s">
        <v>77</v>
      </c>
      <c r="E2393" s="337" t="str">
        <f t="shared" si="1"/>
        <v>東鐵岡山:直納</v>
      </c>
      <c r="F2393" s="338" t="s">
        <v>131</v>
      </c>
      <c r="G2393" s="339" t="str">
        <f t="shared" si="2"/>
        <v>東鐵岡山:直納新断Ｂ</v>
      </c>
      <c r="H2393" s="340">
        <f t="shared" si="3"/>
        <v>40.5</v>
      </c>
      <c r="I2393" s="341">
        <v>0.5</v>
      </c>
      <c r="J2393" s="332">
        <f>IFERROR(__xludf.DUMMYFUNCTION("IF(IF(COUNTIF(P$2:P2392, P2393)=0, """", INDEX(H$2:H2392,
MAX(FILTER(ROW(H$2:H2392) - ROW(H$2) + 1, P$2:P2392 = P2393))))=""単価"","""",
IF(COUNTIF(P$2:P2392, P2393)=0, """", INDEX(H$2:H2392,
MAX(FILTER(ROW(H$2:H2392) - ROW(H$2) + 1, P$2:P2392 = P2393)))))"),40.0)</f>
        <v>40</v>
      </c>
      <c r="N2393" s="335" t="str">
        <f>IF(MAXIFS('単価履歴'!$O:$O,'単価履歴'!$E:$E,E2393,'単価履歴'!$F:$F,F2393)=O2393,"●","")</f>
        <v/>
      </c>
      <c r="O2393" s="346">
        <v>45913.2725462963</v>
      </c>
      <c r="P2393" s="334" t="str">
        <f t="shared" si="4"/>
        <v>東鐵岡山:直納新断Ｂ</v>
      </c>
    </row>
    <row r="2394" ht="15.75" customHeight="1">
      <c r="A2394" s="335" t="s">
        <v>3546</v>
      </c>
      <c r="B2394" s="336">
        <v>45913.0</v>
      </c>
      <c r="C2394" s="335" t="s">
        <v>28</v>
      </c>
      <c r="D2394" s="335" t="s">
        <v>52</v>
      </c>
      <c r="E2394" s="337" t="str">
        <f t="shared" si="1"/>
        <v>ＪＦＥ条鋼:リバイブ</v>
      </c>
      <c r="F2394" s="338" t="s">
        <v>111</v>
      </c>
      <c r="G2394" s="339" t="str">
        <f t="shared" si="2"/>
        <v>ＪＦＥ条鋼:リバイブＨ１(特A)</v>
      </c>
      <c r="H2394" s="340">
        <f t="shared" si="3"/>
        <v>36</v>
      </c>
      <c r="I2394" s="341">
        <v>0.5</v>
      </c>
      <c r="J2394" s="332">
        <f>IFERROR(__xludf.DUMMYFUNCTION("IF(IF(COUNTIF(P$2:P2393, P2394)=0, """", INDEX(H$2:H2393,
MAX(FILTER(ROW(H$2:H2393) - ROW(H$2) + 1, P$2:P2393 = P2394))))=""単価"","""",
IF(COUNTIF(P$2:P2393, P2394)=0, """", INDEX(H$2:H2393,
MAX(FILTER(ROW(H$2:H2393) - ROW(H$2) + 1, P$2:P2393 = P2394)))))"),35.5)</f>
        <v>35.5</v>
      </c>
      <c r="N2394" s="335" t="str">
        <f>IF(MAXIFS('単価履歴'!$O:$O,'単価履歴'!$E:$E,E2394,'単価履歴'!$F:$F,F2394)=O2394,"●","")</f>
        <v/>
      </c>
      <c r="O2394" s="346">
        <v>45913.338900462964</v>
      </c>
      <c r="P2394" s="334" t="str">
        <f t="shared" si="4"/>
        <v>ＪＦＥ条鋼:リバイブＨ１(特A)</v>
      </c>
    </row>
    <row r="2395" ht="15.75" customHeight="1">
      <c r="A2395" s="335" t="s">
        <v>3547</v>
      </c>
      <c r="B2395" s="336">
        <v>45913.0</v>
      </c>
      <c r="C2395" s="335" t="s">
        <v>28</v>
      </c>
      <c r="D2395" s="335" t="s">
        <v>52</v>
      </c>
      <c r="E2395" s="337" t="str">
        <f t="shared" si="1"/>
        <v>ＪＦＥ条鋼:リバイブ</v>
      </c>
      <c r="F2395" s="338" t="s">
        <v>116</v>
      </c>
      <c r="G2395" s="339" t="str">
        <f t="shared" si="2"/>
        <v>ＪＦＥ条鋼:リバイブＨ２(特級)</v>
      </c>
      <c r="H2395" s="340">
        <f t="shared" si="3"/>
        <v>36</v>
      </c>
      <c r="I2395" s="341">
        <v>0.5</v>
      </c>
      <c r="J2395" s="332">
        <f>IFERROR(__xludf.DUMMYFUNCTION("IF(IF(COUNTIF(P$2:P2394, P2395)=0, """", INDEX(H$2:H2394,
MAX(FILTER(ROW(H$2:H2394) - ROW(H$2) + 1, P$2:P2394 = P2395))))=""単価"","""",
IF(COUNTIF(P$2:P2394, P2395)=0, """", INDEX(H$2:H2394,
MAX(FILTER(ROW(H$2:H2394) - ROW(H$2) + 1, P$2:P2394 = P2395)))))"),35.5)</f>
        <v>35.5</v>
      </c>
      <c r="N2395" s="335" t="str">
        <f>IF(MAXIFS('単価履歴'!$O:$O,'単価履歴'!$E:$E,E2395,'単価履歴'!$F:$F,F2395)=O2395,"●","")</f>
        <v/>
      </c>
      <c r="O2395" s="346">
        <v>45913.338900462964</v>
      </c>
      <c r="P2395" s="334" t="str">
        <f t="shared" si="4"/>
        <v>ＪＦＥ条鋼:リバイブＨ２(特級)</v>
      </c>
    </row>
    <row r="2396" ht="15.75" customHeight="1">
      <c r="A2396" s="335" t="s">
        <v>3548</v>
      </c>
      <c r="B2396" s="336">
        <v>45913.0</v>
      </c>
      <c r="C2396" s="335" t="s">
        <v>28</v>
      </c>
      <c r="D2396" s="335" t="s">
        <v>52</v>
      </c>
      <c r="E2396" s="337" t="str">
        <f t="shared" si="1"/>
        <v>ＪＦＥ条鋼:リバイブ</v>
      </c>
      <c r="F2396" s="338" t="s">
        <v>119</v>
      </c>
      <c r="G2396" s="339" t="str">
        <f t="shared" si="2"/>
        <v>ＪＦＥ条鋼:リバイブＨ３(1級)</v>
      </c>
      <c r="H2396" s="340">
        <f t="shared" si="3"/>
        <v>35</v>
      </c>
      <c r="I2396" s="341">
        <v>0.5</v>
      </c>
      <c r="J2396" s="332">
        <f>IFERROR(__xludf.DUMMYFUNCTION("IF(IF(COUNTIF(P$2:P2395, P2396)=0, """", INDEX(H$2:H2395,
MAX(FILTER(ROW(H$2:H2395) - ROW(H$2) + 1, P$2:P2395 = P2396))))=""単価"","""",
IF(COUNTIF(P$2:P2395, P2396)=0, """", INDEX(H$2:H2395,
MAX(FILTER(ROW(H$2:H2395) - ROW(H$2) + 1, P$2:P2395 = P2396)))))"),34.5)</f>
        <v>34.5</v>
      </c>
      <c r="N2396" s="335" t="str">
        <f>IF(MAXIFS('単価履歴'!$O:$O,'単価履歴'!$E:$E,E2396,'単価履歴'!$F:$F,F2396)=O2396,"●","")</f>
        <v/>
      </c>
      <c r="O2396" s="346">
        <v>45913.338900462964</v>
      </c>
      <c r="P2396" s="334" t="str">
        <f t="shared" si="4"/>
        <v>ＪＦＥ条鋼:リバイブＨ３(1級)</v>
      </c>
    </row>
    <row r="2397" ht="15.75" customHeight="1">
      <c r="A2397" s="335" t="s">
        <v>3549</v>
      </c>
      <c r="B2397" s="336">
        <v>45913.0</v>
      </c>
      <c r="C2397" s="335" t="s">
        <v>28</v>
      </c>
      <c r="D2397" s="335" t="s">
        <v>52</v>
      </c>
      <c r="E2397" s="337" t="str">
        <f t="shared" si="1"/>
        <v>ＪＦＥ条鋼:リバイブ</v>
      </c>
      <c r="F2397" s="338" t="s">
        <v>122</v>
      </c>
      <c r="G2397" s="339" t="str">
        <f t="shared" si="2"/>
        <v>ＪＦＥ条鋼:リバイブＬ１(2級)</v>
      </c>
      <c r="H2397" s="340">
        <f t="shared" si="3"/>
        <v>32</v>
      </c>
      <c r="I2397" s="341">
        <v>0.5</v>
      </c>
      <c r="J2397" s="332">
        <f>IFERROR(__xludf.DUMMYFUNCTION("IF(IF(COUNTIF(P$2:P2396, P2397)=0, """", INDEX(H$2:H2396,
MAX(FILTER(ROW(H$2:H2396) - ROW(H$2) + 1, P$2:P2396 = P2397))))=""単価"","""",
IF(COUNTIF(P$2:P2396, P2397)=0, """", INDEX(H$2:H2396,
MAX(FILTER(ROW(H$2:H2396) - ROW(H$2) + 1, P$2:P2396 = P2397)))))"),31.5)</f>
        <v>31.5</v>
      </c>
      <c r="N2397" s="335" t="str">
        <f>IF(MAXIFS('単価履歴'!$O:$O,'単価履歴'!$E:$E,E2397,'単価履歴'!$F:$F,F2397)=O2397,"●","")</f>
        <v/>
      </c>
      <c r="O2397" s="346">
        <v>45913.338900462964</v>
      </c>
      <c r="P2397" s="334" t="str">
        <f t="shared" si="4"/>
        <v>ＪＦＥ条鋼:リバイブＬ１(2級)</v>
      </c>
    </row>
    <row r="2398" ht="15.75" customHeight="1">
      <c r="A2398" s="335" t="s">
        <v>3550</v>
      </c>
      <c r="B2398" s="336">
        <v>45913.0</v>
      </c>
      <c r="C2398" s="335" t="s">
        <v>28</v>
      </c>
      <c r="D2398" s="335" t="s">
        <v>52</v>
      </c>
      <c r="E2398" s="337" t="str">
        <f t="shared" si="1"/>
        <v>ＪＦＥ条鋼:リバイブ</v>
      </c>
      <c r="F2398" s="338" t="s">
        <v>573</v>
      </c>
      <c r="G2398" s="339" t="str">
        <f t="shared" si="2"/>
        <v>ＪＦＥ条鋼:リバイブＬ２(H4･級外･L1ﾊﾞﾗ)</v>
      </c>
      <c r="H2398" s="340">
        <f t="shared" si="3"/>
        <v>27</v>
      </c>
      <c r="I2398" s="341">
        <v>0.5</v>
      </c>
      <c r="J2398" s="332">
        <f>IFERROR(__xludf.DUMMYFUNCTION("IF(IF(COUNTIF(P$2:P2397, P2398)=0, """", INDEX(H$2:H2397,
MAX(FILTER(ROW(H$2:H2397) - ROW(H$2) + 1, P$2:P2397 = P2398))))=""単価"","""",
IF(COUNTIF(P$2:P2397, P2398)=0, """", INDEX(H$2:H2397,
MAX(FILTER(ROW(H$2:H2397) - ROW(H$2) + 1, P$2:P2397 = P2398)))))"),26.5)</f>
        <v>26.5</v>
      </c>
      <c r="N2398" s="335" t="str">
        <f>IF(MAXIFS('単価履歴'!$O:$O,'単価履歴'!$E:$E,E2398,'単価履歴'!$F:$F,F2398)=O2398,"●","")</f>
        <v/>
      </c>
      <c r="O2398" s="346">
        <v>45913.338900462964</v>
      </c>
      <c r="P2398" s="334" t="str">
        <f t="shared" si="4"/>
        <v>ＪＦＥ条鋼:リバイブＬ２(H4･級外･L1ﾊﾞﾗ)</v>
      </c>
    </row>
    <row r="2399" ht="15.75" customHeight="1">
      <c r="A2399" s="335" t="s">
        <v>3551</v>
      </c>
      <c r="B2399" s="336">
        <v>45913.0</v>
      </c>
      <c r="C2399" s="335" t="s">
        <v>28</v>
      </c>
      <c r="D2399" s="335" t="s">
        <v>52</v>
      </c>
      <c r="E2399" s="337" t="str">
        <f t="shared" si="1"/>
        <v>ＪＦＥ条鋼:リバイブ</v>
      </c>
      <c r="F2399" s="338" t="s">
        <v>130</v>
      </c>
      <c r="G2399" s="339" t="str">
        <f t="shared" si="2"/>
        <v>ＪＦＥ条鋼:リバイブ新断Ａ</v>
      </c>
      <c r="H2399" s="340">
        <f t="shared" si="3"/>
        <v>41.5</v>
      </c>
      <c r="I2399" s="341">
        <v>0.5</v>
      </c>
      <c r="J2399" s="332">
        <f>IFERROR(__xludf.DUMMYFUNCTION("IF(IF(COUNTIF(P$2:P2398, P2399)=0, """", INDEX(H$2:H2398,
MAX(FILTER(ROW(H$2:H2398) - ROW(H$2) + 1, P$2:P2398 = P2399))))=""単価"","""",
IF(COUNTIF(P$2:P2398, P2399)=0, """", INDEX(H$2:H2398,
MAX(FILTER(ROW(H$2:H2398) - ROW(H$2) + 1, P$2:P2398 = P2399)))))"),41.0)</f>
        <v>41</v>
      </c>
      <c r="N2399" s="335" t="str">
        <f>IF(MAXIFS('単価履歴'!$O:$O,'単価履歴'!$E:$E,E2399,'単価履歴'!$F:$F,F2399)=O2399,"●","")</f>
        <v/>
      </c>
      <c r="O2399" s="346">
        <v>45913.338900462964</v>
      </c>
      <c r="P2399" s="334" t="str">
        <f t="shared" si="4"/>
        <v>ＪＦＥ条鋼:リバイブ新断Ａ</v>
      </c>
    </row>
    <row r="2400" ht="15.75" customHeight="1">
      <c r="A2400" s="335" t="s">
        <v>3552</v>
      </c>
      <c r="B2400" s="336">
        <v>45913.0</v>
      </c>
      <c r="C2400" s="335" t="s">
        <v>28</v>
      </c>
      <c r="D2400" s="335" t="s">
        <v>52</v>
      </c>
      <c r="E2400" s="337" t="str">
        <f t="shared" si="1"/>
        <v>ＪＦＥ条鋼:リバイブ</v>
      </c>
      <c r="F2400" s="338" t="s">
        <v>131</v>
      </c>
      <c r="G2400" s="339" t="str">
        <f t="shared" si="2"/>
        <v>ＪＦＥ条鋼:リバイブ新断Ｂ</v>
      </c>
      <c r="H2400" s="340">
        <f t="shared" si="3"/>
        <v>40.5</v>
      </c>
      <c r="I2400" s="341">
        <v>0.5</v>
      </c>
      <c r="J2400" s="332">
        <f>IFERROR(__xludf.DUMMYFUNCTION("IF(IF(COUNTIF(P$2:P2399, P2400)=0, """", INDEX(H$2:H2399,
MAX(FILTER(ROW(H$2:H2399) - ROW(H$2) + 1, P$2:P2399 = P2400))))=""単価"","""",
IF(COUNTIF(P$2:P2399, P2400)=0, """", INDEX(H$2:H2399,
MAX(FILTER(ROW(H$2:H2399) - ROW(H$2) + 1, P$2:P2399 = P2400)))))"),40.0)</f>
        <v>40</v>
      </c>
      <c r="N2400" s="335" t="str">
        <f>IF(MAXIFS('単価履歴'!$O:$O,'単価履歴'!$E:$E,E2400,'単価履歴'!$F:$F,F2400)=O2400,"●","")</f>
        <v/>
      </c>
      <c r="O2400" s="346">
        <v>45913.338900462964</v>
      </c>
      <c r="P2400" s="334" t="str">
        <f t="shared" si="4"/>
        <v>ＪＦＥ条鋼:リバイブ新断Ｂ</v>
      </c>
    </row>
    <row r="2401" ht="15.75" customHeight="1">
      <c r="A2401" s="335" t="s">
        <v>3553</v>
      </c>
      <c r="B2401" s="336">
        <v>45913.0</v>
      </c>
      <c r="C2401" s="335" t="s">
        <v>28</v>
      </c>
      <c r="D2401" s="335" t="s">
        <v>52</v>
      </c>
      <c r="E2401" s="337" t="str">
        <f t="shared" si="1"/>
        <v>ＪＦＥ条鋼:リバイブ</v>
      </c>
      <c r="F2401" s="338" t="s">
        <v>575</v>
      </c>
      <c r="G2401" s="339" t="str">
        <f t="shared" si="2"/>
        <v>ＪＦＥ条鋼:リバイブ鋼ダライＡ</v>
      </c>
      <c r="H2401" s="340">
        <f t="shared" si="3"/>
        <v>35.5</v>
      </c>
      <c r="I2401" s="341">
        <v>0.5</v>
      </c>
      <c r="J2401" s="332">
        <f>IFERROR(__xludf.DUMMYFUNCTION("IF(IF(COUNTIF(P$2:P2400, P2401)=0, """", INDEX(H$2:H2400,
MAX(FILTER(ROW(H$2:H2400) - ROW(H$2) + 1, P$2:P2400 = P2401))))=""単価"","""",
IF(COUNTIF(P$2:P2400, P2401)=0, """", INDEX(H$2:H2400,
MAX(FILTER(ROW(H$2:H2400) - ROW(H$2) + 1, P$2:P2400 = P2401)))))"),35.0)</f>
        <v>35</v>
      </c>
      <c r="N2401" s="335" t="str">
        <f>IF(MAXIFS('単価履歴'!$O:$O,'単価履歴'!$E:$E,E2401,'単価履歴'!$F:$F,F2401)=O2401,"●","")</f>
        <v/>
      </c>
      <c r="O2401" s="346">
        <v>45913.338900462964</v>
      </c>
      <c r="P2401" s="334" t="str">
        <f t="shared" si="4"/>
        <v>ＪＦＥ条鋼:リバイブ鋼ダライＡ</v>
      </c>
    </row>
    <row r="2402" ht="15.75" customHeight="1">
      <c r="A2402" s="335" t="s">
        <v>3554</v>
      </c>
      <c r="B2402" s="336">
        <v>45913.0</v>
      </c>
      <c r="C2402" s="335" t="s">
        <v>28</v>
      </c>
      <c r="D2402" s="335" t="s">
        <v>52</v>
      </c>
      <c r="E2402" s="337" t="str">
        <f t="shared" si="1"/>
        <v>ＪＦＥ条鋼:リバイブ</v>
      </c>
      <c r="F2402" s="338" t="s">
        <v>154</v>
      </c>
      <c r="G2402" s="339" t="str">
        <f t="shared" si="2"/>
        <v>ＪＦＥ条鋼:リバイブＣＰ Ａ</v>
      </c>
      <c r="H2402" s="340">
        <f t="shared" si="3"/>
        <v>42</v>
      </c>
      <c r="I2402" s="341">
        <v>0.5</v>
      </c>
      <c r="J2402" s="332">
        <f>IFERROR(__xludf.DUMMYFUNCTION("IF(IF(COUNTIF(P$2:P2401, P2402)=0, """", INDEX(H$2:H2401,
MAX(FILTER(ROW(H$2:H2401) - ROW(H$2) + 1, P$2:P2401 = P2402))))=""単価"","""",
IF(COUNTIF(P$2:P2401, P2402)=0, """", INDEX(H$2:H2401,
MAX(FILTER(ROW(H$2:H2401) - ROW(H$2) + 1, P$2:P2401 = P2402)))))"),41.5)</f>
        <v>41.5</v>
      </c>
      <c r="N2402" s="335" t="str">
        <f>IF(MAXIFS('単価履歴'!$O:$O,'単価履歴'!$E:$E,E2402,'単価履歴'!$F:$F,F2402)=O2402,"●","")</f>
        <v/>
      </c>
      <c r="O2402" s="346">
        <v>45913.338900462964</v>
      </c>
      <c r="P2402" s="334" t="str">
        <f t="shared" si="4"/>
        <v>ＪＦＥ条鋼:リバイブＣＰ Ａ</v>
      </c>
    </row>
    <row r="2403" ht="15.75" customHeight="1">
      <c r="A2403" s="335" t="s">
        <v>3555</v>
      </c>
      <c r="B2403" s="336">
        <v>45920.0</v>
      </c>
      <c r="C2403" s="335" t="s">
        <v>531</v>
      </c>
      <c r="D2403" s="335" t="s">
        <v>77</v>
      </c>
      <c r="E2403" s="337" t="str">
        <f t="shared" si="1"/>
        <v>東鐵関西:直納</v>
      </c>
      <c r="F2403" s="338" t="s">
        <v>1199</v>
      </c>
      <c r="G2403" s="339" t="str">
        <f t="shared" si="2"/>
        <v>東鐵関西:直納ＨＳ１(単体H1/電特A/HS))</v>
      </c>
      <c r="H2403" s="340">
        <f t="shared" si="3"/>
        <v>42</v>
      </c>
      <c r="I2403" s="341">
        <v>0.5</v>
      </c>
      <c r="J2403" s="332">
        <f>IFERROR(__xludf.DUMMYFUNCTION("IF(IF(COUNTIF(P$2:P2402, P2403)=0, """", INDEX(H$2:H2402,
MAX(FILTER(ROW(H$2:H2402) - ROW(H$2) + 1, P$2:P2402 = P2403))))=""単価"","""",
IF(COUNTIF(P$2:P2402, P2403)=0, """", INDEX(H$2:H2402,
MAX(FILTER(ROW(H$2:H2402) - ROW(H$2) + 1, P$2:P2402 = P2403)))))"),41.5)</f>
        <v>41.5</v>
      </c>
      <c r="N2403" s="335" t="str">
        <f>IF(MAXIFS('単価履歴'!$O:$O,'単価履歴'!$E:$E,E2403,'単価履歴'!$F:$F,F2403)=O2403,"●","")</f>
        <v/>
      </c>
      <c r="O2403" s="346">
        <v>45920.267060185186</v>
      </c>
      <c r="P2403" s="334" t="str">
        <f t="shared" si="4"/>
        <v>東鐵関西:直納ＨＳ１(単体H1/電特A/HS))</v>
      </c>
    </row>
    <row r="2404" ht="15.75" customHeight="1">
      <c r="A2404" s="335" t="s">
        <v>3556</v>
      </c>
      <c r="B2404" s="336">
        <v>45920.0</v>
      </c>
      <c r="C2404" s="335" t="s">
        <v>531</v>
      </c>
      <c r="D2404" s="335" t="s">
        <v>77</v>
      </c>
      <c r="E2404" s="337" t="str">
        <f t="shared" si="1"/>
        <v>東鐵関西:直納</v>
      </c>
      <c r="F2404" s="338" t="s">
        <v>122</v>
      </c>
      <c r="G2404" s="339" t="str">
        <f t="shared" si="2"/>
        <v>東鐵関西:直納Ｌ１(2級)</v>
      </c>
      <c r="H2404" s="340">
        <f t="shared" si="3"/>
        <v>37.5</v>
      </c>
      <c r="I2404" s="341">
        <v>0.5</v>
      </c>
      <c r="J2404" s="332">
        <f>IFERROR(__xludf.DUMMYFUNCTION("IF(IF(COUNTIF(P$2:P2403, P2404)=0, """", INDEX(H$2:H2403,
MAX(FILTER(ROW(H$2:H2403) - ROW(H$2) + 1, P$2:P2403 = P2404))))=""単価"","""",
IF(COUNTIF(P$2:P2403, P2404)=0, """", INDEX(H$2:H2403,
MAX(FILTER(ROW(H$2:H2403) - ROW(H$2) + 1, P$2:P2403 = P2404)))))"),37.0)</f>
        <v>37</v>
      </c>
      <c r="N2404" s="335" t="str">
        <f>IF(MAXIFS('単価履歴'!$O:$O,'単価履歴'!$E:$E,E2404,'単価履歴'!$F:$F,F2404)=O2404,"●","")</f>
        <v/>
      </c>
      <c r="O2404" s="346">
        <v>45920.267060185186</v>
      </c>
      <c r="P2404" s="334" t="str">
        <f t="shared" si="4"/>
        <v>東鐵関西:直納Ｌ１(2級)</v>
      </c>
    </row>
    <row r="2405" ht="15.75" customHeight="1">
      <c r="A2405" s="335" t="s">
        <v>3557</v>
      </c>
      <c r="B2405" s="336">
        <v>45920.0</v>
      </c>
      <c r="C2405" s="335" t="s">
        <v>531</v>
      </c>
      <c r="D2405" s="335" t="s">
        <v>77</v>
      </c>
      <c r="E2405" s="337" t="str">
        <f t="shared" si="1"/>
        <v>東鐵関西:直納</v>
      </c>
      <c r="F2405" s="338" t="s">
        <v>111</v>
      </c>
      <c r="G2405" s="339" t="str">
        <f t="shared" si="2"/>
        <v>東鐵関西:直納Ｈ１(特A)</v>
      </c>
      <c r="H2405" s="340">
        <f t="shared" si="3"/>
        <v>41.5</v>
      </c>
      <c r="I2405" s="341">
        <v>0.5</v>
      </c>
      <c r="J2405" s="332">
        <f>IFERROR(__xludf.DUMMYFUNCTION("IF(IF(COUNTIF(P$2:P2404, P2405)=0, """", INDEX(H$2:H2404,
MAX(FILTER(ROW(H$2:H2404) - ROW(H$2) + 1, P$2:P2404 = P2405))))=""単価"","""",
IF(COUNTIF(P$2:P2404, P2405)=0, """", INDEX(H$2:H2404,
MAX(FILTER(ROW(H$2:H2404) - ROW(H$2) + 1, P$2:P2404 = P2405)))))"),41.0)</f>
        <v>41</v>
      </c>
      <c r="N2405" s="335" t="str">
        <f>IF(MAXIFS('単価履歴'!$O:$O,'単価履歴'!$E:$E,E2405,'単価履歴'!$F:$F,F2405)=O2405,"●","")</f>
        <v/>
      </c>
      <c r="O2405" s="346">
        <v>45920.267060185186</v>
      </c>
      <c r="P2405" s="334" t="str">
        <f t="shared" si="4"/>
        <v>東鐵関西:直納Ｈ１(特A)</v>
      </c>
    </row>
    <row r="2406" ht="15.75" customHeight="1">
      <c r="A2406" s="335" t="s">
        <v>3558</v>
      </c>
      <c r="B2406" s="336">
        <v>45920.0</v>
      </c>
      <c r="C2406" s="335" t="s">
        <v>531</v>
      </c>
      <c r="D2406" s="335" t="s">
        <v>77</v>
      </c>
      <c r="E2406" s="337" t="str">
        <f t="shared" si="1"/>
        <v>東鐵関西:直納</v>
      </c>
      <c r="F2406" s="338" t="s">
        <v>573</v>
      </c>
      <c r="G2406" s="339" t="str">
        <f t="shared" si="2"/>
        <v>東鐵関西:直納Ｌ２(H4･級外･L1ﾊﾞﾗ)</v>
      </c>
      <c r="H2406" s="340">
        <f t="shared" si="3"/>
        <v>34.5</v>
      </c>
      <c r="I2406" s="341">
        <v>0.5</v>
      </c>
      <c r="J2406" s="332">
        <f>IFERROR(__xludf.DUMMYFUNCTION("IF(IF(COUNTIF(P$2:P2405, P2406)=0, """", INDEX(H$2:H2405,
MAX(FILTER(ROW(H$2:H2405) - ROW(H$2) + 1, P$2:P2405 = P2406))))=""単価"","""",
IF(COUNTIF(P$2:P2405, P2406)=0, """", INDEX(H$2:H2405,
MAX(FILTER(ROW(H$2:H2405) - ROW(H$2) + 1, P$2:P2405 = P2406)))))"),34.0)</f>
        <v>34</v>
      </c>
      <c r="N2406" s="335" t="str">
        <f>IF(MAXIFS('単価履歴'!$O:$O,'単価履歴'!$E:$E,E2406,'単価履歴'!$F:$F,F2406)=O2406,"●","")</f>
        <v/>
      </c>
      <c r="O2406" s="346">
        <v>45920.267060185186</v>
      </c>
      <c r="P2406" s="334" t="str">
        <f t="shared" si="4"/>
        <v>東鐵関西:直納Ｌ２(H4･級外･L1ﾊﾞﾗ)</v>
      </c>
    </row>
    <row r="2407" ht="15.75" customHeight="1">
      <c r="A2407" s="335" t="s">
        <v>3559</v>
      </c>
      <c r="B2407" s="336">
        <v>45920.0</v>
      </c>
      <c r="C2407" s="335" t="s">
        <v>531</v>
      </c>
      <c r="D2407" s="335" t="s">
        <v>77</v>
      </c>
      <c r="E2407" s="337" t="str">
        <f t="shared" si="1"/>
        <v>東鐵関西:直納</v>
      </c>
      <c r="F2407" s="338" t="s">
        <v>116</v>
      </c>
      <c r="G2407" s="339" t="str">
        <f t="shared" si="2"/>
        <v>東鐵関西:直納Ｈ２(特級)</v>
      </c>
      <c r="H2407" s="340">
        <f t="shared" si="3"/>
        <v>39.5</v>
      </c>
      <c r="I2407" s="341">
        <v>0.5</v>
      </c>
      <c r="J2407" s="332">
        <f>IFERROR(__xludf.DUMMYFUNCTION("IF(IF(COUNTIF(P$2:P2406, P2407)=0, """", INDEX(H$2:H2406,
MAX(FILTER(ROW(H$2:H2406) - ROW(H$2) + 1, P$2:P2406 = P2407))))=""単価"","""",
IF(COUNTIF(P$2:P2406, P2407)=0, """", INDEX(H$2:H2406,
MAX(FILTER(ROW(H$2:H2406) - ROW(H$2) + 1, P$2:P2406 = P2407)))))"),39.0)</f>
        <v>39</v>
      </c>
      <c r="N2407" s="335" t="str">
        <f>IF(MAXIFS('単価履歴'!$O:$O,'単価履歴'!$E:$E,E2407,'単価履歴'!$F:$F,F2407)=O2407,"●","")</f>
        <v/>
      </c>
      <c r="O2407" s="346">
        <v>45920.267060185186</v>
      </c>
      <c r="P2407" s="334" t="str">
        <f t="shared" si="4"/>
        <v>東鐵関西:直納Ｈ２(特級)</v>
      </c>
    </row>
    <row r="2408" ht="15.75" customHeight="1">
      <c r="A2408" s="335" t="s">
        <v>3560</v>
      </c>
      <c r="B2408" s="336">
        <v>45920.0</v>
      </c>
      <c r="C2408" s="335" t="s">
        <v>531</v>
      </c>
      <c r="D2408" s="335" t="s">
        <v>77</v>
      </c>
      <c r="E2408" s="337" t="str">
        <f t="shared" si="1"/>
        <v>東鐵関西:直納</v>
      </c>
      <c r="F2408" s="338" t="s">
        <v>145</v>
      </c>
      <c r="G2408" s="339" t="str">
        <f t="shared" si="2"/>
        <v>東鐵関西:直納シュレＡ</v>
      </c>
      <c r="H2408" s="340">
        <f t="shared" si="3"/>
        <v>41.5</v>
      </c>
      <c r="I2408" s="341">
        <v>0.5</v>
      </c>
      <c r="J2408" s="332">
        <f>IFERROR(__xludf.DUMMYFUNCTION("IF(IF(COUNTIF(P$2:P2407, P2408)=0, """", INDEX(H$2:H2407,
MAX(FILTER(ROW(H$2:H2407) - ROW(H$2) + 1, P$2:P2407 = P2408))))=""単価"","""",
IF(COUNTIF(P$2:P2407, P2408)=0, """", INDEX(H$2:H2407,
MAX(FILTER(ROW(H$2:H2407) - ROW(H$2) + 1, P$2:P2407 = P2408)))))"),41.0)</f>
        <v>41</v>
      </c>
      <c r="N2408" s="335" t="str">
        <f>IF(MAXIFS('単価履歴'!$O:$O,'単価履歴'!$E:$E,E2408,'単価履歴'!$F:$F,F2408)=O2408,"●","")</f>
        <v/>
      </c>
      <c r="O2408" s="346">
        <v>45920.267060185186</v>
      </c>
      <c r="P2408" s="334" t="str">
        <f t="shared" si="4"/>
        <v>東鐵関西:直納シュレＡ</v>
      </c>
    </row>
    <row r="2409" ht="15.75" customHeight="1">
      <c r="A2409" s="335" t="s">
        <v>3561</v>
      </c>
      <c r="B2409" s="336">
        <v>45920.0</v>
      </c>
      <c r="C2409" s="335" t="s">
        <v>531</v>
      </c>
      <c r="D2409" s="335" t="s">
        <v>77</v>
      </c>
      <c r="E2409" s="337" t="str">
        <f t="shared" si="1"/>
        <v>東鐵関西:直納</v>
      </c>
      <c r="F2409" s="338" t="s">
        <v>119</v>
      </c>
      <c r="G2409" s="339" t="str">
        <f t="shared" si="2"/>
        <v>東鐵関西:直納Ｈ３(1級)</v>
      </c>
      <c r="H2409" s="340">
        <f t="shared" si="3"/>
        <v>39.5</v>
      </c>
      <c r="I2409" s="341">
        <v>0.5</v>
      </c>
      <c r="J2409" s="332">
        <f>IFERROR(__xludf.DUMMYFUNCTION("IF(IF(COUNTIF(P$2:P2408, P2409)=0, """", INDEX(H$2:H2408,
MAX(FILTER(ROW(H$2:H2408) - ROW(H$2) + 1, P$2:P2408 = P2409))))=""単価"","""",
IF(COUNTIF(P$2:P2408, P2409)=0, """", INDEX(H$2:H2408,
MAX(FILTER(ROW(H$2:H2408) - ROW(H$2) + 1, P$2:P2408 = P2409)))))"),39.0)</f>
        <v>39</v>
      </c>
      <c r="N2409" s="335" t="str">
        <f>IF(MAXIFS('単価履歴'!$O:$O,'単価履歴'!$E:$E,E2409,'単価履歴'!$F:$F,F2409)=O2409,"●","")</f>
        <v/>
      </c>
      <c r="O2409" s="346">
        <v>45920.267060185186</v>
      </c>
      <c r="P2409" s="334" t="str">
        <f t="shared" si="4"/>
        <v>東鐵関西:直納Ｈ３(1級)</v>
      </c>
    </row>
    <row r="2410" ht="15.75" customHeight="1">
      <c r="A2410" s="335" t="s">
        <v>3562</v>
      </c>
      <c r="B2410" s="336">
        <v>45920.0</v>
      </c>
      <c r="C2410" s="335" t="s">
        <v>531</v>
      </c>
      <c r="D2410" s="335" t="s">
        <v>77</v>
      </c>
      <c r="E2410" s="337" t="str">
        <f t="shared" si="1"/>
        <v>東鐵関西:直納</v>
      </c>
      <c r="F2410" s="338" t="s">
        <v>151</v>
      </c>
      <c r="G2410" s="339" t="str">
        <f t="shared" si="2"/>
        <v>東鐵関西:直納シュレＣ</v>
      </c>
      <c r="H2410" s="340">
        <f t="shared" si="3"/>
        <v>40.5</v>
      </c>
      <c r="I2410" s="341">
        <v>0.5</v>
      </c>
      <c r="J2410" s="332">
        <f>IFERROR(__xludf.DUMMYFUNCTION("IF(IF(COUNTIF(P$2:P2409, P2410)=0, """", INDEX(H$2:H2409,
MAX(FILTER(ROW(H$2:H2409) - ROW(H$2) + 1, P$2:P2409 = P2410))))=""単価"","""",
IF(COUNTIF(P$2:P2409, P2410)=0, """", INDEX(H$2:H2409,
MAX(FILTER(ROW(H$2:H2409) - ROW(H$2) + 1, P$2:P2409 = P2410)))))"),40.0)</f>
        <v>40</v>
      </c>
      <c r="N2410" s="335" t="str">
        <f>IF(MAXIFS('単価履歴'!$O:$O,'単価履歴'!$E:$E,E2410,'単価履歴'!$F:$F,F2410)=O2410,"●","")</f>
        <v/>
      </c>
      <c r="O2410" s="346">
        <v>45920.267060185186</v>
      </c>
      <c r="P2410" s="334" t="str">
        <f t="shared" si="4"/>
        <v>東鐵関西:直納シュレＣ</v>
      </c>
    </row>
    <row r="2411" ht="15.75" customHeight="1">
      <c r="A2411" s="335" t="s">
        <v>3563</v>
      </c>
      <c r="B2411" s="336">
        <v>45920.0</v>
      </c>
      <c r="C2411" s="335" t="s">
        <v>532</v>
      </c>
      <c r="D2411" s="335" t="s">
        <v>77</v>
      </c>
      <c r="E2411" s="337" t="str">
        <f t="shared" si="1"/>
        <v>東鐵岡山:直納</v>
      </c>
      <c r="F2411" s="338" t="s">
        <v>119</v>
      </c>
      <c r="G2411" s="339" t="str">
        <f t="shared" si="2"/>
        <v>東鐵岡山:直納Ｈ３(1級)</v>
      </c>
      <c r="H2411" s="340">
        <f t="shared" si="3"/>
        <v>39.5</v>
      </c>
      <c r="I2411" s="341">
        <v>0.5</v>
      </c>
      <c r="J2411" s="332">
        <f>IFERROR(__xludf.DUMMYFUNCTION("IF(IF(COUNTIF(P$2:P2410, P2411)=0, """", INDEX(H$2:H2410,
MAX(FILTER(ROW(H$2:H2410) - ROW(H$2) + 1, P$2:P2410 = P2411))))=""単価"","""",
IF(COUNTIF(P$2:P2410, P2411)=0, """", INDEX(H$2:H2410,
MAX(FILTER(ROW(H$2:H2410) - ROW(H$2) + 1, P$2:P2410 = P2411)))))"),39.0)</f>
        <v>39</v>
      </c>
      <c r="N2411" s="335" t="str">
        <f>IF(MAXIFS('単価履歴'!$O:$O,'単価履歴'!$E:$E,E2411,'単価履歴'!$F:$F,F2411)=O2411,"●","")</f>
        <v/>
      </c>
      <c r="O2411" s="346">
        <v>45920.26732638889</v>
      </c>
      <c r="P2411" s="334" t="str">
        <f t="shared" si="4"/>
        <v>東鐵岡山:直納Ｈ３(1級)</v>
      </c>
    </row>
    <row r="2412" ht="15.75" customHeight="1">
      <c r="A2412" s="335" t="s">
        <v>3564</v>
      </c>
      <c r="B2412" s="336">
        <v>45920.0</v>
      </c>
      <c r="C2412" s="335" t="s">
        <v>532</v>
      </c>
      <c r="D2412" s="335" t="s">
        <v>77</v>
      </c>
      <c r="E2412" s="337" t="str">
        <f t="shared" si="1"/>
        <v>東鐵岡山:直納</v>
      </c>
      <c r="F2412" s="338" t="s">
        <v>145</v>
      </c>
      <c r="G2412" s="339" t="str">
        <f t="shared" si="2"/>
        <v>東鐵岡山:直納シュレＡ</v>
      </c>
      <c r="H2412" s="340">
        <f t="shared" si="3"/>
        <v>40.5</v>
      </c>
      <c r="I2412" s="341">
        <v>0.5</v>
      </c>
      <c r="J2412" s="332">
        <f>IFERROR(__xludf.DUMMYFUNCTION("IF(IF(COUNTIF(P$2:P2411, P2412)=0, """", INDEX(H$2:H2411,
MAX(FILTER(ROW(H$2:H2411) - ROW(H$2) + 1, P$2:P2411 = P2412))))=""単価"","""",
IF(COUNTIF(P$2:P2411, P2412)=0, """", INDEX(H$2:H2411,
MAX(FILTER(ROW(H$2:H2411) - ROW(H$2) + 1, P$2:P2411 = P2412)))))"),40.0)</f>
        <v>40</v>
      </c>
      <c r="N2412" s="335" t="str">
        <f>IF(MAXIFS('単価履歴'!$O:$O,'単価履歴'!$E:$E,E2412,'単価履歴'!$F:$F,F2412)=O2412,"●","")</f>
        <v/>
      </c>
      <c r="O2412" s="346">
        <v>45920.26732638889</v>
      </c>
      <c r="P2412" s="334" t="str">
        <f t="shared" si="4"/>
        <v>東鐵岡山:直納シュレＡ</v>
      </c>
    </row>
    <row r="2413" ht="15.75" customHeight="1">
      <c r="A2413" s="335" t="s">
        <v>3565</v>
      </c>
      <c r="B2413" s="336">
        <v>45920.0</v>
      </c>
      <c r="C2413" s="335" t="s">
        <v>532</v>
      </c>
      <c r="D2413" s="335" t="s">
        <v>77</v>
      </c>
      <c r="E2413" s="337" t="str">
        <f t="shared" si="1"/>
        <v>東鐵岡山:直納</v>
      </c>
      <c r="F2413" s="338" t="s">
        <v>575</v>
      </c>
      <c r="G2413" s="339" t="str">
        <f t="shared" si="2"/>
        <v>東鐵岡山:直納鋼ダライＡ</v>
      </c>
      <c r="H2413" s="340">
        <f t="shared" si="3"/>
        <v>36</v>
      </c>
      <c r="I2413" s="341">
        <v>0.5</v>
      </c>
      <c r="J2413" s="332">
        <f>IFERROR(__xludf.DUMMYFUNCTION("IF(IF(COUNTIF(P$2:P2412, P2413)=0, """", INDEX(H$2:H2412,
MAX(FILTER(ROW(H$2:H2412) - ROW(H$2) + 1, P$2:P2412 = P2413))))=""単価"","""",
IF(COUNTIF(P$2:P2412, P2413)=0, """", INDEX(H$2:H2412,
MAX(FILTER(ROW(H$2:H2412) - ROW(H$2) + 1, P$2:P2412 = P2413)))))"),35.5)</f>
        <v>35.5</v>
      </c>
      <c r="N2413" s="335" t="str">
        <f>IF(MAXIFS('単価履歴'!$O:$O,'単価履歴'!$E:$E,E2413,'単価履歴'!$F:$F,F2413)=O2413,"●","")</f>
        <v/>
      </c>
      <c r="O2413" s="346">
        <v>45920.26732638889</v>
      </c>
      <c r="P2413" s="334" t="str">
        <f t="shared" si="4"/>
        <v>東鐵岡山:直納鋼ダライＡ</v>
      </c>
    </row>
    <row r="2414" ht="15.75" customHeight="1">
      <c r="A2414" s="335" t="s">
        <v>3566</v>
      </c>
      <c r="B2414" s="336">
        <v>45920.0</v>
      </c>
      <c r="C2414" s="335" t="s">
        <v>532</v>
      </c>
      <c r="D2414" s="335" t="s">
        <v>77</v>
      </c>
      <c r="E2414" s="337" t="str">
        <f t="shared" si="1"/>
        <v>東鐵岡山:直納</v>
      </c>
      <c r="F2414" s="338" t="s">
        <v>1199</v>
      </c>
      <c r="G2414" s="339" t="str">
        <f t="shared" si="2"/>
        <v>東鐵岡山:直納ＨＳ１(単体H1/電特A/HS))</v>
      </c>
      <c r="H2414" s="340">
        <f t="shared" si="3"/>
        <v>42</v>
      </c>
      <c r="I2414" s="341">
        <v>0.5</v>
      </c>
      <c r="J2414" s="332">
        <f>IFERROR(__xludf.DUMMYFUNCTION("IF(IF(COUNTIF(P$2:P2413, P2414)=0, """", INDEX(H$2:H2413,
MAX(FILTER(ROW(H$2:H2413) - ROW(H$2) + 1, P$2:P2413 = P2414))))=""単価"","""",
IF(COUNTIF(P$2:P2413, P2414)=0, """", INDEX(H$2:H2413,
MAX(FILTER(ROW(H$2:H2413) - ROW(H$2) + 1, P$2:P2413 = P2414)))))"),41.5)</f>
        <v>41.5</v>
      </c>
      <c r="N2414" s="335" t="str">
        <f>IF(MAXIFS('単価履歴'!$O:$O,'単価履歴'!$E:$E,E2414,'単価履歴'!$F:$F,F2414)=O2414,"●","")</f>
        <v/>
      </c>
      <c r="O2414" s="346">
        <v>45920.26732638889</v>
      </c>
      <c r="P2414" s="334" t="str">
        <f t="shared" si="4"/>
        <v>東鐵岡山:直納ＨＳ１(単体H1/電特A/HS))</v>
      </c>
    </row>
    <row r="2415" ht="15.75" customHeight="1">
      <c r="A2415" s="335" t="s">
        <v>3567</v>
      </c>
      <c r="B2415" s="336">
        <v>45920.0</v>
      </c>
      <c r="C2415" s="335" t="s">
        <v>532</v>
      </c>
      <c r="D2415" s="335" t="s">
        <v>77</v>
      </c>
      <c r="E2415" s="337" t="str">
        <f t="shared" si="1"/>
        <v>東鐵岡山:直納</v>
      </c>
      <c r="F2415" s="338" t="s">
        <v>122</v>
      </c>
      <c r="G2415" s="339" t="str">
        <f t="shared" si="2"/>
        <v>東鐵岡山:直納Ｌ１(2級)</v>
      </c>
      <c r="H2415" s="340">
        <f t="shared" si="3"/>
        <v>38</v>
      </c>
      <c r="I2415" s="341">
        <v>0.5</v>
      </c>
      <c r="J2415" s="332">
        <f>IFERROR(__xludf.DUMMYFUNCTION("IF(IF(COUNTIF(P$2:P2414, P2415)=0, """", INDEX(H$2:H2414,
MAX(FILTER(ROW(H$2:H2414) - ROW(H$2) + 1, P$2:P2414 = P2415))))=""単価"","""",
IF(COUNTIF(P$2:P2414, P2415)=0, """", INDEX(H$2:H2414,
MAX(FILTER(ROW(H$2:H2414) - ROW(H$2) + 1, P$2:P2414 = P2415)))))"),37.5)</f>
        <v>37.5</v>
      </c>
      <c r="N2415" s="335" t="str">
        <f>IF(MAXIFS('単価履歴'!$O:$O,'単価履歴'!$E:$E,E2415,'単価履歴'!$F:$F,F2415)=O2415,"●","")</f>
        <v/>
      </c>
      <c r="O2415" s="346">
        <v>45920.26732638889</v>
      </c>
      <c r="P2415" s="334" t="str">
        <f t="shared" si="4"/>
        <v>東鐵岡山:直納Ｌ１(2級)</v>
      </c>
    </row>
    <row r="2416" ht="15.75" customHeight="1">
      <c r="A2416" s="335" t="s">
        <v>3568</v>
      </c>
      <c r="B2416" s="336">
        <v>45920.0</v>
      </c>
      <c r="C2416" s="335" t="s">
        <v>532</v>
      </c>
      <c r="D2416" s="335" t="s">
        <v>77</v>
      </c>
      <c r="E2416" s="337" t="str">
        <f t="shared" si="1"/>
        <v>東鐵岡山:直納</v>
      </c>
      <c r="F2416" s="338" t="s">
        <v>151</v>
      </c>
      <c r="G2416" s="339" t="str">
        <f t="shared" si="2"/>
        <v>東鐵岡山:直納シュレＣ</v>
      </c>
      <c r="H2416" s="340">
        <f t="shared" si="3"/>
        <v>40</v>
      </c>
      <c r="I2416" s="341">
        <v>0.5</v>
      </c>
      <c r="J2416" s="332">
        <f>IFERROR(__xludf.DUMMYFUNCTION("IF(IF(COUNTIF(P$2:P2415, P2416)=0, """", INDEX(H$2:H2415,
MAX(FILTER(ROW(H$2:H2415) - ROW(H$2) + 1, P$2:P2415 = P2416))))=""単価"","""",
IF(COUNTIF(P$2:P2415, P2416)=0, """", INDEX(H$2:H2415,
MAX(FILTER(ROW(H$2:H2415) - ROW(H$2) + 1, P$2:P2415 = P2416)))))"),39.5)</f>
        <v>39.5</v>
      </c>
      <c r="N2416" s="335" t="str">
        <f>IF(MAXIFS('単価履歴'!$O:$O,'単価履歴'!$E:$E,E2416,'単価履歴'!$F:$F,F2416)=O2416,"●","")</f>
        <v/>
      </c>
      <c r="O2416" s="346">
        <v>45920.26732638889</v>
      </c>
      <c r="P2416" s="334" t="str">
        <f t="shared" si="4"/>
        <v>東鐵岡山:直納シュレＣ</v>
      </c>
    </row>
    <row r="2417" ht="15.75" customHeight="1">
      <c r="A2417" s="335" t="s">
        <v>3569</v>
      </c>
      <c r="B2417" s="336">
        <v>45920.0</v>
      </c>
      <c r="C2417" s="335" t="s">
        <v>532</v>
      </c>
      <c r="D2417" s="335" t="s">
        <v>77</v>
      </c>
      <c r="E2417" s="337" t="str">
        <f t="shared" si="1"/>
        <v>東鐵岡山:直納</v>
      </c>
      <c r="F2417" s="338" t="s">
        <v>25</v>
      </c>
      <c r="G2417" s="339" t="str">
        <f t="shared" si="2"/>
        <v>東鐵岡山:直納銑ダライ</v>
      </c>
      <c r="H2417" s="340">
        <f t="shared" si="3"/>
        <v>32.5</v>
      </c>
      <c r="I2417" s="341">
        <v>0.5</v>
      </c>
      <c r="J2417" s="332">
        <f>IFERROR(__xludf.DUMMYFUNCTION("IF(IF(COUNTIF(P$2:P2416, P2417)=0, """", INDEX(H$2:H2416,
MAX(FILTER(ROW(H$2:H2416) - ROW(H$2) + 1, P$2:P2416 = P2417))))=""単価"","""",
IF(COUNTIF(P$2:P2416, P2417)=0, """", INDEX(H$2:H2416,
MAX(FILTER(ROW(H$2:H2416) - ROW(H$2) + 1, P$2:P2416 = P2417)))))"),32.0)</f>
        <v>32</v>
      </c>
      <c r="N2417" s="335" t="str">
        <f>IF(MAXIFS('単価履歴'!$O:$O,'単価履歴'!$E:$E,E2417,'単価履歴'!$F:$F,F2417)=O2417,"●","")</f>
        <v/>
      </c>
      <c r="O2417" s="346">
        <v>45920.26732638889</v>
      </c>
      <c r="P2417" s="334" t="str">
        <f t="shared" si="4"/>
        <v>東鐵岡山:直納銑ダライ</v>
      </c>
    </row>
    <row r="2418" ht="15.75" customHeight="1">
      <c r="A2418" s="335" t="s">
        <v>3570</v>
      </c>
      <c r="B2418" s="336">
        <v>45920.0</v>
      </c>
      <c r="C2418" s="335" t="s">
        <v>532</v>
      </c>
      <c r="D2418" s="335" t="s">
        <v>77</v>
      </c>
      <c r="E2418" s="337" t="str">
        <f t="shared" si="1"/>
        <v>東鐵岡山:直納</v>
      </c>
      <c r="F2418" s="338" t="s">
        <v>111</v>
      </c>
      <c r="G2418" s="339" t="str">
        <f t="shared" si="2"/>
        <v>東鐵岡山:直納Ｈ１(特A)</v>
      </c>
      <c r="H2418" s="340">
        <f t="shared" si="3"/>
        <v>40.7</v>
      </c>
      <c r="I2418" s="341">
        <v>0.5</v>
      </c>
      <c r="J2418" s="332">
        <f>IFERROR(__xludf.DUMMYFUNCTION("IF(IF(COUNTIF(P$2:P2417, P2418)=0, """", INDEX(H$2:H2417,
MAX(FILTER(ROW(H$2:H2417) - ROW(H$2) + 1, P$2:P2417 = P2418))))=""単価"","""",
IF(COUNTIF(P$2:P2417, P2418)=0, """", INDEX(H$2:H2417,
MAX(FILTER(ROW(H$2:H2417) - ROW(H$2) + 1, P$2:P2417 = P2418)))))"),40.2)</f>
        <v>40.2</v>
      </c>
      <c r="N2418" s="335" t="str">
        <f>IF(MAXIFS('単価履歴'!$O:$O,'単価履歴'!$E:$E,E2418,'単価履歴'!$F:$F,F2418)=O2418,"●","")</f>
        <v/>
      </c>
      <c r="O2418" s="346">
        <v>45920.26732638889</v>
      </c>
      <c r="P2418" s="334" t="str">
        <f t="shared" si="4"/>
        <v>東鐵岡山:直納Ｈ１(特A)</v>
      </c>
    </row>
    <row r="2419" ht="15.75" customHeight="1">
      <c r="A2419" s="335" t="s">
        <v>3571</v>
      </c>
      <c r="B2419" s="336">
        <v>45920.0</v>
      </c>
      <c r="C2419" s="335" t="s">
        <v>532</v>
      </c>
      <c r="D2419" s="335" t="s">
        <v>77</v>
      </c>
      <c r="E2419" s="337" t="str">
        <f t="shared" si="1"/>
        <v>東鐵岡山:直納</v>
      </c>
      <c r="F2419" s="338" t="s">
        <v>573</v>
      </c>
      <c r="G2419" s="339" t="str">
        <f t="shared" si="2"/>
        <v>東鐵岡山:直納Ｌ２(H4･級外･L1ﾊﾞﾗ)</v>
      </c>
      <c r="H2419" s="340">
        <f t="shared" si="3"/>
        <v>35</v>
      </c>
      <c r="I2419" s="341">
        <v>0.5</v>
      </c>
      <c r="J2419" s="332">
        <f>IFERROR(__xludf.DUMMYFUNCTION("IF(IF(COUNTIF(P$2:P2418, P2419)=0, """", INDEX(H$2:H2418,
MAX(FILTER(ROW(H$2:H2418) - ROW(H$2) + 1, P$2:P2418 = P2419))))=""単価"","""",
IF(COUNTIF(P$2:P2418, P2419)=0, """", INDEX(H$2:H2418,
MAX(FILTER(ROW(H$2:H2418) - ROW(H$2) + 1, P$2:P2418 = P2419)))))"),34.5)</f>
        <v>34.5</v>
      </c>
      <c r="N2419" s="335" t="str">
        <f>IF(MAXIFS('単価履歴'!$O:$O,'単価履歴'!$E:$E,E2419,'単価履歴'!$F:$F,F2419)=O2419,"●","")</f>
        <v/>
      </c>
      <c r="O2419" s="346">
        <v>45920.26732638889</v>
      </c>
      <c r="P2419" s="334" t="str">
        <f t="shared" si="4"/>
        <v>東鐵岡山:直納Ｌ２(H4･級外･L1ﾊﾞﾗ)</v>
      </c>
    </row>
    <row r="2420" ht="15.75" customHeight="1">
      <c r="A2420" s="335" t="s">
        <v>3572</v>
      </c>
      <c r="B2420" s="336">
        <v>45920.0</v>
      </c>
      <c r="C2420" s="335" t="s">
        <v>532</v>
      </c>
      <c r="D2420" s="335" t="s">
        <v>77</v>
      </c>
      <c r="E2420" s="337" t="str">
        <f t="shared" si="1"/>
        <v>東鐵岡山:直納</v>
      </c>
      <c r="F2420" s="338" t="s">
        <v>130</v>
      </c>
      <c r="G2420" s="339" t="str">
        <f t="shared" si="2"/>
        <v>東鐵岡山:直納新断Ａ</v>
      </c>
      <c r="H2420" s="340">
        <f t="shared" si="3"/>
        <v>41</v>
      </c>
      <c r="I2420" s="341">
        <v>0.5</v>
      </c>
      <c r="J2420" s="332">
        <f>IFERROR(__xludf.DUMMYFUNCTION("IF(IF(COUNTIF(P$2:P2419, P2420)=0, """", INDEX(H$2:H2419,
MAX(FILTER(ROW(H$2:H2419) - ROW(H$2) + 1, P$2:P2419 = P2420))))=""単価"","""",
IF(COUNTIF(P$2:P2419, P2420)=0, """", INDEX(H$2:H2419,
MAX(FILTER(ROW(H$2:H2419) - ROW(H$2) + 1, P$2:P2419 = P2420)))))"),40.5)</f>
        <v>40.5</v>
      </c>
      <c r="N2420" s="335" t="str">
        <f>IF(MAXIFS('単価履歴'!$O:$O,'単価履歴'!$E:$E,E2420,'単価履歴'!$F:$F,F2420)=O2420,"●","")</f>
        <v/>
      </c>
      <c r="O2420" s="346">
        <v>45920.26732638889</v>
      </c>
      <c r="P2420" s="334" t="str">
        <f t="shared" si="4"/>
        <v>東鐵岡山:直納新断Ａ</v>
      </c>
    </row>
    <row r="2421" ht="15.75" customHeight="1">
      <c r="A2421" s="335" t="s">
        <v>3573</v>
      </c>
      <c r="B2421" s="336">
        <v>45920.0</v>
      </c>
      <c r="C2421" s="335" t="s">
        <v>532</v>
      </c>
      <c r="D2421" s="335" t="s">
        <v>77</v>
      </c>
      <c r="E2421" s="337" t="str">
        <f t="shared" si="1"/>
        <v>東鐵岡山:直納</v>
      </c>
      <c r="F2421" s="338" t="s">
        <v>154</v>
      </c>
      <c r="G2421" s="339" t="str">
        <f t="shared" si="2"/>
        <v>東鐵岡山:直納ＣＰ Ａ</v>
      </c>
      <c r="H2421" s="340">
        <f t="shared" si="3"/>
        <v>38.5</v>
      </c>
      <c r="I2421" s="341">
        <v>0.5</v>
      </c>
      <c r="J2421" s="332">
        <f>IFERROR(__xludf.DUMMYFUNCTION("IF(IF(COUNTIF(P$2:P2420, P2421)=0, """", INDEX(H$2:H2420,
MAX(FILTER(ROW(H$2:H2420) - ROW(H$2) + 1, P$2:P2420 = P2421))))=""単価"","""",
IF(COUNTIF(P$2:P2420, P2421)=0, """", INDEX(H$2:H2420,
MAX(FILTER(ROW(H$2:H2420) - ROW(H$2) + 1, P$2:P2420 = P2421)))))"),38.0)</f>
        <v>38</v>
      </c>
      <c r="N2421" s="335" t="str">
        <f>IF(MAXIFS('単価履歴'!$O:$O,'単価履歴'!$E:$E,E2421,'単価履歴'!$F:$F,F2421)=O2421,"●","")</f>
        <v/>
      </c>
      <c r="O2421" s="346">
        <v>45920.26732638889</v>
      </c>
      <c r="P2421" s="334" t="str">
        <f t="shared" si="4"/>
        <v>東鐵岡山:直納ＣＰ Ａ</v>
      </c>
    </row>
    <row r="2422" ht="15.75" customHeight="1">
      <c r="A2422" s="335" t="s">
        <v>3574</v>
      </c>
      <c r="B2422" s="336">
        <v>45920.0</v>
      </c>
      <c r="C2422" s="335" t="s">
        <v>532</v>
      </c>
      <c r="D2422" s="335" t="s">
        <v>77</v>
      </c>
      <c r="E2422" s="337" t="str">
        <f t="shared" si="1"/>
        <v>東鐵岡山:直納</v>
      </c>
      <c r="F2422" s="338" t="s">
        <v>116</v>
      </c>
      <c r="G2422" s="339" t="str">
        <f t="shared" si="2"/>
        <v>東鐵岡山:直納Ｈ２(特級)</v>
      </c>
      <c r="H2422" s="340">
        <f t="shared" si="3"/>
        <v>40</v>
      </c>
      <c r="I2422" s="341">
        <v>0.5</v>
      </c>
      <c r="J2422" s="332">
        <f>IFERROR(__xludf.DUMMYFUNCTION("IF(IF(COUNTIF(P$2:P2421, P2422)=0, """", INDEX(H$2:H2421,
MAX(FILTER(ROW(H$2:H2421) - ROW(H$2) + 1, P$2:P2421 = P2422))))=""単価"","""",
IF(COUNTIF(P$2:P2421, P2422)=0, """", INDEX(H$2:H2421,
MAX(FILTER(ROW(H$2:H2421) - ROW(H$2) + 1, P$2:P2421 = P2422)))))"),39.5)</f>
        <v>39.5</v>
      </c>
      <c r="N2422" s="335" t="str">
        <f>IF(MAXIFS('単価履歴'!$O:$O,'単価履歴'!$E:$E,E2422,'単価履歴'!$F:$F,F2422)=O2422,"●","")</f>
        <v/>
      </c>
      <c r="O2422" s="346">
        <v>45920.26732638889</v>
      </c>
      <c r="P2422" s="334" t="str">
        <f t="shared" si="4"/>
        <v>東鐵岡山:直納Ｈ２(特級)</v>
      </c>
    </row>
    <row r="2423" ht="15.75" customHeight="1">
      <c r="A2423" s="335" t="s">
        <v>3575</v>
      </c>
      <c r="B2423" s="336">
        <v>45920.0</v>
      </c>
      <c r="C2423" s="335" t="s">
        <v>532</v>
      </c>
      <c r="D2423" s="335" t="s">
        <v>77</v>
      </c>
      <c r="E2423" s="337" t="str">
        <f t="shared" si="1"/>
        <v>東鐵岡山:直納</v>
      </c>
      <c r="F2423" s="338" t="s">
        <v>131</v>
      </c>
      <c r="G2423" s="339" t="str">
        <f t="shared" si="2"/>
        <v>東鐵岡山:直納新断Ｂ</v>
      </c>
      <c r="H2423" s="340">
        <f t="shared" si="3"/>
        <v>41</v>
      </c>
      <c r="I2423" s="341">
        <v>0.5</v>
      </c>
      <c r="J2423" s="332">
        <f>IFERROR(__xludf.DUMMYFUNCTION("IF(IF(COUNTIF(P$2:P2422, P2423)=0, """", INDEX(H$2:H2422,
MAX(FILTER(ROW(H$2:H2422) - ROW(H$2) + 1, P$2:P2422 = P2423))))=""単価"","""",
IF(COUNTIF(P$2:P2422, P2423)=0, """", INDEX(H$2:H2422,
MAX(FILTER(ROW(H$2:H2422) - ROW(H$2) + 1, P$2:P2422 = P2423)))))"),40.5)</f>
        <v>40.5</v>
      </c>
      <c r="N2423" s="335" t="str">
        <f>IF(MAXIFS('単価履歴'!$O:$O,'単価履歴'!$E:$E,E2423,'単価履歴'!$F:$F,F2423)=O2423,"●","")</f>
        <v/>
      </c>
      <c r="O2423" s="346">
        <v>45920.26732638889</v>
      </c>
      <c r="P2423" s="334" t="str">
        <f t="shared" si="4"/>
        <v>東鐵岡山:直納新断Ｂ</v>
      </c>
    </row>
    <row r="2424" ht="15.75" customHeight="1">
      <c r="A2424" s="335" t="s">
        <v>3576</v>
      </c>
      <c r="B2424" s="336">
        <v>45920.0</v>
      </c>
      <c r="C2424" s="335" t="s">
        <v>28</v>
      </c>
      <c r="D2424" s="335" t="s">
        <v>52</v>
      </c>
      <c r="E2424" s="337" t="str">
        <f t="shared" si="1"/>
        <v>ＪＦＥ条鋼:リバイブ</v>
      </c>
      <c r="F2424" s="338" t="s">
        <v>119</v>
      </c>
      <c r="G2424" s="339" t="str">
        <f t="shared" si="2"/>
        <v>ＪＦＥ条鋼:リバイブＨ３(1級)</v>
      </c>
      <c r="H2424" s="340">
        <f t="shared" si="3"/>
        <v>35.5</v>
      </c>
      <c r="I2424" s="341">
        <v>0.5</v>
      </c>
      <c r="J2424" s="332">
        <f>IFERROR(__xludf.DUMMYFUNCTION("IF(IF(COUNTIF(P$2:P2423, P2424)=0, """", INDEX(H$2:H2423,
MAX(FILTER(ROW(H$2:H2423) - ROW(H$2) + 1, P$2:P2423 = P2424))))=""単価"","""",
IF(COUNTIF(P$2:P2423, P2424)=0, """", INDEX(H$2:H2423,
MAX(FILTER(ROW(H$2:H2423) - ROW(H$2) + 1, P$2:P2423 = P2424)))))"),35.0)</f>
        <v>35</v>
      </c>
      <c r="N2424" s="335" t="str">
        <f>IF(MAXIFS('単価履歴'!$O:$O,'単価履歴'!$E:$E,E2424,'単価履歴'!$F:$F,F2424)=O2424,"●","")</f>
        <v/>
      </c>
      <c r="O2424" s="346">
        <v>45920.342997685184</v>
      </c>
      <c r="P2424" s="334" t="str">
        <f t="shared" si="4"/>
        <v>ＪＦＥ条鋼:リバイブＨ３(1級)</v>
      </c>
    </row>
    <row r="2425" ht="15.75" customHeight="1">
      <c r="A2425" s="335" t="s">
        <v>3577</v>
      </c>
      <c r="B2425" s="336">
        <v>45920.0</v>
      </c>
      <c r="C2425" s="335" t="s">
        <v>28</v>
      </c>
      <c r="D2425" s="335" t="s">
        <v>52</v>
      </c>
      <c r="E2425" s="337" t="str">
        <f t="shared" si="1"/>
        <v>ＪＦＥ条鋼:リバイブ</v>
      </c>
      <c r="F2425" s="338" t="s">
        <v>130</v>
      </c>
      <c r="G2425" s="339" t="str">
        <f t="shared" si="2"/>
        <v>ＪＦＥ条鋼:リバイブ新断Ａ</v>
      </c>
      <c r="H2425" s="340">
        <f t="shared" si="3"/>
        <v>42</v>
      </c>
      <c r="I2425" s="341">
        <v>0.5</v>
      </c>
      <c r="J2425" s="332">
        <f>IFERROR(__xludf.DUMMYFUNCTION("IF(IF(COUNTIF(P$2:P2424, P2425)=0, """", INDEX(H$2:H2424,
MAX(FILTER(ROW(H$2:H2424) - ROW(H$2) + 1, P$2:P2424 = P2425))))=""単価"","""",
IF(COUNTIF(P$2:P2424, P2425)=0, """", INDEX(H$2:H2424,
MAX(FILTER(ROW(H$2:H2424) - ROW(H$2) + 1, P$2:P2424 = P2425)))))"),41.5)</f>
        <v>41.5</v>
      </c>
      <c r="N2425" s="335" t="str">
        <f>IF(MAXIFS('単価履歴'!$O:$O,'単価履歴'!$E:$E,E2425,'単価履歴'!$F:$F,F2425)=O2425,"●","")</f>
        <v/>
      </c>
      <c r="O2425" s="346">
        <v>45920.342997685184</v>
      </c>
      <c r="P2425" s="334" t="str">
        <f t="shared" si="4"/>
        <v>ＪＦＥ条鋼:リバイブ新断Ａ</v>
      </c>
    </row>
    <row r="2426" ht="15.75" customHeight="1">
      <c r="A2426" s="335" t="s">
        <v>3578</v>
      </c>
      <c r="B2426" s="336">
        <v>45920.0</v>
      </c>
      <c r="C2426" s="335" t="s">
        <v>28</v>
      </c>
      <c r="D2426" s="335" t="s">
        <v>52</v>
      </c>
      <c r="E2426" s="337" t="str">
        <f t="shared" si="1"/>
        <v>ＪＦＥ条鋼:リバイブ</v>
      </c>
      <c r="F2426" s="338" t="s">
        <v>122</v>
      </c>
      <c r="G2426" s="339" t="str">
        <f t="shared" si="2"/>
        <v>ＪＦＥ条鋼:リバイブＬ１(2級)</v>
      </c>
      <c r="H2426" s="340">
        <f t="shared" si="3"/>
        <v>32.5</v>
      </c>
      <c r="I2426" s="341">
        <v>0.5</v>
      </c>
      <c r="J2426" s="332">
        <f>IFERROR(__xludf.DUMMYFUNCTION("IF(IF(COUNTIF(P$2:P2425, P2426)=0, """", INDEX(H$2:H2425,
MAX(FILTER(ROW(H$2:H2425) - ROW(H$2) + 1, P$2:P2425 = P2426))))=""単価"","""",
IF(COUNTIF(P$2:P2425, P2426)=0, """", INDEX(H$2:H2425,
MAX(FILTER(ROW(H$2:H2425) - ROW(H$2) + 1, P$2:P2425 = P2426)))))"),32.0)</f>
        <v>32</v>
      </c>
      <c r="N2426" s="335" t="str">
        <f>IF(MAXIFS('単価履歴'!$O:$O,'単価履歴'!$E:$E,E2426,'単価履歴'!$F:$F,F2426)=O2426,"●","")</f>
        <v/>
      </c>
      <c r="O2426" s="346">
        <v>45920.342997685184</v>
      </c>
      <c r="P2426" s="334" t="str">
        <f t="shared" si="4"/>
        <v>ＪＦＥ条鋼:リバイブＬ１(2級)</v>
      </c>
    </row>
    <row r="2427" ht="15.75" customHeight="1">
      <c r="A2427" s="335" t="s">
        <v>3579</v>
      </c>
      <c r="B2427" s="336">
        <v>45920.0</v>
      </c>
      <c r="C2427" s="335" t="s">
        <v>28</v>
      </c>
      <c r="D2427" s="335" t="s">
        <v>52</v>
      </c>
      <c r="E2427" s="337" t="str">
        <f t="shared" si="1"/>
        <v>ＪＦＥ条鋼:リバイブ</v>
      </c>
      <c r="F2427" s="338" t="s">
        <v>131</v>
      </c>
      <c r="G2427" s="339" t="str">
        <f t="shared" si="2"/>
        <v>ＪＦＥ条鋼:リバイブ新断Ｂ</v>
      </c>
      <c r="H2427" s="340">
        <f t="shared" si="3"/>
        <v>41</v>
      </c>
      <c r="I2427" s="341">
        <v>0.5</v>
      </c>
      <c r="J2427" s="332">
        <f>IFERROR(__xludf.DUMMYFUNCTION("IF(IF(COUNTIF(P$2:P2426, P2427)=0, """", INDEX(H$2:H2426,
MAX(FILTER(ROW(H$2:H2426) - ROW(H$2) + 1, P$2:P2426 = P2427))))=""単価"","""",
IF(COUNTIF(P$2:P2426, P2427)=0, """", INDEX(H$2:H2426,
MAX(FILTER(ROW(H$2:H2426) - ROW(H$2) + 1, P$2:P2426 = P2427)))))"),40.5)</f>
        <v>40.5</v>
      </c>
      <c r="N2427" s="335" t="str">
        <f>IF(MAXIFS('単価履歴'!$O:$O,'単価履歴'!$E:$E,E2427,'単価履歴'!$F:$F,F2427)=O2427,"●","")</f>
        <v/>
      </c>
      <c r="O2427" s="346">
        <v>45920.342997685184</v>
      </c>
      <c r="P2427" s="334" t="str">
        <f t="shared" si="4"/>
        <v>ＪＦＥ条鋼:リバイブ新断Ｂ</v>
      </c>
    </row>
    <row r="2428" ht="15.75" customHeight="1">
      <c r="A2428" s="335" t="s">
        <v>3580</v>
      </c>
      <c r="B2428" s="336">
        <v>45920.0</v>
      </c>
      <c r="C2428" s="335" t="s">
        <v>28</v>
      </c>
      <c r="D2428" s="335" t="s">
        <v>52</v>
      </c>
      <c r="E2428" s="337" t="str">
        <f t="shared" si="1"/>
        <v>ＪＦＥ条鋼:リバイブ</v>
      </c>
      <c r="F2428" s="338" t="s">
        <v>111</v>
      </c>
      <c r="G2428" s="339" t="str">
        <f t="shared" si="2"/>
        <v>ＪＦＥ条鋼:リバイブＨ１(特A)</v>
      </c>
      <c r="H2428" s="340">
        <f t="shared" si="3"/>
        <v>36.5</v>
      </c>
      <c r="I2428" s="341">
        <v>0.5</v>
      </c>
      <c r="J2428" s="332">
        <f>IFERROR(__xludf.DUMMYFUNCTION("IF(IF(COUNTIF(P$2:P2427, P2428)=0, """", INDEX(H$2:H2427,
MAX(FILTER(ROW(H$2:H2427) - ROW(H$2) + 1, P$2:P2427 = P2428))))=""単価"","""",
IF(COUNTIF(P$2:P2427, P2428)=0, """", INDEX(H$2:H2427,
MAX(FILTER(ROW(H$2:H2427) - ROW(H$2) + 1, P$2:P2427 = P2428)))))"),36.0)</f>
        <v>36</v>
      </c>
      <c r="N2428" s="335" t="str">
        <f>IF(MAXIFS('単価履歴'!$O:$O,'単価履歴'!$E:$E,E2428,'単価履歴'!$F:$F,F2428)=O2428,"●","")</f>
        <v/>
      </c>
      <c r="O2428" s="346">
        <v>45920.342997685184</v>
      </c>
      <c r="P2428" s="334" t="str">
        <f t="shared" si="4"/>
        <v>ＪＦＥ条鋼:リバイブＨ１(特A)</v>
      </c>
    </row>
    <row r="2429" ht="15.75" customHeight="1">
      <c r="A2429" s="335" t="s">
        <v>3581</v>
      </c>
      <c r="B2429" s="336">
        <v>45920.0</v>
      </c>
      <c r="C2429" s="335" t="s">
        <v>28</v>
      </c>
      <c r="D2429" s="335" t="s">
        <v>52</v>
      </c>
      <c r="E2429" s="337" t="str">
        <f t="shared" si="1"/>
        <v>ＪＦＥ条鋼:リバイブ</v>
      </c>
      <c r="F2429" s="338" t="s">
        <v>573</v>
      </c>
      <c r="G2429" s="339" t="str">
        <f t="shared" si="2"/>
        <v>ＪＦＥ条鋼:リバイブＬ２(H4･級外･L1ﾊﾞﾗ)</v>
      </c>
      <c r="H2429" s="340">
        <f t="shared" si="3"/>
        <v>27.5</v>
      </c>
      <c r="I2429" s="341">
        <v>0.5</v>
      </c>
      <c r="J2429" s="332">
        <f>IFERROR(__xludf.DUMMYFUNCTION("IF(IF(COUNTIF(P$2:P2428, P2429)=0, """", INDEX(H$2:H2428,
MAX(FILTER(ROW(H$2:H2428) - ROW(H$2) + 1, P$2:P2428 = P2429))))=""単価"","""",
IF(COUNTIF(P$2:P2428, P2429)=0, """", INDEX(H$2:H2428,
MAX(FILTER(ROW(H$2:H2428) - ROW(H$2) + 1, P$2:P2428 = P2429)))))"),27.0)</f>
        <v>27</v>
      </c>
      <c r="N2429" s="335" t="str">
        <f>IF(MAXIFS('単価履歴'!$O:$O,'単価履歴'!$E:$E,E2429,'単価履歴'!$F:$F,F2429)=O2429,"●","")</f>
        <v/>
      </c>
      <c r="O2429" s="346">
        <v>45920.342997685184</v>
      </c>
      <c r="P2429" s="334" t="str">
        <f t="shared" si="4"/>
        <v>ＪＦＥ条鋼:リバイブＬ２(H4･級外･L1ﾊﾞﾗ)</v>
      </c>
    </row>
    <row r="2430" ht="15.75" customHeight="1">
      <c r="A2430" s="335" t="s">
        <v>3582</v>
      </c>
      <c r="B2430" s="336">
        <v>45920.0</v>
      </c>
      <c r="C2430" s="335" t="s">
        <v>28</v>
      </c>
      <c r="D2430" s="335" t="s">
        <v>52</v>
      </c>
      <c r="E2430" s="337" t="str">
        <f t="shared" si="1"/>
        <v>ＪＦＥ条鋼:リバイブ</v>
      </c>
      <c r="F2430" s="338" t="s">
        <v>116</v>
      </c>
      <c r="G2430" s="339" t="str">
        <f t="shared" si="2"/>
        <v>ＪＦＥ条鋼:リバイブＨ２(特級)</v>
      </c>
      <c r="H2430" s="340">
        <f t="shared" si="3"/>
        <v>36.5</v>
      </c>
      <c r="I2430" s="341">
        <v>0.5</v>
      </c>
      <c r="J2430" s="332">
        <f>IFERROR(__xludf.DUMMYFUNCTION("IF(IF(COUNTIF(P$2:P2429, P2430)=0, """", INDEX(H$2:H2429,
MAX(FILTER(ROW(H$2:H2429) - ROW(H$2) + 1, P$2:P2429 = P2430))))=""単価"","""",
IF(COUNTIF(P$2:P2429, P2430)=0, """", INDEX(H$2:H2429,
MAX(FILTER(ROW(H$2:H2429) - ROW(H$2) + 1, P$2:P2429 = P2430)))))"),36.0)</f>
        <v>36</v>
      </c>
      <c r="N2430" s="335" t="str">
        <f>IF(MAXIFS('単価履歴'!$O:$O,'単価履歴'!$E:$E,E2430,'単価履歴'!$F:$F,F2430)=O2430,"●","")</f>
        <v/>
      </c>
      <c r="O2430" s="346">
        <v>45920.342997685184</v>
      </c>
      <c r="P2430" s="334" t="str">
        <f t="shared" si="4"/>
        <v>ＪＦＥ条鋼:リバイブＨ２(特級)</v>
      </c>
    </row>
    <row r="2431" ht="15.75" customHeight="1">
      <c r="A2431" s="335" t="s">
        <v>3583</v>
      </c>
      <c r="B2431" s="336">
        <v>45920.0</v>
      </c>
      <c r="C2431" s="335" t="s">
        <v>28</v>
      </c>
      <c r="D2431" s="335" t="s">
        <v>52</v>
      </c>
      <c r="E2431" s="337" t="str">
        <f t="shared" si="1"/>
        <v>ＪＦＥ条鋼:リバイブ</v>
      </c>
      <c r="F2431" s="338" t="s">
        <v>154</v>
      </c>
      <c r="G2431" s="339" t="str">
        <f t="shared" si="2"/>
        <v>ＪＦＥ条鋼:リバイブＣＰ Ａ</v>
      </c>
      <c r="H2431" s="340">
        <f t="shared" si="3"/>
        <v>42.5</v>
      </c>
      <c r="I2431" s="341">
        <v>0.5</v>
      </c>
      <c r="J2431" s="332">
        <f>IFERROR(__xludf.DUMMYFUNCTION("IF(IF(COUNTIF(P$2:P2430, P2431)=0, """", INDEX(H$2:H2430,
MAX(FILTER(ROW(H$2:H2430) - ROW(H$2) + 1, P$2:P2430 = P2431))))=""単価"","""",
IF(COUNTIF(P$2:P2430, P2431)=0, """", INDEX(H$2:H2430,
MAX(FILTER(ROW(H$2:H2430) - ROW(H$2) + 1, P$2:P2430 = P2431)))))"),42.0)</f>
        <v>42</v>
      </c>
      <c r="N2431" s="335" t="str">
        <f>IF(MAXIFS('単価履歴'!$O:$O,'単価履歴'!$E:$E,E2431,'単価履歴'!$F:$F,F2431)=O2431,"●","")</f>
        <v/>
      </c>
      <c r="O2431" s="346">
        <v>45920.342997685184</v>
      </c>
      <c r="P2431" s="334" t="str">
        <f t="shared" si="4"/>
        <v>ＪＦＥ条鋼:リバイブＣＰ Ａ</v>
      </c>
    </row>
    <row r="2432" ht="15.75" customHeight="1">
      <c r="A2432" s="335" t="s">
        <v>3584</v>
      </c>
      <c r="B2432" s="336">
        <v>45924.0</v>
      </c>
      <c r="C2432" s="335" t="s">
        <v>11</v>
      </c>
      <c r="D2432" s="335" t="s">
        <v>46</v>
      </c>
      <c r="E2432" s="337" t="str">
        <f t="shared" si="1"/>
        <v>ﾔﾏﾄ:阪和</v>
      </c>
      <c r="F2432" s="338" t="s">
        <v>116</v>
      </c>
      <c r="G2432" s="339" t="str">
        <f t="shared" si="2"/>
        <v>ﾔﾏﾄ:阪和Ｈ２(特級)</v>
      </c>
      <c r="H2432" s="340">
        <f t="shared" si="3"/>
        <v>41.1</v>
      </c>
      <c r="I2432" s="341">
        <v>0.5</v>
      </c>
      <c r="J2432" s="332">
        <f>IFERROR(__xludf.DUMMYFUNCTION("IF(IF(COUNTIF(P$2:P2431, P2432)=0, """", INDEX(H$2:H2431,
MAX(FILTER(ROW(H$2:H2431) - ROW(H$2) + 1, P$2:P2431 = P2432))))=""単価"","""",
IF(COUNTIF(P$2:P2431, P2432)=0, """", INDEX(H$2:H2431,
MAX(FILTER(ROW(H$2:H2431) - ROW(H$2) + 1, P$2:P2431 = P2432)))))"),40.6)</f>
        <v>40.6</v>
      </c>
      <c r="N2432" s="335" t="str">
        <f>IF(MAXIFS('単価履歴'!$O:$O,'単価履歴'!$E:$E,E2432,'単価履歴'!$F:$F,F2432)=O2432,"●","")</f>
        <v/>
      </c>
      <c r="O2432" s="346">
        <v>45923.26488425926</v>
      </c>
      <c r="P2432" s="334" t="str">
        <f t="shared" si="4"/>
        <v>ﾔﾏﾄ:阪和Ｈ２(特級)</v>
      </c>
    </row>
    <row r="2433" ht="15.75" customHeight="1">
      <c r="A2433" s="335" t="s">
        <v>3585</v>
      </c>
      <c r="B2433" s="336">
        <v>45924.0</v>
      </c>
      <c r="C2433" s="335" t="s">
        <v>11</v>
      </c>
      <c r="D2433" s="335" t="s">
        <v>46</v>
      </c>
      <c r="E2433" s="337" t="str">
        <f t="shared" si="1"/>
        <v>ﾔﾏﾄ:阪和</v>
      </c>
      <c r="F2433" s="338" t="s">
        <v>119</v>
      </c>
      <c r="G2433" s="339" t="str">
        <f t="shared" si="2"/>
        <v>ﾔﾏﾄ:阪和Ｈ３(1級)</v>
      </c>
      <c r="H2433" s="340">
        <f t="shared" si="3"/>
        <v>40.1</v>
      </c>
      <c r="I2433" s="341">
        <v>0.5</v>
      </c>
      <c r="J2433" s="332">
        <f>IFERROR(__xludf.DUMMYFUNCTION("IF(IF(COUNTIF(P$2:P2432, P2433)=0, """", INDEX(H$2:H2432,
MAX(FILTER(ROW(H$2:H2432) - ROW(H$2) + 1, P$2:P2432 = P2433))))=""単価"","""",
IF(COUNTIF(P$2:P2432, P2433)=0, """", INDEX(H$2:H2432,
MAX(FILTER(ROW(H$2:H2432) - ROW(H$2) + 1, P$2:P2432 = P2433)))))"),39.6)</f>
        <v>39.6</v>
      </c>
      <c r="N2433" s="335" t="str">
        <f>IF(MAXIFS('単価履歴'!$O:$O,'単価履歴'!$E:$E,E2433,'単価履歴'!$F:$F,F2433)=O2433,"●","")</f>
        <v/>
      </c>
      <c r="O2433" s="346">
        <v>45923.26488425926</v>
      </c>
      <c r="P2433" s="334" t="str">
        <f t="shared" si="4"/>
        <v>ﾔﾏﾄ:阪和Ｈ３(1級)</v>
      </c>
    </row>
    <row r="2434" ht="15.75" customHeight="1">
      <c r="A2434" s="335" t="s">
        <v>3586</v>
      </c>
      <c r="B2434" s="336">
        <v>45924.0</v>
      </c>
      <c r="C2434" s="335" t="s">
        <v>11</v>
      </c>
      <c r="D2434" s="335" t="s">
        <v>46</v>
      </c>
      <c r="E2434" s="337" t="str">
        <f t="shared" si="1"/>
        <v>ﾔﾏﾄ:阪和</v>
      </c>
      <c r="F2434" s="338" t="s">
        <v>122</v>
      </c>
      <c r="G2434" s="339" t="str">
        <f t="shared" si="2"/>
        <v>ﾔﾏﾄ:阪和Ｌ１(2級)</v>
      </c>
      <c r="H2434" s="340">
        <f t="shared" si="3"/>
        <v>38.1</v>
      </c>
      <c r="I2434" s="341">
        <v>0.5</v>
      </c>
      <c r="J2434" s="332">
        <f>IFERROR(__xludf.DUMMYFUNCTION("IF(IF(COUNTIF(P$2:P2433, P2434)=0, """", INDEX(H$2:H2433,
MAX(FILTER(ROW(H$2:H2433) - ROW(H$2) + 1, P$2:P2433 = P2434))))=""単価"","""",
IF(COUNTIF(P$2:P2433, P2434)=0, """", INDEX(H$2:H2433,
MAX(FILTER(ROW(H$2:H2433) - ROW(H$2) + 1, P$2:P2433 = P2434)))))"),37.6)</f>
        <v>37.6</v>
      </c>
      <c r="N2434" s="335" t="str">
        <f>IF(MAXIFS('単価履歴'!$O:$O,'単価履歴'!$E:$E,E2434,'単価履歴'!$F:$F,F2434)=O2434,"●","")</f>
        <v/>
      </c>
      <c r="O2434" s="346">
        <v>45923.26488425926</v>
      </c>
      <c r="P2434" s="334" t="str">
        <f t="shared" si="4"/>
        <v>ﾔﾏﾄ:阪和Ｌ１(2級)</v>
      </c>
    </row>
    <row r="2435" ht="15.75" customHeight="1">
      <c r="A2435" s="335" t="s">
        <v>3587</v>
      </c>
      <c r="B2435" s="336">
        <v>45924.0</v>
      </c>
      <c r="C2435" s="335" t="s">
        <v>11</v>
      </c>
      <c r="D2435" s="335" t="s">
        <v>46</v>
      </c>
      <c r="E2435" s="337" t="str">
        <f t="shared" si="1"/>
        <v>ﾔﾏﾄ:阪和</v>
      </c>
      <c r="F2435" s="338" t="s">
        <v>111</v>
      </c>
      <c r="G2435" s="339" t="str">
        <f t="shared" si="2"/>
        <v>ﾔﾏﾄ:阪和Ｈ１(特A)</v>
      </c>
      <c r="H2435" s="340">
        <f t="shared" si="3"/>
        <v>42.1</v>
      </c>
      <c r="I2435" s="341">
        <v>0.5</v>
      </c>
      <c r="J2435" s="332">
        <f>IFERROR(__xludf.DUMMYFUNCTION("IF(IF(COUNTIF(P$2:P2434, P2435)=0, """", INDEX(H$2:H2434,
MAX(FILTER(ROW(H$2:H2434) - ROW(H$2) + 1, P$2:P2434 = P2435))))=""単価"","""",
IF(COUNTIF(P$2:P2434, P2435)=0, """", INDEX(H$2:H2434,
MAX(FILTER(ROW(H$2:H2434) - ROW(H$2) + 1, P$2:P2434 = P2435)))))"),41.6)</f>
        <v>41.6</v>
      </c>
      <c r="N2435" s="335" t="str">
        <f>IF(MAXIFS('単価履歴'!$O:$O,'単価履歴'!$E:$E,E2435,'単価履歴'!$F:$F,F2435)=O2435,"●","")</f>
        <v/>
      </c>
      <c r="O2435" s="346">
        <v>45923.26488425926</v>
      </c>
      <c r="P2435" s="334" t="str">
        <f t="shared" si="4"/>
        <v>ﾔﾏﾄ:阪和Ｈ１(特A)</v>
      </c>
    </row>
    <row r="2436" ht="15.75" customHeight="1">
      <c r="A2436" s="335" t="s">
        <v>3588</v>
      </c>
      <c r="B2436" s="336">
        <v>45924.0</v>
      </c>
      <c r="C2436" s="335" t="s">
        <v>11</v>
      </c>
      <c r="D2436" s="335" t="s">
        <v>46</v>
      </c>
      <c r="E2436" s="337" t="str">
        <f t="shared" si="1"/>
        <v>ﾔﾏﾄ:阪和</v>
      </c>
      <c r="F2436" s="338" t="s">
        <v>573</v>
      </c>
      <c r="G2436" s="339" t="str">
        <f t="shared" si="2"/>
        <v>ﾔﾏﾄ:阪和Ｌ２(H4･級外･L1ﾊﾞﾗ)</v>
      </c>
      <c r="H2436" s="340">
        <f t="shared" si="3"/>
        <v>35.6</v>
      </c>
      <c r="I2436" s="341">
        <v>0.5</v>
      </c>
      <c r="J2436" s="332">
        <f>IFERROR(__xludf.DUMMYFUNCTION("IF(IF(COUNTIF(P$2:P2435, P2436)=0, """", INDEX(H$2:H2435,
MAX(FILTER(ROW(H$2:H2435) - ROW(H$2) + 1, P$2:P2435 = P2436))))=""単価"","""",
IF(COUNTIF(P$2:P2435, P2436)=0, """", INDEX(H$2:H2435,
MAX(FILTER(ROW(H$2:H2435) - ROW(H$2) + 1, P$2:P2435 = P2436)))))"),35.1)</f>
        <v>35.1</v>
      </c>
      <c r="N2436" s="335" t="str">
        <f>IF(MAXIFS('単価履歴'!$O:$O,'単価履歴'!$E:$E,E2436,'単価履歴'!$F:$F,F2436)=O2436,"●","")</f>
        <v/>
      </c>
      <c r="O2436" s="346">
        <v>45923.26488425926</v>
      </c>
      <c r="P2436" s="334" t="str">
        <f t="shared" si="4"/>
        <v>ﾔﾏﾄ:阪和Ｌ２(H4･級外･L1ﾊﾞﾗ)</v>
      </c>
    </row>
    <row r="2437" ht="15.75" customHeight="1">
      <c r="A2437" s="335" t="s">
        <v>3589</v>
      </c>
      <c r="B2437" s="336">
        <v>45923.0</v>
      </c>
      <c r="C2437" s="335" t="s">
        <v>12</v>
      </c>
      <c r="D2437" s="335" t="s">
        <v>50</v>
      </c>
      <c r="E2437" s="337" t="str">
        <f t="shared" si="1"/>
        <v>山陽特殊:産振</v>
      </c>
      <c r="F2437" s="338" t="s">
        <v>1199</v>
      </c>
      <c r="G2437" s="339" t="str">
        <f t="shared" si="2"/>
        <v>山陽特殊:産振ＨＳ１(単体H1/電特A/HS))</v>
      </c>
      <c r="H2437" s="340">
        <f t="shared" si="3"/>
        <v>42.6</v>
      </c>
      <c r="I2437" s="341">
        <v>0.5</v>
      </c>
      <c r="J2437" s="332">
        <f>IFERROR(__xludf.DUMMYFUNCTION("IF(IF(COUNTIF(P$2:P2436, P2437)=0, """", INDEX(H$2:H2436,
MAX(FILTER(ROW(H$2:H2436) - ROW(H$2) + 1, P$2:P2436 = P2437))))=""単価"","""",
IF(COUNTIF(P$2:P2436, P2437)=0, """", INDEX(H$2:H2436,
MAX(FILTER(ROW(H$2:H2436) - ROW(H$2) + 1, P$2:P2436 = P2437)))))"),42.1)</f>
        <v>42.1</v>
      </c>
      <c r="N2437" s="335" t="str">
        <f>IF(MAXIFS('単価履歴'!$O:$O,'単価履歴'!$E:$E,E2437,'単価履歴'!$F:$F,F2437)=O2437,"●","")</f>
        <v/>
      </c>
      <c r="O2437" s="346">
        <v>45924.64347222222</v>
      </c>
      <c r="P2437" s="334" t="str">
        <f t="shared" si="4"/>
        <v>山陽特殊:産振ＨＳ１(単体H1/電特A/HS))</v>
      </c>
    </row>
    <row r="2438" ht="15.75" customHeight="1">
      <c r="A2438" s="335" t="s">
        <v>3590</v>
      </c>
      <c r="B2438" s="336">
        <v>45923.0</v>
      </c>
      <c r="C2438" s="335" t="s">
        <v>12</v>
      </c>
      <c r="D2438" s="335" t="s">
        <v>50</v>
      </c>
      <c r="E2438" s="337" t="str">
        <f t="shared" si="1"/>
        <v>山陽特殊:産振</v>
      </c>
      <c r="F2438" s="338" t="s">
        <v>101</v>
      </c>
      <c r="G2438" s="339" t="str">
        <f t="shared" si="2"/>
        <v>山陽特殊:産振ＨＳ２</v>
      </c>
      <c r="H2438" s="340">
        <f t="shared" si="3"/>
        <v>42.4</v>
      </c>
      <c r="I2438" s="341">
        <v>0.5</v>
      </c>
      <c r="J2438" s="332">
        <f>IFERROR(__xludf.DUMMYFUNCTION("IF(IF(COUNTIF(P$2:P2437, P2438)=0, """", INDEX(H$2:H2437,
MAX(FILTER(ROW(H$2:H2437) - ROW(H$2) + 1, P$2:P2437 = P2438))))=""単価"","""",
IF(COUNTIF(P$2:P2437, P2438)=0, """", INDEX(H$2:H2437,
MAX(FILTER(ROW(H$2:H2437) - ROW(H$2) + 1, P$2:P2437 = P2438)))))"),41.9)</f>
        <v>41.9</v>
      </c>
      <c r="N2438" s="335" t="str">
        <f>IF(MAXIFS('単価履歴'!$O:$O,'単価履歴'!$E:$E,E2438,'単価履歴'!$F:$F,F2438)=O2438,"●","")</f>
        <v/>
      </c>
      <c r="O2438" s="346">
        <v>45924.64347222222</v>
      </c>
      <c r="P2438" s="334" t="str">
        <f t="shared" si="4"/>
        <v>山陽特殊:産振ＨＳ２</v>
      </c>
    </row>
    <row r="2439" ht="15.75" customHeight="1">
      <c r="A2439" s="335" t="s">
        <v>3591</v>
      </c>
      <c r="B2439" s="336">
        <v>45923.0</v>
      </c>
      <c r="C2439" s="335" t="s">
        <v>12</v>
      </c>
      <c r="D2439" s="335" t="s">
        <v>50</v>
      </c>
      <c r="E2439" s="337" t="str">
        <f t="shared" si="1"/>
        <v>山陽特殊:産振</v>
      </c>
      <c r="F2439" s="338" t="s">
        <v>105</v>
      </c>
      <c r="G2439" s="339" t="str">
        <f t="shared" si="2"/>
        <v>山陽特殊:産振ＨＳ３</v>
      </c>
      <c r="H2439" s="340">
        <f t="shared" si="3"/>
        <v>40.4</v>
      </c>
      <c r="I2439" s="341">
        <v>0.5</v>
      </c>
      <c r="J2439" s="332">
        <f>IFERROR(__xludf.DUMMYFUNCTION("IF(IF(COUNTIF(P$2:P2438, P2439)=0, """", INDEX(H$2:H2438,
MAX(FILTER(ROW(H$2:H2438) - ROW(H$2) + 1, P$2:P2438 = P2439))))=""単価"","""",
IF(COUNTIF(P$2:P2438, P2439)=0, """", INDEX(H$2:H2438,
MAX(FILTER(ROW(H$2:H2438) - ROW(H$2) + 1, P$2:P2438 = P2439)))))"),39.9)</f>
        <v>39.9</v>
      </c>
      <c r="N2439" s="335" t="str">
        <f>IF(MAXIFS('単価履歴'!$O:$O,'単価履歴'!$E:$E,E2439,'単価履歴'!$F:$F,F2439)=O2439,"●","")</f>
        <v/>
      </c>
      <c r="O2439" s="346">
        <v>45924.64347222222</v>
      </c>
      <c r="P2439" s="334" t="str">
        <f t="shared" si="4"/>
        <v>山陽特殊:産振ＨＳ３</v>
      </c>
    </row>
    <row r="2440" ht="15.75" customHeight="1">
      <c r="A2440" s="335" t="s">
        <v>3592</v>
      </c>
      <c r="B2440" s="336">
        <v>45927.0</v>
      </c>
      <c r="C2440" s="335" t="s">
        <v>11</v>
      </c>
      <c r="D2440" s="335" t="s">
        <v>46</v>
      </c>
      <c r="E2440" s="337" t="str">
        <f t="shared" si="1"/>
        <v>ﾔﾏﾄ:阪和</v>
      </c>
      <c r="F2440" s="338" t="s">
        <v>116</v>
      </c>
      <c r="G2440" s="339" t="str">
        <f t="shared" si="2"/>
        <v>ﾔﾏﾄ:阪和Ｈ２(特級)</v>
      </c>
      <c r="H2440" s="340">
        <f t="shared" si="3"/>
        <v>41.6</v>
      </c>
      <c r="I2440" s="341">
        <v>0.5</v>
      </c>
      <c r="J2440" s="332">
        <f>IFERROR(__xludf.DUMMYFUNCTION("IF(IF(COUNTIF(P$2:P2439, P2440)=0, """", INDEX(H$2:H2439,
MAX(FILTER(ROW(H$2:H2439) - ROW(H$2) + 1, P$2:P2439 = P2440))))=""単価"","""",
IF(COUNTIF(P$2:P2439, P2440)=0, """", INDEX(H$2:H2439,
MAX(FILTER(ROW(H$2:H2439) - ROW(H$2) + 1, P$2:P2439 = P2440)))))"),41.1)</f>
        <v>41.1</v>
      </c>
      <c r="N2440" s="335" t="str">
        <f>IF(MAXIFS('単価履歴'!$O:$O,'単価履歴'!$E:$E,E2440,'単価履歴'!$F:$F,F2440)=O2440,"●","")</f>
        <v/>
      </c>
      <c r="O2440" s="346">
        <v>45927.27903935185</v>
      </c>
      <c r="P2440" s="334" t="str">
        <f t="shared" si="4"/>
        <v>ﾔﾏﾄ:阪和Ｈ２(特級)</v>
      </c>
    </row>
    <row r="2441" ht="15.75" customHeight="1">
      <c r="A2441" s="335" t="s">
        <v>3593</v>
      </c>
      <c r="B2441" s="336">
        <v>45927.0</v>
      </c>
      <c r="C2441" s="335" t="s">
        <v>11</v>
      </c>
      <c r="D2441" s="335" t="s">
        <v>46</v>
      </c>
      <c r="E2441" s="337" t="str">
        <f t="shared" si="1"/>
        <v>ﾔﾏﾄ:阪和</v>
      </c>
      <c r="F2441" s="338" t="s">
        <v>119</v>
      </c>
      <c r="G2441" s="339" t="str">
        <f t="shared" si="2"/>
        <v>ﾔﾏﾄ:阪和Ｈ３(1級)</v>
      </c>
      <c r="H2441" s="340">
        <f t="shared" si="3"/>
        <v>40.6</v>
      </c>
      <c r="I2441" s="341">
        <v>0.5</v>
      </c>
      <c r="J2441" s="332">
        <f>IFERROR(__xludf.DUMMYFUNCTION("IF(IF(COUNTIF(P$2:P2440, P2441)=0, """", INDEX(H$2:H2440,
MAX(FILTER(ROW(H$2:H2440) - ROW(H$2) + 1, P$2:P2440 = P2441))))=""単価"","""",
IF(COUNTIF(P$2:P2440, P2441)=0, """", INDEX(H$2:H2440,
MAX(FILTER(ROW(H$2:H2440) - ROW(H$2) + 1, P$2:P2440 = P2441)))))"),40.1)</f>
        <v>40.1</v>
      </c>
      <c r="N2441" s="335" t="str">
        <f>IF(MAXIFS('単価履歴'!$O:$O,'単価履歴'!$E:$E,E2441,'単価履歴'!$F:$F,F2441)=O2441,"●","")</f>
        <v/>
      </c>
      <c r="O2441" s="346">
        <v>45927.27903935185</v>
      </c>
      <c r="P2441" s="334" t="str">
        <f t="shared" si="4"/>
        <v>ﾔﾏﾄ:阪和Ｈ３(1級)</v>
      </c>
    </row>
    <row r="2442" ht="15.75" customHeight="1">
      <c r="A2442" s="335" t="s">
        <v>3594</v>
      </c>
      <c r="B2442" s="336">
        <v>45927.0</v>
      </c>
      <c r="C2442" s="335" t="s">
        <v>11</v>
      </c>
      <c r="D2442" s="335" t="s">
        <v>46</v>
      </c>
      <c r="E2442" s="337" t="str">
        <f t="shared" si="1"/>
        <v>ﾔﾏﾄ:阪和</v>
      </c>
      <c r="F2442" s="338" t="s">
        <v>122</v>
      </c>
      <c r="G2442" s="339" t="str">
        <f t="shared" si="2"/>
        <v>ﾔﾏﾄ:阪和Ｌ１(2級)</v>
      </c>
      <c r="H2442" s="340">
        <f t="shared" si="3"/>
        <v>38.6</v>
      </c>
      <c r="I2442" s="341">
        <v>0.5</v>
      </c>
      <c r="J2442" s="332">
        <f>IFERROR(__xludf.DUMMYFUNCTION("IF(IF(COUNTIF(P$2:P2441, P2442)=0, """", INDEX(H$2:H2441,
MAX(FILTER(ROW(H$2:H2441) - ROW(H$2) + 1, P$2:P2441 = P2442))))=""単価"","""",
IF(COUNTIF(P$2:P2441, P2442)=0, """", INDEX(H$2:H2441,
MAX(FILTER(ROW(H$2:H2441) - ROW(H$2) + 1, P$2:P2441 = P2442)))))"),38.1)</f>
        <v>38.1</v>
      </c>
      <c r="N2442" s="335" t="str">
        <f>IF(MAXIFS('単価履歴'!$O:$O,'単価履歴'!$E:$E,E2442,'単価履歴'!$F:$F,F2442)=O2442,"●","")</f>
        <v/>
      </c>
      <c r="O2442" s="346">
        <v>45927.27903935185</v>
      </c>
      <c r="P2442" s="334" t="str">
        <f t="shared" si="4"/>
        <v>ﾔﾏﾄ:阪和Ｌ１(2級)</v>
      </c>
    </row>
    <row r="2443" ht="15.75" customHeight="1">
      <c r="A2443" s="335" t="s">
        <v>3595</v>
      </c>
      <c r="B2443" s="336">
        <v>45927.0</v>
      </c>
      <c r="C2443" s="335" t="s">
        <v>11</v>
      </c>
      <c r="D2443" s="335" t="s">
        <v>46</v>
      </c>
      <c r="E2443" s="337" t="str">
        <f t="shared" si="1"/>
        <v>ﾔﾏﾄ:阪和</v>
      </c>
      <c r="F2443" s="338" t="s">
        <v>111</v>
      </c>
      <c r="G2443" s="339" t="str">
        <f t="shared" si="2"/>
        <v>ﾔﾏﾄ:阪和Ｈ１(特A)</v>
      </c>
      <c r="H2443" s="340">
        <f t="shared" si="3"/>
        <v>42.6</v>
      </c>
      <c r="I2443" s="341">
        <v>0.5</v>
      </c>
      <c r="J2443" s="332">
        <f>IFERROR(__xludf.DUMMYFUNCTION("IF(IF(COUNTIF(P$2:P2442, P2443)=0, """", INDEX(H$2:H2442,
MAX(FILTER(ROW(H$2:H2442) - ROW(H$2) + 1, P$2:P2442 = P2443))))=""単価"","""",
IF(COUNTIF(P$2:P2442, P2443)=0, """", INDEX(H$2:H2442,
MAX(FILTER(ROW(H$2:H2442) - ROW(H$2) + 1, P$2:P2442 = P2443)))))"),42.1)</f>
        <v>42.1</v>
      </c>
      <c r="N2443" s="335" t="str">
        <f>IF(MAXIFS('単価履歴'!$O:$O,'単価履歴'!$E:$E,E2443,'単価履歴'!$F:$F,F2443)=O2443,"●","")</f>
        <v/>
      </c>
      <c r="O2443" s="346">
        <v>45927.27903935185</v>
      </c>
      <c r="P2443" s="334" t="str">
        <f t="shared" si="4"/>
        <v>ﾔﾏﾄ:阪和Ｈ１(特A)</v>
      </c>
    </row>
    <row r="2444" ht="15.75" customHeight="1">
      <c r="A2444" s="335" t="s">
        <v>3596</v>
      </c>
      <c r="B2444" s="336">
        <v>45927.0</v>
      </c>
      <c r="C2444" s="335" t="s">
        <v>11</v>
      </c>
      <c r="D2444" s="335" t="s">
        <v>46</v>
      </c>
      <c r="E2444" s="337" t="str">
        <f t="shared" si="1"/>
        <v>ﾔﾏﾄ:阪和</v>
      </c>
      <c r="F2444" s="338" t="s">
        <v>573</v>
      </c>
      <c r="G2444" s="339" t="str">
        <f t="shared" si="2"/>
        <v>ﾔﾏﾄ:阪和Ｌ２(H4･級外･L1ﾊﾞﾗ)</v>
      </c>
      <c r="H2444" s="340">
        <f t="shared" si="3"/>
        <v>36.1</v>
      </c>
      <c r="I2444" s="341">
        <v>0.5</v>
      </c>
      <c r="J2444" s="332">
        <f>IFERROR(__xludf.DUMMYFUNCTION("IF(IF(COUNTIF(P$2:P2443, P2444)=0, """", INDEX(H$2:H2443,
MAX(FILTER(ROW(H$2:H2443) - ROW(H$2) + 1, P$2:P2443 = P2444))))=""単価"","""",
IF(COUNTIF(P$2:P2443, P2444)=0, """", INDEX(H$2:H2443,
MAX(FILTER(ROW(H$2:H2443) - ROW(H$2) + 1, P$2:P2443 = P2444)))))"),35.6)</f>
        <v>35.6</v>
      </c>
      <c r="N2444" s="335" t="str">
        <f>IF(MAXIFS('単価履歴'!$O:$O,'単価履歴'!$E:$E,E2444,'単価履歴'!$F:$F,F2444)=O2444,"●","")</f>
        <v/>
      </c>
      <c r="O2444" s="346">
        <v>45927.27903935185</v>
      </c>
      <c r="P2444" s="334" t="str">
        <f t="shared" si="4"/>
        <v>ﾔﾏﾄ:阪和Ｌ２(H4･級外･L1ﾊﾞﾗ)</v>
      </c>
    </row>
    <row r="2445" ht="15.75" customHeight="1">
      <c r="A2445" s="335" t="s">
        <v>3597</v>
      </c>
      <c r="B2445" s="336">
        <v>45927.0</v>
      </c>
      <c r="C2445" s="335" t="s">
        <v>532</v>
      </c>
      <c r="D2445" s="335" t="s">
        <v>77</v>
      </c>
      <c r="E2445" s="337" t="str">
        <f t="shared" si="1"/>
        <v>東鐵岡山:直納</v>
      </c>
      <c r="F2445" s="338" t="s">
        <v>1199</v>
      </c>
      <c r="G2445" s="339" t="str">
        <f t="shared" si="2"/>
        <v>東鐵岡山:直納ＨＳ１(単体H1/電特A/HS))</v>
      </c>
      <c r="H2445" s="340">
        <f t="shared" si="3"/>
        <v>42.5</v>
      </c>
      <c r="I2445" s="341">
        <v>0.5</v>
      </c>
      <c r="J2445" s="332">
        <f>IFERROR(__xludf.DUMMYFUNCTION("IF(IF(COUNTIF(P$2:P2444, P2445)=0, """", INDEX(H$2:H2444,
MAX(FILTER(ROW(H$2:H2444) - ROW(H$2) + 1, P$2:P2444 = P2445))))=""単価"","""",
IF(COUNTIF(P$2:P2444, P2445)=0, """", INDEX(H$2:H2444,
MAX(FILTER(ROW(H$2:H2444) - ROW(H$2) + 1, P$2:P2444 = P2445)))))"),42.0)</f>
        <v>42</v>
      </c>
      <c r="N2445" s="335" t="str">
        <f>IF(MAXIFS('単価履歴'!$O:$O,'単価履歴'!$E:$E,E2445,'単価履歴'!$F:$F,F2445)=O2445,"●","")</f>
        <v/>
      </c>
      <c r="O2445" s="346">
        <v>45927.279756944445</v>
      </c>
      <c r="P2445" s="334" t="str">
        <f t="shared" si="4"/>
        <v>東鐵岡山:直納ＨＳ１(単体H1/電特A/HS))</v>
      </c>
    </row>
    <row r="2446" ht="15.75" customHeight="1">
      <c r="A2446" s="335" t="s">
        <v>3598</v>
      </c>
      <c r="B2446" s="336">
        <v>45927.0</v>
      </c>
      <c r="C2446" s="335" t="s">
        <v>532</v>
      </c>
      <c r="D2446" s="335" t="s">
        <v>77</v>
      </c>
      <c r="E2446" s="337" t="str">
        <f t="shared" si="1"/>
        <v>東鐵岡山:直納</v>
      </c>
      <c r="F2446" s="338" t="s">
        <v>111</v>
      </c>
      <c r="G2446" s="339" t="str">
        <f t="shared" si="2"/>
        <v>東鐵岡山:直納Ｈ１(特A)</v>
      </c>
      <c r="H2446" s="340">
        <f t="shared" si="3"/>
        <v>41.2</v>
      </c>
      <c r="I2446" s="341">
        <v>0.5</v>
      </c>
      <c r="J2446" s="332">
        <f>IFERROR(__xludf.DUMMYFUNCTION("IF(IF(COUNTIF(P$2:P2445, P2446)=0, """", INDEX(H$2:H2445,
MAX(FILTER(ROW(H$2:H2445) - ROW(H$2) + 1, P$2:P2445 = P2446))))=""単価"","""",
IF(COUNTIF(P$2:P2445, P2446)=0, """", INDEX(H$2:H2445,
MAX(FILTER(ROW(H$2:H2445) - ROW(H$2) + 1, P$2:P2445 = P2446)))))"),40.7)</f>
        <v>40.7</v>
      </c>
      <c r="N2446" s="335" t="str">
        <f>IF(MAXIFS('単価履歴'!$O:$O,'単価履歴'!$E:$E,E2446,'単価履歴'!$F:$F,F2446)=O2446,"●","")</f>
        <v/>
      </c>
      <c r="O2446" s="346">
        <v>45927.279756944445</v>
      </c>
      <c r="P2446" s="334" t="str">
        <f t="shared" si="4"/>
        <v>東鐵岡山:直納Ｈ１(特A)</v>
      </c>
    </row>
    <row r="2447" ht="15.75" customHeight="1">
      <c r="A2447" s="335" t="s">
        <v>3599</v>
      </c>
      <c r="B2447" s="336">
        <v>45927.0</v>
      </c>
      <c r="C2447" s="335" t="s">
        <v>532</v>
      </c>
      <c r="D2447" s="335" t="s">
        <v>77</v>
      </c>
      <c r="E2447" s="337" t="str">
        <f t="shared" si="1"/>
        <v>東鐵岡山:直納</v>
      </c>
      <c r="F2447" s="338" t="s">
        <v>116</v>
      </c>
      <c r="G2447" s="339" t="str">
        <f t="shared" si="2"/>
        <v>東鐵岡山:直納Ｈ２(特級)</v>
      </c>
      <c r="H2447" s="340">
        <f t="shared" si="3"/>
        <v>40.5</v>
      </c>
      <c r="I2447" s="341">
        <v>0.5</v>
      </c>
      <c r="J2447" s="332">
        <f>IFERROR(__xludf.DUMMYFUNCTION("IF(IF(COUNTIF(P$2:P2446, P2447)=0, """", INDEX(H$2:H2446,
MAX(FILTER(ROW(H$2:H2446) - ROW(H$2) + 1, P$2:P2446 = P2447))))=""単価"","""",
IF(COUNTIF(P$2:P2446, P2447)=0, """", INDEX(H$2:H2446,
MAX(FILTER(ROW(H$2:H2446) - ROW(H$2) + 1, P$2:P2446 = P2447)))))"),40.0)</f>
        <v>40</v>
      </c>
      <c r="N2447" s="335" t="str">
        <f>IF(MAXIFS('単価履歴'!$O:$O,'単価履歴'!$E:$E,E2447,'単価履歴'!$F:$F,F2447)=O2447,"●","")</f>
        <v/>
      </c>
      <c r="O2447" s="346">
        <v>45927.279756944445</v>
      </c>
      <c r="P2447" s="334" t="str">
        <f t="shared" si="4"/>
        <v>東鐵岡山:直納Ｈ２(特級)</v>
      </c>
    </row>
    <row r="2448" ht="15.75" customHeight="1">
      <c r="A2448" s="335" t="s">
        <v>3600</v>
      </c>
      <c r="B2448" s="336">
        <v>45927.0</v>
      </c>
      <c r="C2448" s="335" t="s">
        <v>532</v>
      </c>
      <c r="D2448" s="335" t="s">
        <v>77</v>
      </c>
      <c r="E2448" s="337" t="str">
        <f t="shared" si="1"/>
        <v>東鐵岡山:直納</v>
      </c>
      <c r="F2448" s="338" t="s">
        <v>119</v>
      </c>
      <c r="G2448" s="339" t="str">
        <f t="shared" si="2"/>
        <v>東鐵岡山:直納Ｈ３(1級)</v>
      </c>
      <c r="H2448" s="340">
        <f t="shared" si="3"/>
        <v>40</v>
      </c>
      <c r="I2448" s="341">
        <v>0.5</v>
      </c>
      <c r="J2448" s="332">
        <f>IFERROR(__xludf.DUMMYFUNCTION("IF(IF(COUNTIF(P$2:P2447, P2448)=0, """", INDEX(H$2:H2447,
MAX(FILTER(ROW(H$2:H2447) - ROW(H$2) + 1, P$2:P2447 = P2448))))=""単価"","""",
IF(COUNTIF(P$2:P2447, P2448)=0, """", INDEX(H$2:H2447,
MAX(FILTER(ROW(H$2:H2447) - ROW(H$2) + 1, P$2:P2447 = P2448)))))"),39.5)</f>
        <v>39.5</v>
      </c>
      <c r="N2448" s="335" t="str">
        <f>IF(MAXIFS('単価履歴'!$O:$O,'単価履歴'!$E:$E,E2448,'単価履歴'!$F:$F,F2448)=O2448,"●","")</f>
        <v/>
      </c>
      <c r="O2448" s="346">
        <v>45927.279756944445</v>
      </c>
      <c r="P2448" s="334" t="str">
        <f t="shared" si="4"/>
        <v>東鐵岡山:直納Ｈ３(1級)</v>
      </c>
    </row>
    <row r="2449" ht="15.75" customHeight="1">
      <c r="A2449" s="335" t="s">
        <v>3601</v>
      </c>
      <c r="B2449" s="336">
        <v>45927.0</v>
      </c>
      <c r="C2449" s="335" t="s">
        <v>532</v>
      </c>
      <c r="D2449" s="335" t="s">
        <v>77</v>
      </c>
      <c r="E2449" s="337" t="str">
        <f t="shared" si="1"/>
        <v>東鐵岡山:直納</v>
      </c>
      <c r="F2449" s="338" t="s">
        <v>122</v>
      </c>
      <c r="G2449" s="339" t="str">
        <f t="shared" si="2"/>
        <v>東鐵岡山:直納Ｌ１(2級)</v>
      </c>
      <c r="H2449" s="340">
        <f t="shared" si="3"/>
        <v>38.5</v>
      </c>
      <c r="I2449" s="341">
        <v>0.5</v>
      </c>
      <c r="J2449" s="332">
        <f>IFERROR(__xludf.DUMMYFUNCTION("IF(IF(COUNTIF(P$2:P2448, P2449)=0, """", INDEX(H$2:H2448,
MAX(FILTER(ROW(H$2:H2448) - ROW(H$2) + 1, P$2:P2448 = P2449))))=""単価"","""",
IF(COUNTIF(P$2:P2448, P2449)=0, """", INDEX(H$2:H2448,
MAX(FILTER(ROW(H$2:H2448) - ROW(H$2) + 1, P$2:P2448 = P2449)))))"),38.0)</f>
        <v>38</v>
      </c>
      <c r="N2449" s="335" t="str">
        <f>IF(MAXIFS('単価履歴'!$O:$O,'単価履歴'!$E:$E,E2449,'単価履歴'!$F:$F,F2449)=O2449,"●","")</f>
        <v/>
      </c>
      <c r="O2449" s="346">
        <v>45927.279756944445</v>
      </c>
      <c r="P2449" s="334" t="str">
        <f t="shared" si="4"/>
        <v>東鐵岡山:直納Ｌ１(2級)</v>
      </c>
    </row>
    <row r="2450" ht="15.75" customHeight="1">
      <c r="A2450" s="335" t="s">
        <v>3602</v>
      </c>
      <c r="B2450" s="336">
        <v>45927.0</v>
      </c>
      <c r="C2450" s="335" t="s">
        <v>532</v>
      </c>
      <c r="D2450" s="335" t="s">
        <v>77</v>
      </c>
      <c r="E2450" s="337" t="str">
        <f t="shared" si="1"/>
        <v>東鐵岡山:直納</v>
      </c>
      <c r="F2450" s="338" t="s">
        <v>573</v>
      </c>
      <c r="G2450" s="339" t="str">
        <f t="shared" si="2"/>
        <v>東鐵岡山:直納Ｌ２(H4･級外･L1ﾊﾞﾗ)</v>
      </c>
      <c r="H2450" s="340">
        <f t="shared" si="3"/>
        <v>35.5</v>
      </c>
      <c r="I2450" s="341">
        <v>0.5</v>
      </c>
      <c r="J2450" s="332">
        <f>IFERROR(__xludf.DUMMYFUNCTION("IF(IF(COUNTIF(P$2:P2449, P2450)=0, """", INDEX(H$2:H2449,
MAX(FILTER(ROW(H$2:H2449) - ROW(H$2) + 1, P$2:P2449 = P2450))))=""単価"","""",
IF(COUNTIF(P$2:P2449, P2450)=0, """", INDEX(H$2:H2449,
MAX(FILTER(ROW(H$2:H2449) - ROW(H$2) + 1, P$2:P2449 = P2450)))))"),35.0)</f>
        <v>35</v>
      </c>
      <c r="N2450" s="335" t="str">
        <f>IF(MAXIFS('単価履歴'!$O:$O,'単価履歴'!$E:$E,E2450,'単価履歴'!$F:$F,F2450)=O2450,"●","")</f>
        <v/>
      </c>
      <c r="O2450" s="346">
        <v>45927.279756944445</v>
      </c>
      <c r="P2450" s="334" t="str">
        <f t="shared" si="4"/>
        <v>東鐵岡山:直納Ｌ２(H4･級外･L1ﾊﾞﾗ)</v>
      </c>
    </row>
    <row r="2451" ht="15.75" customHeight="1">
      <c r="A2451" s="335" t="s">
        <v>3603</v>
      </c>
      <c r="B2451" s="336">
        <v>45927.0</v>
      </c>
      <c r="C2451" s="335" t="s">
        <v>532</v>
      </c>
      <c r="D2451" s="335" t="s">
        <v>77</v>
      </c>
      <c r="E2451" s="337" t="str">
        <f t="shared" si="1"/>
        <v>東鐵岡山:直納</v>
      </c>
      <c r="F2451" s="338" t="s">
        <v>145</v>
      </c>
      <c r="G2451" s="339" t="str">
        <f t="shared" si="2"/>
        <v>東鐵岡山:直納シュレＡ</v>
      </c>
      <c r="H2451" s="340">
        <f t="shared" si="3"/>
        <v>41</v>
      </c>
      <c r="I2451" s="341">
        <v>0.5</v>
      </c>
      <c r="J2451" s="332">
        <f>IFERROR(__xludf.DUMMYFUNCTION("IF(IF(COUNTIF(P$2:P2450, P2451)=0, """", INDEX(H$2:H2450,
MAX(FILTER(ROW(H$2:H2450) - ROW(H$2) + 1, P$2:P2450 = P2451))))=""単価"","""",
IF(COUNTIF(P$2:P2450, P2451)=0, """", INDEX(H$2:H2450,
MAX(FILTER(ROW(H$2:H2450) - ROW(H$2) + 1, P$2:P2450 = P2451)))))"),40.5)</f>
        <v>40.5</v>
      </c>
      <c r="N2451" s="335" t="str">
        <f>IF(MAXIFS('単価履歴'!$O:$O,'単価履歴'!$E:$E,E2451,'単価履歴'!$F:$F,F2451)=O2451,"●","")</f>
        <v/>
      </c>
      <c r="O2451" s="346">
        <v>45927.279756944445</v>
      </c>
      <c r="P2451" s="334" t="str">
        <f t="shared" si="4"/>
        <v>東鐵岡山:直納シュレＡ</v>
      </c>
    </row>
    <row r="2452" ht="15.75" customHeight="1">
      <c r="A2452" s="335" t="s">
        <v>3604</v>
      </c>
      <c r="B2452" s="336">
        <v>45927.0</v>
      </c>
      <c r="C2452" s="335" t="s">
        <v>532</v>
      </c>
      <c r="D2452" s="335" t="s">
        <v>77</v>
      </c>
      <c r="E2452" s="337" t="str">
        <f t="shared" si="1"/>
        <v>東鐵岡山:直納</v>
      </c>
      <c r="F2452" s="338" t="s">
        <v>151</v>
      </c>
      <c r="G2452" s="339" t="str">
        <f t="shared" si="2"/>
        <v>東鐵岡山:直納シュレＣ</v>
      </c>
      <c r="H2452" s="340">
        <f t="shared" si="3"/>
        <v>40.5</v>
      </c>
      <c r="I2452" s="341">
        <v>0.5</v>
      </c>
      <c r="J2452" s="332">
        <f>IFERROR(__xludf.DUMMYFUNCTION("IF(IF(COUNTIF(P$2:P2451, P2452)=0, """", INDEX(H$2:H2451,
MAX(FILTER(ROW(H$2:H2451) - ROW(H$2) + 1, P$2:P2451 = P2452))))=""単価"","""",
IF(COUNTIF(P$2:P2451, P2452)=0, """", INDEX(H$2:H2451,
MAX(FILTER(ROW(H$2:H2451) - ROW(H$2) + 1, P$2:P2451 = P2452)))))"),40.0)</f>
        <v>40</v>
      </c>
      <c r="N2452" s="335" t="str">
        <f>IF(MAXIFS('単価履歴'!$O:$O,'単価履歴'!$E:$E,E2452,'単価履歴'!$F:$F,F2452)=O2452,"●","")</f>
        <v/>
      </c>
      <c r="O2452" s="346">
        <v>45927.279756944445</v>
      </c>
      <c r="P2452" s="334" t="str">
        <f t="shared" si="4"/>
        <v>東鐵岡山:直納シュレＣ</v>
      </c>
    </row>
    <row r="2453" ht="15.75" customHeight="1">
      <c r="A2453" s="335" t="s">
        <v>3605</v>
      </c>
      <c r="B2453" s="336">
        <v>45927.0</v>
      </c>
      <c r="C2453" s="335" t="s">
        <v>532</v>
      </c>
      <c r="D2453" s="335" t="s">
        <v>77</v>
      </c>
      <c r="E2453" s="337" t="str">
        <f t="shared" si="1"/>
        <v>東鐵岡山:直納</v>
      </c>
      <c r="F2453" s="338" t="s">
        <v>130</v>
      </c>
      <c r="G2453" s="339" t="str">
        <f t="shared" si="2"/>
        <v>東鐵岡山:直納新断Ａ</v>
      </c>
      <c r="H2453" s="340">
        <f t="shared" si="3"/>
        <v>41.5</v>
      </c>
      <c r="I2453" s="341">
        <v>0.5</v>
      </c>
      <c r="J2453" s="332">
        <f>IFERROR(__xludf.DUMMYFUNCTION("IF(IF(COUNTIF(P$2:P2452, P2453)=0, """", INDEX(H$2:H2452,
MAX(FILTER(ROW(H$2:H2452) - ROW(H$2) + 1, P$2:P2452 = P2453))))=""単価"","""",
IF(COUNTIF(P$2:P2452, P2453)=0, """", INDEX(H$2:H2452,
MAX(FILTER(ROW(H$2:H2452) - ROW(H$2) + 1, P$2:P2452 = P2453)))))"),41.0)</f>
        <v>41</v>
      </c>
      <c r="N2453" s="335" t="str">
        <f>IF(MAXIFS('単価履歴'!$O:$O,'単価履歴'!$E:$E,E2453,'単価履歴'!$F:$F,F2453)=O2453,"●","")</f>
        <v/>
      </c>
      <c r="O2453" s="346">
        <v>45927.279756944445</v>
      </c>
      <c r="P2453" s="334" t="str">
        <f t="shared" si="4"/>
        <v>東鐵岡山:直納新断Ａ</v>
      </c>
    </row>
    <row r="2454" ht="15.75" customHeight="1">
      <c r="A2454" s="335" t="s">
        <v>3606</v>
      </c>
      <c r="B2454" s="336">
        <v>45927.0</v>
      </c>
      <c r="C2454" s="335" t="s">
        <v>532</v>
      </c>
      <c r="D2454" s="335" t="s">
        <v>77</v>
      </c>
      <c r="E2454" s="337" t="str">
        <f t="shared" si="1"/>
        <v>東鐵岡山:直納</v>
      </c>
      <c r="F2454" s="338" t="s">
        <v>131</v>
      </c>
      <c r="G2454" s="339" t="str">
        <f t="shared" si="2"/>
        <v>東鐵岡山:直納新断Ｂ</v>
      </c>
      <c r="H2454" s="340">
        <f t="shared" si="3"/>
        <v>41.5</v>
      </c>
      <c r="I2454" s="341">
        <v>0.5</v>
      </c>
      <c r="J2454" s="332">
        <f>IFERROR(__xludf.DUMMYFUNCTION("IF(IF(COUNTIF(P$2:P2453, P2454)=0, """", INDEX(H$2:H2453,
MAX(FILTER(ROW(H$2:H2453) - ROW(H$2) + 1, P$2:P2453 = P2454))))=""単価"","""",
IF(COUNTIF(P$2:P2453, P2454)=0, """", INDEX(H$2:H2453,
MAX(FILTER(ROW(H$2:H2453) - ROW(H$2) + 1, P$2:P2453 = P2454)))))"),41.0)</f>
        <v>41</v>
      </c>
      <c r="N2454" s="335" t="str">
        <f>IF(MAXIFS('単価履歴'!$O:$O,'単価履歴'!$E:$E,E2454,'単価履歴'!$F:$F,F2454)=O2454,"●","")</f>
        <v/>
      </c>
      <c r="O2454" s="346">
        <v>45927.279756944445</v>
      </c>
      <c r="P2454" s="334" t="str">
        <f t="shared" si="4"/>
        <v>東鐵岡山:直納新断Ｂ</v>
      </c>
    </row>
    <row r="2455" ht="15.75" customHeight="1">
      <c r="A2455" s="335" t="s">
        <v>3607</v>
      </c>
      <c r="B2455" s="336">
        <v>45927.0</v>
      </c>
      <c r="C2455" s="335" t="s">
        <v>532</v>
      </c>
      <c r="D2455" s="335" t="s">
        <v>77</v>
      </c>
      <c r="E2455" s="337" t="str">
        <f t="shared" si="1"/>
        <v>東鐵岡山:直納</v>
      </c>
      <c r="F2455" s="338" t="s">
        <v>575</v>
      </c>
      <c r="G2455" s="339" t="str">
        <f t="shared" si="2"/>
        <v>東鐵岡山:直納鋼ダライＡ</v>
      </c>
      <c r="H2455" s="340">
        <f t="shared" si="3"/>
        <v>36.5</v>
      </c>
      <c r="I2455" s="341">
        <v>0.5</v>
      </c>
      <c r="J2455" s="332">
        <f>IFERROR(__xludf.DUMMYFUNCTION("IF(IF(COUNTIF(P$2:P2454, P2455)=0, """", INDEX(H$2:H2454,
MAX(FILTER(ROW(H$2:H2454) - ROW(H$2) + 1, P$2:P2454 = P2455))))=""単価"","""",
IF(COUNTIF(P$2:P2454, P2455)=0, """", INDEX(H$2:H2454,
MAX(FILTER(ROW(H$2:H2454) - ROW(H$2) + 1, P$2:P2454 = P2455)))))"),36.0)</f>
        <v>36</v>
      </c>
      <c r="N2455" s="335" t="str">
        <f>IF(MAXIFS('単価履歴'!$O:$O,'単価履歴'!$E:$E,E2455,'単価履歴'!$F:$F,F2455)=O2455,"●","")</f>
        <v/>
      </c>
      <c r="O2455" s="346">
        <v>45927.279756944445</v>
      </c>
      <c r="P2455" s="334" t="str">
        <f t="shared" si="4"/>
        <v>東鐵岡山:直納鋼ダライＡ</v>
      </c>
    </row>
    <row r="2456" ht="15.75" customHeight="1">
      <c r="A2456" s="335" t="s">
        <v>3608</v>
      </c>
      <c r="B2456" s="336">
        <v>45927.0</v>
      </c>
      <c r="C2456" s="335" t="s">
        <v>532</v>
      </c>
      <c r="D2456" s="335" t="s">
        <v>77</v>
      </c>
      <c r="E2456" s="337" t="str">
        <f t="shared" si="1"/>
        <v>東鐵岡山:直納</v>
      </c>
      <c r="F2456" s="338" t="s">
        <v>25</v>
      </c>
      <c r="G2456" s="339" t="str">
        <f t="shared" si="2"/>
        <v>東鐵岡山:直納銑ダライ</v>
      </c>
      <c r="H2456" s="340">
        <f t="shared" si="3"/>
        <v>33</v>
      </c>
      <c r="I2456" s="341">
        <v>0.5</v>
      </c>
      <c r="J2456" s="332">
        <f>IFERROR(__xludf.DUMMYFUNCTION("IF(IF(COUNTIF(P$2:P2455, P2456)=0, """", INDEX(H$2:H2455,
MAX(FILTER(ROW(H$2:H2455) - ROW(H$2) + 1, P$2:P2455 = P2456))))=""単価"","""",
IF(COUNTIF(P$2:P2455, P2456)=0, """", INDEX(H$2:H2455,
MAX(FILTER(ROW(H$2:H2455) - ROW(H$2) + 1, P$2:P2455 = P2456)))))"),32.5)</f>
        <v>32.5</v>
      </c>
      <c r="N2456" s="335" t="str">
        <f>IF(MAXIFS('単価履歴'!$O:$O,'単価履歴'!$E:$E,E2456,'単価履歴'!$F:$F,F2456)=O2456,"●","")</f>
        <v/>
      </c>
      <c r="O2456" s="346">
        <v>45927.279756944445</v>
      </c>
      <c r="P2456" s="334" t="str">
        <f t="shared" si="4"/>
        <v>東鐵岡山:直納銑ダライ</v>
      </c>
    </row>
    <row r="2457" ht="15.75" customHeight="1">
      <c r="A2457" s="335" t="s">
        <v>3609</v>
      </c>
      <c r="B2457" s="336">
        <v>45927.0</v>
      </c>
      <c r="C2457" s="335" t="s">
        <v>532</v>
      </c>
      <c r="D2457" s="335" t="s">
        <v>77</v>
      </c>
      <c r="E2457" s="337" t="str">
        <f t="shared" si="1"/>
        <v>東鐵岡山:直納</v>
      </c>
      <c r="F2457" s="338" t="s">
        <v>154</v>
      </c>
      <c r="G2457" s="339" t="str">
        <f t="shared" si="2"/>
        <v>東鐵岡山:直納ＣＰ Ａ</v>
      </c>
      <c r="H2457" s="340">
        <f t="shared" si="3"/>
        <v>39</v>
      </c>
      <c r="I2457" s="341">
        <v>0.5</v>
      </c>
      <c r="J2457" s="332">
        <f>IFERROR(__xludf.DUMMYFUNCTION("IF(IF(COUNTIF(P$2:P2456, P2457)=0, """", INDEX(H$2:H2456,
MAX(FILTER(ROW(H$2:H2456) - ROW(H$2) + 1, P$2:P2456 = P2457))))=""単価"","""",
IF(COUNTIF(P$2:P2456, P2457)=0, """", INDEX(H$2:H2456,
MAX(FILTER(ROW(H$2:H2456) - ROW(H$2) + 1, P$2:P2456 = P2457)))))"),38.5)</f>
        <v>38.5</v>
      </c>
      <c r="N2457" s="335" t="str">
        <f>IF(MAXIFS('単価履歴'!$O:$O,'単価履歴'!$E:$E,E2457,'単価履歴'!$F:$F,F2457)=O2457,"●","")</f>
        <v/>
      </c>
      <c r="O2457" s="346">
        <v>45927.279756944445</v>
      </c>
      <c r="P2457" s="334" t="str">
        <f t="shared" si="4"/>
        <v>東鐵岡山:直納ＣＰ Ａ</v>
      </c>
    </row>
    <row r="2458" ht="15.75" customHeight="1">
      <c r="A2458" s="335" t="s">
        <v>3610</v>
      </c>
      <c r="B2458" s="336">
        <v>45927.0</v>
      </c>
      <c r="C2458" s="335" t="s">
        <v>28</v>
      </c>
      <c r="D2458" s="335" t="s">
        <v>52</v>
      </c>
      <c r="E2458" s="337" t="str">
        <f t="shared" si="1"/>
        <v>ＪＦＥ条鋼:リバイブ</v>
      </c>
      <c r="F2458" s="338" t="s">
        <v>111</v>
      </c>
      <c r="G2458" s="339" t="str">
        <f t="shared" si="2"/>
        <v>ＪＦＥ条鋼:リバイブＨ１(特A)</v>
      </c>
      <c r="H2458" s="340">
        <f t="shared" si="3"/>
        <v>37.5</v>
      </c>
      <c r="I2458" s="341">
        <v>1.0</v>
      </c>
      <c r="J2458" s="332">
        <f>IFERROR(__xludf.DUMMYFUNCTION("IF(IF(COUNTIF(P$2:P2457, P2458)=0, """", INDEX(H$2:H2457,
MAX(FILTER(ROW(H$2:H2457) - ROW(H$2) + 1, P$2:P2457 = P2458))))=""単価"","""",
IF(COUNTIF(P$2:P2457, P2458)=0, """", INDEX(H$2:H2457,
MAX(FILTER(ROW(H$2:H2457) - ROW(H$2) + 1, P$2:P2457 = P2458)))))"),36.5)</f>
        <v>36.5</v>
      </c>
      <c r="N2458" s="335" t="str">
        <f>IF(MAXIFS('単価履歴'!$O:$O,'単価履歴'!$E:$E,E2458,'単価履歴'!$F:$F,F2458)=O2458,"●","")</f>
        <v/>
      </c>
      <c r="O2458" s="346">
        <v>45929.38041666667</v>
      </c>
      <c r="P2458" s="334" t="str">
        <f t="shared" si="4"/>
        <v>ＪＦＥ条鋼:リバイブＨ１(特A)</v>
      </c>
    </row>
    <row r="2459" ht="15.75" customHeight="1">
      <c r="A2459" s="335" t="s">
        <v>3611</v>
      </c>
      <c r="B2459" s="336">
        <v>45927.0</v>
      </c>
      <c r="C2459" s="335" t="s">
        <v>28</v>
      </c>
      <c r="D2459" s="335" t="s">
        <v>52</v>
      </c>
      <c r="E2459" s="337" t="str">
        <f t="shared" si="1"/>
        <v>ＪＦＥ条鋼:リバイブ</v>
      </c>
      <c r="F2459" s="338" t="s">
        <v>116</v>
      </c>
      <c r="G2459" s="339" t="str">
        <f t="shared" si="2"/>
        <v>ＪＦＥ条鋼:リバイブＨ２(特級)</v>
      </c>
      <c r="H2459" s="340">
        <f t="shared" si="3"/>
        <v>37.5</v>
      </c>
      <c r="I2459" s="341">
        <v>1.0</v>
      </c>
      <c r="J2459" s="332">
        <f>IFERROR(__xludf.DUMMYFUNCTION("IF(IF(COUNTIF(P$2:P2458, P2459)=0, """", INDEX(H$2:H2458,
MAX(FILTER(ROW(H$2:H2458) - ROW(H$2) + 1, P$2:P2458 = P2459))))=""単価"","""",
IF(COUNTIF(P$2:P2458, P2459)=0, """", INDEX(H$2:H2458,
MAX(FILTER(ROW(H$2:H2458) - ROW(H$2) + 1, P$2:P2458 = P2459)))))"),36.5)</f>
        <v>36.5</v>
      </c>
      <c r="N2459" s="335" t="str">
        <f>IF(MAXIFS('単価履歴'!$O:$O,'単価履歴'!$E:$E,E2459,'単価履歴'!$F:$F,F2459)=O2459,"●","")</f>
        <v/>
      </c>
      <c r="O2459" s="346">
        <v>45929.38041666667</v>
      </c>
      <c r="P2459" s="334" t="str">
        <f t="shared" si="4"/>
        <v>ＪＦＥ条鋼:リバイブＨ２(特級)</v>
      </c>
    </row>
    <row r="2460" ht="15.75" customHeight="1">
      <c r="A2460" s="335" t="s">
        <v>3612</v>
      </c>
      <c r="B2460" s="336">
        <v>45927.0</v>
      </c>
      <c r="C2460" s="335" t="s">
        <v>28</v>
      </c>
      <c r="D2460" s="335" t="s">
        <v>52</v>
      </c>
      <c r="E2460" s="337" t="str">
        <f t="shared" si="1"/>
        <v>ＪＦＥ条鋼:リバイブ</v>
      </c>
      <c r="F2460" s="338" t="s">
        <v>119</v>
      </c>
      <c r="G2460" s="339" t="str">
        <f t="shared" si="2"/>
        <v>ＪＦＥ条鋼:リバイブＨ３(1級)</v>
      </c>
      <c r="H2460" s="340">
        <f t="shared" si="3"/>
        <v>36.5</v>
      </c>
      <c r="I2460" s="341">
        <v>1.0</v>
      </c>
      <c r="J2460" s="332">
        <f>IFERROR(__xludf.DUMMYFUNCTION("IF(IF(COUNTIF(P$2:P2459, P2460)=0, """", INDEX(H$2:H2459,
MAX(FILTER(ROW(H$2:H2459) - ROW(H$2) + 1, P$2:P2459 = P2460))))=""単価"","""",
IF(COUNTIF(P$2:P2459, P2460)=0, """", INDEX(H$2:H2459,
MAX(FILTER(ROW(H$2:H2459) - ROW(H$2) + 1, P$2:P2459 = P2460)))))"),35.5)</f>
        <v>35.5</v>
      </c>
      <c r="N2460" s="335" t="str">
        <f>IF(MAXIFS('単価履歴'!$O:$O,'単価履歴'!$E:$E,E2460,'単価履歴'!$F:$F,F2460)=O2460,"●","")</f>
        <v/>
      </c>
      <c r="O2460" s="346">
        <v>45929.38041666667</v>
      </c>
      <c r="P2460" s="334" t="str">
        <f t="shared" si="4"/>
        <v>ＪＦＥ条鋼:リバイブＨ３(1級)</v>
      </c>
    </row>
    <row r="2461" ht="15.75" customHeight="1">
      <c r="A2461" s="335" t="s">
        <v>3613</v>
      </c>
      <c r="B2461" s="336">
        <v>45927.0</v>
      </c>
      <c r="C2461" s="335" t="s">
        <v>28</v>
      </c>
      <c r="D2461" s="335" t="s">
        <v>52</v>
      </c>
      <c r="E2461" s="337" t="str">
        <f t="shared" si="1"/>
        <v>ＪＦＥ条鋼:リバイブ</v>
      </c>
      <c r="F2461" s="338" t="s">
        <v>122</v>
      </c>
      <c r="G2461" s="339" t="str">
        <f t="shared" si="2"/>
        <v>ＪＦＥ条鋼:リバイブＬ１(2級)</v>
      </c>
      <c r="H2461" s="340">
        <f t="shared" si="3"/>
        <v>33.5</v>
      </c>
      <c r="I2461" s="341">
        <v>1.0</v>
      </c>
      <c r="J2461" s="332">
        <f>IFERROR(__xludf.DUMMYFUNCTION("IF(IF(COUNTIF(P$2:P2460, P2461)=0, """", INDEX(H$2:H2460,
MAX(FILTER(ROW(H$2:H2460) - ROW(H$2) + 1, P$2:P2460 = P2461))))=""単価"","""",
IF(COUNTIF(P$2:P2460, P2461)=0, """", INDEX(H$2:H2460,
MAX(FILTER(ROW(H$2:H2460) - ROW(H$2) + 1, P$2:P2460 = P2461)))))"),32.5)</f>
        <v>32.5</v>
      </c>
      <c r="N2461" s="335" t="str">
        <f>IF(MAXIFS('単価履歴'!$O:$O,'単価履歴'!$E:$E,E2461,'単価履歴'!$F:$F,F2461)=O2461,"●","")</f>
        <v/>
      </c>
      <c r="O2461" s="346">
        <v>45929.38041666667</v>
      </c>
      <c r="P2461" s="334" t="str">
        <f t="shared" si="4"/>
        <v>ＪＦＥ条鋼:リバイブＬ１(2級)</v>
      </c>
    </row>
    <row r="2462" ht="15.75" customHeight="1">
      <c r="A2462" s="335" t="s">
        <v>3614</v>
      </c>
      <c r="B2462" s="336">
        <v>45927.0</v>
      </c>
      <c r="C2462" s="335" t="s">
        <v>28</v>
      </c>
      <c r="D2462" s="335" t="s">
        <v>52</v>
      </c>
      <c r="E2462" s="337" t="str">
        <f t="shared" si="1"/>
        <v>ＪＦＥ条鋼:リバイブ</v>
      </c>
      <c r="F2462" s="338" t="s">
        <v>573</v>
      </c>
      <c r="G2462" s="339" t="str">
        <f t="shared" si="2"/>
        <v>ＪＦＥ条鋼:リバイブＬ２(H4･級外･L1ﾊﾞﾗ)</v>
      </c>
      <c r="H2462" s="340">
        <f t="shared" si="3"/>
        <v>28.5</v>
      </c>
      <c r="I2462" s="341">
        <v>1.0</v>
      </c>
      <c r="J2462" s="332">
        <f>IFERROR(__xludf.DUMMYFUNCTION("IF(IF(COUNTIF(P$2:P2461, P2462)=0, """", INDEX(H$2:H2461,
MAX(FILTER(ROW(H$2:H2461) - ROW(H$2) + 1, P$2:P2461 = P2462))))=""単価"","""",
IF(COUNTIF(P$2:P2461, P2462)=0, """", INDEX(H$2:H2461,
MAX(FILTER(ROW(H$2:H2461) - ROW(H$2) + 1, P$2:P2461 = P2462)))))"),27.5)</f>
        <v>27.5</v>
      </c>
      <c r="N2462" s="335" t="str">
        <f>IF(MAXIFS('単価履歴'!$O:$O,'単価履歴'!$E:$E,E2462,'単価履歴'!$F:$F,F2462)=O2462,"●","")</f>
        <v/>
      </c>
      <c r="O2462" s="346">
        <v>45929.38041666667</v>
      </c>
      <c r="P2462" s="334" t="str">
        <f t="shared" si="4"/>
        <v>ＪＦＥ条鋼:リバイブＬ２(H4･級外･L1ﾊﾞﾗ)</v>
      </c>
    </row>
    <row r="2463" ht="15.75" customHeight="1">
      <c r="A2463" s="335" t="s">
        <v>3615</v>
      </c>
      <c r="B2463" s="336">
        <v>45927.0</v>
      </c>
      <c r="C2463" s="335" t="s">
        <v>28</v>
      </c>
      <c r="D2463" s="335" t="s">
        <v>52</v>
      </c>
      <c r="E2463" s="337" t="str">
        <f t="shared" si="1"/>
        <v>ＪＦＥ条鋼:リバイブ</v>
      </c>
      <c r="F2463" s="338" t="s">
        <v>130</v>
      </c>
      <c r="G2463" s="339" t="str">
        <f t="shared" si="2"/>
        <v>ＪＦＥ条鋼:リバイブ新断Ａ</v>
      </c>
      <c r="H2463" s="340">
        <f t="shared" si="3"/>
        <v>43</v>
      </c>
      <c r="I2463" s="341">
        <v>1.0</v>
      </c>
      <c r="J2463" s="332">
        <f>IFERROR(__xludf.DUMMYFUNCTION("IF(IF(COUNTIF(P$2:P2462, P2463)=0, """", INDEX(H$2:H2462,
MAX(FILTER(ROW(H$2:H2462) - ROW(H$2) + 1, P$2:P2462 = P2463))))=""単価"","""",
IF(COUNTIF(P$2:P2462, P2463)=0, """", INDEX(H$2:H2462,
MAX(FILTER(ROW(H$2:H2462) - ROW(H$2) + 1, P$2:P2462 = P2463)))))"),42.0)</f>
        <v>42</v>
      </c>
      <c r="N2463" s="335" t="str">
        <f>IF(MAXIFS('単価履歴'!$O:$O,'単価履歴'!$E:$E,E2463,'単価履歴'!$F:$F,F2463)=O2463,"●","")</f>
        <v/>
      </c>
      <c r="O2463" s="346">
        <v>45929.38041666667</v>
      </c>
      <c r="P2463" s="334" t="str">
        <f t="shared" si="4"/>
        <v>ＪＦＥ条鋼:リバイブ新断Ａ</v>
      </c>
    </row>
    <row r="2464" ht="15.75" customHeight="1">
      <c r="A2464" s="335" t="s">
        <v>3616</v>
      </c>
      <c r="B2464" s="336">
        <v>45927.0</v>
      </c>
      <c r="C2464" s="335" t="s">
        <v>28</v>
      </c>
      <c r="D2464" s="335" t="s">
        <v>52</v>
      </c>
      <c r="E2464" s="337" t="str">
        <f t="shared" si="1"/>
        <v>ＪＦＥ条鋼:リバイブ</v>
      </c>
      <c r="F2464" s="338" t="s">
        <v>131</v>
      </c>
      <c r="G2464" s="339" t="str">
        <f t="shared" si="2"/>
        <v>ＪＦＥ条鋼:リバイブ新断Ｂ</v>
      </c>
      <c r="H2464" s="340">
        <f t="shared" si="3"/>
        <v>42</v>
      </c>
      <c r="I2464" s="341">
        <v>1.0</v>
      </c>
      <c r="J2464" s="332">
        <f>IFERROR(__xludf.DUMMYFUNCTION("IF(IF(COUNTIF(P$2:P2463, P2464)=0, """", INDEX(H$2:H2463,
MAX(FILTER(ROW(H$2:H2463) - ROW(H$2) + 1, P$2:P2463 = P2464))))=""単価"","""",
IF(COUNTIF(P$2:P2463, P2464)=0, """", INDEX(H$2:H2463,
MAX(FILTER(ROW(H$2:H2463) - ROW(H$2) + 1, P$2:P2463 = P2464)))))"),41.0)</f>
        <v>41</v>
      </c>
      <c r="N2464" s="335" t="str">
        <f>IF(MAXIFS('単価履歴'!$O:$O,'単価履歴'!$E:$E,E2464,'単価履歴'!$F:$F,F2464)=O2464,"●","")</f>
        <v/>
      </c>
      <c r="O2464" s="346">
        <v>45929.38041666667</v>
      </c>
      <c r="P2464" s="334" t="str">
        <f t="shared" si="4"/>
        <v>ＪＦＥ条鋼:リバイブ新断Ｂ</v>
      </c>
    </row>
    <row r="2465" ht="15.75" customHeight="1">
      <c r="A2465" s="335" t="s">
        <v>3617</v>
      </c>
      <c r="B2465" s="336">
        <v>45927.0</v>
      </c>
      <c r="C2465" s="335" t="s">
        <v>28</v>
      </c>
      <c r="D2465" s="335" t="s">
        <v>52</v>
      </c>
      <c r="E2465" s="337" t="str">
        <f t="shared" si="1"/>
        <v>ＪＦＥ条鋼:リバイブ</v>
      </c>
      <c r="F2465" s="338" t="s">
        <v>575</v>
      </c>
      <c r="G2465" s="339" t="str">
        <f t="shared" si="2"/>
        <v>ＪＦＥ条鋼:リバイブ鋼ダライＡ</v>
      </c>
      <c r="H2465" s="340">
        <f t="shared" si="3"/>
        <v>36.5</v>
      </c>
      <c r="I2465" s="341">
        <v>1.0</v>
      </c>
      <c r="J2465" s="332">
        <f>IFERROR(__xludf.DUMMYFUNCTION("IF(IF(COUNTIF(P$2:P2464, P2465)=0, """", INDEX(H$2:H2464,
MAX(FILTER(ROW(H$2:H2464) - ROW(H$2) + 1, P$2:P2464 = P2465))))=""単価"","""",
IF(COUNTIF(P$2:P2464, P2465)=0, """", INDEX(H$2:H2464,
MAX(FILTER(ROW(H$2:H2464) - ROW(H$2) + 1, P$2:P2464 = P2465)))))"),35.5)</f>
        <v>35.5</v>
      </c>
      <c r="N2465" s="335" t="str">
        <f>IF(MAXIFS('単価履歴'!$O:$O,'単価履歴'!$E:$E,E2465,'単価履歴'!$F:$F,F2465)=O2465,"●","")</f>
        <v/>
      </c>
      <c r="O2465" s="346">
        <v>45929.38041666667</v>
      </c>
      <c r="P2465" s="334" t="str">
        <f t="shared" si="4"/>
        <v>ＪＦＥ条鋼:リバイブ鋼ダライＡ</v>
      </c>
    </row>
    <row r="2466" ht="15.75" customHeight="1">
      <c r="A2466" s="335" t="s">
        <v>3618</v>
      </c>
      <c r="B2466" s="336">
        <v>45927.0</v>
      </c>
      <c r="C2466" s="335" t="s">
        <v>28</v>
      </c>
      <c r="D2466" s="335" t="s">
        <v>52</v>
      </c>
      <c r="E2466" s="337" t="str">
        <f t="shared" si="1"/>
        <v>ＪＦＥ条鋼:リバイブ</v>
      </c>
      <c r="F2466" s="338" t="s">
        <v>154</v>
      </c>
      <c r="G2466" s="339" t="str">
        <f t="shared" si="2"/>
        <v>ＪＦＥ条鋼:リバイブＣＰ Ａ</v>
      </c>
      <c r="H2466" s="340">
        <f t="shared" si="3"/>
        <v>43</v>
      </c>
      <c r="I2466" s="341">
        <v>0.5</v>
      </c>
      <c r="J2466" s="332">
        <f>IFERROR(__xludf.DUMMYFUNCTION("IF(IF(COUNTIF(P$2:P2465, P2466)=0, """", INDEX(H$2:H2465,
MAX(FILTER(ROW(H$2:H2465) - ROW(H$2) + 1, P$2:P2465 = P2466))))=""単価"","""",
IF(COUNTIF(P$2:P2465, P2466)=0, """", INDEX(H$2:H2465,
MAX(FILTER(ROW(H$2:H2465) - ROW(H$2) + 1, P$2:P2465 = P2466)))))"),42.5)</f>
        <v>42.5</v>
      </c>
      <c r="N2466" s="335" t="str">
        <f>IF(MAXIFS('単価履歴'!$O:$O,'単価履歴'!$E:$E,E2466,'単価履歴'!$F:$F,F2466)=O2466,"●","")</f>
        <v/>
      </c>
      <c r="O2466" s="346">
        <v>45929.38068287037</v>
      </c>
      <c r="P2466" s="334" t="str">
        <f t="shared" si="4"/>
        <v>ＪＦＥ条鋼:リバイブＣＰ Ａ</v>
      </c>
    </row>
    <row r="2467" ht="15.75" customHeight="1">
      <c r="A2467" s="335" t="s">
        <v>3619</v>
      </c>
      <c r="B2467" s="336">
        <v>45930.0</v>
      </c>
      <c r="C2467" s="335" t="s">
        <v>12</v>
      </c>
      <c r="D2467" s="335" t="s">
        <v>50</v>
      </c>
      <c r="E2467" s="337" t="str">
        <f t="shared" si="1"/>
        <v>山陽特殊:産振</v>
      </c>
      <c r="F2467" s="338" t="s">
        <v>1199</v>
      </c>
      <c r="G2467" s="339" t="str">
        <f t="shared" si="2"/>
        <v>山陽特殊:産振ＨＳ１(単体H1/電特A/HS))</v>
      </c>
      <c r="H2467" s="340">
        <f t="shared" si="3"/>
        <v>43.1</v>
      </c>
      <c r="I2467" s="341">
        <v>0.5</v>
      </c>
      <c r="J2467" s="332">
        <f>IFERROR(__xludf.DUMMYFUNCTION("IF(IF(COUNTIF(P$2:P2466, P2467)=0, """", INDEX(H$2:H2466,
MAX(FILTER(ROW(H$2:H2466) - ROW(H$2) + 1, P$2:P2466 = P2467))))=""単価"","""",
IF(COUNTIF(P$2:P2466, P2467)=0, """", INDEX(H$2:H2466,
MAX(FILTER(ROW(H$2:H2466) - ROW(H$2) + 1, P$2:P2466 = P2467)))))"),42.6)</f>
        <v>42.6</v>
      </c>
      <c r="N2467" s="335" t="str">
        <f>IF(MAXIFS('単価履歴'!$O:$O,'単価履歴'!$E:$E,E2467,'単価履歴'!$F:$F,F2467)=O2467,"●","")</f>
        <v/>
      </c>
      <c r="O2467" s="346">
        <v>45930.59512731481</v>
      </c>
      <c r="P2467" s="334" t="str">
        <f t="shared" si="4"/>
        <v>山陽特殊:産振ＨＳ１(単体H1/電特A/HS))</v>
      </c>
    </row>
    <row r="2468" ht="15.75" customHeight="1">
      <c r="A2468" s="335" t="s">
        <v>3620</v>
      </c>
      <c r="B2468" s="336">
        <v>45930.0</v>
      </c>
      <c r="C2468" s="335" t="s">
        <v>12</v>
      </c>
      <c r="D2468" s="335" t="s">
        <v>50</v>
      </c>
      <c r="E2468" s="337" t="str">
        <f t="shared" si="1"/>
        <v>山陽特殊:産振</v>
      </c>
      <c r="F2468" s="338" t="s">
        <v>101</v>
      </c>
      <c r="G2468" s="339" t="str">
        <f t="shared" si="2"/>
        <v>山陽特殊:産振ＨＳ２</v>
      </c>
      <c r="H2468" s="340">
        <f t="shared" si="3"/>
        <v>42.9</v>
      </c>
      <c r="I2468" s="341">
        <v>0.5</v>
      </c>
      <c r="J2468" s="332">
        <f>IFERROR(__xludf.DUMMYFUNCTION("IF(IF(COUNTIF(P$2:P2467, P2468)=0, """", INDEX(H$2:H2467,
MAX(FILTER(ROW(H$2:H2467) - ROW(H$2) + 1, P$2:P2467 = P2468))))=""単価"","""",
IF(COUNTIF(P$2:P2467, P2468)=0, """", INDEX(H$2:H2467,
MAX(FILTER(ROW(H$2:H2467) - ROW(H$2) + 1, P$2:P2467 = P2468)))))"),42.4)</f>
        <v>42.4</v>
      </c>
      <c r="N2468" s="335" t="str">
        <f>IF(MAXIFS('単価履歴'!$O:$O,'単価履歴'!$E:$E,E2468,'単価履歴'!$F:$F,F2468)=O2468,"●","")</f>
        <v/>
      </c>
      <c r="O2468" s="346">
        <v>45930.59512731481</v>
      </c>
      <c r="P2468" s="334" t="str">
        <f t="shared" si="4"/>
        <v>山陽特殊:産振ＨＳ２</v>
      </c>
    </row>
    <row r="2469" ht="15.75" customHeight="1">
      <c r="A2469" s="335" t="s">
        <v>3621</v>
      </c>
      <c r="B2469" s="336">
        <v>45930.0</v>
      </c>
      <c r="C2469" s="335" t="s">
        <v>12</v>
      </c>
      <c r="D2469" s="335" t="s">
        <v>50</v>
      </c>
      <c r="E2469" s="337" t="str">
        <f t="shared" si="1"/>
        <v>山陽特殊:産振</v>
      </c>
      <c r="F2469" s="338" t="s">
        <v>105</v>
      </c>
      <c r="G2469" s="339" t="str">
        <f t="shared" si="2"/>
        <v>山陽特殊:産振ＨＳ３</v>
      </c>
      <c r="H2469" s="340">
        <f t="shared" si="3"/>
        <v>40.9</v>
      </c>
      <c r="I2469" s="341">
        <v>0.5</v>
      </c>
      <c r="J2469" s="332">
        <f>IFERROR(__xludf.DUMMYFUNCTION("IF(IF(COUNTIF(P$2:P2468, P2469)=0, """", INDEX(H$2:H2468,
MAX(FILTER(ROW(H$2:H2468) - ROW(H$2) + 1, P$2:P2468 = P2469))))=""単価"","""",
IF(COUNTIF(P$2:P2468, P2469)=0, """", INDEX(H$2:H2468,
MAX(FILTER(ROW(H$2:H2468) - ROW(H$2) + 1, P$2:P2468 = P2469)))))"),40.4)</f>
        <v>40.4</v>
      </c>
      <c r="N2469" s="335" t="str">
        <f>IF(MAXIFS('単価履歴'!$O:$O,'単価履歴'!$E:$E,E2469,'単価履歴'!$F:$F,F2469)=O2469,"●","")</f>
        <v/>
      </c>
      <c r="O2469" s="346">
        <v>45930.59512731481</v>
      </c>
      <c r="P2469" s="334" t="str">
        <f t="shared" si="4"/>
        <v>山陽特殊:産振ＨＳ３</v>
      </c>
    </row>
    <row r="2470" ht="15.75" customHeight="1">
      <c r="A2470" s="335" t="s">
        <v>3622</v>
      </c>
      <c r="B2470" s="336">
        <v>45933.0</v>
      </c>
      <c r="C2470" s="335" t="s">
        <v>534</v>
      </c>
      <c r="D2470" s="335" t="s">
        <v>46</v>
      </c>
      <c r="E2470" s="337" t="str">
        <f t="shared" si="1"/>
        <v>合同姫路:阪和</v>
      </c>
      <c r="F2470" s="338" t="s">
        <v>130</v>
      </c>
      <c r="G2470" s="339" t="str">
        <f t="shared" si="2"/>
        <v>合同姫路:阪和新断Ａ</v>
      </c>
      <c r="H2470" s="340">
        <f t="shared" si="3"/>
        <v>45.8</v>
      </c>
      <c r="I2470" s="341">
        <v>45.8</v>
      </c>
      <c r="J2470" s="332" t="str">
        <f>IFERROR(__xludf.DUMMYFUNCTION("IF(IF(COUNTIF(P$2:P2469, P2470)=0, """", INDEX(H$2:H2469,
MAX(FILTER(ROW(H$2:H2469) - ROW(H$2) + 1, P$2:P2469 = P2470))))=""単価"","""",
IF(COUNTIF(P$2:P2469, P2470)=0, """", INDEX(H$2:H2469,
MAX(FILTER(ROW(H$2:H2469) - ROW(H$2) + 1, P$2:P2469 = P2470)))))"),"")</f>
        <v/>
      </c>
      <c r="N2470" s="335" t="str">
        <f>IF(MAXIFS('単価履歴'!$O:$O,'単価履歴'!$E:$E,E2470,'単価履歴'!$F:$F,F2470)=O2470,"●","")</f>
        <v/>
      </c>
      <c r="O2470" s="346">
        <v>45933.564664351856</v>
      </c>
      <c r="P2470" s="334" t="str">
        <f t="shared" si="4"/>
        <v>合同姫路:阪和新断Ａ</v>
      </c>
    </row>
    <row r="2471" ht="15.75" customHeight="1">
      <c r="A2471" s="335" t="s">
        <v>3623</v>
      </c>
      <c r="B2471" s="336">
        <v>45937.0</v>
      </c>
      <c r="C2471" s="335" t="s">
        <v>531</v>
      </c>
      <c r="D2471" s="335" t="s">
        <v>77</v>
      </c>
      <c r="E2471" s="337" t="str">
        <f t="shared" si="1"/>
        <v>東鐵関西:直納</v>
      </c>
      <c r="F2471" s="338" t="s">
        <v>1199</v>
      </c>
      <c r="G2471" s="339" t="str">
        <f t="shared" si="2"/>
        <v>東鐵関西:直納ＨＳ１(単体H1/電特A/HS))</v>
      </c>
      <c r="H2471" s="340">
        <f t="shared" si="3"/>
        <v>42.5</v>
      </c>
      <c r="I2471" s="341">
        <v>0.5</v>
      </c>
      <c r="J2471" s="332">
        <f>IFERROR(__xludf.DUMMYFUNCTION("IF(IF(COUNTIF(P$2:P2470, P2471)=0, """", INDEX(H$2:H2470,
MAX(FILTER(ROW(H$2:H2470) - ROW(H$2) + 1, P$2:P2470 = P2471))))=""単価"","""",
IF(COUNTIF(P$2:P2470, P2471)=0, """", INDEX(H$2:H2470,
MAX(FILTER(ROW(H$2:H2470) - ROW(H$2) + 1, P$2:P2470 = P2471)))))"),42.0)</f>
        <v>42</v>
      </c>
      <c r="N2471" s="335" t="str">
        <f>IF(MAXIFS('単価履歴'!$O:$O,'単価履歴'!$E:$E,E2471,'単価履歴'!$F:$F,F2471)=O2471,"●","")</f>
        <v/>
      </c>
      <c r="O2471" s="346">
        <v>45937.277546296296</v>
      </c>
      <c r="P2471" s="334" t="str">
        <f t="shared" si="4"/>
        <v>東鐵関西:直納ＨＳ１(単体H1/電特A/HS))</v>
      </c>
    </row>
    <row r="2472" ht="15.75" customHeight="1">
      <c r="A2472" s="335" t="s">
        <v>3624</v>
      </c>
      <c r="B2472" s="336">
        <v>45937.0</v>
      </c>
      <c r="C2472" s="335" t="s">
        <v>531</v>
      </c>
      <c r="D2472" s="335" t="s">
        <v>77</v>
      </c>
      <c r="E2472" s="337" t="str">
        <f t="shared" si="1"/>
        <v>東鐵関西:直納</v>
      </c>
      <c r="F2472" s="338" t="s">
        <v>122</v>
      </c>
      <c r="G2472" s="339" t="str">
        <f t="shared" si="2"/>
        <v>東鐵関西:直納Ｌ１(2級)</v>
      </c>
      <c r="H2472" s="340">
        <f t="shared" si="3"/>
        <v>38</v>
      </c>
      <c r="I2472" s="341">
        <v>0.5</v>
      </c>
      <c r="J2472" s="332">
        <f>IFERROR(__xludf.DUMMYFUNCTION("IF(IF(COUNTIF(P$2:P2471, P2472)=0, """", INDEX(H$2:H2471,
MAX(FILTER(ROW(H$2:H2471) - ROW(H$2) + 1, P$2:P2471 = P2472))))=""単価"","""",
IF(COUNTIF(P$2:P2471, P2472)=0, """", INDEX(H$2:H2471,
MAX(FILTER(ROW(H$2:H2471) - ROW(H$2) + 1, P$2:P2471 = P2472)))))"),37.5)</f>
        <v>37.5</v>
      </c>
      <c r="N2472" s="335" t="str">
        <f>IF(MAXIFS('単価履歴'!$O:$O,'単価履歴'!$E:$E,E2472,'単価履歴'!$F:$F,F2472)=O2472,"●","")</f>
        <v/>
      </c>
      <c r="O2472" s="346">
        <v>45937.277546296296</v>
      </c>
      <c r="P2472" s="334" t="str">
        <f t="shared" si="4"/>
        <v>東鐵関西:直納Ｌ１(2級)</v>
      </c>
    </row>
    <row r="2473" ht="15.75" customHeight="1">
      <c r="A2473" s="335" t="s">
        <v>3625</v>
      </c>
      <c r="B2473" s="336">
        <v>45937.0</v>
      </c>
      <c r="C2473" s="335" t="s">
        <v>531</v>
      </c>
      <c r="D2473" s="335" t="s">
        <v>77</v>
      </c>
      <c r="E2473" s="337" t="str">
        <f t="shared" si="1"/>
        <v>東鐵関西:直納</v>
      </c>
      <c r="F2473" s="338" t="s">
        <v>111</v>
      </c>
      <c r="G2473" s="339" t="str">
        <f t="shared" si="2"/>
        <v>東鐵関西:直納Ｈ１(特A)</v>
      </c>
      <c r="H2473" s="340">
        <f t="shared" si="3"/>
        <v>42</v>
      </c>
      <c r="I2473" s="341">
        <v>0.5</v>
      </c>
      <c r="J2473" s="332">
        <f>IFERROR(__xludf.DUMMYFUNCTION("IF(IF(COUNTIF(P$2:P2472, P2473)=0, """", INDEX(H$2:H2472,
MAX(FILTER(ROW(H$2:H2472) - ROW(H$2) + 1, P$2:P2472 = P2473))))=""単価"","""",
IF(COUNTIF(P$2:P2472, P2473)=0, """", INDEX(H$2:H2472,
MAX(FILTER(ROW(H$2:H2472) - ROW(H$2) + 1, P$2:P2472 = P2473)))))"),41.5)</f>
        <v>41.5</v>
      </c>
      <c r="N2473" s="335" t="str">
        <f>IF(MAXIFS('単価履歴'!$O:$O,'単価履歴'!$E:$E,E2473,'単価履歴'!$F:$F,F2473)=O2473,"●","")</f>
        <v/>
      </c>
      <c r="O2473" s="346">
        <v>45937.277546296296</v>
      </c>
      <c r="P2473" s="334" t="str">
        <f t="shared" si="4"/>
        <v>東鐵関西:直納Ｈ１(特A)</v>
      </c>
    </row>
    <row r="2474" ht="15.75" customHeight="1">
      <c r="A2474" s="335" t="s">
        <v>3626</v>
      </c>
      <c r="B2474" s="336">
        <v>45937.0</v>
      </c>
      <c r="C2474" s="335" t="s">
        <v>531</v>
      </c>
      <c r="D2474" s="335" t="s">
        <v>77</v>
      </c>
      <c r="E2474" s="337" t="str">
        <f t="shared" si="1"/>
        <v>東鐵関西:直納</v>
      </c>
      <c r="F2474" s="338" t="s">
        <v>573</v>
      </c>
      <c r="G2474" s="339" t="str">
        <f t="shared" si="2"/>
        <v>東鐵関西:直納Ｌ２(H4･級外･L1ﾊﾞﾗ)</v>
      </c>
      <c r="H2474" s="340">
        <f t="shared" si="3"/>
        <v>35</v>
      </c>
      <c r="I2474" s="341">
        <v>0.5</v>
      </c>
      <c r="J2474" s="332">
        <f>IFERROR(__xludf.DUMMYFUNCTION("IF(IF(COUNTIF(P$2:P2473, P2474)=0, """", INDEX(H$2:H2473,
MAX(FILTER(ROW(H$2:H2473) - ROW(H$2) + 1, P$2:P2473 = P2474))))=""単価"","""",
IF(COUNTIF(P$2:P2473, P2474)=0, """", INDEX(H$2:H2473,
MAX(FILTER(ROW(H$2:H2473) - ROW(H$2) + 1, P$2:P2473 = P2474)))))"),34.5)</f>
        <v>34.5</v>
      </c>
      <c r="N2474" s="335" t="str">
        <f>IF(MAXIFS('単価履歴'!$O:$O,'単価履歴'!$E:$E,E2474,'単価履歴'!$F:$F,F2474)=O2474,"●","")</f>
        <v/>
      </c>
      <c r="O2474" s="346">
        <v>45937.277546296296</v>
      </c>
      <c r="P2474" s="334" t="str">
        <f t="shared" si="4"/>
        <v>東鐵関西:直納Ｌ２(H4･級外･L1ﾊﾞﾗ)</v>
      </c>
    </row>
    <row r="2475" ht="15.75" customHeight="1">
      <c r="A2475" s="335" t="s">
        <v>3627</v>
      </c>
      <c r="B2475" s="336">
        <v>45937.0</v>
      </c>
      <c r="C2475" s="335" t="s">
        <v>531</v>
      </c>
      <c r="D2475" s="335" t="s">
        <v>77</v>
      </c>
      <c r="E2475" s="337" t="str">
        <f t="shared" si="1"/>
        <v>東鐵関西:直納</v>
      </c>
      <c r="F2475" s="338" t="s">
        <v>116</v>
      </c>
      <c r="G2475" s="339" t="str">
        <f t="shared" si="2"/>
        <v>東鐵関西:直納Ｈ２(特級)</v>
      </c>
      <c r="H2475" s="340">
        <f t="shared" si="3"/>
        <v>40</v>
      </c>
      <c r="I2475" s="341">
        <v>0.5</v>
      </c>
      <c r="J2475" s="332">
        <f>IFERROR(__xludf.DUMMYFUNCTION("IF(IF(COUNTIF(P$2:P2474, P2475)=0, """", INDEX(H$2:H2474,
MAX(FILTER(ROW(H$2:H2474) - ROW(H$2) + 1, P$2:P2474 = P2475))))=""単価"","""",
IF(COUNTIF(P$2:P2474, P2475)=0, """", INDEX(H$2:H2474,
MAX(FILTER(ROW(H$2:H2474) - ROW(H$2) + 1, P$2:P2474 = P2475)))))"),39.5)</f>
        <v>39.5</v>
      </c>
      <c r="N2475" s="335" t="str">
        <f>IF(MAXIFS('単価履歴'!$O:$O,'単価履歴'!$E:$E,E2475,'単価履歴'!$F:$F,F2475)=O2475,"●","")</f>
        <v/>
      </c>
      <c r="O2475" s="346">
        <v>45937.277546296296</v>
      </c>
      <c r="P2475" s="334" t="str">
        <f t="shared" si="4"/>
        <v>東鐵関西:直納Ｈ２(特級)</v>
      </c>
    </row>
    <row r="2476" ht="15.75" customHeight="1">
      <c r="A2476" s="335" t="s">
        <v>3628</v>
      </c>
      <c r="B2476" s="336">
        <v>45937.0</v>
      </c>
      <c r="C2476" s="335" t="s">
        <v>531</v>
      </c>
      <c r="D2476" s="335" t="s">
        <v>77</v>
      </c>
      <c r="E2476" s="337" t="str">
        <f t="shared" si="1"/>
        <v>東鐵関西:直納</v>
      </c>
      <c r="F2476" s="338" t="s">
        <v>145</v>
      </c>
      <c r="G2476" s="339" t="str">
        <f t="shared" si="2"/>
        <v>東鐵関西:直納シュレＡ</v>
      </c>
      <c r="H2476" s="340">
        <f t="shared" si="3"/>
        <v>42</v>
      </c>
      <c r="I2476" s="341">
        <v>0.5</v>
      </c>
      <c r="J2476" s="332">
        <f>IFERROR(__xludf.DUMMYFUNCTION("IF(IF(COUNTIF(P$2:P2475, P2476)=0, """", INDEX(H$2:H2475,
MAX(FILTER(ROW(H$2:H2475) - ROW(H$2) + 1, P$2:P2475 = P2476))))=""単価"","""",
IF(COUNTIF(P$2:P2475, P2476)=0, """", INDEX(H$2:H2475,
MAX(FILTER(ROW(H$2:H2475) - ROW(H$2) + 1, P$2:P2475 = P2476)))))"),41.5)</f>
        <v>41.5</v>
      </c>
      <c r="N2476" s="335" t="str">
        <f>IF(MAXIFS('単価履歴'!$O:$O,'単価履歴'!$E:$E,E2476,'単価履歴'!$F:$F,F2476)=O2476,"●","")</f>
        <v/>
      </c>
      <c r="O2476" s="346">
        <v>45937.277546296296</v>
      </c>
      <c r="P2476" s="334" t="str">
        <f t="shared" si="4"/>
        <v>東鐵関西:直納シュレＡ</v>
      </c>
    </row>
    <row r="2477" ht="15.75" customHeight="1">
      <c r="A2477" s="335" t="s">
        <v>3629</v>
      </c>
      <c r="B2477" s="336">
        <v>45937.0</v>
      </c>
      <c r="C2477" s="335" t="s">
        <v>531</v>
      </c>
      <c r="D2477" s="335" t="s">
        <v>77</v>
      </c>
      <c r="E2477" s="337" t="str">
        <f t="shared" si="1"/>
        <v>東鐵関西:直納</v>
      </c>
      <c r="F2477" s="338" t="s">
        <v>119</v>
      </c>
      <c r="G2477" s="339" t="str">
        <f t="shared" si="2"/>
        <v>東鐵関西:直納Ｈ３(1級)</v>
      </c>
      <c r="H2477" s="340">
        <f t="shared" si="3"/>
        <v>40</v>
      </c>
      <c r="I2477" s="341">
        <v>0.5</v>
      </c>
      <c r="J2477" s="332">
        <f>IFERROR(__xludf.DUMMYFUNCTION("IF(IF(COUNTIF(P$2:P2476, P2477)=0, """", INDEX(H$2:H2476,
MAX(FILTER(ROW(H$2:H2476) - ROW(H$2) + 1, P$2:P2476 = P2477))))=""単価"","""",
IF(COUNTIF(P$2:P2476, P2477)=0, """", INDEX(H$2:H2476,
MAX(FILTER(ROW(H$2:H2476) - ROW(H$2) + 1, P$2:P2476 = P2477)))))"),39.5)</f>
        <v>39.5</v>
      </c>
      <c r="N2477" s="335" t="str">
        <f>IF(MAXIFS('単価履歴'!$O:$O,'単価履歴'!$E:$E,E2477,'単価履歴'!$F:$F,F2477)=O2477,"●","")</f>
        <v/>
      </c>
      <c r="O2477" s="346">
        <v>45937.277546296296</v>
      </c>
      <c r="P2477" s="334" t="str">
        <f t="shared" si="4"/>
        <v>東鐵関西:直納Ｈ３(1級)</v>
      </c>
    </row>
    <row r="2478" ht="15.75" customHeight="1">
      <c r="A2478" s="335" t="s">
        <v>3630</v>
      </c>
      <c r="B2478" s="336">
        <v>45937.0</v>
      </c>
      <c r="C2478" s="335" t="s">
        <v>531</v>
      </c>
      <c r="D2478" s="335" t="s">
        <v>77</v>
      </c>
      <c r="E2478" s="337" t="str">
        <f t="shared" si="1"/>
        <v>東鐵関西:直納</v>
      </c>
      <c r="F2478" s="338" t="s">
        <v>151</v>
      </c>
      <c r="G2478" s="339" t="str">
        <f t="shared" si="2"/>
        <v>東鐵関西:直納シュレＣ</v>
      </c>
      <c r="H2478" s="340">
        <f t="shared" si="3"/>
        <v>41</v>
      </c>
      <c r="I2478" s="341">
        <v>0.5</v>
      </c>
      <c r="J2478" s="332">
        <f>IFERROR(__xludf.DUMMYFUNCTION("IF(IF(COUNTIF(P$2:P2477, P2478)=0, """", INDEX(H$2:H2477,
MAX(FILTER(ROW(H$2:H2477) - ROW(H$2) + 1, P$2:P2477 = P2478))))=""単価"","""",
IF(COUNTIF(P$2:P2477, P2478)=0, """", INDEX(H$2:H2477,
MAX(FILTER(ROW(H$2:H2477) - ROW(H$2) + 1, P$2:P2477 = P2478)))))"),40.5)</f>
        <v>40.5</v>
      </c>
      <c r="N2478" s="335" t="str">
        <f>IF(MAXIFS('単価履歴'!$O:$O,'単価履歴'!$E:$E,E2478,'単価履歴'!$F:$F,F2478)=O2478,"●","")</f>
        <v/>
      </c>
      <c r="O2478" s="346">
        <v>45937.277546296296</v>
      </c>
      <c r="P2478" s="334" t="str">
        <f t="shared" si="4"/>
        <v>東鐵関西:直納シュレＣ</v>
      </c>
    </row>
    <row r="2479" ht="15.75" customHeight="1">
      <c r="A2479" s="335" t="s">
        <v>3631</v>
      </c>
      <c r="B2479" s="336">
        <v>45937.0</v>
      </c>
      <c r="C2479" s="335" t="s">
        <v>532</v>
      </c>
      <c r="D2479" s="335" t="s">
        <v>77</v>
      </c>
      <c r="E2479" s="337" t="str">
        <f t="shared" si="1"/>
        <v>東鐵岡山:直納</v>
      </c>
      <c r="F2479" s="338" t="s">
        <v>119</v>
      </c>
      <c r="G2479" s="339" t="str">
        <f t="shared" si="2"/>
        <v>東鐵岡山:直納Ｈ３(1級)</v>
      </c>
      <c r="H2479" s="340">
        <f t="shared" si="3"/>
        <v>40.5</v>
      </c>
      <c r="I2479" s="341">
        <v>0.5</v>
      </c>
      <c r="J2479" s="332">
        <f>IFERROR(__xludf.DUMMYFUNCTION("IF(IF(COUNTIF(P$2:P2478, P2479)=0, """", INDEX(H$2:H2478,
MAX(FILTER(ROW(H$2:H2478) - ROW(H$2) + 1, P$2:P2478 = P2479))))=""単価"","""",
IF(COUNTIF(P$2:P2478, P2479)=0, """", INDEX(H$2:H2478,
MAX(FILTER(ROW(H$2:H2478) - ROW(H$2) + 1, P$2:P2478 = P2479)))))"),40.0)</f>
        <v>40</v>
      </c>
      <c r="N2479" s="335" t="str">
        <f>IF(MAXIFS('単価履歴'!$O:$O,'単価履歴'!$E:$E,E2479,'単価履歴'!$F:$F,F2479)=O2479,"●","")</f>
        <v/>
      </c>
      <c r="O2479" s="346">
        <v>45937.27784722223</v>
      </c>
      <c r="P2479" s="334" t="str">
        <f t="shared" si="4"/>
        <v>東鐵岡山:直納Ｈ３(1級)</v>
      </c>
    </row>
    <row r="2480" ht="15.75" customHeight="1">
      <c r="A2480" s="335" t="s">
        <v>3632</v>
      </c>
      <c r="B2480" s="336">
        <v>45937.0</v>
      </c>
      <c r="C2480" s="335" t="s">
        <v>532</v>
      </c>
      <c r="D2480" s="335" t="s">
        <v>77</v>
      </c>
      <c r="E2480" s="337" t="str">
        <f t="shared" si="1"/>
        <v>東鐵岡山:直納</v>
      </c>
      <c r="F2480" s="338" t="s">
        <v>145</v>
      </c>
      <c r="G2480" s="339" t="str">
        <f t="shared" si="2"/>
        <v>東鐵岡山:直納シュレＡ</v>
      </c>
      <c r="H2480" s="340">
        <f t="shared" si="3"/>
        <v>41.5</v>
      </c>
      <c r="I2480" s="341">
        <v>0.5</v>
      </c>
      <c r="J2480" s="332">
        <f>IFERROR(__xludf.DUMMYFUNCTION("IF(IF(COUNTIF(P$2:P2479, P2480)=0, """", INDEX(H$2:H2479,
MAX(FILTER(ROW(H$2:H2479) - ROW(H$2) + 1, P$2:P2479 = P2480))))=""単価"","""",
IF(COUNTIF(P$2:P2479, P2480)=0, """", INDEX(H$2:H2479,
MAX(FILTER(ROW(H$2:H2479) - ROW(H$2) + 1, P$2:P2479 = P2480)))))"),41.0)</f>
        <v>41</v>
      </c>
      <c r="N2480" s="335" t="str">
        <f>IF(MAXIFS('単価履歴'!$O:$O,'単価履歴'!$E:$E,E2480,'単価履歴'!$F:$F,F2480)=O2480,"●","")</f>
        <v/>
      </c>
      <c r="O2480" s="346">
        <v>45937.27784722223</v>
      </c>
      <c r="P2480" s="334" t="str">
        <f t="shared" si="4"/>
        <v>東鐵岡山:直納シュレＡ</v>
      </c>
    </row>
    <row r="2481" ht="15.75" customHeight="1">
      <c r="A2481" s="335" t="s">
        <v>3633</v>
      </c>
      <c r="B2481" s="336">
        <v>45937.0</v>
      </c>
      <c r="C2481" s="335" t="s">
        <v>532</v>
      </c>
      <c r="D2481" s="335" t="s">
        <v>77</v>
      </c>
      <c r="E2481" s="337" t="str">
        <f t="shared" si="1"/>
        <v>東鐵岡山:直納</v>
      </c>
      <c r="F2481" s="338" t="s">
        <v>575</v>
      </c>
      <c r="G2481" s="339" t="str">
        <f t="shared" si="2"/>
        <v>東鐵岡山:直納鋼ダライＡ</v>
      </c>
      <c r="H2481" s="340">
        <f t="shared" si="3"/>
        <v>37</v>
      </c>
      <c r="I2481" s="341">
        <v>0.5</v>
      </c>
      <c r="J2481" s="332">
        <f>IFERROR(__xludf.DUMMYFUNCTION("IF(IF(COUNTIF(P$2:P2480, P2481)=0, """", INDEX(H$2:H2480,
MAX(FILTER(ROW(H$2:H2480) - ROW(H$2) + 1, P$2:P2480 = P2481))))=""単価"","""",
IF(COUNTIF(P$2:P2480, P2481)=0, """", INDEX(H$2:H2480,
MAX(FILTER(ROW(H$2:H2480) - ROW(H$2) + 1, P$2:P2480 = P2481)))))"),36.5)</f>
        <v>36.5</v>
      </c>
      <c r="N2481" s="335" t="str">
        <f>IF(MAXIFS('単価履歴'!$O:$O,'単価履歴'!$E:$E,E2481,'単価履歴'!$F:$F,F2481)=O2481,"●","")</f>
        <v/>
      </c>
      <c r="O2481" s="346">
        <v>45937.27784722223</v>
      </c>
      <c r="P2481" s="334" t="str">
        <f t="shared" si="4"/>
        <v>東鐵岡山:直納鋼ダライＡ</v>
      </c>
    </row>
    <row r="2482" ht="15.75" customHeight="1">
      <c r="A2482" s="335" t="s">
        <v>3634</v>
      </c>
      <c r="B2482" s="336">
        <v>45937.0</v>
      </c>
      <c r="C2482" s="335" t="s">
        <v>532</v>
      </c>
      <c r="D2482" s="335" t="s">
        <v>77</v>
      </c>
      <c r="E2482" s="337" t="str">
        <f t="shared" si="1"/>
        <v>東鐵岡山:直納</v>
      </c>
      <c r="F2482" s="338" t="s">
        <v>1199</v>
      </c>
      <c r="G2482" s="339" t="str">
        <f t="shared" si="2"/>
        <v>東鐵岡山:直納ＨＳ１(単体H1/電特A/HS))</v>
      </c>
      <c r="H2482" s="340">
        <f t="shared" si="3"/>
        <v>43</v>
      </c>
      <c r="I2482" s="341">
        <v>0.5</v>
      </c>
      <c r="J2482" s="332">
        <f>IFERROR(__xludf.DUMMYFUNCTION("IF(IF(COUNTIF(P$2:P2481, P2482)=0, """", INDEX(H$2:H2481,
MAX(FILTER(ROW(H$2:H2481) - ROW(H$2) + 1, P$2:P2481 = P2482))))=""単価"","""",
IF(COUNTIF(P$2:P2481, P2482)=0, """", INDEX(H$2:H2481,
MAX(FILTER(ROW(H$2:H2481) - ROW(H$2) + 1, P$2:P2481 = P2482)))))"),42.5)</f>
        <v>42.5</v>
      </c>
      <c r="N2482" s="335" t="str">
        <f>IF(MAXIFS('単価履歴'!$O:$O,'単価履歴'!$E:$E,E2482,'単価履歴'!$F:$F,F2482)=O2482,"●","")</f>
        <v/>
      </c>
      <c r="O2482" s="346">
        <v>45937.27784722223</v>
      </c>
      <c r="P2482" s="334" t="str">
        <f t="shared" si="4"/>
        <v>東鐵岡山:直納ＨＳ１(単体H1/電特A/HS))</v>
      </c>
    </row>
    <row r="2483" ht="15.75" customHeight="1">
      <c r="A2483" s="335" t="s">
        <v>3635</v>
      </c>
      <c r="B2483" s="336">
        <v>45937.0</v>
      </c>
      <c r="C2483" s="335" t="s">
        <v>532</v>
      </c>
      <c r="D2483" s="335" t="s">
        <v>77</v>
      </c>
      <c r="E2483" s="337" t="str">
        <f t="shared" si="1"/>
        <v>東鐵岡山:直納</v>
      </c>
      <c r="F2483" s="338" t="s">
        <v>122</v>
      </c>
      <c r="G2483" s="339" t="str">
        <f t="shared" si="2"/>
        <v>東鐵岡山:直納Ｌ１(2級)</v>
      </c>
      <c r="H2483" s="340">
        <f t="shared" si="3"/>
        <v>39</v>
      </c>
      <c r="I2483" s="341">
        <v>0.5</v>
      </c>
      <c r="J2483" s="332">
        <f>IFERROR(__xludf.DUMMYFUNCTION("IF(IF(COUNTIF(P$2:P2482, P2483)=0, """", INDEX(H$2:H2482,
MAX(FILTER(ROW(H$2:H2482) - ROW(H$2) + 1, P$2:P2482 = P2483))))=""単価"","""",
IF(COUNTIF(P$2:P2482, P2483)=0, """", INDEX(H$2:H2482,
MAX(FILTER(ROW(H$2:H2482) - ROW(H$2) + 1, P$2:P2482 = P2483)))))"),38.5)</f>
        <v>38.5</v>
      </c>
      <c r="N2483" s="335" t="str">
        <f>IF(MAXIFS('単価履歴'!$O:$O,'単価履歴'!$E:$E,E2483,'単価履歴'!$F:$F,F2483)=O2483,"●","")</f>
        <v/>
      </c>
      <c r="O2483" s="346">
        <v>45937.27784722223</v>
      </c>
      <c r="P2483" s="334" t="str">
        <f t="shared" si="4"/>
        <v>東鐵岡山:直納Ｌ１(2級)</v>
      </c>
    </row>
    <row r="2484" ht="15.75" customHeight="1">
      <c r="A2484" s="335" t="s">
        <v>3636</v>
      </c>
      <c r="B2484" s="336">
        <v>45937.0</v>
      </c>
      <c r="C2484" s="335" t="s">
        <v>532</v>
      </c>
      <c r="D2484" s="335" t="s">
        <v>77</v>
      </c>
      <c r="E2484" s="337" t="str">
        <f t="shared" si="1"/>
        <v>東鐵岡山:直納</v>
      </c>
      <c r="F2484" s="338" t="s">
        <v>151</v>
      </c>
      <c r="G2484" s="339" t="str">
        <f t="shared" si="2"/>
        <v>東鐵岡山:直納シュレＣ</v>
      </c>
      <c r="H2484" s="340">
        <f t="shared" si="3"/>
        <v>41</v>
      </c>
      <c r="I2484" s="341">
        <v>0.5</v>
      </c>
      <c r="J2484" s="332">
        <f>IFERROR(__xludf.DUMMYFUNCTION("IF(IF(COUNTIF(P$2:P2483, P2484)=0, """", INDEX(H$2:H2483,
MAX(FILTER(ROW(H$2:H2483) - ROW(H$2) + 1, P$2:P2483 = P2484))))=""単価"","""",
IF(COUNTIF(P$2:P2483, P2484)=0, """", INDEX(H$2:H2483,
MAX(FILTER(ROW(H$2:H2483) - ROW(H$2) + 1, P$2:P2483 = P2484)))))"),40.5)</f>
        <v>40.5</v>
      </c>
      <c r="N2484" s="335" t="str">
        <f>IF(MAXIFS('単価履歴'!$O:$O,'単価履歴'!$E:$E,E2484,'単価履歴'!$F:$F,F2484)=O2484,"●","")</f>
        <v/>
      </c>
      <c r="O2484" s="346">
        <v>45937.27784722223</v>
      </c>
      <c r="P2484" s="334" t="str">
        <f t="shared" si="4"/>
        <v>東鐵岡山:直納シュレＣ</v>
      </c>
    </row>
    <row r="2485" ht="15.75" customHeight="1">
      <c r="A2485" s="335" t="s">
        <v>3637</v>
      </c>
      <c r="B2485" s="336">
        <v>45937.0</v>
      </c>
      <c r="C2485" s="335" t="s">
        <v>532</v>
      </c>
      <c r="D2485" s="335" t="s">
        <v>77</v>
      </c>
      <c r="E2485" s="337" t="str">
        <f t="shared" si="1"/>
        <v>東鐵岡山:直納</v>
      </c>
      <c r="F2485" s="338" t="s">
        <v>25</v>
      </c>
      <c r="G2485" s="339" t="str">
        <f t="shared" si="2"/>
        <v>東鐵岡山:直納銑ダライ</v>
      </c>
      <c r="H2485" s="340">
        <f t="shared" si="3"/>
        <v>33.5</v>
      </c>
      <c r="I2485" s="341">
        <v>0.5</v>
      </c>
      <c r="J2485" s="332">
        <f>IFERROR(__xludf.DUMMYFUNCTION("IF(IF(COUNTIF(P$2:P2484, P2485)=0, """", INDEX(H$2:H2484,
MAX(FILTER(ROW(H$2:H2484) - ROW(H$2) + 1, P$2:P2484 = P2485))))=""単価"","""",
IF(COUNTIF(P$2:P2484, P2485)=0, """", INDEX(H$2:H2484,
MAX(FILTER(ROW(H$2:H2484) - ROW(H$2) + 1, P$2:P2484 = P2485)))))"),33.0)</f>
        <v>33</v>
      </c>
      <c r="N2485" s="335" t="str">
        <f>IF(MAXIFS('単価履歴'!$O:$O,'単価履歴'!$E:$E,E2485,'単価履歴'!$F:$F,F2485)=O2485,"●","")</f>
        <v/>
      </c>
      <c r="O2485" s="346">
        <v>45937.27784722223</v>
      </c>
      <c r="P2485" s="334" t="str">
        <f t="shared" si="4"/>
        <v>東鐵岡山:直納銑ダライ</v>
      </c>
    </row>
    <row r="2486" ht="15.75" customHeight="1">
      <c r="A2486" s="335" t="s">
        <v>3638</v>
      </c>
      <c r="B2486" s="336">
        <v>45937.0</v>
      </c>
      <c r="C2486" s="335" t="s">
        <v>532</v>
      </c>
      <c r="D2486" s="335" t="s">
        <v>77</v>
      </c>
      <c r="E2486" s="337" t="str">
        <f t="shared" si="1"/>
        <v>東鐵岡山:直納</v>
      </c>
      <c r="F2486" s="338" t="s">
        <v>111</v>
      </c>
      <c r="G2486" s="339" t="str">
        <f t="shared" si="2"/>
        <v>東鐵岡山:直納Ｈ１(特A)</v>
      </c>
      <c r="H2486" s="340">
        <f t="shared" si="3"/>
        <v>41.7</v>
      </c>
      <c r="I2486" s="341">
        <v>0.5</v>
      </c>
      <c r="J2486" s="332">
        <f>IFERROR(__xludf.DUMMYFUNCTION("IF(IF(COUNTIF(P$2:P2485, P2486)=0, """", INDEX(H$2:H2485,
MAX(FILTER(ROW(H$2:H2485) - ROW(H$2) + 1, P$2:P2485 = P2486))))=""単価"","""",
IF(COUNTIF(P$2:P2485, P2486)=0, """", INDEX(H$2:H2485,
MAX(FILTER(ROW(H$2:H2485) - ROW(H$2) + 1, P$2:P2485 = P2486)))))"),41.2)</f>
        <v>41.2</v>
      </c>
      <c r="N2486" s="335" t="str">
        <f>IF(MAXIFS('単価履歴'!$O:$O,'単価履歴'!$E:$E,E2486,'単価履歴'!$F:$F,F2486)=O2486,"●","")</f>
        <v/>
      </c>
      <c r="O2486" s="346">
        <v>45937.27784722223</v>
      </c>
      <c r="P2486" s="334" t="str">
        <f t="shared" si="4"/>
        <v>東鐵岡山:直納Ｈ１(特A)</v>
      </c>
    </row>
    <row r="2487" ht="15.75" customHeight="1">
      <c r="A2487" s="335" t="s">
        <v>3639</v>
      </c>
      <c r="B2487" s="336">
        <v>45937.0</v>
      </c>
      <c r="C2487" s="335" t="s">
        <v>532</v>
      </c>
      <c r="D2487" s="335" t="s">
        <v>77</v>
      </c>
      <c r="E2487" s="337" t="str">
        <f t="shared" si="1"/>
        <v>東鐵岡山:直納</v>
      </c>
      <c r="F2487" s="338" t="s">
        <v>573</v>
      </c>
      <c r="G2487" s="339" t="str">
        <f t="shared" si="2"/>
        <v>東鐵岡山:直納Ｌ２(H4･級外･L1ﾊﾞﾗ)</v>
      </c>
      <c r="H2487" s="340">
        <f t="shared" si="3"/>
        <v>36</v>
      </c>
      <c r="I2487" s="341">
        <v>0.5</v>
      </c>
      <c r="J2487" s="332">
        <f>IFERROR(__xludf.DUMMYFUNCTION("IF(IF(COUNTIF(P$2:P2486, P2487)=0, """", INDEX(H$2:H2486,
MAX(FILTER(ROW(H$2:H2486) - ROW(H$2) + 1, P$2:P2486 = P2487))))=""単価"","""",
IF(COUNTIF(P$2:P2486, P2487)=0, """", INDEX(H$2:H2486,
MAX(FILTER(ROW(H$2:H2486) - ROW(H$2) + 1, P$2:P2486 = P2487)))))"),35.5)</f>
        <v>35.5</v>
      </c>
      <c r="N2487" s="335" t="str">
        <f>IF(MAXIFS('単価履歴'!$O:$O,'単価履歴'!$E:$E,E2487,'単価履歴'!$F:$F,F2487)=O2487,"●","")</f>
        <v/>
      </c>
      <c r="O2487" s="346">
        <v>45937.27784722223</v>
      </c>
      <c r="P2487" s="334" t="str">
        <f t="shared" si="4"/>
        <v>東鐵岡山:直納Ｌ２(H4･級外･L1ﾊﾞﾗ)</v>
      </c>
    </row>
    <row r="2488" ht="15.75" customHeight="1">
      <c r="A2488" s="335" t="s">
        <v>3640</v>
      </c>
      <c r="B2488" s="336">
        <v>45937.0</v>
      </c>
      <c r="C2488" s="335" t="s">
        <v>532</v>
      </c>
      <c r="D2488" s="335" t="s">
        <v>77</v>
      </c>
      <c r="E2488" s="337" t="str">
        <f t="shared" si="1"/>
        <v>東鐵岡山:直納</v>
      </c>
      <c r="F2488" s="338" t="s">
        <v>130</v>
      </c>
      <c r="G2488" s="339" t="str">
        <f t="shared" si="2"/>
        <v>東鐵岡山:直納新断Ａ</v>
      </c>
      <c r="H2488" s="340">
        <f t="shared" si="3"/>
        <v>42</v>
      </c>
      <c r="I2488" s="341">
        <v>0.5</v>
      </c>
      <c r="J2488" s="332">
        <f>IFERROR(__xludf.DUMMYFUNCTION("IF(IF(COUNTIF(P$2:P2487, P2488)=0, """", INDEX(H$2:H2487,
MAX(FILTER(ROW(H$2:H2487) - ROW(H$2) + 1, P$2:P2487 = P2488))))=""単価"","""",
IF(COUNTIF(P$2:P2487, P2488)=0, """", INDEX(H$2:H2487,
MAX(FILTER(ROW(H$2:H2487) - ROW(H$2) + 1, P$2:P2487 = P2488)))))"),41.5)</f>
        <v>41.5</v>
      </c>
      <c r="N2488" s="335" t="str">
        <f>IF(MAXIFS('単価履歴'!$O:$O,'単価履歴'!$E:$E,E2488,'単価履歴'!$F:$F,F2488)=O2488,"●","")</f>
        <v/>
      </c>
      <c r="O2488" s="346">
        <v>45937.27784722223</v>
      </c>
      <c r="P2488" s="334" t="str">
        <f t="shared" si="4"/>
        <v>東鐵岡山:直納新断Ａ</v>
      </c>
    </row>
    <row r="2489" ht="15.75" customHeight="1">
      <c r="A2489" s="335" t="s">
        <v>3641</v>
      </c>
      <c r="B2489" s="336">
        <v>45937.0</v>
      </c>
      <c r="C2489" s="335" t="s">
        <v>532</v>
      </c>
      <c r="D2489" s="335" t="s">
        <v>77</v>
      </c>
      <c r="E2489" s="337" t="str">
        <f t="shared" si="1"/>
        <v>東鐵岡山:直納</v>
      </c>
      <c r="F2489" s="338" t="s">
        <v>154</v>
      </c>
      <c r="G2489" s="339" t="str">
        <f t="shared" si="2"/>
        <v>東鐵岡山:直納ＣＰ Ａ</v>
      </c>
      <c r="H2489" s="340">
        <f t="shared" si="3"/>
        <v>39.5</v>
      </c>
      <c r="I2489" s="341">
        <v>0.5</v>
      </c>
      <c r="J2489" s="332">
        <f>IFERROR(__xludf.DUMMYFUNCTION("IF(IF(COUNTIF(P$2:P2488, P2489)=0, """", INDEX(H$2:H2488,
MAX(FILTER(ROW(H$2:H2488) - ROW(H$2) + 1, P$2:P2488 = P2489))))=""単価"","""",
IF(COUNTIF(P$2:P2488, P2489)=0, """", INDEX(H$2:H2488,
MAX(FILTER(ROW(H$2:H2488) - ROW(H$2) + 1, P$2:P2488 = P2489)))))"),39.0)</f>
        <v>39</v>
      </c>
      <c r="N2489" s="335" t="str">
        <f>IF(MAXIFS('単価履歴'!$O:$O,'単価履歴'!$E:$E,E2489,'単価履歴'!$F:$F,F2489)=O2489,"●","")</f>
        <v/>
      </c>
      <c r="O2489" s="346">
        <v>45937.27784722223</v>
      </c>
      <c r="P2489" s="334" t="str">
        <f t="shared" si="4"/>
        <v>東鐵岡山:直納ＣＰ Ａ</v>
      </c>
    </row>
    <row r="2490" ht="15.75" customHeight="1">
      <c r="A2490" s="335" t="s">
        <v>3642</v>
      </c>
      <c r="B2490" s="336">
        <v>45937.0</v>
      </c>
      <c r="C2490" s="335" t="s">
        <v>532</v>
      </c>
      <c r="D2490" s="335" t="s">
        <v>77</v>
      </c>
      <c r="E2490" s="337" t="str">
        <f t="shared" si="1"/>
        <v>東鐵岡山:直納</v>
      </c>
      <c r="F2490" s="338" t="s">
        <v>116</v>
      </c>
      <c r="G2490" s="339" t="str">
        <f t="shared" si="2"/>
        <v>東鐵岡山:直納Ｈ２(特級)</v>
      </c>
      <c r="H2490" s="340">
        <f t="shared" si="3"/>
        <v>41</v>
      </c>
      <c r="I2490" s="341">
        <v>0.5</v>
      </c>
      <c r="J2490" s="332">
        <f>IFERROR(__xludf.DUMMYFUNCTION("IF(IF(COUNTIF(P$2:P2489, P2490)=0, """", INDEX(H$2:H2489,
MAX(FILTER(ROW(H$2:H2489) - ROW(H$2) + 1, P$2:P2489 = P2490))))=""単価"","""",
IF(COUNTIF(P$2:P2489, P2490)=0, """", INDEX(H$2:H2489,
MAX(FILTER(ROW(H$2:H2489) - ROW(H$2) + 1, P$2:P2489 = P2490)))))"),40.5)</f>
        <v>40.5</v>
      </c>
      <c r="N2490" s="335" t="str">
        <f>IF(MAXIFS('単価履歴'!$O:$O,'単価履歴'!$E:$E,E2490,'単価履歴'!$F:$F,F2490)=O2490,"●","")</f>
        <v/>
      </c>
      <c r="O2490" s="346">
        <v>45937.27784722223</v>
      </c>
      <c r="P2490" s="334" t="str">
        <f t="shared" si="4"/>
        <v>東鐵岡山:直納Ｈ２(特級)</v>
      </c>
    </row>
    <row r="2491" ht="15.75" customHeight="1">
      <c r="A2491" s="335" t="s">
        <v>3643</v>
      </c>
      <c r="B2491" s="336">
        <v>45937.0</v>
      </c>
      <c r="C2491" s="335" t="s">
        <v>532</v>
      </c>
      <c r="D2491" s="335" t="s">
        <v>77</v>
      </c>
      <c r="E2491" s="337" t="str">
        <f t="shared" si="1"/>
        <v>東鐵岡山:直納</v>
      </c>
      <c r="F2491" s="338" t="s">
        <v>131</v>
      </c>
      <c r="G2491" s="339" t="str">
        <f t="shared" si="2"/>
        <v>東鐵岡山:直納新断Ｂ</v>
      </c>
      <c r="H2491" s="340">
        <f t="shared" si="3"/>
        <v>42</v>
      </c>
      <c r="I2491" s="341">
        <v>0.5</v>
      </c>
      <c r="J2491" s="332">
        <f>IFERROR(__xludf.DUMMYFUNCTION("IF(IF(COUNTIF(P$2:P2490, P2491)=0, """", INDEX(H$2:H2490,
MAX(FILTER(ROW(H$2:H2490) - ROW(H$2) + 1, P$2:P2490 = P2491))))=""単価"","""",
IF(COUNTIF(P$2:P2490, P2491)=0, """", INDEX(H$2:H2490,
MAX(FILTER(ROW(H$2:H2490) - ROW(H$2) + 1, P$2:P2490 = P2491)))))"),41.5)</f>
        <v>41.5</v>
      </c>
      <c r="N2491" s="335" t="str">
        <f>IF(MAXIFS('単価履歴'!$O:$O,'単価履歴'!$E:$E,E2491,'単価履歴'!$F:$F,F2491)=O2491,"●","")</f>
        <v/>
      </c>
      <c r="O2491" s="346">
        <v>45937.27784722223</v>
      </c>
      <c r="P2491" s="334" t="str">
        <f t="shared" si="4"/>
        <v>東鐵岡山:直納新断Ｂ</v>
      </c>
    </row>
    <row r="2492" ht="15.75" customHeight="1">
      <c r="A2492" s="335" t="s">
        <v>3644</v>
      </c>
      <c r="B2492" s="336">
        <v>45937.0</v>
      </c>
      <c r="C2492" s="335" t="s">
        <v>535</v>
      </c>
      <c r="D2492" s="335" t="s">
        <v>77</v>
      </c>
      <c r="E2492" s="337" t="str">
        <f t="shared" si="1"/>
        <v>東鐵名古屋:直納</v>
      </c>
      <c r="F2492" s="338" t="s">
        <v>119</v>
      </c>
      <c r="G2492" s="339" t="str">
        <f t="shared" si="2"/>
        <v>東鐵名古屋:直納Ｈ３(1級)</v>
      </c>
      <c r="H2492" s="340">
        <f t="shared" si="3"/>
        <v>40</v>
      </c>
      <c r="I2492" s="341">
        <v>0.5</v>
      </c>
      <c r="J2492" s="332">
        <f>IFERROR(__xludf.DUMMYFUNCTION("IF(IF(COUNTIF(P$2:P2491, P2492)=0, """", INDEX(H$2:H2491,
MAX(FILTER(ROW(H$2:H2491) - ROW(H$2) + 1, P$2:P2491 = P2492))))=""単価"","""",
IF(COUNTIF(P$2:P2491, P2492)=0, """", INDEX(H$2:H2491,
MAX(FILTER(ROW(H$2:H2491) - ROW(H$2) + 1, P$2:P2491 = P2492)))))"),39.5)</f>
        <v>39.5</v>
      </c>
      <c r="N2492" s="335" t="str">
        <f>IF(MAXIFS('単価履歴'!$O:$O,'単価履歴'!$E:$E,E2492,'単価履歴'!$F:$F,F2492)=O2492,"●","")</f>
        <v/>
      </c>
      <c r="O2492" s="346">
        <v>45937.278136574074</v>
      </c>
      <c r="P2492" s="334" t="str">
        <f t="shared" si="4"/>
        <v>東鐵名古屋:直納Ｈ３(1級)</v>
      </c>
    </row>
    <row r="2493" ht="15.75" customHeight="1">
      <c r="A2493" s="335" t="s">
        <v>3645</v>
      </c>
      <c r="B2493" s="336">
        <v>45937.0</v>
      </c>
      <c r="C2493" s="335" t="s">
        <v>535</v>
      </c>
      <c r="D2493" s="335" t="s">
        <v>77</v>
      </c>
      <c r="E2493" s="337" t="str">
        <f t="shared" si="1"/>
        <v>東鐵名古屋:直納</v>
      </c>
      <c r="F2493" s="338" t="s">
        <v>145</v>
      </c>
      <c r="G2493" s="339" t="str">
        <f t="shared" si="2"/>
        <v>東鐵名古屋:直納シュレＡ</v>
      </c>
      <c r="H2493" s="340">
        <f t="shared" si="3"/>
        <v>41.5</v>
      </c>
      <c r="I2493" s="341">
        <v>0.5</v>
      </c>
      <c r="J2493" s="332">
        <f>IFERROR(__xludf.DUMMYFUNCTION("IF(IF(COUNTIF(P$2:P2492, P2493)=0, """", INDEX(H$2:H2492,
MAX(FILTER(ROW(H$2:H2492) - ROW(H$2) + 1, P$2:P2492 = P2493))))=""単価"","""",
IF(COUNTIF(P$2:P2492, P2493)=0, """", INDEX(H$2:H2492,
MAX(FILTER(ROW(H$2:H2492) - ROW(H$2) + 1, P$2:P2492 = P2493)))))"),41.0)</f>
        <v>41</v>
      </c>
      <c r="N2493" s="335" t="str">
        <f>IF(MAXIFS('単価履歴'!$O:$O,'単価履歴'!$E:$E,E2493,'単価履歴'!$F:$F,F2493)=O2493,"●","")</f>
        <v/>
      </c>
      <c r="O2493" s="346">
        <v>45937.278136574074</v>
      </c>
      <c r="P2493" s="334" t="str">
        <f t="shared" si="4"/>
        <v>東鐵名古屋:直納シュレＡ</v>
      </c>
    </row>
    <row r="2494" ht="15.75" customHeight="1">
      <c r="A2494" s="335" t="s">
        <v>3646</v>
      </c>
      <c r="B2494" s="336">
        <v>45937.0</v>
      </c>
      <c r="C2494" s="335" t="s">
        <v>535</v>
      </c>
      <c r="D2494" s="335" t="s">
        <v>77</v>
      </c>
      <c r="E2494" s="337" t="str">
        <f t="shared" si="1"/>
        <v>東鐵名古屋:直納</v>
      </c>
      <c r="F2494" s="338" t="s">
        <v>1199</v>
      </c>
      <c r="G2494" s="339" t="str">
        <f t="shared" si="2"/>
        <v>東鐵名古屋:直納ＨＳ１(単体H1/電特A/HS))</v>
      </c>
      <c r="H2494" s="340">
        <f t="shared" si="3"/>
        <v>43</v>
      </c>
      <c r="I2494" s="341">
        <v>0.5</v>
      </c>
      <c r="J2494" s="332">
        <f>IFERROR(__xludf.DUMMYFUNCTION("IF(IF(COUNTIF(P$2:P2493, P2494)=0, """", INDEX(H$2:H2493,
MAX(FILTER(ROW(H$2:H2493) - ROW(H$2) + 1, P$2:P2493 = P2494))))=""単価"","""",
IF(COUNTIF(P$2:P2493, P2494)=0, """", INDEX(H$2:H2493,
MAX(FILTER(ROW(H$2:H2493) - ROW(H$2) + 1, P$2:P2493 = P2494)))))"),42.5)</f>
        <v>42.5</v>
      </c>
      <c r="N2494" s="335" t="str">
        <f>IF(MAXIFS('単価履歴'!$O:$O,'単価履歴'!$E:$E,E2494,'単価履歴'!$F:$F,F2494)=O2494,"●","")</f>
        <v/>
      </c>
      <c r="O2494" s="346">
        <v>45937.278136574074</v>
      </c>
      <c r="P2494" s="334" t="str">
        <f t="shared" si="4"/>
        <v>東鐵名古屋:直納ＨＳ１(単体H1/電特A/HS))</v>
      </c>
    </row>
    <row r="2495" ht="15.75" customHeight="1">
      <c r="A2495" s="335" t="s">
        <v>3647</v>
      </c>
      <c r="B2495" s="336">
        <v>45937.0</v>
      </c>
      <c r="C2495" s="335" t="s">
        <v>535</v>
      </c>
      <c r="D2495" s="335" t="s">
        <v>77</v>
      </c>
      <c r="E2495" s="337" t="str">
        <f t="shared" si="1"/>
        <v>東鐵名古屋:直納</v>
      </c>
      <c r="F2495" s="338" t="s">
        <v>151</v>
      </c>
      <c r="G2495" s="339" t="str">
        <f t="shared" si="2"/>
        <v>東鐵名古屋:直納シュレＣ</v>
      </c>
      <c r="H2495" s="340">
        <f t="shared" si="3"/>
        <v>41</v>
      </c>
      <c r="I2495" s="341">
        <v>0.5</v>
      </c>
      <c r="J2495" s="332">
        <f>IFERROR(__xludf.DUMMYFUNCTION("IF(IF(COUNTIF(P$2:P2494, P2495)=0, """", INDEX(H$2:H2494,
MAX(FILTER(ROW(H$2:H2494) - ROW(H$2) + 1, P$2:P2494 = P2495))))=""単価"","""",
IF(COUNTIF(P$2:P2494, P2495)=0, """", INDEX(H$2:H2494,
MAX(FILTER(ROW(H$2:H2494) - ROW(H$2) + 1, P$2:P2494 = P2495)))))"),40.5)</f>
        <v>40.5</v>
      </c>
      <c r="N2495" s="335" t="str">
        <f>IF(MAXIFS('単価履歴'!$O:$O,'単価履歴'!$E:$E,E2495,'単価履歴'!$F:$F,F2495)=O2495,"●","")</f>
        <v/>
      </c>
      <c r="O2495" s="346">
        <v>45937.278136574074</v>
      </c>
      <c r="P2495" s="334" t="str">
        <f t="shared" si="4"/>
        <v>東鐵名古屋:直納シュレＣ</v>
      </c>
    </row>
    <row r="2496" ht="15.75" customHeight="1">
      <c r="A2496" s="335" t="s">
        <v>3648</v>
      </c>
      <c r="B2496" s="336">
        <v>45937.0</v>
      </c>
      <c r="C2496" s="335" t="s">
        <v>535</v>
      </c>
      <c r="D2496" s="335" t="s">
        <v>77</v>
      </c>
      <c r="E2496" s="337" t="str">
        <f t="shared" si="1"/>
        <v>東鐵名古屋:直納</v>
      </c>
      <c r="F2496" s="338" t="s">
        <v>111</v>
      </c>
      <c r="G2496" s="339" t="str">
        <f t="shared" si="2"/>
        <v>東鐵名古屋:直納Ｈ１(特A)</v>
      </c>
      <c r="H2496" s="340">
        <f t="shared" si="3"/>
        <v>41.2</v>
      </c>
      <c r="I2496" s="341">
        <v>0.5</v>
      </c>
      <c r="J2496" s="332">
        <f>IFERROR(__xludf.DUMMYFUNCTION("IF(IF(COUNTIF(P$2:P2495, P2496)=0, """", INDEX(H$2:H2495,
MAX(FILTER(ROW(H$2:H2495) - ROW(H$2) + 1, P$2:P2495 = P2496))))=""単価"","""",
IF(COUNTIF(P$2:P2495, P2496)=0, """", INDEX(H$2:H2495,
MAX(FILTER(ROW(H$2:H2495) - ROW(H$2) + 1, P$2:P2495 = P2496)))))"),40.7)</f>
        <v>40.7</v>
      </c>
      <c r="N2496" s="335" t="str">
        <f>IF(MAXIFS('単価履歴'!$O:$O,'単価履歴'!$E:$E,E2496,'単価履歴'!$F:$F,F2496)=O2496,"●","")</f>
        <v/>
      </c>
      <c r="O2496" s="346">
        <v>45937.278136574074</v>
      </c>
      <c r="P2496" s="334" t="str">
        <f t="shared" si="4"/>
        <v>東鐵名古屋:直納Ｈ１(特A)</v>
      </c>
    </row>
    <row r="2497" ht="15.75" customHeight="1">
      <c r="A2497" s="335" t="s">
        <v>3649</v>
      </c>
      <c r="B2497" s="336">
        <v>45937.0</v>
      </c>
      <c r="C2497" s="335" t="s">
        <v>535</v>
      </c>
      <c r="D2497" s="335" t="s">
        <v>77</v>
      </c>
      <c r="E2497" s="337" t="str">
        <f t="shared" si="1"/>
        <v>東鐵名古屋:直納</v>
      </c>
      <c r="F2497" s="338" t="s">
        <v>122</v>
      </c>
      <c r="G2497" s="339" t="str">
        <f t="shared" si="2"/>
        <v>東鐵名古屋:直納Ｌ１(2級)</v>
      </c>
      <c r="H2497" s="340">
        <f t="shared" si="3"/>
        <v>38.5</v>
      </c>
      <c r="I2497" s="341">
        <v>0.5</v>
      </c>
      <c r="J2497" s="332">
        <f>IFERROR(__xludf.DUMMYFUNCTION("IF(IF(COUNTIF(P$2:P2496, P2497)=0, """", INDEX(H$2:H2496,
MAX(FILTER(ROW(H$2:H2496) - ROW(H$2) + 1, P$2:P2496 = P2497))))=""単価"","""",
IF(COUNTIF(P$2:P2496, P2497)=0, """", INDEX(H$2:H2496,
MAX(FILTER(ROW(H$2:H2496) - ROW(H$2) + 1, P$2:P2496 = P2497)))))"),38.0)</f>
        <v>38</v>
      </c>
      <c r="N2497" s="335" t="str">
        <f>IF(MAXIFS('単価履歴'!$O:$O,'単価履歴'!$E:$E,E2497,'単価履歴'!$F:$F,F2497)=O2497,"●","")</f>
        <v/>
      </c>
      <c r="O2497" s="346">
        <v>45937.278136574074</v>
      </c>
      <c r="P2497" s="334" t="str">
        <f t="shared" si="4"/>
        <v>東鐵名古屋:直納Ｌ１(2級)</v>
      </c>
    </row>
    <row r="2498" ht="15.75" customHeight="1">
      <c r="A2498" s="335" t="s">
        <v>3650</v>
      </c>
      <c r="B2498" s="336">
        <v>45937.0</v>
      </c>
      <c r="C2498" s="335" t="s">
        <v>535</v>
      </c>
      <c r="D2498" s="335" t="s">
        <v>77</v>
      </c>
      <c r="E2498" s="337" t="str">
        <f t="shared" si="1"/>
        <v>東鐵名古屋:直納</v>
      </c>
      <c r="F2498" s="338" t="s">
        <v>116</v>
      </c>
      <c r="G2498" s="339" t="str">
        <f t="shared" si="2"/>
        <v>東鐵名古屋:直納Ｈ２(特級)</v>
      </c>
      <c r="H2498" s="340">
        <f t="shared" si="3"/>
        <v>40.5</v>
      </c>
      <c r="I2498" s="341">
        <v>0.5</v>
      </c>
      <c r="J2498" s="332">
        <f>IFERROR(__xludf.DUMMYFUNCTION("IF(IF(COUNTIF(P$2:P2497, P2498)=0, """", INDEX(H$2:H2497,
MAX(FILTER(ROW(H$2:H2497) - ROW(H$2) + 1, P$2:P2497 = P2498))))=""単価"","""",
IF(COUNTIF(P$2:P2497, P2498)=0, """", INDEX(H$2:H2497,
MAX(FILTER(ROW(H$2:H2497) - ROW(H$2) + 1, P$2:P2497 = P2498)))))"),40.0)</f>
        <v>40</v>
      </c>
      <c r="N2498" s="335" t="str">
        <f>IF(MAXIFS('単価履歴'!$O:$O,'単価履歴'!$E:$E,E2498,'単価履歴'!$F:$F,F2498)=O2498,"●","")</f>
        <v/>
      </c>
      <c r="O2498" s="346">
        <v>45937.278136574074</v>
      </c>
      <c r="P2498" s="334" t="str">
        <f t="shared" si="4"/>
        <v>東鐵名古屋:直納Ｈ２(特級)</v>
      </c>
    </row>
    <row r="2499" ht="15.75" customHeight="1">
      <c r="A2499" s="335" t="s">
        <v>3651</v>
      </c>
      <c r="B2499" s="336">
        <v>45937.0</v>
      </c>
      <c r="C2499" s="335" t="s">
        <v>535</v>
      </c>
      <c r="D2499" s="335" t="s">
        <v>77</v>
      </c>
      <c r="E2499" s="337" t="str">
        <f t="shared" si="1"/>
        <v>東鐵名古屋:直納</v>
      </c>
      <c r="F2499" s="338" t="s">
        <v>573</v>
      </c>
      <c r="G2499" s="339" t="str">
        <f t="shared" si="2"/>
        <v>東鐵名古屋:直納Ｌ２(H4･級外･L1ﾊﾞﾗ)</v>
      </c>
      <c r="H2499" s="340">
        <f t="shared" si="3"/>
        <v>35.5</v>
      </c>
      <c r="I2499" s="341">
        <v>0.5</v>
      </c>
      <c r="J2499" s="332">
        <f>IFERROR(__xludf.DUMMYFUNCTION("IF(IF(COUNTIF(P$2:P2498, P2499)=0, """", INDEX(H$2:H2498,
MAX(FILTER(ROW(H$2:H2498) - ROW(H$2) + 1, P$2:P2498 = P2499))))=""単価"","""",
IF(COUNTIF(P$2:P2498, P2499)=0, """", INDEX(H$2:H2498,
MAX(FILTER(ROW(H$2:H2498) - ROW(H$2) + 1, P$2:P2498 = P2499)))))"),35.0)</f>
        <v>35</v>
      </c>
      <c r="N2499" s="335" t="str">
        <f>IF(MAXIFS('単価履歴'!$O:$O,'単価履歴'!$E:$E,E2499,'単価履歴'!$F:$F,F2499)=O2499,"●","")</f>
        <v/>
      </c>
      <c r="O2499" s="346">
        <v>45937.278136574074</v>
      </c>
      <c r="P2499" s="334" t="str">
        <f t="shared" si="4"/>
        <v>東鐵名古屋:直納Ｌ２(H4･級外･L1ﾊﾞﾗ)</v>
      </c>
    </row>
    <row r="2500" ht="15.75" customHeight="1">
      <c r="A2500" s="335" t="s">
        <v>3652</v>
      </c>
      <c r="B2500" s="336">
        <v>45937.0</v>
      </c>
      <c r="C2500" s="335" t="s">
        <v>536</v>
      </c>
      <c r="D2500" s="335" t="s">
        <v>77</v>
      </c>
      <c r="E2500" s="337" t="str">
        <f t="shared" si="1"/>
        <v>東鐵田原:直納</v>
      </c>
      <c r="F2500" s="338" t="s">
        <v>116</v>
      </c>
      <c r="G2500" s="339" t="str">
        <f t="shared" si="2"/>
        <v>東鐵田原:直納Ｈ２(特級)</v>
      </c>
      <c r="H2500" s="340">
        <f t="shared" si="3"/>
        <v>41</v>
      </c>
      <c r="I2500" s="341">
        <v>0.5</v>
      </c>
      <c r="J2500" s="332">
        <f>IFERROR(__xludf.DUMMYFUNCTION("IF(IF(COUNTIF(P$2:P2499, P2500)=0, """", INDEX(H$2:H2499,
MAX(FILTER(ROW(H$2:H2499) - ROW(H$2) + 1, P$2:P2499 = P2500))))=""単価"","""",
IF(COUNTIF(P$2:P2499, P2500)=0, """", INDEX(H$2:H2499,
MAX(FILTER(ROW(H$2:H2499) - ROW(H$2) + 1, P$2:P2499 = P2500)))))"),40.5)</f>
        <v>40.5</v>
      </c>
      <c r="N2500" s="335" t="str">
        <f>IF(MAXIFS('単価履歴'!$O:$O,'単価履歴'!$E:$E,E2500,'単価履歴'!$F:$F,F2500)=O2500,"●","")</f>
        <v/>
      </c>
      <c r="O2500" s="346">
        <v>45937.278449074074</v>
      </c>
      <c r="P2500" s="334" t="str">
        <f t="shared" si="4"/>
        <v>東鐵田原:直納Ｈ２(特級)</v>
      </c>
    </row>
    <row r="2501" ht="15.75" customHeight="1">
      <c r="A2501" s="335" t="s">
        <v>3653</v>
      </c>
      <c r="B2501" s="336">
        <v>45937.0</v>
      </c>
      <c r="C2501" s="335" t="s">
        <v>536</v>
      </c>
      <c r="D2501" s="335" t="s">
        <v>77</v>
      </c>
      <c r="E2501" s="337" t="str">
        <f t="shared" si="1"/>
        <v>東鐵田原:直納</v>
      </c>
      <c r="F2501" s="338" t="s">
        <v>145</v>
      </c>
      <c r="G2501" s="339" t="str">
        <f t="shared" si="2"/>
        <v>東鐵田原:直納シュレＡ</v>
      </c>
      <c r="H2501" s="340">
        <f t="shared" si="3"/>
        <v>42</v>
      </c>
      <c r="I2501" s="341">
        <v>0.5</v>
      </c>
      <c r="J2501" s="332">
        <f>IFERROR(__xludf.DUMMYFUNCTION("IF(IF(COUNTIF(P$2:P2500, P2501)=0, """", INDEX(H$2:H2500,
MAX(FILTER(ROW(H$2:H2500) - ROW(H$2) + 1, P$2:P2500 = P2501))))=""単価"","""",
IF(COUNTIF(P$2:P2500, P2501)=0, """", INDEX(H$2:H2500,
MAX(FILTER(ROW(H$2:H2500) - ROW(H$2) + 1, P$2:P2500 = P2501)))))"),41.5)</f>
        <v>41.5</v>
      </c>
      <c r="N2501" s="335" t="str">
        <f>IF(MAXIFS('単価履歴'!$O:$O,'単価履歴'!$E:$E,E2501,'単価履歴'!$F:$F,F2501)=O2501,"●","")</f>
        <v/>
      </c>
      <c r="O2501" s="346">
        <v>45937.278449074074</v>
      </c>
      <c r="P2501" s="334" t="str">
        <f t="shared" si="4"/>
        <v>東鐵田原:直納シュレＡ</v>
      </c>
    </row>
    <row r="2502" ht="15.75" customHeight="1">
      <c r="A2502" s="335" t="s">
        <v>3654</v>
      </c>
      <c r="B2502" s="336">
        <v>45937.0</v>
      </c>
      <c r="C2502" s="335" t="s">
        <v>536</v>
      </c>
      <c r="D2502" s="335" t="s">
        <v>77</v>
      </c>
      <c r="E2502" s="337" t="str">
        <f t="shared" si="1"/>
        <v>東鐵田原:直納</v>
      </c>
      <c r="F2502" s="338" t="s">
        <v>119</v>
      </c>
      <c r="G2502" s="339" t="str">
        <f t="shared" si="2"/>
        <v>東鐵田原:直納Ｈ３(1級)</v>
      </c>
      <c r="H2502" s="340">
        <f t="shared" si="3"/>
        <v>40.5</v>
      </c>
      <c r="I2502" s="341">
        <v>0.5</v>
      </c>
      <c r="J2502" s="332">
        <f>IFERROR(__xludf.DUMMYFUNCTION("IF(IF(COUNTIF(P$2:P2501, P2502)=0, """", INDEX(H$2:H2501,
MAX(FILTER(ROW(H$2:H2501) - ROW(H$2) + 1, P$2:P2501 = P2502))))=""単価"","""",
IF(COUNTIF(P$2:P2501, P2502)=0, """", INDEX(H$2:H2501,
MAX(FILTER(ROW(H$2:H2501) - ROW(H$2) + 1, P$2:P2501 = P2502)))))"),40.0)</f>
        <v>40</v>
      </c>
      <c r="N2502" s="335" t="str">
        <f>IF(MAXIFS('単価履歴'!$O:$O,'単価履歴'!$E:$E,E2502,'単価履歴'!$F:$F,F2502)=O2502,"●","")</f>
        <v/>
      </c>
      <c r="O2502" s="346">
        <v>45937.278449074074</v>
      </c>
      <c r="P2502" s="334" t="str">
        <f t="shared" si="4"/>
        <v>東鐵田原:直納Ｈ３(1級)</v>
      </c>
    </row>
    <row r="2503" ht="15.75" customHeight="1">
      <c r="A2503" s="335" t="s">
        <v>3655</v>
      </c>
      <c r="B2503" s="336">
        <v>45937.0</v>
      </c>
      <c r="C2503" s="335" t="s">
        <v>536</v>
      </c>
      <c r="D2503" s="335" t="s">
        <v>77</v>
      </c>
      <c r="E2503" s="337" t="str">
        <f t="shared" si="1"/>
        <v>東鐵田原:直納</v>
      </c>
      <c r="F2503" s="338" t="s">
        <v>130</v>
      </c>
      <c r="G2503" s="339" t="str">
        <f t="shared" si="2"/>
        <v>東鐵田原:直納新断Ａ</v>
      </c>
      <c r="H2503" s="340">
        <f t="shared" si="3"/>
        <v>43</v>
      </c>
      <c r="I2503" s="341">
        <v>0.5</v>
      </c>
      <c r="J2503" s="332">
        <f>IFERROR(__xludf.DUMMYFUNCTION("IF(IF(COUNTIF(P$2:P2502, P2503)=0, """", INDEX(H$2:H2502,
MAX(FILTER(ROW(H$2:H2502) - ROW(H$2) + 1, P$2:P2502 = P2503))))=""単価"","""",
IF(COUNTIF(P$2:P2502, P2503)=0, """", INDEX(H$2:H2502,
MAX(FILTER(ROW(H$2:H2502) - ROW(H$2) + 1, P$2:P2502 = P2503)))))"),42.5)</f>
        <v>42.5</v>
      </c>
      <c r="N2503" s="335" t="str">
        <f>IF(MAXIFS('単価履歴'!$O:$O,'単価履歴'!$E:$E,E2503,'単価履歴'!$F:$F,F2503)=O2503,"●","")</f>
        <v/>
      </c>
      <c r="O2503" s="346">
        <v>45937.278449074074</v>
      </c>
      <c r="P2503" s="334" t="str">
        <f t="shared" si="4"/>
        <v>東鐵田原:直納新断Ａ</v>
      </c>
    </row>
    <row r="2504" ht="15.75" customHeight="1">
      <c r="A2504" s="335" t="s">
        <v>3656</v>
      </c>
      <c r="B2504" s="336">
        <v>45937.0</v>
      </c>
      <c r="C2504" s="335" t="s">
        <v>536</v>
      </c>
      <c r="D2504" s="335" t="s">
        <v>77</v>
      </c>
      <c r="E2504" s="337" t="str">
        <f t="shared" si="1"/>
        <v>東鐵田原:直納</v>
      </c>
      <c r="F2504" s="338" t="s">
        <v>151</v>
      </c>
      <c r="G2504" s="339" t="str">
        <f t="shared" si="2"/>
        <v>東鐵田原:直納シュレＣ</v>
      </c>
      <c r="H2504" s="340">
        <f t="shared" si="3"/>
        <v>41.5</v>
      </c>
      <c r="I2504" s="341">
        <v>0.5</v>
      </c>
      <c r="J2504" s="332">
        <f>IFERROR(__xludf.DUMMYFUNCTION("IF(IF(COUNTIF(P$2:P2503, P2504)=0, """", INDEX(H$2:H2503,
MAX(FILTER(ROW(H$2:H2503) - ROW(H$2) + 1, P$2:P2503 = P2504))))=""単価"","""",
IF(COUNTIF(P$2:P2503, P2504)=0, """", INDEX(H$2:H2503,
MAX(FILTER(ROW(H$2:H2503) - ROW(H$2) + 1, P$2:P2503 = P2504)))))"),41.0)</f>
        <v>41</v>
      </c>
      <c r="N2504" s="335" t="str">
        <f>IF(MAXIFS('単価履歴'!$O:$O,'単価履歴'!$E:$E,E2504,'単価履歴'!$F:$F,F2504)=O2504,"●","")</f>
        <v/>
      </c>
      <c r="O2504" s="346">
        <v>45937.278449074074</v>
      </c>
      <c r="P2504" s="334" t="str">
        <f t="shared" si="4"/>
        <v>東鐵田原:直納シュレＣ</v>
      </c>
    </row>
    <row r="2505" ht="15.75" customHeight="1">
      <c r="A2505" s="335" t="s">
        <v>3657</v>
      </c>
      <c r="B2505" s="336">
        <v>45937.0</v>
      </c>
      <c r="C2505" s="335" t="s">
        <v>536</v>
      </c>
      <c r="D2505" s="335" t="s">
        <v>77</v>
      </c>
      <c r="E2505" s="337" t="str">
        <f t="shared" si="1"/>
        <v>東鐵田原:直納</v>
      </c>
      <c r="F2505" s="338" t="s">
        <v>1199</v>
      </c>
      <c r="G2505" s="339" t="str">
        <f t="shared" si="2"/>
        <v>東鐵田原:直納ＨＳ１(単体H1/電特A/HS))</v>
      </c>
      <c r="H2505" s="340">
        <f t="shared" si="3"/>
        <v>43.5</v>
      </c>
      <c r="I2505" s="341">
        <v>0.5</v>
      </c>
      <c r="J2505" s="332">
        <f>IFERROR(__xludf.DUMMYFUNCTION("IF(IF(COUNTIF(P$2:P2504, P2505)=0, """", INDEX(H$2:H2504,
MAX(FILTER(ROW(H$2:H2504) - ROW(H$2) + 1, P$2:P2504 = P2505))))=""単価"","""",
IF(COUNTIF(P$2:P2504, P2505)=0, """", INDEX(H$2:H2504,
MAX(FILTER(ROW(H$2:H2504) - ROW(H$2) + 1, P$2:P2504 = P2505)))))"),43.0)</f>
        <v>43</v>
      </c>
      <c r="N2505" s="335" t="str">
        <f>IF(MAXIFS('単価履歴'!$O:$O,'単価履歴'!$E:$E,E2505,'単価履歴'!$F:$F,F2505)=O2505,"●","")</f>
        <v/>
      </c>
      <c r="O2505" s="346">
        <v>45937.278449074074</v>
      </c>
      <c r="P2505" s="334" t="str">
        <f t="shared" si="4"/>
        <v>東鐵田原:直納ＨＳ１(単体H1/電特A/HS))</v>
      </c>
    </row>
    <row r="2506" ht="15.75" customHeight="1">
      <c r="A2506" s="335" t="s">
        <v>3658</v>
      </c>
      <c r="B2506" s="336">
        <v>45937.0</v>
      </c>
      <c r="C2506" s="335" t="s">
        <v>536</v>
      </c>
      <c r="D2506" s="335" t="s">
        <v>77</v>
      </c>
      <c r="E2506" s="337" t="str">
        <f t="shared" si="1"/>
        <v>東鐵田原:直納</v>
      </c>
      <c r="F2506" s="338" t="s">
        <v>122</v>
      </c>
      <c r="G2506" s="339" t="str">
        <f t="shared" si="2"/>
        <v>東鐵田原:直納Ｌ１(2級)</v>
      </c>
      <c r="H2506" s="340">
        <f t="shared" si="3"/>
        <v>39</v>
      </c>
      <c r="I2506" s="341">
        <v>0.5</v>
      </c>
      <c r="J2506" s="332">
        <f>IFERROR(__xludf.DUMMYFUNCTION("IF(IF(COUNTIF(P$2:P2505, P2506)=0, """", INDEX(H$2:H2505,
MAX(FILTER(ROW(H$2:H2505) - ROW(H$2) + 1, P$2:P2505 = P2506))))=""単価"","""",
IF(COUNTIF(P$2:P2505, P2506)=0, """", INDEX(H$2:H2505,
MAX(FILTER(ROW(H$2:H2505) - ROW(H$2) + 1, P$2:P2505 = P2506)))))"),38.5)</f>
        <v>38.5</v>
      </c>
      <c r="N2506" s="335" t="str">
        <f>IF(MAXIFS('単価履歴'!$O:$O,'単価履歴'!$E:$E,E2506,'単価履歴'!$F:$F,F2506)=O2506,"●","")</f>
        <v/>
      </c>
      <c r="O2506" s="346">
        <v>45937.278449074074</v>
      </c>
      <c r="P2506" s="334" t="str">
        <f t="shared" si="4"/>
        <v>東鐵田原:直納Ｌ１(2級)</v>
      </c>
    </row>
    <row r="2507" ht="15.75" customHeight="1">
      <c r="A2507" s="335" t="s">
        <v>3659</v>
      </c>
      <c r="B2507" s="336">
        <v>45937.0</v>
      </c>
      <c r="C2507" s="335" t="s">
        <v>536</v>
      </c>
      <c r="D2507" s="335" t="s">
        <v>77</v>
      </c>
      <c r="E2507" s="337" t="str">
        <f t="shared" si="1"/>
        <v>東鐵田原:直納</v>
      </c>
      <c r="F2507" s="338" t="s">
        <v>131</v>
      </c>
      <c r="G2507" s="339" t="str">
        <f t="shared" si="2"/>
        <v>東鐵田原:直納新断Ｂ</v>
      </c>
      <c r="H2507" s="340">
        <f t="shared" si="3"/>
        <v>43</v>
      </c>
      <c r="I2507" s="341">
        <v>0.5</v>
      </c>
      <c r="J2507" s="332">
        <f>IFERROR(__xludf.DUMMYFUNCTION("IF(IF(COUNTIF(P$2:P2506, P2507)=0, """", INDEX(H$2:H2506,
MAX(FILTER(ROW(H$2:H2506) - ROW(H$2) + 1, P$2:P2506 = P2507))))=""単価"","""",
IF(COUNTIF(P$2:P2506, P2507)=0, """", INDEX(H$2:H2506,
MAX(FILTER(ROW(H$2:H2506) - ROW(H$2) + 1, P$2:P2506 = P2507)))))"),42.5)</f>
        <v>42.5</v>
      </c>
      <c r="N2507" s="335" t="str">
        <f>IF(MAXIFS('単価履歴'!$O:$O,'単価履歴'!$E:$E,E2507,'単価履歴'!$F:$F,F2507)=O2507,"●","")</f>
        <v/>
      </c>
      <c r="O2507" s="346">
        <v>45937.278449074074</v>
      </c>
      <c r="P2507" s="334" t="str">
        <f t="shared" si="4"/>
        <v>東鐵田原:直納新断Ｂ</v>
      </c>
    </row>
    <row r="2508" ht="15.75" customHeight="1">
      <c r="A2508" s="335" t="s">
        <v>3660</v>
      </c>
      <c r="B2508" s="336">
        <v>45937.0</v>
      </c>
      <c r="C2508" s="335" t="s">
        <v>536</v>
      </c>
      <c r="D2508" s="335" t="s">
        <v>77</v>
      </c>
      <c r="E2508" s="337" t="str">
        <f t="shared" si="1"/>
        <v>東鐵田原:直納</v>
      </c>
      <c r="F2508" s="338" t="s">
        <v>154</v>
      </c>
      <c r="G2508" s="339" t="str">
        <f t="shared" si="2"/>
        <v>東鐵田原:直納ＣＰ Ａ</v>
      </c>
      <c r="H2508" s="340">
        <f t="shared" si="3"/>
        <v>39.5</v>
      </c>
      <c r="I2508" s="341">
        <v>0.5</v>
      </c>
      <c r="J2508" s="332">
        <f>IFERROR(__xludf.DUMMYFUNCTION("IF(IF(COUNTIF(P$2:P2507, P2508)=0, """", INDEX(H$2:H2507,
MAX(FILTER(ROW(H$2:H2507) - ROW(H$2) + 1, P$2:P2507 = P2508))))=""単価"","""",
IF(COUNTIF(P$2:P2507, P2508)=0, """", INDEX(H$2:H2507,
MAX(FILTER(ROW(H$2:H2507) - ROW(H$2) + 1, P$2:P2507 = P2508)))))"),39.0)</f>
        <v>39</v>
      </c>
      <c r="N2508" s="335" t="str">
        <f>IF(MAXIFS('単価履歴'!$O:$O,'単価履歴'!$E:$E,E2508,'単価履歴'!$F:$F,F2508)=O2508,"●","")</f>
        <v/>
      </c>
      <c r="O2508" s="346">
        <v>45937.278449074074</v>
      </c>
      <c r="P2508" s="334" t="str">
        <f t="shared" si="4"/>
        <v>東鐵田原:直納ＣＰ Ａ</v>
      </c>
    </row>
    <row r="2509" ht="15.75" customHeight="1">
      <c r="A2509" s="335" t="s">
        <v>3661</v>
      </c>
      <c r="B2509" s="336">
        <v>45937.0</v>
      </c>
      <c r="C2509" s="335" t="s">
        <v>536</v>
      </c>
      <c r="D2509" s="335" t="s">
        <v>77</v>
      </c>
      <c r="E2509" s="337" t="str">
        <f t="shared" si="1"/>
        <v>東鐵田原:直納</v>
      </c>
      <c r="F2509" s="338" t="s">
        <v>111</v>
      </c>
      <c r="G2509" s="339" t="str">
        <f t="shared" si="2"/>
        <v>東鐵田原:直納Ｈ１(特A)</v>
      </c>
      <c r="H2509" s="340">
        <f t="shared" si="3"/>
        <v>42.7</v>
      </c>
      <c r="I2509" s="341">
        <v>0.5</v>
      </c>
      <c r="J2509" s="332">
        <f>IFERROR(__xludf.DUMMYFUNCTION("IF(IF(COUNTIF(P$2:P2508, P2509)=0, """", INDEX(H$2:H2508,
MAX(FILTER(ROW(H$2:H2508) - ROW(H$2) + 1, P$2:P2508 = P2509))))=""単価"","""",
IF(COUNTIF(P$2:P2508, P2509)=0, """", INDEX(H$2:H2508,
MAX(FILTER(ROW(H$2:H2508) - ROW(H$2) + 1, P$2:P2508 = P2509)))))"),42.2)</f>
        <v>42.2</v>
      </c>
      <c r="N2509" s="335" t="str">
        <f>IF(MAXIFS('単価履歴'!$O:$O,'単価履歴'!$E:$E,E2509,'単価履歴'!$F:$F,F2509)=O2509,"●","")</f>
        <v/>
      </c>
      <c r="O2509" s="346">
        <v>45937.278449074074</v>
      </c>
      <c r="P2509" s="334" t="str">
        <f t="shared" si="4"/>
        <v>東鐵田原:直納Ｈ１(特A)</v>
      </c>
    </row>
    <row r="2510" ht="15.75" customHeight="1">
      <c r="A2510" s="335" t="s">
        <v>3662</v>
      </c>
      <c r="B2510" s="336">
        <v>45937.0</v>
      </c>
      <c r="C2510" s="335" t="s">
        <v>536</v>
      </c>
      <c r="D2510" s="335" t="s">
        <v>77</v>
      </c>
      <c r="E2510" s="337" t="str">
        <f t="shared" si="1"/>
        <v>東鐵田原:直納</v>
      </c>
      <c r="F2510" s="338" t="s">
        <v>573</v>
      </c>
      <c r="G2510" s="339" t="str">
        <f t="shared" si="2"/>
        <v>東鐵田原:直納Ｌ２(H4･級外･L1ﾊﾞﾗ)</v>
      </c>
      <c r="H2510" s="340">
        <f t="shared" si="3"/>
        <v>36</v>
      </c>
      <c r="I2510" s="341">
        <v>0.5</v>
      </c>
      <c r="J2510" s="332">
        <f>IFERROR(__xludf.DUMMYFUNCTION("IF(IF(COUNTIF(P$2:P2509, P2510)=0, """", INDEX(H$2:H2509,
MAX(FILTER(ROW(H$2:H2509) - ROW(H$2) + 1, P$2:P2509 = P2510))))=""単価"","""",
IF(COUNTIF(P$2:P2509, P2510)=0, """", INDEX(H$2:H2509,
MAX(FILTER(ROW(H$2:H2509) - ROW(H$2) + 1, P$2:P2509 = P2510)))))"),35.5)</f>
        <v>35.5</v>
      </c>
      <c r="N2510" s="335" t="str">
        <f>IF(MAXIFS('単価履歴'!$O:$O,'単価履歴'!$E:$E,E2510,'単価履歴'!$F:$F,F2510)=O2510,"●","")</f>
        <v/>
      </c>
      <c r="O2510" s="346">
        <v>45937.278449074074</v>
      </c>
      <c r="P2510" s="334" t="str">
        <f t="shared" si="4"/>
        <v>東鐵田原:直納Ｌ２(H4･級外･L1ﾊﾞﾗ)</v>
      </c>
    </row>
    <row r="2511" ht="15.75" customHeight="1">
      <c r="A2511" s="335" t="s">
        <v>3663</v>
      </c>
      <c r="B2511" s="336">
        <v>45937.0</v>
      </c>
      <c r="C2511" s="335" t="s">
        <v>536</v>
      </c>
      <c r="D2511" s="335" t="s">
        <v>77</v>
      </c>
      <c r="E2511" s="337" t="str">
        <f t="shared" si="1"/>
        <v>東鐵田原:直納</v>
      </c>
      <c r="F2511" s="338" t="s">
        <v>575</v>
      </c>
      <c r="G2511" s="339" t="str">
        <f t="shared" si="2"/>
        <v>東鐵田原:直納鋼ダライＡ</v>
      </c>
      <c r="H2511" s="340">
        <f t="shared" si="3"/>
        <v>39.5</v>
      </c>
      <c r="I2511" s="341">
        <v>0.5</v>
      </c>
      <c r="J2511" s="332">
        <f>IFERROR(__xludf.DUMMYFUNCTION("IF(IF(COUNTIF(P$2:P2510, P2511)=0, """", INDEX(H$2:H2510,
MAX(FILTER(ROW(H$2:H2510) - ROW(H$2) + 1, P$2:P2510 = P2511))))=""単価"","""",
IF(COUNTIF(P$2:P2510, P2511)=0, """", INDEX(H$2:H2510,
MAX(FILTER(ROW(H$2:H2510) - ROW(H$2) + 1, P$2:P2510 = P2511)))))"),39.0)</f>
        <v>39</v>
      </c>
      <c r="N2511" s="335" t="str">
        <f>IF(MAXIFS('単価履歴'!$O:$O,'単価履歴'!$E:$E,E2511,'単価履歴'!$F:$F,F2511)=O2511,"●","")</f>
        <v/>
      </c>
      <c r="O2511" s="346">
        <v>45937.278449074074</v>
      </c>
      <c r="P2511" s="334" t="str">
        <f t="shared" si="4"/>
        <v>東鐵田原:直納鋼ダライＡ</v>
      </c>
    </row>
    <row r="2512" ht="15.75" customHeight="1">
      <c r="A2512" s="335" t="s">
        <v>3664</v>
      </c>
      <c r="B2512" s="336">
        <v>45937.0</v>
      </c>
      <c r="C2512" s="335" t="s">
        <v>19</v>
      </c>
      <c r="D2512" s="335" t="s">
        <v>61</v>
      </c>
      <c r="E2512" s="337" t="str">
        <f t="shared" si="1"/>
        <v>トピー工業:ＭＭ</v>
      </c>
      <c r="F2512" s="338" t="s">
        <v>116</v>
      </c>
      <c r="G2512" s="339" t="str">
        <f t="shared" si="2"/>
        <v>トピー工業:ＭＭＨ２(特級)</v>
      </c>
      <c r="H2512" s="340">
        <f t="shared" si="3"/>
        <v>34.5</v>
      </c>
      <c r="I2512" s="341">
        <v>0.5</v>
      </c>
      <c r="J2512" s="332">
        <f>IFERROR(__xludf.DUMMYFUNCTION("IF(IF(COUNTIF(P$2:P2511, P2512)=0, """", INDEX(H$2:H2511,
MAX(FILTER(ROW(H$2:H2511) - ROW(H$2) + 1, P$2:P2511 = P2512))))=""単価"","""",
IF(COUNTIF(P$2:P2511, P2512)=0, """", INDEX(H$2:H2511,
MAX(FILTER(ROW(H$2:H2511) - ROW(H$2) + 1, P$2:P2511 = P2512)))))"),34.0)</f>
        <v>34</v>
      </c>
      <c r="N2512" s="335" t="str">
        <f>IF(MAXIFS('単価履歴'!$O:$O,'単価履歴'!$E:$E,E2512,'単価履歴'!$F:$F,F2512)=O2512,"●","")</f>
        <v/>
      </c>
      <c r="O2512" s="346">
        <v>45937.27890046296</v>
      </c>
      <c r="P2512" s="334" t="str">
        <f t="shared" si="4"/>
        <v>トピー工業:ＭＭＨ２(特級)</v>
      </c>
    </row>
    <row r="2513" ht="15.75" customHeight="1">
      <c r="A2513" s="335" t="s">
        <v>3665</v>
      </c>
      <c r="B2513" s="336">
        <v>45937.0</v>
      </c>
      <c r="C2513" s="335" t="s">
        <v>37</v>
      </c>
      <c r="D2513" s="335" t="s">
        <v>48</v>
      </c>
      <c r="E2513" s="337" t="str">
        <f t="shared" si="1"/>
        <v>共英名古屋:ナベ</v>
      </c>
      <c r="F2513" s="338" t="s">
        <v>111</v>
      </c>
      <c r="G2513" s="339" t="str">
        <f t="shared" si="2"/>
        <v>共英名古屋:ナベＨ１(特A)</v>
      </c>
      <c r="H2513" s="340">
        <f t="shared" si="3"/>
        <v>42.2</v>
      </c>
      <c r="I2513" s="341">
        <v>0.5</v>
      </c>
      <c r="J2513" s="332">
        <f>IFERROR(__xludf.DUMMYFUNCTION("IF(IF(COUNTIF(P$2:P2512, P2513)=0, """", INDEX(H$2:H2512,
MAX(FILTER(ROW(H$2:H2512) - ROW(H$2) + 1, P$2:P2512 = P2513))))=""単価"","""",
IF(COUNTIF(P$2:P2512, P2513)=0, """", INDEX(H$2:H2512,
MAX(FILTER(ROW(H$2:H2512) - ROW(H$2) + 1, P$2:P2512 = P2513)))))"),41.7)</f>
        <v>41.7</v>
      </c>
      <c r="N2513" s="335" t="str">
        <f>IF(MAXIFS('単価履歴'!$O:$O,'単価履歴'!$E:$E,E2513,'単価履歴'!$F:$F,F2513)=O2513,"●","")</f>
        <v/>
      </c>
      <c r="O2513" s="346">
        <v>45937.27918981481</v>
      </c>
      <c r="P2513" s="334" t="str">
        <f t="shared" si="4"/>
        <v>共英名古屋:ナベＨ１(特A)</v>
      </c>
    </row>
    <row r="2514" ht="15.75" customHeight="1">
      <c r="A2514" s="335" t="s">
        <v>3666</v>
      </c>
      <c r="B2514" s="336">
        <v>45937.0</v>
      </c>
      <c r="C2514" s="335" t="s">
        <v>37</v>
      </c>
      <c r="D2514" s="335" t="s">
        <v>48</v>
      </c>
      <c r="E2514" s="337" t="str">
        <f t="shared" si="1"/>
        <v>共英名古屋:ナベ</v>
      </c>
      <c r="F2514" s="338" t="s">
        <v>116</v>
      </c>
      <c r="G2514" s="339" t="str">
        <f t="shared" si="2"/>
        <v>共英名古屋:ナベＨ２(特級)</v>
      </c>
      <c r="H2514" s="340">
        <f t="shared" si="3"/>
        <v>39.5</v>
      </c>
      <c r="I2514" s="341">
        <v>0.5</v>
      </c>
      <c r="J2514" s="332">
        <f>IFERROR(__xludf.DUMMYFUNCTION("IF(IF(COUNTIF(P$2:P2513, P2514)=0, """", INDEX(H$2:H2513,
MAX(FILTER(ROW(H$2:H2513) - ROW(H$2) + 1, P$2:P2513 = P2514))))=""単価"","""",
IF(COUNTIF(P$2:P2513, P2514)=0, """", INDEX(H$2:H2513,
MAX(FILTER(ROW(H$2:H2513) - ROW(H$2) + 1, P$2:P2513 = P2514)))))"),39.0)</f>
        <v>39</v>
      </c>
      <c r="N2514" s="335" t="str">
        <f>IF(MAXIFS('単価履歴'!$O:$O,'単価履歴'!$E:$E,E2514,'単価履歴'!$F:$F,F2514)=O2514,"●","")</f>
        <v/>
      </c>
      <c r="O2514" s="346">
        <v>45937.27918981481</v>
      </c>
      <c r="P2514" s="334" t="str">
        <f t="shared" si="4"/>
        <v>共英名古屋:ナベＨ２(特級)</v>
      </c>
    </row>
    <row r="2515" ht="15.75" customHeight="1">
      <c r="A2515" s="335" t="s">
        <v>3667</v>
      </c>
      <c r="B2515" s="336">
        <v>45937.0</v>
      </c>
      <c r="C2515" s="335" t="s">
        <v>37</v>
      </c>
      <c r="D2515" s="335" t="s">
        <v>48</v>
      </c>
      <c r="E2515" s="337" t="str">
        <f t="shared" si="1"/>
        <v>共英名古屋:ナベ</v>
      </c>
      <c r="F2515" s="338" t="s">
        <v>119</v>
      </c>
      <c r="G2515" s="339" t="str">
        <f t="shared" si="2"/>
        <v>共英名古屋:ナベＨ３(1級)</v>
      </c>
      <c r="H2515" s="340">
        <f t="shared" si="3"/>
        <v>38.5</v>
      </c>
      <c r="I2515" s="341">
        <v>0.5</v>
      </c>
      <c r="J2515" s="332">
        <f>IFERROR(__xludf.DUMMYFUNCTION("IF(IF(COUNTIF(P$2:P2514, P2515)=0, """", INDEX(H$2:H2514,
MAX(FILTER(ROW(H$2:H2514) - ROW(H$2) + 1, P$2:P2514 = P2515))))=""単価"","""",
IF(COUNTIF(P$2:P2514, P2515)=0, """", INDEX(H$2:H2514,
MAX(FILTER(ROW(H$2:H2514) - ROW(H$2) + 1, P$2:P2514 = P2515)))))"),38.0)</f>
        <v>38</v>
      </c>
      <c r="N2515" s="335" t="str">
        <f>IF(MAXIFS('単価履歴'!$O:$O,'単価履歴'!$E:$E,E2515,'単価履歴'!$F:$F,F2515)=O2515,"●","")</f>
        <v/>
      </c>
      <c r="O2515" s="346">
        <v>45937.27918981481</v>
      </c>
      <c r="P2515" s="334" t="str">
        <f t="shared" si="4"/>
        <v>共英名古屋:ナベＨ３(1級)</v>
      </c>
    </row>
    <row r="2516" ht="15.75" customHeight="1">
      <c r="A2516" s="335" t="s">
        <v>3668</v>
      </c>
      <c r="B2516" s="336">
        <v>45937.0</v>
      </c>
      <c r="C2516" s="335" t="s">
        <v>37</v>
      </c>
      <c r="D2516" s="335" t="s">
        <v>48</v>
      </c>
      <c r="E2516" s="337" t="str">
        <f t="shared" si="1"/>
        <v>共英名古屋:ナベ</v>
      </c>
      <c r="F2516" s="338" t="s">
        <v>122</v>
      </c>
      <c r="G2516" s="339" t="str">
        <f t="shared" si="2"/>
        <v>共英名古屋:ナベＬ１(2級)</v>
      </c>
      <c r="H2516" s="340">
        <f t="shared" si="3"/>
        <v>35.5</v>
      </c>
      <c r="I2516" s="341">
        <v>0.5</v>
      </c>
      <c r="J2516" s="332">
        <f>IFERROR(__xludf.DUMMYFUNCTION("IF(IF(COUNTIF(P$2:P2515, P2516)=0, """", INDEX(H$2:H2515,
MAX(FILTER(ROW(H$2:H2515) - ROW(H$2) + 1, P$2:P2515 = P2516))))=""単価"","""",
IF(COUNTIF(P$2:P2515, P2516)=0, """", INDEX(H$2:H2515,
MAX(FILTER(ROW(H$2:H2515) - ROW(H$2) + 1, P$2:P2515 = P2516)))))"),35.0)</f>
        <v>35</v>
      </c>
      <c r="N2516" s="335" t="str">
        <f>IF(MAXIFS('単価履歴'!$O:$O,'単価履歴'!$E:$E,E2516,'単価履歴'!$F:$F,F2516)=O2516,"●","")</f>
        <v/>
      </c>
      <c r="O2516" s="346">
        <v>45937.27918981481</v>
      </c>
      <c r="P2516" s="334" t="str">
        <f t="shared" si="4"/>
        <v>共英名古屋:ナベＬ１(2級)</v>
      </c>
    </row>
    <row r="2517" ht="15.75" customHeight="1">
      <c r="A2517" s="335" t="s">
        <v>3669</v>
      </c>
      <c r="B2517" s="336">
        <v>45937.0</v>
      </c>
      <c r="C2517" s="335" t="s">
        <v>14</v>
      </c>
      <c r="D2517" s="335" t="s">
        <v>48</v>
      </c>
      <c r="E2517" s="337" t="str">
        <f t="shared" si="1"/>
        <v>愛知:ナベ</v>
      </c>
      <c r="F2517" s="338" t="s">
        <v>116</v>
      </c>
      <c r="G2517" s="339" t="str">
        <f t="shared" si="2"/>
        <v>愛知:ナベＨ２(特級)</v>
      </c>
      <c r="H2517" s="340">
        <f t="shared" si="3"/>
        <v>38.4</v>
      </c>
      <c r="I2517" s="341">
        <v>0.5</v>
      </c>
      <c r="J2517" s="332">
        <f>IFERROR(__xludf.DUMMYFUNCTION("IF(IF(COUNTIF(P$2:P2516, P2517)=0, """", INDEX(H$2:H2516,
MAX(FILTER(ROW(H$2:H2516) - ROW(H$2) + 1, P$2:P2516 = P2517))))=""単価"","""",
IF(COUNTIF(P$2:P2516, P2517)=0, """", INDEX(H$2:H2516,
MAX(FILTER(ROW(H$2:H2516) - ROW(H$2) + 1, P$2:P2516 = P2517)))))"),37.9)</f>
        <v>37.9</v>
      </c>
      <c r="N2517" s="335" t="str">
        <f>IF(MAXIFS('単価履歴'!$O:$O,'単価履歴'!$E:$E,E2517,'単価履歴'!$F:$F,F2517)=O2517,"●","")</f>
        <v/>
      </c>
      <c r="O2517" s="346">
        <v>45937.280277777776</v>
      </c>
      <c r="P2517" s="334" t="str">
        <f t="shared" si="4"/>
        <v>愛知:ナベＨ２(特級)</v>
      </c>
    </row>
    <row r="2518" ht="15.75" customHeight="1">
      <c r="A2518" s="335" t="s">
        <v>3670</v>
      </c>
      <c r="B2518" s="336">
        <v>45937.0</v>
      </c>
      <c r="C2518" s="335" t="s">
        <v>14</v>
      </c>
      <c r="D2518" s="335" t="s">
        <v>48</v>
      </c>
      <c r="E2518" s="337" t="str">
        <f t="shared" si="1"/>
        <v>愛知:ナベ</v>
      </c>
      <c r="F2518" s="338" t="s">
        <v>575</v>
      </c>
      <c r="G2518" s="339" t="str">
        <f t="shared" si="2"/>
        <v>愛知:ナベ鋼ダライＡ</v>
      </c>
      <c r="H2518" s="340">
        <f t="shared" si="3"/>
        <v>0.5</v>
      </c>
      <c r="I2518" s="341">
        <v>0.5</v>
      </c>
      <c r="J2518" s="332">
        <f>IFERROR(__xludf.DUMMYFUNCTION("IF(IF(COUNTIF(P$2:P2517, P2518)=0, """", INDEX(H$2:H2517,
MAX(FILTER(ROW(H$2:H2517) - ROW(H$2) + 1, P$2:P2517 = P2518))))=""単価"","""",
IF(COUNTIF(P$2:P2517, P2518)=0, """", INDEX(H$2:H2517,
MAX(FILTER(ROW(H$2:H2517) - ROW(H$2) + 1, P$2:P2517 = P2518)))))"),0.0)</f>
        <v>0</v>
      </c>
      <c r="N2518" s="335" t="str">
        <f>IF(MAXIFS('単価履歴'!$O:$O,'単価履歴'!$E:$E,E2518,'単価履歴'!$F:$F,F2518)=O2518,"●","")</f>
        <v/>
      </c>
      <c r="O2518" s="346">
        <v>45937.280277777776</v>
      </c>
      <c r="P2518" s="334" t="str">
        <f t="shared" si="4"/>
        <v>愛知:ナベ鋼ダライＡ</v>
      </c>
    </row>
    <row r="2519" ht="15.75" customHeight="1">
      <c r="A2519" s="335" t="s">
        <v>3671</v>
      </c>
      <c r="B2519" s="336">
        <v>45937.0</v>
      </c>
      <c r="C2519" s="335" t="s">
        <v>14</v>
      </c>
      <c r="D2519" s="335" t="s">
        <v>48</v>
      </c>
      <c r="E2519" s="337" t="str">
        <f t="shared" si="1"/>
        <v>愛知:ナベ</v>
      </c>
      <c r="F2519" s="338" t="s">
        <v>1199</v>
      </c>
      <c r="G2519" s="339" t="str">
        <f t="shared" si="2"/>
        <v>愛知:ナベＨＳ１(単体H1/電特A/HS))</v>
      </c>
      <c r="H2519" s="340">
        <f t="shared" si="3"/>
        <v>41</v>
      </c>
      <c r="I2519" s="341">
        <v>0.5</v>
      </c>
      <c r="J2519" s="332">
        <f>IFERROR(__xludf.DUMMYFUNCTION("IF(IF(COUNTIF(P$2:P2518, P2519)=0, """", INDEX(H$2:H2518,
MAX(FILTER(ROW(H$2:H2518) - ROW(H$2) + 1, P$2:P2518 = P2519))))=""単価"","""",
IF(COUNTIF(P$2:P2518, P2519)=0, """", INDEX(H$2:H2518,
MAX(FILTER(ROW(H$2:H2518) - ROW(H$2) + 1, P$2:P2518 = P2519)))))"),40.5)</f>
        <v>40.5</v>
      </c>
      <c r="N2519" s="335" t="str">
        <f>IF(MAXIFS('単価履歴'!$O:$O,'単価履歴'!$E:$E,E2519,'単価履歴'!$F:$F,F2519)=O2519,"●","")</f>
        <v/>
      </c>
      <c r="O2519" s="346">
        <v>45937.280277777776</v>
      </c>
      <c r="P2519" s="334" t="str">
        <f t="shared" si="4"/>
        <v>愛知:ナベＨＳ１(単体H1/電特A/HS))</v>
      </c>
    </row>
    <row r="2520" ht="15.75" customHeight="1">
      <c r="A2520" s="335" t="s">
        <v>3672</v>
      </c>
      <c r="B2520" s="336">
        <v>45937.0</v>
      </c>
      <c r="C2520" s="335" t="s">
        <v>14</v>
      </c>
      <c r="D2520" s="335" t="s">
        <v>48</v>
      </c>
      <c r="E2520" s="337" t="str">
        <f t="shared" si="1"/>
        <v>愛知:ナベ</v>
      </c>
      <c r="F2520" s="338" t="s">
        <v>119</v>
      </c>
      <c r="G2520" s="339" t="str">
        <f t="shared" si="2"/>
        <v>愛知:ナベＨ３(1級)</v>
      </c>
      <c r="H2520" s="340">
        <f t="shared" si="3"/>
        <v>37.4</v>
      </c>
      <c r="I2520" s="341">
        <v>0.5</v>
      </c>
      <c r="J2520" s="332">
        <f>IFERROR(__xludf.DUMMYFUNCTION("IF(IF(COUNTIF(P$2:P2519, P2520)=0, """", INDEX(H$2:H2519,
MAX(FILTER(ROW(H$2:H2519) - ROW(H$2) + 1, P$2:P2519 = P2520))))=""単価"","""",
IF(COUNTIF(P$2:P2519, P2520)=0, """", INDEX(H$2:H2519,
MAX(FILTER(ROW(H$2:H2519) - ROW(H$2) + 1, P$2:P2519 = P2520)))))"),36.9)</f>
        <v>36.9</v>
      </c>
      <c r="N2520" s="335" t="str">
        <f>IF(MAXIFS('単価履歴'!$O:$O,'単価履歴'!$E:$E,E2520,'単価履歴'!$F:$F,F2520)=O2520,"●","")</f>
        <v/>
      </c>
      <c r="O2520" s="346">
        <v>45937.280277777776</v>
      </c>
      <c r="P2520" s="334" t="str">
        <f t="shared" si="4"/>
        <v>愛知:ナベＨ３(1級)</v>
      </c>
    </row>
    <row r="2521" ht="15.75" customHeight="1">
      <c r="A2521" s="335" t="s">
        <v>3673</v>
      </c>
      <c r="B2521" s="336">
        <v>45937.0</v>
      </c>
      <c r="C2521" s="335" t="s">
        <v>14</v>
      </c>
      <c r="D2521" s="335" t="s">
        <v>48</v>
      </c>
      <c r="E2521" s="337" t="str">
        <f t="shared" si="1"/>
        <v>愛知:ナベ</v>
      </c>
      <c r="F2521" s="338" t="s">
        <v>101</v>
      </c>
      <c r="G2521" s="339" t="str">
        <f t="shared" si="2"/>
        <v>愛知:ナベＨＳ２</v>
      </c>
      <c r="H2521" s="340">
        <f t="shared" si="3"/>
        <v>40.5</v>
      </c>
      <c r="I2521" s="341">
        <v>0.5</v>
      </c>
      <c r="J2521" s="332">
        <f>IFERROR(__xludf.DUMMYFUNCTION("IF(IF(COUNTIF(P$2:P2520, P2521)=0, """", INDEX(H$2:H2520,
MAX(FILTER(ROW(H$2:H2520) - ROW(H$2) + 1, P$2:P2520 = P2521))))=""単価"","""",
IF(COUNTIF(P$2:P2520, P2521)=0, """", INDEX(H$2:H2520,
MAX(FILTER(ROW(H$2:H2520) - ROW(H$2) + 1, P$2:P2520 = P2521)))))"),40.0)</f>
        <v>40</v>
      </c>
      <c r="N2521" s="335" t="str">
        <f>IF(MAXIFS('単価履歴'!$O:$O,'単価履歴'!$E:$E,E2521,'単価履歴'!$F:$F,F2521)=O2521,"●","")</f>
        <v/>
      </c>
      <c r="O2521" s="346">
        <v>45937.280277777776</v>
      </c>
      <c r="P2521" s="334" t="str">
        <f t="shared" si="4"/>
        <v>愛知:ナベＨＳ２</v>
      </c>
    </row>
    <row r="2522" ht="15.75" customHeight="1">
      <c r="A2522" s="335" t="s">
        <v>3674</v>
      </c>
      <c r="B2522" s="336">
        <v>45937.0</v>
      </c>
      <c r="C2522" s="335" t="s">
        <v>14</v>
      </c>
      <c r="D2522" s="335" t="s">
        <v>48</v>
      </c>
      <c r="E2522" s="337" t="str">
        <f t="shared" si="1"/>
        <v>愛知:ナベ</v>
      </c>
      <c r="F2522" s="338" t="s">
        <v>111</v>
      </c>
      <c r="G2522" s="339" t="str">
        <f t="shared" si="2"/>
        <v>愛知:ナベＨ１(特A)</v>
      </c>
      <c r="H2522" s="340">
        <f t="shared" si="3"/>
        <v>40</v>
      </c>
      <c r="I2522" s="341">
        <v>0.5</v>
      </c>
      <c r="J2522" s="332">
        <f>IFERROR(__xludf.DUMMYFUNCTION("IF(IF(COUNTIF(P$2:P2521, P2522)=0, """", INDEX(H$2:H2521,
MAX(FILTER(ROW(H$2:H2521) - ROW(H$2) + 1, P$2:P2521 = P2522))))=""単価"","""",
IF(COUNTIF(P$2:P2521, P2522)=0, """", INDEX(H$2:H2521,
MAX(FILTER(ROW(H$2:H2521) - ROW(H$2) + 1, P$2:P2521 = P2522)))))"),39.5)</f>
        <v>39.5</v>
      </c>
      <c r="N2522" s="335" t="str">
        <f>IF(MAXIFS('単価履歴'!$O:$O,'単価履歴'!$E:$E,E2522,'単価履歴'!$F:$F,F2522)=O2522,"●","")</f>
        <v/>
      </c>
      <c r="O2522" s="346">
        <v>45937.280277777776</v>
      </c>
      <c r="P2522" s="334" t="str">
        <f t="shared" si="4"/>
        <v>愛知:ナベＨ１(特A)</v>
      </c>
    </row>
    <row r="2523" ht="15.75" customHeight="1">
      <c r="A2523" s="335" t="s">
        <v>3675</v>
      </c>
      <c r="B2523" s="336">
        <v>45937.0</v>
      </c>
      <c r="C2523" s="335" t="s">
        <v>14</v>
      </c>
      <c r="D2523" s="335" t="s">
        <v>48</v>
      </c>
      <c r="E2523" s="337" t="str">
        <f t="shared" si="1"/>
        <v>愛知:ナベ</v>
      </c>
      <c r="F2523" s="338" t="s">
        <v>573</v>
      </c>
      <c r="G2523" s="339" t="str">
        <f t="shared" si="2"/>
        <v>愛知:ナベＬ２(H4･級外･L1ﾊﾞﾗ)</v>
      </c>
      <c r="H2523" s="340">
        <f t="shared" si="3"/>
        <v>33.4</v>
      </c>
      <c r="I2523" s="341">
        <v>0.5</v>
      </c>
      <c r="J2523" s="332">
        <f>IFERROR(__xludf.DUMMYFUNCTION("IF(IF(COUNTIF(P$2:P2522, P2523)=0, """", INDEX(H$2:H2522,
MAX(FILTER(ROW(H$2:H2522) - ROW(H$2) + 1, P$2:P2522 = P2523))))=""単価"","""",
IF(COUNTIF(P$2:P2522, P2523)=0, """", INDEX(H$2:H2522,
MAX(FILTER(ROW(H$2:H2522) - ROW(H$2) + 1, P$2:P2522 = P2523)))))"),32.9)</f>
        <v>32.9</v>
      </c>
      <c r="N2523" s="335" t="str">
        <f>IF(MAXIFS('単価履歴'!$O:$O,'単価履歴'!$E:$E,E2523,'単価履歴'!$F:$F,F2523)=O2523,"●","")</f>
        <v/>
      </c>
      <c r="O2523" s="346">
        <v>45937.280277777776</v>
      </c>
      <c r="P2523" s="334" t="str">
        <f t="shared" si="4"/>
        <v>愛知:ナベＬ２(H4･級外･L1ﾊﾞﾗ)</v>
      </c>
    </row>
    <row r="2524" ht="15.75" customHeight="1">
      <c r="A2524" s="335" t="s">
        <v>3676</v>
      </c>
      <c r="B2524" s="336">
        <v>45937.0</v>
      </c>
      <c r="C2524" s="335" t="s">
        <v>31</v>
      </c>
      <c r="D2524" s="335" t="s">
        <v>64</v>
      </c>
      <c r="E2524" s="337" t="str">
        <f t="shared" si="1"/>
        <v>泉北中谷:ナベ双葉</v>
      </c>
      <c r="F2524" s="338" t="s">
        <v>116</v>
      </c>
      <c r="G2524" s="339" t="str">
        <f t="shared" si="2"/>
        <v>泉北中谷:ナベ双葉Ｈ２(特級)</v>
      </c>
      <c r="H2524" s="340">
        <f t="shared" si="3"/>
        <v>39</v>
      </c>
      <c r="I2524" s="341">
        <v>0.5</v>
      </c>
      <c r="J2524" s="332">
        <f>IFERROR(__xludf.DUMMYFUNCTION("IF(IF(COUNTIF(P$2:P2523, P2524)=0, """", INDEX(H$2:H2523,
MAX(FILTER(ROW(H$2:H2523) - ROW(H$2) + 1, P$2:P2523 = P2524))))=""単価"","""",
IF(COUNTIF(P$2:P2523, P2524)=0, """", INDEX(H$2:H2523,
MAX(FILTER(ROW(H$2:H2523) - ROW(H$2) + 1, P$2:P2523 = P2524)))))"),38.5)</f>
        <v>38.5</v>
      </c>
      <c r="N2524" s="335" t="str">
        <f>IF(MAXIFS('単価履歴'!$O:$O,'単価履歴'!$E:$E,E2524,'単価履歴'!$F:$F,F2524)=O2524,"●","")</f>
        <v/>
      </c>
      <c r="O2524" s="346">
        <v>45937.28136574074</v>
      </c>
      <c r="P2524" s="334" t="str">
        <f t="shared" si="4"/>
        <v>泉北中谷:ナベ双葉Ｈ２(特級)</v>
      </c>
    </row>
    <row r="2525" ht="15.75" customHeight="1">
      <c r="A2525" s="335" t="s">
        <v>3677</v>
      </c>
      <c r="B2525" s="336">
        <v>45937.0</v>
      </c>
      <c r="C2525" s="335" t="s">
        <v>28</v>
      </c>
      <c r="D2525" s="335" t="s">
        <v>52</v>
      </c>
      <c r="E2525" s="337" t="str">
        <f t="shared" si="1"/>
        <v>ＪＦＥ条鋼:リバイブ</v>
      </c>
      <c r="F2525" s="338" t="s">
        <v>111</v>
      </c>
      <c r="G2525" s="339" t="str">
        <f t="shared" si="2"/>
        <v>ＪＦＥ条鋼:リバイブＨ１(特A)</v>
      </c>
      <c r="H2525" s="340">
        <f t="shared" si="3"/>
        <v>38</v>
      </c>
      <c r="I2525" s="341">
        <v>0.5</v>
      </c>
      <c r="J2525" s="332">
        <f>IFERROR(__xludf.DUMMYFUNCTION("IF(IF(COUNTIF(P$2:P2524, P2525)=0, """", INDEX(H$2:H2524,
MAX(FILTER(ROW(H$2:H2524) - ROW(H$2) + 1, P$2:P2524 = P2525))))=""単価"","""",
IF(COUNTIF(P$2:P2524, P2525)=0, """", INDEX(H$2:H2524,
MAX(FILTER(ROW(H$2:H2524) - ROW(H$2) + 1, P$2:P2524 = P2525)))))"),37.5)</f>
        <v>37.5</v>
      </c>
      <c r="N2525" s="335" t="str">
        <f>IF(MAXIFS('単価履歴'!$O:$O,'単価履歴'!$E:$E,E2525,'単価履歴'!$F:$F,F2525)=O2525,"●","")</f>
        <v/>
      </c>
      <c r="O2525" s="346">
        <v>45937.345046296294</v>
      </c>
      <c r="P2525" s="334" t="str">
        <f t="shared" si="4"/>
        <v>ＪＦＥ条鋼:リバイブＨ１(特A)</v>
      </c>
    </row>
    <row r="2526" ht="15.75" customHeight="1">
      <c r="A2526" s="335" t="s">
        <v>3678</v>
      </c>
      <c r="B2526" s="336">
        <v>45937.0</v>
      </c>
      <c r="C2526" s="335" t="s">
        <v>28</v>
      </c>
      <c r="D2526" s="335" t="s">
        <v>52</v>
      </c>
      <c r="E2526" s="337" t="str">
        <f t="shared" si="1"/>
        <v>ＪＦＥ条鋼:リバイブ</v>
      </c>
      <c r="F2526" s="338" t="s">
        <v>116</v>
      </c>
      <c r="G2526" s="339" t="str">
        <f t="shared" si="2"/>
        <v>ＪＦＥ条鋼:リバイブＨ２(特級)</v>
      </c>
      <c r="H2526" s="340">
        <f t="shared" si="3"/>
        <v>38</v>
      </c>
      <c r="I2526" s="341">
        <v>0.5</v>
      </c>
      <c r="J2526" s="332">
        <f>IFERROR(__xludf.DUMMYFUNCTION("IF(IF(COUNTIF(P$2:P2525, P2526)=0, """", INDEX(H$2:H2525,
MAX(FILTER(ROW(H$2:H2525) - ROW(H$2) + 1, P$2:P2525 = P2526))))=""単価"","""",
IF(COUNTIF(P$2:P2525, P2526)=0, """", INDEX(H$2:H2525,
MAX(FILTER(ROW(H$2:H2525) - ROW(H$2) + 1, P$2:P2525 = P2526)))))"),37.5)</f>
        <v>37.5</v>
      </c>
      <c r="N2526" s="335" t="str">
        <f>IF(MAXIFS('単価履歴'!$O:$O,'単価履歴'!$E:$E,E2526,'単価履歴'!$F:$F,F2526)=O2526,"●","")</f>
        <v/>
      </c>
      <c r="O2526" s="346">
        <v>45937.345046296294</v>
      </c>
      <c r="P2526" s="334" t="str">
        <f t="shared" si="4"/>
        <v>ＪＦＥ条鋼:リバイブＨ２(特級)</v>
      </c>
    </row>
    <row r="2527" ht="15.75" customHeight="1">
      <c r="A2527" s="335" t="s">
        <v>3679</v>
      </c>
      <c r="B2527" s="336">
        <v>45937.0</v>
      </c>
      <c r="C2527" s="335" t="s">
        <v>28</v>
      </c>
      <c r="D2527" s="335" t="s">
        <v>52</v>
      </c>
      <c r="E2527" s="337" t="str">
        <f t="shared" si="1"/>
        <v>ＪＦＥ条鋼:リバイブ</v>
      </c>
      <c r="F2527" s="338" t="s">
        <v>119</v>
      </c>
      <c r="G2527" s="339" t="str">
        <f t="shared" si="2"/>
        <v>ＪＦＥ条鋼:リバイブＨ３(1級)</v>
      </c>
      <c r="H2527" s="340">
        <f t="shared" si="3"/>
        <v>37</v>
      </c>
      <c r="I2527" s="341">
        <v>0.5</v>
      </c>
      <c r="J2527" s="332">
        <f>IFERROR(__xludf.DUMMYFUNCTION("IF(IF(COUNTIF(P$2:P2526, P2527)=0, """", INDEX(H$2:H2526,
MAX(FILTER(ROW(H$2:H2526) - ROW(H$2) + 1, P$2:P2526 = P2527))))=""単価"","""",
IF(COUNTIF(P$2:P2526, P2527)=0, """", INDEX(H$2:H2526,
MAX(FILTER(ROW(H$2:H2526) - ROW(H$2) + 1, P$2:P2526 = P2527)))))"),36.5)</f>
        <v>36.5</v>
      </c>
      <c r="N2527" s="335" t="str">
        <f>IF(MAXIFS('単価履歴'!$O:$O,'単価履歴'!$E:$E,E2527,'単価履歴'!$F:$F,F2527)=O2527,"●","")</f>
        <v/>
      </c>
      <c r="O2527" s="346">
        <v>45937.345046296294</v>
      </c>
      <c r="P2527" s="334" t="str">
        <f t="shared" si="4"/>
        <v>ＪＦＥ条鋼:リバイブＨ３(1級)</v>
      </c>
    </row>
    <row r="2528" ht="15.75" customHeight="1">
      <c r="A2528" s="335" t="s">
        <v>3680</v>
      </c>
      <c r="B2528" s="336">
        <v>45937.0</v>
      </c>
      <c r="C2528" s="335" t="s">
        <v>28</v>
      </c>
      <c r="D2528" s="335" t="s">
        <v>52</v>
      </c>
      <c r="E2528" s="337" t="str">
        <f t="shared" si="1"/>
        <v>ＪＦＥ条鋼:リバイブ</v>
      </c>
      <c r="F2528" s="338" t="s">
        <v>122</v>
      </c>
      <c r="G2528" s="339" t="str">
        <f t="shared" si="2"/>
        <v>ＪＦＥ条鋼:リバイブＬ１(2級)</v>
      </c>
      <c r="H2528" s="340">
        <f t="shared" si="3"/>
        <v>34</v>
      </c>
      <c r="I2528" s="341">
        <v>0.5</v>
      </c>
      <c r="J2528" s="332">
        <f>IFERROR(__xludf.DUMMYFUNCTION("IF(IF(COUNTIF(P$2:P2527, P2528)=0, """", INDEX(H$2:H2527,
MAX(FILTER(ROW(H$2:H2527) - ROW(H$2) + 1, P$2:P2527 = P2528))))=""単価"","""",
IF(COUNTIF(P$2:P2527, P2528)=0, """", INDEX(H$2:H2527,
MAX(FILTER(ROW(H$2:H2527) - ROW(H$2) + 1, P$2:P2527 = P2528)))))"),33.5)</f>
        <v>33.5</v>
      </c>
      <c r="N2528" s="335" t="str">
        <f>IF(MAXIFS('単価履歴'!$O:$O,'単価履歴'!$E:$E,E2528,'単価履歴'!$F:$F,F2528)=O2528,"●","")</f>
        <v/>
      </c>
      <c r="O2528" s="346">
        <v>45937.345046296294</v>
      </c>
      <c r="P2528" s="334" t="str">
        <f t="shared" si="4"/>
        <v>ＪＦＥ条鋼:リバイブＬ１(2級)</v>
      </c>
    </row>
    <row r="2529" ht="15.75" customHeight="1">
      <c r="A2529" s="335" t="s">
        <v>3681</v>
      </c>
      <c r="B2529" s="336">
        <v>45937.0</v>
      </c>
      <c r="C2529" s="335" t="s">
        <v>28</v>
      </c>
      <c r="D2529" s="335" t="s">
        <v>52</v>
      </c>
      <c r="E2529" s="337" t="str">
        <f t="shared" si="1"/>
        <v>ＪＦＥ条鋼:リバイブ</v>
      </c>
      <c r="F2529" s="338" t="s">
        <v>573</v>
      </c>
      <c r="G2529" s="339" t="str">
        <f t="shared" si="2"/>
        <v>ＪＦＥ条鋼:リバイブＬ２(H4･級外･L1ﾊﾞﾗ)</v>
      </c>
      <c r="H2529" s="340">
        <f t="shared" si="3"/>
        <v>29</v>
      </c>
      <c r="I2529" s="341">
        <v>0.5</v>
      </c>
      <c r="J2529" s="332">
        <f>IFERROR(__xludf.DUMMYFUNCTION("IF(IF(COUNTIF(P$2:P2528, P2529)=0, """", INDEX(H$2:H2528,
MAX(FILTER(ROW(H$2:H2528) - ROW(H$2) + 1, P$2:P2528 = P2529))))=""単価"","""",
IF(COUNTIF(P$2:P2528, P2529)=0, """", INDEX(H$2:H2528,
MAX(FILTER(ROW(H$2:H2528) - ROW(H$2) + 1, P$2:P2528 = P2529)))))"),28.5)</f>
        <v>28.5</v>
      </c>
      <c r="N2529" s="335" t="str">
        <f>IF(MAXIFS('単価履歴'!$O:$O,'単価履歴'!$E:$E,E2529,'単価履歴'!$F:$F,F2529)=O2529,"●","")</f>
        <v/>
      </c>
      <c r="O2529" s="346">
        <v>45937.345046296294</v>
      </c>
      <c r="P2529" s="334" t="str">
        <f t="shared" si="4"/>
        <v>ＪＦＥ条鋼:リバイブＬ２(H4･級外･L1ﾊﾞﾗ)</v>
      </c>
    </row>
    <row r="2530" ht="15.75" customHeight="1">
      <c r="A2530" s="335" t="s">
        <v>3682</v>
      </c>
      <c r="B2530" s="336">
        <v>45937.0</v>
      </c>
      <c r="C2530" s="335" t="s">
        <v>28</v>
      </c>
      <c r="D2530" s="335" t="s">
        <v>52</v>
      </c>
      <c r="E2530" s="337" t="str">
        <f t="shared" si="1"/>
        <v>ＪＦＥ条鋼:リバイブ</v>
      </c>
      <c r="F2530" s="338" t="s">
        <v>130</v>
      </c>
      <c r="G2530" s="339" t="str">
        <f t="shared" si="2"/>
        <v>ＪＦＥ条鋼:リバイブ新断Ａ</v>
      </c>
      <c r="H2530" s="340">
        <f t="shared" si="3"/>
        <v>43.5</v>
      </c>
      <c r="I2530" s="341">
        <v>0.5</v>
      </c>
      <c r="J2530" s="332">
        <f>IFERROR(__xludf.DUMMYFUNCTION("IF(IF(COUNTIF(P$2:P2529, P2530)=0, """", INDEX(H$2:H2529,
MAX(FILTER(ROW(H$2:H2529) - ROW(H$2) + 1, P$2:P2529 = P2530))))=""単価"","""",
IF(COUNTIF(P$2:P2529, P2530)=0, """", INDEX(H$2:H2529,
MAX(FILTER(ROW(H$2:H2529) - ROW(H$2) + 1, P$2:P2529 = P2530)))))"),43.0)</f>
        <v>43</v>
      </c>
      <c r="N2530" s="335" t="str">
        <f>IF(MAXIFS('単価履歴'!$O:$O,'単価履歴'!$E:$E,E2530,'単価履歴'!$F:$F,F2530)=O2530,"●","")</f>
        <v/>
      </c>
      <c r="O2530" s="346">
        <v>45937.345046296294</v>
      </c>
      <c r="P2530" s="334" t="str">
        <f t="shared" si="4"/>
        <v>ＪＦＥ条鋼:リバイブ新断Ａ</v>
      </c>
    </row>
    <row r="2531" ht="15.75" customHeight="1">
      <c r="A2531" s="335" t="s">
        <v>3683</v>
      </c>
      <c r="B2531" s="336">
        <v>45937.0</v>
      </c>
      <c r="C2531" s="335" t="s">
        <v>28</v>
      </c>
      <c r="D2531" s="335" t="s">
        <v>52</v>
      </c>
      <c r="E2531" s="337" t="str">
        <f t="shared" si="1"/>
        <v>ＪＦＥ条鋼:リバイブ</v>
      </c>
      <c r="F2531" s="338" t="s">
        <v>131</v>
      </c>
      <c r="G2531" s="339" t="str">
        <f t="shared" si="2"/>
        <v>ＪＦＥ条鋼:リバイブ新断Ｂ</v>
      </c>
      <c r="H2531" s="340">
        <f t="shared" si="3"/>
        <v>42.5</v>
      </c>
      <c r="I2531" s="341">
        <v>0.5</v>
      </c>
      <c r="J2531" s="332">
        <f>IFERROR(__xludf.DUMMYFUNCTION("IF(IF(COUNTIF(P$2:P2530, P2531)=0, """", INDEX(H$2:H2530,
MAX(FILTER(ROW(H$2:H2530) - ROW(H$2) + 1, P$2:P2530 = P2531))))=""単価"","""",
IF(COUNTIF(P$2:P2530, P2531)=0, """", INDEX(H$2:H2530,
MAX(FILTER(ROW(H$2:H2530) - ROW(H$2) + 1, P$2:P2530 = P2531)))))"),42.0)</f>
        <v>42</v>
      </c>
      <c r="N2531" s="335" t="str">
        <f>IF(MAXIFS('単価履歴'!$O:$O,'単価履歴'!$E:$E,E2531,'単価履歴'!$F:$F,F2531)=O2531,"●","")</f>
        <v/>
      </c>
      <c r="O2531" s="346">
        <v>45937.345046296294</v>
      </c>
      <c r="P2531" s="334" t="str">
        <f t="shared" si="4"/>
        <v>ＪＦＥ条鋼:リバイブ新断Ｂ</v>
      </c>
    </row>
    <row r="2532" ht="15.75" customHeight="1">
      <c r="A2532" s="335" t="s">
        <v>3684</v>
      </c>
      <c r="B2532" s="336">
        <v>45937.0</v>
      </c>
      <c r="C2532" s="335" t="s">
        <v>28</v>
      </c>
      <c r="D2532" s="335" t="s">
        <v>52</v>
      </c>
      <c r="E2532" s="337" t="str">
        <f t="shared" si="1"/>
        <v>ＪＦＥ条鋼:リバイブ</v>
      </c>
      <c r="F2532" s="338" t="s">
        <v>575</v>
      </c>
      <c r="G2532" s="339" t="str">
        <f t="shared" si="2"/>
        <v>ＪＦＥ条鋼:リバイブ鋼ダライＡ</v>
      </c>
      <c r="H2532" s="340">
        <f t="shared" si="3"/>
        <v>37</v>
      </c>
      <c r="I2532" s="341">
        <v>0.5</v>
      </c>
      <c r="J2532" s="332">
        <f>IFERROR(__xludf.DUMMYFUNCTION("IF(IF(COUNTIF(P$2:P2531, P2532)=0, """", INDEX(H$2:H2531,
MAX(FILTER(ROW(H$2:H2531) - ROW(H$2) + 1, P$2:P2531 = P2532))))=""単価"","""",
IF(COUNTIF(P$2:P2531, P2532)=0, """", INDEX(H$2:H2531,
MAX(FILTER(ROW(H$2:H2531) - ROW(H$2) + 1, P$2:P2531 = P2532)))))"),36.5)</f>
        <v>36.5</v>
      </c>
      <c r="N2532" s="335" t="str">
        <f>IF(MAXIFS('単価履歴'!$O:$O,'単価履歴'!$E:$E,E2532,'単価履歴'!$F:$F,F2532)=O2532,"●","")</f>
        <v/>
      </c>
      <c r="O2532" s="346">
        <v>45937.345046296294</v>
      </c>
      <c r="P2532" s="334" t="str">
        <f t="shared" si="4"/>
        <v>ＪＦＥ条鋼:リバイブ鋼ダライＡ</v>
      </c>
    </row>
    <row r="2533" ht="15.75" customHeight="1">
      <c r="A2533" s="335" t="s">
        <v>3685</v>
      </c>
      <c r="B2533" s="336">
        <v>45937.0</v>
      </c>
      <c r="C2533" s="335" t="s">
        <v>28</v>
      </c>
      <c r="D2533" s="335" t="s">
        <v>52</v>
      </c>
      <c r="E2533" s="337" t="str">
        <f t="shared" si="1"/>
        <v>ＪＦＥ条鋼:リバイブ</v>
      </c>
      <c r="F2533" s="338" t="s">
        <v>154</v>
      </c>
      <c r="G2533" s="339" t="str">
        <f t="shared" si="2"/>
        <v>ＪＦＥ条鋼:リバイブＣＰ Ａ</v>
      </c>
      <c r="H2533" s="340">
        <f t="shared" si="3"/>
        <v>43.5</v>
      </c>
      <c r="I2533" s="341">
        <v>0.5</v>
      </c>
      <c r="J2533" s="332">
        <f>IFERROR(__xludf.DUMMYFUNCTION("IF(IF(COUNTIF(P$2:P2532, P2533)=0, """", INDEX(H$2:H2532,
MAX(FILTER(ROW(H$2:H2532) - ROW(H$2) + 1, P$2:P2532 = P2533))))=""単価"","""",
IF(COUNTIF(P$2:P2532, P2533)=0, """", INDEX(H$2:H2532,
MAX(FILTER(ROW(H$2:H2532) - ROW(H$2) + 1, P$2:P2532 = P2533)))))"),43.0)</f>
        <v>43</v>
      </c>
      <c r="N2533" s="335" t="str">
        <f>IF(MAXIFS('単価履歴'!$O:$O,'単価履歴'!$E:$E,E2533,'単価履歴'!$F:$F,F2533)=O2533,"●","")</f>
        <v/>
      </c>
      <c r="O2533" s="346">
        <v>45937.345046296294</v>
      </c>
      <c r="P2533" s="334" t="str">
        <f t="shared" si="4"/>
        <v>ＪＦＥ条鋼:リバイブＣＰ Ａ</v>
      </c>
    </row>
    <row r="2534" ht="15.75" customHeight="1">
      <c r="A2534" s="335" t="s">
        <v>3686</v>
      </c>
      <c r="B2534" s="336">
        <v>45938.0</v>
      </c>
      <c r="C2534" s="335" t="s">
        <v>534</v>
      </c>
      <c r="D2534" s="335" t="s">
        <v>46</v>
      </c>
      <c r="E2534" s="337" t="str">
        <f t="shared" si="1"/>
        <v>合同姫路:阪和</v>
      </c>
      <c r="F2534" s="338" t="s">
        <v>130</v>
      </c>
      <c r="G2534" s="339" t="str">
        <f t="shared" si="2"/>
        <v>合同姫路:阪和新断Ａ</v>
      </c>
      <c r="H2534" s="340">
        <f t="shared" si="3"/>
        <v>46.3</v>
      </c>
      <c r="I2534" s="341">
        <v>0.5</v>
      </c>
      <c r="J2534" s="332">
        <f>IFERROR(__xludf.DUMMYFUNCTION("IF(IF(COUNTIF(P$2:P2533, P2534)=0, """", INDEX(H$2:H2533,
MAX(FILTER(ROW(H$2:H2533) - ROW(H$2) + 1, P$2:P2533 = P2534))))=""単価"","""",
IF(COUNTIF(P$2:P2533, P2534)=0, """", INDEX(H$2:H2533,
MAX(FILTER(ROW(H$2:H2533) - ROW(H$2) + 1, P$2:P2533 = P2534)))))"),45.8)</f>
        <v>45.8</v>
      </c>
      <c r="N2534" s="335" t="str">
        <f>IF(MAXIFS('単価履歴'!$O:$O,'単価履歴'!$E:$E,E2534,'単価履歴'!$F:$F,F2534)=O2534,"●","")</f>
        <v/>
      </c>
      <c r="O2534" s="346">
        <v>45937.712685185186</v>
      </c>
      <c r="P2534" s="334" t="str">
        <f t="shared" si="4"/>
        <v>合同姫路:阪和新断Ａ</v>
      </c>
    </row>
    <row r="2535" ht="15.75" customHeight="1">
      <c r="A2535" s="335" t="s">
        <v>3687</v>
      </c>
      <c r="B2535" s="336">
        <v>45938.0</v>
      </c>
      <c r="C2535" s="335" t="s">
        <v>12</v>
      </c>
      <c r="D2535" s="335" t="s">
        <v>53</v>
      </c>
      <c r="E2535" s="337" t="str">
        <f t="shared" si="1"/>
        <v>山陽特殊:MM</v>
      </c>
      <c r="F2535" s="338" t="s">
        <v>1199</v>
      </c>
      <c r="G2535" s="339" t="str">
        <f t="shared" si="2"/>
        <v>山陽特殊:MMＨＳ１(単体H1/電特A/HS))</v>
      </c>
      <c r="H2535" s="340">
        <f t="shared" si="3"/>
        <v>46.5</v>
      </c>
      <c r="I2535" s="341">
        <v>0.5</v>
      </c>
      <c r="J2535" s="332">
        <f>IFERROR(__xludf.DUMMYFUNCTION("IF(IF(COUNTIF(P$2:P2534, P2535)=0, """", INDEX(H$2:H2534,
MAX(FILTER(ROW(H$2:H2534) - ROW(H$2) + 1, P$2:P2534 = P2535))))=""単価"","""",
IF(COUNTIF(P$2:P2534, P2535)=0, """", INDEX(H$2:H2534,
MAX(FILTER(ROW(H$2:H2534) - ROW(H$2) + 1, P$2:P2534 = P2535)))))"),46.0)</f>
        <v>46</v>
      </c>
      <c r="N2535" s="335" t="str">
        <f>IF(MAXIFS('単価履歴'!$O:$O,'単価履歴'!$E:$E,E2535,'単価履歴'!$F:$F,F2535)=O2535,"●","")</f>
        <v/>
      </c>
      <c r="O2535" s="346">
        <v>45937.71328703704</v>
      </c>
      <c r="P2535" s="334" t="str">
        <f t="shared" si="4"/>
        <v>山陽特殊:MMＨＳ１(単体H1/電特A/HS))</v>
      </c>
    </row>
    <row r="2536" ht="15.75" customHeight="1">
      <c r="A2536" s="335" t="s">
        <v>3688</v>
      </c>
      <c r="B2536" s="336">
        <v>45938.0</v>
      </c>
      <c r="C2536" s="335" t="s">
        <v>12</v>
      </c>
      <c r="D2536" s="335" t="s">
        <v>53</v>
      </c>
      <c r="E2536" s="337" t="str">
        <f t="shared" si="1"/>
        <v>山陽特殊:MM</v>
      </c>
      <c r="F2536" s="338" t="s">
        <v>101</v>
      </c>
      <c r="G2536" s="339" t="str">
        <f t="shared" si="2"/>
        <v>山陽特殊:MMＨＳ２</v>
      </c>
      <c r="H2536" s="340">
        <f t="shared" si="3"/>
        <v>46.3</v>
      </c>
      <c r="I2536" s="341">
        <v>0.5</v>
      </c>
      <c r="J2536" s="332">
        <f>IFERROR(__xludf.DUMMYFUNCTION("IF(IF(COUNTIF(P$2:P2535, P2536)=0, """", INDEX(H$2:H2535,
MAX(FILTER(ROW(H$2:H2535) - ROW(H$2) + 1, P$2:P2535 = P2536))))=""単価"","""",
IF(COUNTIF(P$2:P2535, P2536)=0, """", INDEX(H$2:H2535,
MAX(FILTER(ROW(H$2:H2535) - ROW(H$2) + 1, P$2:P2535 = P2536)))))"),45.8)</f>
        <v>45.8</v>
      </c>
      <c r="N2536" s="335" t="str">
        <f>IF(MAXIFS('単価履歴'!$O:$O,'単価履歴'!$E:$E,E2536,'単価履歴'!$F:$F,F2536)=O2536,"●","")</f>
        <v/>
      </c>
      <c r="O2536" s="346">
        <v>45937.71328703704</v>
      </c>
      <c r="P2536" s="334" t="str">
        <f t="shared" si="4"/>
        <v>山陽特殊:MMＨＳ２</v>
      </c>
    </row>
    <row r="2537" ht="15.75" customHeight="1">
      <c r="A2537" s="335" t="s">
        <v>3689</v>
      </c>
      <c r="B2537" s="336">
        <v>45938.0</v>
      </c>
      <c r="C2537" s="335" t="s">
        <v>12</v>
      </c>
      <c r="D2537" s="335" t="s">
        <v>53</v>
      </c>
      <c r="E2537" s="337" t="str">
        <f t="shared" si="1"/>
        <v>山陽特殊:MM</v>
      </c>
      <c r="F2537" s="338" t="s">
        <v>105</v>
      </c>
      <c r="G2537" s="339" t="str">
        <f t="shared" si="2"/>
        <v>山陽特殊:MMＨＳ３</v>
      </c>
      <c r="H2537" s="340">
        <f t="shared" si="3"/>
        <v>44.3</v>
      </c>
      <c r="I2537" s="341">
        <v>0.5</v>
      </c>
      <c r="J2537" s="332">
        <f>IFERROR(__xludf.DUMMYFUNCTION("IF(IF(COUNTIF(P$2:P2536, P2537)=0, """", INDEX(H$2:H2536,
MAX(FILTER(ROW(H$2:H2536) - ROW(H$2) + 1, P$2:P2536 = P2537))))=""単価"","""",
IF(COUNTIF(P$2:P2536, P2537)=0, """", INDEX(H$2:H2536,
MAX(FILTER(ROW(H$2:H2536) - ROW(H$2) + 1, P$2:P2536 = P2537)))))"),43.8)</f>
        <v>43.8</v>
      </c>
      <c r="N2537" s="335" t="str">
        <f>IF(MAXIFS('単価履歴'!$O:$O,'単価履歴'!$E:$E,E2537,'単価履歴'!$F:$F,F2537)=O2537,"●","")</f>
        <v/>
      </c>
      <c r="O2537" s="346">
        <v>45937.71328703704</v>
      </c>
      <c r="P2537" s="334" t="str">
        <f t="shared" si="4"/>
        <v>山陽特殊:MMＨＳ３</v>
      </c>
    </row>
    <row r="2538" ht="15.75" customHeight="1">
      <c r="A2538" s="335" t="s">
        <v>3690</v>
      </c>
      <c r="B2538" s="336">
        <v>45938.0</v>
      </c>
      <c r="C2538" s="335" t="s">
        <v>12</v>
      </c>
      <c r="D2538" s="335" t="s">
        <v>53</v>
      </c>
      <c r="E2538" s="337" t="str">
        <f t="shared" si="1"/>
        <v>山陽特殊:MM</v>
      </c>
      <c r="F2538" s="338" t="s">
        <v>122</v>
      </c>
      <c r="G2538" s="339" t="str">
        <f t="shared" si="2"/>
        <v>山陽特殊:MMＬ１(2級)</v>
      </c>
      <c r="H2538" s="340">
        <f t="shared" si="3"/>
        <v>2</v>
      </c>
      <c r="I2538" s="341">
        <v>0.5</v>
      </c>
      <c r="J2538" s="332">
        <f>IFERROR(__xludf.DUMMYFUNCTION("IF(IF(COUNTIF(P$2:P2537, P2538)=0, """", INDEX(H$2:H2537,
MAX(FILTER(ROW(H$2:H2537) - ROW(H$2) + 1, P$2:P2537 = P2538))))=""単価"","""",
IF(COUNTIF(P$2:P2537, P2538)=0, """", INDEX(H$2:H2537,
MAX(FILTER(ROW(H$2:H2537) - ROW(H$2) + 1, P$2:P2537 = P2538)))))"),1.5)</f>
        <v>1.5</v>
      </c>
      <c r="N2538" s="335" t="str">
        <f>IF(MAXIFS('単価履歴'!$O:$O,'単価履歴'!$E:$E,E2538,'単価履歴'!$F:$F,F2538)=O2538,"●","")</f>
        <v/>
      </c>
      <c r="O2538" s="346">
        <v>45937.71328703704</v>
      </c>
      <c r="P2538" s="334" t="str">
        <f t="shared" si="4"/>
        <v>山陽特殊:MMＬ１(2級)</v>
      </c>
    </row>
    <row r="2539" ht="15.75" customHeight="1">
      <c r="A2539" s="335" t="s">
        <v>3691</v>
      </c>
      <c r="B2539" s="336">
        <v>45938.0</v>
      </c>
      <c r="C2539" s="335" t="s">
        <v>12</v>
      </c>
      <c r="D2539" s="335" t="s">
        <v>53</v>
      </c>
      <c r="E2539" s="337" t="str">
        <f t="shared" si="1"/>
        <v>山陽特殊:MM</v>
      </c>
      <c r="F2539" s="338" t="s">
        <v>130</v>
      </c>
      <c r="G2539" s="339" t="str">
        <f t="shared" si="2"/>
        <v>山陽特殊:MM新断Ａ</v>
      </c>
      <c r="H2539" s="340">
        <f t="shared" si="3"/>
        <v>45.5</v>
      </c>
      <c r="I2539" s="341">
        <v>0.5</v>
      </c>
      <c r="J2539" s="332">
        <f>IFERROR(__xludf.DUMMYFUNCTION("IF(IF(COUNTIF(P$2:P2538, P2539)=0, """", INDEX(H$2:H2538,
MAX(FILTER(ROW(H$2:H2538) - ROW(H$2) + 1, P$2:P2538 = P2539))))=""単価"","""",
IF(COUNTIF(P$2:P2538, P2539)=0, """", INDEX(H$2:H2538,
MAX(FILTER(ROW(H$2:H2538) - ROW(H$2) + 1, P$2:P2538 = P2539)))))"),45.0)</f>
        <v>45</v>
      </c>
      <c r="N2539" s="335" t="str">
        <f>IF(MAXIFS('単価履歴'!$O:$O,'単価履歴'!$E:$E,E2539,'単価履歴'!$F:$F,F2539)=O2539,"●","")</f>
        <v/>
      </c>
      <c r="O2539" s="346">
        <v>45937.71328703704</v>
      </c>
      <c r="P2539" s="334" t="str">
        <f t="shared" si="4"/>
        <v>山陽特殊:MM新断Ａ</v>
      </c>
    </row>
    <row r="2540" ht="15.75" customHeight="1">
      <c r="A2540" s="335" t="s">
        <v>3692</v>
      </c>
      <c r="B2540" s="336">
        <v>45938.0</v>
      </c>
      <c r="C2540" s="335" t="s">
        <v>12</v>
      </c>
      <c r="D2540" s="335" t="s">
        <v>53</v>
      </c>
      <c r="E2540" s="337" t="str">
        <f t="shared" si="1"/>
        <v>山陽特殊:MM</v>
      </c>
      <c r="F2540" s="338" t="s">
        <v>131</v>
      </c>
      <c r="G2540" s="339" t="str">
        <f t="shared" si="2"/>
        <v>山陽特殊:MM新断Ｂ</v>
      </c>
      <c r="H2540" s="340">
        <f t="shared" si="3"/>
        <v>44.5</v>
      </c>
      <c r="I2540" s="341">
        <v>0.5</v>
      </c>
      <c r="J2540" s="332">
        <f>IFERROR(__xludf.DUMMYFUNCTION("IF(IF(COUNTIF(P$2:P2539, P2540)=0, """", INDEX(H$2:H2539,
MAX(FILTER(ROW(H$2:H2539) - ROW(H$2) + 1, P$2:P2539 = P2540))))=""単価"","""",
IF(COUNTIF(P$2:P2539, P2540)=0, """", INDEX(H$2:H2539,
MAX(FILTER(ROW(H$2:H2539) - ROW(H$2) + 1, P$2:P2539 = P2540)))))"),44.0)</f>
        <v>44</v>
      </c>
      <c r="N2540" s="335" t="str">
        <f>IF(MAXIFS('単価履歴'!$O:$O,'単価履歴'!$E:$E,E2540,'単価履歴'!$F:$F,F2540)=O2540,"●","")</f>
        <v/>
      </c>
      <c r="O2540" s="346">
        <v>45937.71328703704</v>
      </c>
      <c r="P2540" s="334" t="str">
        <f t="shared" si="4"/>
        <v>山陽特殊:MM新断Ｂ</v>
      </c>
    </row>
    <row r="2541" ht="15.75" customHeight="1">
      <c r="A2541" s="335" t="s">
        <v>3693</v>
      </c>
      <c r="B2541" s="336">
        <v>45938.0</v>
      </c>
      <c r="C2541" s="335" t="s">
        <v>12</v>
      </c>
      <c r="D2541" s="335" t="s">
        <v>53</v>
      </c>
      <c r="E2541" s="337" t="str">
        <f t="shared" si="1"/>
        <v>山陽特殊:MM</v>
      </c>
      <c r="F2541" s="338" t="s">
        <v>574</v>
      </c>
      <c r="G2541" s="339" t="str">
        <f t="shared" si="2"/>
        <v>山陽特殊:MM新断Ｃ</v>
      </c>
      <c r="H2541" s="340">
        <f t="shared" si="3"/>
        <v>41.7</v>
      </c>
      <c r="I2541" s="341">
        <v>0.5</v>
      </c>
      <c r="J2541" s="332">
        <f>IFERROR(__xludf.DUMMYFUNCTION("IF(IF(COUNTIF(P$2:P2540, P2541)=0, """", INDEX(H$2:H2540,
MAX(FILTER(ROW(H$2:H2540) - ROW(H$2) + 1, P$2:P2540 = P2541))))=""単価"","""",
IF(COUNTIF(P$2:P2540, P2541)=0, """", INDEX(H$2:H2540,
MAX(FILTER(ROW(H$2:H2540) - ROW(H$2) + 1, P$2:P2540 = P2541)))))"),41.199999999999996)</f>
        <v>41.2</v>
      </c>
      <c r="N2541" s="335" t="str">
        <f>IF(MAXIFS('単価履歴'!$O:$O,'単価履歴'!$E:$E,E2541,'単価履歴'!$F:$F,F2541)=O2541,"●","")</f>
        <v/>
      </c>
      <c r="O2541" s="346">
        <v>45937.71328703704</v>
      </c>
      <c r="P2541" s="334" t="str">
        <f t="shared" si="4"/>
        <v>山陽特殊:MM新断Ｃ</v>
      </c>
    </row>
    <row r="2542" ht="15.75" customHeight="1">
      <c r="A2542" s="335" t="s">
        <v>3694</v>
      </c>
      <c r="B2542" s="336">
        <v>45938.0</v>
      </c>
      <c r="C2542" s="335" t="s">
        <v>14</v>
      </c>
      <c r="D2542" s="335" t="s">
        <v>46</v>
      </c>
      <c r="E2542" s="337" t="str">
        <f t="shared" si="1"/>
        <v>愛知:阪和</v>
      </c>
      <c r="F2542" s="338" t="s">
        <v>1199</v>
      </c>
      <c r="G2542" s="339" t="str">
        <f t="shared" si="2"/>
        <v>愛知:阪和ＨＳ１(単体H1/電特A/HS))</v>
      </c>
      <c r="H2542" s="340">
        <f t="shared" si="3"/>
        <v>43.2</v>
      </c>
      <c r="I2542" s="341">
        <v>0.5</v>
      </c>
      <c r="J2542" s="332">
        <f>IFERROR(__xludf.DUMMYFUNCTION("IF(IF(COUNTIF(P$2:P2541, P2542)=0, """", INDEX(H$2:H2541,
MAX(FILTER(ROW(H$2:H2541) - ROW(H$2) + 1, P$2:P2541 = P2542))))=""単価"","""",
IF(COUNTIF(P$2:P2541, P2542)=0, """", INDEX(H$2:H2541,
MAX(FILTER(ROW(H$2:H2541) - ROW(H$2) + 1, P$2:P2541 = P2542)))))"),42.7)</f>
        <v>42.7</v>
      </c>
      <c r="N2542" s="335" t="str">
        <f>IF(MAXIFS('単価履歴'!$O:$O,'単価履歴'!$E:$E,E2542,'単価履歴'!$F:$F,F2542)=O2542,"●","")</f>
        <v/>
      </c>
      <c r="O2542" s="346">
        <v>45937.71368055556</v>
      </c>
      <c r="P2542" s="334" t="str">
        <f t="shared" si="4"/>
        <v>愛知:阪和ＨＳ１(単体H1/電特A/HS))</v>
      </c>
    </row>
    <row r="2543" ht="15.75" customHeight="1">
      <c r="A2543" s="335" t="s">
        <v>3695</v>
      </c>
      <c r="B2543" s="336">
        <v>45938.0</v>
      </c>
      <c r="C2543" s="335" t="s">
        <v>14</v>
      </c>
      <c r="D2543" s="335" t="s">
        <v>46</v>
      </c>
      <c r="E2543" s="337" t="str">
        <f t="shared" si="1"/>
        <v>愛知:阪和</v>
      </c>
      <c r="F2543" s="338" t="s">
        <v>101</v>
      </c>
      <c r="G2543" s="339" t="str">
        <f t="shared" si="2"/>
        <v>愛知:阪和ＨＳ２</v>
      </c>
      <c r="H2543" s="340">
        <f t="shared" si="3"/>
        <v>42.7</v>
      </c>
      <c r="I2543" s="341">
        <v>0.5</v>
      </c>
      <c r="J2543" s="332">
        <f>IFERROR(__xludf.DUMMYFUNCTION("IF(IF(COUNTIF(P$2:P2542, P2543)=0, """", INDEX(H$2:H2542,
MAX(FILTER(ROW(H$2:H2542) - ROW(H$2) + 1, P$2:P2542 = P2543))))=""単価"","""",
IF(COUNTIF(P$2:P2542, P2543)=0, """", INDEX(H$2:H2542,
MAX(FILTER(ROW(H$2:H2542) - ROW(H$2) + 1, P$2:P2542 = P2543)))))"),42.2)</f>
        <v>42.2</v>
      </c>
      <c r="N2543" s="335" t="str">
        <f>IF(MAXIFS('単価履歴'!$O:$O,'単価履歴'!$E:$E,E2543,'単価履歴'!$F:$F,F2543)=O2543,"●","")</f>
        <v/>
      </c>
      <c r="O2543" s="346">
        <v>45937.71368055556</v>
      </c>
      <c r="P2543" s="334" t="str">
        <f t="shared" si="4"/>
        <v>愛知:阪和ＨＳ２</v>
      </c>
    </row>
    <row r="2544" ht="15.75" customHeight="1">
      <c r="A2544" s="335" t="s">
        <v>3696</v>
      </c>
      <c r="B2544" s="336">
        <v>45938.0</v>
      </c>
      <c r="C2544" s="335" t="s">
        <v>14</v>
      </c>
      <c r="D2544" s="335" t="s">
        <v>46</v>
      </c>
      <c r="E2544" s="337" t="str">
        <f t="shared" si="1"/>
        <v>愛知:阪和</v>
      </c>
      <c r="F2544" s="338" t="s">
        <v>111</v>
      </c>
      <c r="G2544" s="339" t="str">
        <f t="shared" si="2"/>
        <v>愛知:阪和Ｈ１(特A)</v>
      </c>
      <c r="H2544" s="340">
        <f t="shared" si="3"/>
        <v>38.2</v>
      </c>
      <c r="I2544" s="341">
        <v>0.5</v>
      </c>
      <c r="J2544" s="332">
        <f>IFERROR(__xludf.DUMMYFUNCTION("IF(IF(COUNTIF(P$2:P2543, P2544)=0, """", INDEX(H$2:H2543,
MAX(FILTER(ROW(H$2:H2543) - ROW(H$2) + 1, P$2:P2543 = P2544))))=""単価"","""",
IF(COUNTIF(P$2:P2543, P2544)=0, """", INDEX(H$2:H2543,
MAX(FILTER(ROW(H$2:H2543) - ROW(H$2) + 1, P$2:P2543 = P2544)))))"),37.7)</f>
        <v>37.7</v>
      </c>
      <c r="N2544" s="335" t="str">
        <f>IF(MAXIFS('単価履歴'!$O:$O,'単価履歴'!$E:$E,E2544,'単価履歴'!$F:$F,F2544)=O2544,"●","")</f>
        <v/>
      </c>
      <c r="O2544" s="346">
        <v>45937.71368055556</v>
      </c>
      <c r="P2544" s="334" t="str">
        <f t="shared" si="4"/>
        <v>愛知:阪和Ｈ１(特A)</v>
      </c>
    </row>
    <row r="2545" ht="15.75" customHeight="1">
      <c r="A2545" s="335" t="s">
        <v>3697</v>
      </c>
      <c r="B2545" s="336">
        <v>45938.0</v>
      </c>
      <c r="C2545" s="335" t="s">
        <v>14</v>
      </c>
      <c r="D2545" s="335" t="s">
        <v>46</v>
      </c>
      <c r="E2545" s="337" t="str">
        <f t="shared" si="1"/>
        <v>愛知:阪和</v>
      </c>
      <c r="F2545" s="338" t="s">
        <v>116</v>
      </c>
      <c r="G2545" s="339" t="str">
        <f t="shared" si="2"/>
        <v>愛知:阪和Ｈ２(特級)</v>
      </c>
      <c r="H2545" s="340">
        <f t="shared" si="3"/>
        <v>37.7</v>
      </c>
      <c r="I2545" s="341">
        <v>0.5</v>
      </c>
      <c r="J2545" s="332">
        <f>IFERROR(__xludf.DUMMYFUNCTION("IF(IF(COUNTIF(P$2:P2544, P2545)=0, """", INDEX(H$2:H2544,
MAX(FILTER(ROW(H$2:H2544) - ROW(H$2) + 1, P$2:P2544 = P2545))))=""単価"","""",
IF(COUNTIF(P$2:P2544, P2545)=0, """", INDEX(H$2:H2544,
MAX(FILTER(ROW(H$2:H2544) - ROW(H$2) + 1, P$2:P2544 = P2545)))))"),37.2)</f>
        <v>37.2</v>
      </c>
      <c r="N2545" s="335" t="str">
        <f>IF(MAXIFS('単価履歴'!$O:$O,'単価履歴'!$E:$E,E2545,'単価履歴'!$F:$F,F2545)=O2545,"●","")</f>
        <v/>
      </c>
      <c r="O2545" s="346">
        <v>45937.71368055556</v>
      </c>
      <c r="P2545" s="334" t="str">
        <f t="shared" si="4"/>
        <v>愛知:阪和Ｈ２(特級)</v>
      </c>
    </row>
    <row r="2546" ht="15.75" customHeight="1">
      <c r="A2546" s="335" t="s">
        <v>3698</v>
      </c>
      <c r="B2546" s="336">
        <v>45938.0</v>
      </c>
      <c r="C2546" s="335" t="s">
        <v>14</v>
      </c>
      <c r="D2546" s="335" t="s">
        <v>46</v>
      </c>
      <c r="E2546" s="337" t="str">
        <f t="shared" si="1"/>
        <v>愛知:阪和</v>
      </c>
      <c r="F2546" s="338" t="s">
        <v>119</v>
      </c>
      <c r="G2546" s="339" t="str">
        <f t="shared" si="2"/>
        <v>愛知:阪和Ｈ３(1級)</v>
      </c>
      <c r="H2546" s="340">
        <f t="shared" si="3"/>
        <v>36.7</v>
      </c>
      <c r="I2546" s="341">
        <v>0.5</v>
      </c>
      <c r="J2546" s="332">
        <f>IFERROR(__xludf.DUMMYFUNCTION("IF(IF(COUNTIF(P$2:P2545, P2546)=0, """", INDEX(H$2:H2545,
MAX(FILTER(ROW(H$2:H2545) - ROW(H$2) + 1, P$2:P2545 = P2546))))=""単価"","""",
IF(COUNTIF(P$2:P2545, P2546)=0, """", INDEX(H$2:H2545,
MAX(FILTER(ROW(H$2:H2545) - ROW(H$2) + 1, P$2:P2545 = P2546)))))"),36.2)</f>
        <v>36.2</v>
      </c>
      <c r="N2546" s="335" t="str">
        <f>IF(MAXIFS('単価履歴'!$O:$O,'単価履歴'!$E:$E,E2546,'単価履歴'!$F:$F,F2546)=O2546,"●","")</f>
        <v/>
      </c>
      <c r="O2546" s="346">
        <v>45937.71368055556</v>
      </c>
      <c r="P2546" s="334" t="str">
        <f t="shared" si="4"/>
        <v>愛知:阪和Ｈ３(1級)</v>
      </c>
    </row>
    <row r="2547" ht="15.75" customHeight="1">
      <c r="A2547" s="335" t="s">
        <v>3699</v>
      </c>
      <c r="B2547" s="336">
        <v>45938.0</v>
      </c>
      <c r="C2547" s="335" t="s">
        <v>14</v>
      </c>
      <c r="D2547" s="335" t="s">
        <v>46</v>
      </c>
      <c r="E2547" s="337" t="str">
        <f t="shared" si="1"/>
        <v>愛知:阪和</v>
      </c>
      <c r="F2547" s="338" t="s">
        <v>573</v>
      </c>
      <c r="G2547" s="339" t="str">
        <f t="shared" si="2"/>
        <v>愛知:阪和Ｌ２(H4･級外･L1ﾊﾞﾗ)</v>
      </c>
      <c r="H2547" s="340">
        <f t="shared" si="3"/>
        <v>33.3</v>
      </c>
      <c r="I2547" s="341">
        <v>0.5</v>
      </c>
      <c r="J2547" s="332">
        <f>IFERROR(__xludf.DUMMYFUNCTION("IF(IF(COUNTIF(P$2:P2546, P2547)=0, """", INDEX(H$2:H2546,
MAX(FILTER(ROW(H$2:H2546) - ROW(H$2) + 1, P$2:P2546 = P2547))))=""単価"","""",
IF(COUNTIF(P$2:P2546, P2547)=0, """", INDEX(H$2:H2546,
MAX(FILTER(ROW(H$2:H2546) - ROW(H$2) + 1, P$2:P2546 = P2547)))))"),32.8)</f>
        <v>32.8</v>
      </c>
      <c r="N2547" s="335" t="str">
        <f>IF(MAXIFS('単価履歴'!$O:$O,'単価履歴'!$E:$E,E2547,'単価履歴'!$F:$F,F2547)=O2547,"●","")</f>
        <v/>
      </c>
      <c r="O2547" s="346">
        <v>45937.71368055556</v>
      </c>
      <c r="P2547" s="334" t="str">
        <f t="shared" si="4"/>
        <v>愛知:阪和Ｌ２(H4･級外･L1ﾊﾞﾗ)</v>
      </c>
    </row>
    <row r="2548" ht="15.75" customHeight="1">
      <c r="A2548" s="335" t="s">
        <v>3700</v>
      </c>
      <c r="B2548" s="336">
        <v>45938.0</v>
      </c>
      <c r="C2548" s="335" t="s">
        <v>14</v>
      </c>
      <c r="D2548" s="335" t="s">
        <v>46</v>
      </c>
      <c r="E2548" s="337" t="str">
        <f t="shared" si="1"/>
        <v>愛知:阪和</v>
      </c>
      <c r="F2548" s="338" t="s">
        <v>130</v>
      </c>
      <c r="G2548" s="339" t="str">
        <f t="shared" si="2"/>
        <v>愛知:阪和新断Ａ</v>
      </c>
      <c r="H2548" s="340">
        <f t="shared" si="3"/>
        <v>43.5</v>
      </c>
      <c r="I2548" s="341">
        <v>0.5</v>
      </c>
      <c r="J2548" s="332">
        <f>IFERROR(__xludf.DUMMYFUNCTION("IF(IF(COUNTIF(P$2:P2547, P2548)=0, """", INDEX(H$2:H2547,
MAX(FILTER(ROW(H$2:H2547) - ROW(H$2) + 1, P$2:P2547 = P2548))))=""単価"","""",
IF(COUNTIF(P$2:P2547, P2548)=0, """", INDEX(H$2:H2547,
MAX(FILTER(ROW(H$2:H2547) - ROW(H$2) + 1, P$2:P2547 = P2548)))))"),43.0)</f>
        <v>43</v>
      </c>
      <c r="N2548" s="335" t="str">
        <f>IF(MAXIFS('単価履歴'!$O:$O,'単価履歴'!$E:$E,E2548,'単価履歴'!$F:$F,F2548)=O2548,"●","")</f>
        <v/>
      </c>
      <c r="O2548" s="346">
        <v>45937.71368055556</v>
      </c>
      <c r="P2548" s="334" t="str">
        <f t="shared" si="4"/>
        <v>愛知:阪和新断Ａ</v>
      </c>
    </row>
    <row r="2549" ht="15.75" customHeight="1">
      <c r="A2549" s="335" t="s">
        <v>3701</v>
      </c>
      <c r="B2549" s="336">
        <v>45938.0</v>
      </c>
      <c r="C2549" s="335" t="s">
        <v>14</v>
      </c>
      <c r="D2549" s="335" t="s">
        <v>46</v>
      </c>
      <c r="E2549" s="337" t="str">
        <f t="shared" si="1"/>
        <v>愛知:阪和</v>
      </c>
      <c r="F2549" s="338" t="s">
        <v>131</v>
      </c>
      <c r="G2549" s="339" t="str">
        <f t="shared" si="2"/>
        <v>愛知:阪和新断Ｂ</v>
      </c>
      <c r="H2549" s="340">
        <f t="shared" si="3"/>
        <v>42.5</v>
      </c>
      <c r="I2549" s="341">
        <v>0.5</v>
      </c>
      <c r="J2549" s="332">
        <f>IFERROR(__xludf.DUMMYFUNCTION("IF(IF(COUNTIF(P$2:P2548, P2549)=0, """", INDEX(H$2:H2548,
MAX(FILTER(ROW(H$2:H2548) - ROW(H$2) + 1, P$2:P2548 = P2549))))=""単価"","""",
IF(COUNTIF(P$2:P2548, P2549)=0, """", INDEX(H$2:H2548,
MAX(FILTER(ROW(H$2:H2548) - ROW(H$2) + 1, P$2:P2548 = P2549)))))"),42.0)</f>
        <v>42</v>
      </c>
      <c r="N2549" s="335" t="str">
        <f>IF(MAXIFS('単価履歴'!$O:$O,'単価履歴'!$E:$E,E2549,'単価履歴'!$F:$F,F2549)=O2549,"●","")</f>
        <v/>
      </c>
      <c r="O2549" s="346">
        <v>45937.71368055556</v>
      </c>
      <c r="P2549" s="334" t="str">
        <f t="shared" si="4"/>
        <v>愛知:阪和新断Ｂ</v>
      </c>
    </row>
    <row r="2550" ht="15.75" customHeight="1">
      <c r="A2550" s="335" t="s">
        <v>3702</v>
      </c>
      <c r="B2550" s="336">
        <v>45938.0</v>
      </c>
      <c r="C2550" s="335" t="s">
        <v>14</v>
      </c>
      <c r="D2550" s="335" t="s">
        <v>46</v>
      </c>
      <c r="E2550" s="337" t="str">
        <f t="shared" si="1"/>
        <v>愛知:阪和</v>
      </c>
      <c r="F2550" s="338" t="s">
        <v>145</v>
      </c>
      <c r="G2550" s="339" t="str">
        <f t="shared" si="2"/>
        <v>愛知:阪和シュレＡ</v>
      </c>
      <c r="H2550" s="340">
        <f t="shared" si="3"/>
        <v>43.5</v>
      </c>
      <c r="I2550" s="341">
        <v>0.5</v>
      </c>
      <c r="J2550" s="332">
        <f>IFERROR(__xludf.DUMMYFUNCTION("IF(IF(COUNTIF(P$2:P2549, P2550)=0, """", INDEX(H$2:H2549,
MAX(FILTER(ROW(H$2:H2549) - ROW(H$2) + 1, P$2:P2549 = P2550))))=""単価"","""",
IF(COUNTIF(P$2:P2549, P2550)=0, """", INDEX(H$2:H2549,
MAX(FILTER(ROW(H$2:H2549) - ROW(H$2) + 1, P$2:P2549 = P2550)))))"),43.0)</f>
        <v>43</v>
      </c>
      <c r="N2550" s="335" t="str">
        <f>IF(MAXIFS('単価履歴'!$O:$O,'単価履歴'!$E:$E,E2550,'単価履歴'!$F:$F,F2550)=O2550,"●","")</f>
        <v/>
      </c>
      <c r="O2550" s="346">
        <v>45937.71368055556</v>
      </c>
      <c r="P2550" s="334" t="str">
        <f t="shared" si="4"/>
        <v>愛知:阪和シュレＡ</v>
      </c>
    </row>
    <row r="2551" ht="15.75" customHeight="1">
      <c r="A2551" s="335" t="s">
        <v>3703</v>
      </c>
      <c r="B2551" s="336">
        <v>45938.0</v>
      </c>
      <c r="C2551" s="335" t="s">
        <v>15</v>
      </c>
      <c r="D2551" s="335" t="s">
        <v>58</v>
      </c>
      <c r="E2551" s="337" t="str">
        <f t="shared" si="1"/>
        <v>山口鋼業:MM建材</v>
      </c>
      <c r="F2551" s="338" t="s">
        <v>1199</v>
      </c>
      <c r="G2551" s="339" t="str">
        <f t="shared" si="2"/>
        <v>山口鋼業:MM建材ＨＳ１(単体H1/電特A/HS))</v>
      </c>
      <c r="H2551" s="340">
        <f t="shared" si="3"/>
        <v>40</v>
      </c>
      <c r="I2551" s="341">
        <v>0.5</v>
      </c>
      <c r="J2551" s="332">
        <f>IFERROR(__xludf.DUMMYFUNCTION("IF(IF(COUNTIF(P$2:P2550, P2551)=0, """", INDEX(H$2:H2550,
MAX(FILTER(ROW(H$2:H2550) - ROW(H$2) + 1, P$2:P2550 = P2551))))=""単価"","""",
IF(COUNTIF(P$2:P2550, P2551)=0, """", INDEX(H$2:H2550,
MAX(FILTER(ROW(H$2:H2550) - ROW(H$2) + 1, P$2:P2550 = P2551)))))"),39.5)</f>
        <v>39.5</v>
      </c>
      <c r="N2551" s="335" t="str">
        <f>IF(MAXIFS('単価履歴'!$O:$O,'単価履歴'!$E:$E,E2551,'単価履歴'!$F:$F,F2551)=O2551,"●","")</f>
        <v/>
      </c>
      <c r="O2551" s="346">
        <v>45937.714050925926</v>
      </c>
      <c r="P2551" s="334" t="str">
        <f t="shared" si="4"/>
        <v>山口鋼業:MM建材ＨＳ１(単体H1/電特A/HS))</v>
      </c>
    </row>
    <row r="2552" ht="15.75" customHeight="1">
      <c r="A2552" s="335" t="s">
        <v>3704</v>
      </c>
      <c r="B2552" s="336">
        <v>45938.0</v>
      </c>
      <c r="C2552" s="335" t="s">
        <v>15</v>
      </c>
      <c r="D2552" s="335" t="s">
        <v>58</v>
      </c>
      <c r="E2552" s="337" t="str">
        <f t="shared" si="1"/>
        <v>山口鋼業:MM建材</v>
      </c>
      <c r="F2552" s="338" t="s">
        <v>1237</v>
      </c>
      <c r="G2552" s="339" t="str">
        <f t="shared" si="2"/>
        <v>山口鋼業:MM建材ＪＨ１(H2T山口)鍛造ﾊﾞﾘ</v>
      </c>
      <c r="H2552" s="340">
        <f t="shared" si="3"/>
        <v>39.5</v>
      </c>
      <c r="I2552" s="341">
        <v>0.5</v>
      </c>
      <c r="J2552" s="332">
        <f>IFERROR(__xludf.DUMMYFUNCTION("IF(IF(COUNTIF(P$2:P2551, P2552)=0, """", INDEX(H$2:H2551,
MAX(FILTER(ROW(H$2:H2551) - ROW(H$2) + 1, P$2:P2551 = P2552))))=""単価"","""",
IF(COUNTIF(P$2:P2551, P2552)=0, """", INDEX(H$2:H2551,
MAX(FILTER(ROW(H$2:H2551) - ROW(H$2) + 1, P$2:P2551 = P2552)))))"),39.0)</f>
        <v>39</v>
      </c>
      <c r="N2552" s="335" t="str">
        <f>IF(MAXIFS('単価履歴'!$O:$O,'単価履歴'!$E:$E,E2552,'単価履歴'!$F:$F,F2552)=O2552,"●","")</f>
        <v/>
      </c>
      <c r="O2552" s="346">
        <v>45937.714050925926</v>
      </c>
      <c r="P2552" s="334" t="str">
        <f t="shared" si="4"/>
        <v>山口鋼業:MM建材ＪＨ１(H2T山口)鍛造ﾊﾞﾘ</v>
      </c>
    </row>
    <row r="2553" ht="15.75" customHeight="1">
      <c r="A2553" s="335" t="s">
        <v>3705</v>
      </c>
      <c r="B2553" s="336">
        <v>45938.0</v>
      </c>
      <c r="C2553" s="335" t="s">
        <v>15</v>
      </c>
      <c r="D2553" s="335" t="s">
        <v>58</v>
      </c>
      <c r="E2553" s="337" t="str">
        <f t="shared" si="1"/>
        <v>山口鋼業:MM建材</v>
      </c>
      <c r="F2553" s="338" t="s">
        <v>116</v>
      </c>
      <c r="G2553" s="339" t="str">
        <f t="shared" si="2"/>
        <v>山口鋼業:MM建材Ｈ２(特級)</v>
      </c>
      <c r="H2553" s="340">
        <f t="shared" si="3"/>
        <v>38.5</v>
      </c>
      <c r="I2553" s="341">
        <v>0.5</v>
      </c>
      <c r="J2553" s="332">
        <f>IFERROR(__xludf.DUMMYFUNCTION("IF(IF(COUNTIF(P$2:P2552, P2553)=0, """", INDEX(H$2:H2552,
MAX(FILTER(ROW(H$2:H2552) - ROW(H$2) + 1, P$2:P2552 = P2553))))=""単価"","""",
IF(COUNTIF(P$2:P2552, P2553)=0, """", INDEX(H$2:H2552,
MAX(FILTER(ROW(H$2:H2552) - ROW(H$2) + 1, P$2:P2552 = P2553)))))"),38.0)</f>
        <v>38</v>
      </c>
      <c r="N2553" s="335" t="str">
        <f>IF(MAXIFS('単価履歴'!$O:$O,'単価履歴'!$E:$E,E2553,'単価履歴'!$F:$F,F2553)=O2553,"●","")</f>
        <v/>
      </c>
      <c r="O2553" s="346">
        <v>45937.714050925926</v>
      </c>
      <c r="P2553" s="334" t="str">
        <f t="shared" si="4"/>
        <v>山口鋼業:MM建材Ｈ２(特級)</v>
      </c>
    </row>
    <row r="2554" ht="15.75" customHeight="1">
      <c r="A2554" s="335" t="s">
        <v>3706</v>
      </c>
      <c r="B2554" s="336">
        <v>45938.0</v>
      </c>
      <c r="C2554" s="335" t="s">
        <v>15</v>
      </c>
      <c r="D2554" s="335" t="s">
        <v>58</v>
      </c>
      <c r="E2554" s="337" t="str">
        <f t="shared" si="1"/>
        <v>山口鋼業:MM建材</v>
      </c>
      <c r="F2554" s="338" t="s">
        <v>119</v>
      </c>
      <c r="G2554" s="339" t="str">
        <f t="shared" si="2"/>
        <v>山口鋼業:MM建材Ｈ３(1級)</v>
      </c>
      <c r="H2554" s="340">
        <f t="shared" si="3"/>
        <v>37.5</v>
      </c>
      <c r="I2554" s="341">
        <v>0.5</v>
      </c>
      <c r="J2554" s="332">
        <f>IFERROR(__xludf.DUMMYFUNCTION("IF(IF(COUNTIF(P$2:P2553, P2554)=0, """", INDEX(H$2:H2553,
MAX(FILTER(ROW(H$2:H2553) - ROW(H$2) + 1, P$2:P2553 = P2554))))=""単価"","""",
IF(COUNTIF(P$2:P2553, P2554)=0, """", INDEX(H$2:H2553,
MAX(FILTER(ROW(H$2:H2553) - ROW(H$2) + 1, P$2:P2553 = P2554)))))"),37.0)</f>
        <v>37</v>
      </c>
      <c r="N2554" s="335" t="str">
        <f>IF(MAXIFS('単価履歴'!$O:$O,'単価履歴'!$E:$E,E2554,'単価履歴'!$F:$F,F2554)=O2554,"●","")</f>
        <v/>
      </c>
      <c r="O2554" s="346">
        <v>45937.714050925926</v>
      </c>
      <c r="P2554" s="334" t="str">
        <f t="shared" si="4"/>
        <v>山口鋼業:MM建材Ｈ３(1級)</v>
      </c>
    </row>
    <row r="2555" ht="15.75" customHeight="1">
      <c r="A2555" s="335" t="s">
        <v>3707</v>
      </c>
      <c r="B2555" s="336">
        <v>45938.0</v>
      </c>
      <c r="C2555" s="335" t="s">
        <v>15</v>
      </c>
      <c r="D2555" s="335" t="s">
        <v>58</v>
      </c>
      <c r="E2555" s="337" t="str">
        <f t="shared" si="1"/>
        <v>山口鋼業:MM建材</v>
      </c>
      <c r="F2555" s="338" t="s">
        <v>573</v>
      </c>
      <c r="G2555" s="339" t="str">
        <f t="shared" si="2"/>
        <v>山口鋼業:MM建材Ｌ２(H4･級外･L1ﾊﾞﾗ)</v>
      </c>
      <c r="H2555" s="340">
        <f t="shared" si="3"/>
        <v>36</v>
      </c>
      <c r="I2555" s="341">
        <v>0.5</v>
      </c>
      <c r="J2555" s="332">
        <f>IFERROR(__xludf.DUMMYFUNCTION("IF(IF(COUNTIF(P$2:P2554, P2555)=0, """", INDEX(H$2:H2554,
MAX(FILTER(ROW(H$2:H2554) - ROW(H$2) + 1, P$2:P2554 = P2555))))=""単価"","""",
IF(COUNTIF(P$2:P2554, P2555)=0, """", INDEX(H$2:H2554,
MAX(FILTER(ROW(H$2:H2554) - ROW(H$2) + 1, P$2:P2554 = P2555)))))"),35.5)</f>
        <v>35.5</v>
      </c>
      <c r="N2555" s="335" t="str">
        <f>IF(MAXIFS('単価履歴'!$O:$O,'単価履歴'!$E:$E,E2555,'単価履歴'!$F:$F,F2555)=O2555,"●","")</f>
        <v/>
      </c>
      <c r="O2555" s="346">
        <v>45937.714050925926</v>
      </c>
      <c r="P2555" s="334" t="str">
        <f t="shared" si="4"/>
        <v>山口鋼業:MM建材Ｌ２(H4･級外･L1ﾊﾞﾗ)</v>
      </c>
    </row>
    <row r="2556" ht="15.75" customHeight="1">
      <c r="A2556" s="335" t="s">
        <v>3708</v>
      </c>
      <c r="B2556" s="336">
        <v>45938.0</v>
      </c>
      <c r="C2556" s="335" t="s">
        <v>15</v>
      </c>
      <c r="D2556" s="335" t="s">
        <v>58</v>
      </c>
      <c r="E2556" s="337" t="str">
        <f t="shared" si="1"/>
        <v>山口鋼業:MM建材</v>
      </c>
      <c r="F2556" s="338" t="s">
        <v>577</v>
      </c>
      <c r="G2556" s="339" t="str">
        <f t="shared" si="2"/>
        <v>山口鋼業:MM建材鋳物・ﾀﾞｸﾀｲﾙ</v>
      </c>
      <c r="H2556" s="340">
        <f t="shared" si="3"/>
        <v>40</v>
      </c>
      <c r="I2556" s="341">
        <v>0.5</v>
      </c>
      <c r="J2556" s="332">
        <f>IFERROR(__xludf.DUMMYFUNCTION("IF(IF(COUNTIF(P$2:P2555, P2556)=0, """", INDEX(H$2:H2555,
MAX(FILTER(ROW(H$2:H2555) - ROW(H$2) + 1, P$2:P2555 = P2556))))=""単価"","""",
IF(COUNTIF(P$2:P2555, P2556)=0, """", INDEX(H$2:H2555,
MAX(FILTER(ROW(H$2:H2555) - ROW(H$2) + 1, P$2:P2555 = P2556)))))"),39.5)</f>
        <v>39.5</v>
      </c>
      <c r="N2556" s="335" t="str">
        <f>IF(MAXIFS('単価履歴'!$O:$O,'単価履歴'!$E:$E,E2556,'単価履歴'!$F:$F,F2556)=O2556,"●","")</f>
        <v/>
      </c>
      <c r="O2556" s="346">
        <v>45937.714050925926</v>
      </c>
      <c r="P2556" s="334" t="str">
        <f t="shared" si="4"/>
        <v>山口鋼業:MM建材鋳物・ﾀﾞｸﾀｲﾙ</v>
      </c>
    </row>
    <row r="2557" ht="15.75" customHeight="1">
      <c r="A2557" s="335"/>
      <c r="B2557" s="336"/>
      <c r="C2557" s="335"/>
      <c r="D2557" s="335"/>
      <c r="E2557" s="337" t="str">
        <f t="shared" si="1"/>
        <v>:</v>
      </c>
      <c r="F2557" s="338"/>
      <c r="G2557" s="339" t="str">
        <f t="shared" si="2"/>
        <v>:</v>
      </c>
      <c r="H2557" s="340">
        <f t="shared" si="3"/>
        <v>0</v>
      </c>
      <c r="I2557" s="341"/>
      <c r="J2557" s="332">
        <f>IFERROR(__xludf.DUMMYFUNCTION("IF(IF(COUNTIF(P$2:P2556, P2557)=0, """", INDEX(H$2:H2556,
MAX(FILTER(ROW(H$2:H2556) - ROW(H$2) + 1, P$2:P2556 = P2557))))=""単価"","""",
IF(COUNTIF(P$2:P2556, P2557)=0, """", INDEX(H$2:H2556,
MAX(FILTER(ROW(H$2:H2556) - ROW(H$2) + 1, P$2:P2556 = P2557)))))"),0.0)</f>
        <v>0</v>
      </c>
      <c r="N2557" s="335" t="str">
        <f>IF(MAXIFS('単価履歴'!$O:$O,'単価履歴'!$E:$E,E2557,'単価履歴'!$F:$F,F2557)=O2557,"●","")</f>
        <v>●</v>
      </c>
      <c r="O2557" s="346"/>
      <c r="P2557" s="334" t="str">
        <f t="shared" si="4"/>
        <v>:</v>
      </c>
    </row>
    <row r="2558" ht="15.75" customHeight="1">
      <c r="A2558" s="335" t="s">
        <v>3709</v>
      </c>
      <c r="B2558" s="336">
        <v>45938.0</v>
      </c>
      <c r="C2558" s="335" t="s">
        <v>15</v>
      </c>
      <c r="D2558" s="335" t="s">
        <v>46</v>
      </c>
      <c r="E2558" s="337" t="str">
        <f t="shared" si="1"/>
        <v>山口鋼業:阪和</v>
      </c>
      <c r="F2558" s="338" t="s">
        <v>1199</v>
      </c>
      <c r="G2558" s="339" t="str">
        <f t="shared" si="2"/>
        <v>山口鋼業:阪和ＨＳ１(単体H1/電特A/HS))</v>
      </c>
      <c r="H2558" s="340">
        <f t="shared" si="3"/>
        <v>41.5</v>
      </c>
      <c r="I2558" s="341">
        <v>0.5</v>
      </c>
      <c r="J2558" s="332">
        <f>IFERROR(__xludf.DUMMYFUNCTION("IF(IF(COUNTIF(P$2:P2557, P2558)=0, """", INDEX(H$2:H2557,
MAX(FILTER(ROW(H$2:H2557) - ROW(H$2) + 1, P$2:P2557 = P2558))))=""単価"","""",
IF(COUNTIF(P$2:P2557, P2558)=0, """", INDEX(H$2:H2557,
MAX(FILTER(ROW(H$2:H2557) - ROW(H$2) + 1, P$2:P2557 = P2558)))))"),41.0)</f>
        <v>41</v>
      </c>
      <c r="N2558" s="335" t="str">
        <f>IF(MAXIFS('単価履歴'!$O:$O,'単価履歴'!$E:$E,E2558,'単価履歴'!$F:$F,F2558)=O2558,"●","")</f>
        <v/>
      </c>
      <c r="O2558" s="346">
        <v>45937.714050925926</v>
      </c>
      <c r="P2558" s="334" t="str">
        <f t="shared" si="4"/>
        <v>山口鋼業:阪和ＨＳ１(単体H1/電特A/HS))</v>
      </c>
    </row>
    <row r="2559" ht="15.75" customHeight="1">
      <c r="A2559" s="335"/>
      <c r="B2559" s="336"/>
      <c r="C2559" s="335"/>
      <c r="D2559" s="335"/>
      <c r="E2559" s="337" t="str">
        <f t="shared" si="1"/>
        <v>:</v>
      </c>
      <c r="F2559" s="338"/>
      <c r="G2559" s="339" t="str">
        <f t="shared" si="2"/>
        <v>:</v>
      </c>
      <c r="H2559" s="340">
        <f t="shared" si="3"/>
        <v>0</v>
      </c>
      <c r="I2559" s="341"/>
      <c r="J2559" s="332">
        <f>IFERROR(__xludf.DUMMYFUNCTION("IF(IF(COUNTIF(P$2:P2558, P2559)=0, """", INDEX(H$2:H2558,
MAX(FILTER(ROW(H$2:H2558) - ROW(H$2) + 1, P$2:P2558 = P2559))))=""単価"","""",
IF(COUNTIF(P$2:P2558, P2559)=0, """", INDEX(H$2:H2558,
MAX(FILTER(ROW(H$2:H2558) - ROW(H$2) + 1, P$2:P2558 = P2559)))))"),0.0)</f>
        <v>0</v>
      </c>
      <c r="N2559" s="335" t="str">
        <f>IF(MAXIFS('単価履歴'!$O:$O,'単価履歴'!$E:$E,E2559,'単価履歴'!$F:$F,F2559)=O2559,"●","")</f>
        <v>●</v>
      </c>
      <c r="O2559" s="346"/>
      <c r="P2559" s="334" t="str">
        <f t="shared" si="4"/>
        <v>:</v>
      </c>
    </row>
    <row r="2560" ht="15.75" customHeight="1">
      <c r="A2560" s="335" t="s">
        <v>3710</v>
      </c>
      <c r="B2560" s="336">
        <v>45938.0</v>
      </c>
      <c r="C2560" s="335" t="s">
        <v>15</v>
      </c>
      <c r="D2560" s="335" t="s">
        <v>46</v>
      </c>
      <c r="E2560" s="337" t="str">
        <f t="shared" si="1"/>
        <v>山口鋼業:阪和</v>
      </c>
      <c r="F2560" s="338" t="s">
        <v>116</v>
      </c>
      <c r="G2560" s="339" t="str">
        <f t="shared" si="2"/>
        <v>山口鋼業:阪和Ｈ２(特級)</v>
      </c>
      <c r="H2560" s="340">
        <f t="shared" si="3"/>
        <v>39.5</v>
      </c>
      <c r="I2560" s="341">
        <v>0.5</v>
      </c>
      <c r="J2560" s="332">
        <f>IFERROR(__xludf.DUMMYFUNCTION("IF(IF(COUNTIF(P$2:P2559, P2560)=0, """", INDEX(H$2:H2559,
MAX(FILTER(ROW(H$2:H2559) - ROW(H$2) + 1, P$2:P2559 = P2560))))=""単価"","""",
IF(COUNTIF(P$2:P2559, P2560)=0, """", INDEX(H$2:H2559,
MAX(FILTER(ROW(H$2:H2559) - ROW(H$2) + 1, P$2:P2559 = P2560)))))"),39.0)</f>
        <v>39</v>
      </c>
      <c r="N2560" s="335" t="str">
        <f>IF(MAXIFS('単価履歴'!$O:$O,'単価履歴'!$E:$E,E2560,'単価履歴'!$F:$F,F2560)=O2560,"●","")</f>
        <v/>
      </c>
      <c r="O2560" s="346">
        <v>45937.714050925926</v>
      </c>
      <c r="P2560" s="334" t="str">
        <f t="shared" si="4"/>
        <v>山口鋼業:阪和Ｈ２(特級)</v>
      </c>
    </row>
    <row r="2561" ht="15.75" customHeight="1">
      <c r="A2561" s="335" t="s">
        <v>3711</v>
      </c>
      <c r="B2561" s="336">
        <v>45938.0</v>
      </c>
      <c r="C2561" s="335" t="s">
        <v>15</v>
      </c>
      <c r="D2561" s="335" t="s">
        <v>46</v>
      </c>
      <c r="E2561" s="337" t="str">
        <f t="shared" si="1"/>
        <v>山口鋼業:阪和</v>
      </c>
      <c r="F2561" s="338" t="s">
        <v>119</v>
      </c>
      <c r="G2561" s="339" t="str">
        <f t="shared" si="2"/>
        <v>山口鋼業:阪和Ｈ３(1級)</v>
      </c>
      <c r="H2561" s="340">
        <f t="shared" si="3"/>
        <v>38.5</v>
      </c>
      <c r="I2561" s="341">
        <v>0.5</v>
      </c>
      <c r="J2561" s="332">
        <f>IFERROR(__xludf.DUMMYFUNCTION("IF(IF(COUNTIF(P$2:P2560, P2561)=0, """", INDEX(H$2:H2560,
MAX(FILTER(ROW(H$2:H2560) - ROW(H$2) + 1, P$2:P2560 = P2561))))=""単価"","""",
IF(COUNTIF(P$2:P2560, P2561)=0, """", INDEX(H$2:H2560,
MAX(FILTER(ROW(H$2:H2560) - ROW(H$2) + 1, P$2:P2560 = P2561)))))"),38.0)</f>
        <v>38</v>
      </c>
      <c r="N2561" s="335" t="str">
        <f>IF(MAXIFS('単価履歴'!$O:$O,'単価履歴'!$E:$E,E2561,'単価履歴'!$F:$F,F2561)=O2561,"●","")</f>
        <v/>
      </c>
      <c r="O2561" s="346">
        <v>45937.714050925926</v>
      </c>
      <c r="P2561" s="334" t="str">
        <f t="shared" si="4"/>
        <v>山口鋼業:阪和Ｈ３(1級)</v>
      </c>
    </row>
    <row r="2562" ht="15.75" customHeight="1">
      <c r="A2562" s="335" t="s">
        <v>3712</v>
      </c>
      <c r="B2562" s="336">
        <v>45938.0</v>
      </c>
      <c r="C2562" s="335" t="s">
        <v>15</v>
      </c>
      <c r="D2562" s="335" t="s">
        <v>46</v>
      </c>
      <c r="E2562" s="337" t="str">
        <f t="shared" si="1"/>
        <v>山口鋼業:阪和</v>
      </c>
      <c r="F2562" s="338" t="s">
        <v>573</v>
      </c>
      <c r="G2562" s="339" t="str">
        <f t="shared" si="2"/>
        <v>山口鋼業:阪和Ｌ２(H4･級外･L1ﾊﾞﾗ)</v>
      </c>
      <c r="H2562" s="340">
        <f t="shared" si="3"/>
        <v>37</v>
      </c>
      <c r="I2562" s="341">
        <v>0.5</v>
      </c>
      <c r="J2562" s="332">
        <f>IFERROR(__xludf.DUMMYFUNCTION("IF(IF(COUNTIF(P$2:P2561, P2562)=0, """", INDEX(H$2:H2561,
MAX(FILTER(ROW(H$2:H2561) - ROW(H$2) + 1, P$2:P2561 = P2562))))=""単価"","""",
IF(COUNTIF(P$2:P2561, P2562)=0, """", INDEX(H$2:H2561,
MAX(FILTER(ROW(H$2:H2561) - ROW(H$2) + 1, P$2:P2561 = P2562)))))"),36.5)</f>
        <v>36.5</v>
      </c>
      <c r="N2562" s="335" t="str">
        <f>IF(MAXIFS('単価履歴'!$O:$O,'単価履歴'!$E:$E,E2562,'単価履歴'!$F:$F,F2562)=O2562,"●","")</f>
        <v/>
      </c>
      <c r="O2562" s="346">
        <v>45937.714050925926</v>
      </c>
      <c r="P2562" s="334" t="str">
        <f t="shared" si="4"/>
        <v>山口鋼業:阪和Ｌ２(H4･級外･L1ﾊﾞﾗ)</v>
      </c>
    </row>
    <row r="2563" ht="15.75" customHeight="1">
      <c r="A2563" s="335"/>
      <c r="B2563" s="336"/>
      <c r="C2563" s="335"/>
      <c r="D2563" s="335"/>
      <c r="E2563" s="337" t="str">
        <f t="shared" si="1"/>
        <v>:</v>
      </c>
      <c r="F2563" s="338"/>
      <c r="G2563" s="339" t="str">
        <f t="shared" si="2"/>
        <v>:</v>
      </c>
      <c r="H2563" s="340">
        <f t="shared" si="3"/>
        <v>0</v>
      </c>
      <c r="I2563" s="341"/>
      <c r="J2563" s="332">
        <f>IFERROR(__xludf.DUMMYFUNCTION("IF(IF(COUNTIF(P$2:P2562, P2563)=0, """", INDEX(H$2:H2562,
MAX(FILTER(ROW(H$2:H2562) - ROW(H$2) + 1, P$2:P2562 = P2563))))=""単価"","""",
IF(COUNTIF(P$2:P2562, P2563)=0, """", INDEX(H$2:H2562,
MAX(FILTER(ROW(H$2:H2562) - ROW(H$2) + 1, P$2:P2562 = P2563)))))"),0.0)</f>
        <v>0</v>
      </c>
      <c r="N2563" s="335" t="str">
        <f>IF(MAXIFS('単価履歴'!$O:$O,'単価履歴'!$E:$E,E2563,'単価履歴'!$F:$F,F2563)=O2563,"●","")</f>
        <v>●</v>
      </c>
      <c r="O2563" s="346"/>
      <c r="P2563" s="334" t="str">
        <f t="shared" si="4"/>
        <v>:</v>
      </c>
    </row>
    <row r="2564" ht="15.75" customHeight="1">
      <c r="A2564" s="335" t="s">
        <v>3713</v>
      </c>
      <c r="B2564" s="336">
        <v>45938.0</v>
      </c>
      <c r="C2564" s="335" t="s">
        <v>15</v>
      </c>
      <c r="D2564" s="335" t="s">
        <v>46</v>
      </c>
      <c r="E2564" s="337" t="str">
        <f t="shared" si="1"/>
        <v>山口鋼業:阪和</v>
      </c>
      <c r="F2564" s="338" t="s">
        <v>111</v>
      </c>
      <c r="G2564" s="339" t="str">
        <f t="shared" si="2"/>
        <v>山口鋼業:阪和Ｈ１(特A)</v>
      </c>
      <c r="H2564" s="340">
        <f t="shared" si="3"/>
        <v>40</v>
      </c>
      <c r="I2564" s="341">
        <v>0.5</v>
      </c>
      <c r="J2564" s="332">
        <f>IFERROR(__xludf.DUMMYFUNCTION("IF(IF(COUNTIF(P$2:P2563, P2564)=0, """", INDEX(H$2:H2563,
MAX(FILTER(ROW(H$2:H2563) - ROW(H$2) + 1, P$2:P2563 = P2564))))=""単価"","""",
IF(COUNTIF(P$2:P2563, P2564)=0, """", INDEX(H$2:H2563,
MAX(FILTER(ROW(H$2:H2563) - ROW(H$2) + 1, P$2:P2563 = P2564)))))"),39.5)</f>
        <v>39.5</v>
      </c>
      <c r="N2564" s="335" t="str">
        <f>IF(MAXIFS('単価履歴'!$O:$O,'単価履歴'!$E:$E,E2564,'単価履歴'!$F:$F,F2564)=O2564,"●","")</f>
        <v/>
      </c>
      <c r="O2564" s="346">
        <v>45937.714050925926</v>
      </c>
      <c r="P2564" s="334" t="str">
        <f t="shared" si="4"/>
        <v>山口鋼業:阪和Ｈ１(特A)</v>
      </c>
    </row>
    <row r="2565" ht="15.75" customHeight="1">
      <c r="A2565" s="335" t="s">
        <v>3714</v>
      </c>
      <c r="B2565" s="336">
        <v>45938.0</v>
      </c>
      <c r="C2565" s="335" t="s">
        <v>537</v>
      </c>
      <c r="D2565" s="335" t="s">
        <v>59</v>
      </c>
      <c r="E2565" s="337" t="str">
        <f t="shared" si="1"/>
        <v>大同特殊鋼:大同興業</v>
      </c>
      <c r="F2565" s="338" t="s">
        <v>1199</v>
      </c>
      <c r="G2565" s="339" t="str">
        <f t="shared" si="2"/>
        <v>大同特殊鋼:大同興業ＨＳ１(単体H1/電特A/HS))</v>
      </c>
      <c r="H2565" s="340">
        <f t="shared" si="3"/>
        <v>43.5</v>
      </c>
      <c r="I2565" s="341">
        <v>0.5</v>
      </c>
      <c r="J2565" s="332">
        <f>IFERROR(__xludf.DUMMYFUNCTION("IF(IF(COUNTIF(P$2:P2564, P2565)=0, """", INDEX(H$2:H2564,
MAX(FILTER(ROW(H$2:H2564) - ROW(H$2) + 1, P$2:P2564 = P2565))))=""単価"","""",
IF(COUNTIF(P$2:P2564, P2565)=0, """", INDEX(H$2:H2564,
MAX(FILTER(ROW(H$2:H2564) - ROW(H$2) + 1, P$2:P2564 = P2565)))))"),43.0)</f>
        <v>43</v>
      </c>
      <c r="N2565" s="335" t="str">
        <f>IF(MAXIFS('単価履歴'!$O:$O,'単価履歴'!$E:$E,E2565,'単価履歴'!$F:$F,F2565)=O2565,"●","")</f>
        <v/>
      </c>
      <c r="O2565" s="346">
        <v>45937.71471064815</v>
      </c>
      <c r="P2565" s="334" t="str">
        <f t="shared" si="4"/>
        <v>大同特殊鋼:大同興業ＨＳ１(単体H1/電特A/HS))</v>
      </c>
    </row>
    <row r="2566" ht="15.75" customHeight="1">
      <c r="A2566" s="335" t="s">
        <v>3715</v>
      </c>
      <c r="B2566" s="336">
        <v>45938.0</v>
      </c>
      <c r="C2566" s="335" t="s">
        <v>537</v>
      </c>
      <c r="D2566" s="335" t="s">
        <v>59</v>
      </c>
      <c r="E2566" s="337" t="str">
        <f t="shared" si="1"/>
        <v>大同特殊鋼:大同興業</v>
      </c>
      <c r="F2566" s="338" t="s">
        <v>116</v>
      </c>
      <c r="G2566" s="339" t="str">
        <f t="shared" si="2"/>
        <v>大同特殊鋼:大同興業Ｈ２(特級)</v>
      </c>
      <c r="H2566" s="340">
        <f t="shared" si="3"/>
        <v>0</v>
      </c>
      <c r="I2566" s="341">
        <v>0.5</v>
      </c>
      <c r="J2566" s="332">
        <f>IFERROR(__xludf.DUMMYFUNCTION("IF(IF(COUNTIF(P$2:P2565, P2566)=0, """", INDEX(H$2:H2565,
MAX(FILTER(ROW(H$2:H2565) - ROW(H$2) + 1, P$2:P2565 = P2566))))=""単価"","""",
IF(COUNTIF(P$2:P2565, P2566)=0, """", INDEX(H$2:H2565,
MAX(FILTER(ROW(H$2:H2565) - ROW(H$2) + 1, P$2:P2565 = P2566)))))"),-0.5)</f>
        <v>-0.5</v>
      </c>
      <c r="N2566" s="335" t="str">
        <f>IF(MAXIFS('単価履歴'!$O:$O,'単価履歴'!$E:$E,E2566,'単価履歴'!$F:$F,F2566)=O2566,"●","")</f>
        <v/>
      </c>
      <c r="O2566" s="346">
        <v>45937.71471064815</v>
      </c>
      <c r="P2566" s="334" t="str">
        <f t="shared" si="4"/>
        <v>大同特殊鋼:大同興業Ｈ２(特級)</v>
      </c>
    </row>
    <row r="2567" ht="15.75" customHeight="1">
      <c r="A2567" s="335" t="s">
        <v>3716</v>
      </c>
      <c r="B2567" s="336">
        <v>45938.0</v>
      </c>
      <c r="C2567" s="335" t="s">
        <v>537</v>
      </c>
      <c r="D2567" s="335" t="s">
        <v>1404</v>
      </c>
      <c r="E2567" s="337" t="str">
        <f t="shared" si="1"/>
        <v>大同特殊鋼:JSE/大和ﾘﾃｯｸ</v>
      </c>
      <c r="F2567" s="338" t="s">
        <v>1199</v>
      </c>
      <c r="G2567" s="339" t="str">
        <f t="shared" si="2"/>
        <v>大同特殊鋼:JSE/大和ﾘﾃｯｸＨＳ１(単体H1/電特A/HS))</v>
      </c>
      <c r="H2567" s="340">
        <f t="shared" si="3"/>
        <v>42.8</v>
      </c>
      <c r="I2567" s="341">
        <v>0.5</v>
      </c>
      <c r="J2567" s="332">
        <f>IFERROR(__xludf.DUMMYFUNCTION("IF(IF(COUNTIF(P$2:P2566, P2567)=0, """", INDEX(H$2:H2566,
MAX(FILTER(ROW(H$2:H2566) - ROW(H$2) + 1, P$2:P2566 = P2567))))=""単価"","""",
IF(COUNTIF(P$2:P2566, P2567)=0, """", INDEX(H$2:H2566,
MAX(FILTER(ROW(H$2:H2566) - ROW(H$2) + 1, P$2:P2566 = P2567)))))"),42.3)</f>
        <v>42.3</v>
      </c>
      <c r="N2567" s="335" t="str">
        <f>IF(MAXIFS('単価履歴'!$O:$O,'単価履歴'!$E:$E,E2567,'単価履歴'!$F:$F,F2567)=O2567,"●","")</f>
        <v/>
      </c>
      <c r="O2567" s="346">
        <v>45937.71471064815</v>
      </c>
      <c r="P2567" s="334" t="str">
        <f t="shared" si="4"/>
        <v>大同特殊鋼:JSE/大和ﾘﾃｯｸＨＳ１(単体H1/電特A/HS))</v>
      </c>
    </row>
    <row r="2568" ht="15.75" customHeight="1">
      <c r="A2568" s="335" t="s">
        <v>3717</v>
      </c>
      <c r="B2568" s="336">
        <v>45938.0</v>
      </c>
      <c r="C2568" s="335" t="s">
        <v>537</v>
      </c>
      <c r="D2568" s="335" t="s">
        <v>1404</v>
      </c>
      <c r="E2568" s="337" t="str">
        <f t="shared" si="1"/>
        <v>大同特殊鋼:JSE/大和ﾘﾃｯｸ</v>
      </c>
      <c r="F2568" s="338" t="s">
        <v>116</v>
      </c>
      <c r="G2568" s="339" t="str">
        <f t="shared" si="2"/>
        <v>大同特殊鋼:JSE/大和ﾘﾃｯｸＨ２(特級)</v>
      </c>
      <c r="H2568" s="340">
        <f t="shared" si="3"/>
        <v>39.7</v>
      </c>
      <c r="I2568" s="341">
        <v>0.5</v>
      </c>
      <c r="J2568" s="332">
        <f>IFERROR(__xludf.DUMMYFUNCTION("IF(IF(COUNTIF(P$2:P2567, P2568)=0, """", INDEX(H$2:H2567,
MAX(FILTER(ROW(H$2:H2567) - ROW(H$2) + 1, P$2:P2567 = P2568))))=""単価"","""",
IF(COUNTIF(P$2:P2567, P2568)=0, """", INDEX(H$2:H2567,
MAX(FILTER(ROW(H$2:H2567) - ROW(H$2) + 1, P$2:P2567 = P2568)))))"),39.2)</f>
        <v>39.2</v>
      </c>
      <c r="N2568" s="335" t="str">
        <f>IF(MAXIFS('単価履歴'!$O:$O,'単価履歴'!$E:$E,E2568,'単価履歴'!$F:$F,F2568)=O2568,"●","")</f>
        <v/>
      </c>
      <c r="O2568" s="346">
        <v>45937.71471064815</v>
      </c>
      <c r="P2568" s="334" t="str">
        <f t="shared" si="4"/>
        <v>大同特殊鋼:JSE/大和ﾘﾃｯｸＨ２(特級)</v>
      </c>
    </row>
    <row r="2569" ht="15.75" customHeight="1">
      <c r="A2569" s="335" t="s">
        <v>3718</v>
      </c>
      <c r="B2569" s="336">
        <v>45938.0</v>
      </c>
      <c r="C2569" s="335" t="s">
        <v>537</v>
      </c>
      <c r="D2569" s="335" t="s">
        <v>1407</v>
      </c>
      <c r="E2569" s="337" t="str">
        <f t="shared" si="1"/>
        <v>大同特殊鋼:JSE/第二＠2.3</v>
      </c>
      <c r="F2569" s="338" t="s">
        <v>1199</v>
      </c>
      <c r="G2569" s="339" t="str">
        <f t="shared" si="2"/>
        <v>大同特殊鋼:JSE/第二＠2.3ＨＳ１(単体H1/電特A/HS))</v>
      </c>
      <c r="H2569" s="340">
        <f t="shared" si="3"/>
        <v>40.5</v>
      </c>
      <c r="I2569" s="341">
        <v>0.5</v>
      </c>
      <c r="J2569" s="332">
        <f>IFERROR(__xludf.DUMMYFUNCTION("IF(IF(COUNTIF(P$2:P2568, P2569)=0, """", INDEX(H$2:H2568,
MAX(FILTER(ROW(H$2:H2568) - ROW(H$2) + 1, P$2:P2568 = P2569))))=""単価"","""",
IF(COUNTIF(P$2:P2568, P2569)=0, """", INDEX(H$2:H2568,
MAX(FILTER(ROW(H$2:H2568) - ROW(H$2) + 1, P$2:P2568 = P2569)))))"),40.0)</f>
        <v>40</v>
      </c>
      <c r="N2569" s="335" t="str">
        <f>IF(MAXIFS('単価履歴'!$O:$O,'単価履歴'!$E:$E,E2569,'単価履歴'!$F:$F,F2569)=O2569,"●","")</f>
        <v/>
      </c>
      <c r="O2569" s="346">
        <v>45937.71471064815</v>
      </c>
      <c r="P2569" s="334" t="str">
        <f t="shared" si="4"/>
        <v>大同特殊鋼:JSE/第二＠2.3ＨＳ１(単体H1/電特A/HS))</v>
      </c>
    </row>
    <row r="2570" ht="15.75" customHeight="1">
      <c r="A2570" s="335" t="s">
        <v>3719</v>
      </c>
      <c r="B2570" s="336">
        <v>45938.0</v>
      </c>
      <c r="C2570" s="335" t="s">
        <v>537</v>
      </c>
      <c r="D2570" s="335" t="s">
        <v>1407</v>
      </c>
      <c r="E2570" s="337" t="str">
        <f t="shared" si="1"/>
        <v>大同特殊鋼:JSE/第二＠2.3</v>
      </c>
      <c r="F2570" s="338" t="s">
        <v>116</v>
      </c>
      <c r="G2570" s="339" t="str">
        <f t="shared" si="2"/>
        <v>大同特殊鋼:JSE/第二＠2.3Ｈ２(特級)</v>
      </c>
      <c r="H2570" s="340">
        <f t="shared" si="3"/>
        <v>37.4</v>
      </c>
      <c r="I2570" s="341">
        <v>0.5</v>
      </c>
      <c r="J2570" s="332">
        <f>IFERROR(__xludf.DUMMYFUNCTION("IF(IF(COUNTIF(P$2:P2569, P2570)=0, """", INDEX(H$2:H2569,
MAX(FILTER(ROW(H$2:H2569) - ROW(H$2) + 1, P$2:P2569 = P2570))))=""単価"","""",
IF(COUNTIF(P$2:P2569, P2570)=0, """", INDEX(H$2:H2569,
MAX(FILTER(ROW(H$2:H2569) - ROW(H$2) + 1, P$2:P2569 = P2570)))))"),36.900000000000006)</f>
        <v>36.9</v>
      </c>
      <c r="N2570" s="335" t="str">
        <f>IF(MAXIFS('単価履歴'!$O:$O,'単価履歴'!$E:$E,E2570,'単価履歴'!$F:$F,F2570)=O2570,"●","")</f>
        <v/>
      </c>
      <c r="O2570" s="346">
        <v>45937.71471064815</v>
      </c>
      <c r="P2570" s="334" t="str">
        <f t="shared" si="4"/>
        <v>大同特殊鋼:JSE/第二＠2.3Ｈ２(特級)</v>
      </c>
    </row>
    <row r="2571" ht="15.75" customHeight="1">
      <c r="A2571" s="335" t="s">
        <v>3720</v>
      </c>
      <c r="B2571" s="336">
        <v>45938.0</v>
      </c>
      <c r="C2571" s="335" t="s">
        <v>537</v>
      </c>
      <c r="D2571" s="335" t="s">
        <v>1410</v>
      </c>
      <c r="E2571" s="337" t="str">
        <f t="shared" si="1"/>
        <v>大同特殊鋼:JSE/岐阜＠1.5</v>
      </c>
      <c r="F2571" s="338" t="s">
        <v>1199</v>
      </c>
      <c r="G2571" s="339" t="str">
        <f t="shared" si="2"/>
        <v>大同特殊鋼:JSE/岐阜＠1.5ＨＳ１(単体H1/電特A/HS))</v>
      </c>
      <c r="H2571" s="340">
        <f t="shared" si="3"/>
        <v>41.3</v>
      </c>
      <c r="I2571" s="341">
        <v>0.5</v>
      </c>
      <c r="J2571" s="332">
        <f>IFERROR(__xludf.DUMMYFUNCTION("IF(IF(COUNTIF(P$2:P2570, P2571)=0, """", INDEX(H$2:H2570,
MAX(FILTER(ROW(H$2:H2570) - ROW(H$2) + 1, P$2:P2570 = P2571))))=""単価"","""",
IF(COUNTIF(P$2:P2570, P2571)=0, """", INDEX(H$2:H2570,
MAX(FILTER(ROW(H$2:H2570) - ROW(H$2) + 1, P$2:P2570 = P2571)))))"),40.8)</f>
        <v>40.8</v>
      </c>
      <c r="N2571" s="335" t="str">
        <f>IF(MAXIFS('単価履歴'!$O:$O,'単価履歴'!$E:$E,E2571,'単価履歴'!$F:$F,F2571)=O2571,"●","")</f>
        <v/>
      </c>
      <c r="O2571" s="346">
        <v>45937.71471064815</v>
      </c>
      <c r="P2571" s="334" t="str">
        <f t="shared" si="4"/>
        <v>大同特殊鋼:JSE/岐阜＠1.5ＨＳ１(単体H1/電特A/HS))</v>
      </c>
    </row>
    <row r="2572" ht="15.75" customHeight="1">
      <c r="A2572" s="335" t="s">
        <v>3721</v>
      </c>
      <c r="B2572" s="336">
        <v>45938.0</v>
      </c>
      <c r="C2572" s="335" t="s">
        <v>537</v>
      </c>
      <c r="D2572" s="335" t="s">
        <v>1410</v>
      </c>
      <c r="E2572" s="337" t="str">
        <f t="shared" si="1"/>
        <v>大同特殊鋼:JSE/岐阜＠1.5</v>
      </c>
      <c r="F2572" s="338" t="s">
        <v>116</v>
      </c>
      <c r="G2572" s="339" t="str">
        <f t="shared" si="2"/>
        <v>大同特殊鋼:JSE/岐阜＠1.5Ｈ２(特級)</v>
      </c>
      <c r="H2572" s="340">
        <f t="shared" si="3"/>
        <v>38.2</v>
      </c>
      <c r="I2572" s="341">
        <v>0.5</v>
      </c>
      <c r="J2572" s="332">
        <f>IFERROR(__xludf.DUMMYFUNCTION("IF(IF(COUNTIF(P$2:P2571, P2572)=0, """", INDEX(H$2:H2571,
MAX(FILTER(ROW(H$2:H2571) - ROW(H$2) + 1, P$2:P2571 = P2572))))=""単価"","""",
IF(COUNTIF(P$2:P2571, P2572)=0, """", INDEX(H$2:H2571,
MAX(FILTER(ROW(H$2:H2571) - ROW(H$2) + 1, P$2:P2571 = P2572)))))"),37.7)</f>
        <v>37.7</v>
      </c>
      <c r="N2572" s="335" t="str">
        <f>IF(MAXIFS('単価履歴'!$O:$O,'単価履歴'!$E:$E,E2572,'単価履歴'!$F:$F,F2572)=O2572,"●","")</f>
        <v/>
      </c>
      <c r="O2572" s="346">
        <v>45937.71471064815</v>
      </c>
      <c r="P2572" s="334" t="str">
        <f t="shared" si="4"/>
        <v>大同特殊鋼:JSE/岐阜＠1.5Ｈ２(特級)</v>
      </c>
    </row>
    <row r="2573" ht="15.75" customHeight="1">
      <c r="A2573" s="335" t="s">
        <v>3722</v>
      </c>
      <c r="B2573" s="336">
        <v>45938.0</v>
      </c>
      <c r="C2573" s="335" t="s">
        <v>12</v>
      </c>
      <c r="D2573" s="335" t="s">
        <v>50</v>
      </c>
      <c r="E2573" s="337" t="str">
        <f t="shared" si="1"/>
        <v>山陽特殊:産振</v>
      </c>
      <c r="F2573" s="338" t="s">
        <v>1199</v>
      </c>
      <c r="G2573" s="339" t="str">
        <f t="shared" si="2"/>
        <v>山陽特殊:産振ＨＳ１(単体H1/電特A/HS))</v>
      </c>
      <c r="H2573" s="340">
        <f t="shared" si="3"/>
        <v>43.6</v>
      </c>
      <c r="I2573" s="341">
        <v>0.5</v>
      </c>
      <c r="J2573" s="332">
        <f>IFERROR(__xludf.DUMMYFUNCTION("IF(IF(COUNTIF(P$2:P2572, P2573)=0, """", INDEX(H$2:H2572,
MAX(FILTER(ROW(H$2:H2572) - ROW(H$2) + 1, P$2:P2572 = P2573))))=""単価"","""",
IF(COUNTIF(P$2:P2572, P2573)=0, """", INDEX(H$2:H2572,
MAX(FILTER(ROW(H$2:H2572) - ROW(H$2) + 1, P$2:P2572 = P2573)))))"),43.1)</f>
        <v>43.1</v>
      </c>
      <c r="N2573" s="335" t="str">
        <f>IF(MAXIFS('単価履歴'!$O:$O,'単価履歴'!$E:$E,E2573,'単価履歴'!$F:$F,F2573)=O2573,"●","")</f>
        <v/>
      </c>
      <c r="O2573" s="346">
        <v>45937.73626157407</v>
      </c>
      <c r="P2573" s="334" t="str">
        <f t="shared" si="4"/>
        <v>山陽特殊:産振ＨＳ１(単体H1/電特A/HS))</v>
      </c>
    </row>
    <row r="2574" ht="15.75" customHeight="1">
      <c r="A2574" s="335" t="s">
        <v>3723</v>
      </c>
      <c r="B2574" s="336">
        <v>45938.0</v>
      </c>
      <c r="C2574" s="335" t="s">
        <v>12</v>
      </c>
      <c r="D2574" s="335" t="s">
        <v>50</v>
      </c>
      <c r="E2574" s="337" t="str">
        <f t="shared" si="1"/>
        <v>山陽特殊:産振</v>
      </c>
      <c r="F2574" s="338" t="s">
        <v>101</v>
      </c>
      <c r="G2574" s="339" t="str">
        <f t="shared" si="2"/>
        <v>山陽特殊:産振ＨＳ２</v>
      </c>
      <c r="H2574" s="340">
        <f t="shared" si="3"/>
        <v>43.4</v>
      </c>
      <c r="I2574" s="341">
        <v>0.5</v>
      </c>
      <c r="J2574" s="332">
        <f>IFERROR(__xludf.DUMMYFUNCTION("IF(IF(COUNTIF(P$2:P2573, P2574)=0, """", INDEX(H$2:H2573,
MAX(FILTER(ROW(H$2:H2573) - ROW(H$2) + 1, P$2:P2573 = P2574))))=""単価"","""",
IF(COUNTIF(P$2:P2573, P2574)=0, """", INDEX(H$2:H2573,
MAX(FILTER(ROW(H$2:H2573) - ROW(H$2) + 1, P$2:P2573 = P2574)))))"),42.9)</f>
        <v>42.9</v>
      </c>
      <c r="N2574" s="335" t="str">
        <f>IF(MAXIFS('単価履歴'!$O:$O,'単価履歴'!$E:$E,E2574,'単価履歴'!$F:$F,F2574)=O2574,"●","")</f>
        <v/>
      </c>
      <c r="O2574" s="346">
        <v>45937.73626157407</v>
      </c>
      <c r="P2574" s="334" t="str">
        <f t="shared" si="4"/>
        <v>山陽特殊:産振ＨＳ２</v>
      </c>
    </row>
    <row r="2575" ht="15.75" customHeight="1">
      <c r="A2575" s="335" t="s">
        <v>3724</v>
      </c>
      <c r="B2575" s="336">
        <v>45938.0</v>
      </c>
      <c r="C2575" s="335" t="s">
        <v>12</v>
      </c>
      <c r="D2575" s="335" t="s">
        <v>50</v>
      </c>
      <c r="E2575" s="337" t="str">
        <f t="shared" si="1"/>
        <v>山陽特殊:産振</v>
      </c>
      <c r="F2575" s="338" t="s">
        <v>105</v>
      </c>
      <c r="G2575" s="339" t="str">
        <f t="shared" si="2"/>
        <v>山陽特殊:産振ＨＳ３</v>
      </c>
      <c r="H2575" s="340">
        <f t="shared" si="3"/>
        <v>41.4</v>
      </c>
      <c r="I2575" s="341">
        <v>0.5</v>
      </c>
      <c r="J2575" s="332">
        <f>IFERROR(__xludf.DUMMYFUNCTION("IF(IF(COUNTIF(P$2:P2574, P2575)=0, """", INDEX(H$2:H2574,
MAX(FILTER(ROW(H$2:H2574) - ROW(H$2) + 1, P$2:P2574 = P2575))))=""単価"","""",
IF(COUNTIF(P$2:P2574, P2575)=0, """", INDEX(H$2:H2574,
MAX(FILTER(ROW(H$2:H2574) - ROW(H$2) + 1, P$2:P2574 = P2575)))))"),40.9)</f>
        <v>40.9</v>
      </c>
      <c r="N2575" s="335" t="str">
        <f>IF(MAXIFS('単価履歴'!$O:$O,'単価履歴'!$E:$E,E2575,'単価履歴'!$F:$F,F2575)=O2575,"●","")</f>
        <v/>
      </c>
      <c r="O2575" s="346">
        <v>45937.73626157407</v>
      </c>
      <c r="P2575" s="334" t="str">
        <f t="shared" si="4"/>
        <v>山陽特殊:産振ＨＳ３</v>
      </c>
    </row>
    <row r="2576" ht="15.75" customHeight="1">
      <c r="A2576" s="335" t="s">
        <v>3725</v>
      </c>
      <c r="B2576" s="336">
        <v>45938.0</v>
      </c>
      <c r="C2576" s="335" t="s">
        <v>35</v>
      </c>
      <c r="D2576" s="335" t="s">
        <v>48</v>
      </c>
      <c r="E2576" s="337" t="str">
        <f t="shared" si="1"/>
        <v>ﾆｭｰｽｺﾝ稲永:ナベ</v>
      </c>
      <c r="F2576" s="338" t="s">
        <v>130</v>
      </c>
      <c r="G2576" s="339" t="str">
        <f t="shared" si="2"/>
        <v>ﾆｭｰｽｺﾝ稲永:ナベ新断Ａ</v>
      </c>
      <c r="H2576" s="340">
        <f t="shared" si="3"/>
        <v>44</v>
      </c>
      <c r="I2576" s="341">
        <v>0.5</v>
      </c>
      <c r="J2576" s="332">
        <f>IFERROR(__xludf.DUMMYFUNCTION("IF(IF(COUNTIF(P$2:P2575, P2576)=0, """", INDEX(H$2:H2575,
MAX(FILTER(ROW(H$2:H2575) - ROW(H$2) + 1, P$2:P2575 = P2576))))=""単価"","""",
IF(COUNTIF(P$2:P2575, P2576)=0, """", INDEX(H$2:H2575,
MAX(FILTER(ROW(H$2:H2575) - ROW(H$2) + 1, P$2:P2575 = P2576)))))"),43.5)</f>
        <v>43.5</v>
      </c>
      <c r="N2576" s="335" t="str">
        <f>IF(MAXIFS('単価履歴'!$O:$O,'単価履歴'!$E:$E,E2576,'単価履歴'!$F:$F,F2576)=O2576,"●","")</f>
        <v/>
      </c>
      <c r="O2576" s="346">
        <v>45937.73650462963</v>
      </c>
      <c r="P2576" s="334" t="str">
        <f t="shared" si="4"/>
        <v>ﾆｭｰｽｺﾝ稲永:ナベ新断Ａ</v>
      </c>
    </row>
    <row r="2577" ht="15.75" customHeight="1">
      <c r="A2577" s="335" t="s">
        <v>3726</v>
      </c>
      <c r="B2577" s="336">
        <v>45940.0</v>
      </c>
      <c r="C2577" s="335" t="s">
        <v>531</v>
      </c>
      <c r="D2577" s="335" t="s">
        <v>77</v>
      </c>
      <c r="E2577" s="337" t="str">
        <f t="shared" si="1"/>
        <v>東鐵関西:直納</v>
      </c>
      <c r="F2577" s="338" t="s">
        <v>1199</v>
      </c>
      <c r="G2577" s="339" t="str">
        <f t="shared" si="2"/>
        <v>東鐵関西:直納ＨＳ１(単体H1/電特A/HS))</v>
      </c>
      <c r="H2577" s="340">
        <f t="shared" si="3"/>
        <v>43.5</v>
      </c>
      <c r="I2577" s="341">
        <v>1.0</v>
      </c>
      <c r="J2577" s="332">
        <f>IFERROR(__xludf.DUMMYFUNCTION("IF(IF(COUNTIF(P$2:P2576, P2577)=0, """", INDEX(H$2:H2576,
MAX(FILTER(ROW(H$2:H2576) - ROW(H$2) + 1, P$2:P2576 = P2577))))=""単価"","""",
IF(COUNTIF(P$2:P2576, P2577)=0, """", INDEX(H$2:H2576,
MAX(FILTER(ROW(H$2:H2576) - ROW(H$2) + 1, P$2:P2576 = P2577)))))"),42.5)</f>
        <v>42.5</v>
      </c>
      <c r="N2577" s="335" t="str">
        <f>IF(MAXIFS('単価履歴'!$O:$O,'単価履歴'!$E:$E,E2577,'単価履歴'!$F:$F,F2577)=O2577,"●","")</f>
        <v/>
      </c>
      <c r="O2577" s="346">
        <v>45940.267696759256</v>
      </c>
      <c r="P2577" s="334" t="str">
        <f t="shared" si="4"/>
        <v>東鐵関西:直納ＨＳ１(単体H1/電特A/HS))</v>
      </c>
    </row>
    <row r="2578" ht="15.75" customHeight="1">
      <c r="A2578" s="335" t="s">
        <v>3727</v>
      </c>
      <c r="B2578" s="336">
        <v>45940.0</v>
      </c>
      <c r="C2578" s="335" t="s">
        <v>531</v>
      </c>
      <c r="D2578" s="335" t="s">
        <v>77</v>
      </c>
      <c r="E2578" s="337" t="str">
        <f t="shared" si="1"/>
        <v>東鐵関西:直納</v>
      </c>
      <c r="F2578" s="338" t="s">
        <v>111</v>
      </c>
      <c r="G2578" s="339" t="str">
        <f t="shared" si="2"/>
        <v>東鐵関西:直納Ｈ１(特A)</v>
      </c>
      <c r="H2578" s="340">
        <f t="shared" si="3"/>
        <v>43</v>
      </c>
      <c r="I2578" s="341">
        <v>1.0</v>
      </c>
      <c r="J2578" s="332">
        <f>IFERROR(__xludf.DUMMYFUNCTION("IF(IF(COUNTIF(P$2:P2577, P2578)=0, """", INDEX(H$2:H2577,
MAX(FILTER(ROW(H$2:H2577) - ROW(H$2) + 1, P$2:P2577 = P2578))))=""単価"","""",
IF(COUNTIF(P$2:P2577, P2578)=0, """", INDEX(H$2:H2577,
MAX(FILTER(ROW(H$2:H2577) - ROW(H$2) + 1, P$2:P2577 = P2578)))))"),42.0)</f>
        <v>42</v>
      </c>
      <c r="N2578" s="335" t="str">
        <f>IF(MAXIFS('単価履歴'!$O:$O,'単価履歴'!$E:$E,E2578,'単価履歴'!$F:$F,F2578)=O2578,"●","")</f>
        <v/>
      </c>
      <c r="O2578" s="346">
        <v>45940.267696759256</v>
      </c>
      <c r="P2578" s="334" t="str">
        <f t="shared" si="4"/>
        <v>東鐵関西:直納Ｈ１(特A)</v>
      </c>
    </row>
    <row r="2579" ht="15.75" customHeight="1">
      <c r="A2579" s="335" t="s">
        <v>3728</v>
      </c>
      <c r="B2579" s="336">
        <v>45940.0</v>
      </c>
      <c r="C2579" s="335" t="s">
        <v>531</v>
      </c>
      <c r="D2579" s="335" t="s">
        <v>77</v>
      </c>
      <c r="E2579" s="337" t="str">
        <f t="shared" si="1"/>
        <v>東鐵関西:直納</v>
      </c>
      <c r="F2579" s="338" t="s">
        <v>116</v>
      </c>
      <c r="G2579" s="339" t="str">
        <f t="shared" si="2"/>
        <v>東鐵関西:直納Ｈ２(特級)</v>
      </c>
      <c r="H2579" s="340">
        <f t="shared" si="3"/>
        <v>41</v>
      </c>
      <c r="I2579" s="341">
        <v>1.0</v>
      </c>
      <c r="J2579" s="332">
        <f>IFERROR(__xludf.DUMMYFUNCTION("IF(IF(COUNTIF(P$2:P2578, P2579)=0, """", INDEX(H$2:H2578,
MAX(FILTER(ROW(H$2:H2578) - ROW(H$2) + 1, P$2:P2578 = P2579))))=""単価"","""",
IF(COUNTIF(P$2:P2578, P2579)=0, """", INDEX(H$2:H2578,
MAX(FILTER(ROW(H$2:H2578) - ROW(H$2) + 1, P$2:P2578 = P2579)))))"),40.0)</f>
        <v>40</v>
      </c>
      <c r="N2579" s="335" t="str">
        <f>IF(MAXIFS('単価履歴'!$O:$O,'単価履歴'!$E:$E,E2579,'単価履歴'!$F:$F,F2579)=O2579,"●","")</f>
        <v/>
      </c>
      <c r="O2579" s="346">
        <v>45940.267696759256</v>
      </c>
      <c r="P2579" s="334" t="str">
        <f t="shared" si="4"/>
        <v>東鐵関西:直納Ｈ２(特級)</v>
      </c>
    </row>
    <row r="2580" ht="15.75" customHeight="1">
      <c r="A2580" s="335" t="s">
        <v>3729</v>
      </c>
      <c r="B2580" s="336">
        <v>45940.0</v>
      </c>
      <c r="C2580" s="335" t="s">
        <v>531</v>
      </c>
      <c r="D2580" s="335" t="s">
        <v>77</v>
      </c>
      <c r="E2580" s="337" t="str">
        <f t="shared" si="1"/>
        <v>東鐵関西:直納</v>
      </c>
      <c r="F2580" s="338" t="s">
        <v>119</v>
      </c>
      <c r="G2580" s="339" t="str">
        <f t="shared" si="2"/>
        <v>東鐵関西:直納Ｈ３(1級)</v>
      </c>
      <c r="H2580" s="340">
        <f t="shared" si="3"/>
        <v>41</v>
      </c>
      <c r="I2580" s="341">
        <v>1.0</v>
      </c>
      <c r="J2580" s="332">
        <f>IFERROR(__xludf.DUMMYFUNCTION("IF(IF(COUNTIF(P$2:P2579, P2580)=0, """", INDEX(H$2:H2579,
MAX(FILTER(ROW(H$2:H2579) - ROW(H$2) + 1, P$2:P2579 = P2580))))=""単価"","""",
IF(COUNTIF(P$2:P2579, P2580)=0, """", INDEX(H$2:H2579,
MAX(FILTER(ROW(H$2:H2579) - ROW(H$2) + 1, P$2:P2579 = P2580)))))"),40.0)</f>
        <v>40</v>
      </c>
      <c r="N2580" s="335" t="str">
        <f>IF(MAXIFS('単価履歴'!$O:$O,'単価履歴'!$E:$E,E2580,'単価履歴'!$F:$F,F2580)=O2580,"●","")</f>
        <v/>
      </c>
      <c r="O2580" s="346">
        <v>45940.267696759256</v>
      </c>
      <c r="P2580" s="334" t="str">
        <f t="shared" si="4"/>
        <v>東鐵関西:直納Ｈ３(1級)</v>
      </c>
    </row>
    <row r="2581" ht="15.75" customHeight="1">
      <c r="A2581" s="335" t="s">
        <v>3730</v>
      </c>
      <c r="B2581" s="336">
        <v>45940.0</v>
      </c>
      <c r="C2581" s="335" t="s">
        <v>531</v>
      </c>
      <c r="D2581" s="335" t="s">
        <v>77</v>
      </c>
      <c r="E2581" s="337" t="str">
        <f t="shared" si="1"/>
        <v>東鐵関西:直納</v>
      </c>
      <c r="F2581" s="338" t="s">
        <v>122</v>
      </c>
      <c r="G2581" s="339" t="str">
        <f t="shared" si="2"/>
        <v>東鐵関西:直納Ｌ１(2級)</v>
      </c>
      <c r="H2581" s="340">
        <f t="shared" si="3"/>
        <v>39</v>
      </c>
      <c r="I2581" s="341">
        <v>1.0</v>
      </c>
      <c r="J2581" s="332">
        <f>IFERROR(__xludf.DUMMYFUNCTION("IF(IF(COUNTIF(P$2:P2580, P2581)=0, """", INDEX(H$2:H2580,
MAX(FILTER(ROW(H$2:H2580) - ROW(H$2) + 1, P$2:P2580 = P2581))))=""単価"","""",
IF(COUNTIF(P$2:P2580, P2581)=0, """", INDEX(H$2:H2580,
MAX(FILTER(ROW(H$2:H2580) - ROW(H$2) + 1, P$2:P2580 = P2581)))))"),38.0)</f>
        <v>38</v>
      </c>
      <c r="N2581" s="335" t="str">
        <f>IF(MAXIFS('単価履歴'!$O:$O,'単価履歴'!$E:$E,E2581,'単価履歴'!$F:$F,F2581)=O2581,"●","")</f>
        <v/>
      </c>
      <c r="O2581" s="346">
        <v>45940.267696759256</v>
      </c>
      <c r="P2581" s="334" t="str">
        <f t="shared" si="4"/>
        <v>東鐵関西:直納Ｌ１(2級)</v>
      </c>
    </row>
    <row r="2582" ht="15.75" customHeight="1">
      <c r="A2582" s="335" t="s">
        <v>3731</v>
      </c>
      <c r="B2582" s="336">
        <v>45940.0</v>
      </c>
      <c r="C2582" s="335" t="s">
        <v>531</v>
      </c>
      <c r="D2582" s="335" t="s">
        <v>77</v>
      </c>
      <c r="E2582" s="337" t="str">
        <f t="shared" si="1"/>
        <v>東鐵関西:直納</v>
      </c>
      <c r="F2582" s="338" t="s">
        <v>573</v>
      </c>
      <c r="G2582" s="339" t="str">
        <f t="shared" si="2"/>
        <v>東鐵関西:直納Ｌ２(H4･級外･L1ﾊﾞﾗ)</v>
      </c>
      <c r="H2582" s="340">
        <f t="shared" si="3"/>
        <v>36</v>
      </c>
      <c r="I2582" s="341">
        <v>1.0</v>
      </c>
      <c r="J2582" s="332">
        <f>IFERROR(__xludf.DUMMYFUNCTION("IF(IF(COUNTIF(P$2:P2581, P2582)=0, """", INDEX(H$2:H2581,
MAX(FILTER(ROW(H$2:H2581) - ROW(H$2) + 1, P$2:P2581 = P2582))))=""単価"","""",
IF(COUNTIF(P$2:P2581, P2582)=0, """", INDEX(H$2:H2581,
MAX(FILTER(ROW(H$2:H2581) - ROW(H$2) + 1, P$2:P2581 = P2582)))))"),35.0)</f>
        <v>35</v>
      </c>
      <c r="N2582" s="335" t="str">
        <f>IF(MAXIFS('単価履歴'!$O:$O,'単価履歴'!$E:$E,E2582,'単価履歴'!$F:$F,F2582)=O2582,"●","")</f>
        <v/>
      </c>
      <c r="O2582" s="346">
        <v>45940.267696759256</v>
      </c>
      <c r="P2582" s="334" t="str">
        <f t="shared" si="4"/>
        <v>東鐵関西:直納Ｌ２(H4･級外･L1ﾊﾞﾗ)</v>
      </c>
    </row>
    <row r="2583" ht="15.75" customHeight="1">
      <c r="A2583" s="335" t="s">
        <v>3732</v>
      </c>
      <c r="B2583" s="336">
        <v>45940.0</v>
      </c>
      <c r="C2583" s="335" t="s">
        <v>531</v>
      </c>
      <c r="D2583" s="335" t="s">
        <v>77</v>
      </c>
      <c r="E2583" s="337" t="str">
        <f t="shared" si="1"/>
        <v>東鐵関西:直納</v>
      </c>
      <c r="F2583" s="338" t="s">
        <v>145</v>
      </c>
      <c r="G2583" s="339" t="str">
        <f t="shared" si="2"/>
        <v>東鐵関西:直納シュレＡ</v>
      </c>
      <c r="H2583" s="340">
        <f t="shared" si="3"/>
        <v>43</v>
      </c>
      <c r="I2583" s="341">
        <v>1.0</v>
      </c>
      <c r="J2583" s="332">
        <f>IFERROR(__xludf.DUMMYFUNCTION("IF(IF(COUNTIF(P$2:P2582, P2583)=0, """", INDEX(H$2:H2582,
MAX(FILTER(ROW(H$2:H2582) - ROW(H$2) + 1, P$2:P2582 = P2583))))=""単価"","""",
IF(COUNTIF(P$2:P2582, P2583)=0, """", INDEX(H$2:H2582,
MAX(FILTER(ROW(H$2:H2582) - ROW(H$2) + 1, P$2:P2582 = P2583)))))"),42.0)</f>
        <v>42</v>
      </c>
      <c r="N2583" s="335" t="str">
        <f>IF(MAXIFS('単価履歴'!$O:$O,'単価履歴'!$E:$E,E2583,'単価履歴'!$F:$F,F2583)=O2583,"●","")</f>
        <v/>
      </c>
      <c r="O2583" s="346">
        <v>45940.267696759256</v>
      </c>
      <c r="P2583" s="334" t="str">
        <f t="shared" si="4"/>
        <v>東鐵関西:直納シュレＡ</v>
      </c>
    </row>
    <row r="2584" ht="15.75" customHeight="1">
      <c r="A2584" s="335" t="s">
        <v>3733</v>
      </c>
      <c r="B2584" s="336">
        <v>45940.0</v>
      </c>
      <c r="C2584" s="335" t="s">
        <v>531</v>
      </c>
      <c r="D2584" s="335" t="s">
        <v>77</v>
      </c>
      <c r="E2584" s="337" t="str">
        <f t="shared" si="1"/>
        <v>東鐵関西:直納</v>
      </c>
      <c r="F2584" s="338" t="s">
        <v>151</v>
      </c>
      <c r="G2584" s="339" t="str">
        <f t="shared" si="2"/>
        <v>東鐵関西:直納シュレＣ</v>
      </c>
      <c r="H2584" s="340">
        <f t="shared" si="3"/>
        <v>42</v>
      </c>
      <c r="I2584" s="341">
        <v>1.0</v>
      </c>
      <c r="J2584" s="332">
        <f>IFERROR(__xludf.DUMMYFUNCTION("IF(IF(COUNTIF(P$2:P2583, P2584)=0, """", INDEX(H$2:H2583,
MAX(FILTER(ROW(H$2:H2583) - ROW(H$2) + 1, P$2:P2583 = P2584))))=""単価"","""",
IF(COUNTIF(P$2:P2583, P2584)=0, """", INDEX(H$2:H2583,
MAX(FILTER(ROW(H$2:H2583) - ROW(H$2) + 1, P$2:P2583 = P2584)))))"),41.0)</f>
        <v>41</v>
      </c>
      <c r="N2584" s="335" t="str">
        <f>IF(MAXIFS('単価履歴'!$O:$O,'単価履歴'!$E:$E,E2584,'単価履歴'!$F:$F,F2584)=O2584,"●","")</f>
        <v/>
      </c>
      <c r="O2584" s="346">
        <v>45940.267696759256</v>
      </c>
      <c r="P2584" s="334" t="str">
        <f t="shared" si="4"/>
        <v>東鐵関西:直納シュレＣ</v>
      </c>
    </row>
    <row r="2585" ht="15.75" customHeight="1">
      <c r="A2585" s="335" t="s">
        <v>3734</v>
      </c>
      <c r="B2585" s="336">
        <v>45940.0</v>
      </c>
      <c r="C2585" s="335" t="s">
        <v>532</v>
      </c>
      <c r="D2585" s="335" t="s">
        <v>77</v>
      </c>
      <c r="E2585" s="337" t="str">
        <f t="shared" si="1"/>
        <v>東鐵岡山:直納</v>
      </c>
      <c r="F2585" s="338" t="s">
        <v>1199</v>
      </c>
      <c r="G2585" s="339" t="str">
        <f t="shared" si="2"/>
        <v>東鐵岡山:直納ＨＳ１(単体H1/電特A/HS))</v>
      </c>
      <c r="H2585" s="340">
        <f t="shared" si="3"/>
        <v>44</v>
      </c>
      <c r="I2585" s="341">
        <v>1.0</v>
      </c>
      <c r="J2585" s="332">
        <f>IFERROR(__xludf.DUMMYFUNCTION("IF(IF(COUNTIF(P$2:P2584, P2585)=0, """", INDEX(H$2:H2584,
MAX(FILTER(ROW(H$2:H2584) - ROW(H$2) + 1, P$2:P2584 = P2585))))=""単価"","""",
IF(COUNTIF(P$2:P2584, P2585)=0, """", INDEX(H$2:H2584,
MAX(FILTER(ROW(H$2:H2584) - ROW(H$2) + 1, P$2:P2584 = P2585)))))"),43.0)</f>
        <v>43</v>
      </c>
      <c r="N2585" s="335" t="str">
        <f>IF(MAXIFS('単価履歴'!$O:$O,'単価履歴'!$E:$E,E2585,'単価履歴'!$F:$F,F2585)=O2585,"●","")</f>
        <v/>
      </c>
      <c r="O2585" s="346">
        <v>45940.268055555556</v>
      </c>
      <c r="P2585" s="334" t="str">
        <f t="shared" si="4"/>
        <v>東鐵岡山:直納ＨＳ１(単体H1/電特A/HS))</v>
      </c>
    </row>
    <row r="2586" ht="15.75" customHeight="1">
      <c r="A2586" s="335" t="s">
        <v>3735</v>
      </c>
      <c r="B2586" s="336">
        <v>45940.0</v>
      </c>
      <c r="C2586" s="335" t="s">
        <v>532</v>
      </c>
      <c r="D2586" s="335" t="s">
        <v>77</v>
      </c>
      <c r="E2586" s="337" t="str">
        <f t="shared" si="1"/>
        <v>東鐵岡山:直納</v>
      </c>
      <c r="F2586" s="338" t="s">
        <v>111</v>
      </c>
      <c r="G2586" s="339" t="str">
        <f t="shared" si="2"/>
        <v>東鐵岡山:直納Ｈ１(特A)</v>
      </c>
      <c r="H2586" s="340">
        <f t="shared" si="3"/>
        <v>42.7</v>
      </c>
      <c r="I2586" s="341">
        <v>1.0</v>
      </c>
      <c r="J2586" s="332">
        <f>IFERROR(__xludf.DUMMYFUNCTION("IF(IF(COUNTIF(P$2:P2585, P2586)=0, """", INDEX(H$2:H2585,
MAX(FILTER(ROW(H$2:H2585) - ROW(H$2) + 1, P$2:P2585 = P2586))))=""単価"","""",
IF(COUNTIF(P$2:P2585, P2586)=0, """", INDEX(H$2:H2585,
MAX(FILTER(ROW(H$2:H2585) - ROW(H$2) + 1, P$2:P2585 = P2586)))))"),41.7)</f>
        <v>41.7</v>
      </c>
      <c r="N2586" s="335" t="str">
        <f>IF(MAXIFS('単価履歴'!$O:$O,'単価履歴'!$E:$E,E2586,'単価履歴'!$F:$F,F2586)=O2586,"●","")</f>
        <v/>
      </c>
      <c r="O2586" s="346">
        <v>45940.268055555556</v>
      </c>
      <c r="P2586" s="334" t="str">
        <f t="shared" si="4"/>
        <v>東鐵岡山:直納Ｈ１(特A)</v>
      </c>
    </row>
    <row r="2587" ht="15.75" customHeight="1">
      <c r="A2587" s="335" t="s">
        <v>3736</v>
      </c>
      <c r="B2587" s="336">
        <v>45940.0</v>
      </c>
      <c r="C2587" s="335" t="s">
        <v>532</v>
      </c>
      <c r="D2587" s="335" t="s">
        <v>77</v>
      </c>
      <c r="E2587" s="337" t="str">
        <f t="shared" si="1"/>
        <v>東鐵岡山:直納</v>
      </c>
      <c r="F2587" s="338" t="s">
        <v>116</v>
      </c>
      <c r="G2587" s="339" t="str">
        <f t="shared" si="2"/>
        <v>東鐵岡山:直納Ｈ２(特級)</v>
      </c>
      <c r="H2587" s="340">
        <f t="shared" si="3"/>
        <v>42</v>
      </c>
      <c r="I2587" s="341">
        <v>1.0</v>
      </c>
      <c r="J2587" s="332">
        <f>IFERROR(__xludf.DUMMYFUNCTION("IF(IF(COUNTIF(P$2:P2586, P2587)=0, """", INDEX(H$2:H2586,
MAX(FILTER(ROW(H$2:H2586) - ROW(H$2) + 1, P$2:P2586 = P2587))))=""単価"","""",
IF(COUNTIF(P$2:P2586, P2587)=0, """", INDEX(H$2:H2586,
MAX(FILTER(ROW(H$2:H2586) - ROW(H$2) + 1, P$2:P2586 = P2587)))))"),41.0)</f>
        <v>41</v>
      </c>
      <c r="N2587" s="335" t="str">
        <f>IF(MAXIFS('単価履歴'!$O:$O,'単価履歴'!$E:$E,E2587,'単価履歴'!$F:$F,F2587)=O2587,"●","")</f>
        <v/>
      </c>
      <c r="O2587" s="346">
        <v>45940.268055555556</v>
      </c>
      <c r="P2587" s="334" t="str">
        <f t="shared" si="4"/>
        <v>東鐵岡山:直納Ｈ２(特級)</v>
      </c>
    </row>
    <row r="2588" ht="15.75" customHeight="1">
      <c r="A2588" s="335" t="s">
        <v>3737</v>
      </c>
      <c r="B2588" s="336">
        <v>45940.0</v>
      </c>
      <c r="C2588" s="335" t="s">
        <v>532</v>
      </c>
      <c r="D2588" s="335" t="s">
        <v>77</v>
      </c>
      <c r="E2588" s="337" t="str">
        <f t="shared" si="1"/>
        <v>東鐵岡山:直納</v>
      </c>
      <c r="F2588" s="338" t="s">
        <v>119</v>
      </c>
      <c r="G2588" s="339" t="str">
        <f t="shared" si="2"/>
        <v>東鐵岡山:直納Ｈ３(1級)</v>
      </c>
      <c r="H2588" s="340">
        <f t="shared" si="3"/>
        <v>41.5</v>
      </c>
      <c r="I2588" s="341">
        <v>1.0</v>
      </c>
      <c r="J2588" s="332">
        <f>IFERROR(__xludf.DUMMYFUNCTION("IF(IF(COUNTIF(P$2:P2587, P2588)=0, """", INDEX(H$2:H2587,
MAX(FILTER(ROW(H$2:H2587) - ROW(H$2) + 1, P$2:P2587 = P2588))))=""単価"","""",
IF(COUNTIF(P$2:P2587, P2588)=0, """", INDEX(H$2:H2587,
MAX(FILTER(ROW(H$2:H2587) - ROW(H$2) + 1, P$2:P2587 = P2588)))))"),40.5)</f>
        <v>40.5</v>
      </c>
      <c r="N2588" s="335" t="str">
        <f>IF(MAXIFS('単価履歴'!$O:$O,'単価履歴'!$E:$E,E2588,'単価履歴'!$F:$F,F2588)=O2588,"●","")</f>
        <v/>
      </c>
      <c r="O2588" s="346">
        <v>45940.268055555556</v>
      </c>
      <c r="P2588" s="334" t="str">
        <f t="shared" si="4"/>
        <v>東鐵岡山:直納Ｈ３(1級)</v>
      </c>
    </row>
    <row r="2589" ht="15.75" customHeight="1">
      <c r="A2589" s="335" t="s">
        <v>3738</v>
      </c>
      <c r="B2589" s="336">
        <v>45940.0</v>
      </c>
      <c r="C2589" s="335" t="s">
        <v>532</v>
      </c>
      <c r="D2589" s="335" t="s">
        <v>77</v>
      </c>
      <c r="E2589" s="337" t="str">
        <f t="shared" si="1"/>
        <v>東鐵岡山:直納</v>
      </c>
      <c r="F2589" s="338" t="s">
        <v>122</v>
      </c>
      <c r="G2589" s="339" t="str">
        <f t="shared" si="2"/>
        <v>東鐵岡山:直納Ｌ１(2級)</v>
      </c>
      <c r="H2589" s="340">
        <f t="shared" si="3"/>
        <v>40</v>
      </c>
      <c r="I2589" s="341">
        <v>1.0</v>
      </c>
      <c r="J2589" s="332">
        <f>IFERROR(__xludf.DUMMYFUNCTION("IF(IF(COUNTIF(P$2:P2588, P2589)=0, """", INDEX(H$2:H2588,
MAX(FILTER(ROW(H$2:H2588) - ROW(H$2) + 1, P$2:P2588 = P2589))))=""単価"","""",
IF(COUNTIF(P$2:P2588, P2589)=0, """", INDEX(H$2:H2588,
MAX(FILTER(ROW(H$2:H2588) - ROW(H$2) + 1, P$2:P2588 = P2589)))))"),39.0)</f>
        <v>39</v>
      </c>
      <c r="N2589" s="335" t="str">
        <f>IF(MAXIFS('単価履歴'!$O:$O,'単価履歴'!$E:$E,E2589,'単価履歴'!$F:$F,F2589)=O2589,"●","")</f>
        <v/>
      </c>
      <c r="O2589" s="346">
        <v>45940.268055555556</v>
      </c>
      <c r="P2589" s="334" t="str">
        <f t="shared" si="4"/>
        <v>東鐵岡山:直納Ｌ１(2級)</v>
      </c>
    </row>
    <row r="2590" ht="15.75" customHeight="1">
      <c r="A2590" s="335" t="s">
        <v>3739</v>
      </c>
      <c r="B2590" s="336">
        <v>45940.0</v>
      </c>
      <c r="C2590" s="335" t="s">
        <v>532</v>
      </c>
      <c r="D2590" s="335" t="s">
        <v>77</v>
      </c>
      <c r="E2590" s="337" t="str">
        <f t="shared" si="1"/>
        <v>東鐵岡山:直納</v>
      </c>
      <c r="F2590" s="338" t="s">
        <v>573</v>
      </c>
      <c r="G2590" s="339" t="str">
        <f t="shared" si="2"/>
        <v>東鐵岡山:直納Ｌ２(H4･級外･L1ﾊﾞﾗ)</v>
      </c>
      <c r="H2590" s="340">
        <f t="shared" si="3"/>
        <v>37</v>
      </c>
      <c r="I2590" s="341">
        <v>1.0</v>
      </c>
      <c r="J2590" s="332">
        <f>IFERROR(__xludf.DUMMYFUNCTION("IF(IF(COUNTIF(P$2:P2589, P2590)=0, """", INDEX(H$2:H2589,
MAX(FILTER(ROW(H$2:H2589) - ROW(H$2) + 1, P$2:P2589 = P2590))))=""単価"","""",
IF(COUNTIF(P$2:P2589, P2590)=0, """", INDEX(H$2:H2589,
MAX(FILTER(ROW(H$2:H2589) - ROW(H$2) + 1, P$2:P2589 = P2590)))))"),36.0)</f>
        <v>36</v>
      </c>
      <c r="N2590" s="335" t="str">
        <f>IF(MAXIFS('単価履歴'!$O:$O,'単価履歴'!$E:$E,E2590,'単価履歴'!$F:$F,F2590)=O2590,"●","")</f>
        <v/>
      </c>
      <c r="O2590" s="346">
        <v>45940.268055555556</v>
      </c>
      <c r="P2590" s="334" t="str">
        <f t="shared" si="4"/>
        <v>東鐵岡山:直納Ｌ２(H4･級外･L1ﾊﾞﾗ)</v>
      </c>
    </row>
    <row r="2591" ht="15.75" customHeight="1">
      <c r="A2591" s="335" t="s">
        <v>3740</v>
      </c>
      <c r="B2591" s="336">
        <v>45940.0</v>
      </c>
      <c r="C2591" s="335" t="s">
        <v>532</v>
      </c>
      <c r="D2591" s="335" t="s">
        <v>77</v>
      </c>
      <c r="E2591" s="337" t="str">
        <f t="shared" si="1"/>
        <v>東鐵岡山:直納</v>
      </c>
      <c r="F2591" s="338" t="s">
        <v>145</v>
      </c>
      <c r="G2591" s="339" t="str">
        <f t="shared" si="2"/>
        <v>東鐵岡山:直納シュレＡ</v>
      </c>
      <c r="H2591" s="340">
        <f t="shared" si="3"/>
        <v>42.5</v>
      </c>
      <c r="I2591" s="341">
        <v>1.0</v>
      </c>
      <c r="J2591" s="332">
        <f>IFERROR(__xludf.DUMMYFUNCTION("IF(IF(COUNTIF(P$2:P2590, P2591)=0, """", INDEX(H$2:H2590,
MAX(FILTER(ROW(H$2:H2590) - ROW(H$2) + 1, P$2:P2590 = P2591))))=""単価"","""",
IF(COUNTIF(P$2:P2590, P2591)=0, """", INDEX(H$2:H2590,
MAX(FILTER(ROW(H$2:H2590) - ROW(H$2) + 1, P$2:P2590 = P2591)))))"),41.5)</f>
        <v>41.5</v>
      </c>
      <c r="N2591" s="335" t="str">
        <f>IF(MAXIFS('単価履歴'!$O:$O,'単価履歴'!$E:$E,E2591,'単価履歴'!$F:$F,F2591)=O2591,"●","")</f>
        <v/>
      </c>
      <c r="O2591" s="346">
        <v>45940.268055555556</v>
      </c>
      <c r="P2591" s="334" t="str">
        <f t="shared" si="4"/>
        <v>東鐵岡山:直納シュレＡ</v>
      </c>
    </row>
    <row r="2592" ht="15.75" customHeight="1">
      <c r="A2592" s="335" t="s">
        <v>3741</v>
      </c>
      <c r="B2592" s="336">
        <v>45940.0</v>
      </c>
      <c r="C2592" s="335" t="s">
        <v>532</v>
      </c>
      <c r="D2592" s="335" t="s">
        <v>77</v>
      </c>
      <c r="E2592" s="337" t="str">
        <f t="shared" si="1"/>
        <v>東鐵岡山:直納</v>
      </c>
      <c r="F2592" s="338" t="s">
        <v>151</v>
      </c>
      <c r="G2592" s="339" t="str">
        <f t="shared" si="2"/>
        <v>東鐵岡山:直納シュレＣ</v>
      </c>
      <c r="H2592" s="340">
        <f t="shared" si="3"/>
        <v>42</v>
      </c>
      <c r="I2592" s="341">
        <v>1.0</v>
      </c>
      <c r="J2592" s="332">
        <f>IFERROR(__xludf.DUMMYFUNCTION("IF(IF(COUNTIF(P$2:P2591, P2592)=0, """", INDEX(H$2:H2591,
MAX(FILTER(ROW(H$2:H2591) - ROW(H$2) + 1, P$2:P2591 = P2592))))=""単価"","""",
IF(COUNTIF(P$2:P2591, P2592)=0, """", INDEX(H$2:H2591,
MAX(FILTER(ROW(H$2:H2591) - ROW(H$2) + 1, P$2:P2591 = P2592)))))"),41.0)</f>
        <v>41</v>
      </c>
      <c r="N2592" s="335" t="str">
        <f>IF(MAXIFS('単価履歴'!$O:$O,'単価履歴'!$E:$E,E2592,'単価履歴'!$F:$F,F2592)=O2592,"●","")</f>
        <v/>
      </c>
      <c r="O2592" s="346">
        <v>45940.268055555556</v>
      </c>
      <c r="P2592" s="334" t="str">
        <f t="shared" si="4"/>
        <v>東鐵岡山:直納シュレＣ</v>
      </c>
    </row>
    <row r="2593" ht="15.75" customHeight="1">
      <c r="A2593" s="335" t="s">
        <v>3742</v>
      </c>
      <c r="B2593" s="336">
        <v>45940.0</v>
      </c>
      <c r="C2593" s="335" t="s">
        <v>532</v>
      </c>
      <c r="D2593" s="335" t="s">
        <v>77</v>
      </c>
      <c r="E2593" s="337" t="str">
        <f t="shared" si="1"/>
        <v>東鐵岡山:直納</v>
      </c>
      <c r="F2593" s="338" t="s">
        <v>130</v>
      </c>
      <c r="G2593" s="339" t="str">
        <f t="shared" si="2"/>
        <v>東鐵岡山:直納新断Ａ</v>
      </c>
      <c r="H2593" s="340">
        <f t="shared" si="3"/>
        <v>43</v>
      </c>
      <c r="I2593" s="341">
        <v>1.0</v>
      </c>
      <c r="J2593" s="332">
        <f>IFERROR(__xludf.DUMMYFUNCTION("IF(IF(COUNTIF(P$2:P2592, P2593)=0, """", INDEX(H$2:H2592,
MAX(FILTER(ROW(H$2:H2592) - ROW(H$2) + 1, P$2:P2592 = P2593))))=""単価"","""",
IF(COUNTIF(P$2:P2592, P2593)=0, """", INDEX(H$2:H2592,
MAX(FILTER(ROW(H$2:H2592) - ROW(H$2) + 1, P$2:P2592 = P2593)))))"),42.0)</f>
        <v>42</v>
      </c>
      <c r="N2593" s="335" t="str">
        <f>IF(MAXIFS('単価履歴'!$O:$O,'単価履歴'!$E:$E,E2593,'単価履歴'!$F:$F,F2593)=O2593,"●","")</f>
        <v/>
      </c>
      <c r="O2593" s="346">
        <v>45940.268055555556</v>
      </c>
      <c r="P2593" s="334" t="str">
        <f t="shared" si="4"/>
        <v>東鐵岡山:直納新断Ａ</v>
      </c>
    </row>
    <row r="2594" ht="15.75" customHeight="1">
      <c r="A2594" s="335" t="s">
        <v>3743</v>
      </c>
      <c r="B2594" s="336">
        <v>45940.0</v>
      </c>
      <c r="C2594" s="335" t="s">
        <v>532</v>
      </c>
      <c r="D2594" s="335" t="s">
        <v>77</v>
      </c>
      <c r="E2594" s="337" t="str">
        <f t="shared" si="1"/>
        <v>東鐵岡山:直納</v>
      </c>
      <c r="F2594" s="338" t="s">
        <v>131</v>
      </c>
      <c r="G2594" s="339" t="str">
        <f t="shared" si="2"/>
        <v>東鐵岡山:直納新断Ｂ</v>
      </c>
      <c r="H2594" s="340">
        <f t="shared" si="3"/>
        <v>43</v>
      </c>
      <c r="I2594" s="341">
        <v>1.0</v>
      </c>
      <c r="J2594" s="332">
        <f>IFERROR(__xludf.DUMMYFUNCTION("IF(IF(COUNTIF(P$2:P2593, P2594)=0, """", INDEX(H$2:H2593,
MAX(FILTER(ROW(H$2:H2593) - ROW(H$2) + 1, P$2:P2593 = P2594))))=""単価"","""",
IF(COUNTIF(P$2:P2593, P2594)=0, """", INDEX(H$2:H2593,
MAX(FILTER(ROW(H$2:H2593) - ROW(H$2) + 1, P$2:P2593 = P2594)))))"),42.0)</f>
        <v>42</v>
      </c>
      <c r="N2594" s="335" t="str">
        <f>IF(MAXIFS('単価履歴'!$O:$O,'単価履歴'!$E:$E,E2594,'単価履歴'!$F:$F,F2594)=O2594,"●","")</f>
        <v/>
      </c>
      <c r="O2594" s="346">
        <v>45940.268055555556</v>
      </c>
      <c r="P2594" s="334" t="str">
        <f t="shared" si="4"/>
        <v>東鐵岡山:直納新断Ｂ</v>
      </c>
    </row>
    <row r="2595" ht="15.75" customHeight="1">
      <c r="A2595" s="335" t="s">
        <v>3744</v>
      </c>
      <c r="B2595" s="336">
        <v>45940.0</v>
      </c>
      <c r="C2595" s="335" t="s">
        <v>532</v>
      </c>
      <c r="D2595" s="335" t="s">
        <v>77</v>
      </c>
      <c r="E2595" s="337" t="str">
        <f t="shared" si="1"/>
        <v>東鐵岡山:直納</v>
      </c>
      <c r="F2595" s="338" t="s">
        <v>575</v>
      </c>
      <c r="G2595" s="339" t="str">
        <f t="shared" si="2"/>
        <v>東鐵岡山:直納鋼ダライＡ</v>
      </c>
      <c r="H2595" s="340">
        <f t="shared" si="3"/>
        <v>38</v>
      </c>
      <c r="I2595" s="341">
        <v>1.0</v>
      </c>
      <c r="J2595" s="332">
        <f>IFERROR(__xludf.DUMMYFUNCTION("IF(IF(COUNTIF(P$2:P2594, P2595)=0, """", INDEX(H$2:H2594,
MAX(FILTER(ROW(H$2:H2594) - ROW(H$2) + 1, P$2:P2594 = P2595))))=""単価"","""",
IF(COUNTIF(P$2:P2594, P2595)=0, """", INDEX(H$2:H2594,
MAX(FILTER(ROW(H$2:H2594) - ROW(H$2) + 1, P$2:P2594 = P2595)))))"),37.0)</f>
        <v>37</v>
      </c>
      <c r="N2595" s="335" t="str">
        <f>IF(MAXIFS('単価履歴'!$O:$O,'単価履歴'!$E:$E,E2595,'単価履歴'!$F:$F,F2595)=O2595,"●","")</f>
        <v/>
      </c>
      <c r="O2595" s="346">
        <v>45940.268055555556</v>
      </c>
      <c r="P2595" s="334" t="str">
        <f t="shared" si="4"/>
        <v>東鐵岡山:直納鋼ダライＡ</v>
      </c>
    </row>
    <row r="2596" ht="15.75" customHeight="1">
      <c r="A2596" s="335" t="s">
        <v>3745</v>
      </c>
      <c r="B2596" s="336">
        <v>45940.0</v>
      </c>
      <c r="C2596" s="335" t="s">
        <v>532</v>
      </c>
      <c r="D2596" s="335" t="s">
        <v>77</v>
      </c>
      <c r="E2596" s="337" t="str">
        <f t="shared" si="1"/>
        <v>東鐵岡山:直納</v>
      </c>
      <c r="F2596" s="338" t="s">
        <v>25</v>
      </c>
      <c r="G2596" s="339" t="str">
        <f t="shared" si="2"/>
        <v>東鐵岡山:直納銑ダライ</v>
      </c>
      <c r="H2596" s="340">
        <f t="shared" si="3"/>
        <v>34.5</v>
      </c>
      <c r="I2596" s="341">
        <v>1.0</v>
      </c>
      <c r="J2596" s="332">
        <f>IFERROR(__xludf.DUMMYFUNCTION("IF(IF(COUNTIF(P$2:P2595, P2596)=0, """", INDEX(H$2:H2595,
MAX(FILTER(ROW(H$2:H2595) - ROW(H$2) + 1, P$2:P2595 = P2596))))=""単価"","""",
IF(COUNTIF(P$2:P2595, P2596)=0, """", INDEX(H$2:H2595,
MAX(FILTER(ROW(H$2:H2595) - ROW(H$2) + 1, P$2:P2595 = P2596)))))"),33.5)</f>
        <v>33.5</v>
      </c>
      <c r="N2596" s="335" t="str">
        <f>IF(MAXIFS('単価履歴'!$O:$O,'単価履歴'!$E:$E,E2596,'単価履歴'!$F:$F,F2596)=O2596,"●","")</f>
        <v/>
      </c>
      <c r="O2596" s="346">
        <v>45940.268055555556</v>
      </c>
      <c r="P2596" s="334" t="str">
        <f t="shared" si="4"/>
        <v>東鐵岡山:直納銑ダライ</v>
      </c>
    </row>
    <row r="2597" ht="15.75" customHeight="1">
      <c r="A2597" s="335" t="s">
        <v>3746</v>
      </c>
      <c r="B2597" s="336">
        <v>45940.0</v>
      </c>
      <c r="C2597" s="335" t="s">
        <v>532</v>
      </c>
      <c r="D2597" s="335" t="s">
        <v>77</v>
      </c>
      <c r="E2597" s="337" t="str">
        <f t="shared" si="1"/>
        <v>東鐵岡山:直納</v>
      </c>
      <c r="F2597" s="338" t="s">
        <v>154</v>
      </c>
      <c r="G2597" s="339" t="str">
        <f t="shared" si="2"/>
        <v>東鐵岡山:直納ＣＰ Ａ</v>
      </c>
      <c r="H2597" s="340">
        <f t="shared" si="3"/>
        <v>40.5</v>
      </c>
      <c r="I2597" s="341">
        <v>1.0</v>
      </c>
      <c r="J2597" s="332">
        <f>IFERROR(__xludf.DUMMYFUNCTION("IF(IF(COUNTIF(P$2:P2596, P2597)=0, """", INDEX(H$2:H2596,
MAX(FILTER(ROW(H$2:H2596) - ROW(H$2) + 1, P$2:P2596 = P2597))))=""単価"","""",
IF(COUNTIF(P$2:P2596, P2597)=0, """", INDEX(H$2:H2596,
MAX(FILTER(ROW(H$2:H2596) - ROW(H$2) + 1, P$2:P2596 = P2597)))))"),39.5)</f>
        <v>39.5</v>
      </c>
      <c r="N2597" s="335" t="str">
        <f>IF(MAXIFS('単価履歴'!$O:$O,'単価履歴'!$E:$E,E2597,'単価履歴'!$F:$F,F2597)=O2597,"●","")</f>
        <v/>
      </c>
      <c r="O2597" s="346">
        <v>45940.268055555556</v>
      </c>
      <c r="P2597" s="334" t="str">
        <f t="shared" si="4"/>
        <v>東鐵岡山:直納ＣＰ Ａ</v>
      </c>
    </row>
    <row r="2598" ht="15.75" customHeight="1">
      <c r="A2598" s="335" t="s">
        <v>3747</v>
      </c>
      <c r="B2598" s="336">
        <v>45940.0</v>
      </c>
      <c r="C2598" s="335" t="s">
        <v>535</v>
      </c>
      <c r="D2598" s="335" t="s">
        <v>77</v>
      </c>
      <c r="E2598" s="337" t="str">
        <f t="shared" si="1"/>
        <v>東鐵名古屋:直納</v>
      </c>
      <c r="F2598" s="338" t="s">
        <v>1199</v>
      </c>
      <c r="G2598" s="339" t="str">
        <f t="shared" si="2"/>
        <v>東鐵名古屋:直納ＨＳ１(単体H1/電特A/HS))</v>
      </c>
      <c r="H2598" s="340">
        <f t="shared" si="3"/>
        <v>44</v>
      </c>
      <c r="I2598" s="341">
        <v>1.0</v>
      </c>
      <c r="J2598" s="332">
        <f>IFERROR(__xludf.DUMMYFUNCTION("IF(IF(COUNTIF(P$2:P2597, P2598)=0, """", INDEX(H$2:H2597,
MAX(FILTER(ROW(H$2:H2597) - ROW(H$2) + 1, P$2:P2597 = P2598))))=""単価"","""",
IF(COUNTIF(P$2:P2597, P2598)=0, """", INDEX(H$2:H2597,
MAX(FILTER(ROW(H$2:H2597) - ROW(H$2) + 1, P$2:P2597 = P2598)))))"),43.0)</f>
        <v>43</v>
      </c>
      <c r="N2598" s="335" t="str">
        <f>IF(MAXIFS('単価履歴'!$O:$O,'単価履歴'!$E:$E,E2598,'単価履歴'!$F:$F,F2598)=O2598,"●","")</f>
        <v/>
      </c>
      <c r="O2598" s="346">
        <v>45940.26832175926</v>
      </c>
      <c r="P2598" s="334" t="str">
        <f t="shared" si="4"/>
        <v>東鐵名古屋:直納ＨＳ１(単体H1/電特A/HS))</v>
      </c>
    </row>
    <row r="2599" ht="15.75" customHeight="1">
      <c r="A2599" s="335" t="s">
        <v>3748</v>
      </c>
      <c r="B2599" s="336">
        <v>45940.0</v>
      </c>
      <c r="C2599" s="335" t="s">
        <v>535</v>
      </c>
      <c r="D2599" s="335" t="s">
        <v>77</v>
      </c>
      <c r="E2599" s="337" t="str">
        <f t="shared" si="1"/>
        <v>東鐵名古屋:直納</v>
      </c>
      <c r="F2599" s="338" t="s">
        <v>111</v>
      </c>
      <c r="G2599" s="339" t="str">
        <f t="shared" si="2"/>
        <v>東鐵名古屋:直納Ｈ１(特A)</v>
      </c>
      <c r="H2599" s="340">
        <f t="shared" si="3"/>
        <v>42.2</v>
      </c>
      <c r="I2599" s="341">
        <v>1.0</v>
      </c>
      <c r="J2599" s="332">
        <f>IFERROR(__xludf.DUMMYFUNCTION("IF(IF(COUNTIF(P$2:P2598, P2599)=0, """", INDEX(H$2:H2598,
MAX(FILTER(ROW(H$2:H2598) - ROW(H$2) + 1, P$2:P2598 = P2599))))=""単価"","""",
IF(COUNTIF(P$2:P2598, P2599)=0, """", INDEX(H$2:H2598,
MAX(FILTER(ROW(H$2:H2598) - ROW(H$2) + 1, P$2:P2598 = P2599)))))"),41.2)</f>
        <v>41.2</v>
      </c>
      <c r="N2599" s="335" t="str">
        <f>IF(MAXIFS('単価履歴'!$O:$O,'単価履歴'!$E:$E,E2599,'単価履歴'!$F:$F,F2599)=O2599,"●","")</f>
        <v/>
      </c>
      <c r="O2599" s="346">
        <v>45940.26832175926</v>
      </c>
      <c r="P2599" s="334" t="str">
        <f t="shared" si="4"/>
        <v>東鐵名古屋:直納Ｈ１(特A)</v>
      </c>
    </row>
    <row r="2600" ht="15.75" customHeight="1">
      <c r="A2600" s="335" t="s">
        <v>3749</v>
      </c>
      <c r="B2600" s="336">
        <v>45940.0</v>
      </c>
      <c r="C2600" s="335" t="s">
        <v>535</v>
      </c>
      <c r="D2600" s="335" t="s">
        <v>77</v>
      </c>
      <c r="E2600" s="337" t="str">
        <f t="shared" si="1"/>
        <v>東鐵名古屋:直納</v>
      </c>
      <c r="F2600" s="338" t="s">
        <v>116</v>
      </c>
      <c r="G2600" s="339" t="str">
        <f t="shared" si="2"/>
        <v>東鐵名古屋:直納Ｈ２(特級)</v>
      </c>
      <c r="H2600" s="340">
        <f t="shared" si="3"/>
        <v>41.5</v>
      </c>
      <c r="I2600" s="341">
        <v>1.0</v>
      </c>
      <c r="J2600" s="332">
        <f>IFERROR(__xludf.DUMMYFUNCTION("IF(IF(COUNTIF(P$2:P2599, P2600)=0, """", INDEX(H$2:H2599,
MAX(FILTER(ROW(H$2:H2599) - ROW(H$2) + 1, P$2:P2599 = P2600))))=""単価"","""",
IF(COUNTIF(P$2:P2599, P2600)=0, """", INDEX(H$2:H2599,
MAX(FILTER(ROW(H$2:H2599) - ROW(H$2) + 1, P$2:P2599 = P2600)))))"),40.5)</f>
        <v>40.5</v>
      </c>
      <c r="N2600" s="335" t="str">
        <f>IF(MAXIFS('単価履歴'!$O:$O,'単価履歴'!$E:$E,E2600,'単価履歴'!$F:$F,F2600)=O2600,"●","")</f>
        <v/>
      </c>
      <c r="O2600" s="346">
        <v>45940.26832175926</v>
      </c>
      <c r="P2600" s="334" t="str">
        <f t="shared" si="4"/>
        <v>東鐵名古屋:直納Ｈ２(特級)</v>
      </c>
    </row>
    <row r="2601" ht="15.75" customHeight="1">
      <c r="A2601" s="335" t="s">
        <v>3750</v>
      </c>
      <c r="B2601" s="336">
        <v>45940.0</v>
      </c>
      <c r="C2601" s="335" t="s">
        <v>535</v>
      </c>
      <c r="D2601" s="335" t="s">
        <v>77</v>
      </c>
      <c r="E2601" s="337" t="str">
        <f t="shared" si="1"/>
        <v>東鐵名古屋:直納</v>
      </c>
      <c r="F2601" s="338" t="s">
        <v>119</v>
      </c>
      <c r="G2601" s="339" t="str">
        <f t="shared" si="2"/>
        <v>東鐵名古屋:直納Ｈ３(1級)</v>
      </c>
      <c r="H2601" s="340">
        <f t="shared" si="3"/>
        <v>41</v>
      </c>
      <c r="I2601" s="341">
        <v>1.0</v>
      </c>
      <c r="J2601" s="332">
        <f>IFERROR(__xludf.DUMMYFUNCTION("IF(IF(COUNTIF(P$2:P2600, P2601)=0, """", INDEX(H$2:H2600,
MAX(FILTER(ROW(H$2:H2600) - ROW(H$2) + 1, P$2:P2600 = P2601))))=""単価"","""",
IF(COUNTIF(P$2:P2600, P2601)=0, """", INDEX(H$2:H2600,
MAX(FILTER(ROW(H$2:H2600) - ROW(H$2) + 1, P$2:P2600 = P2601)))))"),40.0)</f>
        <v>40</v>
      </c>
      <c r="N2601" s="335" t="str">
        <f>IF(MAXIFS('単価履歴'!$O:$O,'単価履歴'!$E:$E,E2601,'単価履歴'!$F:$F,F2601)=O2601,"●","")</f>
        <v/>
      </c>
      <c r="O2601" s="346">
        <v>45940.26832175926</v>
      </c>
      <c r="P2601" s="334" t="str">
        <f t="shared" si="4"/>
        <v>東鐵名古屋:直納Ｈ３(1級)</v>
      </c>
    </row>
    <row r="2602" ht="15.75" customHeight="1">
      <c r="A2602" s="335" t="s">
        <v>3751</v>
      </c>
      <c r="B2602" s="336">
        <v>45940.0</v>
      </c>
      <c r="C2602" s="335" t="s">
        <v>535</v>
      </c>
      <c r="D2602" s="335" t="s">
        <v>77</v>
      </c>
      <c r="E2602" s="337" t="str">
        <f t="shared" si="1"/>
        <v>東鐵名古屋:直納</v>
      </c>
      <c r="F2602" s="338" t="s">
        <v>122</v>
      </c>
      <c r="G2602" s="339" t="str">
        <f t="shared" si="2"/>
        <v>東鐵名古屋:直納Ｌ１(2級)</v>
      </c>
      <c r="H2602" s="340">
        <f t="shared" si="3"/>
        <v>39.5</v>
      </c>
      <c r="I2602" s="341">
        <v>1.0</v>
      </c>
      <c r="J2602" s="332">
        <f>IFERROR(__xludf.DUMMYFUNCTION("IF(IF(COUNTIF(P$2:P2601, P2602)=0, """", INDEX(H$2:H2601,
MAX(FILTER(ROW(H$2:H2601) - ROW(H$2) + 1, P$2:P2601 = P2602))))=""単価"","""",
IF(COUNTIF(P$2:P2601, P2602)=0, """", INDEX(H$2:H2601,
MAX(FILTER(ROW(H$2:H2601) - ROW(H$2) + 1, P$2:P2601 = P2602)))))"),38.5)</f>
        <v>38.5</v>
      </c>
      <c r="N2602" s="335" t="str">
        <f>IF(MAXIFS('単価履歴'!$O:$O,'単価履歴'!$E:$E,E2602,'単価履歴'!$F:$F,F2602)=O2602,"●","")</f>
        <v/>
      </c>
      <c r="O2602" s="346">
        <v>45940.26832175926</v>
      </c>
      <c r="P2602" s="334" t="str">
        <f t="shared" si="4"/>
        <v>東鐵名古屋:直納Ｌ１(2級)</v>
      </c>
    </row>
    <row r="2603" ht="15.75" customHeight="1">
      <c r="A2603" s="335" t="s">
        <v>3752</v>
      </c>
      <c r="B2603" s="336">
        <v>45940.0</v>
      </c>
      <c r="C2603" s="335" t="s">
        <v>535</v>
      </c>
      <c r="D2603" s="335" t="s">
        <v>77</v>
      </c>
      <c r="E2603" s="337" t="str">
        <f t="shared" si="1"/>
        <v>東鐵名古屋:直納</v>
      </c>
      <c r="F2603" s="338" t="s">
        <v>573</v>
      </c>
      <c r="G2603" s="339" t="str">
        <f t="shared" si="2"/>
        <v>東鐵名古屋:直納Ｌ２(H4･級外･L1ﾊﾞﾗ)</v>
      </c>
      <c r="H2603" s="340">
        <f t="shared" si="3"/>
        <v>36.5</v>
      </c>
      <c r="I2603" s="341">
        <v>1.0</v>
      </c>
      <c r="J2603" s="332">
        <f>IFERROR(__xludf.DUMMYFUNCTION("IF(IF(COUNTIF(P$2:P2602, P2603)=0, """", INDEX(H$2:H2602,
MAX(FILTER(ROW(H$2:H2602) - ROW(H$2) + 1, P$2:P2602 = P2603))))=""単価"","""",
IF(COUNTIF(P$2:P2602, P2603)=0, """", INDEX(H$2:H2602,
MAX(FILTER(ROW(H$2:H2602) - ROW(H$2) + 1, P$2:P2602 = P2603)))))"),35.5)</f>
        <v>35.5</v>
      </c>
      <c r="N2603" s="335" t="str">
        <f>IF(MAXIFS('単価履歴'!$O:$O,'単価履歴'!$E:$E,E2603,'単価履歴'!$F:$F,F2603)=O2603,"●","")</f>
        <v/>
      </c>
      <c r="O2603" s="346">
        <v>45940.26832175926</v>
      </c>
      <c r="P2603" s="334" t="str">
        <f t="shared" si="4"/>
        <v>東鐵名古屋:直納Ｌ２(H4･級外･L1ﾊﾞﾗ)</v>
      </c>
    </row>
    <row r="2604" ht="15.75" customHeight="1">
      <c r="A2604" s="335" t="s">
        <v>3753</v>
      </c>
      <c r="B2604" s="336">
        <v>45940.0</v>
      </c>
      <c r="C2604" s="335" t="s">
        <v>535</v>
      </c>
      <c r="D2604" s="335" t="s">
        <v>77</v>
      </c>
      <c r="E2604" s="337" t="str">
        <f t="shared" si="1"/>
        <v>東鐵名古屋:直納</v>
      </c>
      <c r="F2604" s="338" t="s">
        <v>145</v>
      </c>
      <c r="G2604" s="339" t="str">
        <f t="shared" si="2"/>
        <v>東鐵名古屋:直納シュレＡ</v>
      </c>
      <c r="H2604" s="340">
        <f t="shared" si="3"/>
        <v>42.5</v>
      </c>
      <c r="I2604" s="341">
        <v>1.0</v>
      </c>
      <c r="J2604" s="332">
        <f>IFERROR(__xludf.DUMMYFUNCTION("IF(IF(COUNTIF(P$2:P2603, P2604)=0, """", INDEX(H$2:H2603,
MAX(FILTER(ROW(H$2:H2603) - ROW(H$2) + 1, P$2:P2603 = P2604))))=""単価"","""",
IF(COUNTIF(P$2:P2603, P2604)=0, """", INDEX(H$2:H2603,
MAX(FILTER(ROW(H$2:H2603) - ROW(H$2) + 1, P$2:P2603 = P2604)))))"),41.5)</f>
        <v>41.5</v>
      </c>
      <c r="N2604" s="335" t="str">
        <f>IF(MAXIFS('単価履歴'!$O:$O,'単価履歴'!$E:$E,E2604,'単価履歴'!$F:$F,F2604)=O2604,"●","")</f>
        <v/>
      </c>
      <c r="O2604" s="346">
        <v>45940.26832175926</v>
      </c>
      <c r="P2604" s="334" t="str">
        <f t="shared" si="4"/>
        <v>東鐵名古屋:直納シュレＡ</v>
      </c>
    </row>
    <row r="2605" ht="15.75" customHeight="1">
      <c r="A2605" s="335" t="s">
        <v>3754</v>
      </c>
      <c r="B2605" s="336">
        <v>45940.0</v>
      </c>
      <c r="C2605" s="335" t="s">
        <v>535</v>
      </c>
      <c r="D2605" s="335" t="s">
        <v>77</v>
      </c>
      <c r="E2605" s="337" t="str">
        <f t="shared" si="1"/>
        <v>東鐵名古屋:直納</v>
      </c>
      <c r="F2605" s="338" t="s">
        <v>151</v>
      </c>
      <c r="G2605" s="339" t="str">
        <f t="shared" si="2"/>
        <v>東鐵名古屋:直納シュレＣ</v>
      </c>
      <c r="H2605" s="340">
        <f t="shared" si="3"/>
        <v>42</v>
      </c>
      <c r="I2605" s="341">
        <v>1.0</v>
      </c>
      <c r="J2605" s="332">
        <f>IFERROR(__xludf.DUMMYFUNCTION("IF(IF(COUNTIF(P$2:P2604, P2605)=0, """", INDEX(H$2:H2604,
MAX(FILTER(ROW(H$2:H2604) - ROW(H$2) + 1, P$2:P2604 = P2605))))=""単価"","""",
IF(COUNTIF(P$2:P2604, P2605)=0, """", INDEX(H$2:H2604,
MAX(FILTER(ROW(H$2:H2604) - ROW(H$2) + 1, P$2:P2604 = P2605)))))"),41.0)</f>
        <v>41</v>
      </c>
      <c r="N2605" s="335" t="str">
        <f>IF(MAXIFS('単価履歴'!$O:$O,'単価履歴'!$E:$E,E2605,'単価履歴'!$F:$F,F2605)=O2605,"●","")</f>
        <v/>
      </c>
      <c r="O2605" s="346">
        <v>45940.26832175926</v>
      </c>
      <c r="P2605" s="334" t="str">
        <f t="shared" si="4"/>
        <v>東鐵名古屋:直納シュレＣ</v>
      </c>
    </row>
    <row r="2606" ht="15.75" customHeight="1">
      <c r="A2606" s="335" t="s">
        <v>3755</v>
      </c>
      <c r="B2606" s="336">
        <v>45940.0</v>
      </c>
      <c r="C2606" s="335" t="s">
        <v>536</v>
      </c>
      <c r="D2606" s="335" t="s">
        <v>77</v>
      </c>
      <c r="E2606" s="337" t="str">
        <f t="shared" si="1"/>
        <v>東鐵田原:直納</v>
      </c>
      <c r="F2606" s="338" t="s">
        <v>1199</v>
      </c>
      <c r="G2606" s="339" t="str">
        <f t="shared" si="2"/>
        <v>東鐵田原:直納ＨＳ１(単体H1/電特A/HS))</v>
      </c>
      <c r="H2606" s="340">
        <f t="shared" si="3"/>
        <v>44.5</v>
      </c>
      <c r="I2606" s="341">
        <v>1.0</v>
      </c>
      <c r="J2606" s="332">
        <f>IFERROR(__xludf.DUMMYFUNCTION("IF(IF(COUNTIF(P$2:P2605, P2606)=0, """", INDEX(H$2:H2605,
MAX(FILTER(ROW(H$2:H2605) - ROW(H$2) + 1, P$2:P2605 = P2606))))=""単価"","""",
IF(COUNTIF(P$2:P2605, P2606)=0, """", INDEX(H$2:H2605,
MAX(FILTER(ROW(H$2:H2605) - ROW(H$2) + 1, P$2:P2605 = P2606)))))"),43.5)</f>
        <v>43.5</v>
      </c>
      <c r="N2606" s="335" t="str">
        <f>IF(MAXIFS('単価履歴'!$O:$O,'単価履歴'!$E:$E,E2606,'単価履歴'!$F:$F,F2606)=O2606,"●","")</f>
        <v/>
      </c>
      <c r="O2606" s="346">
        <v>45940.26857638889</v>
      </c>
      <c r="P2606" s="334" t="str">
        <f t="shared" si="4"/>
        <v>東鐵田原:直納ＨＳ１(単体H1/電特A/HS))</v>
      </c>
    </row>
    <row r="2607" ht="15.75" customHeight="1">
      <c r="A2607" s="335" t="s">
        <v>3756</v>
      </c>
      <c r="B2607" s="336">
        <v>45940.0</v>
      </c>
      <c r="C2607" s="335" t="s">
        <v>536</v>
      </c>
      <c r="D2607" s="335" t="s">
        <v>77</v>
      </c>
      <c r="E2607" s="337" t="str">
        <f t="shared" si="1"/>
        <v>東鐵田原:直納</v>
      </c>
      <c r="F2607" s="338" t="s">
        <v>111</v>
      </c>
      <c r="G2607" s="339" t="str">
        <f t="shared" si="2"/>
        <v>東鐵田原:直納Ｈ１(特A)</v>
      </c>
      <c r="H2607" s="340">
        <f t="shared" si="3"/>
        <v>43.7</v>
      </c>
      <c r="I2607" s="341">
        <v>1.0</v>
      </c>
      <c r="J2607" s="332">
        <f>IFERROR(__xludf.DUMMYFUNCTION("IF(IF(COUNTIF(P$2:P2606, P2607)=0, """", INDEX(H$2:H2606,
MAX(FILTER(ROW(H$2:H2606) - ROW(H$2) + 1, P$2:P2606 = P2607))))=""単価"","""",
IF(COUNTIF(P$2:P2606, P2607)=0, """", INDEX(H$2:H2606,
MAX(FILTER(ROW(H$2:H2606) - ROW(H$2) + 1, P$2:P2606 = P2607)))))"),42.7)</f>
        <v>42.7</v>
      </c>
      <c r="N2607" s="335" t="str">
        <f>IF(MAXIFS('単価履歴'!$O:$O,'単価履歴'!$E:$E,E2607,'単価履歴'!$F:$F,F2607)=O2607,"●","")</f>
        <v/>
      </c>
      <c r="O2607" s="346">
        <v>45940.26857638889</v>
      </c>
      <c r="P2607" s="334" t="str">
        <f t="shared" si="4"/>
        <v>東鐵田原:直納Ｈ１(特A)</v>
      </c>
    </row>
    <row r="2608" ht="15.75" customHeight="1">
      <c r="A2608" s="335" t="s">
        <v>3757</v>
      </c>
      <c r="B2608" s="336">
        <v>45940.0</v>
      </c>
      <c r="C2608" s="335" t="s">
        <v>536</v>
      </c>
      <c r="D2608" s="335" t="s">
        <v>77</v>
      </c>
      <c r="E2608" s="337" t="str">
        <f t="shared" si="1"/>
        <v>東鐵田原:直納</v>
      </c>
      <c r="F2608" s="338" t="s">
        <v>116</v>
      </c>
      <c r="G2608" s="339" t="str">
        <f t="shared" si="2"/>
        <v>東鐵田原:直納Ｈ２(特級)</v>
      </c>
      <c r="H2608" s="340">
        <f t="shared" si="3"/>
        <v>42</v>
      </c>
      <c r="I2608" s="341">
        <v>1.0</v>
      </c>
      <c r="J2608" s="332">
        <f>IFERROR(__xludf.DUMMYFUNCTION("IF(IF(COUNTIF(P$2:P2607, P2608)=0, """", INDEX(H$2:H2607,
MAX(FILTER(ROW(H$2:H2607) - ROW(H$2) + 1, P$2:P2607 = P2608))))=""単価"","""",
IF(COUNTIF(P$2:P2607, P2608)=0, """", INDEX(H$2:H2607,
MAX(FILTER(ROW(H$2:H2607) - ROW(H$2) + 1, P$2:P2607 = P2608)))))"),41.0)</f>
        <v>41</v>
      </c>
      <c r="N2608" s="335" t="str">
        <f>IF(MAXIFS('単価履歴'!$O:$O,'単価履歴'!$E:$E,E2608,'単価履歴'!$F:$F,F2608)=O2608,"●","")</f>
        <v/>
      </c>
      <c r="O2608" s="346">
        <v>45940.26857638889</v>
      </c>
      <c r="P2608" s="334" t="str">
        <f t="shared" si="4"/>
        <v>東鐵田原:直納Ｈ２(特級)</v>
      </c>
    </row>
    <row r="2609" ht="15.75" customHeight="1">
      <c r="A2609" s="335" t="s">
        <v>3758</v>
      </c>
      <c r="B2609" s="336">
        <v>45940.0</v>
      </c>
      <c r="C2609" s="335" t="s">
        <v>536</v>
      </c>
      <c r="D2609" s="335" t="s">
        <v>77</v>
      </c>
      <c r="E2609" s="337" t="str">
        <f t="shared" si="1"/>
        <v>東鐵田原:直納</v>
      </c>
      <c r="F2609" s="338" t="s">
        <v>119</v>
      </c>
      <c r="G2609" s="339" t="str">
        <f t="shared" si="2"/>
        <v>東鐵田原:直納Ｈ３(1級)</v>
      </c>
      <c r="H2609" s="340">
        <f t="shared" si="3"/>
        <v>41.5</v>
      </c>
      <c r="I2609" s="341">
        <v>1.0</v>
      </c>
      <c r="J2609" s="332">
        <f>IFERROR(__xludf.DUMMYFUNCTION("IF(IF(COUNTIF(P$2:P2608, P2609)=0, """", INDEX(H$2:H2608,
MAX(FILTER(ROW(H$2:H2608) - ROW(H$2) + 1, P$2:P2608 = P2609))))=""単価"","""",
IF(COUNTIF(P$2:P2608, P2609)=0, """", INDEX(H$2:H2608,
MAX(FILTER(ROW(H$2:H2608) - ROW(H$2) + 1, P$2:P2608 = P2609)))))"),40.5)</f>
        <v>40.5</v>
      </c>
      <c r="N2609" s="335" t="str">
        <f>IF(MAXIFS('単価履歴'!$O:$O,'単価履歴'!$E:$E,E2609,'単価履歴'!$F:$F,F2609)=O2609,"●","")</f>
        <v/>
      </c>
      <c r="O2609" s="346">
        <v>45940.26857638889</v>
      </c>
      <c r="P2609" s="334" t="str">
        <f t="shared" si="4"/>
        <v>東鐵田原:直納Ｈ３(1級)</v>
      </c>
    </row>
    <row r="2610" ht="15.75" customHeight="1">
      <c r="A2610" s="335" t="s">
        <v>3759</v>
      </c>
      <c r="B2610" s="336">
        <v>45940.0</v>
      </c>
      <c r="C2610" s="335" t="s">
        <v>536</v>
      </c>
      <c r="D2610" s="335" t="s">
        <v>77</v>
      </c>
      <c r="E2610" s="337" t="str">
        <f t="shared" si="1"/>
        <v>東鐵田原:直納</v>
      </c>
      <c r="F2610" s="338" t="s">
        <v>122</v>
      </c>
      <c r="G2610" s="339" t="str">
        <f t="shared" si="2"/>
        <v>東鐵田原:直納Ｌ１(2級)</v>
      </c>
      <c r="H2610" s="340">
        <f t="shared" si="3"/>
        <v>40</v>
      </c>
      <c r="I2610" s="341">
        <v>1.0</v>
      </c>
      <c r="J2610" s="332">
        <f>IFERROR(__xludf.DUMMYFUNCTION("IF(IF(COUNTIF(P$2:P2609, P2610)=0, """", INDEX(H$2:H2609,
MAX(FILTER(ROW(H$2:H2609) - ROW(H$2) + 1, P$2:P2609 = P2610))))=""単価"","""",
IF(COUNTIF(P$2:P2609, P2610)=0, """", INDEX(H$2:H2609,
MAX(FILTER(ROW(H$2:H2609) - ROW(H$2) + 1, P$2:P2609 = P2610)))))"),39.0)</f>
        <v>39</v>
      </c>
      <c r="N2610" s="335" t="str">
        <f>IF(MAXIFS('単価履歴'!$O:$O,'単価履歴'!$E:$E,E2610,'単価履歴'!$F:$F,F2610)=O2610,"●","")</f>
        <v/>
      </c>
      <c r="O2610" s="346">
        <v>45940.26857638889</v>
      </c>
      <c r="P2610" s="334" t="str">
        <f t="shared" si="4"/>
        <v>東鐵田原:直納Ｌ１(2級)</v>
      </c>
    </row>
    <row r="2611" ht="15.75" customHeight="1">
      <c r="A2611" s="335" t="s">
        <v>3760</v>
      </c>
      <c r="B2611" s="336">
        <v>45940.0</v>
      </c>
      <c r="C2611" s="335" t="s">
        <v>536</v>
      </c>
      <c r="D2611" s="335" t="s">
        <v>77</v>
      </c>
      <c r="E2611" s="337" t="str">
        <f t="shared" si="1"/>
        <v>東鐵田原:直納</v>
      </c>
      <c r="F2611" s="338" t="s">
        <v>573</v>
      </c>
      <c r="G2611" s="339" t="str">
        <f t="shared" si="2"/>
        <v>東鐵田原:直納Ｌ２(H4･級外･L1ﾊﾞﾗ)</v>
      </c>
      <c r="H2611" s="340">
        <f t="shared" si="3"/>
        <v>37</v>
      </c>
      <c r="I2611" s="341">
        <v>1.0</v>
      </c>
      <c r="J2611" s="332">
        <f>IFERROR(__xludf.DUMMYFUNCTION("IF(IF(COUNTIF(P$2:P2610, P2611)=0, """", INDEX(H$2:H2610,
MAX(FILTER(ROW(H$2:H2610) - ROW(H$2) + 1, P$2:P2610 = P2611))))=""単価"","""",
IF(COUNTIF(P$2:P2610, P2611)=0, """", INDEX(H$2:H2610,
MAX(FILTER(ROW(H$2:H2610) - ROW(H$2) + 1, P$2:P2610 = P2611)))))"),36.0)</f>
        <v>36</v>
      </c>
      <c r="N2611" s="335" t="str">
        <f>IF(MAXIFS('単価履歴'!$O:$O,'単価履歴'!$E:$E,E2611,'単価履歴'!$F:$F,F2611)=O2611,"●","")</f>
        <v/>
      </c>
      <c r="O2611" s="346">
        <v>45940.26857638889</v>
      </c>
      <c r="P2611" s="334" t="str">
        <f t="shared" si="4"/>
        <v>東鐵田原:直納Ｌ２(H4･級外･L1ﾊﾞﾗ)</v>
      </c>
    </row>
    <row r="2612" ht="15.75" customHeight="1">
      <c r="A2612" s="335" t="s">
        <v>3761</v>
      </c>
      <c r="B2612" s="336">
        <v>45940.0</v>
      </c>
      <c r="C2612" s="335" t="s">
        <v>536</v>
      </c>
      <c r="D2612" s="335" t="s">
        <v>77</v>
      </c>
      <c r="E2612" s="337" t="str">
        <f t="shared" si="1"/>
        <v>東鐵田原:直納</v>
      </c>
      <c r="F2612" s="338" t="s">
        <v>130</v>
      </c>
      <c r="G2612" s="339" t="str">
        <f t="shared" si="2"/>
        <v>東鐵田原:直納新断Ａ</v>
      </c>
      <c r="H2612" s="340">
        <f t="shared" si="3"/>
        <v>44</v>
      </c>
      <c r="I2612" s="341">
        <v>1.0</v>
      </c>
      <c r="J2612" s="332">
        <f>IFERROR(__xludf.DUMMYFUNCTION("IF(IF(COUNTIF(P$2:P2611, P2612)=0, """", INDEX(H$2:H2611,
MAX(FILTER(ROW(H$2:H2611) - ROW(H$2) + 1, P$2:P2611 = P2612))))=""単価"","""",
IF(COUNTIF(P$2:P2611, P2612)=0, """", INDEX(H$2:H2611,
MAX(FILTER(ROW(H$2:H2611) - ROW(H$2) + 1, P$2:P2611 = P2612)))))"),43.0)</f>
        <v>43</v>
      </c>
      <c r="N2612" s="335" t="str">
        <f>IF(MAXIFS('単価履歴'!$O:$O,'単価履歴'!$E:$E,E2612,'単価履歴'!$F:$F,F2612)=O2612,"●","")</f>
        <v/>
      </c>
      <c r="O2612" s="346">
        <v>45940.26857638889</v>
      </c>
      <c r="P2612" s="334" t="str">
        <f t="shared" si="4"/>
        <v>東鐵田原:直納新断Ａ</v>
      </c>
    </row>
    <row r="2613" ht="15.75" customHeight="1">
      <c r="A2613" s="335" t="s">
        <v>3762</v>
      </c>
      <c r="B2613" s="336">
        <v>45940.0</v>
      </c>
      <c r="C2613" s="335" t="s">
        <v>536</v>
      </c>
      <c r="D2613" s="335" t="s">
        <v>77</v>
      </c>
      <c r="E2613" s="337" t="str">
        <f t="shared" si="1"/>
        <v>東鐵田原:直納</v>
      </c>
      <c r="F2613" s="338" t="s">
        <v>131</v>
      </c>
      <c r="G2613" s="339" t="str">
        <f t="shared" si="2"/>
        <v>東鐵田原:直納新断Ｂ</v>
      </c>
      <c r="H2613" s="340">
        <f t="shared" si="3"/>
        <v>44</v>
      </c>
      <c r="I2613" s="341">
        <v>1.0</v>
      </c>
      <c r="J2613" s="332">
        <f>IFERROR(__xludf.DUMMYFUNCTION("IF(IF(COUNTIF(P$2:P2612, P2613)=0, """", INDEX(H$2:H2612,
MAX(FILTER(ROW(H$2:H2612) - ROW(H$2) + 1, P$2:P2612 = P2613))))=""単価"","""",
IF(COUNTIF(P$2:P2612, P2613)=0, """", INDEX(H$2:H2612,
MAX(FILTER(ROW(H$2:H2612) - ROW(H$2) + 1, P$2:P2612 = P2613)))))"),43.0)</f>
        <v>43</v>
      </c>
      <c r="N2613" s="335" t="str">
        <f>IF(MAXIFS('単価履歴'!$O:$O,'単価履歴'!$E:$E,E2613,'単価履歴'!$F:$F,F2613)=O2613,"●","")</f>
        <v/>
      </c>
      <c r="O2613" s="346">
        <v>45940.26857638889</v>
      </c>
      <c r="P2613" s="334" t="str">
        <f t="shared" si="4"/>
        <v>東鐵田原:直納新断Ｂ</v>
      </c>
    </row>
    <row r="2614" ht="15.75" customHeight="1">
      <c r="A2614" s="335" t="s">
        <v>3763</v>
      </c>
      <c r="B2614" s="336">
        <v>45940.0</v>
      </c>
      <c r="C2614" s="335" t="s">
        <v>536</v>
      </c>
      <c r="D2614" s="335" t="s">
        <v>77</v>
      </c>
      <c r="E2614" s="337" t="str">
        <f t="shared" si="1"/>
        <v>東鐵田原:直納</v>
      </c>
      <c r="F2614" s="338" t="s">
        <v>575</v>
      </c>
      <c r="G2614" s="339" t="str">
        <f t="shared" si="2"/>
        <v>東鐵田原:直納鋼ダライＡ</v>
      </c>
      <c r="H2614" s="340">
        <f t="shared" si="3"/>
        <v>40.5</v>
      </c>
      <c r="I2614" s="341">
        <v>1.0</v>
      </c>
      <c r="J2614" s="332">
        <f>IFERROR(__xludf.DUMMYFUNCTION("IF(IF(COUNTIF(P$2:P2613, P2614)=0, """", INDEX(H$2:H2613,
MAX(FILTER(ROW(H$2:H2613) - ROW(H$2) + 1, P$2:P2613 = P2614))))=""単価"","""",
IF(COUNTIF(P$2:P2613, P2614)=0, """", INDEX(H$2:H2613,
MAX(FILTER(ROW(H$2:H2613) - ROW(H$2) + 1, P$2:P2613 = P2614)))))"),39.5)</f>
        <v>39.5</v>
      </c>
      <c r="N2614" s="335" t="str">
        <f>IF(MAXIFS('単価履歴'!$O:$O,'単価履歴'!$E:$E,E2614,'単価履歴'!$F:$F,F2614)=O2614,"●","")</f>
        <v/>
      </c>
      <c r="O2614" s="346">
        <v>45940.26857638889</v>
      </c>
      <c r="P2614" s="334" t="str">
        <f t="shared" si="4"/>
        <v>東鐵田原:直納鋼ダライＡ</v>
      </c>
    </row>
    <row r="2615" ht="15.75" customHeight="1">
      <c r="A2615" s="335" t="s">
        <v>3764</v>
      </c>
      <c r="B2615" s="336">
        <v>45940.0</v>
      </c>
      <c r="C2615" s="335" t="s">
        <v>536</v>
      </c>
      <c r="D2615" s="335" t="s">
        <v>77</v>
      </c>
      <c r="E2615" s="337" t="str">
        <f t="shared" si="1"/>
        <v>東鐵田原:直納</v>
      </c>
      <c r="F2615" s="338" t="s">
        <v>145</v>
      </c>
      <c r="G2615" s="339" t="str">
        <f t="shared" si="2"/>
        <v>東鐵田原:直納シュレＡ</v>
      </c>
      <c r="H2615" s="340">
        <f t="shared" si="3"/>
        <v>43</v>
      </c>
      <c r="I2615" s="341">
        <v>1.0</v>
      </c>
      <c r="J2615" s="332">
        <f>IFERROR(__xludf.DUMMYFUNCTION("IF(IF(COUNTIF(P$2:P2614, P2615)=0, """", INDEX(H$2:H2614,
MAX(FILTER(ROW(H$2:H2614) - ROW(H$2) + 1, P$2:P2614 = P2615))))=""単価"","""",
IF(COUNTIF(P$2:P2614, P2615)=0, """", INDEX(H$2:H2614,
MAX(FILTER(ROW(H$2:H2614) - ROW(H$2) + 1, P$2:P2614 = P2615)))))"),42.0)</f>
        <v>42</v>
      </c>
      <c r="N2615" s="335" t="str">
        <f>IF(MAXIFS('単価履歴'!$O:$O,'単価履歴'!$E:$E,E2615,'単価履歴'!$F:$F,F2615)=O2615,"●","")</f>
        <v/>
      </c>
      <c r="O2615" s="346">
        <v>45940.26857638889</v>
      </c>
      <c r="P2615" s="334" t="str">
        <f t="shared" si="4"/>
        <v>東鐵田原:直納シュレＡ</v>
      </c>
    </row>
    <row r="2616" ht="15.75" customHeight="1">
      <c r="A2616" s="335" t="s">
        <v>3765</v>
      </c>
      <c r="B2616" s="336">
        <v>45940.0</v>
      </c>
      <c r="C2616" s="335" t="s">
        <v>536</v>
      </c>
      <c r="D2616" s="335" t="s">
        <v>77</v>
      </c>
      <c r="E2616" s="337" t="str">
        <f t="shared" si="1"/>
        <v>東鐵田原:直納</v>
      </c>
      <c r="F2616" s="338" t="s">
        <v>151</v>
      </c>
      <c r="G2616" s="339" t="str">
        <f t="shared" si="2"/>
        <v>東鐵田原:直納シュレＣ</v>
      </c>
      <c r="H2616" s="340">
        <f t="shared" si="3"/>
        <v>42.5</v>
      </c>
      <c r="I2616" s="341">
        <v>1.0</v>
      </c>
      <c r="J2616" s="332">
        <f>IFERROR(__xludf.DUMMYFUNCTION("IF(IF(COUNTIF(P$2:P2615, P2616)=0, """", INDEX(H$2:H2615,
MAX(FILTER(ROW(H$2:H2615) - ROW(H$2) + 1, P$2:P2615 = P2616))))=""単価"","""",
IF(COUNTIF(P$2:P2615, P2616)=0, """", INDEX(H$2:H2615,
MAX(FILTER(ROW(H$2:H2615) - ROW(H$2) + 1, P$2:P2615 = P2616)))))"),41.5)</f>
        <v>41.5</v>
      </c>
      <c r="N2616" s="335" t="str">
        <f>IF(MAXIFS('単価履歴'!$O:$O,'単価履歴'!$E:$E,E2616,'単価履歴'!$F:$F,F2616)=O2616,"●","")</f>
        <v/>
      </c>
      <c r="O2616" s="346">
        <v>45940.26857638889</v>
      </c>
      <c r="P2616" s="334" t="str">
        <f t="shared" si="4"/>
        <v>東鐵田原:直納シュレＣ</v>
      </c>
    </row>
    <row r="2617" ht="15.75" customHeight="1">
      <c r="A2617" s="335" t="s">
        <v>3766</v>
      </c>
      <c r="B2617" s="336">
        <v>45940.0</v>
      </c>
      <c r="C2617" s="335" t="s">
        <v>536</v>
      </c>
      <c r="D2617" s="335" t="s">
        <v>77</v>
      </c>
      <c r="E2617" s="337" t="str">
        <f t="shared" si="1"/>
        <v>東鐵田原:直納</v>
      </c>
      <c r="F2617" s="338" t="s">
        <v>154</v>
      </c>
      <c r="G2617" s="339" t="str">
        <f t="shared" si="2"/>
        <v>東鐵田原:直納ＣＰ Ａ</v>
      </c>
      <c r="H2617" s="340">
        <f t="shared" si="3"/>
        <v>40.5</v>
      </c>
      <c r="I2617" s="341">
        <v>1.0</v>
      </c>
      <c r="J2617" s="332">
        <f>IFERROR(__xludf.DUMMYFUNCTION("IF(IF(COUNTIF(P$2:P2616, P2617)=0, """", INDEX(H$2:H2616,
MAX(FILTER(ROW(H$2:H2616) - ROW(H$2) + 1, P$2:P2616 = P2617))))=""単価"","""",
IF(COUNTIF(P$2:P2616, P2617)=0, """", INDEX(H$2:H2616,
MAX(FILTER(ROW(H$2:H2616) - ROW(H$2) + 1, P$2:P2616 = P2617)))))"),39.5)</f>
        <v>39.5</v>
      </c>
      <c r="N2617" s="335" t="str">
        <f>IF(MAXIFS('単価履歴'!$O:$O,'単価履歴'!$E:$E,E2617,'単価履歴'!$F:$F,F2617)=O2617,"●","")</f>
        <v/>
      </c>
      <c r="O2617" s="346">
        <v>45940.26857638889</v>
      </c>
      <c r="P2617" s="334" t="str">
        <f t="shared" si="4"/>
        <v>東鐵田原:直納ＣＰ Ａ</v>
      </c>
    </row>
    <row r="2618" ht="15.75" customHeight="1">
      <c r="A2618" s="335" t="s">
        <v>3767</v>
      </c>
      <c r="B2618" s="336">
        <v>45940.0</v>
      </c>
      <c r="C2618" s="335" t="s">
        <v>7</v>
      </c>
      <c r="D2618" s="335" t="s">
        <v>46</v>
      </c>
      <c r="E2618" s="337" t="str">
        <f t="shared" si="1"/>
        <v>合同大阪:阪和</v>
      </c>
      <c r="F2618" s="338" t="s">
        <v>1199</v>
      </c>
      <c r="G2618" s="339" t="str">
        <f t="shared" si="2"/>
        <v>合同大阪:阪和ＨＳ１(単体H1/電特A/HS))</v>
      </c>
      <c r="H2618" s="340">
        <f t="shared" si="3"/>
        <v>1</v>
      </c>
      <c r="I2618" s="341">
        <v>1.0</v>
      </c>
      <c r="J2618" s="332" t="str">
        <f>IFERROR(__xludf.DUMMYFUNCTION("IF(IF(COUNTIF(P$2:P2617, P2618)=0, """", INDEX(H$2:H2617,
MAX(FILTER(ROW(H$2:H2617) - ROW(H$2) + 1, P$2:P2617 = P2618))))=""単価"","""",
IF(COUNTIF(P$2:P2617, P2618)=0, """", INDEX(H$2:H2617,
MAX(FILTER(ROW(H$2:H2617) - ROW(H$2) + 1, P$2:P2617 = P2618)))))"),"")</f>
        <v/>
      </c>
      <c r="N2618" s="335" t="str">
        <f>IF(MAXIFS('単価履歴'!$O:$O,'単価履歴'!$E:$E,E2618,'単価履歴'!$F:$F,F2618)=O2618,"●","")</f>
        <v/>
      </c>
      <c r="O2618" s="346">
        <v>45940.26892361111</v>
      </c>
      <c r="P2618" s="334" t="str">
        <f t="shared" si="4"/>
        <v>合同大阪:阪和ＨＳ１(単体H1/電特A/HS))</v>
      </c>
    </row>
    <row r="2619" ht="15.75" customHeight="1">
      <c r="A2619" s="335" t="s">
        <v>3768</v>
      </c>
      <c r="B2619" s="336">
        <v>45940.0</v>
      </c>
      <c r="C2619" s="335" t="s">
        <v>7</v>
      </c>
      <c r="D2619" s="335" t="s">
        <v>46</v>
      </c>
      <c r="E2619" s="337" t="str">
        <f t="shared" si="1"/>
        <v>合同大阪:阪和</v>
      </c>
      <c r="F2619" s="338" t="s">
        <v>101</v>
      </c>
      <c r="G2619" s="339" t="str">
        <f t="shared" si="2"/>
        <v>合同大阪:阪和ＨＳ２</v>
      </c>
      <c r="H2619" s="340">
        <f t="shared" si="3"/>
        <v>1</v>
      </c>
      <c r="I2619" s="341">
        <v>1.0</v>
      </c>
      <c r="J2619" s="332" t="str">
        <f>IFERROR(__xludf.DUMMYFUNCTION("IF(IF(COUNTIF(P$2:P2618, P2619)=0, """", INDEX(H$2:H2618,
MAX(FILTER(ROW(H$2:H2618) - ROW(H$2) + 1, P$2:P2618 = P2619))))=""単価"","""",
IF(COUNTIF(P$2:P2618, P2619)=0, """", INDEX(H$2:H2618,
MAX(FILTER(ROW(H$2:H2618) - ROW(H$2) + 1, P$2:P2618 = P2619)))))"),"")</f>
        <v/>
      </c>
      <c r="N2619" s="335" t="str">
        <f>IF(MAXIFS('単価履歴'!$O:$O,'単価履歴'!$E:$E,E2619,'単価履歴'!$F:$F,F2619)=O2619,"●","")</f>
        <v/>
      </c>
      <c r="O2619" s="346">
        <v>45940.26892361111</v>
      </c>
      <c r="P2619" s="334" t="str">
        <f t="shared" si="4"/>
        <v>合同大阪:阪和ＨＳ２</v>
      </c>
    </row>
    <row r="2620" ht="15.75" customHeight="1">
      <c r="A2620" s="335" t="s">
        <v>3769</v>
      </c>
      <c r="B2620" s="336">
        <v>45940.0</v>
      </c>
      <c r="C2620" s="335" t="s">
        <v>7</v>
      </c>
      <c r="D2620" s="335" t="s">
        <v>46</v>
      </c>
      <c r="E2620" s="337" t="str">
        <f t="shared" si="1"/>
        <v>合同大阪:阪和</v>
      </c>
      <c r="F2620" s="338" t="s">
        <v>111</v>
      </c>
      <c r="G2620" s="339" t="str">
        <f t="shared" si="2"/>
        <v>合同大阪:阪和Ｈ１(特A)</v>
      </c>
      <c r="H2620" s="340">
        <f t="shared" si="3"/>
        <v>1</v>
      </c>
      <c r="I2620" s="341">
        <v>1.0</v>
      </c>
      <c r="J2620" s="332" t="str">
        <f>IFERROR(__xludf.DUMMYFUNCTION("IF(IF(COUNTIF(P$2:P2619, P2620)=0, """", INDEX(H$2:H2619,
MAX(FILTER(ROW(H$2:H2619) - ROW(H$2) + 1, P$2:P2619 = P2620))))=""単価"","""",
IF(COUNTIF(P$2:P2619, P2620)=0, """", INDEX(H$2:H2619,
MAX(FILTER(ROW(H$2:H2619) - ROW(H$2) + 1, P$2:P2619 = P2620)))))"),"")</f>
        <v/>
      </c>
      <c r="N2620" s="335" t="str">
        <f>IF(MAXIFS('単価履歴'!$O:$O,'単価履歴'!$E:$E,E2620,'単価履歴'!$F:$F,F2620)=O2620,"●","")</f>
        <v/>
      </c>
      <c r="O2620" s="346">
        <v>45940.26892361111</v>
      </c>
      <c r="P2620" s="334" t="str">
        <f t="shared" si="4"/>
        <v>合同大阪:阪和Ｈ１(特A)</v>
      </c>
    </row>
    <row r="2621" ht="15.75" customHeight="1">
      <c r="A2621" s="335" t="s">
        <v>3770</v>
      </c>
      <c r="B2621" s="336">
        <v>45940.0</v>
      </c>
      <c r="C2621" s="335" t="s">
        <v>7</v>
      </c>
      <c r="D2621" s="335" t="s">
        <v>46</v>
      </c>
      <c r="E2621" s="337" t="str">
        <f t="shared" si="1"/>
        <v>合同大阪:阪和</v>
      </c>
      <c r="F2621" s="338" t="s">
        <v>116</v>
      </c>
      <c r="G2621" s="339" t="str">
        <f t="shared" si="2"/>
        <v>合同大阪:阪和Ｈ２(特級)</v>
      </c>
      <c r="H2621" s="340">
        <f t="shared" si="3"/>
        <v>1</v>
      </c>
      <c r="I2621" s="341">
        <v>1.0</v>
      </c>
      <c r="J2621" s="332" t="str">
        <f>IFERROR(__xludf.DUMMYFUNCTION("IF(IF(COUNTIF(P$2:P2620, P2621)=0, """", INDEX(H$2:H2620,
MAX(FILTER(ROW(H$2:H2620) - ROW(H$2) + 1, P$2:P2620 = P2621))))=""単価"","""",
IF(COUNTIF(P$2:P2620, P2621)=0, """", INDEX(H$2:H2620,
MAX(FILTER(ROW(H$2:H2620) - ROW(H$2) + 1, P$2:P2620 = P2621)))))"),"")</f>
        <v/>
      </c>
      <c r="N2621" s="335" t="str">
        <f>IF(MAXIFS('単価履歴'!$O:$O,'単価履歴'!$E:$E,E2621,'単価履歴'!$F:$F,F2621)=O2621,"●","")</f>
        <v/>
      </c>
      <c r="O2621" s="346">
        <v>45940.26892361111</v>
      </c>
      <c r="P2621" s="334" t="str">
        <f t="shared" si="4"/>
        <v>合同大阪:阪和Ｈ２(特級)</v>
      </c>
    </row>
    <row r="2622" ht="15.75" customHeight="1">
      <c r="A2622" s="335" t="s">
        <v>3771</v>
      </c>
      <c r="B2622" s="336">
        <v>45940.0</v>
      </c>
      <c r="C2622" s="335" t="s">
        <v>7</v>
      </c>
      <c r="D2622" s="335" t="s">
        <v>46</v>
      </c>
      <c r="E2622" s="337" t="str">
        <f t="shared" si="1"/>
        <v>合同大阪:阪和</v>
      </c>
      <c r="F2622" s="338" t="s">
        <v>119</v>
      </c>
      <c r="G2622" s="339" t="str">
        <f t="shared" si="2"/>
        <v>合同大阪:阪和Ｈ３(1級)</v>
      </c>
      <c r="H2622" s="340">
        <f t="shared" si="3"/>
        <v>1</v>
      </c>
      <c r="I2622" s="341">
        <v>1.0</v>
      </c>
      <c r="J2622" s="332" t="str">
        <f>IFERROR(__xludf.DUMMYFUNCTION("IF(IF(COUNTIF(P$2:P2621, P2622)=0, """", INDEX(H$2:H2621,
MAX(FILTER(ROW(H$2:H2621) - ROW(H$2) + 1, P$2:P2621 = P2622))))=""単価"","""",
IF(COUNTIF(P$2:P2621, P2622)=0, """", INDEX(H$2:H2621,
MAX(FILTER(ROW(H$2:H2621) - ROW(H$2) + 1, P$2:P2621 = P2622)))))"),"")</f>
        <v/>
      </c>
      <c r="N2622" s="335" t="str">
        <f>IF(MAXIFS('単価履歴'!$O:$O,'単価履歴'!$E:$E,E2622,'単価履歴'!$F:$F,F2622)=O2622,"●","")</f>
        <v/>
      </c>
      <c r="O2622" s="346">
        <v>45940.26892361111</v>
      </c>
      <c r="P2622" s="334" t="str">
        <f t="shared" si="4"/>
        <v>合同大阪:阪和Ｈ３(1級)</v>
      </c>
    </row>
    <row r="2623" ht="15.75" customHeight="1">
      <c r="A2623" s="335" t="s">
        <v>3772</v>
      </c>
      <c r="B2623" s="336">
        <v>45940.0</v>
      </c>
      <c r="C2623" s="335" t="s">
        <v>7</v>
      </c>
      <c r="D2623" s="335" t="s">
        <v>46</v>
      </c>
      <c r="E2623" s="337" t="str">
        <f t="shared" si="1"/>
        <v>合同大阪:阪和</v>
      </c>
      <c r="F2623" s="338" t="s">
        <v>122</v>
      </c>
      <c r="G2623" s="339" t="str">
        <f t="shared" si="2"/>
        <v>合同大阪:阪和Ｌ１(2級)</v>
      </c>
      <c r="H2623" s="340">
        <f t="shared" si="3"/>
        <v>1</v>
      </c>
      <c r="I2623" s="341">
        <v>1.0</v>
      </c>
      <c r="J2623" s="332" t="str">
        <f>IFERROR(__xludf.DUMMYFUNCTION("IF(IF(COUNTIF(P$2:P2622, P2623)=0, """", INDEX(H$2:H2622,
MAX(FILTER(ROW(H$2:H2622) - ROW(H$2) + 1, P$2:P2622 = P2623))))=""単価"","""",
IF(COUNTIF(P$2:P2622, P2623)=0, """", INDEX(H$2:H2622,
MAX(FILTER(ROW(H$2:H2622) - ROW(H$2) + 1, P$2:P2622 = P2623)))))"),"")</f>
        <v/>
      </c>
      <c r="N2623" s="335" t="str">
        <f>IF(MAXIFS('単価履歴'!$O:$O,'単価履歴'!$E:$E,E2623,'単価履歴'!$F:$F,F2623)=O2623,"●","")</f>
        <v/>
      </c>
      <c r="O2623" s="346">
        <v>45940.26892361111</v>
      </c>
      <c r="P2623" s="334" t="str">
        <f t="shared" si="4"/>
        <v>合同大阪:阪和Ｌ１(2級)</v>
      </c>
    </row>
    <row r="2624" ht="15.75" customHeight="1">
      <c r="A2624" s="335" t="s">
        <v>3773</v>
      </c>
      <c r="B2624" s="336">
        <v>45940.0</v>
      </c>
      <c r="C2624" s="335" t="s">
        <v>7</v>
      </c>
      <c r="D2624" s="335" t="s">
        <v>46</v>
      </c>
      <c r="E2624" s="337" t="str">
        <f t="shared" si="1"/>
        <v>合同大阪:阪和</v>
      </c>
      <c r="F2624" s="338" t="s">
        <v>130</v>
      </c>
      <c r="G2624" s="339" t="str">
        <f t="shared" si="2"/>
        <v>合同大阪:阪和新断Ａ</v>
      </c>
      <c r="H2624" s="340">
        <f t="shared" si="3"/>
        <v>1</v>
      </c>
      <c r="I2624" s="341">
        <v>1.0</v>
      </c>
      <c r="J2624" s="332" t="str">
        <f>IFERROR(__xludf.DUMMYFUNCTION("IF(IF(COUNTIF(P$2:P2623, P2624)=0, """", INDEX(H$2:H2623,
MAX(FILTER(ROW(H$2:H2623) - ROW(H$2) + 1, P$2:P2623 = P2624))))=""単価"","""",
IF(COUNTIF(P$2:P2623, P2624)=0, """", INDEX(H$2:H2623,
MAX(FILTER(ROW(H$2:H2623) - ROW(H$2) + 1, P$2:P2623 = P2624)))))"),"")</f>
        <v/>
      </c>
      <c r="N2624" s="335" t="str">
        <f>IF(MAXIFS('単価履歴'!$O:$O,'単価履歴'!$E:$E,E2624,'単価履歴'!$F:$F,F2624)=O2624,"●","")</f>
        <v/>
      </c>
      <c r="O2624" s="346">
        <v>45940.26892361111</v>
      </c>
      <c r="P2624" s="334" t="str">
        <f t="shared" si="4"/>
        <v>合同大阪:阪和新断Ａ</v>
      </c>
    </row>
    <row r="2625" ht="15.75" customHeight="1">
      <c r="A2625" s="335" t="s">
        <v>3774</v>
      </c>
      <c r="B2625" s="336">
        <v>45940.0</v>
      </c>
      <c r="C2625" s="335" t="s">
        <v>7</v>
      </c>
      <c r="D2625" s="335" t="s">
        <v>46</v>
      </c>
      <c r="E2625" s="337" t="str">
        <f t="shared" si="1"/>
        <v>合同大阪:阪和</v>
      </c>
      <c r="F2625" s="338" t="s">
        <v>131</v>
      </c>
      <c r="G2625" s="339" t="str">
        <f t="shared" si="2"/>
        <v>合同大阪:阪和新断Ｂ</v>
      </c>
      <c r="H2625" s="340">
        <f t="shared" si="3"/>
        <v>1</v>
      </c>
      <c r="I2625" s="341">
        <v>1.0</v>
      </c>
      <c r="J2625" s="332" t="str">
        <f>IFERROR(__xludf.DUMMYFUNCTION("IF(IF(COUNTIF(P$2:P2624, P2625)=0, """", INDEX(H$2:H2624,
MAX(FILTER(ROW(H$2:H2624) - ROW(H$2) + 1, P$2:P2624 = P2625))))=""単価"","""",
IF(COUNTIF(P$2:P2624, P2625)=0, """", INDEX(H$2:H2624,
MAX(FILTER(ROW(H$2:H2624) - ROW(H$2) + 1, P$2:P2624 = P2625)))))"),"")</f>
        <v/>
      </c>
      <c r="N2625" s="335" t="str">
        <f>IF(MAXIFS('単価履歴'!$O:$O,'単価履歴'!$E:$E,E2625,'単価履歴'!$F:$F,F2625)=O2625,"●","")</f>
        <v/>
      </c>
      <c r="O2625" s="346">
        <v>45940.26892361111</v>
      </c>
      <c r="P2625" s="334" t="str">
        <f t="shared" si="4"/>
        <v>合同大阪:阪和新断Ｂ</v>
      </c>
    </row>
    <row r="2626" ht="15.75" customHeight="1">
      <c r="A2626" s="335" t="s">
        <v>3775</v>
      </c>
      <c r="B2626" s="336">
        <v>45940.0</v>
      </c>
      <c r="C2626" s="335" t="s">
        <v>7</v>
      </c>
      <c r="D2626" s="335" t="s">
        <v>46</v>
      </c>
      <c r="E2626" s="337" t="str">
        <f t="shared" si="1"/>
        <v>合同大阪:阪和</v>
      </c>
      <c r="F2626" s="338" t="s">
        <v>575</v>
      </c>
      <c r="G2626" s="339" t="str">
        <f t="shared" si="2"/>
        <v>合同大阪:阪和鋼ダライＡ</v>
      </c>
      <c r="H2626" s="340">
        <f t="shared" si="3"/>
        <v>1</v>
      </c>
      <c r="I2626" s="341">
        <v>1.0</v>
      </c>
      <c r="J2626" s="332" t="str">
        <f>IFERROR(__xludf.DUMMYFUNCTION("IF(IF(COUNTIF(P$2:P2625, P2626)=0, """", INDEX(H$2:H2625,
MAX(FILTER(ROW(H$2:H2625) - ROW(H$2) + 1, P$2:P2625 = P2626))))=""単価"","""",
IF(COUNTIF(P$2:P2625, P2626)=0, """", INDEX(H$2:H2625,
MAX(FILTER(ROW(H$2:H2625) - ROW(H$2) + 1, P$2:P2625 = P2626)))))"),"")</f>
        <v/>
      </c>
      <c r="N2626" s="335" t="str">
        <f>IF(MAXIFS('単価履歴'!$O:$O,'単価履歴'!$E:$E,E2626,'単価履歴'!$F:$F,F2626)=O2626,"●","")</f>
        <v/>
      </c>
      <c r="O2626" s="346">
        <v>45940.26892361111</v>
      </c>
      <c r="P2626" s="334" t="str">
        <f t="shared" si="4"/>
        <v>合同大阪:阪和鋼ダライＡ</v>
      </c>
    </row>
    <row r="2627" ht="15.75" customHeight="1">
      <c r="A2627" s="335" t="s">
        <v>3776</v>
      </c>
      <c r="B2627" s="336">
        <v>45940.0</v>
      </c>
      <c r="C2627" s="335" t="s">
        <v>7</v>
      </c>
      <c r="D2627" s="335" t="s">
        <v>46</v>
      </c>
      <c r="E2627" s="337" t="str">
        <f t="shared" si="1"/>
        <v>合同大阪:阪和</v>
      </c>
      <c r="F2627" s="338" t="s">
        <v>576</v>
      </c>
      <c r="G2627" s="339" t="str">
        <f t="shared" si="2"/>
        <v>合同大阪:阪和鋼ダライＢ</v>
      </c>
      <c r="H2627" s="340">
        <f t="shared" si="3"/>
        <v>1</v>
      </c>
      <c r="I2627" s="341">
        <v>1.0</v>
      </c>
      <c r="J2627" s="332" t="str">
        <f>IFERROR(__xludf.DUMMYFUNCTION("IF(IF(COUNTIF(P$2:P2626, P2627)=0, """", INDEX(H$2:H2626,
MAX(FILTER(ROW(H$2:H2626) - ROW(H$2) + 1, P$2:P2626 = P2627))))=""単価"","""",
IF(COUNTIF(P$2:P2626, P2627)=0, """", INDEX(H$2:H2626,
MAX(FILTER(ROW(H$2:H2626) - ROW(H$2) + 1, P$2:P2626 = P2627)))))"),"")</f>
        <v/>
      </c>
      <c r="N2627" s="335" t="str">
        <f>IF(MAXIFS('単価履歴'!$O:$O,'単価履歴'!$E:$E,E2627,'単価履歴'!$F:$F,F2627)=O2627,"●","")</f>
        <v/>
      </c>
      <c r="O2627" s="346">
        <v>45940.26892361111</v>
      </c>
      <c r="P2627" s="334" t="str">
        <f t="shared" si="4"/>
        <v>合同大阪:阪和鋼ダライＢ</v>
      </c>
    </row>
    <row r="2628" ht="15.75" customHeight="1">
      <c r="A2628" s="335" t="s">
        <v>3777</v>
      </c>
      <c r="B2628" s="336">
        <v>45940.0</v>
      </c>
      <c r="C2628" s="335" t="s">
        <v>12</v>
      </c>
      <c r="D2628" s="335" t="s">
        <v>50</v>
      </c>
      <c r="E2628" s="337" t="str">
        <f t="shared" si="1"/>
        <v>山陽特殊:産振</v>
      </c>
      <c r="F2628" s="338" t="s">
        <v>1199</v>
      </c>
      <c r="G2628" s="339" t="str">
        <f t="shared" si="2"/>
        <v>山陽特殊:産振ＨＳ１(単体H1/電特A/HS))</v>
      </c>
      <c r="H2628" s="340">
        <f t="shared" si="3"/>
        <v>44.6</v>
      </c>
      <c r="I2628" s="341">
        <v>1.0</v>
      </c>
      <c r="J2628" s="332">
        <f>IFERROR(__xludf.DUMMYFUNCTION("IF(IF(COUNTIF(P$2:P2627, P2628)=0, """", INDEX(H$2:H2627,
MAX(FILTER(ROW(H$2:H2627) - ROW(H$2) + 1, P$2:P2627 = P2628))))=""単価"","""",
IF(COUNTIF(P$2:P2627, P2628)=0, """", INDEX(H$2:H2627,
MAX(FILTER(ROW(H$2:H2627) - ROW(H$2) + 1, P$2:P2627 = P2628)))))"),43.6)</f>
        <v>43.6</v>
      </c>
      <c r="N2628" s="335" t="str">
        <f>IF(MAXIFS('単価履歴'!$O:$O,'単価履歴'!$E:$E,E2628,'単価履歴'!$F:$F,F2628)=O2628,"●","")</f>
        <v/>
      </c>
      <c r="O2628" s="346">
        <v>45940.26930555556</v>
      </c>
      <c r="P2628" s="334" t="str">
        <f t="shared" si="4"/>
        <v>山陽特殊:産振ＨＳ１(単体H1/電特A/HS))</v>
      </c>
    </row>
    <row r="2629" ht="15.75" customHeight="1">
      <c r="A2629" s="335" t="s">
        <v>3778</v>
      </c>
      <c r="B2629" s="336">
        <v>45940.0</v>
      </c>
      <c r="C2629" s="335" t="s">
        <v>12</v>
      </c>
      <c r="D2629" s="335" t="s">
        <v>50</v>
      </c>
      <c r="E2629" s="337" t="str">
        <f t="shared" si="1"/>
        <v>山陽特殊:産振</v>
      </c>
      <c r="F2629" s="338" t="s">
        <v>101</v>
      </c>
      <c r="G2629" s="339" t="str">
        <f t="shared" si="2"/>
        <v>山陽特殊:産振ＨＳ２</v>
      </c>
      <c r="H2629" s="340">
        <f t="shared" si="3"/>
        <v>44.4</v>
      </c>
      <c r="I2629" s="341">
        <v>1.0</v>
      </c>
      <c r="J2629" s="332">
        <f>IFERROR(__xludf.DUMMYFUNCTION("IF(IF(COUNTIF(P$2:P2628, P2629)=0, """", INDEX(H$2:H2628,
MAX(FILTER(ROW(H$2:H2628) - ROW(H$2) + 1, P$2:P2628 = P2629))))=""単価"","""",
IF(COUNTIF(P$2:P2628, P2629)=0, """", INDEX(H$2:H2628,
MAX(FILTER(ROW(H$2:H2628) - ROW(H$2) + 1, P$2:P2628 = P2629)))))"),43.4)</f>
        <v>43.4</v>
      </c>
      <c r="N2629" s="335" t="str">
        <f>IF(MAXIFS('単価履歴'!$O:$O,'単価履歴'!$E:$E,E2629,'単価履歴'!$F:$F,F2629)=O2629,"●","")</f>
        <v/>
      </c>
      <c r="O2629" s="346">
        <v>45940.26930555556</v>
      </c>
      <c r="P2629" s="334" t="str">
        <f t="shared" si="4"/>
        <v>山陽特殊:産振ＨＳ２</v>
      </c>
    </row>
    <row r="2630" ht="15.75" customHeight="1">
      <c r="A2630" s="335" t="s">
        <v>3779</v>
      </c>
      <c r="B2630" s="336">
        <v>45940.0</v>
      </c>
      <c r="C2630" s="335" t="s">
        <v>12</v>
      </c>
      <c r="D2630" s="335" t="s">
        <v>50</v>
      </c>
      <c r="E2630" s="337" t="str">
        <f t="shared" si="1"/>
        <v>山陽特殊:産振</v>
      </c>
      <c r="F2630" s="338" t="s">
        <v>105</v>
      </c>
      <c r="G2630" s="339" t="str">
        <f t="shared" si="2"/>
        <v>山陽特殊:産振ＨＳ３</v>
      </c>
      <c r="H2630" s="340">
        <f t="shared" si="3"/>
        <v>42.4</v>
      </c>
      <c r="I2630" s="341">
        <v>1.0</v>
      </c>
      <c r="J2630" s="332">
        <f>IFERROR(__xludf.DUMMYFUNCTION("IF(IF(COUNTIF(P$2:P2629, P2630)=0, """", INDEX(H$2:H2629,
MAX(FILTER(ROW(H$2:H2629) - ROW(H$2) + 1, P$2:P2629 = P2630))))=""単価"","""",
IF(COUNTIF(P$2:P2629, P2630)=0, """", INDEX(H$2:H2629,
MAX(FILTER(ROW(H$2:H2629) - ROW(H$2) + 1, P$2:P2629 = P2630)))))"),41.4)</f>
        <v>41.4</v>
      </c>
      <c r="N2630" s="335" t="str">
        <f>IF(MAXIFS('単価履歴'!$O:$O,'単価履歴'!$E:$E,E2630,'単価履歴'!$F:$F,F2630)=O2630,"●","")</f>
        <v/>
      </c>
      <c r="O2630" s="346">
        <v>45940.26930555556</v>
      </c>
      <c r="P2630" s="334" t="str">
        <f t="shared" si="4"/>
        <v>山陽特殊:産振ＨＳ３</v>
      </c>
    </row>
    <row r="2631" ht="15.75" customHeight="1">
      <c r="A2631" s="335" t="s">
        <v>3780</v>
      </c>
      <c r="B2631" s="336">
        <v>45940.0</v>
      </c>
      <c r="C2631" s="335" t="s">
        <v>22</v>
      </c>
      <c r="D2631" s="335" t="s">
        <v>47</v>
      </c>
      <c r="E2631" s="337" t="str">
        <f t="shared" si="1"/>
        <v>栗本鐵工:豊通</v>
      </c>
      <c r="F2631" s="338" t="s">
        <v>1199</v>
      </c>
      <c r="G2631" s="339" t="str">
        <f t="shared" si="2"/>
        <v>栗本鐵工:豊通ＨＳ１(単体H1/電特A/HS))</v>
      </c>
      <c r="H2631" s="340">
        <f t="shared" si="3"/>
        <v>47.3</v>
      </c>
      <c r="I2631" s="341">
        <v>1.0</v>
      </c>
      <c r="J2631" s="332">
        <f>IFERROR(__xludf.DUMMYFUNCTION("IF(IF(COUNTIF(P$2:P2630, P2631)=0, """", INDEX(H$2:H2630,
MAX(FILTER(ROW(H$2:H2630) - ROW(H$2) + 1, P$2:P2630 = P2631))))=""単価"","""",
IF(COUNTIF(P$2:P2630, P2631)=0, """", INDEX(H$2:H2630,
MAX(FILTER(ROW(H$2:H2630) - ROW(H$2) + 1, P$2:P2630 = P2631)))))"),46.3)</f>
        <v>46.3</v>
      </c>
      <c r="N2631" s="335" t="str">
        <f>IF(MAXIFS('単価履歴'!$O:$O,'単価履歴'!$E:$E,E2631,'単価履歴'!$F:$F,F2631)=O2631,"●","")</f>
        <v/>
      </c>
      <c r="O2631" s="346">
        <v>45940.26966435185</v>
      </c>
      <c r="P2631" s="334" t="str">
        <f t="shared" si="4"/>
        <v>栗本鐵工:豊通ＨＳ１(単体H1/電特A/HS))</v>
      </c>
    </row>
    <row r="2632" ht="15.75" customHeight="1">
      <c r="A2632" s="335" t="s">
        <v>3781</v>
      </c>
      <c r="B2632" s="336">
        <v>45940.0</v>
      </c>
      <c r="C2632" s="335" t="s">
        <v>22</v>
      </c>
      <c r="D2632" s="335" t="s">
        <v>47</v>
      </c>
      <c r="E2632" s="337" t="str">
        <f t="shared" si="1"/>
        <v>栗本鐵工:豊通</v>
      </c>
      <c r="F2632" s="338" t="s">
        <v>101</v>
      </c>
      <c r="G2632" s="339" t="str">
        <f t="shared" si="2"/>
        <v>栗本鐵工:豊通ＨＳ２</v>
      </c>
      <c r="H2632" s="340">
        <f t="shared" si="3"/>
        <v>47</v>
      </c>
      <c r="I2632" s="341">
        <v>1.0</v>
      </c>
      <c r="J2632" s="332">
        <f>IFERROR(__xludf.DUMMYFUNCTION("IF(IF(COUNTIF(P$2:P2631, P2632)=0, """", INDEX(H$2:H2631,
MAX(FILTER(ROW(H$2:H2631) - ROW(H$2) + 1, P$2:P2631 = P2632))))=""単価"","""",
IF(COUNTIF(P$2:P2631, P2632)=0, """", INDEX(H$2:H2631,
MAX(FILTER(ROW(H$2:H2631) - ROW(H$2) + 1, P$2:P2631 = P2632)))))"),46.0)</f>
        <v>46</v>
      </c>
      <c r="N2632" s="335" t="str">
        <f>IF(MAXIFS('単価履歴'!$O:$O,'単価履歴'!$E:$E,E2632,'単価履歴'!$F:$F,F2632)=O2632,"●","")</f>
        <v/>
      </c>
      <c r="O2632" s="346">
        <v>45940.26966435185</v>
      </c>
      <c r="P2632" s="334" t="str">
        <f t="shared" si="4"/>
        <v>栗本鐵工:豊通ＨＳ２</v>
      </c>
    </row>
    <row r="2633" ht="15.75" customHeight="1">
      <c r="A2633" s="335" t="s">
        <v>3782</v>
      </c>
      <c r="B2633" s="336">
        <v>45940.0</v>
      </c>
      <c r="C2633" s="335" t="s">
        <v>22</v>
      </c>
      <c r="D2633" s="335" t="s">
        <v>47</v>
      </c>
      <c r="E2633" s="337" t="str">
        <f t="shared" si="1"/>
        <v>栗本鐵工:豊通</v>
      </c>
      <c r="F2633" s="338" t="s">
        <v>105</v>
      </c>
      <c r="G2633" s="339" t="str">
        <f t="shared" si="2"/>
        <v>栗本鐵工:豊通ＨＳ３</v>
      </c>
      <c r="H2633" s="340">
        <f t="shared" si="3"/>
        <v>46.1</v>
      </c>
      <c r="I2633" s="341">
        <v>1.0</v>
      </c>
      <c r="J2633" s="332">
        <f>IFERROR(__xludf.DUMMYFUNCTION("IF(IF(COUNTIF(P$2:P2632, P2633)=0, """", INDEX(H$2:H2632,
MAX(FILTER(ROW(H$2:H2632) - ROW(H$2) + 1, P$2:P2632 = P2633))))=""単価"","""",
IF(COUNTIF(P$2:P2632, P2633)=0, """", INDEX(H$2:H2632,
MAX(FILTER(ROW(H$2:H2632) - ROW(H$2) + 1, P$2:P2632 = P2633)))))"),45.1)</f>
        <v>45.1</v>
      </c>
      <c r="N2633" s="335" t="str">
        <f>IF(MAXIFS('単価履歴'!$O:$O,'単価履歴'!$E:$E,E2633,'単価履歴'!$F:$F,F2633)=O2633,"●","")</f>
        <v/>
      </c>
      <c r="O2633" s="346">
        <v>45940.26966435185</v>
      </c>
      <c r="P2633" s="334" t="str">
        <f t="shared" si="4"/>
        <v>栗本鐵工:豊通ＨＳ３</v>
      </c>
    </row>
    <row r="2634" ht="15.75" customHeight="1">
      <c r="A2634" s="335" t="s">
        <v>3783</v>
      </c>
      <c r="B2634" s="336">
        <v>45940.0</v>
      </c>
      <c r="C2634" s="335" t="s">
        <v>22</v>
      </c>
      <c r="D2634" s="335" t="s">
        <v>47</v>
      </c>
      <c r="E2634" s="337" t="str">
        <f t="shared" si="1"/>
        <v>栗本鐵工:豊通</v>
      </c>
      <c r="F2634" s="338" t="s">
        <v>577</v>
      </c>
      <c r="G2634" s="339" t="str">
        <f t="shared" si="2"/>
        <v>栗本鐵工:豊通鋳物・ﾀﾞｸﾀｲﾙ</v>
      </c>
      <c r="H2634" s="340">
        <f t="shared" si="3"/>
        <v>45.9</v>
      </c>
      <c r="I2634" s="341">
        <v>1.0</v>
      </c>
      <c r="J2634" s="332">
        <f>IFERROR(__xludf.DUMMYFUNCTION("IF(IF(COUNTIF(P$2:P2633, P2634)=0, """", INDEX(H$2:H2633,
MAX(FILTER(ROW(H$2:H2633) - ROW(H$2) + 1, P$2:P2633 = P2634))))=""単価"","""",
IF(COUNTIF(P$2:P2633, P2634)=0, """", INDEX(H$2:H2633,
MAX(FILTER(ROW(H$2:H2633) - ROW(H$2) + 1, P$2:P2633 = P2634)))))"),44.9)</f>
        <v>44.9</v>
      </c>
      <c r="N2634" s="335" t="str">
        <f>IF(MAXIFS('単価履歴'!$O:$O,'単価履歴'!$E:$E,E2634,'単価履歴'!$F:$F,F2634)=O2634,"●","")</f>
        <v/>
      </c>
      <c r="O2634" s="346">
        <v>45940.26966435185</v>
      </c>
      <c r="P2634" s="334" t="str">
        <f t="shared" si="4"/>
        <v>栗本鐵工:豊通鋳物・ﾀﾞｸﾀｲﾙ</v>
      </c>
    </row>
    <row r="2635" ht="15.75" customHeight="1">
      <c r="A2635" s="335" t="s">
        <v>3784</v>
      </c>
      <c r="B2635" s="336">
        <v>45940.0</v>
      </c>
      <c r="C2635" s="335" t="s">
        <v>6</v>
      </c>
      <c r="D2635" s="335" t="s">
        <v>48</v>
      </c>
      <c r="E2635" s="337" t="str">
        <f t="shared" si="1"/>
        <v>中山鋼業:ナベ</v>
      </c>
      <c r="F2635" s="338" t="s">
        <v>111</v>
      </c>
      <c r="G2635" s="339" t="str">
        <f t="shared" si="2"/>
        <v>中山鋼業:ナベＨ１(特A)</v>
      </c>
      <c r="H2635" s="340">
        <f t="shared" si="3"/>
        <v>43.5</v>
      </c>
      <c r="I2635" s="341">
        <v>1.0</v>
      </c>
      <c r="J2635" s="332">
        <f>IFERROR(__xludf.DUMMYFUNCTION("IF(IF(COUNTIF(P$2:P2634, P2635)=0, """", INDEX(H$2:H2634,
MAX(FILTER(ROW(H$2:H2634) - ROW(H$2) + 1, P$2:P2634 = P2635))))=""単価"","""",
IF(COUNTIF(P$2:P2634, P2635)=0, """", INDEX(H$2:H2634,
MAX(FILTER(ROW(H$2:H2634) - ROW(H$2) + 1, P$2:P2634 = P2635)))))"),42.5)</f>
        <v>42.5</v>
      </c>
      <c r="N2635" s="335" t="str">
        <f>IF(MAXIFS('単価履歴'!$O:$O,'単価履歴'!$E:$E,E2635,'単価履歴'!$F:$F,F2635)=O2635,"●","")</f>
        <v/>
      </c>
      <c r="O2635" s="346">
        <v>45940.26988425926</v>
      </c>
      <c r="P2635" s="334" t="str">
        <f t="shared" si="4"/>
        <v>中山鋼業:ナベＨ１(特A)</v>
      </c>
    </row>
    <row r="2636" ht="15.75" customHeight="1">
      <c r="A2636" s="335" t="s">
        <v>3785</v>
      </c>
      <c r="B2636" s="336">
        <v>45940.0</v>
      </c>
      <c r="C2636" s="335" t="s">
        <v>6</v>
      </c>
      <c r="D2636" s="335" t="s">
        <v>48</v>
      </c>
      <c r="E2636" s="337" t="str">
        <f t="shared" si="1"/>
        <v>中山鋼業:ナベ</v>
      </c>
      <c r="F2636" s="338" t="s">
        <v>1237</v>
      </c>
      <c r="G2636" s="339" t="str">
        <f t="shared" si="2"/>
        <v>中山鋼業:ナベＪＨ１(H2T山口)鍛造ﾊﾞﾘ</v>
      </c>
      <c r="H2636" s="340">
        <f t="shared" si="3"/>
        <v>42.7</v>
      </c>
      <c r="I2636" s="341">
        <v>1.0</v>
      </c>
      <c r="J2636" s="332">
        <f>IFERROR(__xludf.DUMMYFUNCTION("IF(IF(COUNTIF(P$2:P2635, P2636)=0, """", INDEX(H$2:H2635,
MAX(FILTER(ROW(H$2:H2635) - ROW(H$2) + 1, P$2:P2635 = P2636))))=""単価"","""",
IF(COUNTIF(P$2:P2635, P2636)=0, """", INDEX(H$2:H2635,
MAX(FILTER(ROW(H$2:H2635) - ROW(H$2) + 1, P$2:P2635 = P2636)))))"),41.7)</f>
        <v>41.7</v>
      </c>
      <c r="N2636" s="335" t="str">
        <f>IF(MAXIFS('単価履歴'!$O:$O,'単価履歴'!$E:$E,E2636,'単価履歴'!$F:$F,F2636)=O2636,"●","")</f>
        <v/>
      </c>
      <c r="O2636" s="346">
        <v>45940.26988425926</v>
      </c>
      <c r="P2636" s="334" t="str">
        <f t="shared" si="4"/>
        <v>中山鋼業:ナベＪＨ１(H2T山口)鍛造ﾊﾞﾘ</v>
      </c>
    </row>
    <row r="2637" ht="15.75" customHeight="1">
      <c r="A2637" s="335" t="s">
        <v>3786</v>
      </c>
      <c r="B2637" s="336">
        <v>45940.0</v>
      </c>
      <c r="C2637" s="335" t="s">
        <v>6</v>
      </c>
      <c r="D2637" s="335" t="s">
        <v>48</v>
      </c>
      <c r="E2637" s="337" t="str">
        <f t="shared" si="1"/>
        <v>中山鋼業:ナベ</v>
      </c>
      <c r="F2637" s="338" t="s">
        <v>116</v>
      </c>
      <c r="G2637" s="339" t="str">
        <f t="shared" si="2"/>
        <v>中山鋼業:ナベＨ２(特級)</v>
      </c>
      <c r="H2637" s="340">
        <f t="shared" si="3"/>
        <v>41.5</v>
      </c>
      <c r="I2637" s="341">
        <v>1.0</v>
      </c>
      <c r="J2637" s="332">
        <f>IFERROR(__xludf.DUMMYFUNCTION("IF(IF(COUNTIF(P$2:P2636, P2637)=0, """", INDEX(H$2:H2636,
MAX(FILTER(ROW(H$2:H2636) - ROW(H$2) + 1, P$2:P2636 = P2637))))=""単価"","""",
IF(COUNTIF(P$2:P2636, P2637)=0, """", INDEX(H$2:H2636,
MAX(FILTER(ROW(H$2:H2636) - ROW(H$2) + 1, P$2:P2636 = P2637)))))"),40.5)</f>
        <v>40.5</v>
      </c>
      <c r="N2637" s="335" t="str">
        <f>IF(MAXIFS('単価履歴'!$O:$O,'単価履歴'!$E:$E,E2637,'単価履歴'!$F:$F,F2637)=O2637,"●","")</f>
        <v/>
      </c>
      <c r="O2637" s="346">
        <v>45940.26988425926</v>
      </c>
      <c r="P2637" s="334" t="str">
        <f t="shared" si="4"/>
        <v>中山鋼業:ナベＨ２(特級)</v>
      </c>
    </row>
    <row r="2638" ht="15.75" customHeight="1">
      <c r="A2638" s="335" t="s">
        <v>3787</v>
      </c>
      <c r="B2638" s="336">
        <v>45940.0</v>
      </c>
      <c r="C2638" s="335" t="s">
        <v>6</v>
      </c>
      <c r="D2638" s="335" t="s">
        <v>48</v>
      </c>
      <c r="E2638" s="337" t="str">
        <f t="shared" si="1"/>
        <v>中山鋼業:ナベ</v>
      </c>
      <c r="F2638" s="338" t="s">
        <v>119</v>
      </c>
      <c r="G2638" s="339" t="str">
        <f t="shared" si="2"/>
        <v>中山鋼業:ナベＨ３(1級)</v>
      </c>
      <c r="H2638" s="340">
        <f t="shared" si="3"/>
        <v>40</v>
      </c>
      <c r="I2638" s="341">
        <v>1.0</v>
      </c>
      <c r="J2638" s="332">
        <f>IFERROR(__xludf.DUMMYFUNCTION("IF(IF(COUNTIF(P$2:P2637, P2638)=0, """", INDEX(H$2:H2637,
MAX(FILTER(ROW(H$2:H2637) - ROW(H$2) + 1, P$2:P2637 = P2638))))=""単価"","""",
IF(COUNTIF(P$2:P2637, P2638)=0, """", INDEX(H$2:H2637,
MAX(FILTER(ROW(H$2:H2637) - ROW(H$2) + 1, P$2:P2637 = P2638)))))"),39.0)</f>
        <v>39</v>
      </c>
      <c r="N2638" s="335" t="str">
        <f>IF(MAXIFS('単価履歴'!$O:$O,'単価履歴'!$E:$E,E2638,'単価履歴'!$F:$F,F2638)=O2638,"●","")</f>
        <v/>
      </c>
      <c r="O2638" s="346">
        <v>45940.26988425926</v>
      </c>
      <c r="P2638" s="334" t="str">
        <f t="shared" si="4"/>
        <v>中山鋼業:ナベＨ３(1級)</v>
      </c>
    </row>
    <row r="2639" ht="15.75" customHeight="1">
      <c r="A2639" s="335" t="s">
        <v>3788</v>
      </c>
      <c r="B2639" s="336">
        <v>45940.0</v>
      </c>
      <c r="C2639" s="335" t="s">
        <v>6</v>
      </c>
      <c r="D2639" s="335" t="s">
        <v>48</v>
      </c>
      <c r="E2639" s="337" t="str">
        <f t="shared" si="1"/>
        <v>中山鋼業:ナベ</v>
      </c>
      <c r="F2639" s="338" t="s">
        <v>122</v>
      </c>
      <c r="G2639" s="339" t="str">
        <f t="shared" si="2"/>
        <v>中山鋼業:ナベＬ１(2級)</v>
      </c>
      <c r="H2639" s="340">
        <f t="shared" si="3"/>
        <v>39.5</v>
      </c>
      <c r="I2639" s="341">
        <v>1.0</v>
      </c>
      <c r="J2639" s="332">
        <f>IFERROR(__xludf.DUMMYFUNCTION("IF(IF(COUNTIF(P$2:P2638, P2639)=0, """", INDEX(H$2:H2638,
MAX(FILTER(ROW(H$2:H2638) - ROW(H$2) + 1, P$2:P2638 = P2639))))=""単価"","""",
IF(COUNTIF(P$2:P2638, P2639)=0, """", INDEX(H$2:H2638,
MAX(FILTER(ROW(H$2:H2638) - ROW(H$2) + 1, P$2:P2638 = P2639)))))"),38.5)</f>
        <v>38.5</v>
      </c>
      <c r="N2639" s="335" t="str">
        <f>IF(MAXIFS('単価履歴'!$O:$O,'単価履歴'!$E:$E,E2639,'単価履歴'!$F:$F,F2639)=O2639,"●","")</f>
        <v/>
      </c>
      <c r="O2639" s="346">
        <v>45940.26988425926</v>
      </c>
      <c r="P2639" s="334" t="str">
        <f t="shared" si="4"/>
        <v>中山鋼業:ナベＬ１(2級)</v>
      </c>
    </row>
    <row r="2640" ht="15.75" customHeight="1">
      <c r="A2640" s="335" t="s">
        <v>3789</v>
      </c>
      <c r="B2640" s="336">
        <v>45940.0</v>
      </c>
      <c r="C2640" s="335" t="s">
        <v>6</v>
      </c>
      <c r="D2640" s="335" t="s">
        <v>48</v>
      </c>
      <c r="E2640" s="337" t="str">
        <f t="shared" si="1"/>
        <v>中山鋼業:ナベ</v>
      </c>
      <c r="F2640" s="338" t="s">
        <v>573</v>
      </c>
      <c r="G2640" s="339" t="str">
        <f t="shared" si="2"/>
        <v>中山鋼業:ナベＬ２(H4･級外･L1ﾊﾞﾗ)</v>
      </c>
      <c r="H2640" s="340">
        <f t="shared" si="3"/>
        <v>36</v>
      </c>
      <c r="I2640" s="341">
        <v>1.0</v>
      </c>
      <c r="J2640" s="332">
        <f>IFERROR(__xludf.DUMMYFUNCTION("IF(IF(COUNTIF(P$2:P2639, P2640)=0, """", INDEX(H$2:H2639,
MAX(FILTER(ROW(H$2:H2639) - ROW(H$2) + 1, P$2:P2639 = P2640))))=""単価"","""",
IF(COUNTIF(P$2:P2639, P2640)=0, """", INDEX(H$2:H2639,
MAX(FILTER(ROW(H$2:H2639) - ROW(H$2) + 1, P$2:P2639 = P2640)))))"),35.0)</f>
        <v>35</v>
      </c>
      <c r="N2640" s="335" t="str">
        <f>IF(MAXIFS('単価履歴'!$O:$O,'単価履歴'!$E:$E,E2640,'単価履歴'!$F:$F,F2640)=O2640,"●","")</f>
        <v/>
      </c>
      <c r="O2640" s="346">
        <v>45940.26988425926</v>
      </c>
      <c r="P2640" s="334" t="str">
        <f t="shared" si="4"/>
        <v>中山鋼業:ナベＬ２(H4･級外･L1ﾊﾞﾗ)</v>
      </c>
    </row>
    <row r="2641" ht="15.75" customHeight="1">
      <c r="A2641" s="335" t="s">
        <v>3790</v>
      </c>
      <c r="B2641" s="336">
        <v>45940.0</v>
      </c>
      <c r="C2641" s="335" t="s">
        <v>6</v>
      </c>
      <c r="D2641" s="335" t="s">
        <v>48</v>
      </c>
      <c r="E2641" s="337" t="str">
        <f t="shared" si="1"/>
        <v>中山鋼業:ナベ</v>
      </c>
      <c r="F2641" s="338" t="s">
        <v>130</v>
      </c>
      <c r="G2641" s="339" t="str">
        <f t="shared" si="2"/>
        <v>中山鋼業:ナベ新断Ａ</v>
      </c>
      <c r="H2641" s="340">
        <f t="shared" si="3"/>
        <v>-0.5</v>
      </c>
      <c r="I2641" s="341">
        <v>1.0</v>
      </c>
      <c r="J2641" s="332">
        <f>IFERROR(__xludf.DUMMYFUNCTION("IF(IF(COUNTIF(P$2:P2640, P2641)=0, """", INDEX(H$2:H2640,
MAX(FILTER(ROW(H$2:H2640) - ROW(H$2) + 1, P$2:P2640 = P2641))))=""単価"","""",
IF(COUNTIF(P$2:P2640, P2641)=0, """", INDEX(H$2:H2640,
MAX(FILTER(ROW(H$2:H2640) - ROW(H$2) + 1, P$2:P2640 = P2641)))))"),-1.5)</f>
        <v>-1.5</v>
      </c>
      <c r="N2641" s="335" t="str">
        <f>IF(MAXIFS('単価履歴'!$O:$O,'単価履歴'!$E:$E,E2641,'単価履歴'!$F:$F,F2641)=O2641,"●","")</f>
        <v/>
      </c>
      <c r="O2641" s="346">
        <v>45940.26988425926</v>
      </c>
      <c r="P2641" s="334" t="str">
        <f t="shared" si="4"/>
        <v>中山鋼業:ナベ新断Ａ</v>
      </c>
    </row>
    <row r="2642" ht="15.75" customHeight="1">
      <c r="A2642" s="335" t="s">
        <v>3791</v>
      </c>
      <c r="B2642" s="336">
        <v>45940.0</v>
      </c>
      <c r="C2642" s="335" t="s">
        <v>6</v>
      </c>
      <c r="D2642" s="335" t="s">
        <v>48</v>
      </c>
      <c r="E2642" s="337" t="str">
        <f t="shared" si="1"/>
        <v>中山鋼業:ナベ</v>
      </c>
      <c r="F2642" s="338" t="s">
        <v>575</v>
      </c>
      <c r="G2642" s="339" t="str">
        <f t="shared" si="2"/>
        <v>中山鋼業:ナベ鋼ダライＡ</v>
      </c>
      <c r="H2642" s="340">
        <f t="shared" si="3"/>
        <v>33.7</v>
      </c>
      <c r="I2642" s="341">
        <v>0.5</v>
      </c>
      <c r="J2642" s="332">
        <f>IFERROR(__xludf.DUMMYFUNCTION("IF(IF(COUNTIF(P$2:P2641, P2642)=0, """", INDEX(H$2:H2641,
MAX(FILTER(ROW(H$2:H2641) - ROW(H$2) + 1, P$2:P2641 = P2642))))=""単価"","""",
IF(COUNTIF(P$2:P2641, P2642)=0, """", INDEX(H$2:H2641,
MAX(FILTER(ROW(H$2:H2641) - ROW(H$2) + 1, P$2:P2641 = P2642)))))"),33.2)</f>
        <v>33.2</v>
      </c>
      <c r="N2642" s="335" t="str">
        <f>IF(MAXIFS('単価履歴'!$O:$O,'単価履歴'!$E:$E,E2642,'単価履歴'!$F:$F,F2642)=O2642,"●","")</f>
        <v/>
      </c>
      <c r="O2642" s="346">
        <v>45940.27017361111</v>
      </c>
      <c r="P2642" s="334" t="str">
        <f t="shared" si="4"/>
        <v>中山鋼業:ナベ鋼ダライＡ</v>
      </c>
    </row>
    <row r="2643" ht="15.75" customHeight="1">
      <c r="A2643" s="335" t="s">
        <v>3792</v>
      </c>
      <c r="B2643" s="336">
        <v>45940.0</v>
      </c>
      <c r="C2643" s="335" t="s">
        <v>36</v>
      </c>
      <c r="D2643" s="335" t="s">
        <v>1303</v>
      </c>
      <c r="E2643" s="337" t="str">
        <f t="shared" si="1"/>
        <v>共英枚方:ナベ/置場単価</v>
      </c>
      <c r="F2643" s="338" t="s">
        <v>111</v>
      </c>
      <c r="G2643" s="339" t="str">
        <f t="shared" si="2"/>
        <v>共英枚方:ナベ/置場単価Ｈ１(特A)</v>
      </c>
      <c r="H2643" s="340">
        <f t="shared" si="3"/>
        <v>40.5</v>
      </c>
      <c r="I2643" s="341">
        <v>0.5</v>
      </c>
      <c r="J2643" s="332">
        <f>IFERROR(__xludf.DUMMYFUNCTION("IF(IF(COUNTIF(P$2:P2642, P2643)=0, """", INDEX(H$2:H2642,
MAX(FILTER(ROW(H$2:H2642) - ROW(H$2) + 1, P$2:P2642 = P2643))))=""単価"","""",
IF(COUNTIF(P$2:P2642, P2643)=0, """", INDEX(H$2:H2642,
MAX(FILTER(ROW(H$2:H2642) - ROW(H$2) + 1, P$2:P2642 = P2643)))))"),40.0)</f>
        <v>40</v>
      </c>
      <c r="N2643" s="335" t="str">
        <f>IF(MAXIFS('単価履歴'!$O:$O,'単価履歴'!$E:$E,E2643,'単価履歴'!$F:$F,F2643)=O2643,"●","")</f>
        <v/>
      </c>
      <c r="O2643" s="346">
        <v>45940.27049768518</v>
      </c>
      <c r="P2643" s="334" t="str">
        <f t="shared" si="4"/>
        <v>共英枚方:ナベ/置場単価Ｈ１(特A)</v>
      </c>
    </row>
    <row r="2644" ht="15.75" customHeight="1">
      <c r="A2644" s="335" t="s">
        <v>3793</v>
      </c>
      <c r="B2644" s="336">
        <v>45940.0</v>
      </c>
      <c r="C2644" s="335" t="s">
        <v>36</v>
      </c>
      <c r="D2644" s="335" t="s">
        <v>1303</v>
      </c>
      <c r="E2644" s="337" t="str">
        <f t="shared" si="1"/>
        <v>共英枚方:ナベ/置場単価</v>
      </c>
      <c r="F2644" s="338" t="s">
        <v>116</v>
      </c>
      <c r="G2644" s="339" t="str">
        <f t="shared" si="2"/>
        <v>共英枚方:ナベ/置場単価Ｈ２(特級)</v>
      </c>
      <c r="H2644" s="340">
        <f t="shared" si="3"/>
        <v>38.5</v>
      </c>
      <c r="I2644" s="341">
        <v>0.5</v>
      </c>
      <c r="J2644" s="332">
        <f>IFERROR(__xludf.DUMMYFUNCTION("IF(IF(COUNTIF(P$2:P2643, P2644)=0, """", INDEX(H$2:H2643,
MAX(FILTER(ROW(H$2:H2643) - ROW(H$2) + 1, P$2:P2643 = P2644))))=""単価"","""",
IF(COUNTIF(P$2:P2643, P2644)=0, """", INDEX(H$2:H2643,
MAX(FILTER(ROW(H$2:H2643) - ROW(H$2) + 1, P$2:P2643 = P2644)))))"),38.0)</f>
        <v>38</v>
      </c>
      <c r="N2644" s="335" t="str">
        <f>IF(MAXIFS('単価履歴'!$O:$O,'単価履歴'!$E:$E,E2644,'単価履歴'!$F:$F,F2644)=O2644,"●","")</f>
        <v/>
      </c>
      <c r="O2644" s="346">
        <v>45940.27049768518</v>
      </c>
      <c r="P2644" s="334" t="str">
        <f t="shared" si="4"/>
        <v>共英枚方:ナベ/置場単価Ｈ２(特級)</v>
      </c>
    </row>
    <row r="2645" ht="15.75" customHeight="1">
      <c r="A2645" s="335" t="s">
        <v>3794</v>
      </c>
      <c r="B2645" s="336">
        <v>45940.0</v>
      </c>
      <c r="C2645" s="335" t="s">
        <v>36</v>
      </c>
      <c r="D2645" s="335" t="s">
        <v>1303</v>
      </c>
      <c r="E2645" s="337" t="str">
        <f t="shared" si="1"/>
        <v>共英枚方:ナベ/置場単価</v>
      </c>
      <c r="F2645" s="338" t="s">
        <v>119</v>
      </c>
      <c r="G2645" s="339" t="str">
        <f t="shared" si="2"/>
        <v>共英枚方:ナベ/置場単価Ｈ３(1級)</v>
      </c>
      <c r="H2645" s="340">
        <f t="shared" si="3"/>
        <v>38</v>
      </c>
      <c r="I2645" s="341">
        <v>0.5</v>
      </c>
      <c r="J2645" s="332">
        <f>IFERROR(__xludf.DUMMYFUNCTION("IF(IF(COUNTIF(P$2:P2644, P2645)=0, """", INDEX(H$2:H2644,
MAX(FILTER(ROW(H$2:H2644) - ROW(H$2) + 1, P$2:P2644 = P2645))))=""単価"","""",
IF(COUNTIF(P$2:P2644, P2645)=0, """", INDEX(H$2:H2644,
MAX(FILTER(ROW(H$2:H2644) - ROW(H$2) + 1, P$2:P2644 = P2645)))))"),37.5)</f>
        <v>37.5</v>
      </c>
      <c r="N2645" s="335" t="str">
        <f>IF(MAXIFS('単価履歴'!$O:$O,'単価履歴'!$E:$E,E2645,'単価履歴'!$F:$F,F2645)=O2645,"●","")</f>
        <v/>
      </c>
      <c r="O2645" s="346">
        <v>45940.27049768518</v>
      </c>
      <c r="P2645" s="334" t="str">
        <f t="shared" si="4"/>
        <v>共英枚方:ナベ/置場単価Ｈ３(1級)</v>
      </c>
    </row>
    <row r="2646" ht="15.75" customHeight="1">
      <c r="A2646" s="335" t="s">
        <v>3795</v>
      </c>
      <c r="B2646" s="336">
        <v>45940.0</v>
      </c>
      <c r="C2646" s="335" t="s">
        <v>36</v>
      </c>
      <c r="D2646" s="335" t="s">
        <v>1303</v>
      </c>
      <c r="E2646" s="337" t="str">
        <f t="shared" si="1"/>
        <v>共英枚方:ナベ/置場単価</v>
      </c>
      <c r="F2646" s="338" t="s">
        <v>122</v>
      </c>
      <c r="G2646" s="339" t="str">
        <f t="shared" si="2"/>
        <v>共英枚方:ナベ/置場単価Ｌ１(2級)</v>
      </c>
      <c r="H2646" s="340">
        <f t="shared" si="3"/>
        <v>37.5</v>
      </c>
      <c r="I2646" s="341">
        <v>0.5</v>
      </c>
      <c r="J2646" s="332">
        <f>IFERROR(__xludf.DUMMYFUNCTION("IF(IF(COUNTIF(P$2:P2645, P2646)=0, """", INDEX(H$2:H2645,
MAX(FILTER(ROW(H$2:H2645) - ROW(H$2) + 1, P$2:P2645 = P2646))))=""単価"","""",
IF(COUNTIF(P$2:P2645, P2646)=0, """", INDEX(H$2:H2645,
MAX(FILTER(ROW(H$2:H2645) - ROW(H$2) + 1, P$2:P2645 = P2646)))))"),37.0)</f>
        <v>37</v>
      </c>
      <c r="N2646" s="335" t="str">
        <f>IF(MAXIFS('単価履歴'!$O:$O,'単価履歴'!$E:$E,E2646,'単価履歴'!$F:$F,F2646)=O2646,"●","")</f>
        <v/>
      </c>
      <c r="O2646" s="346">
        <v>45940.27049768518</v>
      </c>
      <c r="P2646" s="334" t="str">
        <f t="shared" si="4"/>
        <v>共英枚方:ナベ/置場単価Ｌ１(2級)</v>
      </c>
    </row>
    <row r="2647" ht="15.75" customHeight="1">
      <c r="A2647" s="335" t="s">
        <v>3796</v>
      </c>
      <c r="B2647" s="336">
        <v>45940.0</v>
      </c>
      <c r="C2647" s="335" t="s">
        <v>36</v>
      </c>
      <c r="D2647" s="335" t="s">
        <v>1303</v>
      </c>
      <c r="E2647" s="337" t="str">
        <f t="shared" si="1"/>
        <v>共英枚方:ナベ/置場単価</v>
      </c>
      <c r="F2647" s="338" t="s">
        <v>154</v>
      </c>
      <c r="G2647" s="339" t="str">
        <f t="shared" si="2"/>
        <v>共英枚方:ナベ/置場単価ＣＰ Ａ</v>
      </c>
      <c r="H2647" s="340">
        <f t="shared" si="3"/>
        <v>44</v>
      </c>
      <c r="I2647" s="341">
        <v>0.5</v>
      </c>
      <c r="J2647" s="332">
        <f>IFERROR(__xludf.DUMMYFUNCTION("IF(IF(COUNTIF(P$2:P2646, P2647)=0, """", INDEX(H$2:H2646,
MAX(FILTER(ROW(H$2:H2646) - ROW(H$2) + 1, P$2:P2646 = P2647))))=""単価"","""",
IF(COUNTIF(P$2:P2646, P2647)=0, """", INDEX(H$2:H2646,
MAX(FILTER(ROW(H$2:H2646) - ROW(H$2) + 1, P$2:P2646 = P2647)))))"),43.5)</f>
        <v>43.5</v>
      </c>
      <c r="N2647" s="335" t="str">
        <f>IF(MAXIFS('単価履歴'!$O:$O,'単価履歴'!$E:$E,E2647,'単価履歴'!$F:$F,F2647)=O2647,"●","")</f>
        <v/>
      </c>
      <c r="O2647" s="346">
        <v>45940.27049768518</v>
      </c>
      <c r="P2647" s="334" t="str">
        <f t="shared" si="4"/>
        <v>共英枚方:ナベ/置場単価ＣＰ Ａ</v>
      </c>
    </row>
    <row r="2648" ht="15.75" customHeight="1">
      <c r="A2648" s="335" t="s">
        <v>3797</v>
      </c>
      <c r="B2648" s="336">
        <v>45940.0</v>
      </c>
      <c r="C2648" s="335" t="s">
        <v>19</v>
      </c>
      <c r="D2648" s="335" t="s">
        <v>61</v>
      </c>
      <c r="E2648" s="337" t="str">
        <f t="shared" si="1"/>
        <v>トピー工業:ＭＭ</v>
      </c>
      <c r="F2648" s="338" t="s">
        <v>116</v>
      </c>
      <c r="G2648" s="339" t="str">
        <f t="shared" si="2"/>
        <v>トピー工業:ＭＭＨ２(特級)</v>
      </c>
      <c r="H2648" s="340">
        <f t="shared" si="3"/>
        <v>35.5</v>
      </c>
      <c r="I2648" s="341">
        <v>1.0</v>
      </c>
      <c r="J2648" s="332">
        <f>IFERROR(__xludf.DUMMYFUNCTION("IF(IF(COUNTIF(P$2:P2647, P2648)=0, """", INDEX(H$2:H2647,
MAX(FILTER(ROW(H$2:H2647) - ROW(H$2) + 1, P$2:P2647 = P2648))))=""単価"","""",
IF(COUNTIF(P$2:P2647, P2648)=0, """", INDEX(H$2:H2647,
MAX(FILTER(ROW(H$2:H2647) - ROW(H$2) + 1, P$2:P2647 = P2648)))))"),34.5)</f>
        <v>34.5</v>
      </c>
      <c r="N2648" s="335" t="str">
        <f>IF(MAXIFS('単価履歴'!$O:$O,'単価履歴'!$E:$E,E2648,'単価履歴'!$F:$F,F2648)=O2648,"●","")</f>
        <v/>
      </c>
      <c r="O2648" s="346">
        <v>45940.271006944444</v>
      </c>
      <c r="P2648" s="334" t="str">
        <f t="shared" si="4"/>
        <v>トピー工業:ＭＭＨ２(特級)</v>
      </c>
    </row>
    <row r="2649" ht="15.75" customHeight="1">
      <c r="A2649" s="335" t="s">
        <v>3798</v>
      </c>
      <c r="B2649" s="336">
        <v>45940.0</v>
      </c>
      <c r="C2649" s="335" t="s">
        <v>37</v>
      </c>
      <c r="D2649" s="335" t="s">
        <v>48</v>
      </c>
      <c r="E2649" s="337" t="str">
        <f t="shared" si="1"/>
        <v>共英名古屋:ナベ</v>
      </c>
      <c r="F2649" s="338" t="s">
        <v>111</v>
      </c>
      <c r="G2649" s="339" t="str">
        <f t="shared" si="2"/>
        <v>共英名古屋:ナベＨ１(特A)</v>
      </c>
      <c r="H2649" s="340">
        <f t="shared" si="3"/>
        <v>43.2</v>
      </c>
      <c r="I2649" s="341">
        <v>1.0</v>
      </c>
      <c r="J2649" s="332">
        <f>IFERROR(__xludf.DUMMYFUNCTION("IF(IF(COUNTIF(P$2:P2648, P2649)=0, """", INDEX(H$2:H2648,
MAX(FILTER(ROW(H$2:H2648) - ROW(H$2) + 1, P$2:P2648 = P2649))))=""単価"","""",
IF(COUNTIF(P$2:P2648, P2649)=0, """", INDEX(H$2:H2648,
MAX(FILTER(ROW(H$2:H2648) - ROW(H$2) + 1, P$2:P2648 = P2649)))))"),42.2)</f>
        <v>42.2</v>
      </c>
      <c r="N2649" s="335" t="str">
        <f>IF(MAXIFS('単価履歴'!$O:$O,'単価履歴'!$E:$E,E2649,'単価履歴'!$F:$F,F2649)=O2649,"●","")</f>
        <v/>
      </c>
      <c r="O2649" s="346">
        <v>45940.271273148144</v>
      </c>
      <c r="P2649" s="334" t="str">
        <f t="shared" si="4"/>
        <v>共英名古屋:ナベＨ１(特A)</v>
      </c>
    </row>
    <row r="2650" ht="15.75" customHeight="1">
      <c r="A2650" s="335" t="s">
        <v>3799</v>
      </c>
      <c r="B2650" s="336">
        <v>45940.0</v>
      </c>
      <c r="C2650" s="335" t="s">
        <v>37</v>
      </c>
      <c r="D2650" s="335" t="s">
        <v>48</v>
      </c>
      <c r="E2650" s="337" t="str">
        <f t="shared" si="1"/>
        <v>共英名古屋:ナベ</v>
      </c>
      <c r="F2650" s="338" t="s">
        <v>116</v>
      </c>
      <c r="G2650" s="339" t="str">
        <f t="shared" si="2"/>
        <v>共英名古屋:ナベＨ２(特級)</v>
      </c>
      <c r="H2650" s="340">
        <f t="shared" si="3"/>
        <v>40.5</v>
      </c>
      <c r="I2650" s="341">
        <v>1.0</v>
      </c>
      <c r="J2650" s="332">
        <f>IFERROR(__xludf.DUMMYFUNCTION("IF(IF(COUNTIF(P$2:P2649, P2650)=0, """", INDEX(H$2:H2649,
MAX(FILTER(ROW(H$2:H2649) - ROW(H$2) + 1, P$2:P2649 = P2650))))=""単価"","""",
IF(COUNTIF(P$2:P2649, P2650)=0, """", INDEX(H$2:H2649,
MAX(FILTER(ROW(H$2:H2649) - ROW(H$2) + 1, P$2:P2649 = P2650)))))"),39.5)</f>
        <v>39.5</v>
      </c>
      <c r="N2650" s="335" t="str">
        <f>IF(MAXIFS('単価履歴'!$O:$O,'単価履歴'!$E:$E,E2650,'単価履歴'!$F:$F,F2650)=O2650,"●","")</f>
        <v/>
      </c>
      <c r="O2650" s="346">
        <v>45940.271273148144</v>
      </c>
      <c r="P2650" s="334" t="str">
        <f t="shared" si="4"/>
        <v>共英名古屋:ナベＨ２(特級)</v>
      </c>
    </row>
    <row r="2651" ht="15.75" customHeight="1">
      <c r="A2651" s="335" t="s">
        <v>3800</v>
      </c>
      <c r="B2651" s="336">
        <v>45940.0</v>
      </c>
      <c r="C2651" s="335" t="s">
        <v>37</v>
      </c>
      <c r="D2651" s="335" t="s">
        <v>48</v>
      </c>
      <c r="E2651" s="337" t="str">
        <f t="shared" si="1"/>
        <v>共英名古屋:ナベ</v>
      </c>
      <c r="F2651" s="338" t="s">
        <v>119</v>
      </c>
      <c r="G2651" s="339" t="str">
        <f t="shared" si="2"/>
        <v>共英名古屋:ナベＨ３(1級)</v>
      </c>
      <c r="H2651" s="340">
        <f t="shared" si="3"/>
        <v>39.5</v>
      </c>
      <c r="I2651" s="341">
        <v>1.0</v>
      </c>
      <c r="J2651" s="332">
        <f>IFERROR(__xludf.DUMMYFUNCTION("IF(IF(COUNTIF(P$2:P2650, P2651)=0, """", INDEX(H$2:H2650,
MAX(FILTER(ROW(H$2:H2650) - ROW(H$2) + 1, P$2:P2650 = P2651))))=""単価"","""",
IF(COUNTIF(P$2:P2650, P2651)=0, """", INDEX(H$2:H2650,
MAX(FILTER(ROW(H$2:H2650) - ROW(H$2) + 1, P$2:P2650 = P2651)))))"),38.5)</f>
        <v>38.5</v>
      </c>
      <c r="N2651" s="335" t="str">
        <f>IF(MAXIFS('単価履歴'!$O:$O,'単価履歴'!$E:$E,E2651,'単価履歴'!$F:$F,F2651)=O2651,"●","")</f>
        <v/>
      </c>
      <c r="O2651" s="346">
        <v>45940.271273148144</v>
      </c>
      <c r="P2651" s="334" t="str">
        <f t="shared" si="4"/>
        <v>共英名古屋:ナベＨ３(1級)</v>
      </c>
    </row>
    <row r="2652" ht="15.75" customHeight="1">
      <c r="A2652" s="335" t="s">
        <v>3801</v>
      </c>
      <c r="B2652" s="336">
        <v>45940.0</v>
      </c>
      <c r="C2652" s="335" t="s">
        <v>37</v>
      </c>
      <c r="D2652" s="335" t="s">
        <v>48</v>
      </c>
      <c r="E2652" s="337" t="str">
        <f t="shared" si="1"/>
        <v>共英名古屋:ナベ</v>
      </c>
      <c r="F2652" s="338" t="s">
        <v>122</v>
      </c>
      <c r="G2652" s="339" t="str">
        <f t="shared" si="2"/>
        <v>共英名古屋:ナベＬ１(2級)</v>
      </c>
      <c r="H2652" s="340">
        <f t="shared" si="3"/>
        <v>36.5</v>
      </c>
      <c r="I2652" s="341">
        <v>1.0</v>
      </c>
      <c r="J2652" s="332">
        <f>IFERROR(__xludf.DUMMYFUNCTION("IF(IF(COUNTIF(P$2:P2651, P2652)=0, """", INDEX(H$2:H2651,
MAX(FILTER(ROW(H$2:H2651) - ROW(H$2) + 1, P$2:P2651 = P2652))))=""単価"","""",
IF(COUNTIF(P$2:P2651, P2652)=0, """", INDEX(H$2:H2651,
MAX(FILTER(ROW(H$2:H2651) - ROW(H$2) + 1, P$2:P2651 = P2652)))))"),35.5)</f>
        <v>35.5</v>
      </c>
      <c r="N2652" s="335" t="str">
        <f>IF(MAXIFS('単価履歴'!$O:$O,'単価履歴'!$E:$E,E2652,'単価履歴'!$F:$F,F2652)=O2652,"●","")</f>
        <v/>
      </c>
      <c r="O2652" s="346">
        <v>45940.271273148144</v>
      </c>
      <c r="P2652" s="334" t="str">
        <f t="shared" si="4"/>
        <v>共英名古屋:ナベＬ１(2級)</v>
      </c>
    </row>
    <row r="2653" ht="15.75" customHeight="1">
      <c r="A2653" s="335" t="s">
        <v>3802</v>
      </c>
      <c r="B2653" s="336">
        <v>45940.0</v>
      </c>
      <c r="C2653" s="335" t="s">
        <v>14</v>
      </c>
      <c r="D2653" s="335" t="s">
        <v>48</v>
      </c>
      <c r="E2653" s="337" t="str">
        <f t="shared" si="1"/>
        <v>愛知:ナベ</v>
      </c>
      <c r="F2653" s="338" t="s">
        <v>1199</v>
      </c>
      <c r="G2653" s="339" t="str">
        <f t="shared" si="2"/>
        <v>愛知:ナベＨＳ１(単体H1/電特A/HS))</v>
      </c>
      <c r="H2653" s="340">
        <f t="shared" si="3"/>
        <v>42</v>
      </c>
      <c r="I2653" s="341">
        <v>1.0</v>
      </c>
      <c r="J2653" s="332">
        <f>IFERROR(__xludf.DUMMYFUNCTION("IF(IF(COUNTIF(P$2:P2652, P2653)=0, """", INDEX(H$2:H2652,
MAX(FILTER(ROW(H$2:H2652) - ROW(H$2) + 1, P$2:P2652 = P2653))))=""単価"","""",
IF(COUNTIF(P$2:P2652, P2653)=0, """", INDEX(H$2:H2652,
MAX(FILTER(ROW(H$2:H2652) - ROW(H$2) + 1, P$2:P2652 = P2653)))))"),41.0)</f>
        <v>41</v>
      </c>
      <c r="N2653" s="335" t="str">
        <f>IF(MAXIFS('単価履歴'!$O:$O,'単価履歴'!$E:$E,E2653,'単価履歴'!$F:$F,F2653)=O2653,"●","")</f>
        <v/>
      </c>
      <c r="O2653" s="346">
        <v>45940.271631944444</v>
      </c>
      <c r="P2653" s="334" t="str">
        <f t="shared" si="4"/>
        <v>愛知:ナベＨＳ１(単体H1/電特A/HS))</v>
      </c>
    </row>
    <row r="2654" ht="15.75" customHeight="1">
      <c r="A2654" s="335" t="s">
        <v>3803</v>
      </c>
      <c r="B2654" s="336">
        <v>45940.0</v>
      </c>
      <c r="C2654" s="335" t="s">
        <v>14</v>
      </c>
      <c r="D2654" s="335" t="s">
        <v>48</v>
      </c>
      <c r="E2654" s="337" t="str">
        <f t="shared" si="1"/>
        <v>愛知:ナベ</v>
      </c>
      <c r="F2654" s="338" t="s">
        <v>101</v>
      </c>
      <c r="G2654" s="339" t="str">
        <f t="shared" si="2"/>
        <v>愛知:ナベＨＳ２</v>
      </c>
      <c r="H2654" s="340">
        <f t="shared" si="3"/>
        <v>41.5</v>
      </c>
      <c r="I2654" s="341">
        <v>1.0</v>
      </c>
      <c r="J2654" s="332">
        <f>IFERROR(__xludf.DUMMYFUNCTION("IF(IF(COUNTIF(P$2:P2653, P2654)=0, """", INDEX(H$2:H2653,
MAX(FILTER(ROW(H$2:H2653) - ROW(H$2) + 1, P$2:P2653 = P2654))))=""単価"","""",
IF(COUNTIF(P$2:P2653, P2654)=0, """", INDEX(H$2:H2653,
MAX(FILTER(ROW(H$2:H2653) - ROW(H$2) + 1, P$2:P2653 = P2654)))))"),40.5)</f>
        <v>40.5</v>
      </c>
      <c r="N2654" s="335" t="str">
        <f>IF(MAXIFS('単価履歴'!$O:$O,'単価履歴'!$E:$E,E2654,'単価履歴'!$F:$F,F2654)=O2654,"●","")</f>
        <v/>
      </c>
      <c r="O2654" s="346">
        <v>45940.271631944444</v>
      </c>
      <c r="P2654" s="334" t="str">
        <f t="shared" si="4"/>
        <v>愛知:ナベＨＳ２</v>
      </c>
    </row>
    <row r="2655" ht="15.75" customHeight="1">
      <c r="A2655" s="335" t="s">
        <v>3804</v>
      </c>
      <c r="B2655" s="336">
        <v>45940.0</v>
      </c>
      <c r="C2655" s="335" t="s">
        <v>14</v>
      </c>
      <c r="D2655" s="335" t="s">
        <v>48</v>
      </c>
      <c r="E2655" s="337" t="str">
        <f t="shared" si="1"/>
        <v>愛知:ナベ</v>
      </c>
      <c r="F2655" s="338" t="s">
        <v>111</v>
      </c>
      <c r="G2655" s="339" t="str">
        <f t="shared" si="2"/>
        <v>愛知:ナベＨ１(特A)</v>
      </c>
      <c r="H2655" s="340">
        <f t="shared" si="3"/>
        <v>41</v>
      </c>
      <c r="I2655" s="341">
        <v>1.0</v>
      </c>
      <c r="J2655" s="332">
        <f>IFERROR(__xludf.DUMMYFUNCTION("IF(IF(COUNTIF(P$2:P2654, P2655)=0, """", INDEX(H$2:H2654,
MAX(FILTER(ROW(H$2:H2654) - ROW(H$2) + 1, P$2:P2654 = P2655))))=""単価"","""",
IF(COUNTIF(P$2:P2654, P2655)=0, """", INDEX(H$2:H2654,
MAX(FILTER(ROW(H$2:H2654) - ROW(H$2) + 1, P$2:P2654 = P2655)))))"),40.0)</f>
        <v>40</v>
      </c>
      <c r="N2655" s="335" t="str">
        <f>IF(MAXIFS('単価履歴'!$O:$O,'単価履歴'!$E:$E,E2655,'単価履歴'!$F:$F,F2655)=O2655,"●","")</f>
        <v/>
      </c>
      <c r="O2655" s="346">
        <v>45940.271631944444</v>
      </c>
      <c r="P2655" s="334" t="str">
        <f t="shared" si="4"/>
        <v>愛知:ナベＨ１(特A)</v>
      </c>
    </row>
    <row r="2656" ht="15.75" customHeight="1">
      <c r="A2656" s="335" t="s">
        <v>3805</v>
      </c>
      <c r="B2656" s="336">
        <v>45940.0</v>
      </c>
      <c r="C2656" s="335" t="s">
        <v>14</v>
      </c>
      <c r="D2656" s="335" t="s">
        <v>48</v>
      </c>
      <c r="E2656" s="337" t="str">
        <f t="shared" si="1"/>
        <v>愛知:ナベ</v>
      </c>
      <c r="F2656" s="338" t="s">
        <v>116</v>
      </c>
      <c r="G2656" s="339" t="str">
        <f t="shared" si="2"/>
        <v>愛知:ナベＨ２(特級)</v>
      </c>
      <c r="H2656" s="340">
        <f t="shared" si="3"/>
        <v>39.4</v>
      </c>
      <c r="I2656" s="341">
        <v>1.0</v>
      </c>
      <c r="J2656" s="332">
        <f>IFERROR(__xludf.DUMMYFUNCTION("IF(IF(COUNTIF(P$2:P2655, P2656)=0, """", INDEX(H$2:H2655,
MAX(FILTER(ROW(H$2:H2655) - ROW(H$2) + 1, P$2:P2655 = P2656))))=""単価"","""",
IF(COUNTIF(P$2:P2655, P2656)=0, """", INDEX(H$2:H2655,
MAX(FILTER(ROW(H$2:H2655) - ROW(H$2) + 1, P$2:P2655 = P2656)))))"),38.4)</f>
        <v>38.4</v>
      </c>
      <c r="N2656" s="335" t="str">
        <f>IF(MAXIFS('単価履歴'!$O:$O,'単価履歴'!$E:$E,E2656,'単価履歴'!$F:$F,F2656)=O2656,"●","")</f>
        <v/>
      </c>
      <c r="O2656" s="346">
        <v>45940.271631944444</v>
      </c>
      <c r="P2656" s="334" t="str">
        <f t="shared" si="4"/>
        <v>愛知:ナベＨ２(特級)</v>
      </c>
    </row>
    <row r="2657" ht="15.75" customHeight="1">
      <c r="A2657" s="335" t="s">
        <v>3806</v>
      </c>
      <c r="B2657" s="336">
        <v>45940.0</v>
      </c>
      <c r="C2657" s="335" t="s">
        <v>14</v>
      </c>
      <c r="D2657" s="335" t="s">
        <v>48</v>
      </c>
      <c r="E2657" s="337" t="str">
        <f t="shared" si="1"/>
        <v>愛知:ナベ</v>
      </c>
      <c r="F2657" s="338" t="s">
        <v>119</v>
      </c>
      <c r="G2657" s="339" t="str">
        <f t="shared" si="2"/>
        <v>愛知:ナベＨ３(1級)</v>
      </c>
      <c r="H2657" s="340">
        <f t="shared" si="3"/>
        <v>38.4</v>
      </c>
      <c r="I2657" s="341">
        <v>1.0</v>
      </c>
      <c r="J2657" s="332">
        <f>IFERROR(__xludf.DUMMYFUNCTION("IF(IF(COUNTIF(P$2:P2656, P2657)=0, """", INDEX(H$2:H2656,
MAX(FILTER(ROW(H$2:H2656) - ROW(H$2) + 1, P$2:P2656 = P2657))))=""単価"","""",
IF(COUNTIF(P$2:P2656, P2657)=0, """", INDEX(H$2:H2656,
MAX(FILTER(ROW(H$2:H2656) - ROW(H$2) + 1, P$2:P2656 = P2657)))))"),37.4)</f>
        <v>37.4</v>
      </c>
      <c r="N2657" s="335" t="str">
        <f>IF(MAXIFS('単価履歴'!$O:$O,'単価履歴'!$E:$E,E2657,'単価履歴'!$F:$F,F2657)=O2657,"●","")</f>
        <v/>
      </c>
      <c r="O2657" s="346">
        <v>45940.271631944444</v>
      </c>
      <c r="P2657" s="334" t="str">
        <f t="shared" si="4"/>
        <v>愛知:ナベＨ３(1級)</v>
      </c>
    </row>
    <row r="2658" ht="15.75" customHeight="1">
      <c r="A2658" s="335" t="s">
        <v>3807</v>
      </c>
      <c r="B2658" s="336">
        <v>45940.0</v>
      </c>
      <c r="C2658" s="335" t="s">
        <v>14</v>
      </c>
      <c r="D2658" s="335" t="s">
        <v>48</v>
      </c>
      <c r="E2658" s="337" t="str">
        <f t="shared" si="1"/>
        <v>愛知:ナベ</v>
      </c>
      <c r="F2658" s="338" t="s">
        <v>573</v>
      </c>
      <c r="G2658" s="339" t="str">
        <f t="shared" si="2"/>
        <v>愛知:ナベＬ２(H4･級外･L1ﾊﾞﾗ)</v>
      </c>
      <c r="H2658" s="340">
        <f t="shared" si="3"/>
        <v>34.4</v>
      </c>
      <c r="I2658" s="341">
        <v>1.0</v>
      </c>
      <c r="J2658" s="332">
        <f>IFERROR(__xludf.DUMMYFUNCTION("IF(IF(COUNTIF(P$2:P2657, P2658)=0, """", INDEX(H$2:H2657,
MAX(FILTER(ROW(H$2:H2657) - ROW(H$2) + 1, P$2:P2657 = P2658))))=""単価"","""",
IF(COUNTIF(P$2:P2657, P2658)=0, """", INDEX(H$2:H2657,
MAX(FILTER(ROW(H$2:H2657) - ROW(H$2) + 1, P$2:P2657 = P2658)))))"),33.4)</f>
        <v>33.4</v>
      </c>
      <c r="N2658" s="335" t="str">
        <f>IF(MAXIFS('単価履歴'!$O:$O,'単価履歴'!$E:$E,E2658,'単価履歴'!$F:$F,F2658)=O2658,"●","")</f>
        <v/>
      </c>
      <c r="O2658" s="346">
        <v>45940.271631944444</v>
      </c>
      <c r="P2658" s="334" t="str">
        <f t="shared" si="4"/>
        <v>愛知:ナベＬ２(H4･級外･L1ﾊﾞﾗ)</v>
      </c>
    </row>
    <row r="2659" ht="15.75" customHeight="1">
      <c r="A2659" s="335" t="s">
        <v>3808</v>
      </c>
      <c r="B2659" s="336">
        <v>45940.0</v>
      </c>
      <c r="C2659" s="335" t="s">
        <v>35</v>
      </c>
      <c r="D2659" s="335" t="s">
        <v>48</v>
      </c>
      <c r="E2659" s="337" t="str">
        <f t="shared" si="1"/>
        <v>ﾆｭｰｽｺﾝ稲永:ナベ</v>
      </c>
      <c r="F2659" s="338" t="s">
        <v>130</v>
      </c>
      <c r="G2659" s="339" t="str">
        <f t="shared" si="2"/>
        <v>ﾆｭｰｽｺﾝ稲永:ナベ新断Ａ</v>
      </c>
      <c r="H2659" s="340">
        <f t="shared" si="3"/>
        <v>45</v>
      </c>
      <c r="I2659" s="341">
        <v>1.0</v>
      </c>
      <c r="J2659" s="332">
        <f>IFERROR(__xludf.DUMMYFUNCTION("IF(IF(COUNTIF(P$2:P2658, P2659)=0, """", INDEX(H$2:H2658,
MAX(FILTER(ROW(H$2:H2658) - ROW(H$2) + 1, P$2:P2658 = P2659))))=""単価"","""",
IF(COUNTIF(P$2:P2658, P2659)=0, """", INDEX(H$2:H2658,
MAX(FILTER(ROW(H$2:H2658) - ROW(H$2) + 1, P$2:P2658 = P2659)))))"),44.0)</f>
        <v>44</v>
      </c>
      <c r="N2659" s="335" t="str">
        <f>IF(MAXIFS('単価履歴'!$O:$O,'単価履歴'!$E:$E,E2659,'単価履歴'!$F:$F,F2659)=O2659,"●","")</f>
        <v>●</v>
      </c>
      <c r="O2659" s="346">
        <v>45940.272523148145</v>
      </c>
      <c r="P2659" s="334" t="str">
        <f t="shared" si="4"/>
        <v>ﾆｭｰｽｺﾝ稲永:ナベ新断Ａ</v>
      </c>
    </row>
    <row r="2660" ht="15.75" customHeight="1">
      <c r="A2660" s="335" t="s">
        <v>3809</v>
      </c>
      <c r="B2660" s="336">
        <v>45940.0</v>
      </c>
      <c r="C2660" s="335" t="s">
        <v>10</v>
      </c>
      <c r="D2660" s="335" t="s">
        <v>47</v>
      </c>
      <c r="E2660" s="337" t="str">
        <f t="shared" si="1"/>
        <v>岸和田:豊通</v>
      </c>
      <c r="F2660" s="338" t="s">
        <v>111</v>
      </c>
      <c r="G2660" s="339" t="str">
        <f t="shared" si="2"/>
        <v>岸和田:豊通Ｈ１(特A)</v>
      </c>
      <c r="H2660" s="340">
        <f t="shared" si="3"/>
        <v>41.5</v>
      </c>
      <c r="I2660" s="341">
        <v>0.5</v>
      </c>
      <c r="J2660" s="332">
        <f>IFERROR(__xludf.DUMMYFUNCTION("IF(IF(COUNTIF(P$2:P2659, P2660)=0, """", INDEX(H$2:H2659,
MAX(FILTER(ROW(H$2:H2659) - ROW(H$2) + 1, P$2:P2659 = P2660))))=""単価"","""",
IF(COUNTIF(P$2:P2659, P2660)=0, """", INDEX(H$2:H2659,
MAX(FILTER(ROW(H$2:H2659) - ROW(H$2) + 1, P$2:P2659 = P2660)))))"),41.0)</f>
        <v>41</v>
      </c>
      <c r="N2660" s="335" t="str">
        <f>IF(MAXIFS('単価履歴'!$O:$O,'単価履歴'!$E:$E,E2660,'単価履歴'!$F:$F,F2660)=O2660,"●","")</f>
        <v/>
      </c>
      <c r="O2660" s="346">
        <v>45940.27285879629</v>
      </c>
      <c r="P2660" s="334" t="str">
        <f t="shared" si="4"/>
        <v>岸和田:豊通Ｈ１(特A)</v>
      </c>
    </row>
    <row r="2661" ht="15.75" customHeight="1">
      <c r="A2661" s="335" t="s">
        <v>3810</v>
      </c>
      <c r="B2661" s="336">
        <v>45940.0</v>
      </c>
      <c r="C2661" s="335" t="s">
        <v>10</v>
      </c>
      <c r="D2661" s="335" t="s">
        <v>47</v>
      </c>
      <c r="E2661" s="337" t="str">
        <f t="shared" si="1"/>
        <v>岸和田:豊通</v>
      </c>
      <c r="F2661" s="338" t="s">
        <v>116</v>
      </c>
      <c r="G2661" s="339" t="str">
        <f t="shared" si="2"/>
        <v>岸和田:豊通Ｈ２(特級)</v>
      </c>
      <c r="H2661" s="340">
        <f t="shared" si="3"/>
        <v>39.5</v>
      </c>
      <c r="I2661" s="341">
        <v>0.5</v>
      </c>
      <c r="J2661" s="332">
        <f>IFERROR(__xludf.DUMMYFUNCTION("IF(IF(COUNTIF(P$2:P2660, P2661)=0, """", INDEX(H$2:H2660,
MAX(FILTER(ROW(H$2:H2660) - ROW(H$2) + 1, P$2:P2660 = P2661))))=""単価"","""",
IF(COUNTIF(P$2:P2660, P2661)=0, """", INDEX(H$2:H2660,
MAX(FILTER(ROW(H$2:H2660) - ROW(H$2) + 1, P$2:P2660 = P2661)))))"),39.0)</f>
        <v>39</v>
      </c>
      <c r="N2661" s="335" t="str">
        <f>IF(MAXIFS('単価履歴'!$O:$O,'単価履歴'!$E:$E,E2661,'単価履歴'!$F:$F,F2661)=O2661,"●","")</f>
        <v/>
      </c>
      <c r="O2661" s="346">
        <v>45940.27285879629</v>
      </c>
      <c r="P2661" s="334" t="str">
        <f t="shared" si="4"/>
        <v>岸和田:豊通Ｈ２(特級)</v>
      </c>
    </row>
    <row r="2662" ht="15.75" customHeight="1">
      <c r="A2662" s="335" t="s">
        <v>3811</v>
      </c>
      <c r="B2662" s="336">
        <v>45940.0</v>
      </c>
      <c r="C2662" s="335" t="s">
        <v>10</v>
      </c>
      <c r="D2662" s="335" t="s">
        <v>47</v>
      </c>
      <c r="E2662" s="337" t="str">
        <f t="shared" si="1"/>
        <v>岸和田:豊通</v>
      </c>
      <c r="F2662" s="338" t="s">
        <v>119</v>
      </c>
      <c r="G2662" s="339" t="str">
        <f t="shared" si="2"/>
        <v>岸和田:豊通Ｈ３(1級)</v>
      </c>
      <c r="H2662" s="340">
        <f t="shared" si="3"/>
        <v>39</v>
      </c>
      <c r="I2662" s="341">
        <v>0.5</v>
      </c>
      <c r="J2662" s="332">
        <f>IFERROR(__xludf.DUMMYFUNCTION("IF(IF(COUNTIF(P$2:P2661, P2662)=0, """", INDEX(H$2:H2661,
MAX(FILTER(ROW(H$2:H2661) - ROW(H$2) + 1, P$2:P2661 = P2662))))=""単価"","""",
IF(COUNTIF(P$2:P2661, P2662)=0, """", INDEX(H$2:H2661,
MAX(FILTER(ROW(H$2:H2661) - ROW(H$2) + 1, P$2:P2661 = P2662)))))"),38.5)</f>
        <v>38.5</v>
      </c>
      <c r="N2662" s="335" t="str">
        <f>IF(MAXIFS('単価履歴'!$O:$O,'単価履歴'!$E:$E,E2662,'単価履歴'!$F:$F,F2662)=O2662,"●","")</f>
        <v/>
      </c>
      <c r="O2662" s="346">
        <v>45940.27285879629</v>
      </c>
      <c r="P2662" s="334" t="str">
        <f t="shared" si="4"/>
        <v>岸和田:豊通Ｈ３(1級)</v>
      </c>
    </row>
    <row r="2663" ht="15.75" customHeight="1">
      <c r="A2663" s="335" t="s">
        <v>3812</v>
      </c>
      <c r="B2663" s="336">
        <v>45940.0</v>
      </c>
      <c r="C2663" s="335" t="s">
        <v>10</v>
      </c>
      <c r="D2663" s="335" t="s">
        <v>47</v>
      </c>
      <c r="E2663" s="337" t="str">
        <f t="shared" si="1"/>
        <v>岸和田:豊通</v>
      </c>
      <c r="F2663" s="338" t="s">
        <v>122</v>
      </c>
      <c r="G2663" s="339" t="str">
        <f t="shared" si="2"/>
        <v>岸和田:豊通Ｌ１(2級)</v>
      </c>
      <c r="H2663" s="340">
        <f t="shared" si="3"/>
        <v>38.5</v>
      </c>
      <c r="I2663" s="341">
        <v>0.5</v>
      </c>
      <c r="J2663" s="332">
        <f>IFERROR(__xludf.DUMMYFUNCTION("IF(IF(COUNTIF(P$2:P2662, P2663)=0, """", INDEX(H$2:H2662,
MAX(FILTER(ROW(H$2:H2662) - ROW(H$2) + 1, P$2:P2662 = P2663))))=""単価"","""",
IF(COUNTIF(P$2:P2662, P2663)=0, """", INDEX(H$2:H2662,
MAX(FILTER(ROW(H$2:H2662) - ROW(H$2) + 1, P$2:P2662 = P2663)))))"),38.0)</f>
        <v>38</v>
      </c>
      <c r="N2663" s="335" t="str">
        <f>IF(MAXIFS('単価履歴'!$O:$O,'単価履歴'!$E:$E,E2663,'単価履歴'!$F:$F,F2663)=O2663,"●","")</f>
        <v/>
      </c>
      <c r="O2663" s="346">
        <v>45940.27285879629</v>
      </c>
      <c r="P2663" s="334" t="str">
        <f t="shared" si="4"/>
        <v>岸和田:豊通Ｌ１(2級)</v>
      </c>
    </row>
    <row r="2664" ht="15.75" customHeight="1">
      <c r="A2664" s="335" t="s">
        <v>3813</v>
      </c>
      <c r="B2664" s="336">
        <v>45940.0</v>
      </c>
      <c r="C2664" s="335" t="s">
        <v>10</v>
      </c>
      <c r="D2664" s="335" t="s">
        <v>47</v>
      </c>
      <c r="E2664" s="337" t="str">
        <f t="shared" si="1"/>
        <v>岸和田:豊通</v>
      </c>
      <c r="F2664" s="338" t="s">
        <v>154</v>
      </c>
      <c r="G2664" s="339" t="str">
        <f t="shared" si="2"/>
        <v>岸和田:豊通ＣＰ Ａ</v>
      </c>
      <c r="H2664" s="340">
        <f t="shared" si="3"/>
        <v>41.7</v>
      </c>
      <c r="I2664" s="341">
        <v>0.5</v>
      </c>
      <c r="J2664" s="332">
        <f>IFERROR(__xludf.DUMMYFUNCTION("IF(IF(COUNTIF(P$2:P2663, P2664)=0, """", INDEX(H$2:H2663,
MAX(FILTER(ROW(H$2:H2663) - ROW(H$2) + 1, P$2:P2663 = P2664))))=""単価"","""",
IF(COUNTIF(P$2:P2663, P2664)=0, """", INDEX(H$2:H2663,
MAX(FILTER(ROW(H$2:H2663) - ROW(H$2) + 1, P$2:P2663 = P2664)))))"),41.2)</f>
        <v>41.2</v>
      </c>
      <c r="N2664" s="335" t="str">
        <f>IF(MAXIFS('単価履歴'!$O:$O,'単価履歴'!$E:$E,E2664,'単価履歴'!$F:$F,F2664)=O2664,"●","")</f>
        <v/>
      </c>
      <c r="O2664" s="346">
        <v>45940.27285879629</v>
      </c>
      <c r="P2664" s="334" t="str">
        <f t="shared" si="4"/>
        <v>岸和田:豊通ＣＰ Ａ</v>
      </c>
    </row>
    <row r="2665" ht="15.75" customHeight="1">
      <c r="A2665" s="335" t="s">
        <v>3814</v>
      </c>
      <c r="B2665" s="336">
        <v>45940.0</v>
      </c>
      <c r="C2665" s="335" t="s">
        <v>5</v>
      </c>
      <c r="D2665" s="335" t="s">
        <v>46</v>
      </c>
      <c r="E2665" s="337" t="str">
        <f t="shared" si="1"/>
        <v>中山製鋼:阪和</v>
      </c>
      <c r="F2665" s="338" t="s">
        <v>101</v>
      </c>
      <c r="G2665" s="339" t="str">
        <f t="shared" si="2"/>
        <v>中山製鋼:阪和ＨＳ２</v>
      </c>
      <c r="H2665" s="340">
        <f t="shared" si="3"/>
        <v>42.9</v>
      </c>
      <c r="I2665" s="341">
        <v>0.5</v>
      </c>
      <c r="J2665" s="332">
        <f>IFERROR(__xludf.DUMMYFUNCTION("IF(IF(COUNTIF(P$2:P2664, P2665)=0, """", INDEX(H$2:H2664,
MAX(FILTER(ROW(H$2:H2664) - ROW(H$2) + 1, P$2:P2664 = P2665))))=""単価"","""",
IF(COUNTIF(P$2:P2664, P2665)=0, """", INDEX(H$2:H2664,
MAX(FILTER(ROW(H$2:H2664) - ROW(H$2) + 1, P$2:P2664 = P2665)))))"),42.4)</f>
        <v>42.4</v>
      </c>
      <c r="N2665" s="335" t="str">
        <f>IF(MAXIFS('単価履歴'!$O:$O,'単価履歴'!$E:$E,E2665,'単価履歴'!$F:$F,F2665)=O2665,"●","")</f>
        <v/>
      </c>
      <c r="O2665" s="346">
        <v>45940.27328703704</v>
      </c>
      <c r="P2665" s="334" t="str">
        <f t="shared" si="4"/>
        <v>中山製鋼:阪和ＨＳ２</v>
      </c>
    </row>
    <row r="2666" ht="15.75" customHeight="1">
      <c r="A2666" s="335" t="s">
        <v>3815</v>
      </c>
      <c r="B2666" s="336">
        <v>45940.0</v>
      </c>
      <c r="C2666" s="335" t="s">
        <v>5</v>
      </c>
      <c r="D2666" s="335" t="s">
        <v>46</v>
      </c>
      <c r="E2666" s="337" t="str">
        <f t="shared" si="1"/>
        <v>中山製鋼:阪和</v>
      </c>
      <c r="F2666" s="338" t="s">
        <v>108</v>
      </c>
      <c r="G2666" s="339" t="str">
        <f t="shared" si="2"/>
        <v>中山製鋼:阪和Ｈ１/ｻﾑﾃｯｸ</v>
      </c>
      <c r="H2666" s="340">
        <f t="shared" si="3"/>
        <v>0</v>
      </c>
      <c r="I2666" s="341">
        <v>0.5</v>
      </c>
      <c r="J2666" s="332">
        <f>IFERROR(__xludf.DUMMYFUNCTION("IF(IF(COUNTIF(P$2:P2665, P2666)=0, """", INDEX(H$2:H2665,
MAX(FILTER(ROW(H$2:H2665) - ROW(H$2) + 1, P$2:P2665 = P2666))))=""単価"","""",
IF(COUNTIF(P$2:P2665, P2666)=0, """", INDEX(H$2:H2665,
MAX(FILTER(ROW(H$2:H2665) - ROW(H$2) + 1, P$2:P2665 = P2666)))))"),-0.5)</f>
        <v>-0.5</v>
      </c>
      <c r="N2666" s="335" t="str">
        <f>IF(MAXIFS('単価履歴'!$O:$O,'単価履歴'!$E:$E,E2666,'単価履歴'!$F:$F,F2666)=O2666,"●","")</f>
        <v/>
      </c>
      <c r="O2666" s="346">
        <v>45940.27328703704</v>
      </c>
      <c r="P2666" s="334" t="str">
        <f t="shared" si="4"/>
        <v>中山製鋼:阪和Ｈ１/ｻﾑﾃｯｸ</v>
      </c>
    </row>
    <row r="2667" ht="15.75" customHeight="1">
      <c r="A2667" s="335" t="s">
        <v>3816</v>
      </c>
      <c r="B2667" s="336">
        <v>45940.0</v>
      </c>
      <c r="C2667" s="335" t="s">
        <v>5</v>
      </c>
      <c r="D2667" s="335" t="s">
        <v>46</v>
      </c>
      <c r="E2667" s="337" t="str">
        <f t="shared" si="1"/>
        <v>中山製鋼:阪和</v>
      </c>
      <c r="F2667" s="338" t="s">
        <v>111</v>
      </c>
      <c r="G2667" s="339" t="str">
        <f t="shared" si="2"/>
        <v>中山製鋼:阪和Ｈ１(特A)</v>
      </c>
      <c r="H2667" s="340">
        <f t="shared" si="3"/>
        <v>40.5</v>
      </c>
      <c r="I2667" s="341">
        <v>0.5</v>
      </c>
      <c r="J2667" s="332">
        <f>IFERROR(__xludf.DUMMYFUNCTION("IF(IF(COUNTIF(P$2:P2666, P2667)=0, """", INDEX(H$2:H2666,
MAX(FILTER(ROW(H$2:H2666) - ROW(H$2) + 1, P$2:P2666 = P2667))))=""単価"","""",
IF(COUNTIF(P$2:P2666, P2667)=0, """", INDEX(H$2:H2666,
MAX(FILTER(ROW(H$2:H2666) - ROW(H$2) + 1, P$2:P2666 = P2667)))))"),40.0)</f>
        <v>40</v>
      </c>
      <c r="N2667" s="335" t="str">
        <f>IF(MAXIFS('単価履歴'!$O:$O,'単価履歴'!$E:$E,E2667,'単価履歴'!$F:$F,F2667)=O2667,"●","")</f>
        <v/>
      </c>
      <c r="O2667" s="346">
        <v>45940.27328703704</v>
      </c>
      <c r="P2667" s="334" t="str">
        <f t="shared" si="4"/>
        <v>中山製鋼:阪和Ｈ１(特A)</v>
      </c>
    </row>
    <row r="2668" ht="15.75" customHeight="1">
      <c r="A2668" s="335" t="s">
        <v>3817</v>
      </c>
      <c r="B2668" s="336">
        <v>45940.0</v>
      </c>
      <c r="C2668" s="335" t="s">
        <v>5</v>
      </c>
      <c r="D2668" s="335" t="s">
        <v>46</v>
      </c>
      <c r="E2668" s="337" t="str">
        <f t="shared" si="1"/>
        <v>中山製鋼:阪和</v>
      </c>
      <c r="F2668" s="338" t="s">
        <v>116</v>
      </c>
      <c r="G2668" s="339" t="str">
        <f t="shared" si="2"/>
        <v>中山製鋼:阪和Ｈ２(特級)</v>
      </c>
      <c r="H2668" s="340">
        <f t="shared" si="3"/>
        <v>35.8</v>
      </c>
      <c r="I2668" s="341">
        <v>0.5</v>
      </c>
      <c r="J2668" s="332">
        <f>IFERROR(__xludf.DUMMYFUNCTION("IF(IF(COUNTIF(P$2:P2667, P2668)=0, """", INDEX(H$2:H2667,
MAX(FILTER(ROW(H$2:H2667) - ROW(H$2) + 1, P$2:P2667 = P2668))))=""単価"","""",
IF(COUNTIF(P$2:P2667, P2668)=0, """", INDEX(H$2:H2667,
MAX(FILTER(ROW(H$2:H2667) - ROW(H$2) + 1, P$2:P2667 = P2668)))))"),35.3)</f>
        <v>35.3</v>
      </c>
      <c r="N2668" s="335" t="str">
        <f>IF(MAXIFS('単価履歴'!$O:$O,'単価履歴'!$E:$E,E2668,'単価履歴'!$F:$F,F2668)=O2668,"●","")</f>
        <v/>
      </c>
      <c r="O2668" s="346">
        <v>45940.27328703704</v>
      </c>
      <c r="P2668" s="334" t="str">
        <f t="shared" si="4"/>
        <v>中山製鋼:阪和Ｈ２(特級)</v>
      </c>
    </row>
    <row r="2669" ht="15.75" customHeight="1">
      <c r="A2669" s="335" t="s">
        <v>3818</v>
      </c>
      <c r="B2669" s="336">
        <v>45940.0</v>
      </c>
      <c r="C2669" s="335" t="s">
        <v>5</v>
      </c>
      <c r="D2669" s="335" t="s">
        <v>46</v>
      </c>
      <c r="E2669" s="337" t="str">
        <f t="shared" si="1"/>
        <v>中山製鋼:阪和</v>
      </c>
      <c r="F2669" s="338" t="s">
        <v>119</v>
      </c>
      <c r="G2669" s="339" t="str">
        <f t="shared" si="2"/>
        <v>中山製鋼:阪和Ｈ３(1級)</v>
      </c>
      <c r="H2669" s="340">
        <f t="shared" si="3"/>
        <v>31.8</v>
      </c>
      <c r="I2669" s="341">
        <v>0.5</v>
      </c>
      <c r="J2669" s="332">
        <f>IFERROR(__xludf.DUMMYFUNCTION("IF(IF(COUNTIF(P$2:P2668, P2669)=0, """", INDEX(H$2:H2668,
MAX(FILTER(ROW(H$2:H2668) - ROW(H$2) + 1, P$2:P2668 = P2669))))=""単価"","""",
IF(COUNTIF(P$2:P2668, P2669)=0, """", INDEX(H$2:H2668,
MAX(FILTER(ROW(H$2:H2668) - ROW(H$2) + 1, P$2:P2668 = P2669)))))"),31.299999999999997)</f>
        <v>31.3</v>
      </c>
      <c r="N2669" s="335" t="str">
        <f>IF(MAXIFS('単価履歴'!$O:$O,'単価履歴'!$E:$E,E2669,'単価履歴'!$F:$F,F2669)=O2669,"●","")</f>
        <v/>
      </c>
      <c r="O2669" s="346">
        <v>45940.27328703704</v>
      </c>
      <c r="P2669" s="334" t="str">
        <f t="shared" si="4"/>
        <v>中山製鋼:阪和Ｈ３(1級)</v>
      </c>
    </row>
    <row r="2670" ht="15.75" customHeight="1">
      <c r="A2670" s="335" t="s">
        <v>3819</v>
      </c>
      <c r="B2670" s="336">
        <v>45940.0</v>
      </c>
      <c r="C2670" s="335" t="s">
        <v>5</v>
      </c>
      <c r="D2670" s="335" t="s">
        <v>46</v>
      </c>
      <c r="E2670" s="337" t="str">
        <f t="shared" si="1"/>
        <v>中山製鋼:阪和</v>
      </c>
      <c r="F2670" s="338" t="s">
        <v>122</v>
      </c>
      <c r="G2670" s="339" t="str">
        <f t="shared" si="2"/>
        <v>中山製鋼:阪和Ｌ１(2級)</v>
      </c>
      <c r="H2670" s="340">
        <f t="shared" si="3"/>
        <v>25.3</v>
      </c>
      <c r="I2670" s="341">
        <v>0.5</v>
      </c>
      <c r="J2670" s="332">
        <f>IFERROR(__xludf.DUMMYFUNCTION("IF(IF(COUNTIF(P$2:P2669, P2670)=0, """", INDEX(H$2:H2669,
MAX(FILTER(ROW(H$2:H2669) - ROW(H$2) + 1, P$2:P2669 = P2670))))=""単価"","""",
IF(COUNTIF(P$2:P2669, P2670)=0, """", INDEX(H$2:H2669,
MAX(FILTER(ROW(H$2:H2669) - ROW(H$2) + 1, P$2:P2669 = P2670)))))"),24.8)</f>
        <v>24.8</v>
      </c>
      <c r="N2670" s="335" t="str">
        <f>IF(MAXIFS('単価履歴'!$O:$O,'単価履歴'!$E:$E,E2670,'単価履歴'!$F:$F,F2670)=O2670,"●","")</f>
        <v/>
      </c>
      <c r="O2670" s="346">
        <v>45940.27328703704</v>
      </c>
      <c r="P2670" s="334" t="str">
        <f t="shared" si="4"/>
        <v>中山製鋼:阪和Ｌ１(2級)</v>
      </c>
    </row>
    <row r="2671" ht="15.75" customHeight="1">
      <c r="A2671" s="335" t="s">
        <v>3820</v>
      </c>
      <c r="B2671" s="336">
        <v>45940.0</v>
      </c>
      <c r="C2671" s="335" t="s">
        <v>5</v>
      </c>
      <c r="D2671" s="335" t="s">
        <v>46</v>
      </c>
      <c r="E2671" s="337" t="str">
        <f t="shared" si="1"/>
        <v>中山製鋼:阪和</v>
      </c>
      <c r="F2671" s="338" t="s">
        <v>130</v>
      </c>
      <c r="G2671" s="339" t="str">
        <f t="shared" si="2"/>
        <v>中山製鋼:阪和新断Ａ</v>
      </c>
      <c r="H2671" s="340">
        <f t="shared" si="3"/>
        <v>44.3</v>
      </c>
      <c r="I2671" s="341">
        <v>0.5</v>
      </c>
      <c r="J2671" s="332">
        <f>IFERROR(__xludf.DUMMYFUNCTION("IF(IF(COUNTIF(P$2:P2670, P2671)=0, """", INDEX(H$2:H2670,
MAX(FILTER(ROW(H$2:H2670) - ROW(H$2) + 1, P$2:P2670 = P2671))))=""単価"","""",
IF(COUNTIF(P$2:P2670, P2671)=0, """", INDEX(H$2:H2670,
MAX(FILTER(ROW(H$2:H2670) - ROW(H$2) + 1, P$2:P2670 = P2671)))))"),43.8)</f>
        <v>43.8</v>
      </c>
      <c r="N2671" s="335" t="str">
        <f>IF(MAXIFS('単価履歴'!$O:$O,'単価履歴'!$E:$E,E2671,'単価履歴'!$F:$F,F2671)=O2671,"●","")</f>
        <v/>
      </c>
      <c r="O2671" s="346">
        <v>45940.27328703704</v>
      </c>
      <c r="P2671" s="334" t="str">
        <f t="shared" si="4"/>
        <v>中山製鋼:阪和新断Ａ</v>
      </c>
    </row>
    <row r="2672" ht="15.75" customHeight="1">
      <c r="A2672" s="335" t="s">
        <v>3821</v>
      </c>
      <c r="B2672" s="336">
        <v>45940.0</v>
      </c>
      <c r="C2672" s="335" t="s">
        <v>5</v>
      </c>
      <c r="D2672" s="335" t="s">
        <v>46</v>
      </c>
      <c r="E2672" s="337" t="str">
        <f t="shared" si="1"/>
        <v>中山製鋼:阪和</v>
      </c>
      <c r="F2672" s="338" t="s">
        <v>131</v>
      </c>
      <c r="G2672" s="339" t="str">
        <f t="shared" si="2"/>
        <v>中山製鋼:阪和新断Ｂ</v>
      </c>
      <c r="H2672" s="340">
        <f t="shared" si="3"/>
        <v>43.3</v>
      </c>
      <c r="I2672" s="341">
        <v>0.5</v>
      </c>
      <c r="J2672" s="332">
        <f>IFERROR(__xludf.DUMMYFUNCTION("IF(IF(COUNTIF(P$2:P2671, P2672)=0, """", INDEX(H$2:H2671,
MAX(FILTER(ROW(H$2:H2671) - ROW(H$2) + 1, P$2:P2671 = P2672))))=""単価"","""",
IF(COUNTIF(P$2:P2671, P2672)=0, """", INDEX(H$2:H2671,
MAX(FILTER(ROW(H$2:H2671) - ROW(H$2) + 1, P$2:P2671 = P2672)))))"),42.8)</f>
        <v>42.8</v>
      </c>
      <c r="N2672" s="335" t="str">
        <f>IF(MAXIFS('単価履歴'!$O:$O,'単価履歴'!$E:$E,E2672,'単価履歴'!$F:$F,F2672)=O2672,"●","")</f>
        <v/>
      </c>
      <c r="O2672" s="346">
        <v>45940.27328703704</v>
      </c>
      <c r="P2672" s="334" t="str">
        <f t="shared" si="4"/>
        <v>中山製鋼:阪和新断Ｂ</v>
      </c>
    </row>
    <row r="2673" ht="15.75" customHeight="1">
      <c r="A2673" s="335" t="s">
        <v>3822</v>
      </c>
      <c r="B2673" s="336">
        <v>45940.0</v>
      </c>
      <c r="C2673" s="335" t="s">
        <v>5</v>
      </c>
      <c r="D2673" s="335" t="s">
        <v>46</v>
      </c>
      <c r="E2673" s="337" t="str">
        <f t="shared" si="1"/>
        <v>中山製鋼:阪和</v>
      </c>
      <c r="F2673" s="338" t="s">
        <v>574</v>
      </c>
      <c r="G2673" s="339" t="str">
        <f t="shared" si="2"/>
        <v>中山製鋼:阪和新断Ｃ</v>
      </c>
      <c r="H2673" s="340">
        <f t="shared" si="3"/>
        <v>42.3</v>
      </c>
      <c r="I2673" s="341">
        <v>0.5</v>
      </c>
      <c r="J2673" s="332">
        <f>IFERROR(__xludf.DUMMYFUNCTION("IF(IF(COUNTIF(P$2:P2672, P2673)=0, """", INDEX(H$2:H2672,
MAX(FILTER(ROW(H$2:H2672) - ROW(H$2) + 1, P$2:P2672 = P2673))))=""単価"","""",
IF(COUNTIF(P$2:P2672, P2673)=0, """", INDEX(H$2:H2672,
MAX(FILTER(ROW(H$2:H2672) - ROW(H$2) + 1, P$2:P2672 = P2673)))))"),41.8)</f>
        <v>41.8</v>
      </c>
      <c r="N2673" s="335" t="str">
        <f>IF(MAXIFS('単価履歴'!$O:$O,'単価履歴'!$E:$E,E2673,'単価履歴'!$F:$F,F2673)=O2673,"●","")</f>
        <v/>
      </c>
      <c r="O2673" s="346">
        <v>45940.27328703704</v>
      </c>
      <c r="P2673" s="334" t="str">
        <f t="shared" si="4"/>
        <v>中山製鋼:阪和新断Ｃ</v>
      </c>
    </row>
    <row r="2674" ht="15.75" customHeight="1">
      <c r="A2674" s="335" t="s">
        <v>3823</v>
      </c>
      <c r="B2674" s="336">
        <v>45940.0</v>
      </c>
      <c r="C2674" s="335" t="s">
        <v>5</v>
      </c>
      <c r="D2674" s="335" t="s">
        <v>47</v>
      </c>
      <c r="E2674" s="337" t="str">
        <f t="shared" si="1"/>
        <v>中山製鋼:豊通</v>
      </c>
      <c r="F2674" s="338" t="s">
        <v>1199</v>
      </c>
      <c r="G2674" s="339" t="str">
        <f t="shared" si="2"/>
        <v>中山製鋼:豊通ＨＳ１(単体H1/電特A/HS))</v>
      </c>
      <c r="H2674" s="340">
        <f t="shared" si="3"/>
        <v>42.8</v>
      </c>
      <c r="I2674" s="341">
        <v>0.5</v>
      </c>
      <c r="J2674" s="332">
        <f>IFERROR(__xludf.DUMMYFUNCTION("IF(IF(COUNTIF(P$2:P2673, P2674)=0, """", INDEX(H$2:H2673,
MAX(FILTER(ROW(H$2:H2673) - ROW(H$2) + 1, P$2:P2673 = P2674))))=""単価"","""",
IF(COUNTIF(P$2:P2673, P2674)=0, """", INDEX(H$2:H2673,
MAX(FILTER(ROW(H$2:H2673) - ROW(H$2) + 1, P$2:P2673 = P2674)))))"),42.3)</f>
        <v>42.3</v>
      </c>
      <c r="N2674" s="335" t="str">
        <f>IF(MAXIFS('単価履歴'!$O:$O,'単価履歴'!$E:$E,E2674,'単価履歴'!$F:$F,F2674)=O2674,"●","")</f>
        <v/>
      </c>
      <c r="O2674" s="346">
        <v>45940.27364583334</v>
      </c>
      <c r="P2674" s="334" t="str">
        <f t="shared" si="4"/>
        <v>中山製鋼:豊通ＨＳ１(単体H1/電特A/HS))</v>
      </c>
    </row>
    <row r="2675" ht="15.75" customHeight="1">
      <c r="A2675" s="335" t="s">
        <v>3824</v>
      </c>
      <c r="B2675" s="336">
        <v>45940.0</v>
      </c>
      <c r="C2675" s="335" t="s">
        <v>5</v>
      </c>
      <c r="D2675" s="335" t="s">
        <v>47</v>
      </c>
      <c r="E2675" s="337" t="str">
        <f t="shared" si="1"/>
        <v>中山製鋼:豊通</v>
      </c>
      <c r="F2675" s="338" t="s">
        <v>101</v>
      </c>
      <c r="G2675" s="339" t="str">
        <f t="shared" si="2"/>
        <v>中山製鋼:豊通ＨＳ２</v>
      </c>
      <c r="H2675" s="340">
        <f t="shared" si="3"/>
        <v>42.8</v>
      </c>
      <c r="I2675" s="341">
        <v>0.5</v>
      </c>
      <c r="J2675" s="332">
        <f>IFERROR(__xludf.DUMMYFUNCTION("IF(IF(COUNTIF(P$2:P2674, P2675)=0, """", INDEX(H$2:H2674,
MAX(FILTER(ROW(H$2:H2674) - ROW(H$2) + 1, P$2:P2674 = P2675))))=""単価"","""",
IF(COUNTIF(P$2:P2674, P2675)=0, """", INDEX(H$2:H2674,
MAX(FILTER(ROW(H$2:H2674) - ROW(H$2) + 1, P$2:P2674 = P2675)))))"),42.3)</f>
        <v>42.3</v>
      </c>
      <c r="N2675" s="335" t="str">
        <f>IF(MAXIFS('単価履歴'!$O:$O,'単価履歴'!$E:$E,E2675,'単価履歴'!$F:$F,F2675)=O2675,"●","")</f>
        <v/>
      </c>
      <c r="O2675" s="346">
        <v>45940.27364583334</v>
      </c>
      <c r="P2675" s="334" t="str">
        <f t="shared" si="4"/>
        <v>中山製鋼:豊通ＨＳ２</v>
      </c>
    </row>
    <row r="2676" ht="15.75" customHeight="1">
      <c r="A2676" s="335" t="s">
        <v>3825</v>
      </c>
      <c r="B2676" s="336">
        <v>45940.0</v>
      </c>
      <c r="C2676" s="335" t="s">
        <v>5</v>
      </c>
      <c r="D2676" s="335" t="s">
        <v>47</v>
      </c>
      <c r="E2676" s="337" t="str">
        <f t="shared" si="1"/>
        <v>中山製鋼:豊通</v>
      </c>
      <c r="F2676" s="338" t="s">
        <v>108</v>
      </c>
      <c r="G2676" s="339" t="str">
        <f t="shared" si="2"/>
        <v>中山製鋼:豊通Ｈ１/ｻﾑﾃｯｸ</v>
      </c>
      <c r="H2676" s="340">
        <f t="shared" si="3"/>
        <v>0</v>
      </c>
      <c r="I2676" s="341">
        <v>0.5</v>
      </c>
      <c r="J2676" s="332">
        <f>IFERROR(__xludf.DUMMYFUNCTION("IF(IF(COUNTIF(P$2:P2675, P2676)=0, """", INDEX(H$2:H2675,
MAX(FILTER(ROW(H$2:H2675) - ROW(H$2) + 1, P$2:P2675 = P2676))))=""単価"","""",
IF(COUNTIF(P$2:P2675, P2676)=0, """", INDEX(H$2:H2675,
MAX(FILTER(ROW(H$2:H2675) - ROW(H$2) + 1, P$2:P2675 = P2676)))))"),-0.5)</f>
        <v>-0.5</v>
      </c>
      <c r="N2676" s="335" t="str">
        <f>IF(MAXIFS('単価履歴'!$O:$O,'単価履歴'!$E:$E,E2676,'単価履歴'!$F:$F,F2676)=O2676,"●","")</f>
        <v/>
      </c>
      <c r="O2676" s="346">
        <v>45940.27364583334</v>
      </c>
      <c r="P2676" s="334" t="str">
        <f t="shared" si="4"/>
        <v>中山製鋼:豊通Ｈ１/ｻﾑﾃｯｸ</v>
      </c>
    </row>
    <row r="2677" ht="15.75" customHeight="1">
      <c r="A2677" s="335" t="s">
        <v>3826</v>
      </c>
      <c r="B2677" s="336">
        <v>45940.0</v>
      </c>
      <c r="C2677" s="335" t="s">
        <v>5</v>
      </c>
      <c r="D2677" s="335" t="s">
        <v>47</v>
      </c>
      <c r="E2677" s="337" t="str">
        <f t="shared" si="1"/>
        <v>中山製鋼:豊通</v>
      </c>
      <c r="F2677" s="338" t="s">
        <v>111</v>
      </c>
      <c r="G2677" s="339" t="str">
        <f t="shared" si="2"/>
        <v>中山製鋼:豊通Ｈ１(特A)</v>
      </c>
      <c r="H2677" s="340">
        <f t="shared" si="3"/>
        <v>41.8</v>
      </c>
      <c r="I2677" s="341">
        <v>0.5</v>
      </c>
      <c r="J2677" s="332">
        <f>IFERROR(__xludf.DUMMYFUNCTION("IF(IF(COUNTIF(P$2:P2676, P2677)=0, """", INDEX(H$2:H2676,
MAX(FILTER(ROW(H$2:H2676) - ROW(H$2) + 1, P$2:P2676 = P2677))))=""単価"","""",
IF(COUNTIF(P$2:P2676, P2677)=0, """", INDEX(H$2:H2676,
MAX(FILTER(ROW(H$2:H2676) - ROW(H$2) + 1, P$2:P2676 = P2677)))))"),41.3)</f>
        <v>41.3</v>
      </c>
      <c r="N2677" s="335" t="str">
        <f>IF(MAXIFS('単価履歴'!$O:$O,'単価履歴'!$E:$E,E2677,'単価履歴'!$F:$F,F2677)=O2677,"●","")</f>
        <v/>
      </c>
      <c r="O2677" s="346">
        <v>45940.27364583334</v>
      </c>
      <c r="P2677" s="334" t="str">
        <f t="shared" si="4"/>
        <v>中山製鋼:豊通Ｈ１(特A)</v>
      </c>
    </row>
    <row r="2678" ht="15.75" customHeight="1">
      <c r="A2678" s="335" t="s">
        <v>3827</v>
      </c>
      <c r="B2678" s="336">
        <v>45940.0</v>
      </c>
      <c r="C2678" s="335" t="s">
        <v>5</v>
      </c>
      <c r="D2678" s="335" t="s">
        <v>47</v>
      </c>
      <c r="E2678" s="337" t="str">
        <f t="shared" si="1"/>
        <v>中山製鋼:豊通</v>
      </c>
      <c r="F2678" s="338" t="s">
        <v>116</v>
      </c>
      <c r="G2678" s="339" t="str">
        <f t="shared" si="2"/>
        <v>中山製鋼:豊通Ｈ２(特級)</v>
      </c>
      <c r="H2678" s="340">
        <f t="shared" si="3"/>
        <v>35.8</v>
      </c>
      <c r="I2678" s="341">
        <v>0.5</v>
      </c>
      <c r="J2678" s="332">
        <f>IFERROR(__xludf.DUMMYFUNCTION("IF(IF(COUNTIF(P$2:P2677, P2678)=0, """", INDEX(H$2:H2677,
MAX(FILTER(ROW(H$2:H2677) - ROW(H$2) + 1, P$2:P2677 = P2678))))=""単価"","""",
IF(COUNTIF(P$2:P2677, P2678)=0, """", INDEX(H$2:H2677,
MAX(FILTER(ROW(H$2:H2677) - ROW(H$2) + 1, P$2:P2677 = P2678)))))"),35.3)</f>
        <v>35.3</v>
      </c>
      <c r="N2678" s="335" t="str">
        <f>IF(MAXIFS('単価履歴'!$O:$O,'単価履歴'!$E:$E,E2678,'単価履歴'!$F:$F,F2678)=O2678,"●","")</f>
        <v/>
      </c>
      <c r="O2678" s="346">
        <v>45940.27364583334</v>
      </c>
      <c r="P2678" s="334" t="str">
        <f t="shared" si="4"/>
        <v>中山製鋼:豊通Ｈ２(特級)</v>
      </c>
    </row>
    <row r="2679" ht="15.75" customHeight="1">
      <c r="A2679" s="335" t="s">
        <v>3828</v>
      </c>
      <c r="B2679" s="336">
        <v>45940.0</v>
      </c>
      <c r="C2679" s="335" t="s">
        <v>5</v>
      </c>
      <c r="D2679" s="335" t="s">
        <v>47</v>
      </c>
      <c r="E2679" s="337" t="str">
        <f t="shared" si="1"/>
        <v>中山製鋼:豊通</v>
      </c>
      <c r="F2679" s="338" t="s">
        <v>119</v>
      </c>
      <c r="G2679" s="339" t="str">
        <f t="shared" si="2"/>
        <v>中山製鋼:豊通Ｈ３(1級)</v>
      </c>
      <c r="H2679" s="340">
        <f t="shared" si="3"/>
        <v>31.8</v>
      </c>
      <c r="I2679" s="341">
        <v>0.5</v>
      </c>
      <c r="J2679" s="332">
        <f>IFERROR(__xludf.DUMMYFUNCTION("IF(IF(COUNTIF(P$2:P2678, P2679)=0, """", INDEX(H$2:H2678,
MAX(FILTER(ROW(H$2:H2678) - ROW(H$2) + 1, P$2:P2678 = P2679))))=""単価"","""",
IF(COUNTIF(P$2:P2678, P2679)=0, """", INDEX(H$2:H2678,
MAX(FILTER(ROW(H$2:H2678) - ROW(H$2) + 1, P$2:P2678 = P2679)))))"),31.299999999999997)</f>
        <v>31.3</v>
      </c>
      <c r="N2679" s="335" t="str">
        <f>IF(MAXIFS('単価履歴'!$O:$O,'単価履歴'!$E:$E,E2679,'単価履歴'!$F:$F,F2679)=O2679,"●","")</f>
        <v/>
      </c>
      <c r="O2679" s="346">
        <v>45940.27364583334</v>
      </c>
      <c r="P2679" s="334" t="str">
        <f t="shared" si="4"/>
        <v>中山製鋼:豊通Ｈ３(1級)</v>
      </c>
    </row>
    <row r="2680" ht="15.75" customHeight="1">
      <c r="A2680" s="335" t="s">
        <v>3829</v>
      </c>
      <c r="B2680" s="336">
        <v>45940.0</v>
      </c>
      <c r="C2680" s="335" t="s">
        <v>5</v>
      </c>
      <c r="D2680" s="335" t="s">
        <v>47</v>
      </c>
      <c r="E2680" s="337" t="str">
        <f t="shared" si="1"/>
        <v>中山製鋼:豊通</v>
      </c>
      <c r="F2680" s="338" t="s">
        <v>122</v>
      </c>
      <c r="G2680" s="339" t="str">
        <f t="shared" si="2"/>
        <v>中山製鋼:豊通Ｌ１(2級)</v>
      </c>
      <c r="H2680" s="340">
        <f t="shared" si="3"/>
        <v>25.3</v>
      </c>
      <c r="I2680" s="341">
        <v>0.5</v>
      </c>
      <c r="J2680" s="332">
        <f>IFERROR(__xludf.DUMMYFUNCTION("IF(IF(COUNTIF(P$2:P2679, P2680)=0, """", INDEX(H$2:H2679,
MAX(FILTER(ROW(H$2:H2679) - ROW(H$2) + 1, P$2:P2679 = P2680))))=""単価"","""",
IF(COUNTIF(P$2:P2679, P2680)=0, """", INDEX(H$2:H2679,
MAX(FILTER(ROW(H$2:H2679) - ROW(H$2) + 1, P$2:P2679 = P2680)))))"),24.8)</f>
        <v>24.8</v>
      </c>
      <c r="N2680" s="335" t="str">
        <f>IF(MAXIFS('単価履歴'!$O:$O,'単価履歴'!$E:$E,E2680,'単価履歴'!$F:$F,F2680)=O2680,"●","")</f>
        <v/>
      </c>
      <c r="O2680" s="346">
        <v>45940.27364583334</v>
      </c>
      <c r="P2680" s="334" t="str">
        <f t="shared" si="4"/>
        <v>中山製鋼:豊通Ｌ１(2級)</v>
      </c>
    </row>
    <row r="2681" ht="15.75" customHeight="1">
      <c r="A2681" s="335" t="s">
        <v>3830</v>
      </c>
      <c r="B2681" s="336">
        <v>45940.0</v>
      </c>
      <c r="C2681" s="335" t="s">
        <v>5</v>
      </c>
      <c r="D2681" s="335" t="s">
        <v>47</v>
      </c>
      <c r="E2681" s="337" t="str">
        <f t="shared" si="1"/>
        <v>中山製鋼:豊通</v>
      </c>
      <c r="F2681" s="338" t="s">
        <v>130</v>
      </c>
      <c r="G2681" s="339" t="str">
        <f t="shared" si="2"/>
        <v>中山製鋼:豊通新断Ａ</v>
      </c>
      <c r="H2681" s="340">
        <f t="shared" si="3"/>
        <v>44.3</v>
      </c>
      <c r="I2681" s="341">
        <v>0.5</v>
      </c>
      <c r="J2681" s="332">
        <f>IFERROR(__xludf.DUMMYFUNCTION("IF(IF(COUNTIF(P$2:P2680, P2681)=0, """", INDEX(H$2:H2680,
MAX(FILTER(ROW(H$2:H2680) - ROW(H$2) + 1, P$2:P2680 = P2681))))=""単価"","""",
IF(COUNTIF(P$2:P2680, P2681)=0, """", INDEX(H$2:H2680,
MAX(FILTER(ROW(H$2:H2680) - ROW(H$2) + 1, P$2:P2680 = P2681)))))"),43.8)</f>
        <v>43.8</v>
      </c>
      <c r="N2681" s="335" t="str">
        <f>IF(MAXIFS('単価履歴'!$O:$O,'単価履歴'!$E:$E,E2681,'単価履歴'!$F:$F,F2681)=O2681,"●","")</f>
        <v/>
      </c>
      <c r="O2681" s="346">
        <v>45940.27364583334</v>
      </c>
      <c r="P2681" s="334" t="str">
        <f t="shared" si="4"/>
        <v>中山製鋼:豊通新断Ａ</v>
      </c>
    </row>
    <row r="2682" ht="15.75" customHeight="1">
      <c r="A2682" s="335" t="s">
        <v>3831</v>
      </c>
      <c r="B2682" s="336">
        <v>45940.0</v>
      </c>
      <c r="C2682" s="335" t="s">
        <v>5</v>
      </c>
      <c r="D2682" s="335" t="s">
        <v>47</v>
      </c>
      <c r="E2682" s="337" t="str">
        <f t="shared" si="1"/>
        <v>中山製鋼:豊通</v>
      </c>
      <c r="F2682" s="338" t="s">
        <v>131</v>
      </c>
      <c r="G2682" s="339" t="str">
        <f t="shared" si="2"/>
        <v>中山製鋼:豊通新断Ｂ</v>
      </c>
      <c r="H2682" s="340">
        <f t="shared" si="3"/>
        <v>43.3</v>
      </c>
      <c r="I2682" s="341">
        <v>0.5</v>
      </c>
      <c r="J2682" s="332">
        <f>IFERROR(__xludf.DUMMYFUNCTION("IF(IF(COUNTIF(P$2:P2681, P2682)=0, """", INDEX(H$2:H2681,
MAX(FILTER(ROW(H$2:H2681) - ROW(H$2) + 1, P$2:P2681 = P2682))))=""単価"","""",
IF(COUNTIF(P$2:P2681, P2682)=0, """", INDEX(H$2:H2681,
MAX(FILTER(ROW(H$2:H2681) - ROW(H$2) + 1, P$2:P2681 = P2682)))))"),42.8)</f>
        <v>42.8</v>
      </c>
      <c r="N2682" s="335" t="str">
        <f>IF(MAXIFS('単価履歴'!$O:$O,'単価履歴'!$E:$E,E2682,'単価履歴'!$F:$F,F2682)=O2682,"●","")</f>
        <v/>
      </c>
      <c r="O2682" s="346">
        <v>45940.27364583334</v>
      </c>
      <c r="P2682" s="334" t="str">
        <f t="shared" si="4"/>
        <v>中山製鋼:豊通新断Ｂ</v>
      </c>
    </row>
    <row r="2683" ht="15.75" customHeight="1">
      <c r="A2683" s="335" t="s">
        <v>3832</v>
      </c>
      <c r="B2683" s="336">
        <v>45940.0</v>
      </c>
      <c r="C2683" s="335" t="s">
        <v>5</v>
      </c>
      <c r="D2683" s="335" t="s">
        <v>47</v>
      </c>
      <c r="E2683" s="337" t="str">
        <f t="shared" si="1"/>
        <v>中山製鋼:豊通</v>
      </c>
      <c r="F2683" s="338" t="s">
        <v>574</v>
      </c>
      <c r="G2683" s="339" t="str">
        <f t="shared" si="2"/>
        <v>中山製鋼:豊通新断Ｃ</v>
      </c>
      <c r="H2683" s="340">
        <f t="shared" si="3"/>
        <v>42.3</v>
      </c>
      <c r="I2683" s="341">
        <v>0.5</v>
      </c>
      <c r="J2683" s="332">
        <f>IFERROR(__xludf.DUMMYFUNCTION("IF(IF(COUNTIF(P$2:P2682, P2683)=0, """", INDEX(H$2:H2682,
MAX(FILTER(ROW(H$2:H2682) - ROW(H$2) + 1, P$2:P2682 = P2683))))=""単価"","""",
IF(COUNTIF(P$2:P2682, P2683)=0, """", INDEX(H$2:H2682,
MAX(FILTER(ROW(H$2:H2682) - ROW(H$2) + 1, P$2:P2682 = P2683)))))"),41.8)</f>
        <v>41.8</v>
      </c>
      <c r="N2683" s="335" t="str">
        <f>IF(MAXIFS('単価履歴'!$O:$O,'単価履歴'!$E:$E,E2683,'単価履歴'!$F:$F,F2683)=O2683,"●","")</f>
        <v/>
      </c>
      <c r="O2683" s="346">
        <v>45940.27364583334</v>
      </c>
      <c r="P2683" s="334" t="str">
        <f t="shared" si="4"/>
        <v>中山製鋼:豊通新断Ｃ</v>
      </c>
    </row>
    <row r="2684" ht="15.75" customHeight="1">
      <c r="A2684" s="335" t="s">
        <v>3833</v>
      </c>
      <c r="B2684" s="336">
        <v>45940.0</v>
      </c>
      <c r="C2684" s="335" t="s">
        <v>5</v>
      </c>
      <c r="D2684" s="335" t="s">
        <v>1232</v>
      </c>
      <c r="E2684" s="337" t="str">
        <f t="shared" si="1"/>
        <v>中山製鋼:豊通/出張商店</v>
      </c>
      <c r="F2684" s="338" t="s">
        <v>130</v>
      </c>
      <c r="G2684" s="339" t="str">
        <f t="shared" si="2"/>
        <v>中山製鋼:豊通/出張商店新断Ａ</v>
      </c>
      <c r="H2684" s="340">
        <f t="shared" si="3"/>
        <v>43.3</v>
      </c>
      <c r="I2684" s="341">
        <v>0.5</v>
      </c>
      <c r="J2684" s="332">
        <f>IFERROR(__xludf.DUMMYFUNCTION("IF(IF(COUNTIF(P$2:P2683, P2684)=0, """", INDEX(H$2:H2683,
MAX(FILTER(ROW(H$2:H2683) - ROW(H$2) + 1, P$2:P2683 = P2684))))=""単価"","""",
IF(COUNTIF(P$2:P2683, P2684)=0, """", INDEX(H$2:H2683,
MAX(FILTER(ROW(H$2:H2683) - ROW(H$2) + 1, P$2:P2683 = P2684)))))"),42.8)</f>
        <v>42.8</v>
      </c>
      <c r="N2684" s="335" t="str">
        <f>IF(MAXIFS('単価履歴'!$O:$O,'単価履歴'!$E:$E,E2684,'単価履歴'!$F:$F,F2684)=O2684,"●","")</f>
        <v/>
      </c>
      <c r="O2684" s="346">
        <v>45940.27383101852</v>
      </c>
      <c r="P2684" s="334" t="str">
        <f t="shared" si="4"/>
        <v>中山製鋼:豊通/出張商店新断Ａ</v>
      </c>
    </row>
    <row r="2685" ht="15.75" customHeight="1">
      <c r="A2685" s="335" t="s">
        <v>3834</v>
      </c>
      <c r="B2685" s="336">
        <v>45940.0</v>
      </c>
      <c r="C2685" s="335" t="s">
        <v>5</v>
      </c>
      <c r="D2685" s="335" t="s">
        <v>1234</v>
      </c>
      <c r="E2685" s="337" t="str">
        <f t="shared" si="1"/>
        <v>中山製鋼:豊通/中川嘉弘商店</v>
      </c>
      <c r="F2685" s="338" t="s">
        <v>130</v>
      </c>
      <c r="G2685" s="339" t="str">
        <f t="shared" si="2"/>
        <v>中山製鋼:豊通/中川嘉弘商店新断Ａ</v>
      </c>
      <c r="H2685" s="340">
        <f t="shared" si="3"/>
        <v>41.3</v>
      </c>
      <c r="I2685" s="341">
        <v>0.5</v>
      </c>
      <c r="J2685" s="332">
        <f>IFERROR(__xludf.DUMMYFUNCTION("IF(IF(COUNTIF(P$2:P2684, P2685)=0, """", INDEX(H$2:H2684,
MAX(FILTER(ROW(H$2:H2684) - ROW(H$2) + 1, P$2:P2684 = P2685))))=""単価"","""",
IF(COUNTIF(P$2:P2684, P2685)=0, """", INDEX(H$2:H2684,
MAX(FILTER(ROW(H$2:H2684) - ROW(H$2) + 1, P$2:P2684 = P2685)))))"),40.8)</f>
        <v>40.8</v>
      </c>
      <c r="N2685" s="335" t="str">
        <f>IF(MAXIFS('単価履歴'!$O:$O,'単価履歴'!$E:$E,E2685,'単価履歴'!$F:$F,F2685)=O2685,"●","")</f>
        <v/>
      </c>
      <c r="O2685" s="346">
        <v>45940.27383101852</v>
      </c>
      <c r="P2685" s="334" t="str">
        <f t="shared" si="4"/>
        <v>中山製鋼:豊通/中川嘉弘商店新断Ａ</v>
      </c>
    </row>
    <row r="2686" ht="15.75" customHeight="1">
      <c r="A2686" s="335" t="s">
        <v>3835</v>
      </c>
      <c r="B2686" s="336">
        <v>45940.0</v>
      </c>
      <c r="C2686" s="335" t="s">
        <v>11</v>
      </c>
      <c r="D2686" s="335" t="s">
        <v>46</v>
      </c>
      <c r="E2686" s="337" t="str">
        <f t="shared" si="1"/>
        <v>ﾔﾏﾄ:阪和</v>
      </c>
      <c r="F2686" s="338" t="s">
        <v>116</v>
      </c>
      <c r="G2686" s="339" t="str">
        <f t="shared" si="2"/>
        <v>ﾔﾏﾄ:阪和Ｈ２(特級)</v>
      </c>
      <c r="H2686" s="340">
        <f t="shared" si="3"/>
        <v>42.6</v>
      </c>
      <c r="I2686" s="341">
        <v>1.0</v>
      </c>
      <c r="J2686" s="332">
        <f>IFERROR(__xludf.DUMMYFUNCTION("IF(IF(COUNTIF(P$2:P2685, P2686)=0, """", INDEX(H$2:H2685,
MAX(FILTER(ROW(H$2:H2685) - ROW(H$2) + 1, P$2:P2685 = P2686))))=""単価"","""",
IF(COUNTIF(P$2:P2685, P2686)=0, """", INDEX(H$2:H2685,
MAX(FILTER(ROW(H$2:H2685) - ROW(H$2) + 1, P$2:P2685 = P2686)))))"),41.6)</f>
        <v>41.6</v>
      </c>
      <c r="N2686" s="335" t="str">
        <f>IF(MAXIFS('単価履歴'!$O:$O,'単価履歴'!$E:$E,E2686,'単価履歴'!$F:$F,F2686)=O2686,"●","")</f>
        <v/>
      </c>
      <c r="O2686" s="346">
        <v>45940.27407407407</v>
      </c>
      <c r="P2686" s="334" t="str">
        <f t="shared" si="4"/>
        <v>ﾔﾏﾄ:阪和Ｈ２(特級)</v>
      </c>
    </row>
    <row r="2687" ht="15.75" customHeight="1">
      <c r="A2687" s="335" t="s">
        <v>3836</v>
      </c>
      <c r="B2687" s="336">
        <v>45940.0</v>
      </c>
      <c r="C2687" s="335" t="s">
        <v>11</v>
      </c>
      <c r="D2687" s="335" t="s">
        <v>46</v>
      </c>
      <c r="E2687" s="337" t="str">
        <f t="shared" si="1"/>
        <v>ﾔﾏﾄ:阪和</v>
      </c>
      <c r="F2687" s="338" t="s">
        <v>119</v>
      </c>
      <c r="G2687" s="339" t="str">
        <f t="shared" si="2"/>
        <v>ﾔﾏﾄ:阪和Ｈ３(1級)</v>
      </c>
      <c r="H2687" s="340">
        <f t="shared" si="3"/>
        <v>41.6</v>
      </c>
      <c r="I2687" s="341">
        <v>1.0</v>
      </c>
      <c r="J2687" s="332">
        <f>IFERROR(__xludf.DUMMYFUNCTION("IF(IF(COUNTIF(P$2:P2686, P2687)=0, """", INDEX(H$2:H2686,
MAX(FILTER(ROW(H$2:H2686) - ROW(H$2) + 1, P$2:P2686 = P2687))))=""単価"","""",
IF(COUNTIF(P$2:P2686, P2687)=0, """", INDEX(H$2:H2686,
MAX(FILTER(ROW(H$2:H2686) - ROW(H$2) + 1, P$2:P2686 = P2687)))))"),40.6)</f>
        <v>40.6</v>
      </c>
      <c r="N2687" s="335" t="str">
        <f>IF(MAXIFS('単価履歴'!$O:$O,'単価履歴'!$E:$E,E2687,'単価履歴'!$F:$F,F2687)=O2687,"●","")</f>
        <v/>
      </c>
      <c r="O2687" s="346">
        <v>45940.27407407407</v>
      </c>
      <c r="P2687" s="334" t="str">
        <f t="shared" si="4"/>
        <v>ﾔﾏﾄ:阪和Ｈ３(1級)</v>
      </c>
    </row>
    <row r="2688" ht="15.75" customHeight="1">
      <c r="A2688" s="335" t="s">
        <v>3837</v>
      </c>
      <c r="B2688" s="336">
        <v>45940.0</v>
      </c>
      <c r="C2688" s="335" t="s">
        <v>11</v>
      </c>
      <c r="D2688" s="335" t="s">
        <v>46</v>
      </c>
      <c r="E2688" s="337" t="str">
        <f t="shared" si="1"/>
        <v>ﾔﾏﾄ:阪和</v>
      </c>
      <c r="F2688" s="338" t="s">
        <v>122</v>
      </c>
      <c r="G2688" s="339" t="str">
        <f t="shared" si="2"/>
        <v>ﾔﾏﾄ:阪和Ｌ１(2級)</v>
      </c>
      <c r="H2688" s="340">
        <f t="shared" si="3"/>
        <v>39.6</v>
      </c>
      <c r="I2688" s="341">
        <v>1.0</v>
      </c>
      <c r="J2688" s="332">
        <f>IFERROR(__xludf.DUMMYFUNCTION("IF(IF(COUNTIF(P$2:P2687, P2688)=0, """", INDEX(H$2:H2687,
MAX(FILTER(ROW(H$2:H2687) - ROW(H$2) + 1, P$2:P2687 = P2688))))=""単価"","""",
IF(COUNTIF(P$2:P2687, P2688)=0, """", INDEX(H$2:H2687,
MAX(FILTER(ROW(H$2:H2687) - ROW(H$2) + 1, P$2:P2687 = P2688)))))"),38.6)</f>
        <v>38.6</v>
      </c>
      <c r="N2688" s="335" t="str">
        <f>IF(MAXIFS('単価履歴'!$O:$O,'単価履歴'!$E:$E,E2688,'単価履歴'!$F:$F,F2688)=O2688,"●","")</f>
        <v/>
      </c>
      <c r="O2688" s="346">
        <v>45940.27407407407</v>
      </c>
      <c r="P2688" s="334" t="str">
        <f t="shared" si="4"/>
        <v>ﾔﾏﾄ:阪和Ｌ１(2級)</v>
      </c>
    </row>
    <row r="2689" ht="15.75" customHeight="1">
      <c r="A2689" s="335" t="s">
        <v>3838</v>
      </c>
      <c r="B2689" s="336">
        <v>45940.0</v>
      </c>
      <c r="C2689" s="335" t="s">
        <v>11</v>
      </c>
      <c r="D2689" s="335" t="s">
        <v>46</v>
      </c>
      <c r="E2689" s="337" t="str">
        <f t="shared" si="1"/>
        <v>ﾔﾏﾄ:阪和</v>
      </c>
      <c r="F2689" s="338" t="s">
        <v>111</v>
      </c>
      <c r="G2689" s="339" t="str">
        <f t="shared" si="2"/>
        <v>ﾔﾏﾄ:阪和Ｈ１(特A)</v>
      </c>
      <c r="H2689" s="340">
        <f t="shared" si="3"/>
        <v>43.6</v>
      </c>
      <c r="I2689" s="341">
        <v>1.0</v>
      </c>
      <c r="J2689" s="332">
        <f>IFERROR(__xludf.DUMMYFUNCTION("IF(IF(COUNTIF(P$2:P2688, P2689)=0, """", INDEX(H$2:H2688,
MAX(FILTER(ROW(H$2:H2688) - ROW(H$2) + 1, P$2:P2688 = P2689))))=""単価"","""",
IF(COUNTIF(P$2:P2688, P2689)=0, """", INDEX(H$2:H2688,
MAX(FILTER(ROW(H$2:H2688) - ROW(H$2) + 1, P$2:P2688 = P2689)))))"),42.6)</f>
        <v>42.6</v>
      </c>
      <c r="N2689" s="335" t="str">
        <f>IF(MAXIFS('単価履歴'!$O:$O,'単価履歴'!$E:$E,E2689,'単価履歴'!$F:$F,F2689)=O2689,"●","")</f>
        <v/>
      </c>
      <c r="O2689" s="346">
        <v>45940.27407407407</v>
      </c>
      <c r="P2689" s="334" t="str">
        <f t="shared" si="4"/>
        <v>ﾔﾏﾄ:阪和Ｈ１(特A)</v>
      </c>
    </row>
    <row r="2690" ht="15.75" customHeight="1">
      <c r="A2690" s="335" t="s">
        <v>3839</v>
      </c>
      <c r="B2690" s="336">
        <v>45940.0</v>
      </c>
      <c r="C2690" s="335" t="s">
        <v>11</v>
      </c>
      <c r="D2690" s="335" t="s">
        <v>46</v>
      </c>
      <c r="E2690" s="337" t="str">
        <f t="shared" si="1"/>
        <v>ﾔﾏﾄ:阪和</v>
      </c>
      <c r="F2690" s="338" t="s">
        <v>573</v>
      </c>
      <c r="G2690" s="339" t="str">
        <f t="shared" si="2"/>
        <v>ﾔﾏﾄ:阪和Ｌ２(H4･級外･L1ﾊﾞﾗ)</v>
      </c>
      <c r="H2690" s="340">
        <f t="shared" si="3"/>
        <v>37.1</v>
      </c>
      <c r="I2690" s="341">
        <v>1.0</v>
      </c>
      <c r="J2690" s="332">
        <f>IFERROR(__xludf.DUMMYFUNCTION("IF(IF(COUNTIF(P$2:P2689, P2690)=0, """", INDEX(H$2:H2689,
MAX(FILTER(ROW(H$2:H2689) - ROW(H$2) + 1, P$2:P2689 = P2690))))=""単価"","""",
IF(COUNTIF(P$2:P2689, P2690)=0, """", INDEX(H$2:H2689,
MAX(FILTER(ROW(H$2:H2689) - ROW(H$2) + 1, P$2:P2689 = P2690)))))"),36.1)</f>
        <v>36.1</v>
      </c>
      <c r="N2690" s="335" t="str">
        <f>IF(MAXIFS('単価履歴'!$O:$O,'単価履歴'!$E:$E,E2690,'単価履歴'!$F:$F,F2690)=O2690,"●","")</f>
        <v/>
      </c>
      <c r="O2690" s="346">
        <v>45940.27407407407</v>
      </c>
      <c r="P2690" s="334" t="str">
        <f t="shared" si="4"/>
        <v>ﾔﾏﾄ:阪和Ｌ２(H4･級外･L1ﾊﾞﾗ)</v>
      </c>
    </row>
    <row r="2691" ht="15.75" customHeight="1">
      <c r="A2691" s="335" t="s">
        <v>3840</v>
      </c>
      <c r="B2691" s="336">
        <v>45940.0</v>
      </c>
      <c r="C2691" s="335" t="s">
        <v>31</v>
      </c>
      <c r="D2691" s="335" t="s">
        <v>64</v>
      </c>
      <c r="E2691" s="337" t="str">
        <f t="shared" si="1"/>
        <v>泉北中谷:ナベ双葉</v>
      </c>
      <c r="F2691" s="338" t="s">
        <v>1199</v>
      </c>
      <c r="G2691" s="339" t="str">
        <f t="shared" si="2"/>
        <v>泉北中谷:ナベ双葉ＨＳ１(単体H1/電特A/HS))</v>
      </c>
      <c r="H2691" s="340">
        <f t="shared" si="3"/>
        <v>42</v>
      </c>
      <c r="I2691" s="341">
        <v>0.5</v>
      </c>
      <c r="J2691" s="332">
        <f>IFERROR(__xludf.DUMMYFUNCTION("IF(IF(COUNTIF(P$2:P2690, P2691)=0, """", INDEX(H$2:H2690,
MAX(FILTER(ROW(H$2:H2690) - ROW(H$2) + 1, P$2:P2690 = P2691))))=""単価"","""",
IF(COUNTIF(P$2:P2690, P2691)=0, """", INDEX(H$2:H2690,
MAX(FILTER(ROW(H$2:H2690) - ROW(H$2) + 1, P$2:P2690 = P2691)))))"),41.5)</f>
        <v>41.5</v>
      </c>
      <c r="N2691" s="335" t="str">
        <f>IF(MAXIFS('単価履歴'!$O:$O,'単価履歴'!$E:$E,E2691,'単価履歴'!$F:$F,F2691)=O2691,"●","")</f>
        <v/>
      </c>
      <c r="O2691" s="346">
        <v>45940.274513888886</v>
      </c>
      <c r="P2691" s="334" t="str">
        <f t="shared" si="4"/>
        <v>泉北中谷:ナベ双葉ＨＳ１(単体H1/電特A/HS))</v>
      </c>
    </row>
    <row r="2692" ht="15.75" customHeight="1">
      <c r="A2692" s="335" t="s">
        <v>3841</v>
      </c>
      <c r="B2692" s="336">
        <v>45940.0</v>
      </c>
      <c r="C2692" s="335" t="s">
        <v>31</v>
      </c>
      <c r="D2692" s="335" t="s">
        <v>64</v>
      </c>
      <c r="E2692" s="337" t="str">
        <f t="shared" si="1"/>
        <v>泉北中谷:ナベ双葉</v>
      </c>
      <c r="F2692" s="338" t="s">
        <v>116</v>
      </c>
      <c r="G2692" s="339" t="str">
        <f t="shared" si="2"/>
        <v>泉北中谷:ナベ双葉Ｈ２(特級)</v>
      </c>
      <c r="H2692" s="340">
        <f t="shared" si="3"/>
        <v>39.5</v>
      </c>
      <c r="I2692" s="341">
        <v>0.5</v>
      </c>
      <c r="J2692" s="332">
        <f>IFERROR(__xludf.DUMMYFUNCTION("IF(IF(COUNTIF(P$2:P2691, P2692)=0, """", INDEX(H$2:H2691,
MAX(FILTER(ROW(H$2:H2691) - ROW(H$2) + 1, P$2:P2691 = P2692))))=""単価"","""",
IF(COUNTIF(P$2:P2691, P2692)=0, """", INDEX(H$2:H2691,
MAX(FILTER(ROW(H$2:H2691) - ROW(H$2) + 1, P$2:P2691 = P2692)))))"),39.0)</f>
        <v>39</v>
      </c>
      <c r="N2692" s="335" t="str">
        <f>IF(MAXIFS('単価履歴'!$O:$O,'単価履歴'!$E:$E,E2692,'単価履歴'!$F:$F,F2692)=O2692,"●","")</f>
        <v/>
      </c>
      <c r="O2692" s="346">
        <v>45940.274513888886</v>
      </c>
      <c r="P2692" s="334" t="str">
        <f t="shared" si="4"/>
        <v>泉北中谷:ナベ双葉Ｈ２(特級)</v>
      </c>
    </row>
    <row r="2693" ht="15.75" customHeight="1">
      <c r="A2693" s="335" t="s">
        <v>3842</v>
      </c>
      <c r="B2693" s="336">
        <v>45940.0</v>
      </c>
      <c r="C2693" s="335" t="s">
        <v>31</v>
      </c>
      <c r="D2693" s="335" t="s">
        <v>64</v>
      </c>
      <c r="E2693" s="337" t="str">
        <f t="shared" si="1"/>
        <v>泉北中谷:ナベ双葉</v>
      </c>
      <c r="F2693" s="338" t="s">
        <v>130</v>
      </c>
      <c r="G2693" s="339" t="str">
        <f t="shared" si="2"/>
        <v>泉北中谷:ナベ双葉新断Ａ</v>
      </c>
      <c r="H2693" s="340">
        <f t="shared" si="3"/>
        <v>42</v>
      </c>
      <c r="I2693" s="341">
        <v>0.5</v>
      </c>
      <c r="J2693" s="332">
        <f>IFERROR(__xludf.DUMMYFUNCTION("IF(IF(COUNTIF(P$2:P2692, P2693)=0, """", INDEX(H$2:H2692,
MAX(FILTER(ROW(H$2:H2692) - ROW(H$2) + 1, P$2:P2692 = P2693))))=""単価"","""",
IF(COUNTIF(P$2:P2692, P2693)=0, """", INDEX(H$2:H2692,
MAX(FILTER(ROW(H$2:H2692) - ROW(H$2) + 1, P$2:P2692 = P2693)))))"),41.5)</f>
        <v>41.5</v>
      </c>
      <c r="N2693" s="335" t="str">
        <f>IF(MAXIFS('単価履歴'!$O:$O,'単価履歴'!$E:$E,E2693,'単価履歴'!$F:$F,F2693)=O2693,"●","")</f>
        <v/>
      </c>
      <c r="O2693" s="346">
        <v>45940.274513888886</v>
      </c>
      <c r="P2693" s="334" t="str">
        <f t="shared" si="4"/>
        <v>泉北中谷:ナベ双葉新断Ａ</v>
      </c>
    </row>
    <row r="2694" ht="15.75" customHeight="1">
      <c r="A2694" s="335" t="s">
        <v>3843</v>
      </c>
      <c r="B2694" s="336">
        <v>45940.0</v>
      </c>
      <c r="C2694" s="335" t="s">
        <v>29</v>
      </c>
      <c r="D2694" s="335" t="s">
        <v>63</v>
      </c>
      <c r="E2694" s="337" t="str">
        <f t="shared" si="1"/>
        <v>南港:ﾅﾝｾｲ</v>
      </c>
      <c r="F2694" s="338" t="s">
        <v>116</v>
      </c>
      <c r="G2694" s="339" t="str">
        <f t="shared" si="2"/>
        <v>南港:ﾅﾝｾｲＨ２(特級)</v>
      </c>
      <c r="H2694" s="340">
        <f t="shared" si="3"/>
        <v>39</v>
      </c>
      <c r="I2694" s="341">
        <v>1.0</v>
      </c>
      <c r="J2694" s="332">
        <f>IFERROR(__xludf.DUMMYFUNCTION("IF(IF(COUNTIF(P$2:P2693, P2694)=0, """", INDEX(H$2:H2693,
MAX(FILTER(ROW(H$2:H2693) - ROW(H$2) + 1, P$2:P2693 = P2694))))=""単価"","""",
IF(COUNTIF(P$2:P2693, P2694)=0, """", INDEX(H$2:H2693,
MAX(FILTER(ROW(H$2:H2693) - ROW(H$2) + 1, P$2:P2693 = P2694)))))"),38.0)</f>
        <v>38</v>
      </c>
      <c r="N2694" s="335" t="str">
        <f>IF(MAXIFS('単価履歴'!$O:$O,'単価履歴'!$E:$E,E2694,'単価履歴'!$F:$F,F2694)=O2694,"●","")</f>
        <v/>
      </c>
      <c r="O2694" s="346">
        <v>45940.341875</v>
      </c>
      <c r="P2694" s="334" t="str">
        <f t="shared" si="4"/>
        <v>南港:ﾅﾝｾｲＨ２(特級)</v>
      </c>
    </row>
    <row r="2695" ht="15.75" customHeight="1">
      <c r="A2695" s="335" t="s">
        <v>3844</v>
      </c>
      <c r="B2695" s="336">
        <v>45941.0</v>
      </c>
      <c r="C2695" s="335" t="s">
        <v>14</v>
      </c>
      <c r="D2695" s="335" t="s">
        <v>46</v>
      </c>
      <c r="E2695" s="337" t="str">
        <f t="shared" si="1"/>
        <v>愛知:阪和</v>
      </c>
      <c r="F2695" s="338" t="s">
        <v>1199</v>
      </c>
      <c r="G2695" s="339" t="str">
        <f t="shared" si="2"/>
        <v>愛知:阪和ＨＳ１(単体H1/電特A/HS))</v>
      </c>
      <c r="H2695" s="340">
        <f t="shared" si="3"/>
        <v>44.2</v>
      </c>
      <c r="I2695" s="341">
        <v>1.0</v>
      </c>
      <c r="J2695" s="332">
        <f>IFERROR(__xludf.DUMMYFUNCTION("IF(IF(COUNTIF(P$2:P2694, P2695)=0, """", INDEX(H$2:H2694,
MAX(FILTER(ROW(H$2:H2694) - ROW(H$2) + 1, P$2:P2694 = P2695))))=""単価"","""",
IF(COUNTIF(P$2:P2694, P2695)=0, """", INDEX(H$2:H2694,
MAX(FILTER(ROW(H$2:H2694) - ROW(H$2) + 1, P$2:P2694 = P2695)))))"),43.2)</f>
        <v>43.2</v>
      </c>
      <c r="N2695" s="335" t="str">
        <f>IF(MAXIFS('単価履歴'!$O:$O,'単価履歴'!$E:$E,E2695,'単価履歴'!$F:$F,F2695)=O2695,"●","")</f>
        <v/>
      </c>
      <c r="O2695" s="346">
        <v>45940.74188657408</v>
      </c>
      <c r="P2695" s="334" t="str">
        <f t="shared" si="4"/>
        <v>愛知:阪和ＨＳ１(単体H1/電特A/HS))</v>
      </c>
    </row>
    <row r="2696" ht="15.75" customHeight="1">
      <c r="A2696" s="335" t="s">
        <v>3845</v>
      </c>
      <c r="B2696" s="336">
        <v>45941.0</v>
      </c>
      <c r="C2696" s="335" t="s">
        <v>14</v>
      </c>
      <c r="D2696" s="335" t="s">
        <v>46</v>
      </c>
      <c r="E2696" s="337" t="str">
        <f t="shared" si="1"/>
        <v>愛知:阪和</v>
      </c>
      <c r="F2696" s="338" t="s">
        <v>101</v>
      </c>
      <c r="G2696" s="339" t="str">
        <f t="shared" si="2"/>
        <v>愛知:阪和ＨＳ２</v>
      </c>
      <c r="H2696" s="340">
        <f t="shared" si="3"/>
        <v>43.7</v>
      </c>
      <c r="I2696" s="341">
        <v>1.0</v>
      </c>
      <c r="J2696" s="332">
        <f>IFERROR(__xludf.DUMMYFUNCTION("IF(IF(COUNTIF(P$2:P2695, P2696)=0, """", INDEX(H$2:H2695,
MAX(FILTER(ROW(H$2:H2695) - ROW(H$2) + 1, P$2:P2695 = P2696))))=""単価"","""",
IF(COUNTIF(P$2:P2695, P2696)=0, """", INDEX(H$2:H2695,
MAX(FILTER(ROW(H$2:H2695) - ROW(H$2) + 1, P$2:P2695 = P2696)))))"),42.7)</f>
        <v>42.7</v>
      </c>
      <c r="N2696" s="335" t="str">
        <f>IF(MAXIFS('単価履歴'!$O:$O,'単価履歴'!$E:$E,E2696,'単価履歴'!$F:$F,F2696)=O2696,"●","")</f>
        <v/>
      </c>
      <c r="O2696" s="346">
        <v>45940.74188657408</v>
      </c>
      <c r="P2696" s="334" t="str">
        <f t="shared" si="4"/>
        <v>愛知:阪和ＨＳ２</v>
      </c>
    </row>
    <row r="2697" ht="15.75" customHeight="1">
      <c r="A2697" s="335" t="s">
        <v>3846</v>
      </c>
      <c r="B2697" s="336">
        <v>45941.0</v>
      </c>
      <c r="C2697" s="335" t="s">
        <v>14</v>
      </c>
      <c r="D2697" s="335" t="s">
        <v>46</v>
      </c>
      <c r="E2697" s="337" t="str">
        <f t="shared" si="1"/>
        <v>愛知:阪和</v>
      </c>
      <c r="F2697" s="338" t="s">
        <v>111</v>
      </c>
      <c r="G2697" s="339" t="str">
        <f t="shared" si="2"/>
        <v>愛知:阪和Ｈ１(特A)</v>
      </c>
      <c r="H2697" s="340">
        <f t="shared" si="3"/>
        <v>39.2</v>
      </c>
      <c r="I2697" s="341">
        <v>1.0</v>
      </c>
      <c r="J2697" s="332">
        <f>IFERROR(__xludf.DUMMYFUNCTION("IF(IF(COUNTIF(P$2:P2696, P2697)=0, """", INDEX(H$2:H2696,
MAX(FILTER(ROW(H$2:H2696) - ROW(H$2) + 1, P$2:P2696 = P2697))))=""単価"","""",
IF(COUNTIF(P$2:P2696, P2697)=0, """", INDEX(H$2:H2696,
MAX(FILTER(ROW(H$2:H2696) - ROW(H$2) + 1, P$2:P2696 = P2697)))))"),38.2)</f>
        <v>38.2</v>
      </c>
      <c r="N2697" s="335" t="str">
        <f>IF(MAXIFS('単価履歴'!$O:$O,'単価履歴'!$E:$E,E2697,'単価履歴'!$F:$F,F2697)=O2697,"●","")</f>
        <v/>
      </c>
      <c r="O2697" s="346">
        <v>45940.74188657408</v>
      </c>
      <c r="P2697" s="334" t="str">
        <f t="shared" si="4"/>
        <v>愛知:阪和Ｈ１(特A)</v>
      </c>
    </row>
    <row r="2698" ht="15.75" customHeight="1">
      <c r="A2698" s="335" t="s">
        <v>3847</v>
      </c>
      <c r="B2698" s="336">
        <v>45941.0</v>
      </c>
      <c r="C2698" s="335" t="s">
        <v>14</v>
      </c>
      <c r="D2698" s="335" t="s">
        <v>46</v>
      </c>
      <c r="E2698" s="337" t="str">
        <f t="shared" si="1"/>
        <v>愛知:阪和</v>
      </c>
      <c r="F2698" s="338" t="s">
        <v>116</v>
      </c>
      <c r="G2698" s="339" t="str">
        <f t="shared" si="2"/>
        <v>愛知:阪和Ｈ２(特級)</v>
      </c>
      <c r="H2698" s="340">
        <f t="shared" si="3"/>
        <v>38.7</v>
      </c>
      <c r="I2698" s="341">
        <v>1.0</v>
      </c>
      <c r="J2698" s="332">
        <f>IFERROR(__xludf.DUMMYFUNCTION("IF(IF(COUNTIF(P$2:P2697, P2698)=0, """", INDEX(H$2:H2697,
MAX(FILTER(ROW(H$2:H2697) - ROW(H$2) + 1, P$2:P2697 = P2698))))=""単価"","""",
IF(COUNTIF(P$2:P2697, P2698)=0, """", INDEX(H$2:H2697,
MAX(FILTER(ROW(H$2:H2697) - ROW(H$2) + 1, P$2:P2697 = P2698)))))"),37.7)</f>
        <v>37.7</v>
      </c>
      <c r="N2698" s="335" t="str">
        <f>IF(MAXIFS('単価履歴'!$O:$O,'単価履歴'!$E:$E,E2698,'単価履歴'!$F:$F,F2698)=O2698,"●","")</f>
        <v/>
      </c>
      <c r="O2698" s="346">
        <v>45940.74188657408</v>
      </c>
      <c r="P2698" s="334" t="str">
        <f t="shared" si="4"/>
        <v>愛知:阪和Ｈ２(特級)</v>
      </c>
    </row>
    <row r="2699" ht="15.75" customHeight="1">
      <c r="A2699" s="335" t="s">
        <v>3848</v>
      </c>
      <c r="B2699" s="336">
        <v>45941.0</v>
      </c>
      <c r="C2699" s="335" t="s">
        <v>14</v>
      </c>
      <c r="D2699" s="335" t="s">
        <v>46</v>
      </c>
      <c r="E2699" s="337" t="str">
        <f t="shared" si="1"/>
        <v>愛知:阪和</v>
      </c>
      <c r="F2699" s="338" t="s">
        <v>119</v>
      </c>
      <c r="G2699" s="339" t="str">
        <f t="shared" si="2"/>
        <v>愛知:阪和Ｈ３(1級)</v>
      </c>
      <c r="H2699" s="340">
        <f t="shared" si="3"/>
        <v>37.7</v>
      </c>
      <c r="I2699" s="341">
        <v>1.0</v>
      </c>
      <c r="J2699" s="332">
        <f>IFERROR(__xludf.DUMMYFUNCTION("IF(IF(COUNTIF(P$2:P2698, P2699)=0, """", INDEX(H$2:H2698,
MAX(FILTER(ROW(H$2:H2698) - ROW(H$2) + 1, P$2:P2698 = P2699))))=""単価"","""",
IF(COUNTIF(P$2:P2698, P2699)=0, """", INDEX(H$2:H2698,
MAX(FILTER(ROW(H$2:H2698) - ROW(H$2) + 1, P$2:P2698 = P2699)))))"),36.7)</f>
        <v>36.7</v>
      </c>
      <c r="N2699" s="335" t="str">
        <f>IF(MAXIFS('単価履歴'!$O:$O,'単価履歴'!$E:$E,E2699,'単価履歴'!$F:$F,F2699)=O2699,"●","")</f>
        <v/>
      </c>
      <c r="O2699" s="346">
        <v>45940.74188657408</v>
      </c>
      <c r="P2699" s="334" t="str">
        <f t="shared" si="4"/>
        <v>愛知:阪和Ｈ３(1級)</v>
      </c>
    </row>
    <row r="2700" ht="15.75" customHeight="1">
      <c r="A2700" s="335" t="s">
        <v>3849</v>
      </c>
      <c r="B2700" s="336">
        <v>45941.0</v>
      </c>
      <c r="C2700" s="335" t="s">
        <v>14</v>
      </c>
      <c r="D2700" s="335" t="s">
        <v>46</v>
      </c>
      <c r="E2700" s="337" t="str">
        <f t="shared" si="1"/>
        <v>愛知:阪和</v>
      </c>
      <c r="F2700" s="338" t="s">
        <v>573</v>
      </c>
      <c r="G2700" s="339" t="str">
        <f t="shared" si="2"/>
        <v>愛知:阪和Ｌ２(H4･級外･L1ﾊﾞﾗ)</v>
      </c>
      <c r="H2700" s="340">
        <f t="shared" si="3"/>
        <v>34.3</v>
      </c>
      <c r="I2700" s="341">
        <v>1.0</v>
      </c>
      <c r="J2700" s="332">
        <f>IFERROR(__xludf.DUMMYFUNCTION("IF(IF(COUNTIF(P$2:P2699, P2700)=0, """", INDEX(H$2:H2699,
MAX(FILTER(ROW(H$2:H2699) - ROW(H$2) + 1, P$2:P2699 = P2700))))=""単価"","""",
IF(COUNTIF(P$2:P2699, P2700)=0, """", INDEX(H$2:H2699,
MAX(FILTER(ROW(H$2:H2699) - ROW(H$2) + 1, P$2:P2699 = P2700)))))"),33.3)</f>
        <v>33.3</v>
      </c>
      <c r="N2700" s="335" t="str">
        <f>IF(MAXIFS('単価履歴'!$O:$O,'単価履歴'!$E:$E,E2700,'単価履歴'!$F:$F,F2700)=O2700,"●","")</f>
        <v/>
      </c>
      <c r="O2700" s="346">
        <v>45940.74188657408</v>
      </c>
      <c r="P2700" s="334" t="str">
        <f t="shared" si="4"/>
        <v>愛知:阪和Ｌ２(H4･級外･L1ﾊﾞﾗ)</v>
      </c>
    </row>
    <row r="2701" ht="15.75" customHeight="1">
      <c r="A2701" s="335" t="s">
        <v>3850</v>
      </c>
      <c r="B2701" s="336">
        <v>45941.0</v>
      </c>
      <c r="C2701" s="335" t="s">
        <v>14</v>
      </c>
      <c r="D2701" s="335" t="s">
        <v>46</v>
      </c>
      <c r="E2701" s="337" t="str">
        <f t="shared" si="1"/>
        <v>愛知:阪和</v>
      </c>
      <c r="F2701" s="338" t="s">
        <v>130</v>
      </c>
      <c r="G2701" s="339" t="str">
        <f t="shared" si="2"/>
        <v>愛知:阪和新断Ａ</v>
      </c>
      <c r="H2701" s="340">
        <f t="shared" si="3"/>
        <v>44.5</v>
      </c>
      <c r="I2701" s="341">
        <v>1.0</v>
      </c>
      <c r="J2701" s="332">
        <f>IFERROR(__xludf.DUMMYFUNCTION("IF(IF(COUNTIF(P$2:P2700, P2701)=0, """", INDEX(H$2:H2700,
MAX(FILTER(ROW(H$2:H2700) - ROW(H$2) + 1, P$2:P2700 = P2701))))=""単価"","""",
IF(COUNTIF(P$2:P2700, P2701)=0, """", INDEX(H$2:H2700,
MAX(FILTER(ROW(H$2:H2700) - ROW(H$2) + 1, P$2:P2700 = P2701)))))"),43.5)</f>
        <v>43.5</v>
      </c>
      <c r="N2701" s="335" t="str">
        <f>IF(MAXIFS('単価履歴'!$O:$O,'単価履歴'!$E:$E,E2701,'単価履歴'!$F:$F,F2701)=O2701,"●","")</f>
        <v/>
      </c>
      <c r="O2701" s="346">
        <v>45940.74188657408</v>
      </c>
      <c r="P2701" s="334" t="str">
        <f t="shared" si="4"/>
        <v>愛知:阪和新断Ａ</v>
      </c>
    </row>
    <row r="2702" ht="15.75" customHeight="1">
      <c r="A2702" s="335" t="s">
        <v>3851</v>
      </c>
      <c r="B2702" s="336">
        <v>45941.0</v>
      </c>
      <c r="C2702" s="335" t="s">
        <v>14</v>
      </c>
      <c r="D2702" s="335" t="s">
        <v>46</v>
      </c>
      <c r="E2702" s="337" t="str">
        <f t="shared" si="1"/>
        <v>愛知:阪和</v>
      </c>
      <c r="F2702" s="338" t="s">
        <v>131</v>
      </c>
      <c r="G2702" s="339" t="str">
        <f t="shared" si="2"/>
        <v>愛知:阪和新断Ｂ</v>
      </c>
      <c r="H2702" s="340">
        <f t="shared" si="3"/>
        <v>43.5</v>
      </c>
      <c r="I2702" s="341">
        <v>1.0</v>
      </c>
      <c r="J2702" s="332">
        <f>IFERROR(__xludf.DUMMYFUNCTION("IF(IF(COUNTIF(P$2:P2701, P2702)=0, """", INDEX(H$2:H2701,
MAX(FILTER(ROW(H$2:H2701) - ROW(H$2) + 1, P$2:P2701 = P2702))))=""単価"","""",
IF(COUNTIF(P$2:P2701, P2702)=0, """", INDEX(H$2:H2701,
MAX(FILTER(ROW(H$2:H2701) - ROW(H$2) + 1, P$2:P2701 = P2702)))))"),42.5)</f>
        <v>42.5</v>
      </c>
      <c r="N2702" s="335" t="str">
        <f>IF(MAXIFS('単価履歴'!$O:$O,'単価履歴'!$E:$E,E2702,'単価履歴'!$F:$F,F2702)=O2702,"●","")</f>
        <v/>
      </c>
      <c r="O2702" s="346">
        <v>45940.74188657408</v>
      </c>
      <c r="P2702" s="334" t="str">
        <f t="shared" si="4"/>
        <v>愛知:阪和新断Ｂ</v>
      </c>
    </row>
    <row r="2703" ht="15.75" customHeight="1">
      <c r="A2703" s="335" t="s">
        <v>3852</v>
      </c>
      <c r="B2703" s="336">
        <v>45941.0</v>
      </c>
      <c r="C2703" s="335" t="s">
        <v>14</v>
      </c>
      <c r="D2703" s="335" t="s">
        <v>46</v>
      </c>
      <c r="E2703" s="337" t="str">
        <f t="shared" si="1"/>
        <v>愛知:阪和</v>
      </c>
      <c r="F2703" s="338" t="s">
        <v>145</v>
      </c>
      <c r="G2703" s="339" t="str">
        <f t="shared" si="2"/>
        <v>愛知:阪和シュレＡ</v>
      </c>
      <c r="H2703" s="340">
        <f t="shared" si="3"/>
        <v>44.5</v>
      </c>
      <c r="I2703" s="341">
        <v>1.0</v>
      </c>
      <c r="J2703" s="332">
        <f>IFERROR(__xludf.DUMMYFUNCTION("IF(IF(COUNTIF(P$2:P2702, P2703)=0, """", INDEX(H$2:H2702,
MAX(FILTER(ROW(H$2:H2702) - ROW(H$2) + 1, P$2:P2702 = P2703))))=""単価"","""",
IF(COUNTIF(P$2:P2702, P2703)=0, """", INDEX(H$2:H2702,
MAX(FILTER(ROW(H$2:H2702) - ROW(H$2) + 1, P$2:P2702 = P2703)))))"),43.5)</f>
        <v>43.5</v>
      </c>
      <c r="N2703" s="335" t="str">
        <f>IF(MAXIFS('単価履歴'!$O:$O,'単価履歴'!$E:$E,E2703,'単価履歴'!$F:$F,F2703)=O2703,"●","")</f>
        <v/>
      </c>
      <c r="O2703" s="346">
        <v>45940.74188657408</v>
      </c>
      <c r="P2703" s="334" t="str">
        <f t="shared" si="4"/>
        <v>愛知:阪和シュレＡ</v>
      </c>
    </row>
    <row r="2704" ht="15.75" customHeight="1">
      <c r="A2704" s="335" t="s">
        <v>3853</v>
      </c>
      <c r="B2704" s="336">
        <v>45941.0</v>
      </c>
      <c r="C2704" s="335" t="s">
        <v>15</v>
      </c>
      <c r="D2704" s="335" t="s">
        <v>58</v>
      </c>
      <c r="E2704" s="337" t="str">
        <f t="shared" si="1"/>
        <v>山口鋼業:MM建材</v>
      </c>
      <c r="F2704" s="338" t="s">
        <v>1199</v>
      </c>
      <c r="G2704" s="339" t="str">
        <f t="shared" si="2"/>
        <v>山口鋼業:MM建材ＨＳ１(単体H1/電特A/HS))</v>
      </c>
      <c r="H2704" s="340">
        <f t="shared" si="3"/>
        <v>41</v>
      </c>
      <c r="I2704" s="341">
        <v>1.0</v>
      </c>
      <c r="J2704" s="332">
        <f>IFERROR(__xludf.DUMMYFUNCTION("IF(IF(COUNTIF(P$2:P2703, P2704)=0, """", INDEX(H$2:H2703,
MAX(FILTER(ROW(H$2:H2703) - ROW(H$2) + 1, P$2:P2703 = P2704))))=""単価"","""",
IF(COUNTIF(P$2:P2703, P2704)=0, """", INDEX(H$2:H2703,
MAX(FILTER(ROW(H$2:H2703) - ROW(H$2) + 1, P$2:P2703 = P2704)))))"),40.0)</f>
        <v>40</v>
      </c>
      <c r="N2704" s="335" t="str">
        <f>IF(MAXIFS('単価履歴'!$O:$O,'単価履歴'!$E:$E,E2704,'単価履歴'!$F:$F,F2704)=O2704,"●","")</f>
        <v/>
      </c>
      <c r="O2704" s="346">
        <v>45940.74216435185</v>
      </c>
      <c r="P2704" s="334" t="str">
        <f t="shared" si="4"/>
        <v>山口鋼業:MM建材ＨＳ１(単体H1/電特A/HS))</v>
      </c>
    </row>
    <row r="2705" ht="15.75" customHeight="1">
      <c r="A2705" s="335" t="s">
        <v>3854</v>
      </c>
      <c r="B2705" s="336">
        <v>45941.0</v>
      </c>
      <c r="C2705" s="335" t="s">
        <v>15</v>
      </c>
      <c r="D2705" s="335" t="s">
        <v>58</v>
      </c>
      <c r="E2705" s="337" t="str">
        <f t="shared" si="1"/>
        <v>山口鋼業:MM建材</v>
      </c>
      <c r="F2705" s="338" t="s">
        <v>1237</v>
      </c>
      <c r="G2705" s="339" t="str">
        <f t="shared" si="2"/>
        <v>山口鋼業:MM建材ＪＨ１(H2T山口)鍛造ﾊﾞﾘ</v>
      </c>
      <c r="H2705" s="340">
        <f t="shared" si="3"/>
        <v>40.5</v>
      </c>
      <c r="I2705" s="341">
        <v>1.0</v>
      </c>
      <c r="J2705" s="332">
        <f>IFERROR(__xludf.DUMMYFUNCTION("IF(IF(COUNTIF(P$2:P2704, P2705)=0, """", INDEX(H$2:H2704,
MAX(FILTER(ROW(H$2:H2704) - ROW(H$2) + 1, P$2:P2704 = P2705))))=""単価"","""",
IF(COUNTIF(P$2:P2704, P2705)=0, """", INDEX(H$2:H2704,
MAX(FILTER(ROW(H$2:H2704) - ROW(H$2) + 1, P$2:P2704 = P2705)))))"),39.5)</f>
        <v>39.5</v>
      </c>
      <c r="N2705" s="335" t="str">
        <f>IF(MAXIFS('単価履歴'!$O:$O,'単価履歴'!$E:$E,E2705,'単価履歴'!$F:$F,F2705)=O2705,"●","")</f>
        <v/>
      </c>
      <c r="O2705" s="346">
        <v>45940.74216435185</v>
      </c>
      <c r="P2705" s="334" t="str">
        <f t="shared" si="4"/>
        <v>山口鋼業:MM建材ＪＨ１(H2T山口)鍛造ﾊﾞﾘ</v>
      </c>
    </row>
    <row r="2706" ht="15.75" customHeight="1">
      <c r="A2706" s="335" t="s">
        <v>3855</v>
      </c>
      <c r="B2706" s="336">
        <v>45941.0</v>
      </c>
      <c r="C2706" s="335" t="s">
        <v>15</v>
      </c>
      <c r="D2706" s="335" t="s">
        <v>58</v>
      </c>
      <c r="E2706" s="337" t="str">
        <f t="shared" si="1"/>
        <v>山口鋼業:MM建材</v>
      </c>
      <c r="F2706" s="338" t="s">
        <v>116</v>
      </c>
      <c r="G2706" s="339" t="str">
        <f t="shared" si="2"/>
        <v>山口鋼業:MM建材Ｈ２(特級)</v>
      </c>
      <c r="H2706" s="340">
        <f t="shared" si="3"/>
        <v>39.5</v>
      </c>
      <c r="I2706" s="341">
        <v>1.0</v>
      </c>
      <c r="J2706" s="332">
        <f>IFERROR(__xludf.DUMMYFUNCTION("IF(IF(COUNTIF(P$2:P2705, P2706)=0, """", INDEX(H$2:H2705,
MAX(FILTER(ROW(H$2:H2705) - ROW(H$2) + 1, P$2:P2705 = P2706))))=""単価"","""",
IF(COUNTIF(P$2:P2705, P2706)=0, """", INDEX(H$2:H2705,
MAX(FILTER(ROW(H$2:H2705) - ROW(H$2) + 1, P$2:P2705 = P2706)))))"),38.5)</f>
        <v>38.5</v>
      </c>
      <c r="N2706" s="335" t="str">
        <f>IF(MAXIFS('単価履歴'!$O:$O,'単価履歴'!$E:$E,E2706,'単価履歴'!$F:$F,F2706)=O2706,"●","")</f>
        <v/>
      </c>
      <c r="O2706" s="346">
        <v>45940.74216435185</v>
      </c>
      <c r="P2706" s="334" t="str">
        <f t="shared" si="4"/>
        <v>山口鋼業:MM建材Ｈ２(特級)</v>
      </c>
    </row>
    <row r="2707" ht="15.75" customHeight="1">
      <c r="A2707" s="335" t="s">
        <v>3856</v>
      </c>
      <c r="B2707" s="336">
        <v>45941.0</v>
      </c>
      <c r="C2707" s="335" t="s">
        <v>15</v>
      </c>
      <c r="D2707" s="335" t="s">
        <v>58</v>
      </c>
      <c r="E2707" s="337" t="str">
        <f t="shared" si="1"/>
        <v>山口鋼業:MM建材</v>
      </c>
      <c r="F2707" s="338" t="s">
        <v>119</v>
      </c>
      <c r="G2707" s="339" t="str">
        <f t="shared" si="2"/>
        <v>山口鋼業:MM建材Ｈ３(1級)</v>
      </c>
      <c r="H2707" s="340">
        <f t="shared" si="3"/>
        <v>38.5</v>
      </c>
      <c r="I2707" s="341">
        <v>1.0</v>
      </c>
      <c r="J2707" s="332">
        <f>IFERROR(__xludf.DUMMYFUNCTION("IF(IF(COUNTIF(P$2:P2706, P2707)=0, """", INDEX(H$2:H2706,
MAX(FILTER(ROW(H$2:H2706) - ROW(H$2) + 1, P$2:P2706 = P2707))))=""単価"","""",
IF(COUNTIF(P$2:P2706, P2707)=0, """", INDEX(H$2:H2706,
MAX(FILTER(ROW(H$2:H2706) - ROW(H$2) + 1, P$2:P2706 = P2707)))))"),37.5)</f>
        <v>37.5</v>
      </c>
      <c r="N2707" s="335" t="str">
        <f>IF(MAXIFS('単価履歴'!$O:$O,'単価履歴'!$E:$E,E2707,'単価履歴'!$F:$F,F2707)=O2707,"●","")</f>
        <v/>
      </c>
      <c r="O2707" s="346">
        <v>45940.74216435185</v>
      </c>
      <c r="P2707" s="334" t="str">
        <f t="shared" si="4"/>
        <v>山口鋼業:MM建材Ｈ３(1級)</v>
      </c>
    </row>
    <row r="2708" ht="15.75" customHeight="1">
      <c r="A2708" s="335" t="s">
        <v>3857</v>
      </c>
      <c r="B2708" s="336">
        <v>45941.0</v>
      </c>
      <c r="C2708" s="335" t="s">
        <v>15</v>
      </c>
      <c r="D2708" s="335" t="s">
        <v>58</v>
      </c>
      <c r="E2708" s="337" t="str">
        <f t="shared" si="1"/>
        <v>山口鋼業:MM建材</v>
      </c>
      <c r="F2708" s="338" t="s">
        <v>573</v>
      </c>
      <c r="G2708" s="339" t="str">
        <f t="shared" si="2"/>
        <v>山口鋼業:MM建材Ｌ２(H4･級外･L1ﾊﾞﾗ)</v>
      </c>
      <c r="H2708" s="340">
        <f t="shared" si="3"/>
        <v>37</v>
      </c>
      <c r="I2708" s="341">
        <v>1.0</v>
      </c>
      <c r="J2708" s="332">
        <f>IFERROR(__xludf.DUMMYFUNCTION("IF(IF(COUNTIF(P$2:P2707, P2708)=0, """", INDEX(H$2:H2707,
MAX(FILTER(ROW(H$2:H2707) - ROW(H$2) + 1, P$2:P2707 = P2708))))=""単価"","""",
IF(COUNTIF(P$2:P2707, P2708)=0, """", INDEX(H$2:H2707,
MAX(FILTER(ROW(H$2:H2707) - ROW(H$2) + 1, P$2:P2707 = P2708)))))"),36.0)</f>
        <v>36</v>
      </c>
      <c r="N2708" s="335" t="str">
        <f>IF(MAXIFS('単価履歴'!$O:$O,'単価履歴'!$E:$E,E2708,'単価履歴'!$F:$F,F2708)=O2708,"●","")</f>
        <v/>
      </c>
      <c r="O2708" s="346">
        <v>45940.74216435185</v>
      </c>
      <c r="P2708" s="334" t="str">
        <f t="shared" si="4"/>
        <v>山口鋼業:MM建材Ｌ２(H4･級外･L1ﾊﾞﾗ)</v>
      </c>
    </row>
    <row r="2709" ht="15.75" customHeight="1">
      <c r="A2709" s="335" t="s">
        <v>3858</v>
      </c>
      <c r="B2709" s="336">
        <v>45941.0</v>
      </c>
      <c r="C2709" s="335" t="s">
        <v>15</v>
      </c>
      <c r="D2709" s="335" t="s">
        <v>58</v>
      </c>
      <c r="E2709" s="337" t="str">
        <f t="shared" si="1"/>
        <v>山口鋼業:MM建材</v>
      </c>
      <c r="F2709" s="338" t="s">
        <v>575</v>
      </c>
      <c r="G2709" s="339" t="str">
        <f t="shared" si="2"/>
        <v>山口鋼業:MM建材鋼ダライＡ</v>
      </c>
      <c r="H2709" s="340">
        <f t="shared" si="3"/>
        <v>36.6</v>
      </c>
      <c r="I2709" s="341">
        <v>1.0</v>
      </c>
      <c r="J2709" s="332">
        <f>IFERROR(__xludf.DUMMYFUNCTION("IF(IF(COUNTIF(P$2:P2708, P2709)=0, """", INDEX(H$2:H2708,
MAX(FILTER(ROW(H$2:H2708) - ROW(H$2) + 1, P$2:P2708 = P2709))))=""単価"","""",
IF(COUNTIF(P$2:P2708, P2709)=0, """", INDEX(H$2:H2708,
MAX(FILTER(ROW(H$2:H2708) - ROW(H$2) + 1, P$2:P2708 = P2709)))))"),35.6)</f>
        <v>35.6</v>
      </c>
      <c r="N2709" s="335" t="str">
        <f>IF(MAXIFS('単価履歴'!$O:$O,'単価履歴'!$E:$E,E2709,'単価履歴'!$F:$F,F2709)=O2709,"●","")</f>
        <v/>
      </c>
      <c r="O2709" s="346">
        <v>45940.74216435185</v>
      </c>
      <c r="P2709" s="334" t="str">
        <f t="shared" si="4"/>
        <v>山口鋼業:MM建材鋼ダライＡ</v>
      </c>
    </row>
    <row r="2710" ht="15.75" customHeight="1">
      <c r="A2710" s="335" t="s">
        <v>3859</v>
      </c>
      <c r="B2710" s="336">
        <v>45941.0</v>
      </c>
      <c r="C2710" s="335" t="s">
        <v>15</v>
      </c>
      <c r="D2710" s="335" t="s">
        <v>58</v>
      </c>
      <c r="E2710" s="337" t="str">
        <f t="shared" si="1"/>
        <v>山口鋼業:MM建材</v>
      </c>
      <c r="F2710" s="338" t="s">
        <v>577</v>
      </c>
      <c r="G2710" s="339" t="str">
        <f t="shared" si="2"/>
        <v>山口鋼業:MM建材鋳物・ﾀﾞｸﾀｲﾙ</v>
      </c>
      <c r="H2710" s="340">
        <f t="shared" si="3"/>
        <v>41</v>
      </c>
      <c r="I2710" s="341">
        <v>1.0</v>
      </c>
      <c r="J2710" s="332">
        <f>IFERROR(__xludf.DUMMYFUNCTION("IF(IF(COUNTIF(P$2:P2709, P2710)=0, """", INDEX(H$2:H2709,
MAX(FILTER(ROW(H$2:H2709) - ROW(H$2) + 1, P$2:P2709 = P2710))))=""単価"","""",
IF(COUNTIF(P$2:P2709, P2710)=0, """", INDEX(H$2:H2709,
MAX(FILTER(ROW(H$2:H2709) - ROW(H$2) + 1, P$2:P2709 = P2710)))))"),40.0)</f>
        <v>40</v>
      </c>
      <c r="N2710" s="335" t="str">
        <f>IF(MAXIFS('単価履歴'!$O:$O,'単価履歴'!$E:$E,E2710,'単価履歴'!$F:$F,F2710)=O2710,"●","")</f>
        <v/>
      </c>
      <c r="O2710" s="346">
        <v>45940.74216435185</v>
      </c>
      <c r="P2710" s="334" t="str">
        <f t="shared" si="4"/>
        <v>山口鋼業:MM建材鋳物・ﾀﾞｸﾀｲﾙ</v>
      </c>
    </row>
    <row r="2711" ht="15.75" customHeight="1">
      <c r="A2711" s="335" t="s">
        <v>3860</v>
      </c>
      <c r="B2711" s="336">
        <v>45941.0</v>
      </c>
      <c r="C2711" s="335" t="s">
        <v>15</v>
      </c>
      <c r="D2711" s="335" t="s">
        <v>46</v>
      </c>
      <c r="E2711" s="337" t="str">
        <f t="shared" si="1"/>
        <v>山口鋼業:阪和</v>
      </c>
      <c r="F2711" s="338" t="s">
        <v>1199</v>
      </c>
      <c r="G2711" s="339" t="str">
        <f t="shared" si="2"/>
        <v>山口鋼業:阪和ＨＳ１(単体H1/電特A/HS))</v>
      </c>
      <c r="H2711" s="340">
        <f t="shared" si="3"/>
        <v>42.5</v>
      </c>
      <c r="I2711" s="341">
        <v>1.0</v>
      </c>
      <c r="J2711" s="332">
        <f>IFERROR(__xludf.DUMMYFUNCTION("IF(IF(COUNTIF(P$2:P2710, P2711)=0, """", INDEX(H$2:H2710,
MAX(FILTER(ROW(H$2:H2710) - ROW(H$2) + 1, P$2:P2710 = P2711))))=""単価"","""",
IF(COUNTIF(P$2:P2710, P2711)=0, """", INDEX(H$2:H2710,
MAX(FILTER(ROW(H$2:H2710) - ROW(H$2) + 1, P$2:P2710 = P2711)))))"),41.5)</f>
        <v>41.5</v>
      </c>
      <c r="N2711" s="335" t="str">
        <f>IF(MAXIFS('単価履歴'!$O:$O,'単価履歴'!$E:$E,E2711,'単価履歴'!$F:$F,F2711)=O2711,"●","")</f>
        <v/>
      </c>
      <c r="O2711" s="346">
        <v>45940.7425462963</v>
      </c>
      <c r="P2711" s="334" t="str">
        <f t="shared" si="4"/>
        <v>山口鋼業:阪和ＨＳ１(単体H1/電特A/HS))</v>
      </c>
    </row>
    <row r="2712" ht="15.75" customHeight="1">
      <c r="A2712" s="335" t="s">
        <v>3861</v>
      </c>
      <c r="B2712" s="336">
        <v>45941.0</v>
      </c>
      <c r="C2712" s="335" t="s">
        <v>15</v>
      </c>
      <c r="D2712" s="335" t="s">
        <v>46</v>
      </c>
      <c r="E2712" s="337" t="str">
        <f t="shared" si="1"/>
        <v>山口鋼業:阪和</v>
      </c>
      <c r="F2712" s="338" t="s">
        <v>111</v>
      </c>
      <c r="G2712" s="339" t="str">
        <f t="shared" si="2"/>
        <v>山口鋼業:阪和Ｈ１(特A)</v>
      </c>
      <c r="H2712" s="340">
        <f t="shared" si="3"/>
        <v>41</v>
      </c>
      <c r="I2712" s="341">
        <v>1.0</v>
      </c>
      <c r="J2712" s="332">
        <f>IFERROR(__xludf.DUMMYFUNCTION("IF(IF(COUNTIF(P$2:P2711, P2712)=0, """", INDEX(H$2:H2711,
MAX(FILTER(ROW(H$2:H2711) - ROW(H$2) + 1, P$2:P2711 = P2712))))=""単価"","""",
IF(COUNTIF(P$2:P2711, P2712)=0, """", INDEX(H$2:H2711,
MAX(FILTER(ROW(H$2:H2711) - ROW(H$2) + 1, P$2:P2711 = P2712)))))"),40.0)</f>
        <v>40</v>
      </c>
      <c r="N2712" s="335" t="str">
        <f>IF(MAXIFS('単価履歴'!$O:$O,'単価履歴'!$E:$E,E2712,'単価履歴'!$F:$F,F2712)=O2712,"●","")</f>
        <v/>
      </c>
      <c r="O2712" s="346">
        <v>45940.7425462963</v>
      </c>
      <c r="P2712" s="334" t="str">
        <f t="shared" si="4"/>
        <v>山口鋼業:阪和Ｈ１(特A)</v>
      </c>
    </row>
    <row r="2713" ht="15.75" customHeight="1">
      <c r="A2713" s="335" t="s">
        <v>3862</v>
      </c>
      <c r="B2713" s="336">
        <v>45941.0</v>
      </c>
      <c r="C2713" s="335" t="s">
        <v>15</v>
      </c>
      <c r="D2713" s="335" t="s">
        <v>46</v>
      </c>
      <c r="E2713" s="337" t="str">
        <f t="shared" si="1"/>
        <v>山口鋼業:阪和</v>
      </c>
      <c r="F2713" s="338" t="s">
        <v>116</v>
      </c>
      <c r="G2713" s="339" t="str">
        <f t="shared" si="2"/>
        <v>山口鋼業:阪和Ｈ２(特級)</v>
      </c>
      <c r="H2713" s="340">
        <f t="shared" si="3"/>
        <v>40.5</v>
      </c>
      <c r="I2713" s="341">
        <v>1.0</v>
      </c>
      <c r="J2713" s="332">
        <f>IFERROR(__xludf.DUMMYFUNCTION("IF(IF(COUNTIF(P$2:P2712, P2713)=0, """", INDEX(H$2:H2712,
MAX(FILTER(ROW(H$2:H2712) - ROW(H$2) + 1, P$2:P2712 = P2713))))=""単価"","""",
IF(COUNTIF(P$2:P2712, P2713)=0, """", INDEX(H$2:H2712,
MAX(FILTER(ROW(H$2:H2712) - ROW(H$2) + 1, P$2:P2712 = P2713)))))"),39.5)</f>
        <v>39.5</v>
      </c>
      <c r="N2713" s="335" t="str">
        <f>IF(MAXIFS('単価履歴'!$O:$O,'単価履歴'!$E:$E,E2713,'単価履歴'!$F:$F,F2713)=O2713,"●","")</f>
        <v/>
      </c>
      <c r="O2713" s="346">
        <v>45940.7425462963</v>
      </c>
      <c r="P2713" s="334" t="str">
        <f t="shared" si="4"/>
        <v>山口鋼業:阪和Ｈ２(特級)</v>
      </c>
    </row>
    <row r="2714" ht="15.75" customHeight="1">
      <c r="A2714" s="335" t="s">
        <v>3863</v>
      </c>
      <c r="B2714" s="336">
        <v>45941.0</v>
      </c>
      <c r="C2714" s="335" t="s">
        <v>15</v>
      </c>
      <c r="D2714" s="335" t="s">
        <v>46</v>
      </c>
      <c r="E2714" s="337" t="str">
        <f t="shared" si="1"/>
        <v>山口鋼業:阪和</v>
      </c>
      <c r="F2714" s="338" t="s">
        <v>119</v>
      </c>
      <c r="G2714" s="339" t="str">
        <f t="shared" si="2"/>
        <v>山口鋼業:阪和Ｈ３(1級)</v>
      </c>
      <c r="H2714" s="340">
        <f t="shared" si="3"/>
        <v>39.5</v>
      </c>
      <c r="I2714" s="341">
        <v>1.0</v>
      </c>
      <c r="J2714" s="332">
        <f>IFERROR(__xludf.DUMMYFUNCTION("IF(IF(COUNTIF(P$2:P2713, P2714)=0, """", INDEX(H$2:H2713,
MAX(FILTER(ROW(H$2:H2713) - ROW(H$2) + 1, P$2:P2713 = P2714))))=""単価"","""",
IF(COUNTIF(P$2:P2713, P2714)=0, """", INDEX(H$2:H2713,
MAX(FILTER(ROW(H$2:H2713) - ROW(H$2) + 1, P$2:P2713 = P2714)))))"),38.5)</f>
        <v>38.5</v>
      </c>
      <c r="N2714" s="335" t="str">
        <f>IF(MAXIFS('単価履歴'!$O:$O,'単価履歴'!$E:$E,E2714,'単価履歴'!$F:$F,F2714)=O2714,"●","")</f>
        <v/>
      </c>
      <c r="O2714" s="346">
        <v>45940.7425462963</v>
      </c>
      <c r="P2714" s="334" t="str">
        <f t="shared" si="4"/>
        <v>山口鋼業:阪和Ｈ３(1級)</v>
      </c>
    </row>
    <row r="2715" ht="15.75" customHeight="1">
      <c r="A2715" s="335" t="s">
        <v>3864</v>
      </c>
      <c r="B2715" s="336">
        <v>45941.0</v>
      </c>
      <c r="C2715" s="335" t="s">
        <v>15</v>
      </c>
      <c r="D2715" s="335" t="s">
        <v>46</v>
      </c>
      <c r="E2715" s="337" t="str">
        <f t="shared" si="1"/>
        <v>山口鋼業:阪和</v>
      </c>
      <c r="F2715" s="338" t="s">
        <v>573</v>
      </c>
      <c r="G2715" s="339" t="str">
        <f t="shared" si="2"/>
        <v>山口鋼業:阪和Ｌ２(H4･級外･L1ﾊﾞﾗ)</v>
      </c>
      <c r="H2715" s="340">
        <f t="shared" si="3"/>
        <v>38</v>
      </c>
      <c r="I2715" s="341">
        <v>1.0</v>
      </c>
      <c r="J2715" s="332">
        <f>IFERROR(__xludf.DUMMYFUNCTION("IF(IF(COUNTIF(P$2:P2714, P2715)=0, """", INDEX(H$2:H2714,
MAX(FILTER(ROW(H$2:H2714) - ROW(H$2) + 1, P$2:P2714 = P2715))))=""単価"","""",
IF(COUNTIF(P$2:P2714, P2715)=0, """", INDEX(H$2:H2714,
MAX(FILTER(ROW(H$2:H2714) - ROW(H$2) + 1, P$2:P2714 = P2715)))))"),37.0)</f>
        <v>37</v>
      </c>
      <c r="N2715" s="335" t="str">
        <f>IF(MAXIFS('単価履歴'!$O:$O,'単価履歴'!$E:$E,E2715,'単価履歴'!$F:$F,F2715)=O2715,"●","")</f>
        <v/>
      </c>
      <c r="O2715" s="346">
        <v>45940.7425462963</v>
      </c>
      <c r="P2715" s="334" t="str">
        <f t="shared" si="4"/>
        <v>山口鋼業:阪和Ｌ２(H4･級外･L1ﾊﾞﾗ)</v>
      </c>
    </row>
    <row r="2716" ht="15.75" customHeight="1">
      <c r="A2716" s="335" t="s">
        <v>3865</v>
      </c>
      <c r="B2716" s="336">
        <v>45941.0</v>
      </c>
      <c r="C2716" s="335" t="s">
        <v>537</v>
      </c>
      <c r="D2716" s="335" t="s">
        <v>59</v>
      </c>
      <c r="E2716" s="337" t="str">
        <f t="shared" si="1"/>
        <v>大同特殊鋼:大同興業</v>
      </c>
      <c r="F2716" s="338" t="s">
        <v>1199</v>
      </c>
      <c r="G2716" s="339" t="str">
        <f t="shared" si="2"/>
        <v>大同特殊鋼:大同興業ＨＳ１(単体H1/電特A/HS))</v>
      </c>
      <c r="H2716" s="340">
        <f t="shared" si="3"/>
        <v>44.5</v>
      </c>
      <c r="I2716" s="341">
        <v>1.0</v>
      </c>
      <c r="J2716" s="332">
        <f>IFERROR(__xludf.DUMMYFUNCTION("IF(IF(COUNTIF(P$2:P2715, P2716)=0, """", INDEX(H$2:H2715,
MAX(FILTER(ROW(H$2:H2715) - ROW(H$2) + 1, P$2:P2715 = P2716))))=""単価"","""",
IF(COUNTIF(P$2:P2715, P2716)=0, """", INDEX(H$2:H2715,
MAX(FILTER(ROW(H$2:H2715) - ROW(H$2) + 1, P$2:P2715 = P2716)))))"),43.5)</f>
        <v>43.5</v>
      </c>
      <c r="N2716" s="335" t="str">
        <f>IF(MAXIFS('単価履歴'!$O:$O,'単価履歴'!$E:$E,E2716,'単価履歴'!$F:$F,F2716)=O2716,"●","")</f>
        <v/>
      </c>
      <c r="O2716" s="346">
        <v>45940.74276620371</v>
      </c>
      <c r="P2716" s="334" t="str">
        <f t="shared" si="4"/>
        <v>大同特殊鋼:大同興業ＨＳ１(単体H1/電特A/HS))</v>
      </c>
    </row>
    <row r="2717" ht="15.75" customHeight="1">
      <c r="A2717" s="335" t="s">
        <v>3866</v>
      </c>
      <c r="B2717" s="336">
        <v>45941.0</v>
      </c>
      <c r="C2717" s="335" t="s">
        <v>537</v>
      </c>
      <c r="D2717" s="335" t="s">
        <v>59</v>
      </c>
      <c r="E2717" s="337" t="str">
        <f t="shared" si="1"/>
        <v>大同特殊鋼:大同興業</v>
      </c>
      <c r="F2717" s="338" t="s">
        <v>575</v>
      </c>
      <c r="G2717" s="339" t="str">
        <f t="shared" si="2"/>
        <v>大同特殊鋼:大同興業鋼ダライＡ</v>
      </c>
      <c r="H2717" s="340">
        <f t="shared" si="3"/>
        <v>37.4</v>
      </c>
      <c r="I2717" s="341">
        <v>1.0</v>
      </c>
      <c r="J2717" s="332">
        <f>IFERROR(__xludf.DUMMYFUNCTION("IF(IF(COUNTIF(P$2:P2716, P2717)=0, """", INDEX(H$2:H2716,
MAX(FILTER(ROW(H$2:H2716) - ROW(H$2) + 1, P$2:P2716 = P2717))))=""単価"","""",
IF(COUNTIF(P$2:P2716, P2717)=0, """", INDEX(H$2:H2716,
MAX(FILTER(ROW(H$2:H2716) - ROW(H$2) + 1, P$2:P2716 = P2717)))))"),36.4)</f>
        <v>36.4</v>
      </c>
      <c r="N2717" s="335" t="str">
        <f>IF(MAXIFS('単価履歴'!$O:$O,'単価履歴'!$E:$E,E2717,'単価履歴'!$F:$F,F2717)=O2717,"●","")</f>
        <v/>
      </c>
      <c r="O2717" s="346">
        <v>45940.74276620371</v>
      </c>
      <c r="P2717" s="334" t="str">
        <f t="shared" si="4"/>
        <v>大同特殊鋼:大同興業鋼ダライＡ</v>
      </c>
    </row>
    <row r="2718" ht="15.75" customHeight="1">
      <c r="A2718" s="335" t="s">
        <v>3867</v>
      </c>
      <c r="B2718" s="336">
        <v>45941.0</v>
      </c>
      <c r="C2718" s="335" t="s">
        <v>537</v>
      </c>
      <c r="D2718" s="335" t="s">
        <v>59</v>
      </c>
      <c r="E2718" s="337" t="str">
        <f t="shared" si="1"/>
        <v>大同特殊鋼:大同興業</v>
      </c>
      <c r="F2718" s="338" t="s">
        <v>116</v>
      </c>
      <c r="G2718" s="339" t="str">
        <f t="shared" si="2"/>
        <v>大同特殊鋼:大同興業Ｈ２(特級)</v>
      </c>
      <c r="H2718" s="340">
        <f t="shared" si="3"/>
        <v>1</v>
      </c>
      <c r="I2718" s="341">
        <v>1.0</v>
      </c>
      <c r="J2718" s="332">
        <f>IFERROR(__xludf.DUMMYFUNCTION("IF(IF(COUNTIF(P$2:P2717, P2718)=0, """", INDEX(H$2:H2717,
MAX(FILTER(ROW(H$2:H2717) - ROW(H$2) + 1, P$2:P2717 = P2718))))=""単価"","""",
IF(COUNTIF(P$2:P2717, P2718)=0, """", INDEX(H$2:H2717,
MAX(FILTER(ROW(H$2:H2717) - ROW(H$2) + 1, P$2:P2717 = P2718)))))"),0.0)</f>
        <v>0</v>
      </c>
      <c r="N2718" s="335" t="str">
        <f>IF(MAXIFS('単価履歴'!$O:$O,'単価履歴'!$E:$E,E2718,'単価履歴'!$F:$F,F2718)=O2718,"●","")</f>
        <v/>
      </c>
      <c r="O2718" s="346">
        <v>45940.74276620371</v>
      </c>
      <c r="P2718" s="334" t="str">
        <f t="shared" si="4"/>
        <v>大同特殊鋼:大同興業Ｈ２(特級)</v>
      </c>
    </row>
    <row r="2719" ht="15.75" customHeight="1">
      <c r="A2719" s="335" t="s">
        <v>3868</v>
      </c>
      <c r="B2719" s="336">
        <v>45941.0</v>
      </c>
      <c r="C2719" s="335" t="s">
        <v>537</v>
      </c>
      <c r="D2719" s="335" t="s">
        <v>1404</v>
      </c>
      <c r="E2719" s="337" t="str">
        <f t="shared" si="1"/>
        <v>大同特殊鋼:JSE/大和ﾘﾃｯｸ</v>
      </c>
      <c r="F2719" s="338" t="s">
        <v>1199</v>
      </c>
      <c r="G2719" s="339" t="str">
        <f t="shared" si="2"/>
        <v>大同特殊鋼:JSE/大和ﾘﾃｯｸＨＳ１(単体H1/電特A/HS))</v>
      </c>
      <c r="H2719" s="340">
        <f t="shared" si="3"/>
        <v>43.8</v>
      </c>
      <c r="I2719" s="341">
        <v>1.0</v>
      </c>
      <c r="J2719" s="332">
        <f>IFERROR(__xludf.DUMMYFUNCTION("IF(IF(COUNTIF(P$2:P2718, P2719)=0, """", INDEX(H$2:H2718,
MAX(FILTER(ROW(H$2:H2718) - ROW(H$2) + 1, P$2:P2718 = P2719))))=""単価"","""",
IF(COUNTIF(P$2:P2718, P2719)=0, """", INDEX(H$2:H2718,
MAX(FILTER(ROW(H$2:H2718) - ROW(H$2) + 1, P$2:P2718 = P2719)))))"),42.8)</f>
        <v>42.8</v>
      </c>
      <c r="N2719" s="335" t="str">
        <f>IF(MAXIFS('単価履歴'!$O:$O,'単価履歴'!$E:$E,E2719,'単価履歴'!$F:$F,F2719)=O2719,"●","")</f>
        <v/>
      </c>
      <c r="O2719" s="346">
        <v>45940.74276620371</v>
      </c>
      <c r="P2719" s="334" t="str">
        <f t="shared" si="4"/>
        <v>大同特殊鋼:JSE/大和ﾘﾃｯｸＨＳ１(単体H1/電特A/HS))</v>
      </c>
    </row>
    <row r="2720" ht="15.75" customHeight="1">
      <c r="A2720" s="335" t="s">
        <v>3869</v>
      </c>
      <c r="B2720" s="336">
        <v>45941.0</v>
      </c>
      <c r="C2720" s="335" t="s">
        <v>537</v>
      </c>
      <c r="D2720" s="335" t="s">
        <v>1404</v>
      </c>
      <c r="E2720" s="337" t="str">
        <f t="shared" si="1"/>
        <v>大同特殊鋼:JSE/大和ﾘﾃｯｸ</v>
      </c>
      <c r="F2720" s="338" t="s">
        <v>575</v>
      </c>
      <c r="G2720" s="339" t="str">
        <f t="shared" si="2"/>
        <v>大同特殊鋼:JSE/大和ﾘﾃｯｸ鋼ダライＡ</v>
      </c>
      <c r="H2720" s="340">
        <f t="shared" si="3"/>
        <v>39.5</v>
      </c>
      <c r="I2720" s="341">
        <v>1.0</v>
      </c>
      <c r="J2720" s="332">
        <f>IFERROR(__xludf.DUMMYFUNCTION("IF(IF(COUNTIF(P$2:P2719, P2720)=0, """", INDEX(H$2:H2719,
MAX(FILTER(ROW(H$2:H2719) - ROW(H$2) + 1, P$2:P2719 = P2720))))=""単価"","""",
IF(COUNTIF(P$2:P2719, P2720)=0, """", INDEX(H$2:H2719,
MAX(FILTER(ROW(H$2:H2719) - ROW(H$2) + 1, P$2:P2719 = P2720)))))"),38.5)</f>
        <v>38.5</v>
      </c>
      <c r="N2720" s="335" t="str">
        <f>IF(MAXIFS('単価履歴'!$O:$O,'単価履歴'!$E:$E,E2720,'単価履歴'!$F:$F,F2720)=O2720,"●","")</f>
        <v/>
      </c>
      <c r="O2720" s="346">
        <v>45940.74276620371</v>
      </c>
      <c r="P2720" s="334" t="str">
        <f t="shared" si="4"/>
        <v>大同特殊鋼:JSE/大和ﾘﾃｯｸ鋼ダライＡ</v>
      </c>
    </row>
    <row r="2721" ht="15.75" customHeight="1">
      <c r="A2721" s="335" t="s">
        <v>3870</v>
      </c>
      <c r="B2721" s="336">
        <v>45941.0</v>
      </c>
      <c r="C2721" s="335" t="s">
        <v>537</v>
      </c>
      <c r="D2721" s="335" t="s">
        <v>1404</v>
      </c>
      <c r="E2721" s="337" t="str">
        <f t="shared" si="1"/>
        <v>大同特殊鋼:JSE/大和ﾘﾃｯｸ</v>
      </c>
      <c r="F2721" s="338" t="s">
        <v>116</v>
      </c>
      <c r="G2721" s="339" t="str">
        <f t="shared" si="2"/>
        <v>大同特殊鋼:JSE/大和ﾘﾃｯｸＨ２(特級)</v>
      </c>
      <c r="H2721" s="340">
        <f t="shared" si="3"/>
        <v>40.7</v>
      </c>
      <c r="I2721" s="341">
        <v>1.0</v>
      </c>
      <c r="J2721" s="332">
        <f>IFERROR(__xludf.DUMMYFUNCTION("IF(IF(COUNTIF(P$2:P2720, P2721)=0, """", INDEX(H$2:H2720,
MAX(FILTER(ROW(H$2:H2720) - ROW(H$2) + 1, P$2:P2720 = P2721))))=""単価"","""",
IF(COUNTIF(P$2:P2720, P2721)=0, """", INDEX(H$2:H2720,
MAX(FILTER(ROW(H$2:H2720) - ROW(H$2) + 1, P$2:P2720 = P2721)))))"),39.7)</f>
        <v>39.7</v>
      </c>
      <c r="N2721" s="335" t="str">
        <f>IF(MAXIFS('単価履歴'!$O:$O,'単価履歴'!$E:$E,E2721,'単価履歴'!$F:$F,F2721)=O2721,"●","")</f>
        <v/>
      </c>
      <c r="O2721" s="346">
        <v>45940.74276620371</v>
      </c>
      <c r="P2721" s="334" t="str">
        <f t="shared" si="4"/>
        <v>大同特殊鋼:JSE/大和ﾘﾃｯｸＨ２(特級)</v>
      </c>
    </row>
    <row r="2722" ht="15.75" customHeight="1">
      <c r="A2722" s="335" t="s">
        <v>3871</v>
      </c>
      <c r="B2722" s="336">
        <v>45941.0</v>
      </c>
      <c r="C2722" s="335" t="s">
        <v>537</v>
      </c>
      <c r="D2722" s="335" t="s">
        <v>1407</v>
      </c>
      <c r="E2722" s="337" t="str">
        <f t="shared" si="1"/>
        <v>大同特殊鋼:JSE/第二＠2.3</v>
      </c>
      <c r="F2722" s="338" t="s">
        <v>1199</v>
      </c>
      <c r="G2722" s="339" t="str">
        <f t="shared" si="2"/>
        <v>大同特殊鋼:JSE/第二＠2.3ＨＳ１(単体H1/電特A/HS))</v>
      </c>
      <c r="H2722" s="340">
        <f t="shared" si="3"/>
        <v>41.5</v>
      </c>
      <c r="I2722" s="341">
        <v>1.0</v>
      </c>
      <c r="J2722" s="332">
        <f>IFERROR(__xludf.DUMMYFUNCTION("IF(IF(COUNTIF(P$2:P2721, P2722)=0, """", INDEX(H$2:H2721,
MAX(FILTER(ROW(H$2:H2721) - ROW(H$2) + 1, P$2:P2721 = P2722))))=""単価"","""",
IF(COUNTIF(P$2:P2721, P2722)=0, """", INDEX(H$2:H2721,
MAX(FILTER(ROW(H$2:H2721) - ROW(H$2) + 1, P$2:P2721 = P2722)))))"),40.5)</f>
        <v>40.5</v>
      </c>
      <c r="N2722" s="335" t="str">
        <f>IF(MAXIFS('単価履歴'!$O:$O,'単価履歴'!$E:$E,E2722,'単価履歴'!$F:$F,F2722)=O2722,"●","")</f>
        <v/>
      </c>
      <c r="O2722" s="346">
        <v>45940.74276620371</v>
      </c>
      <c r="P2722" s="334" t="str">
        <f t="shared" si="4"/>
        <v>大同特殊鋼:JSE/第二＠2.3ＨＳ１(単体H1/電特A/HS))</v>
      </c>
    </row>
    <row r="2723" ht="15.75" customHeight="1">
      <c r="A2723" s="335" t="s">
        <v>3872</v>
      </c>
      <c r="B2723" s="336">
        <v>45941.0</v>
      </c>
      <c r="C2723" s="335" t="s">
        <v>537</v>
      </c>
      <c r="D2723" s="335" t="s">
        <v>1407</v>
      </c>
      <c r="E2723" s="337" t="str">
        <f t="shared" si="1"/>
        <v>大同特殊鋼:JSE/第二＠2.3</v>
      </c>
      <c r="F2723" s="338" t="s">
        <v>575</v>
      </c>
      <c r="G2723" s="339" t="str">
        <f t="shared" si="2"/>
        <v>大同特殊鋼:JSE/第二＠2.3鋼ダライＡ</v>
      </c>
      <c r="H2723" s="340">
        <f t="shared" si="3"/>
        <v>37.2</v>
      </c>
      <c r="I2723" s="341">
        <v>1.0</v>
      </c>
      <c r="J2723" s="332">
        <f>IFERROR(__xludf.DUMMYFUNCTION("IF(IF(COUNTIF(P$2:P2722, P2723)=0, """", INDEX(H$2:H2722,
MAX(FILTER(ROW(H$2:H2722) - ROW(H$2) + 1, P$2:P2722 = P2723))))=""単価"","""",
IF(COUNTIF(P$2:P2722, P2723)=0, """", INDEX(H$2:H2722,
MAX(FILTER(ROW(H$2:H2722) - ROW(H$2) + 1, P$2:P2722 = P2723)))))"),36.2)</f>
        <v>36.2</v>
      </c>
      <c r="N2723" s="335" t="str">
        <f>IF(MAXIFS('単価履歴'!$O:$O,'単価履歴'!$E:$E,E2723,'単価履歴'!$F:$F,F2723)=O2723,"●","")</f>
        <v/>
      </c>
      <c r="O2723" s="346">
        <v>45940.74276620371</v>
      </c>
      <c r="P2723" s="334" t="str">
        <f t="shared" si="4"/>
        <v>大同特殊鋼:JSE/第二＠2.3鋼ダライＡ</v>
      </c>
    </row>
    <row r="2724" ht="15.75" customHeight="1">
      <c r="A2724" s="335" t="s">
        <v>3873</v>
      </c>
      <c r="B2724" s="336">
        <v>45941.0</v>
      </c>
      <c r="C2724" s="335" t="s">
        <v>537</v>
      </c>
      <c r="D2724" s="335" t="s">
        <v>1407</v>
      </c>
      <c r="E2724" s="337" t="str">
        <f t="shared" si="1"/>
        <v>大同特殊鋼:JSE/第二＠2.3</v>
      </c>
      <c r="F2724" s="338" t="s">
        <v>116</v>
      </c>
      <c r="G2724" s="339" t="str">
        <f t="shared" si="2"/>
        <v>大同特殊鋼:JSE/第二＠2.3Ｈ２(特級)</v>
      </c>
      <c r="H2724" s="340">
        <f t="shared" si="3"/>
        <v>38.4</v>
      </c>
      <c r="I2724" s="341">
        <v>1.0</v>
      </c>
      <c r="J2724" s="332">
        <f>IFERROR(__xludf.DUMMYFUNCTION("IF(IF(COUNTIF(P$2:P2723, P2724)=0, """", INDEX(H$2:H2723,
MAX(FILTER(ROW(H$2:H2723) - ROW(H$2) + 1, P$2:P2723 = P2724))))=""単価"","""",
IF(COUNTIF(P$2:P2723, P2724)=0, """", INDEX(H$2:H2723,
MAX(FILTER(ROW(H$2:H2723) - ROW(H$2) + 1, P$2:P2723 = P2724)))))"),37.400000000000006)</f>
        <v>37.4</v>
      </c>
      <c r="N2724" s="335" t="str">
        <f>IF(MAXIFS('単価履歴'!$O:$O,'単価履歴'!$E:$E,E2724,'単価履歴'!$F:$F,F2724)=O2724,"●","")</f>
        <v/>
      </c>
      <c r="O2724" s="346">
        <v>45940.74276620371</v>
      </c>
      <c r="P2724" s="334" t="str">
        <f t="shared" si="4"/>
        <v>大同特殊鋼:JSE/第二＠2.3Ｈ２(特級)</v>
      </c>
    </row>
    <row r="2725" ht="15.75" customHeight="1">
      <c r="A2725" s="335" t="s">
        <v>3874</v>
      </c>
      <c r="B2725" s="336">
        <v>45941.0</v>
      </c>
      <c r="C2725" s="335" t="s">
        <v>537</v>
      </c>
      <c r="D2725" s="335" t="s">
        <v>1410</v>
      </c>
      <c r="E2725" s="337" t="str">
        <f t="shared" si="1"/>
        <v>大同特殊鋼:JSE/岐阜＠1.5</v>
      </c>
      <c r="F2725" s="338" t="s">
        <v>1199</v>
      </c>
      <c r="G2725" s="339" t="str">
        <f t="shared" si="2"/>
        <v>大同特殊鋼:JSE/岐阜＠1.5ＨＳ１(単体H1/電特A/HS))</v>
      </c>
      <c r="H2725" s="340">
        <f t="shared" si="3"/>
        <v>42.3</v>
      </c>
      <c r="I2725" s="341">
        <v>1.0</v>
      </c>
      <c r="J2725" s="332">
        <f>IFERROR(__xludf.DUMMYFUNCTION("IF(IF(COUNTIF(P$2:P2724, P2725)=0, """", INDEX(H$2:H2724,
MAX(FILTER(ROW(H$2:H2724) - ROW(H$2) + 1, P$2:P2724 = P2725))))=""単価"","""",
IF(COUNTIF(P$2:P2724, P2725)=0, """", INDEX(H$2:H2724,
MAX(FILTER(ROW(H$2:H2724) - ROW(H$2) + 1, P$2:P2724 = P2725)))))"),41.3)</f>
        <v>41.3</v>
      </c>
      <c r="N2725" s="335" t="str">
        <f>IF(MAXIFS('単価履歴'!$O:$O,'単価履歴'!$E:$E,E2725,'単価履歴'!$F:$F,F2725)=O2725,"●","")</f>
        <v/>
      </c>
      <c r="O2725" s="346">
        <v>45940.74276620371</v>
      </c>
      <c r="P2725" s="334" t="str">
        <f t="shared" si="4"/>
        <v>大同特殊鋼:JSE/岐阜＠1.5ＨＳ１(単体H1/電特A/HS))</v>
      </c>
    </row>
    <row r="2726" ht="15.75" customHeight="1">
      <c r="A2726" s="335" t="s">
        <v>3875</v>
      </c>
      <c r="B2726" s="336">
        <v>45941.0</v>
      </c>
      <c r="C2726" s="335" t="s">
        <v>537</v>
      </c>
      <c r="D2726" s="335" t="s">
        <v>1410</v>
      </c>
      <c r="E2726" s="337" t="str">
        <f t="shared" si="1"/>
        <v>大同特殊鋼:JSE/岐阜＠1.5</v>
      </c>
      <c r="F2726" s="338" t="s">
        <v>575</v>
      </c>
      <c r="G2726" s="339" t="str">
        <f t="shared" si="2"/>
        <v>大同特殊鋼:JSE/岐阜＠1.5鋼ダライＡ</v>
      </c>
      <c r="H2726" s="340">
        <f t="shared" si="3"/>
        <v>38</v>
      </c>
      <c r="I2726" s="341">
        <v>1.0</v>
      </c>
      <c r="J2726" s="332">
        <f>IFERROR(__xludf.DUMMYFUNCTION("IF(IF(COUNTIF(P$2:P2725, P2726)=0, """", INDEX(H$2:H2725,
MAX(FILTER(ROW(H$2:H2725) - ROW(H$2) + 1, P$2:P2725 = P2726))))=""単価"","""",
IF(COUNTIF(P$2:P2725, P2726)=0, """", INDEX(H$2:H2725,
MAX(FILTER(ROW(H$2:H2725) - ROW(H$2) + 1, P$2:P2725 = P2726)))))"),37.0)</f>
        <v>37</v>
      </c>
      <c r="N2726" s="335" t="str">
        <f>IF(MAXIFS('単価履歴'!$O:$O,'単価履歴'!$E:$E,E2726,'単価履歴'!$F:$F,F2726)=O2726,"●","")</f>
        <v/>
      </c>
      <c r="O2726" s="346">
        <v>45940.74276620371</v>
      </c>
      <c r="P2726" s="334" t="str">
        <f t="shared" si="4"/>
        <v>大同特殊鋼:JSE/岐阜＠1.5鋼ダライＡ</v>
      </c>
    </row>
    <row r="2727" ht="15.75" customHeight="1">
      <c r="A2727" s="335" t="s">
        <v>3876</v>
      </c>
      <c r="B2727" s="336">
        <v>45941.0</v>
      </c>
      <c r="C2727" s="335" t="s">
        <v>537</v>
      </c>
      <c r="D2727" s="335" t="s">
        <v>1410</v>
      </c>
      <c r="E2727" s="337" t="str">
        <f t="shared" si="1"/>
        <v>大同特殊鋼:JSE/岐阜＠1.5</v>
      </c>
      <c r="F2727" s="338" t="s">
        <v>116</v>
      </c>
      <c r="G2727" s="339" t="str">
        <f t="shared" si="2"/>
        <v>大同特殊鋼:JSE/岐阜＠1.5Ｈ２(特級)</v>
      </c>
      <c r="H2727" s="340">
        <f t="shared" si="3"/>
        <v>39.2</v>
      </c>
      <c r="I2727" s="341">
        <v>1.0</v>
      </c>
      <c r="J2727" s="332">
        <f>IFERROR(__xludf.DUMMYFUNCTION("IF(IF(COUNTIF(P$2:P2726, P2727)=0, """", INDEX(H$2:H2726,
MAX(FILTER(ROW(H$2:H2726) - ROW(H$2) + 1, P$2:P2726 = P2727))))=""単価"","""",
IF(COUNTIF(P$2:P2726, P2727)=0, """", INDEX(H$2:H2726,
MAX(FILTER(ROW(H$2:H2726) - ROW(H$2) + 1, P$2:P2726 = P2727)))))"),38.2)</f>
        <v>38.2</v>
      </c>
      <c r="N2727" s="335" t="str">
        <f>IF(MAXIFS('単価履歴'!$O:$O,'単価履歴'!$E:$E,E2727,'単価履歴'!$F:$F,F2727)=O2727,"●","")</f>
        <v/>
      </c>
      <c r="O2727" s="346">
        <v>45940.74276620371</v>
      </c>
      <c r="P2727" s="334" t="str">
        <f t="shared" si="4"/>
        <v>大同特殊鋼:JSE/岐阜＠1.5Ｈ２(特級)</v>
      </c>
    </row>
    <row r="2728" ht="15.75" customHeight="1">
      <c r="A2728" s="335" t="s">
        <v>3877</v>
      </c>
      <c r="B2728" s="336">
        <v>45940.0</v>
      </c>
      <c r="C2728" s="335" t="s">
        <v>28</v>
      </c>
      <c r="D2728" s="335" t="s">
        <v>52</v>
      </c>
      <c r="E2728" s="337" t="str">
        <f t="shared" si="1"/>
        <v>ＪＦＥ条鋼:リバイブ</v>
      </c>
      <c r="F2728" s="338" t="s">
        <v>130</v>
      </c>
      <c r="G2728" s="339" t="str">
        <f t="shared" si="2"/>
        <v>ＪＦＥ条鋼:リバイブ新断Ａ</v>
      </c>
      <c r="H2728" s="340">
        <f t="shared" si="3"/>
        <v>45.5</v>
      </c>
      <c r="I2728" s="341">
        <v>2.0</v>
      </c>
      <c r="J2728" s="332">
        <f>IFERROR(__xludf.DUMMYFUNCTION("IF(IF(COUNTIF(P$2:P2727, P2728)=0, """", INDEX(H$2:H2727,
MAX(FILTER(ROW(H$2:H2727) - ROW(H$2) + 1, P$2:P2727 = P2728))))=""単価"","""",
IF(COUNTIF(P$2:P2727, P2728)=0, """", INDEX(H$2:H2727,
MAX(FILTER(ROW(H$2:H2727) - ROW(H$2) + 1, P$2:P2727 = P2728)))))"),43.5)</f>
        <v>43.5</v>
      </c>
      <c r="N2728" s="335" t="str">
        <f>IF(MAXIFS('単価履歴'!$O:$O,'単価履歴'!$E:$E,E2728,'単価履歴'!$F:$F,F2728)=O2728,"●","")</f>
        <v/>
      </c>
      <c r="O2728" s="346">
        <v>45940.74922453704</v>
      </c>
      <c r="P2728" s="334" t="str">
        <f t="shared" si="4"/>
        <v>ＪＦＥ条鋼:リバイブ新断Ａ</v>
      </c>
    </row>
    <row r="2729" ht="15.75" customHeight="1">
      <c r="A2729" s="335" t="s">
        <v>3878</v>
      </c>
      <c r="B2729" s="336">
        <v>45940.0</v>
      </c>
      <c r="C2729" s="335" t="s">
        <v>28</v>
      </c>
      <c r="D2729" s="335" t="s">
        <v>52</v>
      </c>
      <c r="E2729" s="337" t="str">
        <f t="shared" si="1"/>
        <v>ＪＦＥ条鋼:リバイブ</v>
      </c>
      <c r="F2729" s="338" t="s">
        <v>131</v>
      </c>
      <c r="G2729" s="339" t="str">
        <f t="shared" si="2"/>
        <v>ＪＦＥ条鋼:リバイブ新断Ｂ</v>
      </c>
      <c r="H2729" s="340">
        <f t="shared" si="3"/>
        <v>44.5</v>
      </c>
      <c r="I2729" s="341">
        <v>2.0</v>
      </c>
      <c r="J2729" s="332">
        <f>IFERROR(__xludf.DUMMYFUNCTION("IF(IF(COUNTIF(P$2:P2728, P2729)=0, """", INDEX(H$2:H2728,
MAX(FILTER(ROW(H$2:H2728) - ROW(H$2) + 1, P$2:P2728 = P2729))))=""単価"","""",
IF(COUNTIF(P$2:P2728, P2729)=0, """", INDEX(H$2:H2728,
MAX(FILTER(ROW(H$2:H2728) - ROW(H$2) + 1, P$2:P2728 = P2729)))))"),42.5)</f>
        <v>42.5</v>
      </c>
      <c r="N2729" s="335" t="str">
        <f>IF(MAXIFS('単価履歴'!$O:$O,'単価履歴'!$E:$E,E2729,'単価履歴'!$F:$F,F2729)=O2729,"●","")</f>
        <v/>
      </c>
      <c r="O2729" s="346">
        <v>45940.74922453704</v>
      </c>
      <c r="P2729" s="334" t="str">
        <f t="shared" si="4"/>
        <v>ＪＦＥ条鋼:リバイブ新断Ｂ</v>
      </c>
    </row>
    <row r="2730" ht="15.75" customHeight="1">
      <c r="A2730" s="335" t="s">
        <v>3879</v>
      </c>
      <c r="B2730" s="336">
        <v>45940.0</v>
      </c>
      <c r="C2730" s="335" t="s">
        <v>28</v>
      </c>
      <c r="D2730" s="335" t="s">
        <v>52</v>
      </c>
      <c r="E2730" s="337" t="str">
        <f t="shared" si="1"/>
        <v>ＪＦＥ条鋼:リバイブ</v>
      </c>
      <c r="F2730" s="338" t="s">
        <v>119</v>
      </c>
      <c r="G2730" s="339" t="str">
        <f t="shared" si="2"/>
        <v>ＪＦＥ条鋼:リバイブＨ３(1級)</v>
      </c>
      <c r="H2730" s="340">
        <f t="shared" si="3"/>
        <v>39</v>
      </c>
      <c r="I2730" s="341">
        <v>2.0</v>
      </c>
      <c r="J2730" s="332">
        <f>IFERROR(__xludf.DUMMYFUNCTION("IF(IF(COUNTIF(P$2:P2729, P2730)=0, """", INDEX(H$2:H2729,
MAX(FILTER(ROW(H$2:H2729) - ROW(H$2) + 1, P$2:P2729 = P2730))))=""単価"","""",
IF(COUNTIF(P$2:P2729, P2730)=0, """", INDEX(H$2:H2729,
MAX(FILTER(ROW(H$2:H2729) - ROW(H$2) + 1, P$2:P2729 = P2730)))))"),37.0)</f>
        <v>37</v>
      </c>
      <c r="N2730" s="335" t="str">
        <f>IF(MAXIFS('単価履歴'!$O:$O,'単価履歴'!$E:$E,E2730,'単価履歴'!$F:$F,F2730)=O2730,"●","")</f>
        <v/>
      </c>
      <c r="O2730" s="346">
        <v>45940.74922453704</v>
      </c>
      <c r="P2730" s="334" t="str">
        <f t="shared" si="4"/>
        <v>ＪＦＥ条鋼:リバイブＨ３(1級)</v>
      </c>
    </row>
    <row r="2731" ht="15.75" customHeight="1">
      <c r="A2731" s="335" t="s">
        <v>3880</v>
      </c>
      <c r="B2731" s="336">
        <v>45940.0</v>
      </c>
      <c r="C2731" s="335" t="s">
        <v>28</v>
      </c>
      <c r="D2731" s="335" t="s">
        <v>52</v>
      </c>
      <c r="E2731" s="337" t="str">
        <f t="shared" si="1"/>
        <v>ＪＦＥ条鋼:リバイブ</v>
      </c>
      <c r="F2731" s="338" t="s">
        <v>122</v>
      </c>
      <c r="G2731" s="339" t="str">
        <f t="shared" si="2"/>
        <v>ＪＦＥ条鋼:リバイブＬ１(2級)</v>
      </c>
      <c r="H2731" s="340">
        <f t="shared" si="3"/>
        <v>36</v>
      </c>
      <c r="I2731" s="341">
        <v>2.0</v>
      </c>
      <c r="J2731" s="332">
        <f>IFERROR(__xludf.DUMMYFUNCTION("IF(IF(COUNTIF(P$2:P2730, P2731)=0, """", INDEX(H$2:H2730,
MAX(FILTER(ROW(H$2:H2730) - ROW(H$2) + 1, P$2:P2730 = P2731))))=""単価"","""",
IF(COUNTIF(P$2:P2730, P2731)=0, """", INDEX(H$2:H2730,
MAX(FILTER(ROW(H$2:H2730) - ROW(H$2) + 1, P$2:P2730 = P2731)))))"),34.0)</f>
        <v>34</v>
      </c>
      <c r="N2731" s="335" t="str">
        <f>IF(MAXIFS('単価履歴'!$O:$O,'単価履歴'!$E:$E,E2731,'単価履歴'!$F:$F,F2731)=O2731,"●","")</f>
        <v/>
      </c>
      <c r="O2731" s="346">
        <v>45940.74922453704</v>
      </c>
      <c r="P2731" s="334" t="str">
        <f t="shared" si="4"/>
        <v>ＪＦＥ条鋼:リバイブＬ１(2級)</v>
      </c>
    </row>
    <row r="2732" ht="15.75" customHeight="1">
      <c r="A2732" s="335" t="s">
        <v>3881</v>
      </c>
      <c r="B2732" s="336">
        <v>45940.0</v>
      </c>
      <c r="C2732" s="335" t="s">
        <v>28</v>
      </c>
      <c r="D2732" s="335" t="s">
        <v>52</v>
      </c>
      <c r="E2732" s="337" t="str">
        <f t="shared" si="1"/>
        <v>ＪＦＥ条鋼:リバイブ</v>
      </c>
      <c r="F2732" s="338" t="s">
        <v>573</v>
      </c>
      <c r="G2732" s="339" t="str">
        <f t="shared" si="2"/>
        <v>ＪＦＥ条鋼:リバイブＬ２(H4･級外･L1ﾊﾞﾗ)</v>
      </c>
      <c r="H2732" s="340">
        <f t="shared" si="3"/>
        <v>31</v>
      </c>
      <c r="I2732" s="341">
        <v>2.0</v>
      </c>
      <c r="J2732" s="332">
        <f>IFERROR(__xludf.DUMMYFUNCTION("IF(IF(COUNTIF(P$2:P2731, P2732)=0, """", INDEX(H$2:H2731,
MAX(FILTER(ROW(H$2:H2731) - ROW(H$2) + 1, P$2:P2731 = P2732))))=""単価"","""",
IF(COUNTIF(P$2:P2731, P2732)=0, """", INDEX(H$2:H2731,
MAX(FILTER(ROW(H$2:H2731) - ROW(H$2) + 1, P$2:P2731 = P2732)))))"),29.0)</f>
        <v>29</v>
      </c>
      <c r="N2732" s="335" t="str">
        <f>IF(MAXIFS('単価履歴'!$O:$O,'単価履歴'!$E:$E,E2732,'単価履歴'!$F:$F,F2732)=O2732,"●","")</f>
        <v/>
      </c>
      <c r="O2732" s="346">
        <v>45940.74922453704</v>
      </c>
      <c r="P2732" s="334" t="str">
        <f t="shared" si="4"/>
        <v>ＪＦＥ条鋼:リバイブＬ２(H4･級外･L1ﾊﾞﾗ)</v>
      </c>
    </row>
    <row r="2733" ht="15.75" customHeight="1">
      <c r="A2733" s="335" t="s">
        <v>3882</v>
      </c>
      <c r="B2733" s="336">
        <v>45940.0</v>
      </c>
      <c r="C2733" s="335" t="s">
        <v>28</v>
      </c>
      <c r="D2733" s="335" t="s">
        <v>52</v>
      </c>
      <c r="E2733" s="337" t="str">
        <f t="shared" si="1"/>
        <v>ＪＦＥ条鋼:リバイブ</v>
      </c>
      <c r="F2733" s="338" t="s">
        <v>111</v>
      </c>
      <c r="G2733" s="339" t="str">
        <f t="shared" si="2"/>
        <v>ＪＦＥ条鋼:リバイブＨ１(特A)</v>
      </c>
      <c r="H2733" s="340">
        <f t="shared" si="3"/>
        <v>40</v>
      </c>
      <c r="I2733" s="341">
        <v>2.0</v>
      </c>
      <c r="J2733" s="332">
        <f>IFERROR(__xludf.DUMMYFUNCTION("IF(IF(COUNTIF(P$2:P2732, P2733)=0, """", INDEX(H$2:H2732,
MAX(FILTER(ROW(H$2:H2732) - ROW(H$2) + 1, P$2:P2732 = P2733))))=""単価"","""",
IF(COUNTIF(P$2:P2732, P2733)=0, """", INDEX(H$2:H2732,
MAX(FILTER(ROW(H$2:H2732) - ROW(H$2) + 1, P$2:P2732 = P2733)))))"),38.0)</f>
        <v>38</v>
      </c>
      <c r="N2733" s="335" t="str">
        <f>IF(MAXIFS('単価履歴'!$O:$O,'単価履歴'!$E:$E,E2733,'単価履歴'!$F:$F,F2733)=O2733,"●","")</f>
        <v/>
      </c>
      <c r="O2733" s="346">
        <v>45940.74922453704</v>
      </c>
      <c r="P2733" s="334" t="str">
        <f t="shared" si="4"/>
        <v>ＪＦＥ条鋼:リバイブＨ１(特A)</v>
      </c>
    </row>
    <row r="2734" ht="15.75" customHeight="1">
      <c r="A2734" s="335" t="s">
        <v>3883</v>
      </c>
      <c r="B2734" s="336">
        <v>45940.0</v>
      </c>
      <c r="C2734" s="335" t="s">
        <v>28</v>
      </c>
      <c r="D2734" s="335" t="s">
        <v>52</v>
      </c>
      <c r="E2734" s="337" t="str">
        <f t="shared" si="1"/>
        <v>ＪＦＥ条鋼:リバイブ</v>
      </c>
      <c r="F2734" s="338" t="s">
        <v>116</v>
      </c>
      <c r="G2734" s="339" t="str">
        <f t="shared" si="2"/>
        <v>ＪＦＥ条鋼:リバイブＨ２(特級)</v>
      </c>
      <c r="H2734" s="340">
        <f t="shared" si="3"/>
        <v>40</v>
      </c>
      <c r="I2734" s="341">
        <v>2.0</v>
      </c>
      <c r="J2734" s="332">
        <f>IFERROR(__xludf.DUMMYFUNCTION("IF(IF(COUNTIF(P$2:P2733, P2734)=0, """", INDEX(H$2:H2733,
MAX(FILTER(ROW(H$2:H2733) - ROW(H$2) + 1, P$2:P2733 = P2734))))=""単価"","""",
IF(COUNTIF(P$2:P2733, P2734)=0, """", INDEX(H$2:H2733,
MAX(FILTER(ROW(H$2:H2733) - ROW(H$2) + 1, P$2:P2733 = P2734)))))"),38.0)</f>
        <v>38</v>
      </c>
      <c r="N2734" s="335" t="str">
        <f>IF(MAXIFS('単価履歴'!$O:$O,'単価履歴'!$E:$E,E2734,'単価履歴'!$F:$F,F2734)=O2734,"●","")</f>
        <v/>
      </c>
      <c r="O2734" s="346">
        <v>45940.74922453704</v>
      </c>
      <c r="P2734" s="334" t="str">
        <f t="shared" si="4"/>
        <v>ＪＦＥ条鋼:リバイブＨ２(特級)</v>
      </c>
    </row>
    <row r="2735" ht="15.75" customHeight="1">
      <c r="A2735" s="335" t="s">
        <v>3884</v>
      </c>
      <c r="B2735" s="336">
        <v>45940.0</v>
      </c>
      <c r="C2735" s="335" t="s">
        <v>28</v>
      </c>
      <c r="D2735" s="335" t="s">
        <v>52</v>
      </c>
      <c r="E2735" s="337" t="str">
        <f t="shared" si="1"/>
        <v>ＪＦＥ条鋼:リバイブ</v>
      </c>
      <c r="F2735" s="338" t="s">
        <v>575</v>
      </c>
      <c r="G2735" s="339" t="str">
        <f t="shared" si="2"/>
        <v>ＪＦＥ条鋼:リバイブ鋼ダライＡ</v>
      </c>
      <c r="H2735" s="340">
        <f t="shared" si="3"/>
        <v>38</v>
      </c>
      <c r="I2735" s="341">
        <v>1.0</v>
      </c>
      <c r="J2735" s="332">
        <f>IFERROR(__xludf.DUMMYFUNCTION("IF(IF(COUNTIF(P$2:P2734, P2735)=0, """", INDEX(H$2:H2734,
MAX(FILTER(ROW(H$2:H2734) - ROW(H$2) + 1, P$2:P2734 = P2735))))=""単価"","""",
IF(COUNTIF(P$2:P2734, P2735)=0, """", INDEX(H$2:H2734,
MAX(FILTER(ROW(H$2:H2734) - ROW(H$2) + 1, P$2:P2734 = P2735)))))"),37.0)</f>
        <v>37</v>
      </c>
      <c r="N2735" s="335" t="str">
        <f>IF(MAXIFS('単価履歴'!$O:$O,'単価履歴'!$E:$E,E2735,'単価履歴'!$F:$F,F2735)=O2735,"●","")</f>
        <v/>
      </c>
      <c r="O2735" s="346">
        <v>45940.74974537037</v>
      </c>
      <c r="P2735" s="334" t="str">
        <f t="shared" si="4"/>
        <v>ＪＦＥ条鋼:リバイブ鋼ダライＡ</v>
      </c>
    </row>
    <row r="2736" ht="15.75" customHeight="1">
      <c r="A2736" s="335" t="s">
        <v>3885</v>
      </c>
      <c r="B2736" s="336">
        <v>45940.0</v>
      </c>
      <c r="C2736" s="335" t="s">
        <v>28</v>
      </c>
      <c r="D2736" s="335" t="s">
        <v>52</v>
      </c>
      <c r="E2736" s="337" t="str">
        <f t="shared" si="1"/>
        <v>ＪＦＥ条鋼:リバイブ</v>
      </c>
      <c r="F2736" s="338" t="s">
        <v>154</v>
      </c>
      <c r="G2736" s="339" t="str">
        <f t="shared" si="2"/>
        <v>ＪＦＥ条鋼:リバイブＣＰ Ａ</v>
      </c>
      <c r="H2736" s="340">
        <f t="shared" si="3"/>
        <v>44.5</v>
      </c>
      <c r="I2736" s="341">
        <v>1.0</v>
      </c>
      <c r="J2736" s="332">
        <f>IFERROR(__xludf.DUMMYFUNCTION("IF(IF(COUNTIF(P$2:P2735, P2736)=0, """", INDEX(H$2:H2735,
MAX(FILTER(ROW(H$2:H2735) - ROW(H$2) + 1, P$2:P2735 = P2736))))=""単価"","""",
IF(COUNTIF(P$2:P2735, P2736)=0, """", INDEX(H$2:H2735,
MAX(FILTER(ROW(H$2:H2735) - ROW(H$2) + 1, P$2:P2735 = P2736)))))"),43.5)</f>
        <v>43.5</v>
      </c>
      <c r="N2736" s="335" t="str">
        <f>IF(MAXIFS('単価履歴'!$O:$O,'単価履歴'!$E:$E,E2736,'単価履歴'!$F:$F,F2736)=O2736,"●","")</f>
        <v/>
      </c>
      <c r="O2736" s="346">
        <v>45940.74974537037</v>
      </c>
      <c r="P2736" s="334" t="str">
        <f t="shared" si="4"/>
        <v>ＪＦＥ条鋼:リバイブＣＰ Ａ</v>
      </c>
    </row>
    <row r="2737" ht="15.75" customHeight="1">
      <c r="A2737" s="335" t="s">
        <v>3886</v>
      </c>
      <c r="B2737" s="336">
        <v>45941.0</v>
      </c>
      <c r="C2737" s="335" t="s">
        <v>12</v>
      </c>
      <c r="D2737" s="335" t="s">
        <v>53</v>
      </c>
      <c r="E2737" s="337" t="str">
        <f t="shared" si="1"/>
        <v>山陽特殊:MM</v>
      </c>
      <c r="F2737" s="338" t="s">
        <v>1199</v>
      </c>
      <c r="G2737" s="339" t="str">
        <f t="shared" si="2"/>
        <v>山陽特殊:MMＨＳ１(単体H1/電特A/HS))</v>
      </c>
      <c r="H2737" s="340">
        <f t="shared" si="3"/>
        <v>47.5</v>
      </c>
      <c r="I2737" s="341">
        <v>1.0</v>
      </c>
      <c r="J2737" s="332">
        <f>IFERROR(__xludf.DUMMYFUNCTION("IF(IF(COUNTIF(P$2:P2736, P2737)=0, """", INDEX(H$2:H2736,
MAX(FILTER(ROW(H$2:H2736) - ROW(H$2) + 1, P$2:P2736 = P2737))))=""単価"","""",
IF(COUNTIF(P$2:P2736, P2737)=0, """", INDEX(H$2:H2736,
MAX(FILTER(ROW(H$2:H2736) - ROW(H$2) + 1, P$2:P2736 = P2737)))))"),46.5)</f>
        <v>46.5</v>
      </c>
      <c r="N2737" s="335" t="str">
        <f>IF(MAXIFS('単価履歴'!$O:$O,'単価履歴'!$E:$E,E2737,'単価履歴'!$F:$F,F2737)=O2737,"●","")</f>
        <v/>
      </c>
      <c r="O2737" s="346">
        <v>45940.76490740741</v>
      </c>
      <c r="P2737" s="334" t="str">
        <f t="shared" si="4"/>
        <v>山陽特殊:MMＨＳ１(単体H1/電特A/HS))</v>
      </c>
    </row>
    <row r="2738" ht="15.75" customHeight="1">
      <c r="A2738" s="335" t="s">
        <v>3887</v>
      </c>
      <c r="B2738" s="336">
        <v>45941.0</v>
      </c>
      <c r="C2738" s="335" t="s">
        <v>12</v>
      </c>
      <c r="D2738" s="335" t="s">
        <v>53</v>
      </c>
      <c r="E2738" s="337" t="str">
        <f t="shared" si="1"/>
        <v>山陽特殊:MM</v>
      </c>
      <c r="F2738" s="338" t="s">
        <v>101</v>
      </c>
      <c r="G2738" s="339" t="str">
        <f t="shared" si="2"/>
        <v>山陽特殊:MMＨＳ２</v>
      </c>
      <c r="H2738" s="340">
        <f t="shared" si="3"/>
        <v>47.3</v>
      </c>
      <c r="I2738" s="341">
        <v>1.0</v>
      </c>
      <c r="J2738" s="332">
        <f>IFERROR(__xludf.DUMMYFUNCTION("IF(IF(COUNTIF(P$2:P2737, P2738)=0, """", INDEX(H$2:H2737,
MAX(FILTER(ROW(H$2:H2737) - ROW(H$2) + 1, P$2:P2737 = P2738))))=""単価"","""",
IF(COUNTIF(P$2:P2737, P2738)=0, """", INDEX(H$2:H2737,
MAX(FILTER(ROW(H$2:H2737) - ROW(H$2) + 1, P$2:P2737 = P2738)))))"),46.3)</f>
        <v>46.3</v>
      </c>
      <c r="N2738" s="335" t="str">
        <f>IF(MAXIFS('単価履歴'!$O:$O,'単価履歴'!$E:$E,E2738,'単価履歴'!$F:$F,F2738)=O2738,"●","")</f>
        <v/>
      </c>
      <c r="O2738" s="346">
        <v>45940.76490740741</v>
      </c>
      <c r="P2738" s="334" t="str">
        <f t="shared" si="4"/>
        <v>山陽特殊:MMＨＳ２</v>
      </c>
    </row>
    <row r="2739" ht="15.75" customHeight="1">
      <c r="A2739" s="335" t="s">
        <v>3888</v>
      </c>
      <c r="B2739" s="336">
        <v>45941.0</v>
      </c>
      <c r="C2739" s="335" t="s">
        <v>12</v>
      </c>
      <c r="D2739" s="335" t="s">
        <v>53</v>
      </c>
      <c r="E2739" s="337" t="str">
        <f t="shared" si="1"/>
        <v>山陽特殊:MM</v>
      </c>
      <c r="F2739" s="338" t="s">
        <v>105</v>
      </c>
      <c r="G2739" s="339" t="str">
        <f t="shared" si="2"/>
        <v>山陽特殊:MMＨＳ３</v>
      </c>
      <c r="H2739" s="340">
        <f t="shared" si="3"/>
        <v>45.3</v>
      </c>
      <c r="I2739" s="341">
        <v>1.0</v>
      </c>
      <c r="J2739" s="332">
        <f>IFERROR(__xludf.DUMMYFUNCTION("IF(IF(COUNTIF(P$2:P2738, P2739)=0, """", INDEX(H$2:H2738,
MAX(FILTER(ROW(H$2:H2738) - ROW(H$2) + 1, P$2:P2738 = P2739))))=""単価"","""",
IF(COUNTIF(P$2:P2738, P2739)=0, """", INDEX(H$2:H2738,
MAX(FILTER(ROW(H$2:H2738) - ROW(H$2) + 1, P$2:P2738 = P2739)))))"),44.3)</f>
        <v>44.3</v>
      </c>
      <c r="N2739" s="335" t="str">
        <f>IF(MAXIFS('単価履歴'!$O:$O,'単価履歴'!$E:$E,E2739,'単価履歴'!$F:$F,F2739)=O2739,"●","")</f>
        <v/>
      </c>
      <c r="O2739" s="346">
        <v>45940.76490740741</v>
      </c>
      <c r="P2739" s="334" t="str">
        <f t="shared" si="4"/>
        <v>山陽特殊:MMＨＳ３</v>
      </c>
    </row>
    <row r="2740" ht="15.75" customHeight="1">
      <c r="A2740" s="335" t="s">
        <v>3889</v>
      </c>
      <c r="B2740" s="336">
        <v>45941.0</v>
      </c>
      <c r="C2740" s="335" t="s">
        <v>12</v>
      </c>
      <c r="D2740" s="335" t="s">
        <v>53</v>
      </c>
      <c r="E2740" s="337" t="str">
        <f t="shared" si="1"/>
        <v>山陽特殊:MM</v>
      </c>
      <c r="F2740" s="338" t="s">
        <v>122</v>
      </c>
      <c r="G2740" s="339" t="str">
        <f t="shared" si="2"/>
        <v>山陽特殊:MMＬ１(2級)</v>
      </c>
      <c r="H2740" s="340">
        <f t="shared" si="3"/>
        <v>3</v>
      </c>
      <c r="I2740" s="341">
        <v>1.0</v>
      </c>
      <c r="J2740" s="332">
        <f>IFERROR(__xludf.DUMMYFUNCTION("IF(IF(COUNTIF(P$2:P2739, P2740)=0, """", INDEX(H$2:H2739,
MAX(FILTER(ROW(H$2:H2739) - ROW(H$2) + 1, P$2:P2739 = P2740))))=""単価"","""",
IF(COUNTIF(P$2:P2739, P2740)=0, """", INDEX(H$2:H2739,
MAX(FILTER(ROW(H$2:H2739) - ROW(H$2) + 1, P$2:P2739 = P2740)))))"),2.0)</f>
        <v>2</v>
      </c>
      <c r="N2740" s="335" t="str">
        <f>IF(MAXIFS('単価履歴'!$O:$O,'単価履歴'!$E:$E,E2740,'単価履歴'!$F:$F,F2740)=O2740,"●","")</f>
        <v/>
      </c>
      <c r="O2740" s="346">
        <v>45940.76490740741</v>
      </c>
      <c r="P2740" s="334" t="str">
        <f t="shared" si="4"/>
        <v>山陽特殊:MMＬ１(2級)</v>
      </c>
    </row>
    <row r="2741" ht="15.75" customHeight="1">
      <c r="A2741" s="335" t="s">
        <v>3890</v>
      </c>
      <c r="B2741" s="336">
        <v>45941.0</v>
      </c>
      <c r="C2741" s="335" t="s">
        <v>12</v>
      </c>
      <c r="D2741" s="335" t="s">
        <v>53</v>
      </c>
      <c r="E2741" s="337" t="str">
        <f t="shared" si="1"/>
        <v>山陽特殊:MM</v>
      </c>
      <c r="F2741" s="338" t="s">
        <v>130</v>
      </c>
      <c r="G2741" s="339" t="str">
        <f t="shared" si="2"/>
        <v>山陽特殊:MM新断Ａ</v>
      </c>
      <c r="H2741" s="340">
        <f t="shared" si="3"/>
        <v>46.5</v>
      </c>
      <c r="I2741" s="341">
        <v>1.0</v>
      </c>
      <c r="J2741" s="332">
        <f>IFERROR(__xludf.DUMMYFUNCTION("IF(IF(COUNTIF(P$2:P2740, P2741)=0, """", INDEX(H$2:H2740,
MAX(FILTER(ROW(H$2:H2740) - ROW(H$2) + 1, P$2:P2740 = P2741))))=""単価"","""",
IF(COUNTIF(P$2:P2740, P2741)=0, """", INDEX(H$2:H2740,
MAX(FILTER(ROW(H$2:H2740) - ROW(H$2) + 1, P$2:P2740 = P2741)))))"),45.5)</f>
        <v>45.5</v>
      </c>
      <c r="N2741" s="335" t="str">
        <f>IF(MAXIFS('単価履歴'!$O:$O,'単価履歴'!$E:$E,E2741,'単価履歴'!$F:$F,F2741)=O2741,"●","")</f>
        <v/>
      </c>
      <c r="O2741" s="346">
        <v>45940.76490740741</v>
      </c>
      <c r="P2741" s="334" t="str">
        <f t="shared" si="4"/>
        <v>山陽特殊:MM新断Ａ</v>
      </c>
    </row>
    <row r="2742" ht="15.75" customHeight="1">
      <c r="A2742" s="335" t="s">
        <v>3891</v>
      </c>
      <c r="B2742" s="336">
        <v>45941.0</v>
      </c>
      <c r="C2742" s="335" t="s">
        <v>12</v>
      </c>
      <c r="D2742" s="335" t="s">
        <v>53</v>
      </c>
      <c r="E2742" s="337" t="str">
        <f t="shared" si="1"/>
        <v>山陽特殊:MM</v>
      </c>
      <c r="F2742" s="338" t="s">
        <v>131</v>
      </c>
      <c r="G2742" s="339" t="str">
        <f t="shared" si="2"/>
        <v>山陽特殊:MM新断Ｂ</v>
      </c>
      <c r="H2742" s="340">
        <f t="shared" si="3"/>
        <v>45.5</v>
      </c>
      <c r="I2742" s="341">
        <v>1.0</v>
      </c>
      <c r="J2742" s="332">
        <f>IFERROR(__xludf.DUMMYFUNCTION("IF(IF(COUNTIF(P$2:P2741, P2742)=0, """", INDEX(H$2:H2741,
MAX(FILTER(ROW(H$2:H2741) - ROW(H$2) + 1, P$2:P2741 = P2742))))=""単価"","""",
IF(COUNTIF(P$2:P2741, P2742)=0, """", INDEX(H$2:H2741,
MAX(FILTER(ROW(H$2:H2741) - ROW(H$2) + 1, P$2:P2741 = P2742)))))"),44.5)</f>
        <v>44.5</v>
      </c>
      <c r="N2742" s="335" t="str">
        <f>IF(MAXIFS('単価履歴'!$O:$O,'単価履歴'!$E:$E,E2742,'単価履歴'!$F:$F,F2742)=O2742,"●","")</f>
        <v/>
      </c>
      <c r="O2742" s="346">
        <v>45940.76490740741</v>
      </c>
      <c r="P2742" s="334" t="str">
        <f t="shared" si="4"/>
        <v>山陽特殊:MM新断Ｂ</v>
      </c>
    </row>
    <row r="2743" ht="15.75" customHeight="1">
      <c r="A2743" s="335" t="s">
        <v>3892</v>
      </c>
      <c r="B2743" s="336">
        <v>45941.0</v>
      </c>
      <c r="C2743" s="335" t="s">
        <v>12</v>
      </c>
      <c r="D2743" s="335" t="s">
        <v>53</v>
      </c>
      <c r="E2743" s="337" t="str">
        <f t="shared" si="1"/>
        <v>山陽特殊:MM</v>
      </c>
      <c r="F2743" s="338" t="s">
        <v>574</v>
      </c>
      <c r="G2743" s="339" t="str">
        <f t="shared" si="2"/>
        <v>山陽特殊:MM新断Ｃ</v>
      </c>
      <c r="H2743" s="340">
        <f t="shared" si="3"/>
        <v>42.7</v>
      </c>
      <c r="I2743" s="341">
        <v>1.0</v>
      </c>
      <c r="J2743" s="332">
        <f>IFERROR(__xludf.DUMMYFUNCTION("IF(IF(COUNTIF(P$2:P2742, P2743)=0, """", INDEX(H$2:H2742,
MAX(FILTER(ROW(H$2:H2742) - ROW(H$2) + 1, P$2:P2742 = P2743))))=""単価"","""",
IF(COUNTIF(P$2:P2742, P2743)=0, """", INDEX(H$2:H2742,
MAX(FILTER(ROW(H$2:H2742) - ROW(H$2) + 1, P$2:P2742 = P2743)))))"),41.699999999999996)</f>
        <v>41.7</v>
      </c>
      <c r="N2743" s="335" t="str">
        <f>IF(MAXIFS('単価履歴'!$O:$O,'単価履歴'!$E:$E,E2743,'単価履歴'!$F:$F,F2743)=O2743,"●","")</f>
        <v/>
      </c>
      <c r="O2743" s="346">
        <v>45940.76490740741</v>
      </c>
      <c r="P2743" s="334" t="str">
        <f t="shared" si="4"/>
        <v>山陽特殊:MM新断Ｃ</v>
      </c>
    </row>
    <row r="2744" ht="15.75" customHeight="1">
      <c r="A2744" s="335" t="s">
        <v>3893</v>
      </c>
      <c r="B2744" s="336">
        <v>45945.0</v>
      </c>
      <c r="C2744" s="335" t="s">
        <v>9</v>
      </c>
      <c r="D2744" s="335" t="s">
        <v>51</v>
      </c>
      <c r="E2744" s="337" t="str">
        <f t="shared" si="1"/>
        <v>大鉄　堺:大鉄堺</v>
      </c>
      <c r="F2744" s="338" t="s">
        <v>111</v>
      </c>
      <c r="G2744" s="339" t="str">
        <f t="shared" si="2"/>
        <v>大鉄　堺:大鉄堺Ｈ１(特A)</v>
      </c>
      <c r="H2744" s="340">
        <f t="shared" si="3"/>
        <v>43.5</v>
      </c>
      <c r="I2744" s="341">
        <v>1.5</v>
      </c>
      <c r="J2744" s="332">
        <f>IFERROR(__xludf.DUMMYFUNCTION("IF(IF(COUNTIF(P$2:P2743, P2744)=0, """", INDEX(H$2:H2743,
MAX(FILTER(ROW(H$2:H2743) - ROW(H$2) + 1, P$2:P2743 = P2744))))=""単価"","""",
IF(COUNTIF(P$2:P2743, P2744)=0, """", INDEX(H$2:H2743,
MAX(FILTER(ROW(H$2:H2743) - ROW(H$2) + 1, P$2:P2743 = P2744)))))"),42.0)</f>
        <v>42</v>
      </c>
      <c r="N2744" s="335" t="str">
        <f>IF(MAXIFS('単価履歴'!$O:$O,'単価履歴'!$E:$E,E2744,'単価履歴'!$F:$F,F2744)=O2744,"●","")</f>
        <v/>
      </c>
      <c r="O2744" s="346">
        <v>45944.734814814816</v>
      </c>
      <c r="P2744" s="334" t="str">
        <f t="shared" si="4"/>
        <v>大鉄　堺:大鉄堺Ｈ１(特A)</v>
      </c>
    </row>
    <row r="2745" ht="15.75" customHeight="1">
      <c r="A2745" s="335" t="s">
        <v>3894</v>
      </c>
      <c r="B2745" s="336">
        <v>45945.0</v>
      </c>
      <c r="C2745" s="335" t="s">
        <v>9</v>
      </c>
      <c r="D2745" s="335" t="s">
        <v>51</v>
      </c>
      <c r="E2745" s="337" t="str">
        <f t="shared" si="1"/>
        <v>大鉄　堺:大鉄堺</v>
      </c>
      <c r="F2745" s="338" t="s">
        <v>116</v>
      </c>
      <c r="G2745" s="339" t="str">
        <f t="shared" si="2"/>
        <v>大鉄　堺:大鉄堺Ｈ２(特級)</v>
      </c>
      <c r="H2745" s="340">
        <f t="shared" si="3"/>
        <v>40.5</v>
      </c>
      <c r="I2745" s="341">
        <v>1.5</v>
      </c>
      <c r="J2745" s="332">
        <f>IFERROR(__xludf.DUMMYFUNCTION("IF(IF(COUNTIF(P$2:P2744, P2745)=0, """", INDEX(H$2:H2744,
MAX(FILTER(ROW(H$2:H2744) - ROW(H$2) + 1, P$2:P2744 = P2745))))=""単価"","""",
IF(COUNTIF(P$2:P2744, P2745)=0, """", INDEX(H$2:H2744,
MAX(FILTER(ROW(H$2:H2744) - ROW(H$2) + 1, P$2:P2744 = P2745)))))"),39.0)</f>
        <v>39</v>
      </c>
      <c r="N2745" s="335" t="str">
        <f>IF(MAXIFS('単価履歴'!$O:$O,'単価履歴'!$E:$E,E2745,'単価履歴'!$F:$F,F2745)=O2745,"●","")</f>
        <v/>
      </c>
      <c r="O2745" s="346">
        <v>45944.734814814816</v>
      </c>
      <c r="P2745" s="334" t="str">
        <f t="shared" si="4"/>
        <v>大鉄　堺:大鉄堺Ｈ２(特級)</v>
      </c>
    </row>
    <row r="2746" ht="15.75" customHeight="1">
      <c r="A2746" s="335" t="s">
        <v>3895</v>
      </c>
      <c r="B2746" s="336">
        <v>45945.0</v>
      </c>
      <c r="C2746" s="335" t="s">
        <v>9</v>
      </c>
      <c r="D2746" s="335" t="s">
        <v>51</v>
      </c>
      <c r="E2746" s="337" t="str">
        <f t="shared" si="1"/>
        <v>大鉄　堺:大鉄堺</v>
      </c>
      <c r="F2746" s="338" t="s">
        <v>1237</v>
      </c>
      <c r="G2746" s="339" t="str">
        <f t="shared" si="2"/>
        <v>大鉄　堺:大鉄堺ＪＨ１(H2T山口)鍛造ﾊﾞﾘ</v>
      </c>
      <c r="H2746" s="340">
        <f t="shared" si="3"/>
        <v>42.5</v>
      </c>
      <c r="I2746" s="341">
        <v>1.5</v>
      </c>
      <c r="J2746" s="332">
        <f>IFERROR(__xludf.DUMMYFUNCTION("IF(IF(COUNTIF(P$2:P2745, P2746)=0, """", INDEX(H$2:H2745,
MAX(FILTER(ROW(H$2:H2745) - ROW(H$2) + 1, P$2:P2745 = P2746))))=""単価"","""",
IF(COUNTIF(P$2:P2745, P2746)=0, """", INDEX(H$2:H2745,
MAX(FILTER(ROW(H$2:H2745) - ROW(H$2) + 1, P$2:P2745 = P2746)))))"),41.0)</f>
        <v>41</v>
      </c>
      <c r="N2746" s="335" t="str">
        <f>IF(MAXIFS('単価履歴'!$O:$O,'単価履歴'!$E:$E,E2746,'単価履歴'!$F:$F,F2746)=O2746,"●","")</f>
        <v/>
      </c>
      <c r="O2746" s="346">
        <v>45944.734814814816</v>
      </c>
      <c r="P2746" s="334" t="str">
        <f t="shared" si="4"/>
        <v>大鉄　堺:大鉄堺ＪＨ１(H2T山口)鍛造ﾊﾞﾘ</v>
      </c>
    </row>
    <row r="2747" ht="15.75" customHeight="1">
      <c r="A2747" s="335" t="s">
        <v>3896</v>
      </c>
      <c r="B2747" s="336">
        <v>45945.0</v>
      </c>
      <c r="C2747" s="335" t="s">
        <v>9</v>
      </c>
      <c r="D2747" s="335" t="s">
        <v>51</v>
      </c>
      <c r="E2747" s="337" t="str">
        <f t="shared" si="1"/>
        <v>大鉄　堺:大鉄堺</v>
      </c>
      <c r="F2747" s="338" t="s">
        <v>119</v>
      </c>
      <c r="G2747" s="339" t="str">
        <f t="shared" si="2"/>
        <v>大鉄　堺:大鉄堺Ｈ３(1級)</v>
      </c>
      <c r="H2747" s="340">
        <f t="shared" si="3"/>
        <v>40</v>
      </c>
      <c r="I2747" s="341">
        <v>1.5</v>
      </c>
      <c r="J2747" s="332">
        <f>IFERROR(__xludf.DUMMYFUNCTION("IF(IF(COUNTIF(P$2:P2746, P2747)=0, """", INDEX(H$2:H2746,
MAX(FILTER(ROW(H$2:H2746) - ROW(H$2) + 1, P$2:P2746 = P2747))))=""単価"","""",
IF(COUNTIF(P$2:P2746, P2747)=0, """", INDEX(H$2:H2746,
MAX(FILTER(ROW(H$2:H2746) - ROW(H$2) + 1, P$2:P2746 = P2747)))))"),38.5)</f>
        <v>38.5</v>
      </c>
      <c r="N2747" s="335" t="str">
        <f>IF(MAXIFS('単価履歴'!$O:$O,'単価履歴'!$E:$E,E2747,'単価履歴'!$F:$F,F2747)=O2747,"●","")</f>
        <v/>
      </c>
      <c r="O2747" s="346">
        <v>45944.734814814816</v>
      </c>
      <c r="P2747" s="334" t="str">
        <f t="shared" si="4"/>
        <v>大鉄　堺:大鉄堺Ｈ３(1級)</v>
      </c>
    </row>
    <row r="2748" ht="15.75" customHeight="1">
      <c r="A2748" s="335" t="s">
        <v>3897</v>
      </c>
      <c r="B2748" s="336">
        <v>45945.0</v>
      </c>
      <c r="C2748" s="335" t="s">
        <v>9</v>
      </c>
      <c r="D2748" s="335" t="s">
        <v>51</v>
      </c>
      <c r="E2748" s="337" t="str">
        <f t="shared" si="1"/>
        <v>大鉄　堺:大鉄堺</v>
      </c>
      <c r="F2748" s="338" t="s">
        <v>130</v>
      </c>
      <c r="G2748" s="339" t="str">
        <f t="shared" si="2"/>
        <v>大鉄　堺:大鉄堺新断Ａ</v>
      </c>
      <c r="H2748" s="340">
        <f t="shared" si="3"/>
        <v>27</v>
      </c>
      <c r="I2748" s="341">
        <v>1.5</v>
      </c>
      <c r="J2748" s="332">
        <f>IFERROR(__xludf.DUMMYFUNCTION("IF(IF(COUNTIF(P$2:P2747, P2748)=0, """", INDEX(H$2:H2747,
MAX(FILTER(ROW(H$2:H2747) - ROW(H$2) + 1, P$2:P2747 = P2748))))=""単価"","""",
IF(COUNTIF(P$2:P2747, P2748)=0, """", INDEX(H$2:H2747,
MAX(FILTER(ROW(H$2:H2747) - ROW(H$2) + 1, P$2:P2747 = P2748)))))"),25.5)</f>
        <v>25.5</v>
      </c>
      <c r="N2748" s="335" t="str">
        <f>IF(MAXIFS('単価履歴'!$O:$O,'単価履歴'!$E:$E,E2748,'単価履歴'!$F:$F,F2748)=O2748,"●","")</f>
        <v/>
      </c>
      <c r="O2748" s="346">
        <v>45944.734814814816</v>
      </c>
      <c r="P2748" s="334" t="str">
        <f t="shared" si="4"/>
        <v>大鉄　堺:大鉄堺新断Ａ</v>
      </c>
    </row>
    <row r="2749" ht="15.75" customHeight="1">
      <c r="A2749" s="335" t="s">
        <v>3898</v>
      </c>
      <c r="B2749" s="336">
        <v>45945.0</v>
      </c>
      <c r="C2749" s="335" t="s">
        <v>9</v>
      </c>
      <c r="D2749" s="335" t="s">
        <v>51</v>
      </c>
      <c r="E2749" s="337" t="str">
        <f t="shared" si="1"/>
        <v>大鉄　堺:大鉄堺</v>
      </c>
      <c r="F2749" s="338" t="s">
        <v>131</v>
      </c>
      <c r="G2749" s="339" t="str">
        <f t="shared" si="2"/>
        <v>大鉄　堺:大鉄堺新断Ｂ</v>
      </c>
      <c r="H2749" s="340">
        <f t="shared" si="3"/>
        <v>26.5</v>
      </c>
      <c r="I2749" s="341">
        <v>1.5</v>
      </c>
      <c r="J2749" s="332">
        <f>IFERROR(__xludf.DUMMYFUNCTION("IF(IF(COUNTIF(P$2:P2748, P2749)=0, """", INDEX(H$2:H2748,
MAX(FILTER(ROW(H$2:H2748) - ROW(H$2) + 1, P$2:P2748 = P2749))))=""単価"","""",
IF(COUNTIF(P$2:P2748, P2749)=0, """", INDEX(H$2:H2748,
MAX(FILTER(ROW(H$2:H2748) - ROW(H$2) + 1, P$2:P2748 = P2749)))))"),25.0)</f>
        <v>25</v>
      </c>
      <c r="N2749" s="335" t="str">
        <f>IF(MAXIFS('単価履歴'!$O:$O,'単価履歴'!$E:$E,E2749,'単価履歴'!$F:$F,F2749)=O2749,"●","")</f>
        <v/>
      </c>
      <c r="O2749" s="346">
        <v>45944.734814814816</v>
      </c>
      <c r="P2749" s="334" t="str">
        <f t="shared" si="4"/>
        <v>大鉄　堺:大鉄堺新断Ｂ</v>
      </c>
    </row>
    <row r="2750" ht="15.75" customHeight="1">
      <c r="A2750" s="335" t="s">
        <v>3899</v>
      </c>
      <c r="B2750" s="336">
        <v>45945.0</v>
      </c>
      <c r="C2750" s="335" t="s">
        <v>9</v>
      </c>
      <c r="D2750" s="335" t="s">
        <v>51</v>
      </c>
      <c r="E2750" s="337" t="str">
        <f t="shared" si="1"/>
        <v>大鉄　堺:大鉄堺</v>
      </c>
      <c r="F2750" s="338" t="s">
        <v>145</v>
      </c>
      <c r="G2750" s="339" t="str">
        <f t="shared" si="2"/>
        <v>大鉄　堺:大鉄堺シュレＡ</v>
      </c>
      <c r="H2750" s="340">
        <f t="shared" si="3"/>
        <v>29.5</v>
      </c>
      <c r="I2750" s="341">
        <v>1.5</v>
      </c>
      <c r="J2750" s="332">
        <f>IFERROR(__xludf.DUMMYFUNCTION("IF(IF(COUNTIF(P$2:P2749, P2750)=0, """", INDEX(H$2:H2749,
MAX(FILTER(ROW(H$2:H2749) - ROW(H$2) + 1, P$2:P2749 = P2750))))=""単価"","""",
IF(COUNTIF(P$2:P2749, P2750)=0, """", INDEX(H$2:H2749,
MAX(FILTER(ROW(H$2:H2749) - ROW(H$2) + 1, P$2:P2749 = P2750)))))"),28.0)</f>
        <v>28</v>
      </c>
      <c r="N2750" s="335" t="str">
        <f>IF(MAXIFS('単価履歴'!$O:$O,'単価履歴'!$E:$E,E2750,'単価履歴'!$F:$F,F2750)=O2750,"●","")</f>
        <v/>
      </c>
      <c r="O2750" s="346">
        <v>45944.734814814816</v>
      </c>
      <c r="P2750" s="334" t="str">
        <f t="shared" si="4"/>
        <v>大鉄　堺:大鉄堺シュレＡ</v>
      </c>
    </row>
    <row r="2751" ht="15.75" customHeight="1">
      <c r="A2751" s="335" t="s">
        <v>3900</v>
      </c>
      <c r="B2751" s="336">
        <v>45945.0</v>
      </c>
      <c r="C2751" s="335" t="s">
        <v>9</v>
      </c>
      <c r="D2751" s="335" t="s">
        <v>51</v>
      </c>
      <c r="E2751" s="337" t="str">
        <f t="shared" si="1"/>
        <v>大鉄　堺:大鉄堺</v>
      </c>
      <c r="F2751" s="338" t="s">
        <v>149</v>
      </c>
      <c r="G2751" s="339" t="str">
        <f t="shared" si="2"/>
        <v>大鉄　堺:大鉄堺シュレＢ</v>
      </c>
      <c r="H2751" s="340">
        <f t="shared" si="3"/>
        <v>28.8</v>
      </c>
      <c r="I2751" s="341">
        <v>1.5</v>
      </c>
      <c r="J2751" s="332">
        <f>IFERROR(__xludf.DUMMYFUNCTION("IF(IF(COUNTIF(P$2:P2750, P2751)=0, """", INDEX(H$2:H2750,
MAX(FILTER(ROW(H$2:H2750) - ROW(H$2) + 1, P$2:P2750 = P2751))))=""単価"","""",
IF(COUNTIF(P$2:P2750, P2751)=0, """", INDEX(H$2:H2750,
MAX(FILTER(ROW(H$2:H2750) - ROW(H$2) + 1, P$2:P2750 = P2751)))))"),27.3)</f>
        <v>27.3</v>
      </c>
      <c r="N2751" s="335" t="str">
        <f>IF(MAXIFS('単価履歴'!$O:$O,'単価履歴'!$E:$E,E2751,'単価履歴'!$F:$F,F2751)=O2751,"●","")</f>
        <v/>
      </c>
      <c r="O2751" s="346">
        <v>45944.734814814816</v>
      </c>
      <c r="P2751" s="334" t="str">
        <f t="shared" si="4"/>
        <v>大鉄　堺:大鉄堺シュレＢ</v>
      </c>
    </row>
    <row r="2752" ht="15.75" customHeight="1">
      <c r="A2752" s="335" t="s">
        <v>3901</v>
      </c>
      <c r="B2752" s="336">
        <v>45945.0</v>
      </c>
      <c r="C2752" s="335" t="s">
        <v>9</v>
      </c>
      <c r="D2752" s="335" t="s">
        <v>51</v>
      </c>
      <c r="E2752" s="337" t="str">
        <f t="shared" si="1"/>
        <v>大鉄　堺:大鉄堺</v>
      </c>
      <c r="F2752" s="338" t="s">
        <v>151</v>
      </c>
      <c r="G2752" s="339" t="str">
        <f t="shared" si="2"/>
        <v>大鉄　堺:大鉄堺シュレＣ</v>
      </c>
      <c r="H2752" s="340">
        <f t="shared" si="3"/>
        <v>27.4</v>
      </c>
      <c r="I2752" s="341">
        <v>1.5</v>
      </c>
      <c r="J2752" s="332">
        <f>IFERROR(__xludf.DUMMYFUNCTION("IF(IF(COUNTIF(P$2:P2751, P2752)=0, """", INDEX(H$2:H2751,
MAX(FILTER(ROW(H$2:H2751) - ROW(H$2) + 1, P$2:P2751 = P2752))))=""単価"","""",
IF(COUNTIF(P$2:P2751, P2752)=0, """", INDEX(H$2:H2751,
MAX(FILTER(ROW(H$2:H2751) - ROW(H$2) + 1, P$2:P2751 = P2752)))))"),25.9)</f>
        <v>25.9</v>
      </c>
      <c r="N2752" s="335" t="str">
        <f>IF(MAXIFS('単価履歴'!$O:$O,'単価履歴'!$E:$E,E2752,'単価履歴'!$F:$F,F2752)=O2752,"●","")</f>
        <v/>
      </c>
      <c r="O2752" s="346">
        <v>45944.734814814816</v>
      </c>
      <c r="P2752" s="334" t="str">
        <f t="shared" si="4"/>
        <v>大鉄　堺:大鉄堺シュレＣ</v>
      </c>
    </row>
    <row r="2753" ht="15.75" customHeight="1">
      <c r="A2753" s="335" t="s">
        <v>3902</v>
      </c>
      <c r="B2753" s="336">
        <v>45945.0</v>
      </c>
      <c r="C2753" s="335" t="s">
        <v>9</v>
      </c>
      <c r="D2753" s="335" t="s">
        <v>51</v>
      </c>
      <c r="E2753" s="337" t="str">
        <f t="shared" si="1"/>
        <v>大鉄　堺:大鉄堺</v>
      </c>
      <c r="F2753" s="338" t="s">
        <v>154</v>
      </c>
      <c r="G2753" s="339" t="str">
        <f t="shared" si="2"/>
        <v>大鉄　堺:大鉄堺ＣＰ Ａ</v>
      </c>
      <c r="H2753" s="340">
        <f t="shared" si="3"/>
        <v>35</v>
      </c>
      <c r="I2753" s="341">
        <v>1.5</v>
      </c>
      <c r="J2753" s="332">
        <f>IFERROR(__xludf.DUMMYFUNCTION("IF(IF(COUNTIF(P$2:P2752, P2753)=0, """", INDEX(H$2:H2752,
MAX(FILTER(ROW(H$2:H2752) - ROW(H$2) + 1, P$2:P2752 = P2753))))=""単価"","""",
IF(COUNTIF(P$2:P2752, P2753)=0, """", INDEX(H$2:H2752,
MAX(FILTER(ROW(H$2:H2752) - ROW(H$2) + 1, P$2:P2752 = P2753)))))"),33.5)</f>
        <v>33.5</v>
      </c>
      <c r="N2753" s="335" t="str">
        <f>IF(MAXIFS('単価履歴'!$O:$O,'単価履歴'!$E:$E,E2753,'単価履歴'!$F:$F,F2753)=O2753,"●","")</f>
        <v/>
      </c>
      <c r="O2753" s="346">
        <v>45944.734814814816</v>
      </c>
      <c r="P2753" s="334" t="str">
        <f t="shared" si="4"/>
        <v>大鉄　堺:大鉄堺ＣＰ Ａ</v>
      </c>
    </row>
    <row r="2754" ht="15.75" customHeight="1">
      <c r="A2754" s="335" t="s">
        <v>3903</v>
      </c>
      <c r="B2754" s="336">
        <v>45945.0</v>
      </c>
      <c r="C2754" s="335" t="s">
        <v>9</v>
      </c>
      <c r="D2754" s="335" t="s">
        <v>51</v>
      </c>
      <c r="E2754" s="337" t="str">
        <f t="shared" si="1"/>
        <v>大鉄　堺:大鉄堺</v>
      </c>
      <c r="F2754" s="338" t="s">
        <v>156</v>
      </c>
      <c r="G2754" s="339" t="str">
        <f t="shared" si="2"/>
        <v>大鉄　堺:大鉄堺ＣＰ Ｂ一斗缶</v>
      </c>
      <c r="H2754" s="340">
        <f t="shared" si="3"/>
        <v>28.5</v>
      </c>
      <c r="I2754" s="341">
        <v>1.5</v>
      </c>
      <c r="J2754" s="332">
        <f>IFERROR(__xludf.DUMMYFUNCTION("IF(IF(COUNTIF(P$2:P2753, P2754)=0, """", INDEX(H$2:H2753,
MAX(FILTER(ROW(H$2:H2753) - ROW(H$2) + 1, P$2:P2753 = P2754))))=""単価"","""",
IF(COUNTIF(P$2:P2753, P2754)=0, """", INDEX(H$2:H2753,
MAX(FILTER(ROW(H$2:H2753) - ROW(H$2) + 1, P$2:P2753 = P2754)))))"),27.0)</f>
        <v>27</v>
      </c>
      <c r="N2754" s="335" t="str">
        <f>IF(MAXIFS('単価履歴'!$O:$O,'単価履歴'!$E:$E,E2754,'単価履歴'!$F:$F,F2754)=O2754,"●","")</f>
        <v/>
      </c>
      <c r="O2754" s="346">
        <v>45944.734814814816</v>
      </c>
      <c r="P2754" s="334" t="str">
        <f t="shared" si="4"/>
        <v>大鉄　堺:大鉄堺ＣＰ Ｂ一斗缶</v>
      </c>
    </row>
    <row r="2755" ht="15.75" customHeight="1">
      <c r="A2755" s="335" t="s">
        <v>3904</v>
      </c>
      <c r="B2755" s="336">
        <v>45945.0</v>
      </c>
      <c r="C2755" s="335" t="s">
        <v>9</v>
      </c>
      <c r="D2755" s="335" t="s">
        <v>51</v>
      </c>
      <c r="E2755" s="337" t="str">
        <f t="shared" si="1"/>
        <v>大鉄　堺:大鉄堺</v>
      </c>
      <c r="F2755" s="338" t="s">
        <v>122</v>
      </c>
      <c r="G2755" s="339" t="str">
        <f t="shared" si="2"/>
        <v>大鉄　堺:大鉄堺Ｌ１(2級)</v>
      </c>
      <c r="H2755" s="340">
        <f t="shared" si="3"/>
        <v>39.5</v>
      </c>
      <c r="I2755" s="341">
        <v>1.5</v>
      </c>
      <c r="J2755" s="332">
        <f>IFERROR(__xludf.DUMMYFUNCTION("IF(IF(COUNTIF(P$2:P2754, P2755)=0, """", INDEX(H$2:H2754,
MAX(FILTER(ROW(H$2:H2754) - ROW(H$2) + 1, P$2:P2754 = P2755))))=""単価"","""",
IF(COUNTIF(P$2:P2754, P2755)=0, """", INDEX(H$2:H2754,
MAX(FILTER(ROW(H$2:H2754) - ROW(H$2) + 1, P$2:P2754 = P2755)))))"),38.0)</f>
        <v>38</v>
      </c>
      <c r="N2755" s="335" t="str">
        <f>IF(MAXIFS('単価履歴'!$O:$O,'単価履歴'!$E:$E,E2755,'単価履歴'!$F:$F,F2755)=O2755,"●","")</f>
        <v/>
      </c>
      <c r="O2755" s="346">
        <v>45944.734814814816</v>
      </c>
      <c r="P2755" s="334" t="str">
        <f t="shared" si="4"/>
        <v>大鉄　堺:大鉄堺Ｌ１(2級)</v>
      </c>
    </row>
    <row r="2756" ht="15.75" customHeight="1">
      <c r="A2756" s="335" t="s">
        <v>3905</v>
      </c>
      <c r="B2756" s="336">
        <v>45945.0</v>
      </c>
      <c r="C2756" s="335" t="s">
        <v>9</v>
      </c>
      <c r="D2756" s="335" t="s">
        <v>51</v>
      </c>
      <c r="E2756" s="337" t="str">
        <f t="shared" si="1"/>
        <v>大鉄　堺:大鉄堺</v>
      </c>
      <c r="F2756" s="338" t="s">
        <v>575</v>
      </c>
      <c r="G2756" s="339" t="str">
        <f t="shared" si="2"/>
        <v>大鉄　堺:大鉄堺鋼ダライＡ</v>
      </c>
      <c r="H2756" s="340">
        <f t="shared" si="3"/>
        <v>26.5</v>
      </c>
      <c r="I2756" s="341">
        <v>0.5</v>
      </c>
      <c r="J2756" s="332">
        <f>IFERROR(__xludf.DUMMYFUNCTION("IF(IF(COUNTIF(P$2:P2755, P2756)=0, """", INDEX(H$2:H2755,
MAX(FILTER(ROW(H$2:H2755) - ROW(H$2) + 1, P$2:P2755 = P2756))))=""単価"","""",
IF(COUNTIF(P$2:P2755, P2756)=0, """", INDEX(H$2:H2755,
MAX(FILTER(ROW(H$2:H2755) - ROW(H$2) + 1, P$2:P2755 = P2756)))))"),26.0)</f>
        <v>26</v>
      </c>
      <c r="N2756" s="335" t="str">
        <f>IF(MAXIFS('単価履歴'!$O:$O,'単価履歴'!$E:$E,E2756,'単価履歴'!$F:$F,F2756)=O2756,"●","")</f>
        <v/>
      </c>
      <c r="O2756" s="346">
        <v>45944.735393518524</v>
      </c>
      <c r="P2756" s="334" t="str">
        <f t="shared" si="4"/>
        <v>大鉄　堺:大鉄堺鋼ダライＡ</v>
      </c>
    </row>
    <row r="2757" ht="15.75" customHeight="1">
      <c r="A2757" s="335" t="s">
        <v>3906</v>
      </c>
      <c r="B2757" s="336">
        <v>45945.0</v>
      </c>
      <c r="C2757" s="335" t="s">
        <v>9</v>
      </c>
      <c r="D2757" s="335" t="s">
        <v>51</v>
      </c>
      <c r="E2757" s="337" t="str">
        <f t="shared" si="1"/>
        <v>大鉄　堺:大鉄堺</v>
      </c>
      <c r="F2757" s="338" t="s">
        <v>576</v>
      </c>
      <c r="G2757" s="339" t="str">
        <f t="shared" si="2"/>
        <v>大鉄　堺:大鉄堺鋼ダライＢ</v>
      </c>
      <c r="H2757" s="340">
        <f t="shared" si="3"/>
        <v>26.5</v>
      </c>
      <c r="I2757" s="341">
        <v>0.5</v>
      </c>
      <c r="J2757" s="332">
        <f>IFERROR(__xludf.DUMMYFUNCTION("IF(IF(COUNTIF(P$2:P2756, P2757)=0, """", INDEX(H$2:H2756,
MAX(FILTER(ROW(H$2:H2756) - ROW(H$2) + 1, P$2:P2756 = P2757))))=""単価"","""",
IF(COUNTIF(P$2:P2756, P2757)=0, """", INDEX(H$2:H2756,
MAX(FILTER(ROW(H$2:H2756) - ROW(H$2) + 1, P$2:P2756 = P2757)))))"),26.0)</f>
        <v>26</v>
      </c>
      <c r="N2757" s="335" t="str">
        <f>IF(MAXIFS('単価履歴'!$O:$O,'単価履歴'!$E:$E,E2757,'単価履歴'!$F:$F,F2757)=O2757,"●","")</f>
        <v/>
      </c>
      <c r="O2757" s="346">
        <v>45944.735393518524</v>
      </c>
      <c r="P2757" s="334" t="str">
        <f t="shared" si="4"/>
        <v>大鉄　堺:大鉄堺鋼ダライＢ</v>
      </c>
    </row>
    <row r="2758" ht="15.75" customHeight="1">
      <c r="A2758" s="335" t="s">
        <v>3907</v>
      </c>
      <c r="B2758" s="336">
        <v>45945.0</v>
      </c>
      <c r="C2758" s="335" t="s">
        <v>9</v>
      </c>
      <c r="D2758" s="335" t="s">
        <v>47</v>
      </c>
      <c r="E2758" s="337" t="str">
        <f t="shared" si="1"/>
        <v>大鉄　堺:豊通</v>
      </c>
      <c r="F2758" s="338" t="s">
        <v>111</v>
      </c>
      <c r="G2758" s="339" t="str">
        <f t="shared" si="2"/>
        <v>大鉄　堺:豊通Ｈ１(特A)</v>
      </c>
      <c r="H2758" s="340">
        <f t="shared" si="3"/>
        <v>28.4</v>
      </c>
      <c r="I2758" s="341">
        <v>1.5</v>
      </c>
      <c r="J2758" s="332">
        <f>IFERROR(__xludf.DUMMYFUNCTION("IF(IF(COUNTIF(P$2:P2757, P2758)=0, """", INDEX(H$2:H2757,
MAX(FILTER(ROW(H$2:H2757) - ROW(H$2) + 1, P$2:P2757 = P2758))))=""単価"","""",
IF(COUNTIF(P$2:P2757, P2758)=0, """", INDEX(H$2:H2757,
MAX(FILTER(ROW(H$2:H2757) - ROW(H$2) + 1, P$2:P2757 = P2758)))))"),26.9)</f>
        <v>26.9</v>
      </c>
      <c r="N2758" s="335" t="str">
        <f>IF(MAXIFS('単価履歴'!$O:$O,'単価履歴'!$E:$E,E2758,'単価履歴'!$F:$F,F2758)=O2758,"●","")</f>
        <v/>
      </c>
      <c r="O2758" s="346">
        <v>45944.73563657407</v>
      </c>
      <c r="P2758" s="334" t="str">
        <f t="shared" si="4"/>
        <v>大鉄　堺:豊通Ｈ１(特A)</v>
      </c>
    </row>
    <row r="2759" ht="15.75" customHeight="1">
      <c r="A2759" s="335" t="s">
        <v>3908</v>
      </c>
      <c r="B2759" s="336">
        <v>45945.0</v>
      </c>
      <c r="C2759" s="335" t="s">
        <v>9</v>
      </c>
      <c r="D2759" s="335" t="s">
        <v>47</v>
      </c>
      <c r="E2759" s="337" t="str">
        <f t="shared" si="1"/>
        <v>大鉄　堺:豊通</v>
      </c>
      <c r="F2759" s="338" t="s">
        <v>1237</v>
      </c>
      <c r="G2759" s="339" t="str">
        <f t="shared" si="2"/>
        <v>大鉄　堺:豊通ＪＨ１(H2T山口)鍛造ﾊﾞﾘ</v>
      </c>
      <c r="H2759" s="340">
        <f t="shared" si="3"/>
        <v>27.4</v>
      </c>
      <c r="I2759" s="341">
        <v>1.5</v>
      </c>
      <c r="J2759" s="332">
        <f>IFERROR(__xludf.DUMMYFUNCTION("IF(IF(COUNTIF(P$2:P2758, P2759)=0, """", INDEX(H$2:H2758,
MAX(FILTER(ROW(H$2:H2758) - ROW(H$2) + 1, P$2:P2758 = P2759))))=""単価"","""",
IF(COUNTIF(P$2:P2758, P2759)=0, """", INDEX(H$2:H2758,
MAX(FILTER(ROW(H$2:H2758) - ROW(H$2) + 1, P$2:P2758 = P2759)))))"),25.9)</f>
        <v>25.9</v>
      </c>
      <c r="N2759" s="335" t="str">
        <f>IF(MAXIFS('単価履歴'!$O:$O,'単価履歴'!$E:$E,E2759,'単価履歴'!$F:$F,F2759)=O2759,"●","")</f>
        <v/>
      </c>
      <c r="O2759" s="346">
        <v>45944.73563657407</v>
      </c>
      <c r="P2759" s="334" t="str">
        <f t="shared" si="4"/>
        <v>大鉄　堺:豊通ＪＨ１(H2T山口)鍛造ﾊﾞﾘ</v>
      </c>
    </row>
    <row r="2760" ht="15.75" customHeight="1">
      <c r="A2760" s="335" t="s">
        <v>3909</v>
      </c>
      <c r="B2760" s="336">
        <v>45945.0</v>
      </c>
      <c r="C2760" s="335" t="s">
        <v>9</v>
      </c>
      <c r="D2760" s="335" t="s">
        <v>47</v>
      </c>
      <c r="E2760" s="337" t="str">
        <f t="shared" si="1"/>
        <v>大鉄　堺:豊通</v>
      </c>
      <c r="F2760" s="338" t="s">
        <v>116</v>
      </c>
      <c r="G2760" s="339" t="str">
        <f t="shared" si="2"/>
        <v>大鉄　堺:豊通Ｈ２(特級)</v>
      </c>
      <c r="H2760" s="340">
        <f t="shared" si="3"/>
        <v>24.2</v>
      </c>
      <c r="I2760" s="341">
        <v>1.5</v>
      </c>
      <c r="J2760" s="332">
        <f>IFERROR(__xludf.DUMMYFUNCTION("IF(IF(COUNTIF(P$2:P2759, P2760)=0, """", INDEX(H$2:H2759,
MAX(FILTER(ROW(H$2:H2759) - ROW(H$2) + 1, P$2:P2759 = P2760))))=""単価"","""",
IF(COUNTIF(P$2:P2759, P2760)=0, """", INDEX(H$2:H2759,
MAX(FILTER(ROW(H$2:H2759) - ROW(H$2) + 1, P$2:P2759 = P2760)))))"),22.7)</f>
        <v>22.7</v>
      </c>
      <c r="N2760" s="335" t="str">
        <f>IF(MAXIFS('単価履歴'!$O:$O,'単価履歴'!$E:$E,E2760,'単価履歴'!$F:$F,F2760)=O2760,"●","")</f>
        <v/>
      </c>
      <c r="O2760" s="346">
        <v>45944.73563657407</v>
      </c>
      <c r="P2760" s="334" t="str">
        <f t="shared" si="4"/>
        <v>大鉄　堺:豊通Ｈ２(特級)</v>
      </c>
    </row>
    <row r="2761" ht="15.75" customHeight="1">
      <c r="A2761" s="335" t="s">
        <v>3910</v>
      </c>
      <c r="B2761" s="336">
        <v>45945.0</v>
      </c>
      <c r="C2761" s="335" t="s">
        <v>9</v>
      </c>
      <c r="D2761" s="335" t="s">
        <v>47</v>
      </c>
      <c r="E2761" s="337" t="str">
        <f t="shared" si="1"/>
        <v>大鉄　堺:豊通</v>
      </c>
      <c r="F2761" s="338" t="s">
        <v>119</v>
      </c>
      <c r="G2761" s="339" t="str">
        <f t="shared" si="2"/>
        <v>大鉄　堺:豊通Ｈ３(1級)</v>
      </c>
      <c r="H2761" s="340">
        <f t="shared" si="3"/>
        <v>23.2</v>
      </c>
      <c r="I2761" s="341">
        <v>1.5</v>
      </c>
      <c r="J2761" s="332">
        <f>IFERROR(__xludf.DUMMYFUNCTION("IF(IF(COUNTIF(P$2:P2760, P2761)=0, """", INDEX(H$2:H2760,
MAX(FILTER(ROW(H$2:H2760) - ROW(H$2) + 1, P$2:P2760 = P2761))))=""単価"","""",
IF(COUNTIF(P$2:P2760, P2761)=0, """", INDEX(H$2:H2760,
MAX(FILTER(ROW(H$2:H2760) - ROW(H$2) + 1, P$2:P2760 = P2761)))))"),21.7)</f>
        <v>21.7</v>
      </c>
      <c r="N2761" s="335" t="str">
        <f>IF(MAXIFS('単価履歴'!$O:$O,'単価履歴'!$E:$E,E2761,'単価履歴'!$F:$F,F2761)=O2761,"●","")</f>
        <v/>
      </c>
      <c r="O2761" s="346">
        <v>45944.73563657407</v>
      </c>
      <c r="P2761" s="334" t="str">
        <f t="shared" si="4"/>
        <v>大鉄　堺:豊通Ｈ３(1級)</v>
      </c>
    </row>
    <row r="2762" ht="15.75" customHeight="1">
      <c r="A2762" s="335" t="s">
        <v>3911</v>
      </c>
      <c r="B2762" s="336">
        <v>45945.0</v>
      </c>
      <c r="C2762" s="335" t="s">
        <v>9</v>
      </c>
      <c r="D2762" s="335" t="s">
        <v>47</v>
      </c>
      <c r="E2762" s="337" t="str">
        <f t="shared" si="1"/>
        <v>大鉄　堺:豊通</v>
      </c>
      <c r="F2762" s="338" t="s">
        <v>122</v>
      </c>
      <c r="G2762" s="339" t="str">
        <f t="shared" si="2"/>
        <v>大鉄　堺:豊通Ｌ１(2級)</v>
      </c>
      <c r="H2762" s="340">
        <f t="shared" si="3"/>
        <v>21.7</v>
      </c>
      <c r="I2762" s="341">
        <v>1.5</v>
      </c>
      <c r="J2762" s="332">
        <f>IFERROR(__xludf.DUMMYFUNCTION("IF(IF(COUNTIF(P$2:P2761, P2762)=0, """", INDEX(H$2:H2761,
MAX(FILTER(ROW(H$2:H2761) - ROW(H$2) + 1, P$2:P2761 = P2762))))=""単価"","""",
IF(COUNTIF(P$2:P2761, P2762)=0, """", INDEX(H$2:H2761,
MAX(FILTER(ROW(H$2:H2761) - ROW(H$2) + 1, P$2:P2761 = P2762)))))"),20.2)</f>
        <v>20.2</v>
      </c>
      <c r="N2762" s="335" t="str">
        <f>IF(MAXIFS('単価履歴'!$O:$O,'単価履歴'!$E:$E,E2762,'単価履歴'!$F:$F,F2762)=O2762,"●","")</f>
        <v/>
      </c>
      <c r="O2762" s="346">
        <v>45944.73563657407</v>
      </c>
      <c r="P2762" s="334" t="str">
        <f t="shared" si="4"/>
        <v>大鉄　堺:豊通Ｌ１(2級)</v>
      </c>
    </row>
    <row r="2763" ht="15.75" customHeight="1">
      <c r="A2763" s="335" t="s">
        <v>3912</v>
      </c>
      <c r="B2763" s="336">
        <v>45945.0</v>
      </c>
      <c r="C2763" s="335" t="s">
        <v>9</v>
      </c>
      <c r="D2763" s="335" t="s">
        <v>47</v>
      </c>
      <c r="E2763" s="337" t="str">
        <f t="shared" si="1"/>
        <v>大鉄　堺:豊通</v>
      </c>
      <c r="F2763" s="338" t="s">
        <v>130</v>
      </c>
      <c r="G2763" s="339" t="str">
        <f t="shared" si="2"/>
        <v>大鉄　堺:豊通新断Ａ</v>
      </c>
      <c r="H2763" s="340">
        <f t="shared" si="3"/>
        <v>25.2</v>
      </c>
      <c r="I2763" s="341">
        <v>1.5</v>
      </c>
      <c r="J2763" s="332">
        <f>IFERROR(__xludf.DUMMYFUNCTION("IF(IF(COUNTIF(P$2:P2762, P2763)=0, """", INDEX(H$2:H2762,
MAX(FILTER(ROW(H$2:H2762) - ROW(H$2) + 1, P$2:P2762 = P2763))))=""単価"","""",
IF(COUNTIF(P$2:P2762, P2763)=0, """", INDEX(H$2:H2762,
MAX(FILTER(ROW(H$2:H2762) - ROW(H$2) + 1, P$2:P2762 = P2763)))))"),23.7)</f>
        <v>23.7</v>
      </c>
      <c r="N2763" s="335" t="str">
        <f>IF(MAXIFS('単価履歴'!$O:$O,'単価履歴'!$E:$E,E2763,'単価履歴'!$F:$F,F2763)=O2763,"●","")</f>
        <v/>
      </c>
      <c r="O2763" s="346">
        <v>45944.73563657407</v>
      </c>
      <c r="P2763" s="334" t="str">
        <f t="shared" si="4"/>
        <v>大鉄　堺:豊通新断Ａ</v>
      </c>
    </row>
    <row r="2764" ht="15.75" customHeight="1">
      <c r="A2764" s="335" t="s">
        <v>3913</v>
      </c>
      <c r="B2764" s="336">
        <v>45945.0</v>
      </c>
      <c r="C2764" s="335" t="s">
        <v>9</v>
      </c>
      <c r="D2764" s="335" t="s">
        <v>47</v>
      </c>
      <c r="E2764" s="337" t="str">
        <f t="shared" si="1"/>
        <v>大鉄　堺:豊通</v>
      </c>
      <c r="F2764" s="338" t="s">
        <v>131</v>
      </c>
      <c r="G2764" s="339" t="str">
        <f t="shared" si="2"/>
        <v>大鉄　堺:豊通新断Ｂ</v>
      </c>
      <c r="H2764" s="340">
        <f t="shared" si="3"/>
        <v>24.7</v>
      </c>
      <c r="I2764" s="341">
        <v>1.5</v>
      </c>
      <c r="J2764" s="332">
        <f>IFERROR(__xludf.DUMMYFUNCTION("IF(IF(COUNTIF(P$2:P2763, P2764)=0, """", INDEX(H$2:H2763,
MAX(FILTER(ROW(H$2:H2763) - ROW(H$2) + 1, P$2:P2763 = P2764))))=""単価"","""",
IF(COUNTIF(P$2:P2763, P2764)=0, """", INDEX(H$2:H2763,
MAX(FILTER(ROW(H$2:H2763) - ROW(H$2) + 1, P$2:P2763 = P2764)))))"),23.2)</f>
        <v>23.2</v>
      </c>
      <c r="N2764" s="335" t="str">
        <f>IF(MAXIFS('単価履歴'!$O:$O,'単価履歴'!$E:$E,E2764,'単価履歴'!$F:$F,F2764)=O2764,"●","")</f>
        <v/>
      </c>
      <c r="O2764" s="346">
        <v>45944.73563657407</v>
      </c>
      <c r="P2764" s="334" t="str">
        <f t="shared" si="4"/>
        <v>大鉄　堺:豊通新断Ｂ</v>
      </c>
    </row>
    <row r="2765" ht="15.75" customHeight="1">
      <c r="A2765" s="335" t="s">
        <v>3914</v>
      </c>
      <c r="B2765" s="336">
        <v>45945.0</v>
      </c>
      <c r="C2765" s="335" t="s">
        <v>9</v>
      </c>
      <c r="D2765" s="335" t="s">
        <v>47</v>
      </c>
      <c r="E2765" s="337" t="str">
        <f t="shared" si="1"/>
        <v>大鉄　堺:豊通</v>
      </c>
      <c r="F2765" s="338" t="s">
        <v>145</v>
      </c>
      <c r="G2765" s="339" t="str">
        <f t="shared" si="2"/>
        <v>大鉄　堺:豊通シュレＡ</v>
      </c>
      <c r="H2765" s="340">
        <f t="shared" si="3"/>
        <v>28.7</v>
      </c>
      <c r="I2765" s="341">
        <v>1.5</v>
      </c>
      <c r="J2765" s="332">
        <f>IFERROR(__xludf.DUMMYFUNCTION("IF(IF(COUNTIF(P$2:P2764, P2765)=0, """", INDEX(H$2:H2764,
MAX(FILTER(ROW(H$2:H2764) - ROW(H$2) + 1, P$2:P2764 = P2765))))=""単価"","""",
IF(COUNTIF(P$2:P2764, P2765)=0, """", INDEX(H$2:H2764,
MAX(FILTER(ROW(H$2:H2764) - ROW(H$2) + 1, P$2:P2764 = P2765)))))"),27.2)</f>
        <v>27.2</v>
      </c>
      <c r="N2765" s="335" t="str">
        <f>IF(MAXIFS('単価履歴'!$O:$O,'単価履歴'!$E:$E,E2765,'単価履歴'!$F:$F,F2765)=O2765,"●","")</f>
        <v/>
      </c>
      <c r="O2765" s="346">
        <v>45944.73563657407</v>
      </c>
      <c r="P2765" s="334" t="str">
        <f t="shared" si="4"/>
        <v>大鉄　堺:豊通シュレＡ</v>
      </c>
    </row>
    <row r="2766" ht="15.75" customHeight="1">
      <c r="A2766" s="335" t="s">
        <v>3915</v>
      </c>
      <c r="B2766" s="336">
        <v>45945.0</v>
      </c>
      <c r="C2766" s="335" t="s">
        <v>9</v>
      </c>
      <c r="D2766" s="335" t="s">
        <v>47</v>
      </c>
      <c r="E2766" s="337" t="str">
        <f t="shared" si="1"/>
        <v>大鉄　堺:豊通</v>
      </c>
      <c r="F2766" s="338" t="s">
        <v>149</v>
      </c>
      <c r="G2766" s="339" t="str">
        <f t="shared" si="2"/>
        <v>大鉄　堺:豊通シュレＢ</v>
      </c>
      <c r="H2766" s="340">
        <f t="shared" si="3"/>
        <v>28</v>
      </c>
      <c r="I2766" s="341">
        <v>1.5</v>
      </c>
      <c r="J2766" s="332">
        <f>IFERROR(__xludf.DUMMYFUNCTION("IF(IF(COUNTIF(P$2:P2765, P2766)=0, """", INDEX(H$2:H2765,
MAX(FILTER(ROW(H$2:H2765) - ROW(H$2) + 1, P$2:P2765 = P2766))))=""単価"","""",
IF(COUNTIF(P$2:P2765, P2766)=0, """", INDEX(H$2:H2765,
MAX(FILTER(ROW(H$2:H2765) - ROW(H$2) + 1, P$2:P2765 = P2766)))))"),26.5)</f>
        <v>26.5</v>
      </c>
      <c r="N2766" s="335" t="str">
        <f>IF(MAXIFS('単価履歴'!$O:$O,'単価履歴'!$E:$E,E2766,'単価履歴'!$F:$F,F2766)=O2766,"●","")</f>
        <v/>
      </c>
      <c r="O2766" s="346">
        <v>45944.73563657407</v>
      </c>
      <c r="P2766" s="334" t="str">
        <f t="shared" si="4"/>
        <v>大鉄　堺:豊通シュレＢ</v>
      </c>
    </row>
    <row r="2767" ht="15.75" customHeight="1">
      <c r="A2767" s="335" t="s">
        <v>3916</v>
      </c>
      <c r="B2767" s="336">
        <v>45945.0</v>
      </c>
      <c r="C2767" s="335" t="s">
        <v>9</v>
      </c>
      <c r="D2767" s="335" t="s">
        <v>47</v>
      </c>
      <c r="E2767" s="337" t="str">
        <f t="shared" si="1"/>
        <v>大鉄　堺:豊通</v>
      </c>
      <c r="F2767" s="338" t="s">
        <v>151</v>
      </c>
      <c r="G2767" s="339" t="str">
        <f t="shared" si="2"/>
        <v>大鉄　堺:豊通シュレＣ</v>
      </c>
      <c r="H2767" s="340">
        <f t="shared" si="3"/>
        <v>26.6</v>
      </c>
      <c r="I2767" s="341">
        <v>1.5</v>
      </c>
      <c r="J2767" s="332">
        <f>IFERROR(__xludf.DUMMYFUNCTION("IF(IF(COUNTIF(P$2:P2766, P2767)=0, """", INDEX(H$2:H2766,
MAX(FILTER(ROW(H$2:H2766) - ROW(H$2) + 1, P$2:P2766 = P2767))))=""単価"","""",
IF(COUNTIF(P$2:P2766, P2767)=0, """", INDEX(H$2:H2766,
MAX(FILTER(ROW(H$2:H2766) - ROW(H$2) + 1, P$2:P2766 = P2767)))))"),25.1)</f>
        <v>25.1</v>
      </c>
      <c r="N2767" s="335" t="str">
        <f>IF(MAXIFS('単価履歴'!$O:$O,'単価履歴'!$E:$E,E2767,'単価履歴'!$F:$F,F2767)=O2767,"●","")</f>
        <v/>
      </c>
      <c r="O2767" s="346">
        <v>45944.73563657407</v>
      </c>
      <c r="P2767" s="334" t="str">
        <f t="shared" si="4"/>
        <v>大鉄　堺:豊通シュレＣ</v>
      </c>
    </row>
    <row r="2768" ht="15.75" customHeight="1">
      <c r="A2768" s="335" t="s">
        <v>3917</v>
      </c>
      <c r="B2768" s="336">
        <v>45945.0</v>
      </c>
      <c r="C2768" s="335" t="s">
        <v>9</v>
      </c>
      <c r="D2768" s="335" t="s">
        <v>47</v>
      </c>
      <c r="E2768" s="337" t="str">
        <f t="shared" si="1"/>
        <v>大鉄　堺:豊通</v>
      </c>
      <c r="F2768" s="338" t="s">
        <v>154</v>
      </c>
      <c r="G2768" s="339" t="str">
        <f t="shared" si="2"/>
        <v>大鉄　堺:豊通ＣＰ Ａ</v>
      </c>
      <c r="H2768" s="340">
        <f t="shared" si="3"/>
        <v>39.2</v>
      </c>
      <c r="I2768" s="341">
        <v>1.5</v>
      </c>
      <c r="J2768" s="332">
        <f>IFERROR(__xludf.DUMMYFUNCTION("IF(IF(COUNTIF(P$2:P2767, P2768)=0, """", INDEX(H$2:H2767,
MAX(FILTER(ROW(H$2:H2767) - ROW(H$2) + 1, P$2:P2767 = P2768))))=""単価"","""",
IF(COUNTIF(P$2:P2767, P2768)=0, """", INDEX(H$2:H2767,
MAX(FILTER(ROW(H$2:H2767) - ROW(H$2) + 1, P$2:P2767 = P2768)))))"),37.7)</f>
        <v>37.7</v>
      </c>
      <c r="N2768" s="335" t="str">
        <f>IF(MAXIFS('単価履歴'!$O:$O,'単価履歴'!$E:$E,E2768,'単価履歴'!$F:$F,F2768)=O2768,"●","")</f>
        <v/>
      </c>
      <c r="O2768" s="346">
        <v>45944.73563657407</v>
      </c>
      <c r="P2768" s="334" t="str">
        <f t="shared" si="4"/>
        <v>大鉄　堺:豊通ＣＰ Ａ</v>
      </c>
    </row>
    <row r="2769" ht="15.75" customHeight="1">
      <c r="A2769" s="335" t="s">
        <v>3918</v>
      </c>
      <c r="B2769" s="336">
        <v>45945.0</v>
      </c>
      <c r="C2769" s="335" t="s">
        <v>9</v>
      </c>
      <c r="D2769" s="335" t="s">
        <v>47</v>
      </c>
      <c r="E2769" s="337" t="str">
        <f t="shared" si="1"/>
        <v>大鉄　堺:豊通</v>
      </c>
      <c r="F2769" s="338" t="s">
        <v>156</v>
      </c>
      <c r="G2769" s="339" t="str">
        <f t="shared" si="2"/>
        <v>大鉄　堺:豊通ＣＰ Ｂ一斗缶</v>
      </c>
      <c r="H2769" s="340">
        <f t="shared" si="3"/>
        <v>32.7</v>
      </c>
      <c r="I2769" s="341">
        <v>1.5</v>
      </c>
      <c r="J2769" s="332">
        <f>IFERROR(__xludf.DUMMYFUNCTION("IF(IF(COUNTIF(P$2:P2768, P2769)=0, """", INDEX(H$2:H2768,
MAX(FILTER(ROW(H$2:H2768) - ROW(H$2) + 1, P$2:P2768 = P2769))))=""単価"","""",
IF(COUNTIF(P$2:P2768, P2769)=0, """", INDEX(H$2:H2768,
MAX(FILTER(ROW(H$2:H2768) - ROW(H$2) + 1, P$2:P2768 = P2769)))))"),31.200000000000003)</f>
        <v>31.2</v>
      </c>
      <c r="N2769" s="335" t="str">
        <f>IF(MAXIFS('単価履歴'!$O:$O,'単価履歴'!$E:$E,E2769,'単価履歴'!$F:$F,F2769)=O2769,"●","")</f>
        <v/>
      </c>
      <c r="O2769" s="346">
        <v>45944.73563657407</v>
      </c>
      <c r="P2769" s="334" t="str">
        <f t="shared" si="4"/>
        <v>大鉄　堺:豊通ＣＰ Ｂ一斗缶</v>
      </c>
    </row>
    <row r="2770" ht="15.75" customHeight="1">
      <c r="A2770" s="335" t="s">
        <v>3919</v>
      </c>
      <c r="B2770" s="336">
        <v>45945.0</v>
      </c>
      <c r="C2770" s="335" t="s">
        <v>9</v>
      </c>
      <c r="D2770" s="335" t="s">
        <v>47</v>
      </c>
      <c r="E2770" s="337" t="str">
        <f t="shared" si="1"/>
        <v>大鉄　堺:豊通</v>
      </c>
      <c r="F2770" s="338" t="s">
        <v>575</v>
      </c>
      <c r="G2770" s="339" t="str">
        <f t="shared" si="2"/>
        <v>大鉄　堺:豊通鋼ダライＡ</v>
      </c>
      <c r="H2770" s="340">
        <f t="shared" si="3"/>
        <v>26.2</v>
      </c>
      <c r="I2770" s="341">
        <v>0.5</v>
      </c>
      <c r="J2770" s="332">
        <f>IFERROR(__xludf.DUMMYFUNCTION("IF(IF(COUNTIF(P$2:P2769, P2770)=0, """", INDEX(H$2:H2769,
MAX(FILTER(ROW(H$2:H2769) - ROW(H$2) + 1, P$2:P2769 = P2770))))=""単価"","""",
IF(COUNTIF(P$2:P2769, P2770)=0, """", INDEX(H$2:H2769,
MAX(FILTER(ROW(H$2:H2769) - ROW(H$2) + 1, P$2:P2769 = P2770)))))"),25.7)</f>
        <v>25.7</v>
      </c>
      <c r="N2770" s="335" t="str">
        <f>IF(MAXIFS('単価履歴'!$O:$O,'単価履歴'!$E:$E,E2770,'単価履歴'!$F:$F,F2770)=O2770,"●","")</f>
        <v/>
      </c>
      <c r="O2770" s="346">
        <v>45944.735914351855</v>
      </c>
      <c r="P2770" s="334" t="str">
        <f t="shared" si="4"/>
        <v>大鉄　堺:豊通鋼ダライＡ</v>
      </c>
    </row>
    <row r="2771" ht="15.75" customHeight="1">
      <c r="A2771" s="335" t="s">
        <v>3920</v>
      </c>
      <c r="B2771" s="336">
        <v>45945.0</v>
      </c>
      <c r="C2771" s="335" t="s">
        <v>9</v>
      </c>
      <c r="D2771" s="335" t="s">
        <v>47</v>
      </c>
      <c r="E2771" s="337" t="str">
        <f t="shared" si="1"/>
        <v>大鉄　堺:豊通</v>
      </c>
      <c r="F2771" s="338" t="s">
        <v>576</v>
      </c>
      <c r="G2771" s="339" t="str">
        <f t="shared" si="2"/>
        <v>大鉄　堺:豊通鋼ダライＢ</v>
      </c>
      <c r="H2771" s="340">
        <f t="shared" si="3"/>
        <v>26.2</v>
      </c>
      <c r="I2771" s="341">
        <v>0.5</v>
      </c>
      <c r="J2771" s="332">
        <f>IFERROR(__xludf.DUMMYFUNCTION("IF(IF(COUNTIF(P$2:P2770, P2771)=0, """", INDEX(H$2:H2770,
MAX(FILTER(ROW(H$2:H2770) - ROW(H$2) + 1, P$2:P2770 = P2771))))=""単価"","""",
IF(COUNTIF(P$2:P2770, P2771)=0, """", INDEX(H$2:H2770,
MAX(FILTER(ROW(H$2:H2770) - ROW(H$2) + 1, P$2:P2770 = P2771)))))"),25.7)</f>
        <v>25.7</v>
      </c>
      <c r="N2771" s="335" t="str">
        <f>IF(MAXIFS('単価履歴'!$O:$O,'単価履歴'!$E:$E,E2771,'単価履歴'!$F:$F,F2771)=O2771,"●","")</f>
        <v/>
      </c>
      <c r="O2771" s="346">
        <v>45944.735914351855</v>
      </c>
      <c r="P2771" s="334" t="str">
        <f t="shared" si="4"/>
        <v>大鉄　堺:豊通鋼ダライＢ</v>
      </c>
    </row>
    <row r="2772" ht="15.75" customHeight="1">
      <c r="A2772" s="335" t="s">
        <v>3921</v>
      </c>
      <c r="B2772" s="336">
        <v>45945.0</v>
      </c>
      <c r="C2772" s="335" t="s">
        <v>9</v>
      </c>
      <c r="D2772" s="335" t="s">
        <v>50</v>
      </c>
      <c r="E2772" s="337" t="str">
        <f t="shared" si="1"/>
        <v>大鉄　堺:産振</v>
      </c>
      <c r="F2772" s="338" t="s">
        <v>111</v>
      </c>
      <c r="G2772" s="339" t="str">
        <f t="shared" si="2"/>
        <v>大鉄　堺:産振Ｈ１(特A)</v>
      </c>
      <c r="H2772" s="340">
        <f t="shared" si="3"/>
        <v>43.7</v>
      </c>
      <c r="I2772" s="341">
        <v>1.5</v>
      </c>
      <c r="J2772" s="332">
        <f>IFERROR(__xludf.DUMMYFUNCTION("IF(IF(COUNTIF(P$2:P2771, P2772)=0, """", INDEX(H$2:H2771,
MAX(FILTER(ROW(H$2:H2771) - ROW(H$2) + 1, P$2:P2771 = P2772))))=""単価"","""",
IF(COUNTIF(P$2:P2771, P2772)=0, """", INDEX(H$2:H2771,
MAX(FILTER(ROW(H$2:H2771) - ROW(H$2) + 1, P$2:P2771 = P2772)))))"),42.2)</f>
        <v>42.2</v>
      </c>
      <c r="N2772" s="335" t="str">
        <f>IF(MAXIFS('単価履歴'!$O:$O,'単価履歴'!$E:$E,E2772,'単価履歴'!$F:$F,F2772)=O2772,"●","")</f>
        <v/>
      </c>
      <c r="O2772" s="346">
        <v>45944.73771990741</v>
      </c>
      <c r="P2772" s="334" t="str">
        <f t="shared" si="4"/>
        <v>大鉄　堺:産振Ｈ１(特A)</v>
      </c>
    </row>
    <row r="2773" ht="15.75" customHeight="1">
      <c r="A2773" s="335" t="s">
        <v>3922</v>
      </c>
      <c r="B2773" s="336">
        <v>45945.0</v>
      </c>
      <c r="C2773" s="335" t="s">
        <v>9</v>
      </c>
      <c r="D2773" s="335" t="s">
        <v>50</v>
      </c>
      <c r="E2773" s="337" t="str">
        <f t="shared" si="1"/>
        <v>大鉄　堺:産振</v>
      </c>
      <c r="F2773" s="338" t="s">
        <v>116</v>
      </c>
      <c r="G2773" s="339" t="str">
        <f t="shared" si="2"/>
        <v>大鉄　堺:産振Ｈ２(特級)</v>
      </c>
      <c r="H2773" s="340">
        <f t="shared" si="3"/>
        <v>41.2</v>
      </c>
      <c r="I2773" s="341">
        <v>1.5</v>
      </c>
      <c r="J2773" s="332">
        <f>IFERROR(__xludf.DUMMYFUNCTION("IF(IF(COUNTIF(P$2:P2772, P2773)=0, """", INDEX(H$2:H2772,
MAX(FILTER(ROW(H$2:H2772) - ROW(H$2) + 1, P$2:P2772 = P2773))))=""単価"","""",
IF(COUNTIF(P$2:P2772, P2773)=0, """", INDEX(H$2:H2772,
MAX(FILTER(ROW(H$2:H2772) - ROW(H$2) + 1, P$2:P2772 = P2773)))))"),39.7)</f>
        <v>39.7</v>
      </c>
      <c r="N2773" s="335" t="str">
        <f>IF(MAXIFS('単価履歴'!$O:$O,'単価履歴'!$E:$E,E2773,'単価履歴'!$F:$F,F2773)=O2773,"●","")</f>
        <v/>
      </c>
      <c r="O2773" s="346">
        <v>45944.73771990741</v>
      </c>
      <c r="P2773" s="334" t="str">
        <f t="shared" si="4"/>
        <v>大鉄　堺:産振Ｈ２(特級)</v>
      </c>
    </row>
    <row r="2774" ht="15.75" customHeight="1">
      <c r="A2774" s="335" t="s">
        <v>3923</v>
      </c>
      <c r="B2774" s="336">
        <v>45945.0</v>
      </c>
      <c r="C2774" s="335" t="s">
        <v>9</v>
      </c>
      <c r="D2774" s="335" t="s">
        <v>50</v>
      </c>
      <c r="E2774" s="337" t="str">
        <f t="shared" si="1"/>
        <v>大鉄　堺:産振</v>
      </c>
      <c r="F2774" s="338" t="s">
        <v>119</v>
      </c>
      <c r="G2774" s="339" t="str">
        <f t="shared" si="2"/>
        <v>大鉄　堺:産振Ｈ３(1級)</v>
      </c>
      <c r="H2774" s="340">
        <f t="shared" si="3"/>
        <v>23.2</v>
      </c>
      <c r="I2774" s="341">
        <v>1.5</v>
      </c>
      <c r="J2774" s="332">
        <f>IFERROR(__xludf.DUMMYFUNCTION("IF(IF(COUNTIF(P$2:P2773, P2774)=0, """", INDEX(H$2:H2773,
MAX(FILTER(ROW(H$2:H2773) - ROW(H$2) + 1, P$2:P2773 = P2774))))=""単価"","""",
IF(COUNTIF(P$2:P2773, P2774)=0, """", INDEX(H$2:H2773,
MAX(FILTER(ROW(H$2:H2773) - ROW(H$2) + 1, P$2:P2773 = P2774)))))"),21.700000000000003)</f>
        <v>21.7</v>
      </c>
      <c r="N2774" s="335" t="str">
        <f>IF(MAXIFS('単価履歴'!$O:$O,'単価履歴'!$E:$E,E2774,'単価履歴'!$F:$F,F2774)=O2774,"●","")</f>
        <v/>
      </c>
      <c r="O2774" s="346">
        <v>45944.73771990741</v>
      </c>
      <c r="P2774" s="334" t="str">
        <f t="shared" si="4"/>
        <v>大鉄　堺:産振Ｈ３(1級)</v>
      </c>
    </row>
    <row r="2775" ht="15.75" customHeight="1">
      <c r="A2775" s="335" t="s">
        <v>3924</v>
      </c>
      <c r="B2775" s="336">
        <v>45945.0</v>
      </c>
      <c r="C2775" s="335" t="s">
        <v>9</v>
      </c>
      <c r="D2775" s="335" t="s">
        <v>50</v>
      </c>
      <c r="E2775" s="337" t="str">
        <f t="shared" si="1"/>
        <v>大鉄　堺:産振</v>
      </c>
      <c r="F2775" s="338" t="s">
        <v>154</v>
      </c>
      <c r="G2775" s="339" t="str">
        <f t="shared" si="2"/>
        <v>大鉄　堺:産振ＣＰ Ａ</v>
      </c>
      <c r="H2775" s="340">
        <f t="shared" si="3"/>
        <v>44.7</v>
      </c>
      <c r="I2775" s="341">
        <v>1.5</v>
      </c>
      <c r="J2775" s="332">
        <f>IFERROR(__xludf.DUMMYFUNCTION("IF(IF(COUNTIF(P$2:P2774, P2775)=0, """", INDEX(H$2:H2774,
MAX(FILTER(ROW(H$2:H2774) - ROW(H$2) + 1, P$2:P2774 = P2775))))=""単価"","""",
IF(COUNTIF(P$2:P2774, P2775)=0, """", INDEX(H$2:H2774,
MAX(FILTER(ROW(H$2:H2774) - ROW(H$2) + 1, P$2:P2774 = P2775)))))"),43.2)</f>
        <v>43.2</v>
      </c>
      <c r="N2775" s="335" t="str">
        <f>IF(MAXIFS('単価履歴'!$O:$O,'単価履歴'!$E:$E,E2775,'単価履歴'!$F:$F,F2775)=O2775,"●","")</f>
        <v/>
      </c>
      <c r="O2775" s="346">
        <v>45944.73771990741</v>
      </c>
      <c r="P2775" s="334" t="str">
        <f t="shared" si="4"/>
        <v>大鉄　堺:産振ＣＰ Ａ</v>
      </c>
    </row>
    <row r="2776" ht="15.75" customHeight="1">
      <c r="A2776" s="335" t="s">
        <v>3925</v>
      </c>
      <c r="B2776" s="336">
        <v>45945.0</v>
      </c>
      <c r="C2776" s="335" t="s">
        <v>9</v>
      </c>
      <c r="D2776" s="335" t="s">
        <v>50</v>
      </c>
      <c r="E2776" s="337" t="str">
        <f t="shared" si="1"/>
        <v>大鉄　堺:産振</v>
      </c>
      <c r="F2776" s="338" t="s">
        <v>156</v>
      </c>
      <c r="G2776" s="339" t="str">
        <f t="shared" si="2"/>
        <v>大鉄　堺:産振ＣＰ Ｂ一斗缶</v>
      </c>
      <c r="H2776" s="340">
        <f t="shared" si="3"/>
        <v>34.5</v>
      </c>
      <c r="I2776" s="341">
        <v>1.5</v>
      </c>
      <c r="J2776" s="332">
        <f>IFERROR(__xludf.DUMMYFUNCTION("IF(IF(COUNTIF(P$2:P2775, P2776)=0, """", INDEX(H$2:H2775,
MAX(FILTER(ROW(H$2:H2775) - ROW(H$2) + 1, P$2:P2775 = P2776))))=""単価"","""",
IF(COUNTIF(P$2:P2775, P2776)=0, """", INDEX(H$2:H2775,
MAX(FILTER(ROW(H$2:H2775) - ROW(H$2) + 1, P$2:P2775 = P2776)))))"),33.0)</f>
        <v>33</v>
      </c>
      <c r="N2776" s="335" t="str">
        <f>IF(MAXIFS('単価履歴'!$O:$O,'単価履歴'!$E:$E,E2776,'単価履歴'!$F:$F,F2776)=O2776,"●","")</f>
        <v/>
      </c>
      <c r="O2776" s="346">
        <v>45944.73771990741</v>
      </c>
      <c r="P2776" s="334" t="str">
        <f t="shared" si="4"/>
        <v>大鉄　堺:産振ＣＰ Ｂ一斗缶</v>
      </c>
    </row>
    <row r="2777" ht="15.75" customHeight="1">
      <c r="A2777" s="335" t="s">
        <v>3926</v>
      </c>
      <c r="B2777" s="336">
        <v>45945.0</v>
      </c>
      <c r="C2777" s="335" t="s">
        <v>9</v>
      </c>
      <c r="D2777" s="335" t="s">
        <v>50</v>
      </c>
      <c r="E2777" s="337" t="str">
        <f t="shared" si="1"/>
        <v>大鉄　堺:産振</v>
      </c>
      <c r="F2777" s="338" t="s">
        <v>122</v>
      </c>
      <c r="G2777" s="339" t="str">
        <f t="shared" si="2"/>
        <v>大鉄　堺:産振Ｌ１(2級)</v>
      </c>
      <c r="H2777" s="340">
        <f t="shared" si="3"/>
        <v>22.2</v>
      </c>
      <c r="I2777" s="341">
        <v>1.5</v>
      </c>
      <c r="J2777" s="332">
        <f>IFERROR(__xludf.DUMMYFUNCTION("IF(IF(COUNTIF(P$2:P2776, P2777)=0, """", INDEX(H$2:H2776,
MAX(FILTER(ROW(H$2:H2776) - ROW(H$2) + 1, P$2:P2776 = P2777))))=""単価"","""",
IF(COUNTIF(P$2:P2776, P2777)=0, """", INDEX(H$2:H2776,
MAX(FILTER(ROW(H$2:H2776) - ROW(H$2) + 1, P$2:P2776 = P2777)))))"),20.700000000000003)</f>
        <v>20.7</v>
      </c>
      <c r="N2777" s="335" t="str">
        <f>IF(MAXIFS('単価履歴'!$O:$O,'単価履歴'!$E:$E,E2777,'単価履歴'!$F:$F,F2777)=O2777,"●","")</f>
        <v/>
      </c>
      <c r="O2777" s="346">
        <v>45944.73771990741</v>
      </c>
      <c r="P2777" s="334" t="str">
        <f t="shared" si="4"/>
        <v>大鉄　堺:産振Ｌ１(2級)</v>
      </c>
    </row>
    <row r="2778" ht="15.75" customHeight="1">
      <c r="A2778" s="335" t="s">
        <v>3927</v>
      </c>
      <c r="B2778" s="336">
        <v>45945.0</v>
      </c>
      <c r="C2778" s="335" t="s">
        <v>9</v>
      </c>
      <c r="D2778" s="335" t="s">
        <v>50</v>
      </c>
      <c r="E2778" s="337" t="str">
        <f t="shared" si="1"/>
        <v>大鉄　堺:産振</v>
      </c>
      <c r="F2778" s="338" t="s">
        <v>130</v>
      </c>
      <c r="G2778" s="339" t="str">
        <f t="shared" si="2"/>
        <v>大鉄　堺:産振新断Ａ</v>
      </c>
      <c r="H2778" s="340">
        <f t="shared" si="3"/>
        <v>40.7</v>
      </c>
      <c r="I2778" s="341">
        <v>1.5</v>
      </c>
      <c r="J2778" s="332">
        <f>IFERROR(__xludf.DUMMYFUNCTION("IF(IF(COUNTIF(P$2:P2777, P2778)=0, """", INDEX(H$2:H2777,
MAX(FILTER(ROW(H$2:H2777) - ROW(H$2) + 1, P$2:P2777 = P2778))))=""単価"","""",
IF(COUNTIF(P$2:P2777, P2778)=0, """", INDEX(H$2:H2777,
MAX(FILTER(ROW(H$2:H2777) - ROW(H$2) + 1, P$2:P2777 = P2778)))))"),39.2)</f>
        <v>39.2</v>
      </c>
      <c r="N2778" s="335" t="str">
        <f>IF(MAXIFS('単価履歴'!$O:$O,'単価履歴'!$E:$E,E2778,'単価履歴'!$F:$F,F2778)=O2778,"●","")</f>
        <v/>
      </c>
      <c r="O2778" s="346">
        <v>45944.73771990741</v>
      </c>
      <c r="P2778" s="334" t="str">
        <f t="shared" si="4"/>
        <v>大鉄　堺:産振新断Ａ</v>
      </c>
    </row>
    <row r="2779" ht="15.75" customHeight="1">
      <c r="A2779" s="335" t="s">
        <v>3928</v>
      </c>
      <c r="B2779" s="336">
        <v>45945.0</v>
      </c>
      <c r="C2779" s="335" t="s">
        <v>9</v>
      </c>
      <c r="D2779" s="335" t="s">
        <v>50</v>
      </c>
      <c r="E2779" s="337" t="str">
        <f t="shared" si="1"/>
        <v>大鉄　堺:産振</v>
      </c>
      <c r="F2779" s="338" t="s">
        <v>131</v>
      </c>
      <c r="G2779" s="339" t="str">
        <f t="shared" si="2"/>
        <v>大鉄　堺:産振新断Ｂ</v>
      </c>
      <c r="H2779" s="340">
        <f t="shared" si="3"/>
        <v>40.2</v>
      </c>
      <c r="I2779" s="341">
        <v>1.5</v>
      </c>
      <c r="J2779" s="332">
        <f>IFERROR(__xludf.DUMMYFUNCTION("IF(IF(COUNTIF(P$2:P2778, P2779)=0, """", INDEX(H$2:H2778,
MAX(FILTER(ROW(H$2:H2778) - ROW(H$2) + 1, P$2:P2778 = P2779))))=""単価"","""",
IF(COUNTIF(P$2:P2778, P2779)=0, """", INDEX(H$2:H2778,
MAX(FILTER(ROW(H$2:H2778) - ROW(H$2) + 1, P$2:P2778 = P2779)))))"),38.7)</f>
        <v>38.7</v>
      </c>
      <c r="N2779" s="335" t="str">
        <f>IF(MAXIFS('単価履歴'!$O:$O,'単価履歴'!$E:$E,E2779,'単価履歴'!$F:$F,F2779)=O2779,"●","")</f>
        <v/>
      </c>
      <c r="O2779" s="346">
        <v>45944.73771990741</v>
      </c>
      <c r="P2779" s="334" t="str">
        <f t="shared" si="4"/>
        <v>大鉄　堺:産振新断Ｂ</v>
      </c>
    </row>
    <row r="2780" ht="15.75" customHeight="1">
      <c r="A2780" s="335" t="s">
        <v>3929</v>
      </c>
      <c r="B2780" s="336">
        <v>45945.0</v>
      </c>
      <c r="C2780" s="335" t="s">
        <v>9</v>
      </c>
      <c r="D2780" s="335" t="s">
        <v>50</v>
      </c>
      <c r="E2780" s="337" t="str">
        <f t="shared" si="1"/>
        <v>大鉄　堺:産振</v>
      </c>
      <c r="F2780" s="338" t="s">
        <v>575</v>
      </c>
      <c r="G2780" s="339" t="str">
        <f t="shared" si="2"/>
        <v>大鉄　堺:産振鋼ダライＡ</v>
      </c>
      <c r="H2780" s="340">
        <f t="shared" si="3"/>
        <v>36.2</v>
      </c>
      <c r="I2780" s="341">
        <v>0.5</v>
      </c>
      <c r="J2780" s="332">
        <f>IFERROR(__xludf.DUMMYFUNCTION("IF(IF(COUNTIF(P$2:P2779, P2780)=0, """", INDEX(H$2:H2779,
MAX(FILTER(ROW(H$2:H2779) - ROW(H$2) + 1, P$2:P2779 = P2780))))=""単価"","""",
IF(COUNTIF(P$2:P2779, P2780)=0, """", INDEX(H$2:H2779,
MAX(FILTER(ROW(H$2:H2779) - ROW(H$2) + 1, P$2:P2779 = P2780)))))"),35.7)</f>
        <v>35.7</v>
      </c>
      <c r="N2780" s="335" t="str">
        <f>IF(MAXIFS('単価履歴'!$O:$O,'単価履歴'!$E:$E,E2780,'単価履歴'!$F:$F,F2780)=O2780,"●","")</f>
        <v/>
      </c>
      <c r="O2780" s="346">
        <v>45944.738541666666</v>
      </c>
      <c r="P2780" s="334" t="str">
        <f t="shared" si="4"/>
        <v>大鉄　堺:産振鋼ダライＡ</v>
      </c>
    </row>
    <row r="2781" ht="15.75" customHeight="1">
      <c r="A2781" s="335" t="s">
        <v>3930</v>
      </c>
      <c r="B2781" s="336">
        <v>45945.0</v>
      </c>
      <c r="C2781" s="335" t="s">
        <v>9</v>
      </c>
      <c r="D2781" s="335" t="s">
        <v>49</v>
      </c>
      <c r="E2781" s="337" t="str">
        <f t="shared" si="1"/>
        <v>大鉄　堺:伊藤忠</v>
      </c>
      <c r="F2781" s="338" t="s">
        <v>111</v>
      </c>
      <c r="G2781" s="339" t="str">
        <f t="shared" si="2"/>
        <v>大鉄　堺:伊藤忠Ｈ１(特A)</v>
      </c>
      <c r="H2781" s="340">
        <f t="shared" si="3"/>
        <v>27.3</v>
      </c>
      <c r="I2781" s="341">
        <v>1.5</v>
      </c>
      <c r="J2781" s="332">
        <f>IFERROR(__xludf.DUMMYFUNCTION("IF(IF(COUNTIF(P$2:P2780, P2781)=0, """", INDEX(H$2:H2780,
MAX(FILTER(ROW(H$2:H2780) - ROW(H$2) + 1, P$2:P2780 = P2781))))=""単価"","""",
IF(COUNTIF(P$2:P2780, P2781)=0, """", INDEX(H$2:H2780,
MAX(FILTER(ROW(H$2:H2780) - ROW(H$2) + 1, P$2:P2780 = P2781)))))"),25.8)</f>
        <v>25.8</v>
      </c>
      <c r="N2781" s="335" t="str">
        <f>IF(MAXIFS('単価履歴'!$O:$O,'単価履歴'!$E:$E,E2781,'単価履歴'!$F:$F,F2781)=O2781,"●","")</f>
        <v/>
      </c>
      <c r="O2781" s="346">
        <v>45944.73936342592</v>
      </c>
      <c r="P2781" s="334" t="str">
        <f t="shared" si="4"/>
        <v>大鉄　堺:伊藤忠Ｈ１(特A)</v>
      </c>
    </row>
    <row r="2782" ht="15.75" customHeight="1">
      <c r="A2782" s="335" t="s">
        <v>3931</v>
      </c>
      <c r="B2782" s="336">
        <v>45945.0</v>
      </c>
      <c r="C2782" s="335" t="s">
        <v>9</v>
      </c>
      <c r="D2782" s="335" t="s">
        <v>49</v>
      </c>
      <c r="E2782" s="337" t="str">
        <f t="shared" si="1"/>
        <v>大鉄　堺:伊藤忠</v>
      </c>
      <c r="F2782" s="338" t="s">
        <v>1237</v>
      </c>
      <c r="G2782" s="339" t="str">
        <f t="shared" si="2"/>
        <v>大鉄　堺:伊藤忠ＪＨ１(H2T山口)鍛造ﾊﾞﾘ</v>
      </c>
      <c r="H2782" s="340">
        <f t="shared" si="3"/>
        <v>34.7</v>
      </c>
      <c r="I2782" s="341">
        <v>1.5</v>
      </c>
      <c r="J2782" s="332">
        <f>IFERROR(__xludf.DUMMYFUNCTION("IF(IF(COUNTIF(P$2:P2781, P2782)=0, """", INDEX(H$2:H2781,
MAX(FILTER(ROW(H$2:H2781) - ROW(H$2) + 1, P$2:P2781 = P2782))))=""単価"","""",
IF(COUNTIF(P$2:P2781, P2782)=0, """", INDEX(H$2:H2781,
MAX(FILTER(ROW(H$2:H2781) - ROW(H$2) + 1, P$2:P2781 = P2782)))))"),33.2)</f>
        <v>33.2</v>
      </c>
      <c r="N2782" s="335" t="str">
        <f>IF(MAXIFS('単価履歴'!$O:$O,'単価履歴'!$E:$E,E2782,'単価履歴'!$F:$F,F2782)=O2782,"●","")</f>
        <v/>
      </c>
      <c r="O2782" s="346">
        <v>45944.73936342592</v>
      </c>
      <c r="P2782" s="334" t="str">
        <f t="shared" si="4"/>
        <v>大鉄　堺:伊藤忠ＪＨ１(H2T山口)鍛造ﾊﾞﾘ</v>
      </c>
    </row>
    <row r="2783" ht="15.75" customHeight="1">
      <c r="A2783" s="335" t="s">
        <v>3932</v>
      </c>
      <c r="B2783" s="336">
        <v>45945.0</v>
      </c>
      <c r="C2783" s="335" t="s">
        <v>9</v>
      </c>
      <c r="D2783" s="335" t="s">
        <v>49</v>
      </c>
      <c r="E2783" s="337" t="str">
        <f t="shared" si="1"/>
        <v>大鉄　堺:伊藤忠</v>
      </c>
      <c r="F2783" s="338" t="s">
        <v>116</v>
      </c>
      <c r="G2783" s="339" t="str">
        <f t="shared" si="2"/>
        <v>大鉄　堺:伊藤忠Ｈ２(特級)</v>
      </c>
      <c r="H2783" s="340">
        <f t="shared" si="3"/>
        <v>32.5</v>
      </c>
      <c r="I2783" s="341">
        <v>1.5</v>
      </c>
      <c r="J2783" s="332">
        <f>IFERROR(__xludf.DUMMYFUNCTION("IF(IF(COUNTIF(P$2:P2782, P2783)=0, """", INDEX(H$2:H2782,
MAX(FILTER(ROW(H$2:H2782) - ROW(H$2) + 1, P$2:P2782 = P2783))))=""単価"","""",
IF(COUNTIF(P$2:P2782, P2783)=0, """", INDEX(H$2:H2782,
MAX(FILTER(ROW(H$2:H2782) - ROW(H$2) + 1, P$2:P2782 = P2783)))))"),31.0)</f>
        <v>31</v>
      </c>
      <c r="N2783" s="335" t="str">
        <f>IF(MAXIFS('単価履歴'!$O:$O,'単価履歴'!$E:$E,E2783,'単価履歴'!$F:$F,F2783)=O2783,"●","")</f>
        <v/>
      </c>
      <c r="O2783" s="346">
        <v>45944.73936342592</v>
      </c>
      <c r="P2783" s="334" t="str">
        <f t="shared" si="4"/>
        <v>大鉄　堺:伊藤忠Ｈ２(特級)</v>
      </c>
    </row>
    <row r="2784" ht="15.75" customHeight="1">
      <c r="A2784" s="335" t="s">
        <v>3933</v>
      </c>
      <c r="B2784" s="336">
        <v>45945.0</v>
      </c>
      <c r="C2784" s="335" t="s">
        <v>9</v>
      </c>
      <c r="D2784" s="335" t="s">
        <v>49</v>
      </c>
      <c r="E2784" s="337" t="str">
        <f t="shared" si="1"/>
        <v>大鉄　堺:伊藤忠</v>
      </c>
      <c r="F2784" s="338" t="s">
        <v>119</v>
      </c>
      <c r="G2784" s="339" t="str">
        <f t="shared" si="2"/>
        <v>大鉄　堺:伊藤忠Ｈ３(1級)</v>
      </c>
      <c r="H2784" s="340">
        <f t="shared" si="3"/>
        <v>31.5</v>
      </c>
      <c r="I2784" s="341">
        <v>1.5</v>
      </c>
      <c r="J2784" s="332">
        <f>IFERROR(__xludf.DUMMYFUNCTION("IF(IF(COUNTIF(P$2:P2783, P2784)=0, """", INDEX(H$2:H2783,
MAX(FILTER(ROW(H$2:H2783) - ROW(H$2) + 1, P$2:P2783 = P2784))))=""単価"","""",
IF(COUNTIF(P$2:P2783, P2784)=0, """", INDEX(H$2:H2783,
MAX(FILTER(ROW(H$2:H2783) - ROW(H$2) + 1, P$2:P2783 = P2784)))))"),30.0)</f>
        <v>30</v>
      </c>
      <c r="N2784" s="335" t="str">
        <f>IF(MAXIFS('単価履歴'!$O:$O,'単価履歴'!$E:$E,E2784,'単価履歴'!$F:$F,F2784)=O2784,"●","")</f>
        <v/>
      </c>
      <c r="O2784" s="346">
        <v>45944.73936342592</v>
      </c>
      <c r="P2784" s="334" t="str">
        <f t="shared" si="4"/>
        <v>大鉄　堺:伊藤忠Ｈ３(1級)</v>
      </c>
    </row>
    <row r="2785" ht="15.75" customHeight="1">
      <c r="A2785" s="335" t="s">
        <v>3934</v>
      </c>
      <c r="B2785" s="336">
        <v>45945.0</v>
      </c>
      <c r="C2785" s="335" t="s">
        <v>9</v>
      </c>
      <c r="D2785" s="335" t="s">
        <v>49</v>
      </c>
      <c r="E2785" s="337" t="str">
        <f t="shared" si="1"/>
        <v>大鉄　堺:伊藤忠</v>
      </c>
      <c r="F2785" s="338" t="s">
        <v>122</v>
      </c>
      <c r="G2785" s="339" t="str">
        <f t="shared" si="2"/>
        <v>大鉄　堺:伊藤忠Ｌ１(2級)</v>
      </c>
      <c r="H2785" s="340">
        <f t="shared" si="3"/>
        <v>30.5</v>
      </c>
      <c r="I2785" s="341">
        <v>1.5</v>
      </c>
      <c r="J2785" s="332">
        <f>IFERROR(__xludf.DUMMYFUNCTION("IF(IF(COUNTIF(P$2:P2784, P2785)=0, """", INDEX(H$2:H2784,
MAX(FILTER(ROW(H$2:H2784) - ROW(H$2) + 1, P$2:P2784 = P2785))))=""単価"","""",
IF(COUNTIF(P$2:P2784, P2785)=0, """", INDEX(H$2:H2784,
MAX(FILTER(ROW(H$2:H2784) - ROW(H$2) + 1, P$2:P2784 = P2785)))))"),29.0)</f>
        <v>29</v>
      </c>
      <c r="N2785" s="335" t="str">
        <f>IF(MAXIFS('単価履歴'!$O:$O,'単価履歴'!$E:$E,E2785,'単価履歴'!$F:$F,F2785)=O2785,"●","")</f>
        <v/>
      </c>
      <c r="O2785" s="346">
        <v>45944.73936342592</v>
      </c>
      <c r="P2785" s="334" t="str">
        <f t="shared" si="4"/>
        <v>大鉄　堺:伊藤忠Ｌ１(2級)</v>
      </c>
    </row>
    <row r="2786" ht="15.75" customHeight="1">
      <c r="A2786" s="335" t="s">
        <v>3935</v>
      </c>
      <c r="B2786" s="336">
        <v>45945.0</v>
      </c>
      <c r="C2786" s="335" t="s">
        <v>9</v>
      </c>
      <c r="D2786" s="335" t="s">
        <v>49</v>
      </c>
      <c r="E2786" s="337" t="str">
        <f t="shared" si="1"/>
        <v>大鉄　堺:伊藤忠</v>
      </c>
      <c r="F2786" s="338" t="s">
        <v>130</v>
      </c>
      <c r="G2786" s="339" t="str">
        <f t="shared" si="2"/>
        <v>大鉄　堺:伊藤忠新断Ａ</v>
      </c>
      <c r="H2786" s="340">
        <f t="shared" si="3"/>
        <v>26.8</v>
      </c>
      <c r="I2786" s="341">
        <v>1.5</v>
      </c>
      <c r="J2786" s="332">
        <f>IFERROR(__xludf.DUMMYFUNCTION("IF(IF(COUNTIF(P$2:P2785, P2786)=0, """", INDEX(H$2:H2785,
MAX(FILTER(ROW(H$2:H2785) - ROW(H$2) + 1, P$2:P2785 = P2786))))=""単価"","""",
IF(COUNTIF(P$2:P2785, P2786)=0, """", INDEX(H$2:H2785,
MAX(FILTER(ROW(H$2:H2785) - ROW(H$2) + 1, P$2:P2785 = P2786)))))"),25.3)</f>
        <v>25.3</v>
      </c>
      <c r="N2786" s="335" t="str">
        <f>IF(MAXIFS('単価履歴'!$O:$O,'単価履歴'!$E:$E,E2786,'単価履歴'!$F:$F,F2786)=O2786,"●","")</f>
        <v/>
      </c>
      <c r="O2786" s="346">
        <v>45944.73936342592</v>
      </c>
      <c r="P2786" s="334" t="str">
        <f t="shared" si="4"/>
        <v>大鉄　堺:伊藤忠新断Ａ</v>
      </c>
    </row>
    <row r="2787" ht="15.75" customHeight="1">
      <c r="A2787" s="335" t="s">
        <v>3936</v>
      </c>
      <c r="B2787" s="336">
        <v>45945.0</v>
      </c>
      <c r="C2787" s="335" t="s">
        <v>9</v>
      </c>
      <c r="D2787" s="335" t="s">
        <v>49</v>
      </c>
      <c r="E2787" s="337" t="str">
        <f t="shared" si="1"/>
        <v>大鉄　堺:伊藤忠</v>
      </c>
      <c r="F2787" s="338" t="s">
        <v>131</v>
      </c>
      <c r="G2787" s="339" t="str">
        <f t="shared" si="2"/>
        <v>大鉄　堺:伊藤忠新断Ｂ</v>
      </c>
      <c r="H2787" s="340">
        <f t="shared" si="3"/>
        <v>26.3</v>
      </c>
      <c r="I2787" s="341">
        <v>1.5</v>
      </c>
      <c r="J2787" s="332">
        <f>IFERROR(__xludf.DUMMYFUNCTION("IF(IF(COUNTIF(P$2:P2786, P2787)=0, """", INDEX(H$2:H2786,
MAX(FILTER(ROW(H$2:H2786) - ROW(H$2) + 1, P$2:P2786 = P2787))))=""単価"","""",
IF(COUNTIF(P$2:P2786, P2787)=0, """", INDEX(H$2:H2786,
MAX(FILTER(ROW(H$2:H2786) - ROW(H$2) + 1, P$2:P2786 = P2787)))))"),24.8)</f>
        <v>24.8</v>
      </c>
      <c r="N2787" s="335" t="str">
        <f>IF(MAXIFS('単価履歴'!$O:$O,'単価履歴'!$E:$E,E2787,'単価履歴'!$F:$F,F2787)=O2787,"●","")</f>
        <v/>
      </c>
      <c r="O2787" s="346">
        <v>45944.73936342592</v>
      </c>
      <c r="P2787" s="334" t="str">
        <f t="shared" si="4"/>
        <v>大鉄　堺:伊藤忠新断Ｂ</v>
      </c>
    </row>
    <row r="2788" ht="15.75" customHeight="1">
      <c r="A2788" s="335" t="s">
        <v>3937</v>
      </c>
      <c r="B2788" s="336">
        <v>45944.0</v>
      </c>
      <c r="C2788" s="335" t="s">
        <v>29</v>
      </c>
      <c r="D2788" s="335" t="s">
        <v>63</v>
      </c>
      <c r="E2788" s="337" t="str">
        <f t="shared" si="1"/>
        <v>南港:ﾅﾝｾｲ</v>
      </c>
      <c r="F2788" s="338" t="s">
        <v>116</v>
      </c>
      <c r="G2788" s="339" t="str">
        <f t="shared" si="2"/>
        <v>南港:ﾅﾝｾｲＨ２(特級)</v>
      </c>
      <c r="H2788" s="340">
        <f t="shared" si="3"/>
        <v>41</v>
      </c>
      <c r="I2788" s="341">
        <v>2.0</v>
      </c>
      <c r="J2788" s="332">
        <f>IFERROR(__xludf.DUMMYFUNCTION("IF(IF(COUNTIF(P$2:P2787, P2788)=0, """", INDEX(H$2:H2787,
MAX(FILTER(ROW(H$2:H2787) - ROW(H$2) + 1, P$2:P2787 = P2788))))=""単価"","""",
IF(COUNTIF(P$2:P2787, P2788)=0, """", INDEX(H$2:H2787,
MAX(FILTER(ROW(H$2:H2787) - ROW(H$2) + 1, P$2:P2787 = P2788)))))"),39.0)</f>
        <v>39</v>
      </c>
      <c r="N2788" s="335" t="str">
        <f>IF(MAXIFS('単価履歴'!$O:$O,'単価履歴'!$E:$E,E2788,'単価履歴'!$F:$F,F2788)=O2788,"●","")</f>
        <v/>
      </c>
      <c r="O2788" s="346">
        <v>45945.64266203703</v>
      </c>
      <c r="P2788" s="334" t="str">
        <f t="shared" si="4"/>
        <v>南港:ﾅﾝｾｲＨ２(特級)</v>
      </c>
    </row>
    <row r="2789" ht="15.75" customHeight="1">
      <c r="A2789" s="335" t="s">
        <v>3938</v>
      </c>
      <c r="B2789" s="336">
        <v>45947.0</v>
      </c>
      <c r="C2789" s="335" t="s">
        <v>532</v>
      </c>
      <c r="D2789" s="335" t="s">
        <v>77</v>
      </c>
      <c r="E2789" s="337" t="str">
        <f t="shared" si="1"/>
        <v>東鐵岡山:直納</v>
      </c>
      <c r="F2789" s="338" t="s">
        <v>1199</v>
      </c>
      <c r="G2789" s="339" t="str">
        <f t="shared" si="2"/>
        <v>東鐵岡山:直納ＨＳ１(単体H1/電特A/HS))</v>
      </c>
      <c r="H2789" s="340">
        <f t="shared" si="3"/>
        <v>44.5</v>
      </c>
      <c r="I2789" s="341">
        <v>0.5</v>
      </c>
      <c r="J2789" s="332">
        <f>IFERROR(__xludf.DUMMYFUNCTION("IF(IF(COUNTIF(P$2:P2788, P2789)=0, """", INDEX(H$2:H2788,
MAX(FILTER(ROW(H$2:H2788) - ROW(H$2) + 1, P$2:P2788 = P2789))))=""単価"","""",
IF(COUNTIF(P$2:P2788, P2789)=0, """", INDEX(H$2:H2788,
MAX(FILTER(ROW(H$2:H2788) - ROW(H$2) + 1, P$2:P2788 = P2789)))))"),44.0)</f>
        <v>44</v>
      </c>
      <c r="N2789" s="335" t="str">
        <f>IF(MAXIFS('単価履歴'!$O:$O,'単価履歴'!$E:$E,E2789,'単価履歴'!$F:$F,F2789)=O2789,"●","")</f>
        <v/>
      </c>
      <c r="O2789" s="346">
        <v>45947.26726851852</v>
      </c>
      <c r="P2789" s="334" t="str">
        <f t="shared" si="4"/>
        <v>東鐵岡山:直納ＨＳ１(単体H1/電特A/HS))</v>
      </c>
    </row>
    <row r="2790" ht="15.75" customHeight="1">
      <c r="A2790" s="335" t="s">
        <v>3939</v>
      </c>
      <c r="B2790" s="336">
        <v>45947.0</v>
      </c>
      <c r="C2790" s="335" t="s">
        <v>532</v>
      </c>
      <c r="D2790" s="335" t="s">
        <v>77</v>
      </c>
      <c r="E2790" s="337" t="str">
        <f t="shared" si="1"/>
        <v>東鐵岡山:直納</v>
      </c>
      <c r="F2790" s="338" t="s">
        <v>111</v>
      </c>
      <c r="G2790" s="339" t="str">
        <f t="shared" si="2"/>
        <v>東鐵岡山:直納Ｈ１(特A)</v>
      </c>
      <c r="H2790" s="340">
        <f t="shared" si="3"/>
        <v>43.2</v>
      </c>
      <c r="I2790" s="341">
        <v>0.5</v>
      </c>
      <c r="J2790" s="332">
        <f>IFERROR(__xludf.DUMMYFUNCTION("IF(IF(COUNTIF(P$2:P2789, P2790)=0, """", INDEX(H$2:H2789,
MAX(FILTER(ROW(H$2:H2789) - ROW(H$2) + 1, P$2:P2789 = P2790))))=""単価"","""",
IF(COUNTIF(P$2:P2789, P2790)=0, """", INDEX(H$2:H2789,
MAX(FILTER(ROW(H$2:H2789) - ROW(H$2) + 1, P$2:P2789 = P2790)))))"),42.7)</f>
        <v>42.7</v>
      </c>
      <c r="N2790" s="335" t="str">
        <f>IF(MAXIFS('単価履歴'!$O:$O,'単価履歴'!$E:$E,E2790,'単価履歴'!$F:$F,F2790)=O2790,"●","")</f>
        <v/>
      </c>
      <c r="O2790" s="346">
        <v>45947.26726851852</v>
      </c>
      <c r="P2790" s="334" t="str">
        <f t="shared" si="4"/>
        <v>東鐵岡山:直納Ｈ１(特A)</v>
      </c>
    </row>
    <row r="2791" ht="15.75" customHeight="1">
      <c r="A2791" s="335" t="s">
        <v>3940</v>
      </c>
      <c r="B2791" s="336">
        <v>45947.0</v>
      </c>
      <c r="C2791" s="335" t="s">
        <v>532</v>
      </c>
      <c r="D2791" s="335" t="s">
        <v>77</v>
      </c>
      <c r="E2791" s="337" t="str">
        <f t="shared" si="1"/>
        <v>東鐵岡山:直納</v>
      </c>
      <c r="F2791" s="338" t="s">
        <v>116</v>
      </c>
      <c r="G2791" s="339" t="str">
        <f t="shared" si="2"/>
        <v>東鐵岡山:直納Ｈ２(特級)</v>
      </c>
      <c r="H2791" s="340">
        <f t="shared" si="3"/>
        <v>42.5</v>
      </c>
      <c r="I2791" s="341">
        <v>0.5</v>
      </c>
      <c r="J2791" s="332">
        <f>IFERROR(__xludf.DUMMYFUNCTION("IF(IF(COUNTIF(P$2:P2790, P2791)=0, """", INDEX(H$2:H2790,
MAX(FILTER(ROW(H$2:H2790) - ROW(H$2) + 1, P$2:P2790 = P2791))))=""単価"","""",
IF(COUNTIF(P$2:P2790, P2791)=0, """", INDEX(H$2:H2790,
MAX(FILTER(ROW(H$2:H2790) - ROW(H$2) + 1, P$2:P2790 = P2791)))))"),42.0)</f>
        <v>42</v>
      </c>
      <c r="N2791" s="335" t="str">
        <f>IF(MAXIFS('単価履歴'!$O:$O,'単価履歴'!$E:$E,E2791,'単価履歴'!$F:$F,F2791)=O2791,"●","")</f>
        <v/>
      </c>
      <c r="O2791" s="346">
        <v>45947.26726851852</v>
      </c>
      <c r="P2791" s="334" t="str">
        <f t="shared" si="4"/>
        <v>東鐵岡山:直納Ｈ２(特級)</v>
      </c>
    </row>
    <row r="2792" ht="15.75" customHeight="1">
      <c r="A2792" s="335" t="s">
        <v>3941</v>
      </c>
      <c r="B2792" s="336">
        <v>45947.0</v>
      </c>
      <c r="C2792" s="335" t="s">
        <v>532</v>
      </c>
      <c r="D2792" s="335" t="s">
        <v>77</v>
      </c>
      <c r="E2792" s="337" t="str">
        <f t="shared" si="1"/>
        <v>東鐵岡山:直納</v>
      </c>
      <c r="F2792" s="338" t="s">
        <v>119</v>
      </c>
      <c r="G2792" s="339" t="str">
        <f t="shared" si="2"/>
        <v>東鐵岡山:直納Ｈ３(1級)</v>
      </c>
      <c r="H2792" s="340">
        <f t="shared" si="3"/>
        <v>42</v>
      </c>
      <c r="I2792" s="341">
        <v>0.5</v>
      </c>
      <c r="J2792" s="332">
        <f>IFERROR(__xludf.DUMMYFUNCTION("IF(IF(COUNTIF(P$2:P2791, P2792)=0, """", INDEX(H$2:H2791,
MAX(FILTER(ROW(H$2:H2791) - ROW(H$2) + 1, P$2:P2791 = P2792))))=""単価"","""",
IF(COUNTIF(P$2:P2791, P2792)=0, """", INDEX(H$2:H2791,
MAX(FILTER(ROW(H$2:H2791) - ROW(H$2) + 1, P$2:P2791 = P2792)))))"),41.5)</f>
        <v>41.5</v>
      </c>
      <c r="N2792" s="335" t="str">
        <f>IF(MAXIFS('単価履歴'!$O:$O,'単価履歴'!$E:$E,E2792,'単価履歴'!$F:$F,F2792)=O2792,"●","")</f>
        <v/>
      </c>
      <c r="O2792" s="346">
        <v>45947.26726851852</v>
      </c>
      <c r="P2792" s="334" t="str">
        <f t="shared" si="4"/>
        <v>東鐵岡山:直納Ｈ３(1級)</v>
      </c>
    </row>
    <row r="2793" ht="15.75" customHeight="1">
      <c r="A2793" s="335" t="s">
        <v>3942</v>
      </c>
      <c r="B2793" s="336">
        <v>45947.0</v>
      </c>
      <c r="C2793" s="335" t="s">
        <v>532</v>
      </c>
      <c r="D2793" s="335" t="s">
        <v>77</v>
      </c>
      <c r="E2793" s="337" t="str">
        <f t="shared" si="1"/>
        <v>東鐵岡山:直納</v>
      </c>
      <c r="F2793" s="338" t="s">
        <v>122</v>
      </c>
      <c r="G2793" s="339" t="str">
        <f t="shared" si="2"/>
        <v>東鐵岡山:直納Ｌ１(2級)</v>
      </c>
      <c r="H2793" s="340">
        <f t="shared" si="3"/>
        <v>40.5</v>
      </c>
      <c r="I2793" s="341">
        <v>0.5</v>
      </c>
      <c r="J2793" s="332">
        <f>IFERROR(__xludf.DUMMYFUNCTION("IF(IF(COUNTIF(P$2:P2792, P2793)=0, """", INDEX(H$2:H2792,
MAX(FILTER(ROW(H$2:H2792) - ROW(H$2) + 1, P$2:P2792 = P2793))))=""単価"","""",
IF(COUNTIF(P$2:P2792, P2793)=0, """", INDEX(H$2:H2792,
MAX(FILTER(ROW(H$2:H2792) - ROW(H$2) + 1, P$2:P2792 = P2793)))))"),40.0)</f>
        <v>40</v>
      </c>
      <c r="N2793" s="335" t="str">
        <f>IF(MAXIFS('単価履歴'!$O:$O,'単価履歴'!$E:$E,E2793,'単価履歴'!$F:$F,F2793)=O2793,"●","")</f>
        <v/>
      </c>
      <c r="O2793" s="346">
        <v>45947.26726851852</v>
      </c>
      <c r="P2793" s="334" t="str">
        <f t="shared" si="4"/>
        <v>東鐵岡山:直納Ｌ１(2級)</v>
      </c>
    </row>
    <row r="2794" ht="15.75" customHeight="1">
      <c r="A2794" s="335" t="s">
        <v>3943</v>
      </c>
      <c r="B2794" s="336">
        <v>45947.0</v>
      </c>
      <c r="C2794" s="335" t="s">
        <v>532</v>
      </c>
      <c r="D2794" s="335" t="s">
        <v>77</v>
      </c>
      <c r="E2794" s="337" t="str">
        <f t="shared" si="1"/>
        <v>東鐵岡山:直納</v>
      </c>
      <c r="F2794" s="338" t="s">
        <v>573</v>
      </c>
      <c r="G2794" s="339" t="str">
        <f t="shared" si="2"/>
        <v>東鐵岡山:直納Ｌ２(H4･級外･L1ﾊﾞﾗ)</v>
      </c>
      <c r="H2794" s="340">
        <f t="shared" si="3"/>
        <v>37.5</v>
      </c>
      <c r="I2794" s="341">
        <v>0.5</v>
      </c>
      <c r="J2794" s="332">
        <f>IFERROR(__xludf.DUMMYFUNCTION("IF(IF(COUNTIF(P$2:P2793, P2794)=0, """", INDEX(H$2:H2793,
MAX(FILTER(ROW(H$2:H2793) - ROW(H$2) + 1, P$2:P2793 = P2794))))=""単価"","""",
IF(COUNTIF(P$2:P2793, P2794)=0, """", INDEX(H$2:H2793,
MAX(FILTER(ROW(H$2:H2793) - ROW(H$2) + 1, P$2:P2793 = P2794)))))"),37.0)</f>
        <v>37</v>
      </c>
      <c r="N2794" s="335" t="str">
        <f>IF(MAXIFS('単価履歴'!$O:$O,'単価履歴'!$E:$E,E2794,'単価履歴'!$F:$F,F2794)=O2794,"●","")</f>
        <v/>
      </c>
      <c r="O2794" s="346">
        <v>45947.26726851852</v>
      </c>
      <c r="P2794" s="334" t="str">
        <f t="shared" si="4"/>
        <v>東鐵岡山:直納Ｌ２(H4･級外･L1ﾊﾞﾗ)</v>
      </c>
    </row>
    <row r="2795" ht="15.75" customHeight="1">
      <c r="A2795" s="335" t="s">
        <v>3944</v>
      </c>
      <c r="B2795" s="336">
        <v>45947.0</v>
      </c>
      <c r="C2795" s="335" t="s">
        <v>532</v>
      </c>
      <c r="D2795" s="335" t="s">
        <v>77</v>
      </c>
      <c r="E2795" s="337" t="str">
        <f t="shared" si="1"/>
        <v>東鐵岡山:直納</v>
      </c>
      <c r="F2795" s="338" t="s">
        <v>145</v>
      </c>
      <c r="G2795" s="339" t="str">
        <f t="shared" si="2"/>
        <v>東鐵岡山:直納シュレＡ</v>
      </c>
      <c r="H2795" s="340">
        <f t="shared" si="3"/>
        <v>43</v>
      </c>
      <c r="I2795" s="341">
        <v>0.5</v>
      </c>
      <c r="J2795" s="332">
        <f>IFERROR(__xludf.DUMMYFUNCTION("IF(IF(COUNTIF(P$2:P2794, P2795)=0, """", INDEX(H$2:H2794,
MAX(FILTER(ROW(H$2:H2794) - ROW(H$2) + 1, P$2:P2794 = P2795))))=""単価"","""",
IF(COUNTIF(P$2:P2794, P2795)=0, """", INDEX(H$2:H2794,
MAX(FILTER(ROW(H$2:H2794) - ROW(H$2) + 1, P$2:P2794 = P2795)))))"),42.5)</f>
        <v>42.5</v>
      </c>
      <c r="N2795" s="335" t="str">
        <f>IF(MAXIFS('単価履歴'!$O:$O,'単価履歴'!$E:$E,E2795,'単価履歴'!$F:$F,F2795)=O2795,"●","")</f>
        <v/>
      </c>
      <c r="O2795" s="346">
        <v>45947.26726851852</v>
      </c>
      <c r="P2795" s="334" t="str">
        <f t="shared" si="4"/>
        <v>東鐵岡山:直納シュレＡ</v>
      </c>
    </row>
    <row r="2796" ht="15.75" customHeight="1">
      <c r="A2796" s="335" t="s">
        <v>3945</v>
      </c>
      <c r="B2796" s="336">
        <v>45947.0</v>
      </c>
      <c r="C2796" s="335" t="s">
        <v>532</v>
      </c>
      <c r="D2796" s="335" t="s">
        <v>77</v>
      </c>
      <c r="E2796" s="337" t="str">
        <f t="shared" si="1"/>
        <v>東鐵岡山:直納</v>
      </c>
      <c r="F2796" s="338" t="s">
        <v>151</v>
      </c>
      <c r="G2796" s="339" t="str">
        <f t="shared" si="2"/>
        <v>東鐵岡山:直納シュレＣ</v>
      </c>
      <c r="H2796" s="340">
        <f t="shared" si="3"/>
        <v>42.5</v>
      </c>
      <c r="I2796" s="341">
        <v>0.5</v>
      </c>
      <c r="J2796" s="332">
        <f>IFERROR(__xludf.DUMMYFUNCTION("IF(IF(COUNTIF(P$2:P2795, P2796)=0, """", INDEX(H$2:H2795,
MAX(FILTER(ROW(H$2:H2795) - ROW(H$2) + 1, P$2:P2795 = P2796))))=""単価"","""",
IF(COUNTIF(P$2:P2795, P2796)=0, """", INDEX(H$2:H2795,
MAX(FILTER(ROW(H$2:H2795) - ROW(H$2) + 1, P$2:P2795 = P2796)))))"),42.0)</f>
        <v>42</v>
      </c>
      <c r="N2796" s="335" t="str">
        <f>IF(MAXIFS('単価履歴'!$O:$O,'単価履歴'!$E:$E,E2796,'単価履歴'!$F:$F,F2796)=O2796,"●","")</f>
        <v/>
      </c>
      <c r="O2796" s="346">
        <v>45947.26726851852</v>
      </c>
      <c r="P2796" s="334" t="str">
        <f t="shared" si="4"/>
        <v>東鐵岡山:直納シュレＣ</v>
      </c>
    </row>
    <row r="2797" ht="15.75" customHeight="1">
      <c r="A2797" s="335" t="s">
        <v>3946</v>
      </c>
      <c r="B2797" s="336">
        <v>45947.0</v>
      </c>
      <c r="C2797" s="335" t="s">
        <v>532</v>
      </c>
      <c r="D2797" s="335" t="s">
        <v>77</v>
      </c>
      <c r="E2797" s="337" t="str">
        <f t="shared" si="1"/>
        <v>東鐵岡山:直納</v>
      </c>
      <c r="F2797" s="338" t="s">
        <v>130</v>
      </c>
      <c r="G2797" s="339" t="str">
        <f t="shared" si="2"/>
        <v>東鐵岡山:直納新断Ａ</v>
      </c>
      <c r="H2797" s="340">
        <f t="shared" si="3"/>
        <v>43.5</v>
      </c>
      <c r="I2797" s="341">
        <v>0.5</v>
      </c>
      <c r="J2797" s="332">
        <f>IFERROR(__xludf.DUMMYFUNCTION("IF(IF(COUNTIF(P$2:P2796, P2797)=0, """", INDEX(H$2:H2796,
MAX(FILTER(ROW(H$2:H2796) - ROW(H$2) + 1, P$2:P2796 = P2797))))=""単価"","""",
IF(COUNTIF(P$2:P2796, P2797)=0, """", INDEX(H$2:H2796,
MAX(FILTER(ROW(H$2:H2796) - ROW(H$2) + 1, P$2:P2796 = P2797)))))"),43.0)</f>
        <v>43</v>
      </c>
      <c r="N2797" s="335" t="str">
        <f>IF(MAXIFS('単価履歴'!$O:$O,'単価履歴'!$E:$E,E2797,'単価履歴'!$F:$F,F2797)=O2797,"●","")</f>
        <v/>
      </c>
      <c r="O2797" s="346">
        <v>45947.26726851852</v>
      </c>
      <c r="P2797" s="334" t="str">
        <f t="shared" si="4"/>
        <v>東鐵岡山:直納新断Ａ</v>
      </c>
    </row>
    <row r="2798" ht="15.75" customHeight="1">
      <c r="A2798" s="335" t="s">
        <v>3947</v>
      </c>
      <c r="B2798" s="336">
        <v>45947.0</v>
      </c>
      <c r="C2798" s="335" t="s">
        <v>532</v>
      </c>
      <c r="D2798" s="335" t="s">
        <v>77</v>
      </c>
      <c r="E2798" s="337" t="str">
        <f t="shared" si="1"/>
        <v>東鐵岡山:直納</v>
      </c>
      <c r="F2798" s="338" t="s">
        <v>131</v>
      </c>
      <c r="G2798" s="339" t="str">
        <f t="shared" si="2"/>
        <v>東鐵岡山:直納新断Ｂ</v>
      </c>
      <c r="H2798" s="340">
        <f t="shared" si="3"/>
        <v>43.5</v>
      </c>
      <c r="I2798" s="341">
        <v>0.5</v>
      </c>
      <c r="J2798" s="332">
        <f>IFERROR(__xludf.DUMMYFUNCTION("IF(IF(COUNTIF(P$2:P2797, P2798)=0, """", INDEX(H$2:H2797,
MAX(FILTER(ROW(H$2:H2797) - ROW(H$2) + 1, P$2:P2797 = P2798))))=""単価"","""",
IF(COUNTIF(P$2:P2797, P2798)=0, """", INDEX(H$2:H2797,
MAX(FILTER(ROW(H$2:H2797) - ROW(H$2) + 1, P$2:P2797 = P2798)))))"),43.0)</f>
        <v>43</v>
      </c>
      <c r="N2798" s="335" t="str">
        <f>IF(MAXIFS('単価履歴'!$O:$O,'単価履歴'!$E:$E,E2798,'単価履歴'!$F:$F,F2798)=O2798,"●","")</f>
        <v/>
      </c>
      <c r="O2798" s="346">
        <v>45947.26726851852</v>
      </c>
      <c r="P2798" s="334" t="str">
        <f t="shared" si="4"/>
        <v>東鐵岡山:直納新断Ｂ</v>
      </c>
    </row>
    <row r="2799" ht="15.75" customHeight="1">
      <c r="A2799" s="335" t="s">
        <v>3948</v>
      </c>
      <c r="B2799" s="336">
        <v>45947.0</v>
      </c>
      <c r="C2799" s="335" t="s">
        <v>532</v>
      </c>
      <c r="D2799" s="335" t="s">
        <v>77</v>
      </c>
      <c r="E2799" s="337" t="str">
        <f t="shared" si="1"/>
        <v>東鐵岡山:直納</v>
      </c>
      <c r="F2799" s="338" t="s">
        <v>575</v>
      </c>
      <c r="G2799" s="339" t="str">
        <f t="shared" si="2"/>
        <v>東鐵岡山:直納鋼ダライＡ</v>
      </c>
      <c r="H2799" s="340">
        <f t="shared" si="3"/>
        <v>38.5</v>
      </c>
      <c r="I2799" s="341">
        <v>0.5</v>
      </c>
      <c r="J2799" s="332">
        <f>IFERROR(__xludf.DUMMYFUNCTION("IF(IF(COUNTIF(P$2:P2798, P2799)=0, """", INDEX(H$2:H2798,
MAX(FILTER(ROW(H$2:H2798) - ROW(H$2) + 1, P$2:P2798 = P2799))))=""単価"","""",
IF(COUNTIF(P$2:P2798, P2799)=0, """", INDEX(H$2:H2798,
MAX(FILTER(ROW(H$2:H2798) - ROW(H$2) + 1, P$2:P2798 = P2799)))))"),38.0)</f>
        <v>38</v>
      </c>
      <c r="N2799" s="335" t="str">
        <f>IF(MAXIFS('単価履歴'!$O:$O,'単価履歴'!$E:$E,E2799,'単価履歴'!$F:$F,F2799)=O2799,"●","")</f>
        <v/>
      </c>
      <c r="O2799" s="346">
        <v>45947.26726851852</v>
      </c>
      <c r="P2799" s="334" t="str">
        <f t="shared" si="4"/>
        <v>東鐵岡山:直納鋼ダライＡ</v>
      </c>
    </row>
    <row r="2800" ht="15.75" customHeight="1">
      <c r="A2800" s="335" t="s">
        <v>3949</v>
      </c>
      <c r="B2800" s="336">
        <v>45947.0</v>
      </c>
      <c r="C2800" s="335" t="s">
        <v>532</v>
      </c>
      <c r="D2800" s="335" t="s">
        <v>77</v>
      </c>
      <c r="E2800" s="337" t="str">
        <f t="shared" si="1"/>
        <v>東鐵岡山:直納</v>
      </c>
      <c r="F2800" s="338" t="s">
        <v>25</v>
      </c>
      <c r="G2800" s="339" t="str">
        <f t="shared" si="2"/>
        <v>東鐵岡山:直納銑ダライ</v>
      </c>
      <c r="H2800" s="340">
        <f t="shared" si="3"/>
        <v>35</v>
      </c>
      <c r="I2800" s="341">
        <v>0.5</v>
      </c>
      <c r="J2800" s="332">
        <f>IFERROR(__xludf.DUMMYFUNCTION("IF(IF(COUNTIF(P$2:P2799, P2800)=0, """", INDEX(H$2:H2799,
MAX(FILTER(ROW(H$2:H2799) - ROW(H$2) + 1, P$2:P2799 = P2800))))=""単価"","""",
IF(COUNTIF(P$2:P2799, P2800)=0, """", INDEX(H$2:H2799,
MAX(FILTER(ROW(H$2:H2799) - ROW(H$2) + 1, P$2:P2799 = P2800)))))"),34.5)</f>
        <v>34.5</v>
      </c>
      <c r="N2800" s="335" t="str">
        <f>IF(MAXIFS('単価履歴'!$O:$O,'単価履歴'!$E:$E,E2800,'単価履歴'!$F:$F,F2800)=O2800,"●","")</f>
        <v/>
      </c>
      <c r="O2800" s="346">
        <v>45947.26726851852</v>
      </c>
      <c r="P2800" s="334" t="str">
        <f t="shared" si="4"/>
        <v>東鐵岡山:直納銑ダライ</v>
      </c>
    </row>
    <row r="2801" ht="15.75" customHeight="1">
      <c r="A2801" s="335" t="s">
        <v>3950</v>
      </c>
      <c r="B2801" s="336">
        <v>45947.0</v>
      </c>
      <c r="C2801" s="335" t="s">
        <v>532</v>
      </c>
      <c r="D2801" s="335" t="s">
        <v>77</v>
      </c>
      <c r="E2801" s="337" t="str">
        <f t="shared" si="1"/>
        <v>東鐵岡山:直納</v>
      </c>
      <c r="F2801" s="338" t="s">
        <v>154</v>
      </c>
      <c r="G2801" s="339" t="str">
        <f t="shared" si="2"/>
        <v>東鐵岡山:直納ＣＰ Ａ</v>
      </c>
      <c r="H2801" s="340">
        <f t="shared" si="3"/>
        <v>41</v>
      </c>
      <c r="I2801" s="341">
        <v>0.5</v>
      </c>
      <c r="J2801" s="332">
        <f>IFERROR(__xludf.DUMMYFUNCTION("IF(IF(COUNTIF(P$2:P2800, P2801)=0, """", INDEX(H$2:H2800,
MAX(FILTER(ROW(H$2:H2800) - ROW(H$2) + 1, P$2:P2800 = P2801))))=""単価"","""",
IF(COUNTIF(P$2:P2800, P2801)=0, """", INDEX(H$2:H2800,
MAX(FILTER(ROW(H$2:H2800) - ROW(H$2) + 1, P$2:P2800 = P2801)))))"),40.5)</f>
        <v>40.5</v>
      </c>
      <c r="N2801" s="335" t="str">
        <f>IF(MAXIFS('単価履歴'!$O:$O,'単価履歴'!$E:$E,E2801,'単価履歴'!$F:$F,F2801)=O2801,"●","")</f>
        <v/>
      </c>
      <c r="O2801" s="346">
        <v>45947.26726851852</v>
      </c>
      <c r="P2801" s="334" t="str">
        <f t="shared" si="4"/>
        <v>東鐵岡山:直納ＣＰ Ａ</v>
      </c>
    </row>
    <row r="2802" ht="15.75" customHeight="1">
      <c r="A2802" s="335" t="s">
        <v>3951</v>
      </c>
      <c r="B2802" s="336">
        <v>45947.0</v>
      </c>
      <c r="C2802" s="335" t="s">
        <v>22</v>
      </c>
      <c r="D2802" s="335" t="s">
        <v>47</v>
      </c>
      <c r="E2802" s="337" t="str">
        <f t="shared" si="1"/>
        <v>栗本鐵工:豊通</v>
      </c>
      <c r="F2802" s="338" t="s">
        <v>1199</v>
      </c>
      <c r="G2802" s="339" t="str">
        <f t="shared" si="2"/>
        <v>栗本鐵工:豊通ＨＳ１(単体H1/電特A/HS))</v>
      </c>
      <c r="H2802" s="340">
        <f t="shared" si="3"/>
        <v>47.8</v>
      </c>
      <c r="I2802" s="341">
        <v>0.5</v>
      </c>
      <c r="J2802" s="332">
        <f>IFERROR(__xludf.DUMMYFUNCTION("IF(IF(COUNTIF(P$2:P2801, P2802)=0, """", INDEX(H$2:H2801,
MAX(FILTER(ROW(H$2:H2801) - ROW(H$2) + 1, P$2:P2801 = P2802))))=""単価"","""",
IF(COUNTIF(P$2:P2801, P2802)=0, """", INDEX(H$2:H2801,
MAX(FILTER(ROW(H$2:H2801) - ROW(H$2) + 1, P$2:P2801 = P2802)))))"),47.3)</f>
        <v>47.3</v>
      </c>
      <c r="N2802" s="335" t="str">
        <f>IF(MAXIFS('単価履歴'!$O:$O,'単価履歴'!$E:$E,E2802,'単価履歴'!$F:$F,F2802)=O2802,"●","")</f>
        <v/>
      </c>
      <c r="O2802" s="346">
        <v>45947.26783564815</v>
      </c>
      <c r="P2802" s="334" t="str">
        <f t="shared" si="4"/>
        <v>栗本鐵工:豊通ＨＳ１(単体H1/電特A/HS))</v>
      </c>
    </row>
    <row r="2803" ht="15.75" customHeight="1">
      <c r="A2803" s="335" t="s">
        <v>3952</v>
      </c>
      <c r="B2803" s="336">
        <v>45947.0</v>
      </c>
      <c r="C2803" s="335" t="s">
        <v>22</v>
      </c>
      <c r="D2803" s="335" t="s">
        <v>47</v>
      </c>
      <c r="E2803" s="337" t="str">
        <f t="shared" si="1"/>
        <v>栗本鐵工:豊通</v>
      </c>
      <c r="F2803" s="338" t="s">
        <v>101</v>
      </c>
      <c r="G2803" s="339" t="str">
        <f t="shared" si="2"/>
        <v>栗本鐵工:豊通ＨＳ２</v>
      </c>
      <c r="H2803" s="340">
        <f t="shared" si="3"/>
        <v>47.5</v>
      </c>
      <c r="I2803" s="341">
        <v>0.5</v>
      </c>
      <c r="J2803" s="332">
        <f>IFERROR(__xludf.DUMMYFUNCTION("IF(IF(COUNTIF(P$2:P2802, P2803)=0, """", INDEX(H$2:H2802,
MAX(FILTER(ROW(H$2:H2802) - ROW(H$2) + 1, P$2:P2802 = P2803))))=""単価"","""",
IF(COUNTIF(P$2:P2802, P2803)=0, """", INDEX(H$2:H2802,
MAX(FILTER(ROW(H$2:H2802) - ROW(H$2) + 1, P$2:P2802 = P2803)))))"),47.0)</f>
        <v>47</v>
      </c>
      <c r="N2803" s="335" t="str">
        <f>IF(MAXIFS('単価履歴'!$O:$O,'単価履歴'!$E:$E,E2803,'単価履歴'!$F:$F,F2803)=O2803,"●","")</f>
        <v/>
      </c>
      <c r="O2803" s="346">
        <v>45947.26783564815</v>
      </c>
      <c r="P2803" s="334" t="str">
        <f t="shared" si="4"/>
        <v>栗本鐵工:豊通ＨＳ２</v>
      </c>
    </row>
    <row r="2804" ht="15.75" customHeight="1">
      <c r="A2804" s="335" t="s">
        <v>3953</v>
      </c>
      <c r="B2804" s="336">
        <v>45947.0</v>
      </c>
      <c r="C2804" s="335" t="s">
        <v>22</v>
      </c>
      <c r="D2804" s="335" t="s">
        <v>47</v>
      </c>
      <c r="E2804" s="337" t="str">
        <f t="shared" si="1"/>
        <v>栗本鐵工:豊通</v>
      </c>
      <c r="F2804" s="338" t="s">
        <v>105</v>
      </c>
      <c r="G2804" s="339" t="str">
        <f t="shared" si="2"/>
        <v>栗本鐵工:豊通ＨＳ３</v>
      </c>
      <c r="H2804" s="340">
        <f t="shared" si="3"/>
        <v>46.6</v>
      </c>
      <c r="I2804" s="341">
        <v>0.5</v>
      </c>
      <c r="J2804" s="332">
        <f>IFERROR(__xludf.DUMMYFUNCTION("IF(IF(COUNTIF(P$2:P2803, P2804)=0, """", INDEX(H$2:H2803,
MAX(FILTER(ROW(H$2:H2803) - ROW(H$2) + 1, P$2:P2803 = P2804))))=""単価"","""",
IF(COUNTIF(P$2:P2803, P2804)=0, """", INDEX(H$2:H2803,
MAX(FILTER(ROW(H$2:H2803) - ROW(H$2) + 1, P$2:P2803 = P2804)))))"),46.1)</f>
        <v>46.1</v>
      </c>
      <c r="N2804" s="335" t="str">
        <f>IF(MAXIFS('単価履歴'!$O:$O,'単価履歴'!$E:$E,E2804,'単価履歴'!$F:$F,F2804)=O2804,"●","")</f>
        <v/>
      </c>
      <c r="O2804" s="346">
        <v>45947.26783564815</v>
      </c>
      <c r="P2804" s="334" t="str">
        <f t="shared" si="4"/>
        <v>栗本鐵工:豊通ＨＳ３</v>
      </c>
    </row>
    <row r="2805" ht="15.75" customHeight="1">
      <c r="A2805" s="335" t="s">
        <v>3954</v>
      </c>
      <c r="B2805" s="336">
        <v>45947.0</v>
      </c>
      <c r="C2805" s="335" t="s">
        <v>22</v>
      </c>
      <c r="D2805" s="335" t="s">
        <v>47</v>
      </c>
      <c r="E2805" s="337" t="str">
        <f t="shared" si="1"/>
        <v>栗本鐵工:豊通</v>
      </c>
      <c r="F2805" s="338" t="s">
        <v>577</v>
      </c>
      <c r="G2805" s="339" t="str">
        <f t="shared" si="2"/>
        <v>栗本鐵工:豊通鋳物・ﾀﾞｸﾀｲﾙ</v>
      </c>
      <c r="H2805" s="340">
        <f t="shared" si="3"/>
        <v>46.4</v>
      </c>
      <c r="I2805" s="341">
        <v>0.5</v>
      </c>
      <c r="J2805" s="332">
        <f>IFERROR(__xludf.DUMMYFUNCTION("IF(IF(COUNTIF(P$2:P2804, P2805)=0, """", INDEX(H$2:H2804,
MAX(FILTER(ROW(H$2:H2804) - ROW(H$2) + 1, P$2:P2804 = P2805))))=""単価"","""",
IF(COUNTIF(P$2:P2804, P2805)=0, """", INDEX(H$2:H2804,
MAX(FILTER(ROW(H$2:H2804) - ROW(H$2) + 1, P$2:P2804 = P2805)))))"),45.9)</f>
        <v>45.9</v>
      </c>
      <c r="N2805" s="335" t="str">
        <f>IF(MAXIFS('単価履歴'!$O:$O,'単価履歴'!$E:$E,E2805,'単価履歴'!$F:$F,F2805)=O2805,"●","")</f>
        <v/>
      </c>
      <c r="O2805" s="346">
        <v>45947.26783564815</v>
      </c>
      <c r="P2805" s="334" t="str">
        <f t="shared" si="4"/>
        <v>栗本鐵工:豊通鋳物・ﾀﾞｸﾀｲﾙ</v>
      </c>
    </row>
    <row r="2806" ht="15.75" customHeight="1">
      <c r="A2806" s="335" t="s">
        <v>3955</v>
      </c>
      <c r="B2806" s="336">
        <v>45947.0</v>
      </c>
      <c r="C2806" s="335" t="s">
        <v>9</v>
      </c>
      <c r="D2806" s="335" t="s">
        <v>51</v>
      </c>
      <c r="E2806" s="337" t="str">
        <f t="shared" si="1"/>
        <v>大鉄　堺:大鉄堺</v>
      </c>
      <c r="F2806" s="338" t="s">
        <v>111</v>
      </c>
      <c r="G2806" s="339" t="str">
        <f t="shared" si="2"/>
        <v>大鉄　堺:大鉄堺Ｈ１(特A)</v>
      </c>
      <c r="H2806" s="340">
        <f t="shared" si="3"/>
        <v>44</v>
      </c>
      <c r="I2806" s="341">
        <v>0.5</v>
      </c>
      <c r="J2806" s="332">
        <f>IFERROR(__xludf.DUMMYFUNCTION("IF(IF(COUNTIF(P$2:P2805, P2806)=0, """", INDEX(H$2:H2805,
MAX(FILTER(ROW(H$2:H2805) - ROW(H$2) + 1, P$2:P2805 = P2806))))=""単価"","""",
IF(COUNTIF(P$2:P2805, P2806)=0, """", INDEX(H$2:H2805,
MAX(FILTER(ROW(H$2:H2805) - ROW(H$2) + 1, P$2:P2805 = P2806)))))"),43.5)</f>
        <v>43.5</v>
      </c>
      <c r="N2806" s="335" t="str">
        <f>IF(MAXIFS('単価履歴'!$O:$O,'単価履歴'!$E:$E,E2806,'単価履歴'!$F:$F,F2806)=O2806,"●","")</f>
        <v/>
      </c>
      <c r="O2806" s="346">
        <v>45947.2683912037</v>
      </c>
      <c r="P2806" s="334" t="str">
        <f t="shared" si="4"/>
        <v>大鉄　堺:大鉄堺Ｈ１(特A)</v>
      </c>
    </row>
    <row r="2807" ht="15.75" customHeight="1">
      <c r="A2807" s="335" t="s">
        <v>3956</v>
      </c>
      <c r="B2807" s="336">
        <v>45947.0</v>
      </c>
      <c r="C2807" s="335" t="s">
        <v>9</v>
      </c>
      <c r="D2807" s="335" t="s">
        <v>51</v>
      </c>
      <c r="E2807" s="337" t="str">
        <f t="shared" si="1"/>
        <v>大鉄　堺:大鉄堺</v>
      </c>
      <c r="F2807" s="338" t="s">
        <v>116</v>
      </c>
      <c r="G2807" s="339" t="str">
        <f t="shared" si="2"/>
        <v>大鉄　堺:大鉄堺Ｈ２(特級)</v>
      </c>
      <c r="H2807" s="340">
        <f t="shared" si="3"/>
        <v>41</v>
      </c>
      <c r="I2807" s="341">
        <v>0.5</v>
      </c>
      <c r="J2807" s="332">
        <f>IFERROR(__xludf.DUMMYFUNCTION("IF(IF(COUNTIF(P$2:P2806, P2807)=0, """", INDEX(H$2:H2806,
MAX(FILTER(ROW(H$2:H2806) - ROW(H$2) + 1, P$2:P2806 = P2807))))=""単価"","""",
IF(COUNTIF(P$2:P2806, P2807)=0, """", INDEX(H$2:H2806,
MAX(FILTER(ROW(H$2:H2806) - ROW(H$2) + 1, P$2:P2806 = P2807)))))"),40.5)</f>
        <v>40.5</v>
      </c>
      <c r="N2807" s="335" t="str">
        <f>IF(MAXIFS('単価履歴'!$O:$O,'単価履歴'!$E:$E,E2807,'単価履歴'!$F:$F,F2807)=O2807,"●","")</f>
        <v/>
      </c>
      <c r="O2807" s="346">
        <v>45947.2683912037</v>
      </c>
      <c r="P2807" s="334" t="str">
        <f t="shared" si="4"/>
        <v>大鉄　堺:大鉄堺Ｈ２(特級)</v>
      </c>
    </row>
    <row r="2808" ht="15.75" customHeight="1">
      <c r="A2808" s="335" t="s">
        <v>3957</v>
      </c>
      <c r="B2808" s="336">
        <v>45947.0</v>
      </c>
      <c r="C2808" s="335" t="s">
        <v>9</v>
      </c>
      <c r="D2808" s="335" t="s">
        <v>51</v>
      </c>
      <c r="E2808" s="337" t="str">
        <f t="shared" si="1"/>
        <v>大鉄　堺:大鉄堺</v>
      </c>
      <c r="F2808" s="338" t="s">
        <v>1237</v>
      </c>
      <c r="G2808" s="339" t="str">
        <f t="shared" si="2"/>
        <v>大鉄　堺:大鉄堺ＪＨ１(H2T山口)鍛造ﾊﾞﾘ</v>
      </c>
      <c r="H2808" s="340">
        <f t="shared" si="3"/>
        <v>43</v>
      </c>
      <c r="I2808" s="341">
        <v>0.5</v>
      </c>
      <c r="J2808" s="332">
        <f>IFERROR(__xludf.DUMMYFUNCTION("IF(IF(COUNTIF(P$2:P2807, P2808)=0, """", INDEX(H$2:H2807,
MAX(FILTER(ROW(H$2:H2807) - ROW(H$2) + 1, P$2:P2807 = P2808))))=""単価"","""",
IF(COUNTIF(P$2:P2807, P2808)=0, """", INDEX(H$2:H2807,
MAX(FILTER(ROW(H$2:H2807) - ROW(H$2) + 1, P$2:P2807 = P2808)))))"),42.5)</f>
        <v>42.5</v>
      </c>
      <c r="N2808" s="335" t="str">
        <f>IF(MAXIFS('単価履歴'!$O:$O,'単価履歴'!$E:$E,E2808,'単価履歴'!$F:$F,F2808)=O2808,"●","")</f>
        <v/>
      </c>
      <c r="O2808" s="346">
        <v>45947.2683912037</v>
      </c>
      <c r="P2808" s="334" t="str">
        <f t="shared" si="4"/>
        <v>大鉄　堺:大鉄堺ＪＨ１(H2T山口)鍛造ﾊﾞﾘ</v>
      </c>
    </row>
    <row r="2809" ht="15.75" customHeight="1">
      <c r="A2809" s="335" t="s">
        <v>3958</v>
      </c>
      <c r="B2809" s="336">
        <v>45947.0</v>
      </c>
      <c r="C2809" s="335" t="s">
        <v>9</v>
      </c>
      <c r="D2809" s="335" t="s">
        <v>51</v>
      </c>
      <c r="E2809" s="337" t="str">
        <f t="shared" si="1"/>
        <v>大鉄　堺:大鉄堺</v>
      </c>
      <c r="F2809" s="338" t="s">
        <v>119</v>
      </c>
      <c r="G2809" s="339" t="str">
        <f t="shared" si="2"/>
        <v>大鉄　堺:大鉄堺Ｈ３(1級)</v>
      </c>
      <c r="H2809" s="340">
        <f t="shared" si="3"/>
        <v>40.5</v>
      </c>
      <c r="I2809" s="341">
        <v>0.5</v>
      </c>
      <c r="J2809" s="332">
        <f>IFERROR(__xludf.DUMMYFUNCTION("IF(IF(COUNTIF(P$2:P2808, P2809)=0, """", INDEX(H$2:H2808,
MAX(FILTER(ROW(H$2:H2808) - ROW(H$2) + 1, P$2:P2808 = P2809))))=""単価"","""",
IF(COUNTIF(P$2:P2808, P2809)=0, """", INDEX(H$2:H2808,
MAX(FILTER(ROW(H$2:H2808) - ROW(H$2) + 1, P$2:P2808 = P2809)))))"),40.0)</f>
        <v>40</v>
      </c>
      <c r="N2809" s="335" t="str">
        <f>IF(MAXIFS('単価履歴'!$O:$O,'単価履歴'!$E:$E,E2809,'単価履歴'!$F:$F,F2809)=O2809,"●","")</f>
        <v/>
      </c>
      <c r="O2809" s="346">
        <v>45947.2683912037</v>
      </c>
      <c r="P2809" s="334" t="str">
        <f t="shared" si="4"/>
        <v>大鉄　堺:大鉄堺Ｈ３(1級)</v>
      </c>
    </row>
    <row r="2810" ht="15.75" customHeight="1">
      <c r="A2810" s="335" t="s">
        <v>3959</v>
      </c>
      <c r="B2810" s="336">
        <v>45947.0</v>
      </c>
      <c r="C2810" s="335" t="s">
        <v>9</v>
      </c>
      <c r="D2810" s="335" t="s">
        <v>51</v>
      </c>
      <c r="E2810" s="337" t="str">
        <f t="shared" si="1"/>
        <v>大鉄　堺:大鉄堺</v>
      </c>
      <c r="F2810" s="338" t="s">
        <v>122</v>
      </c>
      <c r="G2810" s="339" t="str">
        <f t="shared" si="2"/>
        <v>大鉄　堺:大鉄堺Ｌ１(2級)</v>
      </c>
      <c r="H2810" s="340">
        <f t="shared" si="3"/>
        <v>40</v>
      </c>
      <c r="I2810" s="341">
        <v>0.5</v>
      </c>
      <c r="J2810" s="332">
        <f>IFERROR(__xludf.DUMMYFUNCTION("IF(IF(COUNTIF(P$2:P2809, P2810)=0, """", INDEX(H$2:H2809,
MAX(FILTER(ROW(H$2:H2809) - ROW(H$2) + 1, P$2:P2809 = P2810))))=""単価"","""",
IF(COUNTIF(P$2:P2809, P2810)=0, """", INDEX(H$2:H2809,
MAX(FILTER(ROW(H$2:H2809) - ROW(H$2) + 1, P$2:P2809 = P2810)))))"),39.5)</f>
        <v>39.5</v>
      </c>
      <c r="N2810" s="335" t="str">
        <f>IF(MAXIFS('単価履歴'!$O:$O,'単価履歴'!$E:$E,E2810,'単価履歴'!$F:$F,F2810)=O2810,"●","")</f>
        <v/>
      </c>
      <c r="O2810" s="346">
        <v>45947.2683912037</v>
      </c>
      <c r="P2810" s="334" t="str">
        <f t="shared" si="4"/>
        <v>大鉄　堺:大鉄堺Ｌ１(2級)</v>
      </c>
    </row>
    <row r="2811" ht="15.75" customHeight="1">
      <c r="A2811" s="335" t="s">
        <v>3960</v>
      </c>
      <c r="B2811" s="336">
        <v>45947.0</v>
      </c>
      <c r="C2811" s="335" t="s">
        <v>9</v>
      </c>
      <c r="D2811" s="335" t="s">
        <v>51</v>
      </c>
      <c r="E2811" s="337" t="str">
        <f t="shared" si="1"/>
        <v>大鉄　堺:大鉄堺</v>
      </c>
      <c r="F2811" s="338" t="s">
        <v>130</v>
      </c>
      <c r="G2811" s="339" t="str">
        <f t="shared" si="2"/>
        <v>大鉄　堺:大鉄堺新断Ａ</v>
      </c>
      <c r="H2811" s="340">
        <f t="shared" si="3"/>
        <v>27.5</v>
      </c>
      <c r="I2811" s="341">
        <v>0.5</v>
      </c>
      <c r="J2811" s="332">
        <f>IFERROR(__xludf.DUMMYFUNCTION("IF(IF(COUNTIF(P$2:P2810, P2811)=0, """", INDEX(H$2:H2810,
MAX(FILTER(ROW(H$2:H2810) - ROW(H$2) + 1, P$2:P2810 = P2811))))=""単価"","""",
IF(COUNTIF(P$2:P2810, P2811)=0, """", INDEX(H$2:H2810,
MAX(FILTER(ROW(H$2:H2810) - ROW(H$2) + 1, P$2:P2810 = P2811)))))"),27.0)</f>
        <v>27</v>
      </c>
      <c r="N2811" s="335" t="str">
        <f>IF(MAXIFS('単価履歴'!$O:$O,'単価履歴'!$E:$E,E2811,'単価履歴'!$F:$F,F2811)=O2811,"●","")</f>
        <v/>
      </c>
      <c r="O2811" s="346">
        <v>45947.2683912037</v>
      </c>
      <c r="P2811" s="334" t="str">
        <f t="shared" si="4"/>
        <v>大鉄　堺:大鉄堺新断Ａ</v>
      </c>
    </row>
    <row r="2812" ht="15.75" customHeight="1">
      <c r="A2812" s="335" t="s">
        <v>3961</v>
      </c>
      <c r="B2812" s="336">
        <v>45947.0</v>
      </c>
      <c r="C2812" s="335" t="s">
        <v>9</v>
      </c>
      <c r="D2812" s="335" t="s">
        <v>51</v>
      </c>
      <c r="E2812" s="337" t="str">
        <f t="shared" si="1"/>
        <v>大鉄　堺:大鉄堺</v>
      </c>
      <c r="F2812" s="338" t="s">
        <v>131</v>
      </c>
      <c r="G2812" s="339" t="str">
        <f t="shared" si="2"/>
        <v>大鉄　堺:大鉄堺新断Ｂ</v>
      </c>
      <c r="H2812" s="340">
        <f t="shared" si="3"/>
        <v>27</v>
      </c>
      <c r="I2812" s="341">
        <v>0.5</v>
      </c>
      <c r="J2812" s="332">
        <f>IFERROR(__xludf.DUMMYFUNCTION("IF(IF(COUNTIF(P$2:P2811, P2812)=0, """", INDEX(H$2:H2811,
MAX(FILTER(ROW(H$2:H2811) - ROW(H$2) + 1, P$2:P2811 = P2812))))=""単価"","""",
IF(COUNTIF(P$2:P2811, P2812)=0, """", INDEX(H$2:H2811,
MAX(FILTER(ROW(H$2:H2811) - ROW(H$2) + 1, P$2:P2811 = P2812)))))"),26.5)</f>
        <v>26.5</v>
      </c>
      <c r="N2812" s="335" t="str">
        <f>IF(MAXIFS('単価履歴'!$O:$O,'単価履歴'!$E:$E,E2812,'単価履歴'!$F:$F,F2812)=O2812,"●","")</f>
        <v/>
      </c>
      <c r="O2812" s="346">
        <v>45947.2683912037</v>
      </c>
      <c r="P2812" s="334" t="str">
        <f t="shared" si="4"/>
        <v>大鉄　堺:大鉄堺新断Ｂ</v>
      </c>
    </row>
    <row r="2813" ht="15.75" customHeight="1">
      <c r="A2813" s="335" t="s">
        <v>3962</v>
      </c>
      <c r="B2813" s="336">
        <v>45947.0</v>
      </c>
      <c r="C2813" s="335" t="s">
        <v>9</v>
      </c>
      <c r="D2813" s="335" t="s">
        <v>51</v>
      </c>
      <c r="E2813" s="337" t="str">
        <f t="shared" si="1"/>
        <v>大鉄　堺:大鉄堺</v>
      </c>
      <c r="F2813" s="338" t="s">
        <v>145</v>
      </c>
      <c r="G2813" s="339" t="str">
        <f t="shared" si="2"/>
        <v>大鉄　堺:大鉄堺シュレＡ</v>
      </c>
      <c r="H2813" s="340">
        <f t="shared" si="3"/>
        <v>30</v>
      </c>
      <c r="I2813" s="341">
        <v>0.5</v>
      </c>
      <c r="J2813" s="332">
        <f>IFERROR(__xludf.DUMMYFUNCTION("IF(IF(COUNTIF(P$2:P2812, P2813)=0, """", INDEX(H$2:H2812,
MAX(FILTER(ROW(H$2:H2812) - ROW(H$2) + 1, P$2:P2812 = P2813))))=""単価"","""",
IF(COUNTIF(P$2:P2812, P2813)=0, """", INDEX(H$2:H2812,
MAX(FILTER(ROW(H$2:H2812) - ROW(H$2) + 1, P$2:P2812 = P2813)))))"),29.5)</f>
        <v>29.5</v>
      </c>
      <c r="N2813" s="335" t="str">
        <f>IF(MAXIFS('単価履歴'!$O:$O,'単価履歴'!$E:$E,E2813,'単価履歴'!$F:$F,F2813)=O2813,"●","")</f>
        <v/>
      </c>
      <c r="O2813" s="346">
        <v>45947.2683912037</v>
      </c>
      <c r="P2813" s="334" t="str">
        <f t="shared" si="4"/>
        <v>大鉄　堺:大鉄堺シュレＡ</v>
      </c>
    </row>
    <row r="2814" ht="15.75" customHeight="1">
      <c r="A2814" s="335" t="s">
        <v>3963</v>
      </c>
      <c r="B2814" s="336">
        <v>45947.0</v>
      </c>
      <c r="C2814" s="335" t="s">
        <v>9</v>
      </c>
      <c r="D2814" s="335" t="s">
        <v>51</v>
      </c>
      <c r="E2814" s="337" t="str">
        <f t="shared" si="1"/>
        <v>大鉄　堺:大鉄堺</v>
      </c>
      <c r="F2814" s="338" t="s">
        <v>149</v>
      </c>
      <c r="G2814" s="339" t="str">
        <f t="shared" si="2"/>
        <v>大鉄　堺:大鉄堺シュレＢ</v>
      </c>
      <c r="H2814" s="340">
        <f t="shared" si="3"/>
        <v>29.3</v>
      </c>
      <c r="I2814" s="341">
        <v>0.5</v>
      </c>
      <c r="J2814" s="332">
        <f>IFERROR(__xludf.DUMMYFUNCTION("IF(IF(COUNTIF(P$2:P2813, P2814)=0, """", INDEX(H$2:H2813,
MAX(FILTER(ROW(H$2:H2813) - ROW(H$2) + 1, P$2:P2813 = P2814))))=""単価"","""",
IF(COUNTIF(P$2:P2813, P2814)=0, """", INDEX(H$2:H2813,
MAX(FILTER(ROW(H$2:H2813) - ROW(H$2) + 1, P$2:P2813 = P2814)))))"),28.8)</f>
        <v>28.8</v>
      </c>
      <c r="N2814" s="335" t="str">
        <f>IF(MAXIFS('単価履歴'!$O:$O,'単価履歴'!$E:$E,E2814,'単価履歴'!$F:$F,F2814)=O2814,"●","")</f>
        <v/>
      </c>
      <c r="O2814" s="346">
        <v>45947.2683912037</v>
      </c>
      <c r="P2814" s="334" t="str">
        <f t="shared" si="4"/>
        <v>大鉄　堺:大鉄堺シュレＢ</v>
      </c>
    </row>
    <row r="2815" ht="15.75" customHeight="1">
      <c r="A2815" s="335" t="s">
        <v>3964</v>
      </c>
      <c r="B2815" s="336">
        <v>45947.0</v>
      </c>
      <c r="C2815" s="335" t="s">
        <v>9</v>
      </c>
      <c r="D2815" s="335" t="s">
        <v>51</v>
      </c>
      <c r="E2815" s="337" t="str">
        <f t="shared" si="1"/>
        <v>大鉄　堺:大鉄堺</v>
      </c>
      <c r="F2815" s="338" t="s">
        <v>151</v>
      </c>
      <c r="G2815" s="339" t="str">
        <f t="shared" si="2"/>
        <v>大鉄　堺:大鉄堺シュレＣ</v>
      </c>
      <c r="H2815" s="340">
        <f t="shared" si="3"/>
        <v>27.9</v>
      </c>
      <c r="I2815" s="341">
        <v>0.5</v>
      </c>
      <c r="J2815" s="332">
        <f>IFERROR(__xludf.DUMMYFUNCTION("IF(IF(COUNTIF(P$2:P2814, P2815)=0, """", INDEX(H$2:H2814,
MAX(FILTER(ROW(H$2:H2814) - ROW(H$2) + 1, P$2:P2814 = P2815))))=""単価"","""",
IF(COUNTIF(P$2:P2814, P2815)=0, """", INDEX(H$2:H2814,
MAX(FILTER(ROW(H$2:H2814) - ROW(H$2) + 1, P$2:P2814 = P2815)))))"),27.4)</f>
        <v>27.4</v>
      </c>
      <c r="N2815" s="335" t="str">
        <f>IF(MAXIFS('単価履歴'!$O:$O,'単価履歴'!$E:$E,E2815,'単価履歴'!$F:$F,F2815)=O2815,"●","")</f>
        <v/>
      </c>
      <c r="O2815" s="346">
        <v>45947.2683912037</v>
      </c>
      <c r="P2815" s="334" t="str">
        <f t="shared" si="4"/>
        <v>大鉄　堺:大鉄堺シュレＣ</v>
      </c>
    </row>
    <row r="2816" ht="15.75" customHeight="1">
      <c r="A2816" s="335" t="s">
        <v>3965</v>
      </c>
      <c r="B2816" s="336">
        <v>45947.0</v>
      </c>
      <c r="C2816" s="335" t="s">
        <v>9</v>
      </c>
      <c r="D2816" s="335" t="s">
        <v>51</v>
      </c>
      <c r="E2816" s="337" t="str">
        <f t="shared" si="1"/>
        <v>大鉄　堺:大鉄堺</v>
      </c>
      <c r="F2816" s="338" t="s">
        <v>154</v>
      </c>
      <c r="G2816" s="339" t="str">
        <f t="shared" si="2"/>
        <v>大鉄　堺:大鉄堺ＣＰ Ａ</v>
      </c>
      <c r="H2816" s="340">
        <f t="shared" si="3"/>
        <v>35.5</v>
      </c>
      <c r="I2816" s="341">
        <v>0.5</v>
      </c>
      <c r="J2816" s="332">
        <f>IFERROR(__xludf.DUMMYFUNCTION("IF(IF(COUNTIF(P$2:P2815, P2816)=0, """", INDEX(H$2:H2815,
MAX(FILTER(ROW(H$2:H2815) - ROW(H$2) + 1, P$2:P2815 = P2816))))=""単価"","""",
IF(COUNTIF(P$2:P2815, P2816)=0, """", INDEX(H$2:H2815,
MAX(FILTER(ROW(H$2:H2815) - ROW(H$2) + 1, P$2:P2815 = P2816)))))"),35.0)</f>
        <v>35</v>
      </c>
      <c r="N2816" s="335" t="str">
        <f>IF(MAXIFS('単価履歴'!$O:$O,'単価履歴'!$E:$E,E2816,'単価履歴'!$F:$F,F2816)=O2816,"●","")</f>
        <v/>
      </c>
      <c r="O2816" s="346">
        <v>45947.2683912037</v>
      </c>
      <c r="P2816" s="334" t="str">
        <f t="shared" si="4"/>
        <v>大鉄　堺:大鉄堺ＣＰ Ａ</v>
      </c>
    </row>
    <row r="2817" ht="15.75" customHeight="1">
      <c r="A2817" s="335" t="s">
        <v>3966</v>
      </c>
      <c r="B2817" s="336">
        <v>45947.0</v>
      </c>
      <c r="C2817" s="335" t="s">
        <v>9</v>
      </c>
      <c r="D2817" s="335" t="s">
        <v>51</v>
      </c>
      <c r="E2817" s="337" t="str">
        <f t="shared" si="1"/>
        <v>大鉄　堺:大鉄堺</v>
      </c>
      <c r="F2817" s="338" t="s">
        <v>156</v>
      </c>
      <c r="G2817" s="339" t="str">
        <f t="shared" si="2"/>
        <v>大鉄　堺:大鉄堺ＣＰ Ｂ一斗缶</v>
      </c>
      <c r="H2817" s="340">
        <f t="shared" si="3"/>
        <v>29</v>
      </c>
      <c r="I2817" s="341">
        <v>0.5</v>
      </c>
      <c r="J2817" s="332">
        <f>IFERROR(__xludf.DUMMYFUNCTION("IF(IF(COUNTIF(P$2:P2816, P2817)=0, """", INDEX(H$2:H2816,
MAX(FILTER(ROW(H$2:H2816) - ROW(H$2) + 1, P$2:P2816 = P2817))))=""単価"","""",
IF(COUNTIF(P$2:P2816, P2817)=0, """", INDEX(H$2:H2816,
MAX(FILTER(ROW(H$2:H2816) - ROW(H$2) + 1, P$2:P2816 = P2817)))))"),28.5)</f>
        <v>28.5</v>
      </c>
      <c r="N2817" s="335" t="str">
        <f>IF(MAXIFS('単価履歴'!$O:$O,'単価履歴'!$E:$E,E2817,'単価履歴'!$F:$F,F2817)=O2817,"●","")</f>
        <v/>
      </c>
      <c r="O2817" s="346">
        <v>45947.2683912037</v>
      </c>
      <c r="P2817" s="334" t="str">
        <f t="shared" si="4"/>
        <v>大鉄　堺:大鉄堺ＣＰ Ｂ一斗缶</v>
      </c>
    </row>
    <row r="2818" ht="15.75" customHeight="1">
      <c r="A2818" s="335" t="s">
        <v>3967</v>
      </c>
      <c r="B2818" s="336">
        <v>45947.0</v>
      </c>
      <c r="C2818" s="335" t="s">
        <v>9</v>
      </c>
      <c r="D2818" s="335" t="s">
        <v>47</v>
      </c>
      <c r="E2818" s="337" t="str">
        <f t="shared" si="1"/>
        <v>大鉄　堺:豊通</v>
      </c>
      <c r="F2818" s="338" t="s">
        <v>111</v>
      </c>
      <c r="G2818" s="339" t="str">
        <f t="shared" si="2"/>
        <v>大鉄　堺:豊通Ｈ１(特A)</v>
      </c>
      <c r="H2818" s="340">
        <f t="shared" si="3"/>
        <v>28.9</v>
      </c>
      <c r="I2818" s="341">
        <v>0.5</v>
      </c>
      <c r="J2818" s="332">
        <f>IFERROR(__xludf.DUMMYFUNCTION("IF(IF(COUNTIF(P$2:P2817, P2818)=0, """", INDEX(H$2:H2817,
MAX(FILTER(ROW(H$2:H2817) - ROW(H$2) + 1, P$2:P2817 = P2818))))=""単価"","""",
IF(COUNTIF(P$2:P2817, P2818)=0, """", INDEX(H$2:H2817,
MAX(FILTER(ROW(H$2:H2817) - ROW(H$2) + 1, P$2:P2817 = P2818)))))"),28.4)</f>
        <v>28.4</v>
      </c>
      <c r="N2818" s="335" t="str">
        <f>IF(MAXIFS('単価履歴'!$O:$O,'単価履歴'!$E:$E,E2818,'単価履歴'!$F:$F,F2818)=O2818,"●","")</f>
        <v/>
      </c>
      <c r="O2818" s="346">
        <v>45947.2686574074</v>
      </c>
      <c r="P2818" s="334" t="str">
        <f t="shared" si="4"/>
        <v>大鉄　堺:豊通Ｈ１(特A)</v>
      </c>
    </row>
    <row r="2819" ht="15.75" customHeight="1">
      <c r="A2819" s="335" t="s">
        <v>3968</v>
      </c>
      <c r="B2819" s="336">
        <v>45947.0</v>
      </c>
      <c r="C2819" s="335" t="s">
        <v>9</v>
      </c>
      <c r="D2819" s="335" t="s">
        <v>47</v>
      </c>
      <c r="E2819" s="337" t="str">
        <f t="shared" si="1"/>
        <v>大鉄　堺:豊通</v>
      </c>
      <c r="F2819" s="338" t="s">
        <v>1237</v>
      </c>
      <c r="G2819" s="339" t="str">
        <f t="shared" si="2"/>
        <v>大鉄　堺:豊通ＪＨ１(H2T山口)鍛造ﾊﾞﾘ</v>
      </c>
      <c r="H2819" s="340">
        <f t="shared" si="3"/>
        <v>27.9</v>
      </c>
      <c r="I2819" s="341">
        <v>0.5</v>
      </c>
      <c r="J2819" s="332">
        <f>IFERROR(__xludf.DUMMYFUNCTION("IF(IF(COUNTIF(P$2:P2818, P2819)=0, """", INDEX(H$2:H2818,
MAX(FILTER(ROW(H$2:H2818) - ROW(H$2) + 1, P$2:P2818 = P2819))))=""単価"","""",
IF(COUNTIF(P$2:P2818, P2819)=0, """", INDEX(H$2:H2818,
MAX(FILTER(ROW(H$2:H2818) - ROW(H$2) + 1, P$2:P2818 = P2819)))))"),27.4)</f>
        <v>27.4</v>
      </c>
      <c r="N2819" s="335" t="str">
        <f>IF(MAXIFS('単価履歴'!$O:$O,'単価履歴'!$E:$E,E2819,'単価履歴'!$F:$F,F2819)=O2819,"●","")</f>
        <v/>
      </c>
      <c r="O2819" s="346">
        <v>45947.2686574074</v>
      </c>
      <c r="P2819" s="334" t="str">
        <f t="shared" si="4"/>
        <v>大鉄　堺:豊通ＪＨ１(H2T山口)鍛造ﾊﾞﾘ</v>
      </c>
    </row>
    <row r="2820" ht="15.75" customHeight="1">
      <c r="A2820" s="335" t="s">
        <v>3969</v>
      </c>
      <c r="B2820" s="336">
        <v>45947.0</v>
      </c>
      <c r="C2820" s="335" t="s">
        <v>9</v>
      </c>
      <c r="D2820" s="335" t="s">
        <v>47</v>
      </c>
      <c r="E2820" s="337" t="str">
        <f t="shared" si="1"/>
        <v>大鉄　堺:豊通</v>
      </c>
      <c r="F2820" s="338" t="s">
        <v>116</v>
      </c>
      <c r="G2820" s="339" t="str">
        <f t="shared" si="2"/>
        <v>大鉄　堺:豊通Ｈ２(特級)</v>
      </c>
      <c r="H2820" s="340">
        <f t="shared" si="3"/>
        <v>24.7</v>
      </c>
      <c r="I2820" s="341">
        <v>0.5</v>
      </c>
      <c r="J2820" s="332">
        <f>IFERROR(__xludf.DUMMYFUNCTION("IF(IF(COUNTIF(P$2:P2819, P2820)=0, """", INDEX(H$2:H2819,
MAX(FILTER(ROW(H$2:H2819) - ROW(H$2) + 1, P$2:P2819 = P2820))))=""単価"","""",
IF(COUNTIF(P$2:P2819, P2820)=0, """", INDEX(H$2:H2819,
MAX(FILTER(ROW(H$2:H2819) - ROW(H$2) + 1, P$2:P2819 = P2820)))))"),24.2)</f>
        <v>24.2</v>
      </c>
      <c r="N2820" s="335" t="str">
        <f>IF(MAXIFS('単価履歴'!$O:$O,'単価履歴'!$E:$E,E2820,'単価履歴'!$F:$F,F2820)=O2820,"●","")</f>
        <v/>
      </c>
      <c r="O2820" s="346">
        <v>45947.2686574074</v>
      </c>
      <c r="P2820" s="334" t="str">
        <f t="shared" si="4"/>
        <v>大鉄　堺:豊通Ｈ２(特級)</v>
      </c>
    </row>
    <row r="2821" ht="15.75" customHeight="1">
      <c r="A2821" s="335" t="s">
        <v>3970</v>
      </c>
      <c r="B2821" s="336">
        <v>45947.0</v>
      </c>
      <c r="C2821" s="335" t="s">
        <v>9</v>
      </c>
      <c r="D2821" s="335" t="s">
        <v>47</v>
      </c>
      <c r="E2821" s="337" t="str">
        <f t="shared" si="1"/>
        <v>大鉄　堺:豊通</v>
      </c>
      <c r="F2821" s="338" t="s">
        <v>119</v>
      </c>
      <c r="G2821" s="339" t="str">
        <f t="shared" si="2"/>
        <v>大鉄　堺:豊通Ｈ３(1級)</v>
      </c>
      <c r="H2821" s="340">
        <f t="shared" si="3"/>
        <v>23.7</v>
      </c>
      <c r="I2821" s="341">
        <v>0.5</v>
      </c>
      <c r="J2821" s="332">
        <f>IFERROR(__xludf.DUMMYFUNCTION("IF(IF(COUNTIF(P$2:P2820, P2821)=0, """", INDEX(H$2:H2820,
MAX(FILTER(ROW(H$2:H2820) - ROW(H$2) + 1, P$2:P2820 = P2821))))=""単価"","""",
IF(COUNTIF(P$2:P2820, P2821)=0, """", INDEX(H$2:H2820,
MAX(FILTER(ROW(H$2:H2820) - ROW(H$2) + 1, P$2:P2820 = P2821)))))"),23.2)</f>
        <v>23.2</v>
      </c>
      <c r="N2821" s="335" t="str">
        <f>IF(MAXIFS('単価履歴'!$O:$O,'単価履歴'!$E:$E,E2821,'単価履歴'!$F:$F,F2821)=O2821,"●","")</f>
        <v/>
      </c>
      <c r="O2821" s="346">
        <v>45947.2686574074</v>
      </c>
      <c r="P2821" s="334" t="str">
        <f t="shared" si="4"/>
        <v>大鉄　堺:豊通Ｈ３(1級)</v>
      </c>
    </row>
    <row r="2822" ht="15.75" customHeight="1">
      <c r="A2822" s="335" t="s">
        <v>3971</v>
      </c>
      <c r="B2822" s="336">
        <v>45947.0</v>
      </c>
      <c r="C2822" s="335" t="s">
        <v>9</v>
      </c>
      <c r="D2822" s="335" t="s">
        <v>47</v>
      </c>
      <c r="E2822" s="337" t="str">
        <f t="shared" si="1"/>
        <v>大鉄　堺:豊通</v>
      </c>
      <c r="F2822" s="338" t="s">
        <v>122</v>
      </c>
      <c r="G2822" s="339" t="str">
        <f t="shared" si="2"/>
        <v>大鉄　堺:豊通Ｌ１(2級)</v>
      </c>
      <c r="H2822" s="340">
        <f t="shared" si="3"/>
        <v>22.2</v>
      </c>
      <c r="I2822" s="341">
        <v>0.5</v>
      </c>
      <c r="J2822" s="332">
        <f>IFERROR(__xludf.DUMMYFUNCTION("IF(IF(COUNTIF(P$2:P2821, P2822)=0, """", INDEX(H$2:H2821,
MAX(FILTER(ROW(H$2:H2821) - ROW(H$2) + 1, P$2:P2821 = P2822))))=""単価"","""",
IF(COUNTIF(P$2:P2821, P2822)=0, """", INDEX(H$2:H2821,
MAX(FILTER(ROW(H$2:H2821) - ROW(H$2) + 1, P$2:P2821 = P2822)))))"),21.7)</f>
        <v>21.7</v>
      </c>
      <c r="N2822" s="335" t="str">
        <f>IF(MAXIFS('単価履歴'!$O:$O,'単価履歴'!$E:$E,E2822,'単価履歴'!$F:$F,F2822)=O2822,"●","")</f>
        <v/>
      </c>
      <c r="O2822" s="346">
        <v>45947.2686574074</v>
      </c>
      <c r="P2822" s="334" t="str">
        <f t="shared" si="4"/>
        <v>大鉄　堺:豊通Ｌ１(2級)</v>
      </c>
    </row>
    <row r="2823" ht="15.75" customHeight="1">
      <c r="A2823" s="335" t="s">
        <v>3972</v>
      </c>
      <c r="B2823" s="336">
        <v>45947.0</v>
      </c>
      <c r="C2823" s="335" t="s">
        <v>9</v>
      </c>
      <c r="D2823" s="335" t="s">
        <v>47</v>
      </c>
      <c r="E2823" s="337" t="str">
        <f t="shared" si="1"/>
        <v>大鉄　堺:豊通</v>
      </c>
      <c r="F2823" s="338" t="s">
        <v>130</v>
      </c>
      <c r="G2823" s="339" t="str">
        <f t="shared" si="2"/>
        <v>大鉄　堺:豊通新断Ａ</v>
      </c>
      <c r="H2823" s="340">
        <f t="shared" si="3"/>
        <v>25.7</v>
      </c>
      <c r="I2823" s="341">
        <v>0.5</v>
      </c>
      <c r="J2823" s="332">
        <f>IFERROR(__xludf.DUMMYFUNCTION("IF(IF(COUNTIF(P$2:P2822, P2823)=0, """", INDEX(H$2:H2822,
MAX(FILTER(ROW(H$2:H2822) - ROW(H$2) + 1, P$2:P2822 = P2823))))=""単価"","""",
IF(COUNTIF(P$2:P2822, P2823)=0, """", INDEX(H$2:H2822,
MAX(FILTER(ROW(H$2:H2822) - ROW(H$2) + 1, P$2:P2822 = P2823)))))"),25.2)</f>
        <v>25.2</v>
      </c>
      <c r="N2823" s="335" t="str">
        <f>IF(MAXIFS('単価履歴'!$O:$O,'単価履歴'!$E:$E,E2823,'単価履歴'!$F:$F,F2823)=O2823,"●","")</f>
        <v/>
      </c>
      <c r="O2823" s="346">
        <v>45947.2686574074</v>
      </c>
      <c r="P2823" s="334" t="str">
        <f t="shared" si="4"/>
        <v>大鉄　堺:豊通新断Ａ</v>
      </c>
    </row>
    <row r="2824" ht="15.75" customHeight="1">
      <c r="A2824" s="335" t="s">
        <v>3973</v>
      </c>
      <c r="B2824" s="336">
        <v>45947.0</v>
      </c>
      <c r="C2824" s="335" t="s">
        <v>9</v>
      </c>
      <c r="D2824" s="335" t="s">
        <v>47</v>
      </c>
      <c r="E2824" s="337" t="str">
        <f t="shared" si="1"/>
        <v>大鉄　堺:豊通</v>
      </c>
      <c r="F2824" s="338" t="s">
        <v>131</v>
      </c>
      <c r="G2824" s="339" t="str">
        <f t="shared" si="2"/>
        <v>大鉄　堺:豊通新断Ｂ</v>
      </c>
      <c r="H2824" s="340">
        <f t="shared" si="3"/>
        <v>25.2</v>
      </c>
      <c r="I2824" s="341">
        <v>0.5</v>
      </c>
      <c r="J2824" s="332">
        <f>IFERROR(__xludf.DUMMYFUNCTION("IF(IF(COUNTIF(P$2:P2823, P2824)=0, """", INDEX(H$2:H2823,
MAX(FILTER(ROW(H$2:H2823) - ROW(H$2) + 1, P$2:P2823 = P2824))))=""単価"","""",
IF(COUNTIF(P$2:P2823, P2824)=0, """", INDEX(H$2:H2823,
MAX(FILTER(ROW(H$2:H2823) - ROW(H$2) + 1, P$2:P2823 = P2824)))))"),24.7)</f>
        <v>24.7</v>
      </c>
      <c r="N2824" s="335" t="str">
        <f>IF(MAXIFS('単価履歴'!$O:$O,'単価履歴'!$E:$E,E2824,'単価履歴'!$F:$F,F2824)=O2824,"●","")</f>
        <v/>
      </c>
      <c r="O2824" s="346">
        <v>45947.2686574074</v>
      </c>
      <c r="P2824" s="334" t="str">
        <f t="shared" si="4"/>
        <v>大鉄　堺:豊通新断Ｂ</v>
      </c>
    </row>
    <row r="2825" ht="15.75" customHeight="1">
      <c r="A2825" s="335" t="s">
        <v>3974</v>
      </c>
      <c r="B2825" s="336">
        <v>45947.0</v>
      </c>
      <c r="C2825" s="335" t="s">
        <v>9</v>
      </c>
      <c r="D2825" s="335" t="s">
        <v>47</v>
      </c>
      <c r="E2825" s="337" t="str">
        <f t="shared" si="1"/>
        <v>大鉄　堺:豊通</v>
      </c>
      <c r="F2825" s="338" t="s">
        <v>145</v>
      </c>
      <c r="G2825" s="339" t="str">
        <f t="shared" si="2"/>
        <v>大鉄　堺:豊通シュレＡ</v>
      </c>
      <c r="H2825" s="340">
        <f t="shared" si="3"/>
        <v>29.2</v>
      </c>
      <c r="I2825" s="341">
        <v>0.5</v>
      </c>
      <c r="J2825" s="332">
        <f>IFERROR(__xludf.DUMMYFUNCTION("IF(IF(COUNTIF(P$2:P2824, P2825)=0, """", INDEX(H$2:H2824,
MAX(FILTER(ROW(H$2:H2824) - ROW(H$2) + 1, P$2:P2824 = P2825))))=""単価"","""",
IF(COUNTIF(P$2:P2824, P2825)=0, """", INDEX(H$2:H2824,
MAX(FILTER(ROW(H$2:H2824) - ROW(H$2) + 1, P$2:P2824 = P2825)))))"),28.7)</f>
        <v>28.7</v>
      </c>
      <c r="N2825" s="335" t="str">
        <f>IF(MAXIFS('単価履歴'!$O:$O,'単価履歴'!$E:$E,E2825,'単価履歴'!$F:$F,F2825)=O2825,"●","")</f>
        <v/>
      </c>
      <c r="O2825" s="346">
        <v>45947.2686574074</v>
      </c>
      <c r="P2825" s="334" t="str">
        <f t="shared" si="4"/>
        <v>大鉄　堺:豊通シュレＡ</v>
      </c>
    </row>
    <row r="2826" ht="15.75" customHeight="1">
      <c r="A2826" s="335" t="s">
        <v>3975</v>
      </c>
      <c r="B2826" s="336">
        <v>45947.0</v>
      </c>
      <c r="C2826" s="335" t="s">
        <v>9</v>
      </c>
      <c r="D2826" s="335" t="s">
        <v>47</v>
      </c>
      <c r="E2826" s="337" t="str">
        <f t="shared" si="1"/>
        <v>大鉄　堺:豊通</v>
      </c>
      <c r="F2826" s="338" t="s">
        <v>149</v>
      </c>
      <c r="G2826" s="339" t="str">
        <f t="shared" si="2"/>
        <v>大鉄　堺:豊通シュレＢ</v>
      </c>
      <c r="H2826" s="340">
        <f t="shared" si="3"/>
        <v>28.5</v>
      </c>
      <c r="I2826" s="341">
        <v>0.5</v>
      </c>
      <c r="J2826" s="332">
        <f>IFERROR(__xludf.DUMMYFUNCTION("IF(IF(COUNTIF(P$2:P2825, P2826)=0, """", INDEX(H$2:H2825,
MAX(FILTER(ROW(H$2:H2825) - ROW(H$2) + 1, P$2:P2825 = P2826))))=""単価"","""",
IF(COUNTIF(P$2:P2825, P2826)=0, """", INDEX(H$2:H2825,
MAX(FILTER(ROW(H$2:H2825) - ROW(H$2) + 1, P$2:P2825 = P2826)))))"),28.0)</f>
        <v>28</v>
      </c>
      <c r="N2826" s="335" t="str">
        <f>IF(MAXIFS('単価履歴'!$O:$O,'単価履歴'!$E:$E,E2826,'単価履歴'!$F:$F,F2826)=O2826,"●","")</f>
        <v/>
      </c>
      <c r="O2826" s="346">
        <v>45947.2686574074</v>
      </c>
      <c r="P2826" s="334" t="str">
        <f t="shared" si="4"/>
        <v>大鉄　堺:豊通シュレＢ</v>
      </c>
    </row>
    <row r="2827" ht="15.75" customHeight="1">
      <c r="A2827" s="335" t="s">
        <v>3976</v>
      </c>
      <c r="B2827" s="336">
        <v>45947.0</v>
      </c>
      <c r="C2827" s="335" t="s">
        <v>9</v>
      </c>
      <c r="D2827" s="335" t="s">
        <v>47</v>
      </c>
      <c r="E2827" s="337" t="str">
        <f t="shared" si="1"/>
        <v>大鉄　堺:豊通</v>
      </c>
      <c r="F2827" s="338" t="s">
        <v>151</v>
      </c>
      <c r="G2827" s="339" t="str">
        <f t="shared" si="2"/>
        <v>大鉄　堺:豊通シュレＣ</v>
      </c>
      <c r="H2827" s="340">
        <f t="shared" si="3"/>
        <v>27.1</v>
      </c>
      <c r="I2827" s="341">
        <v>0.5</v>
      </c>
      <c r="J2827" s="332">
        <f>IFERROR(__xludf.DUMMYFUNCTION("IF(IF(COUNTIF(P$2:P2826, P2827)=0, """", INDEX(H$2:H2826,
MAX(FILTER(ROW(H$2:H2826) - ROW(H$2) + 1, P$2:P2826 = P2827))))=""単価"","""",
IF(COUNTIF(P$2:P2826, P2827)=0, """", INDEX(H$2:H2826,
MAX(FILTER(ROW(H$2:H2826) - ROW(H$2) + 1, P$2:P2826 = P2827)))))"),26.6)</f>
        <v>26.6</v>
      </c>
      <c r="N2827" s="335" t="str">
        <f>IF(MAXIFS('単価履歴'!$O:$O,'単価履歴'!$E:$E,E2827,'単価履歴'!$F:$F,F2827)=O2827,"●","")</f>
        <v/>
      </c>
      <c r="O2827" s="346">
        <v>45947.2686574074</v>
      </c>
      <c r="P2827" s="334" t="str">
        <f t="shared" si="4"/>
        <v>大鉄　堺:豊通シュレＣ</v>
      </c>
    </row>
    <row r="2828" ht="15.75" customHeight="1">
      <c r="A2828" s="335" t="s">
        <v>3977</v>
      </c>
      <c r="B2828" s="336">
        <v>45947.0</v>
      </c>
      <c r="C2828" s="335" t="s">
        <v>9</v>
      </c>
      <c r="D2828" s="335" t="s">
        <v>47</v>
      </c>
      <c r="E2828" s="337" t="str">
        <f t="shared" si="1"/>
        <v>大鉄　堺:豊通</v>
      </c>
      <c r="F2828" s="338" t="s">
        <v>154</v>
      </c>
      <c r="G2828" s="339" t="str">
        <f t="shared" si="2"/>
        <v>大鉄　堺:豊通ＣＰ Ａ</v>
      </c>
      <c r="H2828" s="340">
        <f t="shared" si="3"/>
        <v>39.7</v>
      </c>
      <c r="I2828" s="341">
        <v>0.5</v>
      </c>
      <c r="J2828" s="332">
        <f>IFERROR(__xludf.DUMMYFUNCTION("IF(IF(COUNTIF(P$2:P2827, P2828)=0, """", INDEX(H$2:H2827,
MAX(FILTER(ROW(H$2:H2827) - ROW(H$2) + 1, P$2:P2827 = P2828))))=""単価"","""",
IF(COUNTIF(P$2:P2827, P2828)=0, """", INDEX(H$2:H2827,
MAX(FILTER(ROW(H$2:H2827) - ROW(H$2) + 1, P$2:P2827 = P2828)))))"),39.2)</f>
        <v>39.2</v>
      </c>
      <c r="N2828" s="335" t="str">
        <f>IF(MAXIFS('単価履歴'!$O:$O,'単価履歴'!$E:$E,E2828,'単価履歴'!$F:$F,F2828)=O2828,"●","")</f>
        <v/>
      </c>
      <c r="O2828" s="346">
        <v>45947.2686574074</v>
      </c>
      <c r="P2828" s="334" t="str">
        <f t="shared" si="4"/>
        <v>大鉄　堺:豊通ＣＰ Ａ</v>
      </c>
    </row>
    <row r="2829" ht="15.75" customHeight="1">
      <c r="A2829" s="335" t="s">
        <v>3978</v>
      </c>
      <c r="B2829" s="336">
        <v>45947.0</v>
      </c>
      <c r="C2829" s="335" t="s">
        <v>9</v>
      </c>
      <c r="D2829" s="335" t="s">
        <v>47</v>
      </c>
      <c r="E2829" s="337" t="str">
        <f t="shared" si="1"/>
        <v>大鉄　堺:豊通</v>
      </c>
      <c r="F2829" s="338" t="s">
        <v>156</v>
      </c>
      <c r="G2829" s="339" t="str">
        <f t="shared" si="2"/>
        <v>大鉄　堺:豊通ＣＰ Ｂ一斗缶</v>
      </c>
      <c r="H2829" s="340">
        <f t="shared" si="3"/>
        <v>33.2</v>
      </c>
      <c r="I2829" s="341">
        <v>0.5</v>
      </c>
      <c r="J2829" s="332">
        <f>IFERROR(__xludf.DUMMYFUNCTION("IF(IF(COUNTIF(P$2:P2828, P2829)=0, """", INDEX(H$2:H2828,
MAX(FILTER(ROW(H$2:H2828) - ROW(H$2) + 1, P$2:P2828 = P2829))))=""単価"","""",
IF(COUNTIF(P$2:P2828, P2829)=0, """", INDEX(H$2:H2828,
MAX(FILTER(ROW(H$2:H2828) - ROW(H$2) + 1, P$2:P2828 = P2829)))))"),32.7)</f>
        <v>32.7</v>
      </c>
      <c r="N2829" s="335" t="str">
        <f>IF(MAXIFS('単価履歴'!$O:$O,'単価履歴'!$E:$E,E2829,'単価履歴'!$F:$F,F2829)=O2829,"●","")</f>
        <v/>
      </c>
      <c r="O2829" s="346">
        <v>45947.2686574074</v>
      </c>
      <c r="P2829" s="334" t="str">
        <f t="shared" si="4"/>
        <v>大鉄　堺:豊通ＣＰ Ｂ一斗缶</v>
      </c>
    </row>
    <row r="2830" ht="15.75" customHeight="1">
      <c r="A2830" s="335" t="s">
        <v>3979</v>
      </c>
      <c r="B2830" s="336">
        <v>45947.0</v>
      </c>
      <c r="C2830" s="335" t="s">
        <v>9</v>
      </c>
      <c r="D2830" s="335" t="s">
        <v>50</v>
      </c>
      <c r="E2830" s="337" t="str">
        <f t="shared" si="1"/>
        <v>大鉄　堺:産振</v>
      </c>
      <c r="F2830" s="338" t="s">
        <v>111</v>
      </c>
      <c r="G2830" s="339" t="str">
        <f t="shared" si="2"/>
        <v>大鉄　堺:産振Ｈ１(特A)</v>
      </c>
      <c r="H2830" s="340">
        <f t="shared" si="3"/>
        <v>44.2</v>
      </c>
      <c r="I2830" s="341">
        <v>0.5</v>
      </c>
      <c r="J2830" s="332">
        <f>IFERROR(__xludf.DUMMYFUNCTION("IF(IF(COUNTIF(P$2:P2829, P2830)=0, """", INDEX(H$2:H2829,
MAX(FILTER(ROW(H$2:H2829) - ROW(H$2) + 1, P$2:P2829 = P2830))))=""単価"","""",
IF(COUNTIF(P$2:P2829, P2830)=0, """", INDEX(H$2:H2829,
MAX(FILTER(ROW(H$2:H2829) - ROW(H$2) + 1, P$2:P2829 = P2830)))))"),43.7)</f>
        <v>43.7</v>
      </c>
      <c r="N2830" s="335" t="str">
        <f>IF(MAXIFS('単価履歴'!$O:$O,'単価履歴'!$E:$E,E2830,'単価履歴'!$F:$F,F2830)=O2830,"●","")</f>
        <v/>
      </c>
      <c r="O2830" s="346">
        <v>45947.26884259259</v>
      </c>
      <c r="P2830" s="334" t="str">
        <f t="shared" si="4"/>
        <v>大鉄　堺:産振Ｈ１(特A)</v>
      </c>
    </row>
    <row r="2831" ht="15.75" customHeight="1">
      <c r="A2831" s="335" t="s">
        <v>3980</v>
      </c>
      <c r="B2831" s="336">
        <v>45947.0</v>
      </c>
      <c r="C2831" s="335" t="s">
        <v>9</v>
      </c>
      <c r="D2831" s="335" t="s">
        <v>50</v>
      </c>
      <c r="E2831" s="337" t="str">
        <f t="shared" si="1"/>
        <v>大鉄　堺:産振</v>
      </c>
      <c r="F2831" s="338" t="s">
        <v>116</v>
      </c>
      <c r="G2831" s="339" t="str">
        <f t="shared" si="2"/>
        <v>大鉄　堺:産振Ｈ２(特級)</v>
      </c>
      <c r="H2831" s="340">
        <f t="shared" si="3"/>
        <v>41.7</v>
      </c>
      <c r="I2831" s="341">
        <v>0.5</v>
      </c>
      <c r="J2831" s="332">
        <f>IFERROR(__xludf.DUMMYFUNCTION("IF(IF(COUNTIF(P$2:P2830, P2831)=0, """", INDEX(H$2:H2830,
MAX(FILTER(ROW(H$2:H2830) - ROW(H$2) + 1, P$2:P2830 = P2831))))=""単価"","""",
IF(COUNTIF(P$2:P2830, P2831)=0, """", INDEX(H$2:H2830,
MAX(FILTER(ROW(H$2:H2830) - ROW(H$2) + 1, P$2:P2830 = P2831)))))"),41.2)</f>
        <v>41.2</v>
      </c>
      <c r="N2831" s="335" t="str">
        <f>IF(MAXIFS('単価履歴'!$O:$O,'単価履歴'!$E:$E,E2831,'単価履歴'!$F:$F,F2831)=O2831,"●","")</f>
        <v/>
      </c>
      <c r="O2831" s="346">
        <v>45947.26884259259</v>
      </c>
      <c r="P2831" s="334" t="str">
        <f t="shared" si="4"/>
        <v>大鉄　堺:産振Ｈ２(特級)</v>
      </c>
    </row>
    <row r="2832" ht="15.75" customHeight="1">
      <c r="A2832" s="335" t="s">
        <v>3981</v>
      </c>
      <c r="B2832" s="336">
        <v>45947.0</v>
      </c>
      <c r="C2832" s="335" t="s">
        <v>9</v>
      </c>
      <c r="D2832" s="335" t="s">
        <v>50</v>
      </c>
      <c r="E2832" s="337" t="str">
        <f t="shared" si="1"/>
        <v>大鉄　堺:産振</v>
      </c>
      <c r="F2832" s="338" t="s">
        <v>119</v>
      </c>
      <c r="G2832" s="339" t="str">
        <f t="shared" si="2"/>
        <v>大鉄　堺:産振Ｈ３(1級)</v>
      </c>
      <c r="H2832" s="340">
        <f t="shared" si="3"/>
        <v>23.7</v>
      </c>
      <c r="I2832" s="341">
        <v>0.5</v>
      </c>
      <c r="J2832" s="332">
        <f>IFERROR(__xludf.DUMMYFUNCTION("IF(IF(COUNTIF(P$2:P2831, P2832)=0, """", INDEX(H$2:H2831,
MAX(FILTER(ROW(H$2:H2831) - ROW(H$2) + 1, P$2:P2831 = P2832))))=""単価"","""",
IF(COUNTIF(P$2:P2831, P2832)=0, """", INDEX(H$2:H2831,
MAX(FILTER(ROW(H$2:H2831) - ROW(H$2) + 1, P$2:P2831 = P2832)))))"),23.200000000000003)</f>
        <v>23.2</v>
      </c>
      <c r="N2832" s="335" t="str">
        <f>IF(MAXIFS('単価履歴'!$O:$O,'単価履歴'!$E:$E,E2832,'単価履歴'!$F:$F,F2832)=O2832,"●","")</f>
        <v/>
      </c>
      <c r="O2832" s="346">
        <v>45947.26884259259</v>
      </c>
      <c r="P2832" s="334" t="str">
        <f t="shared" si="4"/>
        <v>大鉄　堺:産振Ｈ３(1級)</v>
      </c>
    </row>
    <row r="2833" ht="15.75" customHeight="1">
      <c r="A2833" s="335" t="s">
        <v>3982</v>
      </c>
      <c r="B2833" s="336">
        <v>45947.0</v>
      </c>
      <c r="C2833" s="335" t="s">
        <v>9</v>
      </c>
      <c r="D2833" s="335" t="s">
        <v>50</v>
      </c>
      <c r="E2833" s="337" t="str">
        <f t="shared" si="1"/>
        <v>大鉄　堺:産振</v>
      </c>
      <c r="F2833" s="338" t="s">
        <v>154</v>
      </c>
      <c r="G2833" s="339" t="str">
        <f t="shared" si="2"/>
        <v>大鉄　堺:産振ＣＰ Ａ</v>
      </c>
      <c r="H2833" s="340">
        <f t="shared" si="3"/>
        <v>45.2</v>
      </c>
      <c r="I2833" s="341">
        <v>0.5</v>
      </c>
      <c r="J2833" s="332">
        <f>IFERROR(__xludf.DUMMYFUNCTION("IF(IF(COUNTIF(P$2:P2832, P2833)=0, """", INDEX(H$2:H2832,
MAX(FILTER(ROW(H$2:H2832) - ROW(H$2) + 1, P$2:P2832 = P2833))))=""単価"","""",
IF(COUNTIF(P$2:P2832, P2833)=0, """", INDEX(H$2:H2832,
MAX(FILTER(ROW(H$2:H2832) - ROW(H$2) + 1, P$2:P2832 = P2833)))))"),44.7)</f>
        <v>44.7</v>
      </c>
      <c r="N2833" s="335" t="str">
        <f>IF(MAXIFS('単価履歴'!$O:$O,'単価履歴'!$E:$E,E2833,'単価履歴'!$F:$F,F2833)=O2833,"●","")</f>
        <v/>
      </c>
      <c r="O2833" s="346">
        <v>45947.26884259259</v>
      </c>
      <c r="P2833" s="334" t="str">
        <f t="shared" si="4"/>
        <v>大鉄　堺:産振ＣＰ Ａ</v>
      </c>
    </row>
    <row r="2834" ht="15.75" customHeight="1">
      <c r="A2834" s="335" t="s">
        <v>3983</v>
      </c>
      <c r="B2834" s="336">
        <v>45947.0</v>
      </c>
      <c r="C2834" s="335" t="s">
        <v>9</v>
      </c>
      <c r="D2834" s="335" t="s">
        <v>50</v>
      </c>
      <c r="E2834" s="337" t="str">
        <f t="shared" si="1"/>
        <v>大鉄　堺:産振</v>
      </c>
      <c r="F2834" s="338" t="s">
        <v>156</v>
      </c>
      <c r="G2834" s="339" t="str">
        <f t="shared" si="2"/>
        <v>大鉄　堺:産振ＣＰ Ｂ一斗缶</v>
      </c>
      <c r="H2834" s="340">
        <f t="shared" si="3"/>
        <v>35</v>
      </c>
      <c r="I2834" s="341">
        <v>0.5</v>
      </c>
      <c r="J2834" s="332">
        <f>IFERROR(__xludf.DUMMYFUNCTION("IF(IF(COUNTIF(P$2:P2833, P2834)=0, """", INDEX(H$2:H2833,
MAX(FILTER(ROW(H$2:H2833) - ROW(H$2) + 1, P$2:P2833 = P2834))))=""単価"","""",
IF(COUNTIF(P$2:P2833, P2834)=0, """", INDEX(H$2:H2833,
MAX(FILTER(ROW(H$2:H2833) - ROW(H$2) + 1, P$2:P2833 = P2834)))))"),34.5)</f>
        <v>34.5</v>
      </c>
      <c r="N2834" s="335" t="str">
        <f>IF(MAXIFS('単価履歴'!$O:$O,'単価履歴'!$E:$E,E2834,'単価履歴'!$F:$F,F2834)=O2834,"●","")</f>
        <v/>
      </c>
      <c r="O2834" s="346">
        <v>45947.26884259259</v>
      </c>
      <c r="P2834" s="334" t="str">
        <f t="shared" si="4"/>
        <v>大鉄　堺:産振ＣＰ Ｂ一斗缶</v>
      </c>
    </row>
    <row r="2835" ht="15.75" customHeight="1">
      <c r="A2835" s="335" t="s">
        <v>3984</v>
      </c>
      <c r="B2835" s="336">
        <v>45947.0</v>
      </c>
      <c r="C2835" s="335" t="s">
        <v>9</v>
      </c>
      <c r="D2835" s="335" t="s">
        <v>50</v>
      </c>
      <c r="E2835" s="337" t="str">
        <f t="shared" si="1"/>
        <v>大鉄　堺:産振</v>
      </c>
      <c r="F2835" s="338" t="s">
        <v>122</v>
      </c>
      <c r="G2835" s="339" t="str">
        <f t="shared" si="2"/>
        <v>大鉄　堺:産振Ｌ１(2級)</v>
      </c>
      <c r="H2835" s="340">
        <f t="shared" si="3"/>
        <v>22.7</v>
      </c>
      <c r="I2835" s="341">
        <v>0.5</v>
      </c>
      <c r="J2835" s="332">
        <f>IFERROR(__xludf.DUMMYFUNCTION("IF(IF(COUNTIF(P$2:P2834, P2835)=0, """", INDEX(H$2:H2834,
MAX(FILTER(ROW(H$2:H2834) - ROW(H$2) + 1, P$2:P2834 = P2835))))=""単価"","""",
IF(COUNTIF(P$2:P2834, P2835)=0, """", INDEX(H$2:H2834,
MAX(FILTER(ROW(H$2:H2834) - ROW(H$2) + 1, P$2:P2834 = P2835)))))"),22.200000000000003)</f>
        <v>22.2</v>
      </c>
      <c r="N2835" s="335" t="str">
        <f>IF(MAXIFS('単価履歴'!$O:$O,'単価履歴'!$E:$E,E2835,'単価履歴'!$F:$F,F2835)=O2835,"●","")</f>
        <v/>
      </c>
      <c r="O2835" s="346">
        <v>45947.26884259259</v>
      </c>
      <c r="P2835" s="334" t="str">
        <f t="shared" si="4"/>
        <v>大鉄　堺:産振Ｌ１(2級)</v>
      </c>
    </row>
    <row r="2836" ht="15.75" customHeight="1">
      <c r="A2836" s="335" t="s">
        <v>3985</v>
      </c>
      <c r="B2836" s="336">
        <v>45947.0</v>
      </c>
      <c r="C2836" s="335" t="s">
        <v>9</v>
      </c>
      <c r="D2836" s="335" t="s">
        <v>50</v>
      </c>
      <c r="E2836" s="337" t="str">
        <f t="shared" si="1"/>
        <v>大鉄　堺:産振</v>
      </c>
      <c r="F2836" s="338" t="s">
        <v>130</v>
      </c>
      <c r="G2836" s="339" t="str">
        <f t="shared" si="2"/>
        <v>大鉄　堺:産振新断Ａ</v>
      </c>
      <c r="H2836" s="340">
        <f t="shared" si="3"/>
        <v>41.2</v>
      </c>
      <c r="I2836" s="341">
        <v>0.5</v>
      </c>
      <c r="J2836" s="332">
        <f>IFERROR(__xludf.DUMMYFUNCTION("IF(IF(COUNTIF(P$2:P2835, P2836)=0, """", INDEX(H$2:H2835,
MAX(FILTER(ROW(H$2:H2835) - ROW(H$2) + 1, P$2:P2835 = P2836))))=""単価"","""",
IF(COUNTIF(P$2:P2835, P2836)=0, """", INDEX(H$2:H2835,
MAX(FILTER(ROW(H$2:H2835) - ROW(H$2) + 1, P$2:P2835 = P2836)))))"),40.7)</f>
        <v>40.7</v>
      </c>
      <c r="N2836" s="335" t="str">
        <f>IF(MAXIFS('単価履歴'!$O:$O,'単価履歴'!$E:$E,E2836,'単価履歴'!$F:$F,F2836)=O2836,"●","")</f>
        <v/>
      </c>
      <c r="O2836" s="346">
        <v>45947.26884259259</v>
      </c>
      <c r="P2836" s="334" t="str">
        <f t="shared" si="4"/>
        <v>大鉄　堺:産振新断Ａ</v>
      </c>
    </row>
    <row r="2837" ht="15.75" customHeight="1">
      <c r="A2837" s="335" t="s">
        <v>3986</v>
      </c>
      <c r="B2837" s="336">
        <v>45947.0</v>
      </c>
      <c r="C2837" s="335" t="s">
        <v>9</v>
      </c>
      <c r="D2837" s="335" t="s">
        <v>50</v>
      </c>
      <c r="E2837" s="337" t="str">
        <f t="shared" si="1"/>
        <v>大鉄　堺:産振</v>
      </c>
      <c r="F2837" s="338" t="s">
        <v>131</v>
      </c>
      <c r="G2837" s="339" t="str">
        <f t="shared" si="2"/>
        <v>大鉄　堺:産振新断Ｂ</v>
      </c>
      <c r="H2837" s="340">
        <f t="shared" si="3"/>
        <v>40.7</v>
      </c>
      <c r="I2837" s="341">
        <v>0.5</v>
      </c>
      <c r="J2837" s="332">
        <f>IFERROR(__xludf.DUMMYFUNCTION("IF(IF(COUNTIF(P$2:P2836, P2837)=0, """", INDEX(H$2:H2836,
MAX(FILTER(ROW(H$2:H2836) - ROW(H$2) + 1, P$2:P2836 = P2837))))=""単価"","""",
IF(COUNTIF(P$2:P2836, P2837)=0, """", INDEX(H$2:H2836,
MAX(FILTER(ROW(H$2:H2836) - ROW(H$2) + 1, P$2:P2836 = P2837)))))"),40.2)</f>
        <v>40.2</v>
      </c>
      <c r="N2837" s="335" t="str">
        <f>IF(MAXIFS('単価履歴'!$O:$O,'単価履歴'!$E:$E,E2837,'単価履歴'!$F:$F,F2837)=O2837,"●","")</f>
        <v/>
      </c>
      <c r="O2837" s="346">
        <v>45947.26884259259</v>
      </c>
      <c r="P2837" s="334" t="str">
        <f t="shared" si="4"/>
        <v>大鉄　堺:産振新断Ｂ</v>
      </c>
    </row>
    <row r="2838" ht="15.75" customHeight="1">
      <c r="A2838" s="335" t="s">
        <v>3987</v>
      </c>
      <c r="B2838" s="336">
        <v>45947.0</v>
      </c>
      <c r="C2838" s="335" t="s">
        <v>9</v>
      </c>
      <c r="D2838" s="335" t="s">
        <v>49</v>
      </c>
      <c r="E2838" s="337" t="str">
        <f t="shared" si="1"/>
        <v>大鉄　堺:伊藤忠</v>
      </c>
      <c r="F2838" s="338" t="s">
        <v>111</v>
      </c>
      <c r="G2838" s="339" t="str">
        <f t="shared" si="2"/>
        <v>大鉄　堺:伊藤忠Ｈ１(特A)</v>
      </c>
      <c r="H2838" s="340">
        <f t="shared" si="3"/>
        <v>27.8</v>
      </c>
      <c r="I2838" s="341">
        <v>0.5</v>
      </c>
      <c r="J2838" s="332">
        <f>IFERROR(__xludf.DUMMYFUNCTION("IF(IF(COUNTIF(P$2:P2837, P2838)=0, """", INDEX(H$2:H2837,
MAX(FILTER(ROW(H$2:H2837) - ROW(H$2) + 1, P$2:P2837 = P2838))))=""単価"","""",
IF(COUNTIF(P$2:P2837, P2838)=0, """", INDEX(H$2:H2837,
MAX(FILTER(ROW(H$2:H2837) - ROW(H$2) + 1, P$2:P2837 = P2838)))))"),27.3)</f>
        <v>27.3</v>
      </c>
      <c r="N2838" s="335" t="str">
        <f>IF(MAXIFS('単価履歴'!$O:$O,'単価履歴'!$E:$E,E2838,'単価履歴'!$F:$F,F2838)=O2838,"●","")</f>
        <v/>
      </c>
      <c r="O2838" s="346">
        <v>45947.26907407407</v>
      </c>
      <c r="P2838" s="334" t="str">
        <f t="shared" si="4"/>
        <v>大鉄　堺:伊藤忠Ｈ１(特A)</v>
      </c>
    </row>
    <row r="2839" ht="15.75" customHeight="1">
      <c r="A2839" s="335" t="s">
        <v>3988</v>
      </c>
      <c r="B2839" s="336">
        <v>45947.0</v>
      </c>
      <c r="C2839" s="335" t="s">
        <v>9</v>
      </c>
      <c r="D2839" s="335" t="s">
        <v>49</v>
      </c>
      <c r="E2839" s="337" t="str">
        <f t="shared" si="1"/>
        <v>大鉄　堺:伊藤忠</v>
      </c>
      <c r="F2839" s="338" t="s">
        <v>1237</v>
      </c>
      <c r="G2839" s="339" t="str">
        <f t="shared" si="2"/>
        <v>大鉄　堺:伊藤忠ＪＨ１(H2T山口)鍛造ﾊﾞﾘ</v>
      </c>
      <c r="H2839" s="340">
        <f t="shared" si="3"/>
        <v>35.2</v>
      </c>
      <c r="I2839" s="341">
        <v>0.5</v>
      </c>
      <c r="J2839" s="332">
        <f>IFERROR(__xludf.DUMMYFUNCTION("IF(IF(COUNTIF(P$2:P2838, P2839)=0, """", INDEX(H$2:H2838,
MAX(FILTER(ROW(H$2:H2838) - ROW(H$2) + 1, P$2:P2838 = P2839))))=""単価"","""",
IF(COUNTIF(P$2:P2838, P2839)=0, """", INDEX(H$2:H2838,
MAX(FILTER(ROW(H$2:H2838) - ROW(H$2) + 1, P$2:P2838 = P2839)))))"),34.7)</f>
        <v>34.7</v>
      </c>
      <c r="N2839" s="335" t="str">
        <f>IF(MAXIFS('単価履歴'!$O:$O,'単価履歴'!$E:$E,E2839,'単価履歴'!$F:$F,F2839)=O2839,"●","")</f>
        <v/>
      </c>
      <c r="O2839" s="346">
        <v>45947.26907407407</v>
      </c>
      <c r="P2839" s="334" t="str">
        <f t="shared" si="4"/>
        <v>大鉄　堺:伊藤忠ＪＨ１(H2T山口)鍛造ﾊﾞﾘ</v>
      </c>
    </row>
    <row r="2840" ht="15.75" customHeight="1">
      <c r="A2840" s="335" t="s">
        <v>3989</v>
      </c>
      <c r="B2840" s="336">
        <v>45947.0</v>
      </c>
      <c r="C2840" s="335" t="s">
        <v>9</v>
      </c>
      <c r="D2840" s="335" t="s">
        <v>49</v>
      </c>
      <c r="E2840" s="337" t="str">
        <f t="shared" si="1"/>
        <v>大鉄　堺:伊藤忠</v>
      </c>
      <c r="F2840" s="338" t="s">
        <v>116</v>
      </c>
      <c r="G2840" s="339" t="str">
        <f t="shared" si="2"/>
        <v>大鉄　堺:伊藤忠Ｈ２(特級)</v>
      </c>
      <c r="H2840" s="340">
        <f t="shared" si="3"/>
        <v>33</v>
      </c>
      <c r="I2840" s="341">
        <v>0.5</v>
      </c>
      <c r="J2840" s="332">
        <f>IFERROR(__xludf.DUMMYFUNCTION("IF(IF(COUNTIF(P$2:P2839, P2840)=0, """", INDEX(H$2:H2839,
MAX(FILTER(ROW(H$2:H2839) - ROW(H$2) + 1, P$2:P2839 = P2840))))=""単価"","""",
IF(COUNTIF(P$2:P2839, P2840)=0, """", INDEX(H$2:H2839,
MAX(FILTER(ROW(H$2:H2839) - ROW(H$2) + 1, P$2:P2839 = P2840)))))"),32.5)</f>
        <v>32.5</v>
      </c>
      <c r="N2840" s="335" t="str">
        <f>IF(MAXIFS('単価履歴'!$O:$O,'単価履歴'!$E:$E,E2840,'単価履歴'!$F:$F,F2840)=O2840,"●","")</f>
        <v/>
      </c>
      <c r="O2840" s="346">
        <v>45947.26907407407</v>
      </c>
      <c r="P2840" s="334" t="str">
        <f t="shared" si="4"/>
        <v>大鉄　堺:伊藤忠Ｈ２(特級)</v>
      </c>
    </row>
    <row r="2841" ht="15.75" customHeight="1">
      <c r="A2841" s="335" t="s">
        <v>3990</v>
      </c>
      <c r="B2841" s="336">
        <v>45947.0</v>
      </c>
      <c r="C2841" s="335" t="s">
        <v>9</v>
      </c>
      <c r="D2841" s="335" t="s">
        <v>49</v>
      </c>
      <c r="E2841" s="337" t="str">
        <f t="shared" si="1"/>
        <v>大鉄　堺:伊藤忠</v>
      </c>
      <c r="F2841" s="338" t="s">
        <v>119</v>
      </c>
      <c r="G2841" s="339" t="str">
        <f t="shared" si="2"/>
        <v>大鉄　堺:伊藤忠Ｈ３(1級)</v>
      </c>
      <c r="H2841" s="340">
        <f t="shared" si="3"/>
        <v>32</v>
      </c>
      <c r="I2841" s="341">
        <v>0.5</v>
      </c>
      <c r="J2841" s="332">
        <f>IFERROR(__xludf.DUMMYFUNCTION("IF(IF(COUNTIF(P$2:P2840, P2841)=0, """", INDEX(H$2:H2840,
MAX(FILTER(ROW(H$2:H2840) - ROW(H$2) + 1, P$2:P2840 = P2841))))=""単価"","""",
IF(COUNTIF(P$2:P2840, P2841)=0, """", INDEX(H$2:H2840,
MAX(FILTER(ROW(H$2:H2840) - ROW(H$2) + 1, P$2:P2840 = P2841)))))"),31.5)</f>
        <v>31.5</v>
      </c>
      <c r="N2841" s="335" t="str">
        <f>IF(MAXIFS('単価履歴'!$O:$O,'単価履歴'!$E:$E,E2841,'単価履歴'!$F:$F,F2841)=O2841,"●","")</f>
        <v/>
      </c>
      <c r="O2841" s="346">
        <v>45947.26907407407</v>
      </c>
      <c r="P2841" s="334" t="str">
        <f t="shared" si="4"/>
        <v>大鉄　堺:伊藤忠Ｈ３(1級)</v>
      </c>
    </row>
    <row r="2842" ht="15.75" customHeight="1">
      <c r="A2842" s="335" t="s">
        <v>3991</v>
      </c>
      <c r="B2842" s="336">
        <v>45947.0</v>
      </c>
      <c r="C2842" s="335" t="s">
        <v>9</v>
      </c>
      <c r="D2842" s="335" t="s">
        <v>49</v>
      </c>
      <c r="E2842" s="337" t="str">
        <f t="shared" si="1"/>
        <v>大鉄　堺:伊藤忠</v>
      </c>
      <c r="F2842" s="338" t="s">
        <v>122</v>
      </c>
      <c r="G2842" s="339" t="str">
        <f t="shared" si="2"/>
        <v>大鉄　堺:伊藤忠Ｌ１(2級)</v>
      </c>
      <c r="H2842" s="340">
        <f t="shared" si="3"/>
        <v>31</v>
      </c>
      <c r="I2842" s="341">
        <v>0.5</v>
      </c>
      <c r="J2842" s="332">
        <f>IFERROR(__xludf.DUMMYFUNCTION("IF(IF(COUNTIF(P$2:P2841, P2842)=0, """", INDEX(H$2:H2841,
MAX(FILTER(ROW(H$2:H2841) - ROW(H$2) + 1, P$2:P2841 = P2842))))=""単価"","""",
IF(COUNTIF(P$2:P2841, P2842)=0, """", INDEX(H$2:H2841,
MAX(FILTER(ROW(H$2:H2841) - ROW(H$2) + 1, P$2:P2841 = P2842)))))"),30.5)</f>
        <v>30.5</v>
      </c>
      <c r="N2842" s="335" t="str">
        <f>IF(MAXIFS('単価履歴'!$O:$O,'単価履歴'!$E:$E,E2842,'単価履歴'!$F:$F,F2842)=O2842,"●","")</f>
        <v/>
      </c>
      <c r="O2842" s="346">
        <v>45947.26907407407</v>
      </c>
      <c r="P2842" s="334" t="str">
        <f t="shared" si="4"/>
        <v>大鉄　堺:伊藤忠Ｌ１(2級)</v>
      </c>
    </row>
    <row r="2843" ht="15.75" customHeight="1">
      <c r="A2843" s="335" t="s">
        <v>3992</v>
      </c>
      <c r="B2843" s="336">
        <v>45947.0</v>
      </c>
      <c r="C2843" s="335" t="s">
        <v>9</v>
      </c>
      <c r="D2843" s="335" t="s">
        <v>49</v>
      </c>
      <c r="E2843" s="337" t="str">
        <f t="shared" si="1"/>
        <v>大鉄　堺:伊藤忠</v>
      </c>
      <c r="F2843" s="338" t="s">
        <v>130</v>
      </c>
      <c r="G2843" s="339" t="str">
        <f t="shared" si="2"/>
        <v>大鉄　堺:伊藤忠新断Ａ</v>
      </c>
      <c r="H2843" s="340">
        <f t="shared" si="3"/>
        <v>27.3</v>
      </c>
      <c r="I2843" s="341">
        <v>0.5</v>
      </c>
      <c r="J2843" s="332">
        <f>IFERROR(__xludf.DUMMYFUNCTION("IF(IF(COUNTIF(P$2:P2842, P2843)=0, """", INDEX(H$2:H2842,
MAX(FILTER(ROW(H$2:H2842) - ROW(H$2) + 1, P$2:P2842 = P2843))))=""単価"","""",
IF(COUNTIF(P$2:P2842, P2843)=0, """", INDEX(H$2:H2842,
MAX(FILTER(ROW(H$2:H2842) - ROW(H$2) + 1, P$2:P2842 = P2843)))))"),26.8)</f>
        <v>26.8</v>
      </c>
      <c r="N2843" s="335" t="str">
        <f>IF(MAXIFS('単価履歴'!$O:$O,'単価履歴'!$E:$E,E2843,'単価履歴'!$F:$F,F2843)=O2843,"●","")</f>
        <v/>
      </c>
      <c r="O2843" s="346">
        <v>45947.26907407407</v>
      </c>
      <c r="P2843" s="334" t="str">
        <f t="shared" si="4"/>
        <v>大鉄　堺:伊藤忠新断Ａ</v>
      </c>
    </row>
    <row r="2844" ht="15.75" customHeight="1">
      <c r="A2844" s="335" t="s">
        <v>3993</v>
      </c>
      <c r="B2844" s="336">
        <v>45947.0</v>
      </c>
      <c r="C2844" s="335" t="s">
        <v>9</v>
      </c>
      <c r="D2844" s="335" t="s">
        <v>49</v>
      </c>
      <c r="E2844" s="337" t="str">
        <f t="shared" si="1"/>
        <v>大鉄　堺:伊藤忠</v>
      </c>
      <c r="F2844" s="338" t="s">
        <v>131</v>
      </c>
      <c r="G2844" s="339" t="str">
        <f t="shared" si="2"/>
        <v>大鉄　堺:伊藤忠新断Ｂ</v>
      </c>
      <c r="H2844" s="340">
        <f t="shared" si="3"/>
        <v>26.8</v>
      </c>
      <c r="I2844" s="341">
        <v>0.5</v>
      </c>
      <c r="J2844" s="332">
        <f>IFERROR(__xludf.DUMMYFUNCTION("IF(IF(COUNTIF(P$2:P2843, P2844)=0, """", INDEX(H$2:H2843,
MAX(FILTER(ROW(H$2:H2843) - ROW(H$2) + 1, P$2:P2843 = P2844))))=""単価"","""",
IF(COUNTIF(P$2:P2843, P2844)=0, """", INDEX(H$2:H2843,
MAX(FILTER(ROW(H$2:H2843) - ROW(H$2) + 1, P$2:P2843 = P2844)))))"),26.3)</f>
        <v>26.3</v>
      </c>
      <c r="N2844" s="335" t="str">
        <f>IF(MAXIFS('単価履歴'!$O:$O,'単価履歴'!$E:$E,E2844,'単価履歴'!$F:$F,F2844)=O2844,"●","")</f>
        <v/>
      </c>
      <c r="O2844" s="346">
        <v>45947.26907407407</v>
      </c>
      <c r="P2844" s="334" t="str">
        <f t="shared" si="4"/>
        <v>大鉄　堺:伊藤忠新断Ｂ</v>
      </c>
    </row>
    <row r="2845" ht="15.75" customHeight="1">
      <c r="A2845" s="335" t="s">
        <v>3994</v>
      </c>
      <c r="B2845" s="336">
        <v>45947.0</v>
      </c>
      <c r="C2845" s="335" t="s">
        <v>36</v>
      </c>
      <c r="D2845" s="335" t="s">
        <v>1303</v>
      </c>
      <c r="E2845" s="337" t="str">
        <f t="shared" si="1"/>
        <v>共英枚方:ナベ/置場単価</v>
      </c>
      <c r="F2845" s="338" t="s">
        <v>111</v>
      </c>
      <c r="G2845" s="339" t="str">
        <f t="shared" si="2"/>
        <v>共英枚方:ナベ/置場単価Ｈ１(特A)</v>
      </c>
      <c r="H2845" s="340">
        <f t="shared" si="3"/>
        <v>41</v>
      </c>
      <c r="I2845" s="341">
        <v>0.5</v>
      </c>
      <c r="J2845" s="332">
        <f>IFERROR(__xludf.DUMMYFUNCTION("IF(IF(COUNTIF(P$2:P2844, P2845)=0, """", INDEX(H$2:H2844,
MAX(FILTER(ROW(H$2:H2844) - ROW(H$2) + 1, P$2:P2844 = P2845))))=""単価"","""",
IF(COUNTIF(P$2:P2844, P2845)=0, """", INDEX(H$2:H2844,
MAX(FILTER(ROW(H$2:H2844) - ROW(H$2) + 1, P$2:P2844 = P2845)))))"),40.5)</f>
        <v>40.5</v>
      </c>
      <c r="N2845" s="335" t="str">
        <f>IF(MAXIFS('単価履歴'!$O:$O,'単価履歴'!$E:$E,E2845,'単価履歴'!$F:$F,F2845)=O2845,"●","")</f>
        <v/>
      </c>
      <c r="O2845" s="346">
        <v>45947.26935185185</v>
      </c>
      <c r="P2845" s="334" t="str">
        <f t="shared" si="4"/>
        <v>共英枚方:ナベ/置場単価Ｈ１(特A)</v>
      </c>
    </row>
    <row r="2846" ht="15.75" customHeight="1">
      <c r="A2846" s="335" t="s">
        <v>3995</v>
      </c>
      <c r="B2846" s="336">
        <v>45947.0</v>
      </c>
      <c r="C2846" s="335" t="s">
        <v>36</v>
      </c>
      <c r="D2846" s="335" t="s">
        <v>1303</v>
      </c>
      <c r="E2846" s="337" t="str">
        <f t="shared" si="1"/>
        <v>共英枚方:ナベ/置場単価</v>
      </c>
      <c r="F2846" s="338" t="s">
        <v>116</v>
      </c>
      <c r="G2846" s="339" t="str">
        <f t="shared" si="2"/>
        <v>共英枚方:ナベ/置場単価Ｈ２(特級)</v>
      </c>
      <c r="H2846" s="340">
        <f t="shared" si="3"/>
        <v>39</v>
      </c>
      <c r="I2846" s="341">
        <v>0.5</v>
      </c>
      <c r="J2846" s="332">
        <f>IFERROR(__xludf.DUMMYFUNCTION("IF(IF(COUNTIF(P$2:P2845, P2846)=0, """", INDEX(H$2:H2845,
MAX(FILTER(ROW(H$2:H2845) - ROW(H$2) + 1, P$2:P2845 = P2846))))=""単価"","""",
IF(COUNTIF(P$2:P2845, P2846)=0, """", INDEX(H$2:H2845,
MAX(FILTER(ROW(H$2:H2845) - ROW(H$2) + 1, P$2:P2845 = P2846)))))"),38.5)</f>
        <v>38.5</v>
      </c>
      <c r="N2846" s="335" t="str">
        <f>IF(MAXIFS('単価履歴'!$O:$O,'単価履歴'!$E:$E,E2846,'単価履歴'!$F:$F,F2846)=O2846,"●","")</f>
        <v/>
      </c>
      <c r="O2846" s="346">
        <v>45947.26935185185</v>
      </c>
      <c r="P2846" s="334" t="str">
        <f t="shared" si="4"/>
        <v>共英枚方:ナベ/置場単価Ｈ２(特級)</v>
      </c>
    </row>
    <row r="2847" ht="15.75" customHeight="1">
      <c r="A2847" s="335" t="s">
        <v>3996</v>
      </c>
      <c r="B2847" s="336">
        <v>45947.0</v>
      </c>
      <c r="C2847" s="335" t="s">
        <v>36</v>
      </c>
      <c r="D2847" s="335" t="s">
        <v>1303</v>
      </c>
      <c r="E2847" s="337" t="str">
        <f t="shared" si="1"/>
        <v>共英枚方:ナベ/置場単価</v>
      </c>
      <c r="F2847" s="338" t="s">
        <v>119</v>
      </c>
      <c r="G2847" s="339" t="str">
        <f t="shared" si="2"/>
        <v>共英枚方:ナベ/置場単価Ｈ３(1級)</v>
      </c>
      <c r="H2847" s="340">
        <f t="shared" si="3"/>
        <v>38.5</v>
      </c>
      <c r="I2847" s="341">
        <v>0.5</v>
      </c>
      <c r="J2847" s="332">
        <f>IFERROR(__xludf.DUMMYFUNCTION("IF(IF(COUNTIF(P$2:P2846, P2847)=0, """", INDEX(H$2:H2846,
MAX(FILTER(ROW(H$2:H2846) - ROW(H$2) + 1, P$2:P2846 = P2847))))=""単価"","""",
IF(COUNTIF(P$2:P2846, P2847)=0, """", INDEX(H$2:H2846,
MAX(FILTER(ROW(H$2:H2846) - ROW(H$2) + 1, P$2:P2846 = P2847)))))"),38.0)</f>
        <v>38</v>
      </c>
      <c r="N2847" s="335" t="str">
        <f>IF(MAXIFS('単価履歴'!$O:$O,'単価履歴'!$E:$E,E2847,'単価履歴'!$F:$F,F2847)=O2847,"●","")</f>
        <v/>
      </c>
      <c r="O2847" s="346">
        <v>45947.26935185185</v>
      </c>
      <c r="P2847" s="334" t="str">
        <f t="shared" si="4"/>
        <v>共英枚方:ナベ/置場単価Ｈ３(1級)</v>
      </c>
    </row>
    <row r="2848" ht="15.75" customHeight="1">
      <c r="A2848" s="335" t="s">
        <v>3997</v>
      </c>
      <c r="B2848" s="336">
        <v>45947.0</v>
      </c>
      <c r="C2848" s="335" t="s">
        <v>36</v>
      </c>
      <c r="D2848" s="335" t="s">
        <v>1303</v>
      </c>
      <c r="E2848" s="337" t="str">
        <f t="shared" si="1"/>
        <v>共英枚方:ナベ/置場単価</v>
      </c>
      <c r="F2848" s="338" t="s">
        <v>122</v>
      </c>
      <c r="G2848" s="339" t="str">
        <f t="shared" si="2"/>
        <v>共英枚方:ナベ/置場単価Ｌ１(2級)</v>
      </c>
      <c r="H2848" s="340">
        <f t="shared" si="3"/>
        <v>38</v>
      </c>
      <c r="I2848" s="341">
        <v>0.5</v>
      </c>
      <c r="J2848" s="332">
        <f>IFERROR(__xludf.DUMMYFUNCTION("IF(IF(COUNTIF(P$2:P2847, P2848)=0, """", INDEX(H$2:H2847,
MAX(FILTER(ROW(H$2:H2847) - ROW(H$2) + 1, P$2:P2847 = P2848))))=""単価"","""",
IF(COUNTIF(P$2:P2847, P2848)=0, """", INDEX(H$2:H2847,
MAX(FILTER(ROW(H$2:H2847) - ROW(H$2) + 1, P$2:P2847 = P2848)))))"),37.5)</f>
        <v>37.5</v>
      </c>
      <c r="N2848" s="335" t="str">
        <f>IF(MAXIFS('単価履歴'!$O:$O,'単価履歴'!$E:$E,E2848,'単価履歴'!$F:$F,F2848)=O2848,"●","")</f>
        <v/>
      </c>
      <c r="O2848" s="346">
        <v>45947.26935185185</v>
      </c>
      <c r="P2848" s="334" t="str">
        <f t="shared" si="4"/>
        <v>共英枚方:ナベ/置場単価Ｌ１(2級)</v>
      </c>
    </row>
    <row r="2849" ht="15.75" customHeight="1">
      <c r="A2849" s="335" t="s">
        <v>3998</v>
      </c>
      <c r="B2849" s="336">
        <v>45947.0</v>
      </c>
      <c r="C2849" s="335" t="s">
        <v>36</v>
      </c>
      <c r="D2849" s="335" t="s">
        <v>1303</v>
      </c>
      <c r="E2849" s="337" t="str">
        <f t="shared" si="1"/>
        <v>共英枚方:ナベ/置場単価</v>
      </c>
      <c r="F2849" s="338" t="s">
        <v>154</v>
      </c>
      <c r="G2849" s="339" t="str">
        <f t="shared" si="2"/>
        <v>共英枚方:ナベ/置場単価ＣＰ Ａ</v>
      </c>
      <c r="H2849" s="340">
        <f t="shared" si="3"/>
        <v>44.5</v>
      </c>
      <c r="I2849" s="341">
        <v>0.5</v>
      </c>
      <c r="J2849" s="332">
        <f>IFERROR(__xludf.DUMMYFUNCTION("IF(IF(COUNTIF(P$2:P2848, P2849)=0, """", INDEX(H$2:H2848,
MAX(FILTER(ROW(H$2:H2848) - ROW(H$2) + 1, P$2:P2848 = P2849))))=""単価"","""",
IF(COUNTIF(P$2:P2848, P2849)=0, """", INDEX(H$2:H2848,
MAX(FILTER(ROW(H$2:H2848) - ROW(H$2) + 1, P$2:P2848 = P2849)))))"),44.0)</f>
        <v>44</v>
      </c>
      <c r="N2849" s="335" t="str">
        <f>IF(MAXIFS('単価履歴'!$O:$O,'単価履歴'!$E:$E,E2849,'単価履歴'!$F:$F,F2849)=O2849,"●","")</f>
        <v/>
      </c>
      <c r="O2849" s="346">
        <v>45947.26935185185</v>
      </c>
      <c r="P2849" s="334" t="str">
        <f t="shared" si="4"/>
        <v>共英枚方:ナベ/置場単価ＣＰ Ａ</v>
      </c>
    </row>
    <row r="2850" ht="15.75" customHeight="1">
      <c r="A2850" s="335" t="s">
        <v>3999</v>
      </c>
      <c r="B2850" s="336">
        <v>45947.0</v>
      </c>
      <c r="C2850" s="335" t="s">
        <v>10</v>
      </c>
      <c r="D2850" s="335" t="s">
        <v>47</v>
      </c>
      <c r="E2850" s="337" t="str">
        <f t="shared" si="1"/>
        <v>岸和田:豊通</v>
      </c>
      <c r="F2850" s="338" t="s">
        <v>111</v>
      </c>
      <c r="G2850" s="339" t="str">
        <f t="shared" si="2"/>
        <v>岸和田:豊通Ｈ１(特A)</v>
      </c>
      <c r="H2850" s="340">
        <f t="shared" si="3"/>
        <v>42</v>
      </c>
      <c r="I2850" s="341">
        <v>0.5</v>
      </c>
      <c r="J2850" s="332">
        <f>IFERROR(__xludf.DUMMYFUNCTION("IF(IF(COUNTIF(P$2:P2849, P2850)=0, """", INDEX(H$2:H2849,
MAX(FILTER(ROW(H$2:H2849) - ROW(H$2) + 1, P$2:P2849 = P2850))))=""単価"","""",
IF(COUNTIF(P$2:P2849, P2850)=0, """", INDEX(H$2:H2849,
MAX(FILTER(ROW(H$2:H2849) - ROW(H$2) + 1, P$2:P2849 = P2850)))))"),41.5)</f>
        <v>41.5</v>
      </c>
      <c r="N2850" s="335" t="str">
        <f>IF(MAXIFS('単価履歴'!$O:$O,'単価履歴'!$E:$E,E2850,'単価履歴'!$F:$F,F2850)=O2850,"●","")</f>
        <v/>
      </c>
      <c r="O2850" s="346">
        <v>45947.269733796296</v>
      </c>
      <c r="P2850" s="334" t="str">
        <f t="shared" si="4"/>
        <v>岸和田:豊通Ｈ１(特A)</v>
      </c>
    </row>
    <row r="2851" ht="15.75" customHeight="1">
      <c r="A2851" s="335" t="s">
        <v>4000</v>
      </c>
      <c r="B2851" s="336">
        <v>45947.0</v>
      </c>
      <c r="C2851" s="335" t="s">
        <v>10</v>
      </c>
      <c r="D2851" s="335" t="s">
        <v>47</v>
      </c>
      <c r="E2851" s="337" t="str">
        <f t="shared" si="1"/>
        <v>岸和田:豊通</v>
      </c>
      <c r="F2851" s="338" t="s">
        <v>116</v>
      </c>
      <c r="G2851" s="339" t="str">
        <f t="shared" si="2"/>
        <v>岸和田:豊通Ｈ２(特級)</v>
      </c>
      <c r="H2851" s="340">
        <f t="shared" si="3"/>
        <v>40</v>
      </c>
      <c r="I2851" s="341">
        <v>0.5</v>
      </c>
      <c r="J2851" s="332">
        <f>IFERROR(__xludf.DUMMYFUNCTION("IF(IF(COUNTIF(P$2:P2850, P2851)=0, """", INDEX(H$2:H2850,
MAX(FILTER(ROW(H$2:H2850) - ROW(H$2) + 1, P$2:P2850 = P2851))))=""単価"","""",
IF(COUNTIF(P$2:P2850, P2851)=0, """", INDEX(H$2:H2850,
MAX(FILTER(ROW(H$2:H2850) - ROW(H$2) + 1, P$2:P2850 = P2851)))))"),39.5)</f>
        <v>39.5</v>
      </c>
      <c r="N2851" s="335" t="str">
        <f>IF(MAXIFS('単価履歴'!$O:$O,'単価履歴'!$E:$E,E2851,'単価履歴'!$F:$F,F2851)=O2851,"●","")</f>
        <v/>
      </c>
      <c r="O2851" s="346">
        <v>45947.269733796296</v>
      </c>
      <c r="P2851" s="334" t="str">
        <f t="shared" si="4"/>
        <v>岸和田:豊通Ｈ２(特級)</v>
      </c>
    </row>
    <row r="2852" ht="15.75" customHeight="1">
      <c r="A2852" s="335" t="s">
        <v>4001</v>
      </c>
      <c r="B2852" s="336">
        <v>45947.0</v>
      </c>
      <c r="C2852" s="335" t="s">
        <v>10</v>
      </c>
      <c r="D2852" s="335" t="s">
        <v>47</v>
      </c>
      <c r="E2852" s="337" t="str">
        <f t="shared" si="1"/>
        <v>岸和田:豊通</v>
      </c>
      <c r="F2852" s="338" t="s">
        <v>119</v>
      </c>
      <c r="G2852" s="339" t="str">
        <f t="shared" si="2"/>
        <v>岸和田:豊通Ｈ３(1級)</v>
      </c>
      <c r="H2852" s="340">
        <f t="shared" si="3"/>
        <v>39.5</v>
      </c>
      <c r="I2852" s="341">
        <v>0.5</v>
      </c>
      <c r="J2852" s="332">
        <f>IFERROR(__xludf.DUMMYFUNCTION("IF(IF(COUNTIF(P$2:P2851, P2852)=0, """", INDEX(H$2:H2851,
MAX(FILTER(ROW(H$2:H2851) - ROW(H$2) + 1, P$2:P2851 = P2852))))=""単価"","""",
IF(COUNTIF(P$2:P2851, P2852)=0, """", INDEX(H$2:H2851,
MAX(FILTER(ROW(H$2:H2851) - ROW(H$2) + 1, P$2:P2851 = P2852)))))"),39.0)</f>
        <v>39</v>
      </c>
      <c r="N2852" s="335" t="str">
        <f>IF(MAXIFS('単価履歴'!$O:$O,'単価履歴'!$E:$E,E2852,'単価履歴'!$F:$F,F2852)=O2852,"●","")</f>
        <v/>
      </c>
      <c r="O2852" s="346">
        <v>45947.269733796296</v>
      </c>
      <c r="P2852" s="334" t="str">
        <f t="shared" si="4"/>
        <v>岸和田:豊通Ｈ３(1級)</v>
      </c>
    </row>
    <row r="2853" ht="15.75" customHeight="1">
      <c r="A2853" s="335" t="s">
        <v>4002</v>
      </c>
      <c r="B2853" s="336">
        <v>45947.0</v>
      </c>
      <c r="C2853" s="335" t="s">
        <v>10</v>
      </c>
      <c r="D2853" s="335" t="s">
        <v>47</v>
      </c>
      <c r="E2853" s="337" t="str">
        <f t="shared" si="1"/>
        <v>岸和田:豊通</v>
      </c>
      <c r="F2853" s="338" t="s">
        <v>122</v>
      </c>
      <c r="G2853" s="339" t="str">
        <f t="shared" si="2"/>
        <v>岸和田:豊通Ｌ１(2級)</v>
      </c>
      <c r="H2853" s="340">
        <f t="shared" si="3"/>
        <v>39</v>
      </c>
      <c r="I2853" s="341">
        <v>0.5</v>
      </c>
      <c r="J2853" s="332">
        <f>IFERROR(__xludf.DUMMYFUNCTION("IF(IF(COUNTIF(P$2:P2852, P2853)=0, """", INDEX(H$2:H2852,
MAX(FILTER(ROW(H$2:H2852) - ROW(H$2) + 1, P$2:P2852 = P2853))))=""単価"","""",
IF(COUNTIF(P$2:P2852, P2853)=0, """", INDEX(H$2:H2852,
MAX(FILTER(ROW(H$2:H2852) - ROW(H$2) + 1, P$2:P2852 = P2853)))))"),38.5)</f>
        <v>38.5</v>
      </c>
      <c r="N2853" s="335" t="str">
        <f>IF(MAXIFS('単価履歴'!$O:$O,'単価履歴'!$E:$E,E2853,'単価履歴'!$F:$F,F2853)=O2853,"●","")</f>
        <v/>
      </c>
      <c r="O2853" s="346">
        <v>45947.269733796296</v>
      </c>
      <c r="P2853" s="334" t="str">
        <f t="shared" si="4"/>
        <v>岸和田:豊通Ｌ１(2級)</v>
      </c>
    </row>
    <row r="2854" ht="15.75" customHeight="1">
      <c r="A2854" s="335" t="s">
        <v>4003</v>
      </c>
      <c r="B2854" s="336">
        <v>45947.0</v>
      </c>
      <c r="C2854" s="335" t="s">
        <v>10</v>
      </c>
      <c r="D2854" s="335" t="s">
        <v>47</v>
      </c>
      <c r="E2854" s="337" t="str">
        <f t="shared" si="1"/>
        <v>岸和田:豊通</v>
      </c>
      <c r="F2854" s="338" t="s">
        <v>154</v>
      </c>
      <c r="G2854" s="339" t="str">
        <f t="shared" si="2"/>
        <v>岸和田:豊通ＣＰ Ａ</v>
      </c>
      <c r="H2854" s="340">
        <f t="shared" si="3"/>
        <v>42.2</v>
      </c>
      <c r="I2854" s="341">
        <v>0.5</v>
      </c>
      <c r="J2854" s="332">
        <f>IFERROR(__xludf.DUMMYFUNCTION("IF(IF(COUNTIF(P$2:P2853, P2854)=0, """", INDEX(H$2:H2853,
MAX(FILTER(ROW(H$2:H2853) - ROW(H$2) + 1, P$2:P2853 = P2854))))=""単価"","""",
IF(COUNTIF(P$2:P2853, P2854)=0, """", INDEX(H$2:H2853,
MAX(FILTER(ROW(H$2:H2853) - ROW(H$2) + 1, P$2:P2853 = P2854)))))"),41.7)</f>
        <v>41.7</v>
      </c>
      <c r="N2854" s="335" t="str">
        <f>IF(MAXIFS('単価履歴'!$O:$O,'単価履歴'!$E:$E,E2854,'単価履歴'!$F:$F,F2854)=O2854,"●","")</f>
        <v/>
      </c>
      <c r="O2854" s="346">
        <v>45947.269733796296</v>
      </c>
      <c r="P2854" s="334" t="str">
        <f t="shared" si="4"/>
        <v>岸和田:豊通ＣＰ Ａ</v>
      </c>
    </row>
    <row r="2855" ht="15.75" customHeight="1">
      <c r="A2855" s="335" t="s">
        <v>4004</v>
      </c>
      <c r="B2855" s="336">
        <v>45947.0</v>
      </c>
      <c r="C2855" s="335" t="s">
        <v>10</v>
      </c>
      <c r="D2855" s="335" t="s">
        <v>46</v>
      </c>
      <c r="E2855" s="337" t="str">
        <f t="shared" si="1"/>
        <v>岸和田:阪和</v>
      </c>
      <c r="F2855" s="338" t="s">
        <v>149</v>
      </c>
      <c r="G2855" s="339" t="str">
        <f t="shared" si="2"/>
        <v>岸和田:阪和シュレＢ</v>
      </c>
      <c r="H2855" s="340">
        <f t="shared" si="3"/>
        <v>42.8</v>
      </c>
      <c r="I2855" s="341">
        <v>0.5</v>
      </c>
      <c r="J2855" s="332">
        <f>IFERROR(__xludf.DUMMYFUNCTION("IF(IF(COUNTIF(P$2:P2854, P2855)=0, """", INDEX(H$2:H2854,
MAX(FILTER(ROW(H$2:H2854) - ROW(H$2) + 1, P$2:P2854 = P2855))))=""単価"","""",
IF(COUNTIF(P$2:P2854, P2855)=0, """", INDEX(H$2:H2854,
MAX(FILTER(ROW(H$2:H2854) - ROW(H$2) + 1, P$2:P2854 = P2855)))))"),42.3)</f>
        <v>42.3</v>
      </c>
      <c r="N2855" s="335" t="str">
        <f>IF(MAXIFS('単価履歴'!$O:$O,'単価履歴'!$E:$E,E2855,'単価履歴'!$F:$F,F2855)=O2855,"●","")</f>
        <v/>
      </c>
      <c r="O2855" s="346">
        <v>45947.26997685185</v>
      </c>
      <c r="P2855" s="334" t="str">
        <f t="shared" si="4"/>
        <v>岸和田:阪和シュレＢ</v>
      </c>
    </row>
    <row r="2856" ht="15.75" customHeight="1">
      <c r="A2856" s="335" t="s">
        <v>4005</v>
      </c>
      <c r="B2856" s="336">
        <v>45947.0</v>
      </c>
      <c r="C2856" s="335" t="s">
        <v>7</v>
      </c>
      <c r="D2856" s="335" t="s">
        <v>49</v>
      </c>
      <c r="E2856" s="337" t="str">
        <f t="shared" si="1"/>
        <v>合同大阪:伊藤忠</v>
      </c>
      <c r="F2856" s="338" t="s">
        <v>1199</v>
      </c>
      <c r="G2856" s="339" t="str">
        <f t="shared" si="2"/>
        <v>合同大阪:伊藤忠ＨＳ１(単体H1/電特A/HS))</v>
      </c>
      <c r="H2856" s="340">
        <f t="shared" si="3"/>
        <v>43.8</v>
      </c>
      <c r="I2856" s="341">
        <v>0.5</v>
      </c>
      <c r="J2856" s="332">
        <f>IFERROR(__xludf.DUMMYFUNCTION("IF(IF(COUNTIF(P$2:P2855, P2856)=0, """", INDEX(H$2:H2855,
MAX(FILTER(ROW(H$2:H2855) - ROW(H$2) + 1, P$2:P2855 = P2856))))=""単価"","""",
IF(COUNTIF(P$2:P2855, P2856)=0, """", INDEX(H$2:H2855,
MAX(FILTER(ROW(H$2:H2855) - ROW(H$2) + 1, P$2:P2855 = P2856)))))"),43.3)</f>
        <v>43.3</v>
      </c>
      <c r="N2856" s="335" t="str">
        <f>IF(MAXIFS('単価履歴'!$O:$O,'単価履歴'!$E:$E,E2856,'単価履歴'!$F:$F,F2856)=O2856,"●","")</f>
        <v/>
      </c>
      <c r="O2856" s="346">
        <v>45947.27074074074</v>
      </c>
      <c r="P2856" s="334" t="str">
        <f t="shared" si="4"/>
        <v>合同大阪:伊藤忠ＨＳ１(単体H1/電特A/HS))</v>
      </c>
    </row>
    <row r="2857" ht="15.75" customHeight="1">
      <c r="A2857" s="335" t="s">
        <v>4006</v>
      </c>
      <c r="B2857" s="336">
        <v>45947.0</v>
      </c>
      <c r="C2857" s="335" t="s">
        <v>7</v>
      </c>
      <c r="D2857" s="335" t="s">
        <v>49</v>
      </c>
      <c r="E2857" s="337" t="str">
        <f t="shared" si="1"/>
        <v>合同大阪:伊藤忠</v>
      </c>
      <c r="F2857" s="338" t="s">
        <v>101</v>
      </c>
      <c r="G2857" s="339" t="str">
        <f t="shared" si="2"/>
        <v>合同大阪:伊藤忠ＨＳ２</v>
      </c>
      <c r="H2857" s="340">
        <f t="shared" si="3"/>
        <v>43.3</v>
      </c>
      <c r="I2857" s="341">
        <v>0.5</v>
      </c>
      <c r="J2857" s="332">
        <f>IFERROR(__xludf.DUMMYFUNCTION("IF(IF(COUNTIF(P$2:P2856, P2857)=0, """", INDEX(H$2:H2856,
MAX(FILTER(ROW(H$2:H2856) - ROW(H$2) + 1, P$2:P2856 = P2857))))=""単価"","""",
IF(COUNTIF(P$2:P2856, P2857)=0, """", INDEX(H$2:H2856,
MAX(FILTER(ROW(H$2:H2856) - ROW(H$2) + 1, P$2:P2856 = P2857)))))"),42.8)</f>
        <v>42.8</v>
      </c>
      <c r="N2857" s="335" t="str">
        <f>IF(MAXIFS('単価履歴'!$O:$O,'単価履歴'!$E:$E,E2857,'単価履歴'!$F:$F,F2857)=O2857,"●","")</f>
        <v/>
      </c>
      <c r="O2857" s="346">
        <v>45947.27074074074</v>
      </c>
      <c r="P2857" s="334" t="str">
        <f t="shared" si="4"/>
        <v>合同大阪:伊藤忠ＨＳ２</v>
      </c>
    </row>
    <row r="2858" ht="15.75" customHeight="1">
      <c r="A2858" s="335" t="s">
        <v>4007</v>
      </c>
      <c r="B2858" s="336">
        <v>45947.0</v>
      </c>
      <c r="C2858" s="335" t="s">
        <v>7</v>
      </c>
      <c r="D2858" s="335" t="s">
        <v>49</v>
      </c>
      <c r="E2858" s="337" t="str">
        <f t="shared" si="1"/>
        <v>合同大阪:伊藤忠</v>
      </c>
      <c r="F2858" s="338" t="s">
        <v>111</v>
      </c>
      <c r="G2858" s="339" t="str">
        <f t="shared" si="2"/>
        <v>合同大阪:伊藤忠Ｈ１(特A)</v>
      </c>
      <c r="H2858" s="340">
        <f t="shared" si="3"/>
        <v>42.8</v>
      </c>
      <c r="I2858" s="341">
        <v>0.5</v>
      </c>
      <c r="J2858" s="332">
        <f>IFERROR(__xludf.DUMMYFUNCTION("IF(IF(COUNTIF(P$2:P2857, P2858)=0, """", INDEX(H$2:H2857,
MAX(FILTER(ROW(H$2:H2857) - ROW(H$2) + 1, P$2:P2857 = P2858))))=""単価"","""",
IF(COUNTIF(P$2:P2857, P2858)=0, """", INDEX(H$2:H2857,
MAX(FILTER(ROW(H$2:H2857) - ROW(H$2) + 1, P$2:P2857 = P2858)))))"),42.3)</f>
        <v>42.3</v>
      </c>
      <c r="N2858" s="335" t="str">
        <f>IF(MAXIFS('単価履歴'!$O:$O,'単価履歴'!$E:$E,E2858,'単価履歴'!$F:$F,F2858)=O2858,"●","")</f>
        <v/>
      </c>
      <c r="O2858" s="346">
        <v>45947.27074074074</v>
      </c>
      <c r="P2858" s="334" t="str">
        <f t="shared" si="4"/>
        <v>合同大阪:伊藤忠Ｈ１(特A)</v>
      </c>
    </row>
    <row r="2859" ht="15.75" customHeight="1">
      <c r="A2859" s="335" t="s">
        <v>4008</v>
      </c>
      <c r="B2859" s="336">
        <v>45947.0</v>
      </c>
      <c r="C2859" s="335" t="s">
        <v>7</v>
      </c>
      <c r="D2859" s="335" t="s">
        <v>49</v>
      </c>
      <c r="E2859" s="337" t="str">
        <f t="shared" si="1"/>
        <v>合同大阪:伊藤忠</v>
      </c>
      <c r="F2859" s="338" t="s">
        <v>116</v>
      </c>
      <c r="G2859" s="339" t="str">
        <f t="shared" si="2"/>
        <v>合同大阪:伊藤忠Ｈ２(特級)</v>
      </c>
      <c r="H2859" s="340">
        <f t="shared" si="3"/>
        <v>41.3</v>
      </c>
      <c r="I2859" s="341">
        <v>0.5</v>
      </c>
      <c r="J2859" s="332">
        <f>IFERROR(__xludf.DUMMYFUNCTION("IF(IF(COUNTIF(P$2:P2858, P2859)=0, """", INDEX(H$2:H2858,
MAX(FILTER(ROW(H$2:H2858) - ROW(H$2) + 1, P$2:P2858 = P2859))))=""単価"","""",
IF(COUNTIF(P$2:P2858, P2859)=0, """", INDEX(H$2:H2858,
MAX(FILTER(ROW(H$2:H2858) - ROW(H$2) + 1, P$2:P2858 = P2859)))))"),40.8)</f>
        <v>40.8</v>
      </c>
      <c r="N2859" s="335" t="str">
        <f>IF(MAXIFS('単価履歴'!$O:$O,'単価履歴'!$E:$E,E2859,'単価履歴'!$F:$F,F2859)=O2859,"●","")</f>
        <v/>
      </c>
      <c r="O2859" s="346">
        <v>45947.27074074074</v>
      </c>
      <c r="P2859" s="334" t="str">
        <f t="shared" si="4"/>
        <v>合同大阪:伊藤忠Ｈ２(特級)</v>
      </c>
    </row>
    <row r="2860" ht="15.75" customHeight="1">
      <c r="A2860" s="335" t="s">
        <v>4009</v>
      </c>
      <c r="B2860" s="336">
        <v>45947.0</v>
      </c>
      <c r="C2860" s="335" t="s">
        <v>7</v>
      </c>
      <c r="D2860" s="335" t="s">
        <v>49</v>
      </c>
      <c r="E2860" s="337" t="str">
        <f t="shared" si="1"/>
        <v>合同大阪:伊藤忠</v>
      </c>
      <c r="F2860" s="338" t="s">
        <v>119</v>
      </c>
      <c r="G2860" s="339" t="str">
        <f t="shared" si="2"/>
        <v>合同大阪:伊藤忠Ｈ３(1級)</v>
      </c>
      <c r="H2860" s="340">
        <f t="shared" si="3"/>
        <v>40.8</v>
      </c>
      <c r="I2860" s="341">
        <v>0.5</v>
      </c>
      <c r="J2860" s="332">
        <f>IFERROR(__xludf.DUMMYFUNCTION("IF(IF(COUNTIF(P$2:P2859, P2860)=0, """", INDEX(H$2:H2859,
MAX(FILTER(ROW(H$2:H2859) - ROW(H$2) + 1, P$2:P2859 = P2860))))=""単価"","""",
IF(COUNTIF(P$2:P2859, P2860)=0, """", INDEX(H$2:H2859,
MAX(FILTER(ROW(H$2:H2859) - ROW(H$2) + 1, P$2:P2859 = P2860)))))"),40.3)</f>
        <v>40.3</v>
      </c>
      <c r="N2860" s="335" t="str">
        <f>IF(MAXIFS('単価履歴'!$O:$O,'単価履歴'!$E:$E,E2860,'単価履歴'!$F:$F,F2860)=O2860,"●","")</f>
        <v/>
      </c>
      <c r="O2860" s="346">
        <v>45947.27074074074</v>
      </c>
      <c r="P2860" s="334" t="str">
        <f t="shared" si="4"/>
        <v>合同大阪:伊藤忠Ｈ３(1級)</v>
      </c>
    </row>
    <row r="2861" ht="15.75" customHeight="1">
      <c r="A2861" s="335" t="s">
        <v>4010</v>
      </c>
      <c r="B2861" s="336">
        <v>45947.0</v>
      </c>
      <c r="C2861" s="335" t="s">
        <v>7</v>
      </c>
      <c r="D2861" s="335" t="s">
        <v>49</v>
      </c>
      <c r="E2861" s="337" t="str">
        <f t="shared" si="1"/>
        <v>合同大阪:伊藤忠</v>
      </c>
      <c r="F2861" s="338" t="s">
        <v>122</v>
      </c>
      <c r="G2861" s="339" t="str">
        <f t="shared" si="2"/>
        <v>合同大阪:伊藤忠Ｌ１(2級)</v>
      </c>
      <c r="H2861" s="340">
        <f t="shared" si="3"/>
        <v>39.8</v>
      </c>
      <c r="I2861" s="341">
        <v>0.5</v>
      </c>
      <c r="J2861" s="332">
        <f>IFERROR(__xludf.DUMMYFUNCTION("IF(IF(COUNTIF(P$2:P2860, P2861)=0, """", INDEX(H$2:H2860,
MAX(FILTER(ROW(H$2:H2860) - ROW(H$2) + 1, P$2:P2860 = P2861))))=""単価"","""",
IF(COUNTIF(P$2:P2860, P2861)=0, """", INDEX(H$2:H2860,
MAX(FILTER(ROW(H$2:H2860) - ROW(H$2) + 1, P$2:P2860 = P2861)))))"),39.3)</f>
        <v>39.3</v>
      </c>
      <c r="N2861" s="335" t="str">
        <f>IF(MAXIFS('単価履歴'!$O:$O,'単価履歴'!$E:$E,E2861,'単価履歴'!$F:$F,F2861)=O2861,"●","")</f>
        <v/>
      </c>
      <c r="O2861" s="346">
        <v>45947.27074074074</v>
      </c>
      <c r="P2861" s="334" t="str">
        <f t="shared" si="4"/>
        <v>合同大阪:伊藤忠Ｌ１(2級)</v>
      </c>
    </row>
    <row r="2862" ht="15.75" customHeight="1">
      <c r="A2862" s="335" t="s">
        <v>4011</v>
      </c>
      <c r="B2862" s="336">
        <v>45947.0</v>
      </c>
      <c r="C2862" s="335" t="s">
        <v>7</v>
      </c>
      <c r="D2862" s="335" t="s">
        <v>49</v>
      </c>
      <c r="E2862" s="337" t="str">
        <f t="shared" si="1"/>
        <v>合同大阪:伊藤忠</v>
      </c>
      <c r="F2862" s="338" t="s">
        <v>130</v>
      </c>
      <c r="G2862" s="339" t="str">
        <f t="shared" si="2"/>
        <v>合同大阪:伊藤忠新断Ａ</v>
      </c>
      <c r="H2862" s="340">
        <f t="shared" si="3"/>
        <v>44.3</v>
      </c>
      <c r="I2862" s="341">
        <v>0.5</v>
      </c>
      <c r="J2862" s="332">
        <f>IFERROR(__xludf.DUMMYFUNCTION("IF(IF(COUNTIF(P$2:P2861, P2862)=0, """", INDEX(H$2:H2861,
MAX(FILTER(ROW(H$2:H2861) - ROW(H$2) + 1, P$2:P2861 = P2862))))=""単価"","""",
IF(COUNTIF(P$2:P2861, P2862)=0, """", INDEX(H$2:H2861,
MAX(FILTER(ROW(H$2:H2861) - ROW(H$2) + 1, P$2:P2861 = P2862)))))"),43.8)</f>
        <v>43.8</v>
      </c>
      <c r="N2862" s="335" t="str">
        <f>IF(MAXIFS('単価履歴'!$O:$O,'単価履歴'!$E:$E,E2862,'単価履歴'!$F:$F,F2862)=O2862,"●","")</f>
        <v/>
      </c>
      <c r="O2862" s="346">
        <v>45947.27074074074</v>
      </c>
      <c r="P2862" s="334" t="str">
        <f t="shared" si="4"/>
        <v>合同大阪:伊藤忠新断Ａ</v>
      </c>
    </row>
    <row r="2863" ht="15.75" customHeight="1">
      <c r="A2863" s="335" t="s">
        <v>4012</v>
      </c>
      <c r="B2863" s="336">
        <v>45947.0</v>
      </c>
      <c r="C2863" s="335" t="s">
        <v>7</v>
      </c>
      <c r="D2863" s="335" t="s">
        <v>49</v>
      </c>
      <c r="E2863" s="337" t="str">
        <f t="shared" si="1"/>
        <v>合同大阪:伊藤忠</v>
      </c>
      <c r="F2863" s="338" t="s">
        <v>131</v>
      </c>
      <c r="G2863" s="339" t="str">
        <f t="shared" si="2"/>
        <v>合同大阪:伊藤忠新断Ｂ</v>
      </c>
      <c r="H2863" s="340">
        <f t="shared" si="3"/>
        <v>43.8</v>
      </c>
      <c r="I2863" s="341">
        <v>0.5</v>
      </c>
      <c r="J2863" s="332">
        <f>IFERROR(__xludf.DUMMYFUNCTION("IF(IF(COUNTIF(P$2:P2862, P2863)=0, """", INDEX(H$2:H2862,
MAX(FILTER(ROW(H$2:H2862) - ROW(H$2) + 1, P$2:P2862 = P2863))))=""単価"","""",
IF(COUNTIF(P$2:P2862, P2863)=0, """", INDEX(H$2:H2862,
MAX(FILTER(ROW(H$2:H2862) - ROW(H$2) + 1, P$2:P2862 = P2863)))))"),43.3)</f>
        <v>43.3</v>
      </c>
      <c r="N2863" s="335" t="str">
        <f>IF(MAXIFS('単価履歴'!$O:$O,'単価履歴'!$E:$E,E2863,'単価履歴'!$F:$F,F2863)=O2863,"●","")</f>
        <v/>
      </c>
      <c r="O2863" s="346">
        <v>45947.27074074074</v>
      </c>
      <c r="P2863" s="334" t="str">
        <f t="shared" si="4"/>
        <v>合同大阪:伊藤忠新断Ｂ</v>
      </c>
    </row>
    <row r="2864" ht="15.75" customHeight="1">
      <c r="A2864" s="335" t="s">
        <v>4013</v>
      </c>
      <c r="B2864" s="336">
        <v>45947.0</v>
      </c>
      <c r="C2864" s="335" t="s">
        <v>7</v>
      </c>
      <c r="D2864" s="335" t="s">
        <v>49</v>
      </c>
      <c r="E2864" s="337" t="str">
        <f t="shared" si="1"/>
        <v>合同大阪:伊藤忠</v>
      </c>
      <c r="F2864" s="338" t="s">
        <v>575</v>
      </c>
      <c r="G2864" s="339" t="str">
        <f t="shared" si="2"/>
        <v>合同大阪:伊藤忠鋼ダライＡ</v>
      </c>
      <c r="H2864" s="340">
        <f t="shared" si="3"/>
        <v>32.8</v>
      </c>
      <c r="I2864" s="341">
        <v>0.5</v>
      </c>
      <c r="J2864" s="332">
        <f>IFERROR(__xludf.DUMMYFUNCTION("IF(IF(COUNTIF(P$2:P2863, P2864)=0, """", INDEX(H$2:H2863,
MAX(FILTER(ROW(H$2:H2863) - ROW(H$2) + 1, P$2:P2863 = P2864))))=""単価"","""",
IF(COUNTIF(P$2:P2863, P2864)=0, """", INDEX(H$2:H2863,
MAX(FILTER(ROW(H$2:H2863) - ROW(H$2) + 1, P$2:P2863 = P2864)))))"),32.3)</f>
        <v>32.3</v>
      </c>
      <c r="N2864" s="335" t="str">
        <f>IF(MAXIFS('単価履歴'!$O:$O,'単価履歴'!$E:$E,E2864,'単価履歴'!$F:$F,F2864)=O2864,"●","")</f>
        <v/>
      </c>
      <c r="O2864" s="346">
        <v>45947.27074074074</v>
      </c>
      <c r="P2864" s="334" t="str">
        <f t="shared" si="4"/>
        <v>合同大阪:伊藤忠鋼ダライＡ</v>
      </c>
    </row>
    <row r="2865" ht="15.75" customHeight="1">
      <c r="A2865" s="335" t="s">
        <v>4014</v>
      </c>
      <c r="B2865" s="336">
        <v>45947.0</v>
      </c>
      <c r="C2865" s="335" t="s">
        <v>7</v>
      </c>
      <c r="D2865" s="335" t="s">
        <v>49</v>
      </c>
      <c r="E2865" s="337" t="str">
        <f t="shared" si="1"/>
        <v>合同大阪:伊藤忠</v>
      </c>
      <c r="F2865" s="338" t="s">
        <v>576</v>
      </c>
      <c r="G2865" s="339" t="str">
        <f t="shared" si="2"/>
        <v>合同大阪:伊藤忠鋼ダライＢ</v>
      </c>
      <c r="H2865" s="340">
        <f t="shared" si="3"/>
        <v>32.3</v>
      </c>
      <c r="I2865" s="341">
        <v>0.5</v>
      </c>
      <c r="J2865" s="332">
        <f>IFERROR(__xludf.DUMMYFUNCTION("IF(IF(COUNTIF(P$2:P2864, P2865)=0, """", INDEX(H$2:H2864,
MAX(FILTER(ROW(H$2:H2864) - ROW(H$2) + 1, P$2:P2864 = P2865))))=""単価"","""",
IF(COUNTIF(P$2:P2864, P2865)=0, """", INDEX(H$2:H2864,
MAX(FILTER(ROW(H$2:H2864) - ROW(H$2) + 1, P$2:P2864 = P2865)))))"),31.799999999999997)</f>
        <v>31.8</v>
      </c>
      <c r="N2865" s="335" t="str">
        <f>IF(MAXIFS('単価履歴'!$O:$O,'単価履歴'!$E:$E,E2865,'単価履歴'!$F:$F,F2865)=O2865,"●","")</f>
        <v/>
      </c>
      <c r="O2865" s="346">
        <v>45947.27074074074</v>
      </c>
      <c r="P2865" s="334" t="str">
        <f t="shared" si="4"/>
        <v>合同大阪:伊藤忠鋼ダライＢ</v>
      </c>
    </row>
    <row r="2866" ht="15.75" customHeight="1">
      <c r="A2866" s="335" t="s">
        <v>4015</v>
      </c>
      <c r="B2866" s="336">
        <v>45947.0</v>
      </c>
      <c r="C2866" s="335" t="s">
        <v>31</v>
      </c>
      <c r="D2866" s="335" t="s">
        <v>64</v>
      </c>
      <c r="E2866" s="337" t="str">
        <f t="shared" si="1"/>
        <v>泉北中谷:ナベ双葉</v>
      </c>
      <c r="F2866" s="338" t="s">
        <v>116</v>
      </c>
      <c r="G2866" s="339" t="str">
        <f t="shared" si="2"/>
        <v>泉北中谷:ナベ双葉Ｈ２(特級)</v>
      </c>
      <c r="H2866" s="340">
        <f t="shared" si="3"/>
        <v>40</v>
      </c>
      <c r="I2866" s="341">
        <v>0.5</v>
      </c>
      <c r="J2866" s="332">
        <f>IFERROR(__xludf.DUMMYFUNCTION("IF(IF(COUNTIF(P$2:P2865, P2866)=0, """", INDEX(H$2:H2865,
MAX(FILTER(ROW(H$2:H2865) - ROW(H$2) + 1, P$2:P2865 = P2866))))=""単価"","""",
IF(COUNTIF(P$2:P2865, P2866)=0, """", INDEX(H$2:H2865,
MAX(FILTER(ROW(H$2:H2865) - ROW(H$2) + 1, P$2:P2865 = P2866)))))"),39.5)</f>
        <v>39.5</v>
      </c>
      <c r="N2866" s="335" t="str">
        <f>IF(MAXIFS('単価履歴'!$O:$O,'単価履歴'!$E:$E,E2866,'単価履歴'!$F:$F,F2866)=O2866,"●","")</f>
        <v/>
      </c>
      <c r="O2866" s="346">
        <v>45947.271365740744</v>
      </c>
      <c r="P2866" s="334" t="str">
        <f t="shared" si="4"/>
        <v>泉北中谷:ナベ双葉Ｈ２(特級)</v>
      </c>
    </row>
    <row r="2867" ht="15.75" customHeight="1">
      <c r="A2867" s="335" t="s">
        <v>4016</v>
      </c>
      <c r="B2867" s="336">
        <v>45947.0</v>
      </c>
      <c r="C2867" s="335" t="s">
        <v>11</v>
      </c>
      <c r="D2867" s="335" t="s">
        <v>46</v>
      </c>
      <c r="E2867" s="337" t="str">
        <f t="shared" si="1"/>
        <v>ﾔﾏﾄ:阪和</v>
      </c>
      <c r="F2867" s="338" t="s">
        <v>116</v>
      </c>
      <c r="G2867" s="339" t="str">
        <f t="shared" si="2"/>
        <v>ﾔﾏﾄ:阪和Ｈ２(特級)</v>
      </c>
      <c r="H2867" s="340">
        <f t="shared" si="3"/>
        <v>43.1</v>
      </c>
      <c r="I2867" s="341">
        <v>0.5</v>
      </c>
      <c r="J2867" s="332">
        <f>IFERROR(__xludf.DUMMYFUNCTION("IF(IF(COUNTIF(P$2:P2866, P2867)=0, """", INDEX(H$2:H2866,
MAX(FILTER(ROW(H$2:H2866) - ROW(H$2) + 1, P$2:P2866 = P2867))))=""単価"","""",
IF(COUNTIF(P$2:P2866, P2867)=0, """", INDEX(H$2:H2866,
MAX(FILTER(ROW(H$2:H2866) - ROW(H$2) + 1, P$2:P2866 = P2867)))))"),42.6)</f>
        <v>42.6</v>
      </c>
      <c r="N2867" s="335" t="str">
        <f>IF(MAXIFS('単価履歴'!$O:$O,'単価履歴'!$E:$E,E2867,'単価履歴'!$F:$F,F2867)=O2867,"●","")</f>
        <v/>
      </c>
      <c r="O2867" s="346">
        <v>45947.27179398148</v>
      </c>
      <c r="P2867" s="334" t="str">
        <f t="shared" si="4"/>
        <v>ﾔﾏﾄ:阪和Ｈ２(特級)</v>
      </c>
    </row>
    <row r="2868" ht="15.75" customHeight="1">
      <c r="A2868" s="335" t="s">
        <v>4017</v>
      </c>
      <c r="B2868" s="336">
        <v>45947.0</v>
      </c>
      <c r="C2868" s="335" t="s">
        <v>11</v>
      </c>
      <c r="D2868" s="335" t="s">
        <v>46</v>
      </c>
      <c r="E2868" s="337" t="str">
        <f t="shared" si="1"/>
        <v>ﾔﾏﾄ:阪和</v>
      </c>
      <c r="F2868" s="338" t="s">
        <v>119</v>
      </c>
      <c r="G2868" s="339" t="str">
        <f t="shared" si="2"/>
        <v>ﾔﾏﾄ:阪和Ｈ３(1級)</v>
      </c>
      <c r="H2868" s="340">
        <f t="shared" si="3"/>
        <v>42.1</v>
      </c>
      <c r="I2868" s="341">
        <v>0.5</v>
      </c>
      <c r="J2868" s="332">
        <f>IFERROR(__xludf.DUMMYFUNCTION("IF(IF(COUNTIF(P$2:P2867, P2868)=0, """", INDEX(H$2:H2867,
MAX(FILTER(ROW(H$2:H2867) - ROW(H$2) + 1, P$2:P2867 = P2868))))=""単価"","""",
IF(COUNTIF(P$2:P2867, P2868)=0, """", INDEX(H$2:H2867,
MAX(FILTER(ROW(H$2:H2867) - ROW(H$2) + 1, P$2:P2867 = P2868)))))"),41.6)</f>
        <v>41.6</v>
      </c>
      <c r="N2868" s="335" t="str">
        <f>IF(MAXIFS('単価履歴'!$O:$O,'単価履歴'!$E:$E,E2868,'単価履歴'!$F:$F,F2868)=O2868,"●","")</f>
        <v/>
      </c>
      <c r="O2868" s="346">
        <v>45947.27179398148</v>
      </c>
      <c r="P2868" s="334" t="str">
        <f t="shared" si="4"/>
        <v>ﾔﾏﾄ:阪和Ｈ３(1級)</v>
      </c>
    </row>
    <row r="2869" ht="15.75" customHeight="1">
      <c r="A2869" s="335" t="s">
        <v>4018</v>
      </c>
      <c r="B2869" s="336">
        <v>45947.0</v>
      </c>
      <c r="C2869" s="335" t="s">
        <v>11</v>
      </c>
      <c r="D2869" s="335" t="s">
        <v>46</v>
      </c>
      <c r="E2869" s="337" t="str">
        <f t="shared" si="1"/>
        <v>ﾔﾏﾄ:阪和</v>
      </c>
      <c r="F2869" s="338" t="s">
        <v>122</v>
      </c>
      <c r="G2869" s="339" t="str">
        <f t="shared" si="2"/>
        <v>ﾔﾏﾄ:阪和Ｌ１(2級)</v>
      </c>
      <c r="H2869" s="340">
        <f t="shared" si="3"/>
        <v>40.1</v>
      </c>
      <c r="I2869" s="341">
        <v>0.5</v>
      </c>
      <c r="J2869" s="332">
        <f>IFERROR(__xludf.DUMMYFUNCTION("IF(IF(COUNTIF(P$2:P2868, P2869)=0, """", INDEX(H$2:H2868,
MAX(FILTER(ROW(H$2:H2868) - ROW(H$2) + 1, P$2:P2868 = P2869))))=""単価"","""",
IF(COUNTIF(P$2:P2868, P2869)=0, """", INDEX(H$2:H2868,
MAX(FILTER(ROW(H$2:H2868) - ROW(H$2) + 1, P$2:P2868 = P2869)))))"),39.6)</f>
        <v>39.6</v>
      </c>
      <c r="N2869" s="335" t="str">
        <f>IF(MAXIFS('単価履歴'!$O:$O,'単価履歴'!$E:$E,E2869,'単価履歴'!$F:$F,F2869)=O2869,"●","")</f>
        <v/>
      </c>
      <c r="O2869" s="346">
        <v>45947.27179398148</v>
      </c>
      <c r="P2869" s="334" t="str">
        <f t="shared" si="4"/>
        <v>ﾔﾏﾄ:阪和Ｌ１(2級)</v>
      </c>
    </row>
    <row r="2870" ht="15.75" customHeight="1">
      <c r="A2870" s="335" t="s">
        <v>4019</v>
      </c>
      <c r="B2870" s="336">
        <v>45947.0</v>
      </c>
      <c r="C2870" s="335" t="s">
        <v>11</v>
      </c>
      <c r="D2870" s="335" t="s">
        <v>46</v>
      </c>
      <c r="E2870" s="337" t="str">
        <f t="shared" si="1"/>
        <v>ﾔﾏﾄ:阪和</v>
      </c>
      <c r="F2870" s="338" t="s">
        <v>111</v>
      </c>
      <c r="G2870" s="339" t="str">
        <f t="shared" si="2"/>
        <v>ﾔﾏﾄ:阪和Ｈ１(特A)</v>
      </c>
      <c r="H2870" s="340">
        <f t="shared" si="3"/>
        <v>44.1</v>
      </c>
      <c r="I2870" s="341">
        <v>0.5</v>
      </c>
      <c r="J2870" s="332">
        <f>IFERROR(__xludf.DUMMYFUNCTION("IF(IF(COUNTIF(P$2:P2869, P2870)=0, """", INDEX(H$2:H2869,
MAX(FILTER(ROW(H$2:H2869) - ROW(H$2) + 1, P$2:P2869 = P2870))))=""単価"","""",
IF(COUNTIF(P$2:P2869, P2870)=0, """", INDEX(H$2:H2869,
MAX(FILTER(ROW(H$2:H2869) - ROW(H$2) + 1, P$2:P2869 = P2870)))))"),43.6)</f>
        <v>43.6</v>
      </c>
      <c r="N2870" s="335" t="str">
        <f>IF(MAXIFS('単価履歴'!$O:$O,'単価履歴'!$E:$E,E2870,'単価履歴'!$F:$F,F2870)=O2870,"●","")</f>
        <v/>
      </c>
      <c r="O2870" s="346">
        <v>45947.27179398148</v>
      </c>
      <c r="P2870" s="334" t="str">
        <f t="shared" si="4"/>
        <v>ﾔﾏﾄ:阪和Ｈ１(特A)</v>
      </c>
    </row>
    <row r="2871" ht="15.75" customHeight="1">
      <c r="A2871" s="335" t="s">
        <v>4020</v>
      </c>
      <c r="B2871" s="336">
        <v>45947.0</v>
      </c>
      <c r="C2871" s="335" t="s">
        <v>11</v>
      </c>
      <c r="D2871" s="335" t="s">
        <v>46</v>
      </c>
      <c r="E2871" s="337" t="str">
        <f t="shared" si="1"/>
        <v>ﾔﾏﾄ:阪和</v>
      </c>
      <c r="F2871" s="338" t="s">
        <v>573</v>
      </c>
      <c r="G2871" s="339" t="str">
        <f t="shared" si="2"/>
        <v>ﾔﾏﾄ:阪和Ｌ２(H4･級外･L1ﾊﾞﾗ)</v>
      </c>
      <c r="H2871" s="340">
        <f t="shared" si="3"/>
        <v>37.6</v>
      </c>
      <c r="I2871" s="341">
        <v>0.5</v>
      </c>
      <c r="J2871" s="332">
        <f>IFERROR(__xludf.DUMMYFUNCTION("IF(IF(COUNTIF(P$2:P2870, P2871)=0, """", INDEX(H$2:H2870,
MAX(FILTER(ROW(H$2:H2870) - ROW(H$2) + 1, P$2:P2870 = P2871))))=""単価"","""",
IF(COUNTIF(P$2:P2870, P2871)=0, """", INDEX(H$2:H2870,
MAX(FILTER(ROW(H$2:H2870) - ROW(H$2) + 1, P$2:P2870 = P2871)))))"),37.1)</f>
        <v>37.1</v>
      </c>
      <c r="N2871" s="335" t="str">
        <f>IF(MAXIFS('単価履歴'!$O:$O,'単価履歴'!$E:$E,E2871,'単価履歴'!$F:$F,F2871)=O2871,"●","")</f>
        <v/>
      </c>
      <c r="O2871" s="346">
        <v>45947.27179398148</v>
      </c>
      <c r="P2871" s="334" t="str">
        <f t="shared" si="4"/>
        <v>ﾔﾏﾄ:阪和Ｌ２(H4･級外･L1ﾊﾞﾗ)</v>
      </c>
    </row>
    <row r="2872" ht="15.75" customHeight="1">
      <c r="A2872" s="335" t="s">
        <v>4021</v>
      </c>
      <c r="B2872" s="336">
        <v>45947.0</v>
      </c>
      <c r="C2872" s="335" t="s">
        <v>28</v>
      </c>
      <c r="D2872" s="335" t="s">
        <v>52</v>
      </c>
      <c r="E2872" s="337" t="str">
        <f t="shared" si="1"/>
        <v>ＪＦＥ条鋼:リバイブ</v>
      </c>
      <c r="F2872" s="338" t="s">
        <v>119</v>
      </c>
      <c r="G2872" s="339" t="str">
        <f t="shared" si="2"/>
        <v>ＪＦＥ条鋼:リバイブＨ３(1級)</v>
      </c>
      <c r="H2872" s="340">
        <f t="shared" si="3"/>
        <v>39.5</v>
      </c>
      <c r="I2872" s="341">
        <v>0.5</v>
      </c>
      <c r="J2872" s="332">
        <f>IFERROR(__xludf.DUMMYFUNCTION("IF(IF(COUNTIF(P$2:P2871, P2872)=0, """", INDEX(H$2:H2871,
MAX(FILTER(ROW(H$2:H2871) - ROW(H$2) + 1, P$2:P2871 = P2872))))=""単価"","""",
IF(COUNTIF(P$2:P2871, P2872)=0, """", INDEX(H$2:H2871,
MAX(FILTER(ROW(H$2:H2871) - ROW(H$2) + 1, P$2:P2871 = P2872)))))"),39.0)</f>
        <v>39</v>
      </c>
      <c r="N2872" s="335" t="str">
        <f>IF(MAXIFS('単価履歴'!$O:$O,'単価履歴'!$E:$E,E2872,'単価履歴'!$F:$F,F2872)=O2872,"●","")</f>
        <v/>
      </c>
      <c r="O2872" s="346">
        <v>45947.37585648148</v>
      </c>
      <c r="P2872" s="334" t="str">
        <f t="shared" si="4"/>
        <v>ＪＦＥ条鋼:リバイブＨ３(1級)</v>
      </c>
    </row>
    <row r="2873" ht="15.75" customHeight="1">
      <c r="A2873" s="335" t="s">
        <v>4022</v>
      </c>
      <c r="B2873" s="336">
        <v>45947.0</v>
      </c>
      <c r="C2873" s="335" t="s">
        <v>28</v>
      </c>
      <c r="D2873" s="335" t="s">
        <v>52</v>
      </c>
      <c r="E2873" s="337" t="str">
        <f t="shared" si="1"/>
        <v>ＪＦＥ条鋼:リバイブ</v>
      </c>
      <c r="F2873" s="338" t="s">
        <v>131</v>
      </c>
      <c r="G2873" s="339" t="str">
        <f t="shared" si="2"/>
        <v>ＪＦＥ条鋼:リバイブ新断Ｂ</v>
      </c>
      <c r="H2873" s="340">
        <f t="shared" si="3"/>
        <v>45</v>
      </c>
      <c r="I2873" s="341">
        <v>0.5</v>
      </c>
      <c r="J2873" s="332">
        <f>IFERROR(__xludf.DUMMYFUNCTION("IF(IF(COUNTIF(P$2:P2872, P2873)=0, """", INDEX(H$2:H2872,
MAX(FILTER(ROW(H$2:H2872) - ROW(H$2) + 1, P$2:P2872 = P2873))))=""単価"","""",
IF(COUNTIF(P$2:P2872, P2873)=0, """", INDEX(H$2:H2872,
MAX(FILTER(ROW(H$2:H2872) - ROW(H$2) + 1, P$2:P2872 = P2873)))))"),44.5)</f>
        <v>44.5</v>
      </c>
      <c r="N2873" s="335" t="str">
        <f>IF(MAXIFS('単価履歴'!$O:$O,'単価履歴'!$E:$E,E2873,'単価履歴'!$F:$F,F2873)=O2873,"●","")</f>
        <v/>
      </c>
      <c r="O2873" s="346">
        <v>45947.37585648148</v>
      </c>
      <c r="P2873" s="334" t="str">
        <f t="shared" si="4"/>
        <v>ＪＦＥ条鋼:リバイブ新断Ｂ</v>
      </c>
    </row>
    <row r="2874" ht="15.75" customHeight="1">
      <c r="A2874" s="335" t="s">
        <v>4023</v>
      </c>
      <c r="B2874" s="336">
        <v>45947.0</v>
      </c>
      <c r="C2874" s="335" t="s">
        <v>28</v>
      </c>
      <c r="D2874" s="335" t="s">
        <v>52</v>
      </c>
      <c r="E2874" s="337" t="str">
        <f t="shared" si="1"/>
        <v>ＪＦＥ条鋼:リバイブ</v>
      </c>
      <c r="F2874" s="338" t="s">
        <v>111</v>
      </c>
      <c r="G2874" s="339" t="str">
        <f t="shared" si="2"/>
        <v>ＪＦＥ条鋼:リバイブＨ１(特A)</v>
      </c>
      <c r="H2874" s="340">
        <f t="shared" si="3"/>
        <v>40.5</v>
      </c>
      <c r="I2874" s="341">
        <v>0.5</v>
      </c>
      <c r="J2874" s="332">
        <f>IFERROR(__xludf.DUMMYFUNCTION("IF(IF(COUNTIF(P$2:P2873, P2874)=0, """", INDEX(H$2:H2873,
MAX(FILTER(ROW(H$2:H2873) - ROW(H$2) + 1, P$2:P2873 = P2874))))=""単価"","""",
IF(COUNTIF(P$2:P2873, P2874)=0, """", INDEX(H$2:H2873,
MAX(FILTER(ROW(H$2:H2873) - ROW(H$2) + 1, P$2:P2873 = P2874)))))"),40.0)</f>
        <v>40</v>
      </c>
      <c r="N2874" s="335" t="str">
        <f>IF(MAXIFS('単価履歴'!$O:$O,'単価履歴'!$E:$E,E2874,'単価履歴'!$F:$F,F2874)=O2874,"●","")</f>
        <v/>
      </c>
      <c r="O2874" s="346">
        <v>45947.37585648148</v>
      </c>
      <c r="P2874" s="334" t="str">
        <f t="shared" si="4"/>
        <v>ＪＦＥ条鋼:リバイブＨ１(特A)</v>
      </c>
    </row>
    <row r="2875" ht="15.75" customHeight="1">
      <c r="A2875" s="335" t="s">
        <v>4024</v>
      </c>
      <c r="B2875" s="336">
        <v>45947.0</v>
      </c>
      <c r="C2875" s="335" t="s">
        <v>28</v>
      </c>
      <c r="D2875" s="335" t="s">
        <v>52</v>
      </c>
      <c r="E2875" s="337" t="str">
        <f t="shared" si="1"/>
        <v>ＪＦＥ条鋼:リバイブ</v>
      </c>
      <c r="F2875" s="338" t="s">
        <v>122</v>
      </c>
      <c r="G2875" s="339" t="str">
        <f t="shared" si="2"/>
        <v>ＪＦＥ条鋼:リバイブＬ１(2級)</v>
      </c>
      <c r="H2875" s="340">
        <f t="shared" si="3"/>
        <v>36.5</v>
      </c>
      <c r="I2875" s="341">
        <v>0.5</v>
      </c>
      <c r="J2875" s="332">
        <f>IFERROR(__xludf.DUMMYFUNCTION("IF(IF(COUNTIF(P$2:P2874, P2875)=0, """", INDEX(H$2:H2874,
MAX(FILTER(ROW(H$2:H2874) - ROW(H$2) + 1, P$2:P2874 = P2875))))=""単価"","""",
IF(COUNTIF(P$2:P2874, P2875)=0, """", INDEX(H$2:H2874,
MAX(FILTER(ROW(H$2:H2874) - ROW(H$2) + 1, P$2:P2874 = P2875)))))"),36.0)</f>
        <v>36</v>
      </c>
      <c r="N2875" s="335" t="str">
        <f>IF(MAXIFS('単価履歴'!$O:$O,'単価履歴'!$E:$E,E2875,'単価履歴'!$F:$F,F2875)=O2875,"●","")</f>
        <v/>
      </c>
      <c r="O2875" s="346">
        <v>45947.37585648148</v>
      </c>
      <c r="P2875" s="334" t="str">
        <f t="shared" si="4"/>
        <v>ＪＦＥ条鋼:リバイブＬ１(2級)</v>
      </c>
    </row>
    <row r="2876" ht="15.75" customHeight="1">
      <c r="A2876" s="335" t="s">
        <v>4025</v>
      </c>
      <c r="B2876" s="336">
        <v>45947.0</v>
      </c>
      <c r="C2876" s="335" t="s">
        <v>28</v>
      </c>
      <c r="D2876" s="335" t="s">
        <v>52</v>
      </c>
      <c r="E2876" s="337" t="str">
        <f t="shared" si="1"/>
        <v>ＪＦＥ条鋼:リバイブ</v>
      </c>
      <c r="F2876" s="338" t="s">
        <v>575</v>
      </c>
      <c r="G2876" s="339" t="str">
        <f t="shared" si="2"/>
        <v>ＪＦＥ条鋼:リバイブ鋼ダライＡ</v>
      </c>
      <c r="H2876" s="340">
        <f t="shared" si="3"/>
        <v>38.5</v>
      </c>
      <c r="I2876" s="341">
        <v>0.5</v>
      </c>
      <c r="J2876" s="332">
        <f>IFERROR(__xludf.DUMMYFUNCTION("IF(IF(COUNTIF(P$2:P2875, P2876)=0, """", INDEX(H$2:H2875,
MAX(FILTER(ROW(H$2:H2875) - ROW(H$2) + 1, P$2:P2875 = P2876))))=""単価"","""",
IF(COUNTIF(P$2:P2875, P2876)=0, """", INDEX(H$2:H2875,
MAX(FILTER(ROW(H$2:H2875) - ROW(H$2) + 1, P$2:P2875 = P2876)))))"),38.0)</f>
        <v>38</v>
      </c>
      <c r="N2876" s="335" t="str">
        <f>IF(MAXIFS('単価履歴'!$O:$O,'単価履歴'!$E:$E,E2876,'単価履歴'!$F:$F,F2876)=O2876,"●","")</f>
        <v/>
      </c>
      <c r="O2876" s="346">
        <v>45947.37585648148</v>
      </c>
      <c r="P2876" s="334" t="str">
        <f t="shared" si="4"/>
        <v>ＪＦＥ条鋼:リバイブ鋼ダライＡ</v>
      </c>
    </row>
    <row r="2877" ht="15.75" customHeight="1">
      <c r="A2877" s="335" t="s">
        <v>4026</v>
      </c>
      <c r="B2877" s="336">
        <v>45947.0</v>
      </c>
      <c r="C2877" s="335" t="s">
        <v>28</v>
      </c>
      <c r="D2877" s="335" t="s">
        <v>52</v>
      </c>
      <c r="E2877" s="337" t="str">
        <f t="shared" si="1"/>
        <v>ＪＦＥ条鋼:リバイブ</v>
      </c>
      <c r="F2877" s="338" t="s">
        <v>116</v>
      </c>
      <c r="G2877" s="339" t="str">
        <f t="shared" si="2"/>
        <v>ＪＦＥ条鋼:リバイブＨ２(特級)</v>
      </c>
      <c r="H2877" s="340">
        <f t="shared" si="3"/>
        <v>40.5</v>
      </c>
      <c r="I2877" s="341">
        <v>0.5</v>
      </c>
      <c r="J2877" s="332">
        <f>IFERROR(__xludf.DUMMYFUNCTION("IF(IF(COUNTIF(P$2:P2876, P2877)=0, """", INDEX(H$2:H2876,
MAX(FILTER(ROW(H$2:H2876) - ROW(H$2) + 1, P$2:P2876 = P2877))))=""単価"","""",
IF(COUNTIF(P$2:P2876, P2877)=0, """", INDEX(H$2:H2876,
MAX(FILTER(ROW(H$2:H2876) - ROW(H$2) + 1, P$2:P2876 = P2877)))))"),40.0)</f>
        <v>40</v>
      </c>
      <c r="N2877" s="335" t="str">
        <f>IF(MAXIFS('単価履歴'!$O:$O,'単価履歴'!$E:$E,E2877,'単価履歴'!$F:$F,F2877)=O2877,"●","")</f>
        <v/>
      </c>
      <c r="O2877" s="346">
        <v>45947.37585648148</v>
      </c>
      <c r="P2877" s="334" t="str">
        <f t="shared" si="4"/>
        <v>ＪＦＥ条鋼:リバイブＨ２(特級)</v>
      </c>
    </row>
    <row r="2878" ht="15.75" customHeight="1">
      <c r="A2878" s="335" t="s">
        <v>4027</v>
      </c>
      <c r="B2878" s="336">
        <v>45947.0</v>
      </c>
      <c r="C2878" s="335" t="s">
        <v>28</v>
      </c>
      <c r="D2878" s="335" t="s">
        <v>52</v>
      </c>
      <c r="E2878" s="337" t="str">
        <f t="shared" si="1"/>
        <v>ＪＦＥ条鋼:リバイブ</v>
      </c>
      <c r="F2878" s="338" t="s">
        <v>573</v>
      </c>
      <c r="G2878" s="339" t="str">
        <f t="shared" si="2"/>
        <v>ＪＦＥ条鋼:リバイブＬ２(H4･級外･L1ﾊﾞﾗ)</v>
      </c>
      <c r="H2878" s="340">
        <f t="shared" si="3"/>
        <v>31.5</v>
      </c>
      <c r="I2878" s="341">
        <v>0.5</v>
      </c>
      <c r="J2878" s="332">
        <f>IFERROR(__xludf.DUMMYFUNCTION("IF(IF(COUNTIF(P$2:P2877, P2878)=0, """", INDEX(H$2:H2877,
MAX(FILTER(ROW(H$2:H2877) - ROW(H$2) + 1, P$2:P2877 = P2878))))=""単価"","""",
IF(COUNTIF(P$2:P2877, P2878)=0, """", INDEX(H$2:H2877,
MAX(FILTER(ROW(H$2:H2877) - ROW(H$2) + 1, P$2:P2877 = P2878)))))"),31.0)</f>
        <v>31</v>
      </c>
      <c r="N2878" s="335" t="str">
        <f>IF(MAXIFS('単価履歴'!$O:$O,'単価履歴'!$E:$E,E2878,'単価履歴'!$F:$F,F2878)=O2878,"●","")</f>
        <v/>
      </c>
      <c r="O2878" s="346">
        <v>45947.37585648148</v>
      </c>
      <c r="P2878" s="334" t="str">
        <f t="shared" si="4"/>
        <v>ＪＦＥ条鋼:リバイブＬ２(H4･級外･L1ﾊﾞﾗ)</v>
      </c>
    </row>
    <row r="2879" ht="15.75" customHeight="1">
      <c r="A2879" s="335" t="s">
        <v>4028</v>
      </c>
      <c r="B2879" s="336">
        <v>45947.0</v>
      </c>
      <c r="C2879" s="335" t="s">
        <v>28</v>
      </c>
      <c r="D2879" s="335" t="s">
        <v>52</v>
      </c>
      <c r="E2879" s="337" t="str">
        <f t="shared" si="1"/>
        <v>ＪＦＥ条鋼:リバイブ</v>
      </c>
      <c r="F2879" s="338" t="s">
        <v>154</v>
      </c>
      <c r="G2879" s="339" t="str">
        <f t="shared" si="2"/>
        <v>ＪＦＥ条鋼:リバイブＣＰ Ａ</v>
      </c>
      <c r="H2879" s="340">
        <f t="shared" si="3"/>
        <v>45</v>
      </c>
      <c r="I2879" s="341">
        <v>0.5</v>
      </c>
      <c r="J2879" s="332">
        <f>IFERROR(__xludf.DUMMYFUNCTION("IF(IF(COUNTIF(P$2:P2878, P2879)=0, """", INDEX(H$2:H2878,
MAX(FILTER(ROW(H$2:H2878) - ROW(H$2) + 1, P$2:P2878 = P2879))))=""単価"","""",
IF(COUNTIF(P$2:P2878, P2879)=0, """", INDEX(H$2:H2878,
MAX(FILTER(ROW(H$2:H2878) - ROW(H$2) + 1, P$2:P2878 = P2879)))))"),44.5)</f>
        <v>44.5</v>
      </c>
      <c r="N2879" s="335" t="str">
        <f>IF(MAXIFS('単価履歴'!$O:$O,'単価履歴'!$E:$E,E2879,'単価履歴'!$F:$F,F2879)=O2879,"●","")</f>
        <v/>
      </c>
      <c r="O2879" s="346">
        <v>45947.37585648148</v>
      </c>
      <c r="P2879" s="334" t="str">
        <f t="shared" si="4"/>
        <v>ＪＦＥ条鋼:リバイブＣＰ Ａ</v>
      </c>
    </row>
    <row r="2880" ht="15.75" customHeight="1">
      <c r="A2880" s="335" t="s">
        <v>4029</v>
      </c>
      <c r="B2880" s="336">
        <v>45947.0</v>
      </c>
      <c r="C2880" s="335" t="s">
        <v>28</v>
      </c>
      <c r="D2880" s="335" t="s">
        <v>52</v>
      </c>
      <c r="E2880" s="337" t="str">
        <f t="shared" si="1"/>
        <v>ＪＦＥ条鋼:リバイブ</v>
      </c>
      <c r="F2880" s="338" t="s">
        <v>130</v>
      </c>
      <c r="G2880" s="339" t="str">
        <f t="shared" si="2"/>
        <v>ＪＦＥ条鋼:リバイブ新断Ａ</v>
      </c>
      <c r="H2880" s="340">
        <f t="shared" si="3"/>
        <v>46</v>
      </c>
      <c r="I2880" s="341">
        <v>0.5</v>
      </c>
      <c r="J2880" s="332">
        <f>IFERROR(__xludf.DUMMYFUNCTION("IF(IF(COUNTIF(P$2:P2879, P2880)=0, """", INDEX(H$2:H2879,
MAX(FILTER(ROW(H$2:H2879) - ROW(H$2) + 1, P$2:P2879 = P2880))))=""単価"","""",
IF(COUNTIF(P$2:P2879, P2880)=0, """", INDEX(H$2:H2879,
MAX(FILTER(ROW(H$2:H2879) - ROW(H$2) + 1, P$2:P2879 = P2880)))))"),45.5)</f>
        <v>45.5</v>
      </c>
      <c r="N2880" s="335" t="str">
        <f>IF(MAXIFS('単価履歴'!$O:$O,'単価履歴'!$E:$E,E2880,'単価履歴'!$F:$F,F2880)=O2880,"●","")</f>
        <v/>
      </c>
      <c r="O2880" s="346">
        <v>45947.37585648148</v>
      </c>
      <c r="P2880" s="334" t="str">
        <f t="shared" si="4"/>
        <v>ＪＦＥ条鋼:リバイブ新断Ａ</v>
      </c>
    </row>
    <row r="2881" ht="15.75" customHeight="1">
      <c r="A2881" s="335" t="s">
        <v>4030</v>
      </c>
      <c r="B2881" s="336">
        <v>45948.0</v>
      </c>
      <c r="C2881" s="335" t="s">
        <v>6</v>
      </c>
      <c r="D2881" s="335" t="s">
        <v>48</v>
      </c>
      <c r="E2881" s="337" t="str">
        <f t="shared" si="1"/>
        <v>中山鋼業:ナベ</v>
      </c>
      <c r="F2881" s="338" t="s">
        <v>111</v>
      </c>
      <c r="G2881" s="339" t="str">
        <f t="shared" si="2"/>
        <v>中山鋼業:ナベＨ１(特A)</v>
      </c>
      <c r="H2881" s="340">
        <f t="shared" si="3"/>
        <v>44</v>
      </c>
      <c r="I2881" s="341">
        <v>0.5</v>
      </c>
      <c r="J2881" s="332">
        <f>IFERROR(__xludf.DUMMYFUNCTION("IF(IF(COUNTIF(P$2:P2880, P2881)=0, """", INDEX(H$2:H2880,
MAX(FILTER(ROW(H$2:H2880) - ROW(H$2) + 1, P$2:P2880 = P2881))))=""単価"","""",
IF(COUNTIF(P$2:P2880, P2881)=0, """", INDEX(H$2:H2880,
MAX(FILTER(ROW(H$2:H2880) - ROW(H$2) + 1, P$2:P2880 = P2881)))))"),43.5)</f>
        <v>43.5</v>
      </c>
      <c r="N2881" s="335" t="str">
        <f>IF(MAXIFS('単価履歴'!$O:$O,'単価履歴'!$E:$E,E2881,'単価履歴'!$F:$F,F2881)=O2881,"●","")</f>
        <v/>
      </c>
      <c r="O2881" s="346">
        <v>45947.71986111111</v>
      </c>
      <c r="P2881" s="334" t="str">
        <f t="shared" si="4"/>
        <v>中山鋼業:ナベＨ１(特A)</v>
      </c>
    </row>
    <row r="2882" ht="15.75" customHeight="1">
      <c r="A2882" s="335" t="s">
        <v>4031</v>
      </c>
      <c r="B2882" s="336">
        <v>45948.0</v>
      </c>
      <c r="C2882" s="335" t="s">
        <v>6</v>
      </c>
      <c r="D2882" s="335" t="s">
        <v>48</v>
      </c>
      <c r="E2882" s="337" t="str">
        <f t="shared" si="1"/>
        <v>中山鋼業:ナベ</v>
      </c>
      <c r="F2882" s="338" t="s">
        <v>1237</v>
      </c>
      <c r="G2882" s="339" t="str">
        <f t="shared" si="2"/>
        <v>中山鋼業:ナベＪＨ１(H2T山口)鍛造ﾊﾞﾘ</v>
      </c>
      <c r="H2882" s="340">
        <f t="shared" si="3"/>
        <v>43.2</v>
      </c>
      <c r="I2882" s="341">
        <v>0.5</v>
      </c>
      <c r="J2882" s="332">
        <f>IFERROR(__xludf.DUMMYFUNCTION("IF(IF(COUNTIF(P$2:P2881, P2882)=0, """", INDEX(H$2:H2881,
MAX(FILTER(ROW(H$2:H2881) - ROW(H$2) + 1, P$2:P2881 = P2882))))=""単価"","""",
IF(COUNTIF(P$2:P2881, P2882)=0, """", INDEX(H$2:H2881,
MAX(FILTER(ROW(H$2:H2881) - ROW(H$2) + 1, P$2:P2881 = P2882)))))"),42.7)</f>
        <v>42.7</v>
      </c>
      <c r="N2882" s="335" t="str">
        <f>IF(MAXIFS('単価履歴'!$O:$O,'単価履歴'!$E:$E,E2882,'単価履歴'!$F:$F,F2882)=O2882,"●","")</f>
        <v/>
      </c>
      <c r="O2882" s="346">
        <v>45947.71986111111</v>
      </c>
      <c r="P2882" s="334" t="str">
        <f t="shared" si="4"/>
        <v>中山鋼業:ナベＪＨ１(H2T山口)鍛造ﾊﾞﾘ</v>
      </c>
    </row>
    <row r="2883" ht="15.75" customHeight="1">
      <c r="A2883" s="335" t="s">
        <v>4032</v>
      </c>
      <c r="B2883" s="336">
        <v>45948.0</v>
      </c>
      <c r="C2883" s="335" t="s">
        <v>6</v>
      </c>
      <c r="D2883" s="335" t="s">
        <v>48</v>
      </c>
      <c r="E2883" s="337" t="str">
        <f t="shared" si="1"/>
        <v>中山鋼業:ナベ</v>
      </c>
      <c r="F2883" s="338" t="s">
        <v>116</v>
      </c>
      <c r="G2883" s="339" t="str">
        <f t="shared" si="2"/>
        <v>中山鋼業:ナベＨ２(特級)</v>
      </c>
      <c r="H2883" s="340">
        <f t="shared" si="3"/>
        <v>42</v>
      </c>
      <c r="I2883" s="341">
        <v>0.5</v>
      </c>
      <c r="J2883" s="332">
        <f>IFERROR(__xludf.DUMMYFUNCTION("IF(IF(COUNTIF(P$2:P2882, P2883)=0, """", INDEX(H$2:H2882,
MAX(FILTER(ROW(H$2:H2882) - ROW(H$2) + 1, P$2:P2882 = P2883))))=""単価"","""",
IF(COUNTIF(P$2:P2882, P2883)=0, """", INDEX(H$2:H2882,
MAX(FILTER(ROW(H$2:H2882) - ROW(H$2) + 1, P$2:P2882 = P2883)))))"),41.5)</f>
        <v>41.5</v>
      </c>
      <c r="N2883" s="335" t="str">
        <f>IF(MAXIFS('単価履歴'!$O:$O,'単価履歴'!$E:$E,E2883,'単価履歴'!$F:$F,F2883)=O2883,"●","")</f>
        <v/>
      </c>
      <c r="O2883" s="346">
        <v>45947.71986111111</v>
      </c>
      <c r="P2883" s="334" t="str">
        <f t="shared" si="4"/>
        <v>中山鋼業:ナベＨ２(特級)</v>
      </c>
    </row>
    <row r="2884" ht="15.75" customHeight="1">
      <c r="A2884" s="335" t="s">
        <v>4033</v>
      </c>
      <c r="B2884" s="336">
        <v>45948.0</v>
      </c>
      <c r="C2884" s="335" t="s">
        <v>6</v>
      </c>
      <c r="D2884" s="335" t="s">
        <v>48</v>
      </c>
      <c r="E2884" s="337" t="str">
        <f t="shared" si="1"/>
        <v>中山鋼業:ナベ</v>
      </c>
      <c r="F2884" s="338" t="s">
        <v>119</v>
      </c>
      <c r="G2884" s="339" t="str">
        <f t="shared" si="2"/>
        <v>中山鋼業:ナベＨ３(1級)</v>
      </c>
      <c r="H2884" s="340">
        <f t="shared" si="3"/>
        <v>40.5</v>
      </c>
      <c r="I2884" s="341">
        <v>0.5</v>
      </c>
      <c r="J2884" s="332">
        <f>IFERROR(__xludf.DUMMYFUNCTION("IF(IF(COUNTIF(P$2:P2883, P2884)=0, """", INDEX(H$2:H2883,
MAX(FILTER(ROW(H$2:H2883) - ROW(H$2) + 1, P$2:P2883 = P2884))))=""単価"","""",
IF(COUNTIF(P$2:P2883, P2884)=0, """", INDEX(H$2:H2883,
MAX(FILTER(ROW(H$2:H2883) - ROW(H$2) + 1, P$2:P2883 = P2884)))))"),40.0)</f>
        <v>40</v>
      </c>
      <c r="N2884" s="335" t="str">
        <f>IF(MAXIFS('単価履歴'!$O:$O,'単価履歴'!$E:$E,E2884,'単価履歴'!$F:$F,F2884)=O2884,"●","")</f>
        <v/>
      </c>
      <c r="O2884" s="346">
        <v>45947.71986111111</v>
      </c>
      <c r="P2884" s="334" t="str">
        <f t="shared" si="4"/>
        <v>中山鋼業:ナベＨ３(1級)</v>
      </c>
    </row>
    <row r="2885" ht="15.75" customHeight="1">
      <c r="A2885" s="335" t="s">
        <v>4034</v>
      </c>
      <c r="B2885" s="336">
        <v>45948.0</v>
      </c>
      <c r="C2885" s="335" t="s">
        <v>6</v>
      </c>
      <c r="D2885" s="335" t="s">
        <v>48</v>
      </c>
      <c r="E2885" s="337" t="str">
        <f t="shared" si="1"/>
        <v>中山鋼業:ナベ</v>
      </c>
      <c r="F2885" s="338" t="s">
        <v>122</v>
      </c>
      <c r="G2885" s="339" t="str">
        <f t="shared" si="2"/>
        <v>中山鋼業:ナベＬ１(2級)</v>
      </c>
      <c r="H2885" s="340">
        <f t="shared" si="3"/>
        <v>40</v>
      </c>
      <c r="I2885" s="341">
        <v>0.5</v>
      </c>
      <c r="J2885" s="332">
        <f>IFERROR(__xludf.DUMMYFUNCTION("IF(IF(COUNTIF(P$2:P2884, P2885)=0, """", INDEX(H$2:H2884,
MAX(FILTER(ROW(H$2:H2884) - ROW(H$2) + 1, P$2:P2884 = P2885))))=""単価"","""",
IF(COUNTIF(P$2:P2884, P2885)=0, """", INDEX(H$2:H2884,
MAX(FILTER(ROW(H$2:H2884) - ROW(H$2) + 1, P$2:P2884 = P2885)))))"),39.5)</f>
        <v>39.5</v>
      </c>
      <c r="N2885" s="335" t="str">
        <f>IF(MAXIFS('単価履歴'!$O:$O,'単価履歴'!$E:$E,E2885,'単価履歴'!$F:$F,F2885)=O2885,"●","")</f>
        <v/>
      </c>
      <c r="O2885" s="346">
        <v>45947.71986111111</v>
      </c>
      <c r="P2885" s="334" t="str">
        <f t="shared" si="4"/>
        <v>中山鋼業:ナベＬ１(2級)</v>
      </c>
    </row>
    <row r="2886" ht="15.75" customHeight="1">
      <c r="A2886" s="335" t="s">
        <v>4035</v>
      </c>
      <c r="B2886" s="336">
        <v>45948.0</v>
      </c>
      <c r="C2886" s="335" t="s">
        <v>6</v>
      </c>
      <c r="D2886" s="335" t="s">
        <v>48</v>
      </c>
      <c r="E2886" s="337" t="str">
        <f t="shared" si="1"/>
        <v>中山鋼業:ナベ</v>
      </c>
      <c r="F2886" s="338" t="s">
        <v>573</v>
      </c>
      <c r="G2886" s="339" t="str">
        <f t="shared" si="2"/>
        <v>中山鋼業:ナベＬ２(H4･級外･L1ﾊﾞﾗ)</v>
      </c>
      <c r="H2886" s="340">
        <f t="shared" si="3"/>
        <v>36.5</v>
      </c>
      <c r="I2886" s="341">
        <v>0.5</v>
      </c>
      <c r="J2886" s="332">
        <f>IFERROR(__xludf.DUMMYFUNCTION("IF(IF(COUNTIF(P$2:P2885, P2886)=0, """", INDEX(H$2:H2885,
MAX(FILTER(ROW(H$2:H2885) - ROW(H$2) + 1, P$2:P2885 = P2886))))=""単価"","""",
IF(COUNTIF(P$2:P2885, P2886)=0, """", INDEX(H$2:H2885,
MAX(FILTER(ROW(H$2:H2885) - ROW(H$2) + 1, P$2:P2885 = P2886)))))"),36.0)</f>
        <v>36</v>
      </c>
      <c r="N2886" s="335" t="str">
        <f>IF(MAXIFS('単価履歴'!$O:$O,'単価履歴'!$E:$E,E2886,'単価履歴'!$F:$F,F2886)=O2886,"●","")</f>
        <v/>
      </c>
      <c r="O2886" s="346">
        <v>45947.71986111111</v>
      </c>
      <c r="P2886" s="334" t="str">
        <f t="shared" si="4"/>
        <v>中山鋼業:ナベＬ２(H4･級外･L1ﾊﾞﾗ)</v>
      </c>
    </row>
    <row r="2887" ht="15.75" customHeight="1">
      <c r="A2887" s="335" t="s">
        <v>4036</v>
      </c>
      <c r="B2887" s="336">
        <v>45948.0</v>
      </c>
      <c r="C2887" s="335" t="s">
        <v>6</v>
      </c>
      <c r="D2887" s="335" t="s">
        <v>48</v>
      </c>
      <c r="E2887" s="337" t="str">
        <f t="shared" si="1"/>
        <v>中山鋼業:ナベ</v>
      </c>
      <c r="F2887" s="338" t="s">
        <v>130</v>
      </c>
      <c r="G2887" s="339" t="str">
        <f t="shared" si="2"/>
        <v>中山鋼業:ナベ新断Ａ</v>
      </c>
      <c r="H2887" s="340">
        <f t="shared" si="3"/>
        <v>0</v>
      </c>
      <c r="I2887" s="341">
        <v>0.5</v>
      </c>
      <c r="J2887" s="332">
        <f>IFERROR(__xludf.DUMMYFUNCTION("IF(IF(COUNTIF(P$2:P2886, P2887)=0, """", INDEX(H$2:H2886,
MAX(FILTER(ROW(H$2:H2886) - ROW(H$2) + 1, P$2:P2886 = P2887))))=""単価"","""",
IF(COUNTIF(P$2:P2886, P2887)=0, """", INDEX(H$2:H2886,
MAX(FILTER(ROW(H$2:H2886) - ROW(H$2) + 1, P$2:P2886 = P2887)))))"),-0.5)</f>
        <v>-0.5</v>
      </c>
      <c r="N2887" s="335" t="str">
        <f>IF(MAXIFS('単価履歴'!$O:$O,'単価履歴'!$E:$E,E2887,'単価履歴'!$F:$F,F2887)=O2887,"●","")</f>
        <v/>
      </c>
      <c r="O2887" s="346">
        <v>45947.71986111111</v>
      </c>
      <c r="P2887" s="334" t="str">
        <f t="shared" si="4"/>
        <v>中山鋼業:ナベ新断Ａ</v>
      </c>
    </row>
    <row r="2888" ht="15.75" customHeight="1">
      <c r="A2888" s="335" t="s">
        <v>4037</v>
      </c>
      <c r="B2888" s="336">
        <v>45948.0</v>
      </c>
      <c r="C2888" s="335" t="s">
        <v>13</v>
      </c>
      <c r="D2888" s="335" t="s">
        <v>49</v>
      </c>
      <c r="E2888" s="337" t="str">
        <f t="shared" si="1"/>
        <v>ｸﾎﾞﾀ:伊藤忠</v>
      </c>
      <c r="F2888" s="338" t="s">
        <v>130</v>
      </c>
      <c r="G2888" s="339" t="str">
        <f t="shared" si="2"/>
        <v>ｸﾎﾞﾀ:伊藤忠新断Ａ</v>
      </c>
      <c r="H2888" s="340">
        <f t="shared" si="3"/>
        <v>47.2</v>
      </c>
      <c r="I2888" s="341">
        <v>0.5</v>
      </c>
      <c r="J2888" s="332">
        <f>IFERROR(__xludf.DUMMYFUNCTION("IF(IF(COUNTIF(P$2:P2887, P2888)=0, """", INDEX(H$2:H2887,
MAX(FILTER(ROW(H$2:H2887) - ROW(H$2) + 1, P$2:P2887 = P2888))))=""単価"","""",
IF(COUNTIF(P$2:P2887, P2888)=0, """", INDEX(H$2:H2887,
MAX(FILTER(ROW(H$2:H2887) - ROW(H$2) + 1, P$2:P2887 = P2888)))))"),46.7)</f>
        <v>46.7</v>
      </c>
      <c r="N2888" s="335" t="str">
        <f>IF(MAXIFS('単価履歴'!$O:$O,'単価履歴'!$E:$E,E2888,'単価履歴'!$F:$F,F2888)=O2888,"●","")</f>
        <v/>
      </c>
      <c r="O2888" s="346">
        <v>45947.72009259259</v>
      </c>
      <c r="P2888" s="334" t="str">
        <f t="shared" si="4"/>
        <v>ｸﾎﾞﾀ:伊藤忠新断Ａ</v>
      </c>
    </row>
    <row r="2889" ht="15.75" customHeight="1">
      <c r="A2889" s="335" t="s">
        <v>4038</v>
      </c>
      <c r="B2889" s="336">
        <v>45948.0</v>
      </c>
      <c r="C2889" s="335" t="s">
        <v>31</v>
      </c>
      <c r="D2889" s="335" t="s">
        <v>64</v>
      </c>
      <c r="E2889" s="337" t="str">
        <f t="shared" si="1"/>
        <v>泉北中谷:ナベ双葉</v>
      </c>
      <c r="F2889" s="338" t="s">
        <v>116</v>
      </c>
      <c r="G2889" s="339" t="str">
        <f t="shared" si="2"/>
        <v>泉北中谷:ナベ双葉Ｈ２(特級)</v>
      </c>
      <c r="H2889" s="340">
        <f t="shared" si="3"/>
        <v>41</v>
      </c>
      <c r="I2889" s="341">
        <v>1.0</v>
      </c>
      <c r="J2889" s="332">
        <f>IFERROR(__xludf.DUMMYFUNCTION("IF(IF(COUNTIF(P$2:P2888, P2889)=0, """", INDEX(H$2:H2888,
MAX(FILTER(ROW(H$2:H2888) - ROW(H$2) + 1, P$2:P2888 = P2889))))=""単価"","""",
IF(COUNTIF(P$2:P2888, P2889)=0, """", INDEX(H$2:H2888,
MAX(FILTER(ROW(H$2:H2888) - ROW(H$2) + 1, P$2:P2888 = P2889)))))"),40.0)</f>
        <v>40</v>
      </c>
      <c r="N2889" s="335" t="str">
        <f>IF(MAXIFS('単価履歴'!$O:$O,'単価履歴'!$E:$E,E2889,'単価履歴'!$F:$F,F2889)=O2889,"●","")</f>
        <v/>
      </c>
      <c r="O2889" s="346">
        <v>45947.76936342593</v>
      </c>
      <c r="P2889" s="334" t="str">
        <f t="shared" si="4"/>
        <v>泉北中谷:ナベ双葉Ｈ２(特級)</v>
      </c>
    </row>
    <row r="2890" ht="15.75" customHeight="1">
      <c r="A2890" s="335" t="s">
        <v>4039</v>
      </c>
      <c r="B2890" s="336">
        <v>45951.0</v>
      </c>
      <c r="C2890" s="335" t="s">
        <v>531</v>
      </c>
      <c r="D2890" s="335" t="s">
        <v>77</v>
      </c>
      <c r="E2890" s="337" t="str">
        <f t="shared" si="1"/>
        <v>東鐵関西:直納</v>
      </c>
      <c r="F2890" s="338" t="s">
        <v>1199</v>
      </c>
      <c r="G2890" s="339" t="str">
        <f t="shared" si="2"/>
        <v>東鐵関西:直納ＨＳ１(単体H1/電特A/HS))</v>
      </c>
      <c r="H2890" s="340">
        <f t="shared" si="3"/>
        <v>44.5</v>
      </c>
      <c r="I2890" s="341">
        <v>1.0</v>
      </c>
      <c r="J2890" s="332">
        <f>IFERROR(__xludf.DUMMYFUNCTION("IF(IF(COUNTIF(P$2:P2889, P2890)=0, """", INDEX(H$2:H2889,
MAX(FILTER(ROW(H$2:H2889) - ROW(H$2) + 1, P$2:P2889 = P2890))))=""単価"","""",
IF(COUNTIF(P$2:P2889, P2890)=0, """", INDEX(H$2:H2889,
MAX(FILTER(ROW(H$2:H2889) - ROW(H$2) + 1, P$2:P2889 = P2890)))))"),43.5)</f>
        <v>43.5</v>
      </c>
      <c r="N2890" s="335" t="str">
        <f>IF(MAXIFS('単価履歴'!$O:$O,'単価履歴'!$E:$E,E2890,'単価履歴'!$F:$F,F2890)=O2890,"●","")</f>
        <v/>
      </c>
      <c r="O2890" s="346">
        <v>45951.282372685186</v>
      </c>
      <c r="P2890" s="334" t="str">
        <f t="shared" si="4"/>
        <v>東鐵関西:直納ＨＳ１(単体H1/電特A/HS))</v>
      </c>
    </row>
    <row r="2891" ht="15.75" customHeight="1">
      <c r="A2891" s="335" t="s">
        <v>4040</v>
      </c>
      <c r="B2891" s="336">
        <v>45951.0</v>
      </c>
      <c r="C2891" s="335" t="s">
        <v>531</v>
      </c>
      <c r="D2891" s="335" t="s">
        <v>77</v>
      </c>
      <c r="E2891" s="337" t="str">
        <f t="shared" si="1"/>
        <v>東鐵関西:直納</v>
      </c>
      <c r="F2891" s="338" t="s">
        <v>111</v>
      </c>
      <c r="G2891" s="339" t="str">
        <f t="shared" si="2"/>
        <v>東鐵関西:直納Ｈ１(特A)</v>
      </c>
      <c r="H2891" s="340">
        <f t="shared" si="3"/>
        <v>44</v>
      </c>
      <c r="I2891" s="341">
        <v>1.0</v>
      </c>
      <c r="J2891" s="332">
        <f>IFERROR(__xludf.DUMMYFUNCTION("IF(IF(COUNTIF(P$2:P2890, P2891)=0, """", INDEX(H$2:H2890,
MAX(FILTER(ROW(H$2:H2890) - ROW(H$2) + 1, P$2:P2890 = P2891))))=""単価"","""",
IF(COUNTIF(P$2:P2890, P2891)=0, """", INDEX(H$2:H2890,
MAX(FILTER(ROW(H$2:H2890) - ROW(H$2) + 1, P$2:P2890 = P2891)))))"),43.0)</f>
        <v>43</v>
      </c>
      <c r="N2891" s="335" t="str">
        <f>IF(MAXIFS('単価履歴'!$O:$O,'単価履歴'!$E:$E,E2891,'単価履歴'!$F:$F,F2891)=O2891,"●","")</f>
        <v/>
      </c>
      <c r="O2891" s="346">
        <v>45951.282372685186</v>
      </c>
      <c r="P2891" s="334" t="str">
        <f t="shared" si="4"/>
        <v>東鐵関西:直納Ｈ１(特A)</v>
      </c>
    </row>
    <row r="2892" ht="15.75" customHeight="1">
      <c r="A2892" s="335" t="s">
        <v>4041</v>
      </c>
      <c r="B2892" s="336">
        <v>45951.0</v>
      </c>
      <c r="C2892" s="335" t="s">
        <v>531</v>
      </c>
      <c r="D2892" s="335" t="s">
        <v>77</v>
      </c>
      <c r="E2892" s="337" t="str">
        <f t="shared" si="1"/>
        <v>東鐵関西:直納</v>
      </c>
      <c r="F2892" s="338" t="s">
        <v>116</v>
      </c>
      <c r="G2892" s="339" t="str">
        <f t="shared" si="2"/>
        <v>東鐵関西:直納Ｈ２(特級)</v>
      </c>
      <c r="H2892" s="340">
        <f t="shared" si="3"/>
        <v>42</v>
      </c>
      <c r="I2892" s="341">
        <v>1.0</v>
      </c>
      <c r="J2892" s="332">
        <f>IFERROR(__xludf.DUMMYFUNCTION("IF(IF(COUNTIF(P$2:P2891, P2892)=0, """", INDEX(H$2:H2891,
MAX(FILTER(ROW(H$2:H2891) - ROW(H$2) + 1, P$2:P2891 = P2892))))=""単価"","""",
IF(COUNTIF(P$2:P2891, P2892)=0, """", INDEX(H$2:H2891,
MAX(FILTER(ROW(H$2:H2891) - ROW(H$2) + 1, P$2:P2891 = P2892)))))"),41.0)</f>
        <v>41</v>
      </c>
      <c r="N2892" s="335" t="str">
        <f>IF(MAXIFS('単価履歴'!$O:$O,'単価履歴'!$E:$E,E2892,'単価履歴'!$F:$F,F2892)=O2892,"●","")</f>
        <v/>
      </c>
      <c r="O2892" s="346">
        <v>45951.282372685186</v>
      </c>
      <c r="P2892" s="334" t="str">
        <f t="shared" si="4"/>
        <v>東鐵関西:直納Ｈ２(特級)</v>
      </c>
    </row>
    <row r="2893" ht="15.75" customHeight="1">
      <c r="A2893" s="335" t="s">
        <v>4042</v>
      </c>
      <c r="B2893" s="336">
        <v>45951.0</v>
      </c>
      <c r="C2893" s="335" t="s">
        <v>531</v>
      </c>
      <c r="D2893" s="335" t="s">
        <v>77</v>
      </c>
      <c r="E2893" s="337" t="str">
        <f t="shared" si="1"/>
        <v>東鐵関西:直納</v>
      </c>
      <c r="F2893" s="338" t="s">
        <v>119</v>
      </c>
      <c r="G2893" s="339" t="str">
        <f t="shared" si="2"/>
        <v>東鐵関西:直納Ｈ３(1級)</v>
      </c>
      <c r="H2893" s="340">
        <f t="shared" si="3"/>
        <v>42</v>
      </c>
      <c r="I2893" s="341">
        <v>1.0</v>
      </c>
      <c r="J2893" s="332">
        <f>IFERROR(__xludf.DUMMYFUNCTION("IF(IF(COUNTIF(P$2:P2892, P2893)=0, """", INDEX(H$2:H2892,
MAX(FILTER(ROW(H$2:H2892) - ROW(H$2) + 1, P$2:P2892 = P2893))))=""単価"","""",
IF(COUNTIF(P$2:P2892, P2893)=0, """", INDEX(H$2:H2892,
MAX(FILTER(ROW(H$2:H2892) - ROW(H$2) + 1, P$2:P2892 = P2893)))))"),41.0)</f>
        <v>41</v>
      </c>
      <c r="N2893" s="335" t="str">
        <f>IF(MAXIFS('単価履歴'!$O:$O,'単価履歴'!$E:$E,E2893,'単価履歴'!$F:$F,F2893)=O2893,"●","")</f>
        <v/>
      </c>
      <c r="O2893" s="346">
        <v>45951.282372685186</v>
      </c>
      <c r="P2893" s="334" t="str">
        <f t="shared" si="4"/>
        <v>東鐵関西:直納Ｈ３(1級)</v>
      </c>
    </row>
    <row r="2894" ht="15.75" customHeight="1">
      <c r="A2894" s="335" t="s">
        <v>4043</v>
      </c>
      <c r="B2894" s="336">
        <v>45951.0</v>
      </c>
      <c r="C2894" s="335" t="s">
        <v>531</v>
      </c>
      <c r="D2894" s="335" t="s">
        <v>77</v>
      </c>
      <c r="E2894" s="337" t="str">
        <f t="shared" si="1"/>
        <v>東鐵関西:直納</v>
      </c>
      <c r="F2894" s="338" t="s">
        <v>122</v>
      </c>
      <c r="G2894" s="339" t="str">
        <f t="shared" si="2"/>
        <v>東鐵関西:直納Ｌ１(2級)</v>
      </c>
      <c r="H2894" s="340">
        <f t="shared" si="3"/>
        <v>40</v>
      </c>
      <c r="I2894" s="341">
        <v>1.0</v>
      </c>
      <c r="J2894" s="332">
        <f>IFERROR(__xludf.DUMMYFUNCTION("IF(IF(COUNTIF(P$2:P2893, P2894)=0, """", INDEX(H$2:H2893,
MAX(FILTER(ROW(H$2:H2893) - ROW(H$2) + 1, P$2:P2893 = P2894))))=""単価"","""",
IF(COUNTIF(P$2:P2893, P2894)=0, """", INDEX(H$2:H2893,
MAX(FILTER(ROW(H$2:H2893) - ROW(H$2) + 1, P$2:P2893 = P2894)))))"),39.0)</f>
        <v>39</v>
      </c>
      <c r="N2894" s="335" t="str">
        <f>IF(MAXIFS('単価履歴'!$O:$O,'単価履歴'!$E:$E,E2894,'単価履歴'!$F:$F,F2894)=O2894,"●","")</f>
        <v/>
      </c>
      <c r="O2894" s="346">
        <v>45951.282372685186</v>
      </c>
      <c r="P2894" s="334" t="str">
        <f t="shared" si="4"/>
        <v>東鐵関西:直納Ｌ１(2級)</v>
      </c>
    </row>
    <row r="2895" ht="15.75" customHeight="1">
      <c r="A2895" s="335" t="s">
        <v>4044</v>
      </c>
      <c r="B2895" s="336">
        <v>45951.0</v>
      </c>
      <c r="C2895" s="335" t="s">
        <v>531</v>
      </c>
      <c r="D2895" s="335" t="s">
        <v>77</v>
      </c>
      <c r="E2895" s="337" t="str">
        <f t="shared" si="1"/>
        <v>東鐵関西:直納</v>
      </c>
      <c r="F2895" s="338" t="s">
        <v>573</v>
      </c>
      <c r="G2895" s="339" t="str">
        <f t="shared" si="2"/>
        <v>東鐵関西:直納Ｌ２(H4･級外･L1ﾊﾞﾗ)</v>
      </c>
      <c r="H2895" s="340">
        <f t="shared" si="3"/>
        <v>37</v>
      </c>
      <c r="I2895" s="341">
        <v>1.0</v>
      </c>
      <c r="J2895" s="332">
        <f>IFERROR(__xludf.DUMMYFUNCTION("IF(IF(COUNTIF(P$2:P2894, P2895)=0, """", INDEX(H$2:H2894,
MAX(FILTER(ROW(H$2:H2894) - ROW(H$2) + 1, P$2:P2894 = P2895))))=""単価"","""",
IF(COUNTIF(P$2:P2894, P2895)=0, """", INDEX(H$2:H2894,
MAX(FILTER(ROW(H$2:H2894) - ROW(H$2) + 1, P$2:P2894 = P2895)))))"),36.0)</f>
        <v>36</v>
      </c>
      <c r="N2895" s="335" t="str">
        <f>IF(MAXIFS('単価履歴'!$O:$O,'単価履歴'!$E:$E,E2895,'単価履歴'!$F:$F,F2895)=O2895,"●","")</f>
        <v/>
      </c>
      <c r="O2895" s="346">
        <v>45951.282372685186</v>
      </c>
      <c r="P2895" s="334" t="str">
        <f t="shared" si="4"/>
        <v>東鐵関西:直納Ｌ２(H4･級外･L1ﾊﾞﾗ)</v>
      </c>
    </row>
    <row r="2896" ht="15.75" customHeight="1">
      <c r="A2896" s="335" t="s">
        <v>4045</v>
      </c>
      <c r="B2896" s="336">
        <v>45951.0</v>
      </c>
      <c r="C2896" s="335" t="s">
        <v>531</v>
      </c>
      <c r="D2896" s="335" t="s">
        <v>77</v>
      </c>
      <c r="E2896" s="337" t="str">
        <f t="shared" si="1"/>
        <v>東鐵関西:直納</v>
      </c>
      <c r="F2896" s="338" t="s">
        <v>145</v>
      </c>
      <c r="G2896" s="339" t="str">
        <f t="shared" si="2"/>
        <v>東鐵関西:直納シュレＡ</v>
      </c>
      <c r="H2896" s="340">
        <f t="shared" si="3"/>
        <v>44</v>
      </c>
      <c r="I2896" s="341">
        <v>1.0</v>
      </c>
      <c r="J2896" s="332">
        <f>IFERROR(__xludf.DUMMYFUNCTION("IF(IF(COUNTIF(P$2:P2895, P2896)=0, """", INDEX(H$2:H2895,
MAX(FILTER(ROW(H$2:H2895) - ROW(H$2) + 1, P$2:P2895 = P2896))))=""単価"","""",
IF(COUNTIF(P$2:P2895, P2896)=0, """", INDEX(H$2:H2895,
MAX(FILTER(ROW(H$2:H2895) - ROW(H$2) + 1, P$2:P2895 = P2896)))))"),43.0)</f>
        <v>43</v>
      </c>
      <c r="N2896" s="335" t="str">
        <f>IF(MAXIFS('単価履歴'!$O:$O,'単価履歴'!$E:$E,E2896,'単価履歴'!$F:$F,F2896)=O2896,"●","")</f>
        <v/>
      </c>
      <c r="O2896" s="346">
        <v>45951.282372685186</v>
      </c>
      <c r="P2896" s="334" t="str">
        <f t="shared" si="4"/>
        <v>東鐵関西:直納シュレＡ</v>
      </c>
    </row>
    <row r="2897" ht="15.75" customHeight="1">
      <c r="A2897" s="335" t="s">
        <v>4046</v>
      </c>
      <c r="B2897" s="336">
        <v>45951.0</v>
      </c>
      <c r="C2897" s="335" t="s">
        <v>531</v>
      </c>
      <c r="D2897" s="335" t="s">
        <v>77</v>
      </c>
      <c r="E2897" s="337" t="str">
        <f t="shared" si="1"/>
        <v>東鐵関西:直納</v>
      </c>
      <c r="F2897" s="338" t="s">
        <v>151</v>
      </c>
      <c r="G2897" s="339" t="str">
        <f t="shared" si="2"/>
        <v>東鐵関西:直納シュレＣ</v>
      </c>
      <c r="H2897" s="340">
        <f t="shared" si="3"/>
        <v>43</v>
      </c>
      <c r="I2897" s="341">
        <v>1.0</v>
      </c>
      <c r="J2897" s="332">
        <f>IFERROR(__xludf.DUMMYFUNCTION("IF(IF(COUNTIF(P$2:P2896, P2897)=0, """", INDEX(H$2:H2896,
MAX(FILTER(ROW(H$2:H2896) - ROW(H$2) + 1, P$2:P2896 = P2897))))=""単価"","""",
IF(COUNTIF(P$2:P2896, P2897)=0, """", INDEX(H$2:H2896,
MAX(FILTER(ROW(H$2:H2896) - ROW(H$2) + 1, P$2:P2896 = P2897)))))"),42.0)</f>
        <v>42</v>
      </c>
      <c r="N2897" s="335" t="str">
        <f>IF(MAXIFS('単価履歴'!$O:$O,'単価履歴'!$E:$E,E2897,'単価履歴'!$F:$F,F2897)=O2897,"●","")</f>
        <v/>
      </c>
      <c r="O2897" s="346">
        <v>45951.282372685186</v>
      </c>
      <c r="P2897" s="334" t="str">
        <f t="shared" si="4"/>
        <v>東鐵関西:直納シュレＣ</v>
      </c>
    </row>
    <row r="2898" ht="15.75" customHeight="1">
      <c r="A2898" s="335" t="s">
        <v>4047</v>
      </c>
      <c r="B2898" s="336">
        <v>45951.0</v>
      </c>
      <c r="C2898" s="335" t="s">
        <v>532</v>
      </c>
      <c r="D2898" s="335" t="s">
        <v>77</v>
      </c>
      <c r="E2898" s="337" t="str">
        <f t="shared" si="1"/>
        <v>東鐵岡山:直納</v>
      </c>
      <c r="F2898" s="338" t="s">
        <v>1199</v>
      </c>
      <c r="G2898" s="339" t="str">
        <f t="shared" si="2"/>
        <v>東鐵岡山:直納ＨＳ１(単体H1/電特A/HS))</v>
      </c>
      <c r="H2898" s="340">
        <f t="shared" si="3"/>
        <v>45</v>
      </c>
      <c r="I2898" s="341">
        <v>0.5</v>
      </c>
      <c r="J2898" s="332">
        <f>IFERROR(__xludf.DUMMYFUNCTION("IF(IF(COUNTIF(P$2:P2897, P2898)=0, """", INDEX(H$2:H2897,
MAX(FILTER(ROW(H$2:H2897) - ROW(H$2) + 1, P$2:P2897 = P2898))))=""単価"","""",
IF(COUNTIF(P$2:P2897, P2898)=0, """", INDEX(H$2:H2897,
MAX(FILTER(ROW(H$2:H2897) - ROW(H$2) + 1, P$2:P2897 = P2898)))))"),44.5)</f>
        <v>44.5</v>
      </c>
      <c r="N2898" s="335" t="str">
        <f>IF(MAXIFS('単価履歴'!$O:$O,'単価履歴'!$E:$E,E2898,'単価履歴'!$F:$F,F2898)=O2898,"●","")</f>
        <v/>
      </c>
      <c r="O2898" s="346">
        <v>45951.28266203703</v>
      </c>
      <c r="P2898" s="334" t="str">
        <f t="shared" si="4"/>
        <v>東鐵岡山:直納ＨＳ１(単体H1/電特A/HS))</v>
      </c>
    </row>
    <row r="2899" ht="15.75" customHeight="1">
      <c r="A2899" s="335" t="s">
        <v>4048</v>
      </c>
      <c r="B2899" s="336">
        <v>45951.0</v>
      </c>
      <c r="C2899" s="335" t="s">
        <v>532</v>
      </c>
      <c r="D2899" s="335" t="s">
        <v>77</v>
      </c>
      <c r="E2899" s="337" t="str">
        <f t="shared" si="1"/>
        <v>東鐵岡山:直納</v>
      </c>
      <c r="F2899" s="338" t="s">
        <v>111</v>
      </c>
      <c r="G2899" s="339" t="str">
        <f t="shared" si="2"/>
        <v>東鐵岡山:直納Ｈ１(特A)</v>
      </c>
      <c r="H2899" s="340">
        <f t="shared" si="3"/>
        <v>43.7</v>
      </c>
      <c r="I2899" s="341">
        <v>0.5</v>
      </c>
      <c r="J2899" s="332">
        <f>IFERROR(__xludf.DUMMYFUNCTION("IF(IF(COUNTIF(P$2:P2898, P2899)=0, """", INDEX(H$2:H2898,
MAX(FILTER(ROW(H$2:H2898) - ROW(H$2) + 1, P$2:P2898 = P2899))))=""単価"","""",
IF(COUNTIF(P$2:P2898, P2899)=0, """", INDEX(H$2:H2898,
MAX(FILTER(ROW(H$2:H2898) - ROW(H$2) + 1, P$2:P2898 = P2899)))))"),43.2)</f>
        <v>43.2</v>
      </c>
      <c r="N2899" s="335" t="str">
        <f>IF(MAXIFS('単価履歴'!$O:$O,'単価履歴'!$E:$E,E2899,'単価履歴'!$F:$F,F2899)=O2899,"●","")</f>
        <v/>
      </c>
      <c r="O2899" s="346">
        <v>45951.28266203703</v>
      </c>
      <c r="P2899" s="334" t="str">
        <f t="shared" si="4"/>
        <v>東鐵岡山:直納Ｈ１(特A)</v>
      </c>
    </row>
    <row r="2900" ht="15.75" customHeight="1">
      <c r="A2900" s="335" t="s">
        <v>4049</v>
      </c>
      <c r="B2900" s="336">
        <v>45951.0</v>
      </c>
      <c r="C2900" s="335" t="s">
        <v>532</v>
      </c>
      <c r="D2900" s="335" t="s">
        <v>77</v>
      </c>
      <c r="E2900" s="337" t="str">
        <f t="shared" si="1"/>
        <v>東鐵岡山:直納</v>
      </c>
      <c r="F2900" s="338" t="s">
        <v>116</v>
      </c>
      <c r="G2900" s="339" t="str">
        <f t="shared" si="2"/>
        <v>東鐵岡山:直納Ｈ２(特級)</v>
      </c>
      <c r="H2900" s="340">
        <f t="shared" si="3"/>
        <v>43</v>
      </c>
      <c r="I2900" s="341">
        <v>0.5</v>
      </c>
      <c r="J2900" s="332">
        <f>IFERROR(__xludf.DUMMYFUNCTION("IF(IF(COUNTIF(P$2:P2899, P2900)=0, """", INDEX(H$2:H2899,
MAX(FILTER(ROW(H$2:H2899) - ROW(H$2) + 1, P$2:P2899 = P2900))))=""単価"","""",
IF(COUNTIF(P$2:P2899, P2900)=0, """", INDEX(H$2:H2899,
MAX(FILTER(ROW(H$2:H2899) - ROW(H$2) + 1, P$2:P2899 = P2900)))))"),42.5)</f>
        <v>42.5</v>
      </c>
      <c r="N2900" s="335" t="str">
        <f>IF(MAXIFS('単価履歴'!$O:$O,'単価履歴'!$E:$E,E2900,'単価履歴'!$F:$F,F2900)=O2900,"●","")</f>
        <v/>
      </c>
      <c r="O2900" s="346">
        <v>45951.28266203703</v>
      </c>
      <c r="P2900" s="334" t="str">
        <f t="shared" si="4"/>
        <v>東鐵岡山:直納Ｈ２(特級)</v>
      </c>
    </row>
    <row r="2901" ht="15.75" customHeight="1">
      <c r="A2901" s="335" t="s">
        <v>4050</v>
      </c>
      <c r="B2901" s="336">
        <v>45951.0</v>
      </c>
      <c r="C2901" s="335" t="s">
        <v>532</v>
      </c>
      <c r="D2901" s="335" t="s">
        <v>77</v>
      </c>
      <c r="E2901" s="337" t="str">
        <f t="shared" si="1"/>
        <v>東鐵岡山:直納</v>
      </c>
      <c r="F2901" s="338" t="s">
        <v>119</v>
      </c>
      <c r="G2901" s="339" t="str">
        <f t="shared" si="2"/>
        <v>東鐵岡山:直納Ｈ３(1級)</v>
      </c>
      <c r="H2901" s="340">
        <f t="shared" si="3"/>
        <v>42.5</v>
      </c>
      <c r="I2901" s="341">
        <v>0.5</v>
      </c>
      <c r="J2901" s="332">
        <f>IFERROR(__xludf.DUMMYFUNCTION("IF(IF(COUNTIF(P$2:P2900, P2901)=0, """", INDEX(H$2:H2900,
MAX(FILTER(ROW(H$2:H2900) - ROW(H$2) + 1, P$2:P2900 = P2901))))=""単価"","""",
IF(COUNTIF(P$2:P2900, P2901)=0, """", INDEX(H$2:H2900,
MAX(FILTER(ROW(H$2:H2900) - ROW(H$2) + 1, P$2:P2900 = P2901)))))"),42.0)</f>
        <v>42</v>
      </c>
      <c r="N2901" s="335" t="str">
        <f>IF(MAXIFS('単価履歴'!$O:$O,'単価履歴'!$E:$E,E2901,'単価履歴'!$F:$F,F2901)=O2901,"●","")</f>
        <v/>
      </c>
      <c r="O2901" s="346">
        <v>45951.28266203703</v>
      </c>
      <c r="P2901" s="334" t="str">
        <f t="shared" si="4"/>
        <v>東鐵岡山:直納Ｈ３(1級)</v>
      </c>
    </row>
    <row r="2902" ht="15.75" customHeight="1">
      <c r="A2902" s="335" t="s">
        <v>4051</v>
      </c>
      <c r="B2902" s="336">
        <v>45951.0</v>
      </c>
      <c r="C2902" s="335" t="s">
        <v>532</v>
      </c>
      <c r="D2902" s="335" t="s">
        <v>77</v>
      </c>
      <c r="E2902" s="337" t="str">
        <f t="shared" si="1"/>
        <v>東鐵岡山:直納</v>
      </c>
      <c r="F2902" s="338" t="s">
        <v>122</v>
      </c>
      <c r="G2902" s="339" t="str">
        <f t="shared" si="2"/>
        <v>東鐵岡山:直納Ｌ１(2級)</v>
      </c>
      <c r="H2902" s="340">
        <f t="shared" si="3"/>
        <v>41</v>
      </c>
      <c r="I2902" s="341">
        <v>0.5</v>
      </c>
      <c r="J2902" s="332">
        <f>IFERROR(__xludf.DUMMYFUNCTION("IF(IF(COUNTIF(P$2:P2901, P2902)=0, """", INDEX(H$2:H2901,
MAX(FILTER(ROW(H$2:H2901) - ROW(H$2) + 1, P$2:P2901 = P2902))))=""単価"","""",
IF(COUNTIF(P$2:P2901, P2902)=0, """", INDEX(H$2:H2901,
MAX(FILTER(ROW(H$2:H2901) - ROW(H$2) + 1, P$2:P2901 = P2902)))))"),40.5)</f>
        <v>40.5</v>
      </c>
      <c r="N2902" s="335" t="str">
        <f>IF(MAXIFS('単価履歴'!$O:$O,'単価履歴'!$E:$E,E2902,'単価履歴'!$F:$F,F2902)=O2902,"●","")</f>
        <v/>
      </c>
      <c r="O2902" s="346">
        <v>45951.28266203703</v>
      </c>
      <c r="P2902" s="334" t="str">
        <f t="shared" si="4"/>
        <v>東鐵岡山:直納Ｌ１(2級)</v>
      </c>
    </row>
    <row r="2903" ht="15.75" customHeight="1">
      <c r="A2903" s="335" t="s">
        <v>4052</v>
      </c>
      <c r="B2903" s="336">
        <v>45951.0</v>
      </c>
      <c r="C2903" s="335" t="s">
        <v>532</v>
      </c>
      <c r="D2903" s="335" t="s">
        <v>77</v>
      </c>
      <c r="E2903" s="337" t="str">
        <f t="shared" si="1"/>
        <v>東鐵岡山:直納</v>
      </c>
      <c r="F2903" s="338" t="s">
        <v>573</v>
      </c>
      <c r="G2903" s="339" t="str">
        <f t="shared" si="2"/>
        <v>東鐵岡山:直納Ｌ２(H4･級外･L1ﾊﾞﾗ)</v>
      </c>
      <c r="H2903" s="340">
        <f t="shared" si="3"/>
        <v>38</v>
      </c>
      <c r="I2903" s="341">
        <v>0.5</v>
      </c>
      <c r="J2903" s="332">
        <f>IFERROR(__xludf.DUMMYFUNCTION("IF(IF(COUNTIF(P$2:P2902, P2903)=0, """", INDEX(H$2:H2902,
MAX(FILTER(ROW(H$2:H2902) - ROW(H$2) + 1, P$2:P2902 = P2903))))=""単価"","""",
IF(COUNTIF(P$2:P2902, P2903)=0, """", INDEX(H$2:H2902,
MAX(FILTER(ROW(H$2:H2902) - ROW(H$2) + 1, P$2:P2902 = P2903)))))"),37.5)</f>
        <v>37.5</v>
      </c>
      <c r="N2903" s="335" t="str">
        <f>IF(MAXIFS('単価履歴'!$O:$O,'単価履歴'!$E:$E,E2903,'単価履歴'!$F:$F,F2903)=O2903,"●","")</f>
        <v/>
      </c>
      <c r="O2903" s="346">
        <v>45951.28266203703</v>
      </c>
      <c r="P2903" s="334" t="str">
        <f t="shared" si="4"/>
        <v>東鐵岡山:直納Ｌ２(H4･級外･L1ﾊﾞﾗ)</v>
      </c>
    </row>
    <row r="2904" ht="15.75" customHeight="1">
      <c r="A2904" s="335" t="s">
        <v>4053</v>
      </c>
      <c r="B2904" s="336">
        <v>45951.0</v>
      </c>
      <c r="C2904" s="335" t="s">
        <v>532</v>
      </c>
      <c r="D2904" s="335" t="s">
        <v>77</v>
      </c>
      <c r="E2904" s="337" t="str">
        <f t="shared" si="1"/>
        <v>東鐵岡山:直納</v>
      </c>
      <c r="F2904" s="338" t="s">
        <v>145</v>
      </c>
      <c r="G2904" s="339" t="str">
        <f t="shared" si="2"/>
        <v>東鐵岡山:直納シュレＡ</v>
      </c>
      <c r="H2904" s="340">
        <f t="shared" si="3"/>
        <v>43.5</v>
      </c>
      <c r="I2904" s="341">
        <v>0.5</v>
      </c>
      <c r="J2904" s="332">
        <f>IFERROR(__xludf.DUMMYFUNCTION("IF(IF(COUNTIF(P$2:P2903, P2904)=0, """", INDEX(H$2:H2903,
MAX(FILTER(ROW(H$2:H2903) - ROW(H$2) + 1, P$2:P2903 = P2904))))=""単価"","""",
IF(COUNTIF(P$2:P2903, P2904)=0, """", INDEX(H$2:H2903,
MAX(FILTER(ROW(H$2:H2903) - ROW(H$2) + 1, P$2:P2903 = P2904)))))"),43.0)</f>
        <v>43</v>
      </c>
      <c r="N2904" s="335" t="str">
        <f>IF(MAXIFS('単価履歴'!$O:$O,'単価履歴'!$E:$E,E2904,'単価履歴'!$F:$F,F2904)=O2904,"●","")</f>
        <v/>
      </c>
      <c r="O2904" s="346">
        <v>45951.28266203703</v>
      </c>
      <c r="P2904" s="334" t="str">
        <f t="shared" si="4"/>
        <v>東鐵岡山:直納シュレＡ</v>
      </c>
    </row>
    <row r="2905" ht="15.75" customHeight="1">
      <c r="A2905" s="335" t="s">
        <v>4054</v>
      </c>
      <c r="B2905" s="336">
        <v>45951.0</v>
      </c>
      <c r="C2905" s="335" t="s">
        <v>532</v>
      </c>
      <c r="D2905" s="335" t="s">
        <v>77</v>
      </c>
      <c r="E2905" s="337" t="str">
        <f t="shared" si="1"/>
        <v>東鐵岡山:直納</v>
      </c>
      <c r="F2905" s="338" t="s">
        <v>151</v>
      </c>
      <c r="G2905" s="339" t="str">
        <f t="shared" si="2"/>
        <v>東鐵岡山:直納シュレＣ</v>
      </c>
      <c r="H2905" s="340">
        <f t="shared" si="3"/>
        <v>43</v>
      </c>
      <c r="I2905" s="341">
        <v>0.5</v>
      </c>
      <c r="J2905" s="332">
        <f>IFERROR(__xludf.DUMMYFUNCTION("IF(IF(COUNTIF(P$2:P2904, P2905)=0, """", INDEX(H$2:H2904,
MAX(FILTER(ROW(H$2:H2904) - ROW(H$2) + 1, P$2:P2904 = P2905))))=""単価"","""",
IF(COUNTIF(P$2:P2904, P2905)=0, """", INDEX(H$2:H2904,
MAX(FILTER(ROW(H$2:H2904) - ROW(H$2) + 1, P$2:P2904 = P2905)))))"),42.5)</f>
        <v>42.5</v>
      </c>
      <c r="N2905" s="335" t="str">
        <f>IF(MAXIFS('単価履歴'!$O:$O,'単価履歴'!$E:$E,E2905,'単価履歴'!$F:$F,F2905)=O2905,"●","")</f>
        <v/>
      </c>
      <c r="O2905" s="346">
        <v>45951.28266203703</v>
      </c>
      <c r="P2905" s="334" t="str">
        <f t="shared" si="4"/>
        <v>東鐵岡山:直納シュレＣ</v>
      </c>
    </row>
    <row r="2906" ht="15.75" customHeight="1">
      <c r="A2906" s="335" t="s">
        <v>4055</v>
      </c>
      <c r="B2906" s="336">
        <v>45951.0</v>
      </c>
      <c r="C2906" s="335" t="s">
        <v>532</v>
      </c>
      <c r="D2906" s="335" t="s">
        <v>77</v>
      </c>
      <c r="E2906" s="337" t="str">
        <f t="shared" si="1"/>
        <v>東鐵岡山:直納</v>
      </c>
      <c r="F2906" s="338" t="s">
        <v>130</v>
      </c>
      <c r="G2906" s="339" t="str">
        <f t="shared" si="2"/>
        <v>東鐵岡山:直納新断Ａ</v>
      </c>
      <c r="H2906" s="340">
        <f t="shared" si="3"/>
        <v>44</v>
      </c>
      <c r="I2906" s="341">
        <v>0.5</v>
      </c>
      <c r="J2906" s="332">
        <f>IFERROR(__xludf.DUMMYFUNCTION("IF(IF(COUNTIF(P$2:P2905, P2906)=0, """", INDEX(H$2:H2905,
MAX(FILTER(ROW(H$2:H2905) - ROW(H$2) + 1, P$2:P2905 = P2906))))=""単価"","""",
IF(COUNTIF(P$2:P2905, P2906)=0, """", INDEX(H$2:H2905,
MAX(FILTER(ROW(H$2:H2905) - ROW(H$2) + 1, P$2:P2905 = P2906)))))"),43.5)</f>
        <v>43.5</v>
      </c>
      <c r="N2906" s="335" t="str">
        <f>IF(MAXIFS('単価履歴'!$O:$O,'単価履歴'!$E:$E,E2906,'単価履歴'!$F:$F,F2906)=O2906,"●","")</f>
        <v/>
      </c>
      <c r="O2906" s="346">
        <v>45951.28266203703</v>
      </c>
      <c r="P2906" s="334" t="str">
        <f t="shared" si="4"/>
        <v>東鐵岡山:直納新断Ａ</v>
      </c>
    </row>
    <row r="2907" ht="15.75" customHeight="1">
      <c r="A2907" s="335" t="s">
        <v>4056</v>
      </c>
      <c r="B2907" s="336">
        <v>45951.0</v>
      </c>
      <c r="C2907" s="335" t="s">
        <v>532</v>
      </c>
      <c r="D2907" s="335" t="s">
        <v>77</v>
      </c>
      <c r="E2907" s="337" t="str">
        <f t="shared" si="1"/>
        <v>東鐵岡山:直納</v>
      </c>
      <c r="F2907" s="338" t="s">
        <v>131</v>
      </c>
      <c r="G2907" s="339" t="str">
        <f t="shared" si="2"/>
        <v>東鐵岡山:直納新断Ｂ</v>
      </c>
      <c r="H2907" s="340">
        <f t="shared" si="3"/>
        <v>44</v>
      </c>
      <c r="I2907" s="341">
        <v>0.5</v>
      </c>
      <c r="J2907" s="332">
        <f>IFERROR(__xludf.DUMMYFUNCTION("IF(IF(COUNTIF(P$2:P2906, P2907)=0, """", INDEX(H$2:H2906,
MAX(FILTER(ROW(H$2:H2906) - ROW(H$2) + 1, P$2:P2906 = P2907))))=""単価"","""",
IF(COUNTIF(P$2:P2906, P2907)=0, """", INDEX(H$2:H2906,
MAX(FILTER(ROW(H$2:H2906) - ROW(H$2) + 1, P$2:P2906 = P2907)))))"),43.5)</f>
        <v>43.5</v>
      </c>
      <c r="N2907" s="335" t="str">
        <f>IF(MAXIFS('単価履歴'!$O:$O,'単価履歴'!$E:$E,E2907,'単価履歴'!$F:$F,F2907)=O2907,"●","")</f>
        <v/>
      </c>
      <c r="O2907" s="346">
        <v>45951.28266203703</v>
      </c>
      <c r="P2907" s="334" t="str">
        <f t="shared" si="4"/>
        <v>東鐵岡山:直納新断Ｂ</v>
      </c>
    </row>
    <row r="2908" ht="15.75" customHeight="1">
      <c r="A2908" s="335" t="s">
        <v>4057</v>
      </c>
      <c r="B2908" s="336">
        <v>45951.0</v>
      </c>
      <c r="C2908" s="335" t="s">
        <v>532</v>
      </c>
      <c r="D2908" s="335" t="s">
        <v>77</v>
      </c>
      <c r="E2908" s="337" t="str">
        <f t="shared" si="1"/>
        <v>東鐵岡山:直納</v>
      </c>
      <c r="F2908" s="338" t="s">
        <v>575</v>
      </c>
      <c r="G2908" s="339" t="str">
        <f t="shared" si="2"/>
        <v>東鐵岡山:直納鋼ダライＡ</v>
      </c>
      <c r="H2908" s="340">
        <f t="shared" si="3"/>
        <v>39</v>
      </c>
      <c r="I2908" s="341">
        <v>0.5</v>
      </c>
      <c r="J2908" s="332">
        <f>IFERROR(__xludf.DUMMYFUNCTION("IF(IF(COUNTIF(P$2:P2907, P2908)=0, """", INDEX(H$2:H2907,
MAX(FILTER(ROW(H$2:H2907) - ROW(H$2) + 1, P$2:P2907 = P2908))))=""単価"","""",
IF(COUNTIF(P$2:P2907, P2908)=0, """", INDEX(H$2:H2907,
MAX(FILTER(ROW(H$2:H2907) - ROW(H$2) + 1, P$2:P2907 = P2908)))))"),38.5)</f>
        <v>38.5</v>
      </c>
      <c r="N2908" s="335" t="str">
        <f>IF(MAXIFS('単価履歴'!$O:$O,'単価履歴'!$E:$E,E2908,'単価履歴'!$F:$F,F2908)=O2908,"●","")</f>
        <v/>
      </c>
      <c r="O2908" s="346">
        <v>45951.28266203703</v>
      </c>
      <c r="P2908" s="334" t="str">
        <f t="shared" si="4"/>
        <v>東鐵岡山:直納鋼ダライＡ</v>
      </c>
    </row>
    <row r="2909" ht="15.75" customHeight="1">
      <c r="A2909" s="335" t="s">
        <v>4058</v>
      </c>
      <c r="B2909" s="336">
        <v>45951.0</v>
      </c>
      <c r="C2909" s="335" t="s">
        <v>532</v>
      </c>
      <c r="D2909" s="335" t="s">
        <v>77</v>
      </c>
      <c r="E2909" s="337" t="str">
        <f t="shared" si="1"/>
        <v>東鐵岡山:直納</v>
      </c>
      <c r="F2909" s="338" t="s">
        <v>25</v>
      </c>
      <c r="G2909" s="339" t="str">
        <f t="shared" si="2"/>
        <v>東鐵岡山:直納銑ダライ</v>
      </c>
      <c r="H2909" s="340">
        <f t="shared" si="3"/>
        <v>35.5</v>
      </c>
      <c r="I2909" s="341">
        <v>0.5</v>
      </c>
      <c r="J2909" s="332">
        <f>IFERROR(__xludf.DUMMYFUNCTION("IF(IF(COUNTIF(P$2:P2908, P2909)=0, """", INDEX(H$2:H2908,
MAX(FILTER(ROW(H$2:H2908) - ROW(H$2) + 1, P$2:P2908 = P2909))))=""単価"","""",
IF(COUNTIF(P$2:P2908, P2909)=0, """", INDEX(H$2:H2908,
MAX(FILTER(ROW(H$2:H2908) - ROW(H$2) + 1, P$2:P2908 = P2909)))))"),35.0)</f>
        <v>35</v>
      </c>
      <c r="N2909" s="335" t="str">
        <f>IF(MAXIFS('単価履歴'!$O:$O,'単価履歴'!$E:$E,E2909,'単価履歴'!$F:$F,F2909)=O2909,"●","")</f>
        <v/>
      </c>
      <c r="O2909" s="346">
        <v>45951.28266203703</v>
      </c>
      <c r="P2909" s="334" t="str">
        <f t="shared" si="4"/>
        <v>東鐵岡山:直納銑ダライ</v>
      </c>
    </row>
    <row r="2910" ht="15.75" customHeight="1">
      <c r="A2910" s="335" t="s">
        <v>4059</v>
      </c>
      <c r="B2910" s="336">
        <v>45951.0</v>
      </c>
      <c r="C2910" s="335" t="s">
        <v>532</v>
      </c>
      <c r="D2910" s="335" t="s">
        <v>77</v>
      </c>
      <c r="E2910" s="337" t="str">
        <f t="shared" si="1"/>
        <v>東鐵岡山:直納</v>
      </c>
      <c r="F2910" s="338" t="s">
        <v>154</v>
      </c>
      <c r="G2910" s="339" t="str">
        <f t="shared" si="2"/>
        <v>東鐵岡山:直納ＣＰ Ａ</v>
      </c>
      <c r="H2910" s="340">
        <f t="shared" si="3"/>
        <v>41.5</v>
      </c>
      <c r="I2910" s="341">
        <v>0.5</v>
      </c>
      <c r="J2910" s="332">
        <f>IFERROR(__xludf.DUMMYFUNCTION("IF(IF(COUNTIF(P$2:P2909, P2910)=0, """", INDEX(H$2:H2909,
MAX(FILTER(ROW(H$2:H2909) - ROW(H$2) + 1, P$2:P2909 = P2910))))=""単価"","""",
IF(COUNTIF(P$2:P2909, P2910)=0, """", INDEX(H$2:H2909,
MAX(FILTER(ROW(H$2:H2909) - ROW(H$2) + 1, P$2:P2909 = P2910)))))"),41.0)</f>
        <v>41</v>
      </c>
      <c r="N2910" s="335" t="str">
        <f>IF(MAXIFS('単価履歴'!$O:$O,'単価履歴'!$E:$E,E2910,'単価履歴'!$F:$F,F2910)=O2910,"●","")</f>
        <v/>
      </c>
      <c r="O2910" s="346">
        <v>45951.28266203703</v>
      </c>
      <c r="P2910" s="334" t="str">
        <f t="shared" si="4"/>
        <v>東鐵岡山:直納ＣＰ Ａ</v>
      </c>
    </row>
    <row r="2911" ht="15.75" customHeight="1">
      <c r="A2911" s="335" t="s">
        <v>4060</v>
      </c>
      <c r="B2911" s="336">
        <v>45951.0</v>
      </c>
      <c r="C2911" s="335" t="s">
        <v>535</v>
      </c>
      <c r="D2911" s="335" t="s">
        <v>77</v>
      </c>
      <c r="E2911" s="337" t="str">
        <f t="shared" si="1"/>
        <v>東鐵名古屋:直納</v>
      </c>
      <c r="F2911" s="338" t="s">
        <v>1199</v>
      </c>
      <c r="G2911" s="339" t="str">
        <f t="shared" si="2"/>
        <v>東鐵名古屋:直納ＨＳ１(単体H1/電特A/HS))</v>
      </c>
      <c r="H2911" s="340">
        <f t="shared" si="3"/>
        <v>45</v>
      </c>
      <c r="I2911" s="341">
        <v>1.0</v>
      </c>
      <c r="J2911" s="332">
        <f>IFERROR(__xludf.DUMMYFUNCTION("IF(IF(COUNTIF(P$2:P2910, P2911)=0, """", INDEX(H$2:H2910,
MAX(FILTER(ROW(H$2:H2910) - ROW(H$2) + 1, P$2:P2910 = P2911))))=""単価"","""",
IF(COUNTIF(P$2:P2910, P2911)=0, """", INDEX(H$2:H2910,
MAX(FILTER(ROW(H$2:H2910) - ROW(H$2) + 1, P$2:P2910 = P2911)))))"),44.0)</f>
        <v>44</v>
      </c>
      <c r="N2911" s="335" t="str">
        <f>IF(MAXIFS('単価履歴'!$O:$O,'単価履歴'!$E:$E,E2911,'単価履歴'!$F:$F,F2911)=O2911,"●","")</f>
        <v/>
      </c>
      <c r="O2911" s="346">
        <v>45951.28295138889</v>
      </c>
      <c r="P2911" s="334" t="str">
        <f t="shared" si="4"/>
        <v>東鐵名古屋:直納ＨＳ１(単体H1/電特A/HS))</v>
      </c>
    </row>
    <row r="2912" ht="15.75" customHeight="1">
      <c r="A2912" s="335" t="s">
        <v>4061</v>
      </c>
      <c r="B2912" s="336">
        <v>45951.0</v>
      </c>
      <c r="C2912" s="335" t="s">
        <v>535</v>
      </c>
      <c r="D2912" s="335" t="s">
        <v>77</v>
      </c>
      <c r="E2912" s="337" t="str">
        <f t="shared" si="1"/>
        <v>東鐵名古屋:直納</v>
      </c>
      <c r="F2912" s="338" t="s">
        <v>111</v>
      </c>
      <c r="G2912" s="339" t="str">
        <f t="shared" si="2"/>
        <v>東鐵名古屋:直納Ｈ１(特A)</v>
      </c>
      <c r="H2912" s="340">
        <f t="shared" si="3"/>
        <v>43.2</v>
      </c>
      <c r="I2912" s="341">
        <v>1.0</v>
      </c>
      <c r="J2912" s="332">
        <f>IFERROR(__xludf.DUMMYFUNCTION("IF(IF(COUNTIF(P$2:P2911, P2912)=0, """", INDEX(H$2:H2911,
MAX(FILTER(ROW(H$2:H2911) - ROW(H$2) + 1, P$2:P2911 = P2912))))=""単価"","""",
IF(COUNTIF(P$2:P2911, P2912)=0, """", INDEX(H$2:H2911,
MAX(FILTER(ROW(H$2:H2911) - ROW(H$2) + 1, P$2:P2911 = P2912)))))"),42.2)</f>
        <v>42.2</v>
      </c>
      <c r="N2912" s="335" t="str">
        <f>IF(MAXIFS('単価履歴'!$O:$O,'単価履歴'!$E:$E,E2912,'単価履歴'!$F:$F,F2912)=O2912,"●","")</f>
        <v/>
      </c>
      <c r="O2912" s="346">
        <v>45951.28295138889</v>
      </c>
      <c r="P2912" s="334" t="str">
        <f t="shared" si="4"/>
        <v>東鐵名古屋:直納Ｈ１(特A)</v>
      </c>
    </row>
    <row r="2913" ht="15.75" customHeight="1">
      <c r="A2913" s="335" t="s">
        <v>4062</v>
      </c>
      <c r="B2913" s="336">
        <v>45951.0</v>
      </c>
      <c r="C2913" s="335" t="s">
        <v>535</v>
      </c>
      <c r="D2913" s="335" t="s">
        <v>77</v>
      </c>
      <c r="E2913" s="337" t="str">
        <f t="shared" si="1"/>
        <v>東鐵名古屋:直納</v>
      </c>
      <c r="F2913" s="338" t="s">
        <v>116</v>
      </c>
      <c r="G2913" s="339" t="str">
        <f t="shared" si="2"/>
        <v>東鐵名古屋:直納Ｈ２(特級)</v>
      </c>
      <c r="H2913" s="340">
        <f t="shared" si="3"/>
        <v>42.5</v>
      </c>
      <c r="I2913" s="341">
        <v>1.0</v>
      </c>
      <c r="J2913" s="332">
        <f>IFERROR(__xludf.DUMMYFUNCTION("IF(IF(COUNTIF(P$2:P2912, P2913)=0, """", INDEX(H$2:H2912,
MAX(FILTER(ROW(H$2:H2912) - ROW(H$2) + 1, P$2:P2912 = P2913))))=""単価"","""",
IF(COUNTIF(P$2:P2912, P2913)=0, """", INDEX(H$2:H2912,
MAX(FILTER(ROW(H$2:H2912) - ROW(H$2) + 1, P$2:P2912 = P2913)))))"),41.5)</f>
        <v>41.5</v>
      </c>
      <c r="N2913" s="335" t="str">
        <f>IF(MAXIFS('単価履歴'!$O:$O,'単価履歴'!$E:$E,E2913,'単価履歴'!$F:$F,F2913)=O2913,"●","")</f>
        <v/>
      </c>
      <c r="O2913" s="346">
        <v>45951.28295138889</v>
      </c>
      <c r="P2913" s="334" t="str">
        <f t="shared" si="4"/>
        <v>東鐵名古屋:直納Ｈ２(特級)</v>
      </c>
    </row>
    <row r="2914" ht="15.75" customHeight="1">
      <c r="A2914" s="335" t="s">
        <v>4063</v>
      </c>
      <c r="B2914" s="336">
        <v>45951.0</v>
      </c>
      <c r="C2914" s="335" t="s">
        <v>535</v>
      </c>
      <c r="D2914" s="335" t="s">
        <v>77</v>
      </c>
      <c r="E2914" s="337" t="str">
        <f t="shared" si="1"/>
        <v>東鐵名古屋:直納</v>
      </c>
      <c r="F2914" s="338" t="s">
        <v>119</v>
      </c>
      <c r="G2914" s="339" t="str">
        <f t="shared" si="2"/>
        <v>東鐵名古屋:直納Ｈ３(1級)</v>
      </c>
      <c r="H2914" s="340">
        <f t="shared" si="3"/>
        <v>42</v>
      </c>
      <c r="I2914" s="341">
        <v>1.0</v>
      </c>
      <c r="J2914" s="332">
        <f>IFERROR(__xludf.DUMMYFUNCTION("IF(IF(COUNTIF(P$2:P2913, P2914)=0, """", INDEX(H$2:H2913,
MAX(FILTER(ROW(H$2:H2913) - ROW(H$2) + 1, P$2:P2913 = P2914))))=""単価"","""",
IF(COUNTIF(P$2:P2913, P2914)=0, """", INDEX(H$2:H2913,
MAX(FILTER(ROW(H$2:H2913) - ROW(H$2) + 1, P$2:P2913 = P2914)))))"),41.0)</f>
        <v>41</v>
      </c>
      <c r="N2914" s="335" t="str">
        <f>IF(MAXIFS('単価履歴'!$O:$O,'単価履歴'!$E:$E,E2914,'単価履歴'!$F:$F,F2914)=O2914,"●","")</f>
        <v/>
      </c>
      <c r="O2914" s="346">
        <v>45951.28295138889</v>
      </c>
      <c r="P2914" s="334" t="str">
        <f t="shared" si="4"/>
        <v>東鐵名古屋:直納Ｈ３(1級)</v>
      </c>
    </row>
    <row r="2915" ht="15.75" customHeight="1">
      <c r="A2915" s="335" t="s">
        <v>4064</v>
      </c>
      <c r="B2915" s="336">
        <v>45951.0</v>
      </c>
      <c r="C2915" s="335" t="s">
        <v>535</v>
      </c>
      <c r="D2915" s="335" t="s">
        <v>77</v>
      </c>
      <c r="E2915" s="337" t="str">
        <f t="shared" si="1"/>
        <v>東鐵名古屋:直納</v>
      </c>
      <c r="F2915" s="338" t="s">
        <v>122</v>
      </c>
      <c r="G2915" s="339" t="str">
        <f t="shared" si="2"/>
        <v>東鐵名古屋:直納Ｌ１(2級)</v>
      </c>
      <c r="H2915" s="340">
        <f t="shared" si="3"/>
        <v>40.5</v>
      </c>
      <c r="I2915" s="341">
        <v>1.0</v>
      </c>
      <c r="J2915" s="332">
        <f>IFERROR(__xludf.DUMMYFUNCTION("IF(IF(COUNTIF(P$2:P2914, P2915)=0, """", INDEX(H$2:H2914,
MAX(FILTER(ROW(H$2:H2914) - ROW(H$2) + 1, P$2:P2914 = P2915))))=""単価"","""",
IF(COUNTIF(P$2:P2914, P2915)=0, """", INDEX(H$2:H2914,
MAX(FILTER(ROW(H$2:H2914) - ROW(H$2) + 1, P$2:P2914 = P2915)))))"),39.5)</f>
        <v>39.5</v>
      </c>
      <c r="N2915" s="335" t="str">
        <f>IF(MAXIFS('単価履歴'!$O:$O,'単価履歴'!$E:$E,E2915,'単価履歴'!$F:$F,F2915)=O2915,"●","")</f>
        <v/>
      </c>
      <c r="O2915" s="346">
        <v>45951.28295138889</v>
      </c>
      <c r="P2915" s="334" t="str">
        <f t="shared" si="4"/>
        <v>東鐵名古屋:直納Ｌ１(2級)</v>
      </c>
    </row>
    <row r="2916" ht="15.75" customHeight="1">
      <c r="A2916" s="335" t="s">
        <v>4065</v>
      </c>
      <c r="B2916" s="336">
        <v>45951.0</v>
      </c>
      <c r="C2916" s="335" t="s">
        <v>535</v>
      </c>
      <c r="D2916" s="335" t="s">
        <v>77</v>
      </c>
      <c r="E2916" s="337" t="str">
        <f t="shared" si="1"/>
        <v>東鐵名古屋:直納</v>
      </c>
      <c r="F2916" s="338" t="s">
        <v>573</v>
      </c>
      <c r="G2916" s="339" t="str">
        <f t="shared" si="2"/>
        <v>東鐵名古屋:直納Ｌ２(H4･級外･L1ﾊﾞﾗ)</v>
      </c>
      <c r="H2916" s="340">
        <f t="shared" si="3"/>
        <v>37.5</v>
      </c>
      <c r="I2916" s="341">
        <v>1.0</v>
      </c>
      <c r="J2916" s="332">
        <f>IFERROR(__xludf.DUMMYFUNCTION("IF(IF(COUNTIF(P$2:P2915, P2916)=0, """", INDEX(H$2:H2915,
MAX(FILTER(ROW(H$2:H2915) - ROW(H$2) + 1, P$2:P2915 = P2916))))=""単価"","""",
IF(COUNTIF(P$2:P2915, P2916)=0, """", INDEX(H$2:H2915,
MAX(FILTER(ROW(H$2:H2915) - ROW(H$2) + 1, P$2:P2915 = P2916)))))"),36.5)</f>
        <v>36.5</v>
      </c>
      <c r="N2916" s="335" t="str">
        <f>IF(MAXIFS('単価履歴'!$O:$O,'単価履歴'!$E:$E,E2916,'単価履歴'!$F:$F,F2916)=O2916,"●","")</f>
        <v/>
      </c>
      <c r="O2916" s="346">
        <v>45951.28295138889</v>
      </c>
      <c r="P2916" s="334" t="str">
        <f t="shared" si="4"/>
        <v>東鐵名古屋:直納Ｌ２(H4･級外･L1ﾊﾞﾗ)</v>
      </c>
    </row>
    <row r="2917" ht="15.75" customHeight="1">
      <c r="A2917" s="335" t="s">
        <v>4066</v>
      </c>
      <c r="B2917" s="336">
        <v>45951.0</v>
      </c>
      <c r="C2917" s="335" t="s">
        <v>535</v>
      </c>
      <c r="D2917" s="335" t="s">
        <v>77</v>
      </c>
      <c r="E2917" s="337" t="str">
        <f t="shared" si="1"/>
        <v>東鐵名古屋:直納</v>
      </c>
      <c r="F2917" s="338" t="s">
        <v>145</v>
      </c>
      <c r="G2917" s="339" t="str">
        <f t="shared" si="2"/>
        <v>東鐵名古屋:直納シュレＡ</v>
      </c>
      <c r="H2917" s="340">
        <f t="shared" si="3"/>
        <v>43.5</v>
      </c>
      <c r="I2917" s="341">
        <v>1.0</v>
      </c>
      <c r="J2917" s="332">
        <f>IFERROR(__xludf.DUMMYFUNCTION("IF(IF(COUNTIF(P$2:P2916, P2917)=0, """", INDEX(H$2:H2916,
MAX(FILTER(ROW(H$2:H2916) - ROW(H$2) + 1, P$2:P2916 = P2917))))=""単価"","""",
IF(COUNTIF(P$2:P2916, P2917)=0, """", INDEX(H$2:H2916,
MAX(FILTER(ROW(H$2:H2916) - ROW(H$2) + 1, P$2:P2916 = P2917)))))"),42.5)</f>
        <v>42.5</v>
      </c>
      <c r="N2917" s="335" t="str">
        <f>IF(MAXIFS('単価履歴'!$O:$O,'単価履歴'!$E:$E,E2917,'単価履歴'!$F:$F,F2917)=O2917,"●","")</f>
        <v/>
      </c>
      <c r="O2917" s="346">
        <v>45951.28295138889</v>
      </c>
      <c r="P2917" s="334" t="str">
        <f t="shared" si="4"/>
        <v>東鐵名古屋:直納シュレＡ</v>
      </c>
    </row>
    <row r="2918" ht="15.75" customHeight="1">
      <c r="A2918" s="335" t="s">
        <v>4067</v>
      </c>
      <c r="B2918" s="336">
        <v>45951.0</v>
      </c>
      <c r="C2918" s="335" t="s">
        <v>535</v>
      </c>
      <c r="D2918" s="335" t="s">
        <v>77</v>
      </c>
      <c r="E2918" s="337" t="str">
        <f t="shared" si="1"/>
        <v>東鐵名古屋:直納</v>
      </c>
      <c r="F2918" s="338" t="s">
        <v>151</v>
      </c>
      <c r="G2918" s="339" t="str">
        <f t="shared" si="2"/>
        <v>東鐵名古屋:直納シュレＣ</v>
      </c>
      <c r="H2918" s="340">
        <f t="shared" si="3"/>
        <v>43</v>
      </c>
      <c r="I2918" s="341">
        <v>1.0</v>
      </c>
      <c r="J2918" s="332">
        <f>IFERROR(__xludf.DUMMYFUNCTION("IF(IF(COUNTIF(P$2:P2917, P2918)=0, """", INDEX(H$2:H2917,
MAX(FILTER(ROW(H$2:H2917) - ROW(H$2) + 1, P$2:P2917 = P2918))))=""単価"","""",
IF(COUNTIF(P$2:P2917, P2918)=0, """", INDEX(H$2:H2917,
MAX(FILTER(ROW(H$2:H2917) - ROW(H$2) + 1, P$2:P2917 = P2918)))))"),42.0)</f>
        <v>42</v>
      </c>
      <c r="N2918" s="335" t="str">
        <f>IF(MAXIFS('単価履歴'!$O:$O,'単価履歴'!$E:$E,E2918,'単価履歴'!$F:$F,F2918)=O2918,"●","")</f>
        <v/>
      </c>
      <c r="O2918" s="346">
        <v>45951.28295138889</v>
      </c>
      <c r="P2918" s="334" t="str">
        <f t="shared" si="4"/>
        <v>東鐵名古屋:直納シュレＣ</v>
      </c>
    </row>
    <row r="2919" ht="15.75" customHeight="1">
      <c r="A2919" s="335" t="s">
        <v>4068</v>
      </c>
      <c r="B2919" s="336">
        <v>45951.0</v>
      </c>
      <c r="C2919" s="335" t="s">
        <v>536</v>
      </c>
      <c r="D2919" s="335" t="s">
        <v>77</v>
      </c>
      <c r="E2919" s="337" t="str">
        <f t="shared" si="1"/>
        <v>東鐵田原:直納</v>
      </c>
      <c r="F2919" s="338" t="s">
        <v>1199</v>
      </c>
      <c r="G2919" s="339" t="str">
        <f t="shared" si="2"/>
        <v>東鐵田原:直納ＨＳ１(単体H1/電特A/HS))</v>
      </c>
      <c r="H2919" s="340">
        <f t="shared" si="3"/>
        <v>45.5</v>
      </c>
      <c r="I2919" s="341">
        <v>1.0</v>
      </c>
      <c r="J2919" s="332">
        <f>IFERROR(__xludf.DUMMYFUNCTION("IF(IF(COUNTIF(P$2:P2918, P2919)=0, """", INDEX(H$2:H2918,
MAX(FILTER(ROW(H$2:H2918) - ROW(H$2) + 1, P$2:P2918 = P2919))))=""単価"","""",
IF(COUNTIF(P$2:P2918, P2919)=0, """", INDEX(H$2:H2918,
MAX(FILTER(ROW(H$2:H2918) - ROW(H$2) + 1, P$2:P2918 = P2919)))))"),44.5)</f>
        <v>44.5</v>
      </c>
      <c r="N2919" s="335" t="str">
        <f>IF(MAXIFS('単価履歴'!$O:$O,'単価履歴'!$E:$E,E2919,'単価履歴'!$F:$F,F2919)=O2919,"●","")</f>
        <v/>
      </c>
      <c r="O2919" s="346">
        <v>45951.283171296294</v>
      </c>
      <c r="P2919" s="334" t="str">
        <f t="shared" si="4"/>
        <v>東鐵田原:直納ＨＳ１(単体H1/電特A/HS))</v>
      </c>
    </row>
    <row r="2920" ht="15.75" customHeight="1">
      <c r="A2920" s="335" t="s">
        <v>4069</v>
      </c>
      <c r="B2920" s="336">
        <v>45951.0</v>
      </c>
      <c r="C2920" s="335" t="s">
        <v>536</v>
      </c>
      <c r="D2920" s="335" t="s">
        <v>77</v>
      </c>
      <c r="E2920" s="337" t="str">
        <f t="shared" si="1"/>
        <v>東鐵田原:直納</v>
      </c>
      <c r="F2920" s="338" t="s">
        <v>111</v>
      </c>
      <c r="G2920" s="339" t="str">
        <f t="shared" si="2"/>
        <v>東鐵田原:直納Ｈ１(特A)</v>
      </c>
      <c r="H2920" s="340">
        <f t="shared" si="3"/>
        <v>44.7</v>
      </c>
      <c r="I2920" s="341">
        <v>1.0</v>
      </c>
      <c r="J2920" s="332">
        <f>IFERROR(__xludf.DUMMYFUNCTION("IF(IF(COUNTIF(P$2:P2919, P2920)=0, """", INDEX(H$2:H2919,
MAX(FILTER(ROW(H$2:H2919) - ROW(H$2) + 1, P$2:P2919 = P2920))))=""単価"","""",
IF(COUNTIF(P$2:P2919, P2920)=0, """", INDEX(H$2:H2919,
MAX(FILTER(ROW(H$2:H2919) - ROW(H$2) + 1, P$2:P2919 = P2920)))))"),43.7)</f>
        <v>43.7</v>
      </c>
      <c r="N2920" s="335" t="str">
        <f>IF(MAXIFS('単価履歴'!$O:$O,'単価履歴'!$E:$E,E2920,'単価履歴'!$F:$F,F2920)=O2920,"●","")</f>
        <v/>
      </c>
      <c r="O2920" s="346">
        <v>45951.283171296294</v>
      </c>
      <c r="P2920" s="334" t="str">
        <f t="shared" si="4"/>
        <v>東鐵田原:直納Ｈ１(特A)</v>
      </c>
    </row>
    <row r="2921" ht="15.75" customHeight="1">
      <c r="A2921" s="335" t="s">
        <v>4070</v>
      </c>
      <c r="B2921" s="336">
        <v>45951.0</v>
      </c>
      <c r="C2921" s="335" t="s">
        <v>536</v>
      </c>
      <c r="D2921" s="335" t="s">
        <v>77</v>
      </c>
      <c r="E2921" s="337" t="str">
        <f t="shared" si="1"/>
        <v>東鐵田原:直納</v>
      </c>
      <c r="F2921" s="338" t="s">
        <v>116</v>
      </c>
      <c r="G2921" s="339" t="str">
        <f t="shared" si="2"/>
        <v>東鐵田原:直納Ｈ２(特級)</v>
      </c>
      <c r="H2921" s="340">
        <f t="shared" si="3"/>
        <v>43</v>
      </c>
      <c r="I2921" s="341">
        <v>1.0</v>
      </c>
      <c r="J2921" s="332">
        <f>IFERROR(__xludf.DUMMYFUNCTION("IF(IF(COUNTIF(P$2:P2920, P2921)=0, """", INDEX(H$2:H2920,
MAX(FILTER(ROW(H$2:H2920) - ROW(H$2) + 1, P$2:P2920 = P2921))))=""単価"","""",
IF(COUNTIF(P$2:P2920, P2921)=0, """", INDEX(H$2:H2920,
MAX(FILTER(ROW(H$2:H2920) - ROW(H$2) + 1, P$2:P2920 = P2921)))))"),42.0)</f>
        <v>42</v>
      </c>
      <c r="N2921" s="335" t="str">
        <f>IF(MAXIFS('単価履歴'!$O:$O,'単価履歴'!$E:$E,E2921,'単価履歴'!$F:$F,F2921)=O2921,"●","")</f>
        <v/>
      </c>
      <c r="O2921" s="346">
        <v>45951.283171296294</v>
      </c>
      <c r="P2921" s="334" t="str">
        <f t="shared" si="4"/>
        <v>東鐵田原:直納Ｈ２(特級)</v>
      </c>
    </row>
    <row r="2922" ht="15.75" customHeight="1">
      <c r="A2922" s="335" t="s">
        <v>4071</v>
      </c>
      <c r="B2922" s="336">
        <v>45951.0</v>
      </c>
      <c r="C2922" s="335" t="s">
        <v>536</v>
      </c>
      <c r="D2922" s="335" t="s">
        <v>77</v>
      </c>
      <c r="E2922" s="337" t="str">
        <f t="shared" si="1"/>
        <v>東鐵田原:直納</v>
      </c>
      <c r="F2922" s="338" t="s">
        <v>119</v>
      </c>
      <c r="G2922" s="339" t="str">
        <f t="shared" si="2"/>
        <v>東鐵田原:直納Ｈ３(1級)</v>
      </c>
      <c r="H2922" s="340">
        <f t="shared" si="3"/>
        <v>42.5</v>
      </c>
      <c r="I2922" s="341">
        <v>1.0</v>
      </c>
      <c r="J2922" s="332">
        <f>IFERROR(__xludf.DUMMYFUNCTION("IF(IF(COUNTIF(P$2:P2921, P2922)=0, """", INDEX(H$2:H2921,
MAX(FILTER(ROW(H$2:H2921) - ROW(H$2) + 1, P$2:P2921 = P2922))))=""単価"","""",
IF(COUNTIF(P$2:P2921, P2922)=0, """", INDEX(H$2:H2921,
MAX(FILTER(ROW(H$2:H2921) - ROW(H$2) + 1, P$2:P2921 = P2922)))))"),41.5)</f>
        <v>41.5</v>
      </c>
      <c r="N2922" s="335" t="str">
        <f>IF(MAXIFS('単価履歴'!$O:$O,'単価履歴'!$E:$E,E2922,'単価履歴'!$F:$F,F2922)=O2922,"●","")</f>
        <v/>
      </c>
      <c r="O2922" s="346">
        <v>45951.283171296294</v>
      </c>
      <c r="P2922" s="334" t="str">
        <f t="shared" si="4"/>
        <v>東鐵田原:直納Ｈ３(1級)</v>
      </c>
    </row>
    <row r="2923" ht="15.75" customHeight="1">
      <c r="A2923" s="335" t="s">
        <v>4072</v>
      </c>
      <c r="B2923" s="336">
        <v>45951.0</v>
      </c>
      <c r="C2923" s="335" t="s">
        <v>536</v>
      </c>
      <c r="D2923" s="335" t="s">
        <v>77</v>
      </c>
      <c r="E2923" s="337" t="str">
        <f t="shared" si="1"/>
        <v>東鐵田原:直納</v>
      </c>
      <c r="F2923" s="338" t="s">
        <v>122</v>
      </c>
      <c r="G2923" s="339" t="str">
        <f t="shared" si="2"/>
        <v>東鐵田原:直納Ｌ１(2級)</v>
      </c>
      <c r="H2923" s="340">
        <f t="shared" si="3"/>
        <v>41</v>
      </c>
      <c r="I2923" s="341">
        <v>1.0</v>
      </c>
      <c r="J2923" s="332">
        <f>IFERROR(__xludf.DUMMYFUNCTION("IF(IF(COUNTIF(P$2:P2922, P2923)=0, """", INDEX(H$2:H2922,
MAX(FILTER(ROW(H$2:H2922) - ROW(H$2) + 1, P$2:P2922 = P2923))))=""単価"","""",
IF(COUNTIF(P$2:P2922, P2923)=0, """", INDEX(H$2:H2922,
MAX(FILTER(ROW(H$2:H2922) - ROW(H$2) + 1, P$2:P2922 = P2923)))))"),40.0)</f>
        <v>40</v>
      </c>
      <c r="N2923" s="335" t="str">
        <f>IF(MAXIFS('単価履歴'!$O:$O,'単価履歴'!$E:$E,E2923,'単価履歴'!$F:$F,F2923)=O2923,"●","")</f>
        <v/>
      </c>
      <c r="O2923" s="346">
        <v>45951.283171296294</v>
      </c>
      <c r="P2923" s="334" t="str">
        <f t="shared" si="4"/>
        <v>東鐵田原:直納Ｌ１(2級)</v>
      </c>
    </row>
    <row r="2924" ht="15.75" customHeight="1">
      <c r="A2924" s="335" t="s">
        <v>4073</v>
      </c>
      <c r="B2924" s="336">
        <v>45951.0</v>
      </c>
      <c r="C2924" s="335" t="s">
        <v>536</v>
      </c>
      <c r="D2924" s="335" t="s">
        <v>77</v>
      </c>
      <c r="E2924" s="337" t="str">
        <f t="shared" si="1"/>
        <v>東鐵田原:直納</v>
      </c>
      <c r="F2924" s="338" t="s">
        <v>573</v>
      </c>
      <c r="G2924" s="339" t="str">
        <f t="shared" si="2"/>
        <v>東鐵田原:直納Ｌ２(H4･級外･L1ﾊﾞﾗ)</v>
      </c>
      <c r="H2924" s="340">
        <f t="shared" si="3"/>
        <v>38</v>
      </c>
      <c r="I2924" s="341">
        <v>1.0</v>
      </c>
      <c r="J2924" s="332">
        <f>IFERROR(__xludf.DUMMYFUNCTION("IF(IF(COUNTIF(P$2:P2923, P2924)=0, """", INDEX(H$2:H2923,
MAX(FILTER(ROW(H$2:H2923) - ROW(H$2) + 1, P$2:P2923 = P2924))))=""単価"","""",
IF(COUNTIF(P$2:P2923, P2924)=0, """", INDEX(H$2:H2923,
MAX(FILTER(ROW(H$2:H2923) - ROW(H$2) + 1, P$2:P2923 = P2924)))))"),37.0)</f>
        <v>37</v>
      </c>
      <c r="N2924" s="335" t="str">
        <f>IF(MAXIFS('単価履歴'!$O:$O,'単価履歴'!$E:$E,E2924,'単価履歴'!$F:$F,F2924)=O2924,"●","")</f>
        <v/>
      </c>
      <c r="O2924" s="346">
        <v>45951.283171296294</v>
      </c>
      <c r="P2924" s="334" t="str">
        <f t="shared" si="4"/>
        <v>東鐵田原:直納Ｌ２(H4･級外･L1ﾊﾞﾗ)</v>
      </c>
    </row>
    <row r="2925" ht="15.75" customHeight="1">
      <c r="A2925" s="335" t="s">
        <v>4074</v>
      </c>
      <c r="B2925" s="336">
        <v>45951.0</v>
      </c>
      <c r="C2925" s="335" t="s">
        <v>536</v>
      </c>
      <c r="D2925" s="335" t="s">
        <v>77</v>
      </c>
      <c r="E2925" s="337" t="str">
        <f t="shared" si="1"/>
        <v>東鐵田原:直納</v>
      </c>
      <c r="F2925" s="338" t="s">
        <v>130</v>
      </c>
      <c r="G2925" s="339" t="str">
        <f t="shared" si="2"/>
        <v>東鐵田原:直納新断Ａ</v>
      </c>
      <c r="H2925" s="340">
        <f t="shared" si="3"/>
        <v>45</v>
      </c>
      <c r="I2925" s="341">
        <v>1.0</v>
      </c>
      <c r="J2925" s="332">
        <f>IFERROR(__xludf.DUMMYFUNCTION("IF(IF(COUNTIF(P$2:P2924, P2925)=0, """", INDEX(H$2:H2924,
MAX(FILTER(ROW(H$2:H2924) - ROW(H$2) + 1, P$2:P2924 = P2925))))=""単価"","""",
IF(COUNTIF(P$2:P2924, P2925)=0, """", INDEX(H$2:H2924,
MAX(FILTER(ROW(H$2:H2924) - ROW(H$2) + 1, P$2:P2924 = P2925)))))"),44.0)</f>
        <v>44</v>
      </c>
      <c r="N2925" s="335" t="str">
        <f>IF(MAXIFS('単価履歴'!$O:$O,'単価履歴'!$E:$E,E2925,'単価履歴'!$F:$F,F2925)=O2925,"●","")</f>
        <v/>
      </c>
      <c r="O2925" s="346">
        <v>45951.283171296294</v>
      </c>
      <c r="P2925" s="334" t="str">
        <f t="shared" si="4"/>
        <v>東鐵田原:直納新断Ａ</v>
      </c>
    </row>
    <row r="2926" ht="15.75" customHeight="1">
      <c r="A2926" s="335" t="s">
        <v>4075</v>
      </c>
      <c r="B2926" s="336">
        <v>45951.0</v>
      </c>
      <c r="C2926" s="335" t="s">
        <v>536</v>
      </c>
      <c r="D2926" s="335" t="s">
        <v>77</v>
      </c>
      <c r="E2926" s="337" t="str">
        <f t="shared" si="1"/>
        <v>東鐵田原:直納</v>
      </c>
      <c r="F2926" s="338" t="s">
        <v>131</v>
      </c>
      <c r="G2926" s="339" t="str">
        <f t="shared" si="2"/>
        <v>東鐵田原:直納新断Ｂ</v>
      </c>
      <c r="H2926" s="340">
        <f t="shared" si="3"/>
        <v>45</v>
      </c>
      <c r="I2926" s="341">
        <v>1.0</v>
      </c>
      <c r="J2926" s="332">
        <f>IFERROR(__xludf.DUMMYFUNCTION("IF(IF(COUNTIF(P$2:P2925, P2926)=0, """", INDEX(H$2:H2925,
MAX(FILTER(ROW(H$2:H2925) - ROW(H$2) + 1, P$2:P2925 = P2926))))=""単価"","""",
IF(COUNTIF(P$2:P2925, P2926)=0, """", INDEX(H$2:H2925,
MAX(FILTER(ROW(H$2:H2925) - ROW(H$2) + 1, P$2:P2925 = P2926)))))"),44.0)</f>
        <v>44</v>
      </c>
      <c r="N2926" s="335" t="str">
        <f>IF(MAXIFS('単価履歴'!$O:$O,'単価履歴'!$E:$E,E2926,'単価履歴'!$F:$F,F2926)=O2926,"●","")</f>
        <v/>
      </c>
      <c r="O2926" s="346">
        <v>45951.283171296294</v>
      </c>
      <c r="P2926" s="334" t="str">
        <f t="shared" si="4"/>
        <v>東鐵田原:直納新断Ｂ</v>
      </c>
    </row>
    <row r="2927" ht="15.75" customHeight="1">
      <c r="A2927" s="335" t="s">
        <v>4076</v>
      </c>
      <c r="B2927" s="336">
        <v>45951.0</v>
      </c>
      <c r="C2927" s="335" t="s">
        <v>536</v>
      </c>
      <c r="D2927" s="335" t="s">
        <v>77</v>
      </c>
      <c r="E2927" s="337" t="str">
        <f t="shared" si="1"/>
        <v>東鐵田原:直納</v>
      </c>
      <c r="F2927" s="338" t="s">
        <v>575</v>
      </c>
      <c r="G2927" s="339" t="str">
        <f t="shared" si="2"/>
        <v>東鐵田原:直納鋼ダライＡ</v>
      </c>
      <c r="H2927" s="340">
        <f t="shared" si="3"/>
        <v>41.5</v>
      </c>
      <c r="I2927" s="341">
        <v>1.0</v>
      </c>
      <c r="J2927" s="332">
        <f>IFERROR(__xludf.DUMMYFUNCTION("IF(IF(COUNTIF(P$2:P2926, P2927)=0, """", INDEX(H$2:H2926,
MAX(FILTER(ROW(H$2:H2926) - ROW(H$2) + 1, P$2:P2926 = P2927))))=""単価"","""",
IF(COUNTIF(P$2:P2926, P2927)=0, """", INDEX(H$2:H2926,
MAX(FILTER(ROW(H$2:H2926) - ROW(H$2) + 1, P$2:P2926 = P2927)))))"),40.5)</f>
        <v>40.5</v>
      </c>
      <c r="N2927" s="335" t="str">
        <f>IF(MAXIFS('単価履歴'!$O:$O,'単価履歴'!$E:$E,E2927,'単価履歴'!$F:$F,F2927)=O2927,"●","")</f>
        <v/>
      </c>
      <c r="O2927" s="346">
        <v>45951.283171296294</v>
      </c>
      <c r="P2927" s="334" t="str">
        <f t="shared" si="4"/>
        <v>東鐵田原:直納鋼ダライＡ</v>
      </c>
    </row>
    <row r="2928" ht="15.75" customHeight="1">
      <c r="A2928" s="335" t="s">
        <v>4077</v>
      </c>
      <c r="B2928" s="336">
        <v>45951.0</v>
      </c>
      <c r="C2928" s="335" t="s">
        <v>536</v>
      </c>
      <c r="D2928" s="335" t="s">
        <v>77</v>
      </c>
      <c r="E2928" s="337" t="str">
        <f t="shared" si="1"/>
        <v>東鐵田原:直納</v>
      </c>
      <c r="F2928" s="338" t="s">
        <v>145</v>
      </c>
      <c r="G2928" s="339" t="str">
        <f t="shared" si="2"/>
        <v>東鐵田原:直納シュレＡ</v>
      </c>
      <c r="H2928" s="340">
        <f t="shared" si="3"/>
        <v>44</v>
      </c>
      <c r="I2928" s="341">
        <v>1.0</v>
      </c>
      <c r="J2928" s="332">
        <f>IFERROR(__xludf.DUMMYFUNCTION("IF(IF(COUNTIF(P$2:P2927, P2928)=0, """", INDEX(H$2:H2927,
MAX(FILTER(ROW(H$2:H2927) - ROW(H$2) + 1, P$2:P2927 = P2928))))=""単価"","""",
IF(COUNTIF(P$2:P2927, P2928)=0, """", INDEX(H$2:H2927,
MAX(FILTER(ROW(H$2:H2927) - ROW(H$2) + 1, P$2:P2927 = P2928)))))"),43.0)</f>
        <v>43</v>
      </c>
      <c r="N2928" s="335" t="str">
        <f>IF(MAXIFS('単価履歴'!$O:$O,'単価履歴'!$E:$E,E2928,'単価履歴'!$F:$F,F2928)=O2928,"●","")</f>
        <v/>
      </c>
      <c r="O2928" s="346">
        <v>45951.283171296294</v>
      </c>
      <c r="P2928" s="334" t="str">
        <f t="shared" si="4"/>
        <v>東鐵田原:直納シュレＡ</v>
      </c>
    </row>
    <row r="2929" ht="15.75" customHeight="1">
      <c r="A2929" s="335" t="s">
        <v>4078</v>
      </c>
      <c r="B2929" s="336">
        <v>45951.0</v>
      </c>
      <c r="C2929" s="335" t="s">
        <v>536</v>
      </c>
      <c r="D2929" s="335" t="s">
        <v>77</v>
      </c>
      <c r="E2929" s="337" t="str">
        <f t="shared" si="1"/>
        <v>東鐵田原:直納</v>
      </c>
      <c r="F2929" s="338" t="s">
        <v>151</v>
      </c>
      <c r="G2929" s="339" t="str">
        <f t="shared" si="2"/>
        <v>東鐵田原:直納シュレＣ</v>
      </c>
      <c r="H2929" s="340">
        <f t="shared" si="3"/>
        <v>43.5</v>
      </c>
      <c r="I2929" s="341">
        <v>1.0</v>
      </c>
      <c r="J2929" s="332">
        <f>IFERROR(__xludf.DUMMYFUNCTION("IF(IF(COUNTIF(P$2:P2928, P2929)=0, """", INDEX(H$2:H2928,
MAX(FILTER(ROW(H$2:H2928) - ROW(H$2) + 1, P$2:P2928 = P2929))))=""単価"","""",
IF(COUNTIF(P$2:P2928, P2929)=0, """", INDEX(H$2:H2928,
MAX(FILTER(ROW(H$2:H2928) - ROW(H$2) + 1, P$2:P2928 = P2929)))))"),42.5)</f>
        <v>42.5</v>
      </c>
      <c r="N2929" s="335" t="str">
        <f>IF(MAXIFS('単価履歴'!$O:$O,'単価履歴'!$E:$E,E2929,'単価履歴'!$F:$F,F2929)=O2929,"●","")</f>
        <v/>
      </c>
      <c r="O2929" s="346">
        <v>45951.283171296294</v>
      </c>
      <c r="P2929" s="334" t="str">
        <f t="shared" si="4"/>
        <v>東鐵田原:直納シュレＣ</v>
      </c>
    </row>
    <row r="2930" ht="15.75" customHeight="1">
      <c r="A2930" s="335" t="s">
        <v>4079</v>
      </c>
      <c r="B2930" s="336">
        <v>45951.0</v>
      </c>
      <c r="C2930" s="335" t="s">
        <v>536</v>
      </c>
      <c r="D2930" s="335" t="s">
        <v>77</v>
      </c>
      <c r="E2930" s="337" t="str">
        <f t="shared" si="1"/>
        <v>東鐵田原:直納</v>
      </c>
      <c r="F2930" s="338" t="s">
        <v>154</v>
      </c>
      <c r="G2930" s="339" t="str">
        <f t="shared" si="2"/>
        <v>東鐵田原:直納ＣＰ Ａ</v>
      </c>
      <c r="H2930" s="340">
        <f t="shared" si="3"/>
        <v>41.5</v>
      </c>
      <c r="I2930" s="341">
        <v>1.0</v>
      </c>
      <c r="J2930" s="332">
        <f>IFERROR(__xludf.DUMMYFUNCTION("IF(IF(COUNTIF(P$2:P2929, P2930)=0, """", INDEX(H$2:H2929,
MAX(FILTER(ROW(H$2:H2929) - ROW(H$2) + 1, P$2:P2929 = P2930))))=""単価"","""",
IF(COUNTIF(P$2:P2929, P2930)=0, """", INDEX(H$2:H2929,
MAX(FILTER(ROW(H$2:H2929) - ROW(H$2) + 1, P$2:P2929 = P2930)))))"),40.5)</f>
        <v>40.5</v>
      </c>
      <c r="N2930" s="335" t="str">
        <f>IF(MAXIFS('単価履歴'!$O:$O,'単価履歴'!$E:$E,E2930,'単価履歴'!$F:$F,F2930)=O2930,"●","")</f>
        <v/>
      </c>
      <c r="O2930" s="346">
        <v>45951.283171296294</v>
      </c>
      <c r="P2930" s="334" t="str">
        <f t="shared" si="4"/>
        <v>東鐵田原:直納ＣＰ Ａ</v>
      </c>
    </row>
    <row r="2931" ht="15.75" customHeight="1">
      <c r="A2931" s="335" t="s">
        <v>4080</v>
      </c>
      <c r="B2931" s="336">
        <v>45951.0</v>
      </c>
      <c r="C2931" s="335" t="s">
        <v>7</v>
      </c>
      <c r="D2931" s="335" t="s">
        <v>49</v>
      </c>
      <c r="E2931" s="337" t="str">
        <f t="shared" si="1"/>
        <v>合同大阪:伊藤忠</v>
      </c>
      <c r="F2931" s="338" t="s">
        <v>111</v>
      </c>
      <c r="G2931" s="339" t="str">
        <f t="shared" si="2"/>
        <v>合同大阪:伊藤忠Ｈ１(特A)</v>
      </c>
      <c r="H2931" s="340">
        <f t="shared" si="3"/>
        <v>43.3</v>
      </c>
      <c r="I2931" s="341">
        <v>0.5</v>
      </c>
      <c r="J2931" s="332">
        <f>IFERROR(__xludf.DUMMYFUNCTION("IF(IF(COUNTIF(P$2:P2930, P2931)=0, """", INDEX(H$2:H2930,
MAX(FILTER(ROW(H$2:H2930) - ROW(H$2) + 1, P$2:P2930 = P2931))))=""単価"","""",
IF(COUNTIF(P$2:P2930, P2931)=0, """", INDEX(H$2:H2930,
MAX(FILTER(ROW(H$2:H2930) - ROW(H$2) + 1, P$2:P2930 = P2931)))))"),42.8)</f>
        <v>42.8</v>
      </c>
      <c r="N2931" s="335" t="str">
        <f>IF(MAXIFS('単価履歴'!$O:$O,'単価履歴'!$E:$E,E2931,'単価履歴'!$F:$F,F2931)=O2931,"●","")</f>
        <v/>
      </c>
      <c r="O2931" s="346">
        <v>45951.28347222222</v>
      </c>
      <c r="P2931" s="334" t="str">
        <f t="shared" si="4"/>
        <v>合同大阪:伊藤忠Ｈ１(特A)</v>
      </c>
    </row>
    <row r="2932" ht="15.75" customHeight="1">
      <c r="A2932" s="335" t="s">
        <v>4081</v>
      </c>
      <c r="B2932" s="336">
        <v>45951.0</v>
      </c>
      <c r="C2932" s="335" t="s">
        <v>7</v>
      </c>
      <c r="D2932" s="335" t="s">
        <v>49</v>
      </c>
      <c r="E2932" s="337" t="str">
        <f t="shared" si="1"/>
        <v>合同大阪:伊藤忠</v>
      </c>
      <c r="F2932" s="338" t="s">
        <v>116</v>
      </c>
      <c r="G2932" s="339" t="str">
        <f t="shared" si="2"/>
        <v>合同大阪:伊藤忠Ｈ２(特級)</v>
      </c>
      <c r="H2932" s="340">
        <f t="shared" si="3"/>
        <v>41.8</v>
      </c>
      <c r="I2932" s="341">
        <v>0.5</v>
      </c>
      <c r="J2932" s="332">
        <f>IFERROR(__xludf.DUMMYFUNCTION("IF(IF(COUNTIF(P$2:P2931, P2932)=0, """", INDEX(H$2:H2931,
MAX(FILTER(ROW(H$2:H2931) - ROW(H$2) + 1, P$2:P2931 = P2932))))=""単価"","""",
IF(COUNTIF(P$2:P2931, P2932)=0, """", INDEX(H$2:H2931,
MAX(FILTER(ROW(H$2:H2931) - ROW(H$2) + 1, P$2:P2931 = P2932)))))"),41.3)</f>
        <v>41.3</v>
      </c>
      <c r="N2932" s="335" t="str">
        <f>IF(MAXIFS('単価履歴'!$O:$O,'単価履歴'!$E:$E,E2932,'単価履歴'!$F:$F,F2932)=O2932,"●","")</f>
        <v/>
      </c>
      <c r="O2932" s="346">
        <v>45951.28347222222</v>
      </c>
      <c r="P2932" s="334" t="str">
        <f t="shared" si="4"/>
        <v>合同大阪:伊藤忠Ｈ２(特級)</v>
      </c>
    </row>
    <row r="2933" ht="15.75" customHeight="1">
      <c r="A2933" s="335" t="s">
        <v>4082</v>
      </c>
      <c r="B2933" s="336">
        <v>45951.0</v>
      </c>
      <c r="C2933" s="335" t="s">
        <v>7</v>
      </c>
      <c r="D2933" s="335" t="s">
        <v>49</v>
      </c>
      <c r="E2933" s="337" t="str">
        <f t="shared" si="1"/>
        <v>合同大阪:伊藤忠</v>
      </c>
      <c r="F2933" s="338" t="s">
        <v>119</v>
      </c>
      <c r="G2933" s="339" t="str">
        <f t="shared" si="2"/>
        <v>合同大阪:伊藤忠Ｈ３(1級)</v>
      </c>
      <c r="H2933" s="340">
        <f t="shared" si="3"/>
        <v>41.3</v>
      </c>
      <c r="I2933" s="341">
        <v>0.5</v>
      </c>
      <c r="J2933" s="332">
        <f>IFERROR(__xludf.DUMMYFUNCTION("IF(IF(COUNTIF(P$2:P2932, P2933)=0, """", INDEX(H$2:H2932,
MAX(FILTER(ROW(H$2:H2932) - ROW(H$2) + 1, P$2:P2932 = P2933))))=""単価"","""",
IF(COUNTIF(P$2:P2932, P2933)=0, """", INDEX(H$2:H2932,
MAX(FILTER(ROW(H$2:H2932) - ROW(H$2) + 1, P$2:P2932 = P2933)))))"),40.8)</f>
        <v>40.8</v>
      </c>
      <c r="N2933" s="335" t="str">
        <f>IF(MAXIFS('単価履歴'!$O:$O,'単価履歴'!$E:$E,E2933,'単価履歴'!$F:$F,F2933)=O2933,"●","")</f>
        <v/>
      </c>
      <c r="O2933" s="346">
        <v>45951.28347222222</v>
      </c>
      <c r="P2933" s="334" t="str">
        <f t="shared" si="4"/>
        <v>合同大阪:伊藤忠Ｈ３(1級)</v>
      </c>
    </row>
    <row r="2934" ht="15.75" customHeight="1">
      <c r="A2934" s="335" t="s">
        <v>4083</v>
      </c>
      <c r="B2934" s="336">
        <v>45951.0</v>
      </c>
      <c r="C2934" s="335" t="s">
        <v>7</v>
      </c>
      <c r="D2934" s="335" t="s">
        <v>49</v>
      </c>
      <c r="E2934" s="337" t="str">
        <f t="shared" si="1"/>
        <v>合同大阪:伊藤忠</v>
      </c>
      <c r="F2934" s="338" t="s">
        <v>122</v>
      </c>
      <c r="G2934" s="339" t="str">
        <f t="shared" si="2"/>
        <v>合同大阪:伊藤忠Ｌ１(2級)</v>
      </c>
      <c r="H2934" s="340">
        <f t="shared" si="3"/>
        <v>40.3</v>
      </c>
      <c r="I2934" s="341">
        <v>0.5</v>
      </c>
      <c r="J2934" s="332">
        <f>IFERROR(__xludf.DUMMYFUNCTION("IF(IF(COUNTIF(P$2:P2933, P2934)=0, """", INDEX(H$2:H2933,
MAX(FILTER(ROW(H$2:H2933) - ROW(H$2) + 1, P$2:P2933 = P2934))))=""単価"","""",
IF(COUNTIF(P$2:P2933, P2934)=0, """", INDEX(H$2:H2933,
MAX(FILTER(ROW(H$2:H2933) - ROW(H$2) + 1, P$2:P2933 = P2934)))))"),39.8)</f>
        <v>39.8</v>
      </c>
      <c r="N2934" s="335" t="str">
        <f>IF(MAXIFS('単価履歴'!$O:$O,'単価履歴'!$E:$E,E2934,'単価履歴'!$F:$F,F2934)=O2934,"●","")</f>
        <v/>
      </c>
      <c r="O2934" s="346">
        <v>45951.28347222222</v>
      </c>
      <c r="P2934" s="334" t="str">
        <f t="shared" si="4"/>
        <v>合同大阪:伊藤忠Ｌ１(2級)</v>
      </c>
    </row>
    <row r="2935" ht="15.75" customHeight="1">
      <c r="A2935" s="335" t="s">
        <v>4084</v>
      </c>
      <c r="B2935" s="336">
        <v>45951.0</v>
      </c>
      <c r="C2935" s="335" t="s">
        <v>19</v>
      </c>
      <c r="D2935" s="335" t="s">
        <v>61</v>
      </c>
      <c r="E2935" s="337" t="str">
        <f t="shared" si="1"/>
        <v>トピー工業:ＭＭ</v>
      </c>
      <c r="F2935" s="338" t="s">
        <v>116</v>
      </c>
      <c r="G2935" s="339" t="str">
        <f t="shared" si="2"/>
        <v>トピー工業:ＭＭＨ２(特級)</v>
      </c>
      <c r="H2935" s="340">
        <f t="shared" si="3"/>
        <v>36.5</v>
      </c>
      <c r="I2935" s="341">
        <v>1.0</v>
      </c>
      <c r="J2935" s="332">
        <f>IFERROR(__xludf.DUMMYFUNCTION("IF(IF(COUNTIF(P$2:P2934, P2935)=0, """", INDEX(H$2:H2934,
MAX(FILTER(ROW(H$2:H2934) - ROW(H$2) + 1, P$2:P2934 = P2935))))=""単価"","""",
IF(COUNTIF(P$2:P2934, P2935)=0, """", INDEX(H$2:H2934,
MAX(FILTER(ROW(H$2:H2934) - ROW(H$2) + 1, P$2:P2934 = P2935)))))"),35.5)</f>
        <v>35.5</v>
      </c>
      <c r="N2935" s="335" t="str">
        <f>IF(MAXIFS('単価履歴'!$O:$O,'単価履歴'!$E:$E,E2935,'単価履歴'!$F:$F,F2935)=O2935,"●","")</f>
        <v/>
      </c>
      <c r="O2935" s="346">
        <v>45951.28537037037</v>
      </c>
      <c r="P2935" s="334" t="str">
        <f t="shared" si="4"/>
        <v>トピー工業:ＭＭＨ２(特級)</v>
      </c>
    </row>
    <row r="2936" ht="15.75" customHeight="1">
      <c r="A2936" s="335" t="s">
        <v>4085</v>
      </c>
      <c r="B2936" s="336">
        <v>45951.0</v>
      </c>
      <c r="C2936" s="335" t="s">
        <v>37</v>
      </c>
      <c r="D2936" s="335" t="s">
        <v>48</v>
      </c>
      <c r="E2936" s="337" t="str">
        <f t="shared" si="1"/>
        <v>共英名古屋:ナベ</v>
      </c>
      <c r="F2936" s="338" t="s">
        <v>111</v>
      </c>
      <c r="G2936" s="339" t="str">
        <f t="shared" si="2"/>
        <v>共英名古屋:ナベＨ１(特A)</v>
      </c>
      <c r="H2936" s="340">
        <f t="shared" si="3"/>
        <v>44.2</v>
      </c>
      <c r="I2936" s="341">
        <v>1.0</v>
      </c>
      <c r="J2936" s="332">
        <f>IFERROR(__xludf.DUMMYFUNCTION("IF(IF(COUNTIF(P$2:P2935, P2936)=0, """", INDEX(H$2:H2935,
MAX(FILTER(ROW(H$2:H2935) - ROW(H$2) + 1, P$2:P2935 = P2936))))=""単価"","""",
IF(COUNTIF(P$2:P2935, P2936)=0, """", INDEX(H$2:H2935,
MAX(FILTER(ROW(H$2:H2935) - ROW(H$2) + 1, P$2:P2935 = P2936)))))"),43.2)</f>
        <v>43.2</v>
      </c>
      <c r="N2936" s="335" t="str">
        <f>IF(MAXIFS('単価履歴'!$O:$O,'単価履歴'!$E:$E,E2936,'単価履歴'!$F:$F,F2936)=O2936,"●","")</f>
        <v/>
      </c>
      <c r="O2936" s="346">
        <v>45951.28563657407</v>
      </c>
      <c r="P2936" s="334" t="str">
        <f t="shared" si="4"/>
        <v>共英名古屋:ナベＨ１(特A)</v>
      </c>
    </row>
    <row r="2937" ht="15.75" customHeight="1">
      <c r="A2937" s="335" t="s">
        <v>4086</v>
      </c>
      <c r="B2937" s="336">
        <v>45951.0</v>
      </c>
      <c r="C2937" s="335" t="s">
        <v>37</v>
      </c>
      <c r="D2937" s="335" t="s">
        <v>48</v>
      </c>
      <c r="E2937" s="337" t="str">
        <f t="shared" si="1"/>
        <v>共英名古屋:ナベ</v>
      </c>
      <c r="F2937" s="338" t="s">
        <v>116</v>
      </c>
      <c r="G2937" s="339" t="str">
        <f t="shared" si="2"/>
        <v>共英名古屋:ナベＨ２(特級)</v>
      </c>
      <c r="H2937" s="340">
        <f t="shared" si="3"/>
        <v>41.5</v>
      </c>
      <c r="I2937" s="341">
        <v>1.0</v>
      </c>
      <c r="J2937" s="332">
        <f>IFERROR(__xludf.DUMMYFUNCTION("IF(IF(COUNTIF(P$2:P2936, P2937)=0, """", INDEX(H$2:H2936,
MAX(FILTER(ROW(H$2:H2936) - ROW(H$2) + 1, P$2:P2936 = P2937))))=""単価"","""",
IF(COUNTIF(P$2:P2936, P2937)=0, """", INDEX(H$2:H2936,
MAX(FILTER(ROW(H$2:H2936) - ROW(H$2) + 1, P$2:P2936 = P2937)))))"),40.5)</f>
        <v>40.5</v>
      </c>
      <c r="N2937" s="335" t="str">
        <f>IF(MAXIFS('単価履歴'!$O:$O,'単価履歴'!$E:$E,E2937,'単価履歴'!$F:$F,F2937)=O2937,"●","")</f>
        <v/>
      </c>
      <c r="O2937" s="346">
        <v>45951.28563657407</v>
      </c>
      <c r="P2937" s="334" t="str">
        <f t="shared" si="4"/>
        <v>共英名古屋:ナベＨ２(特級)</v>
      </c>
    </row>
    <row r="2938" ht="15.75" customHeight="1">
      <c r="A2938" s="335" t="s">
        <v>4087</v>
      </c>
      <c r="B2938" s="336">
        <v>45951.0</v>
      </c>
      <c r="C2938" s="335" t="s">
        <v>37</v>
      </c>
      <c r="D2938" s="335" t="s">
        <v>48</v>
      </c>
      <c r="E2938" s="337" t="str">
        <f t="shared" si="1"/>
        <v>共英名古屋:ナベ</v>
      </c>
      <c r="F2938" s="338" t="s">
        <v>119</v>
      </c>
      <c r="G2938" s="339" t="str">
        <f t="shared" si="2"/>
        <v>共英名古屋:ナベＨ３(1級)</v>
      </c>
      <c r="H2938" s="340">
        <f t="shared" si="3"/>
        <v>40.5</v>
      </c>
      <c r="I2938" s="341">
        <v>1.0</v>
      </c>
      <c r="J2938" s="332">
        <f>IFERROR(__xludf.DUMMYFUNCTION("IF(IF(COUNTIF(P$2:P2937, P2938)=0, """", INDEX(H$2:H2937,
MAX(FILTER(ROW(H$2:H2937) - ROW(H$2) + 1, P$2:P2937 = P2938))))=""単価"","""",
IF(COUNTIF(P$2:P2937, P2938)=0, """", INDEX(H$2:H2937,
MAX(FILTER(ROW(H$2:H2937) - ROW(H$2) + 1, P$2:P2937 = P2938)))))"),39.5)</f>
        <v>39.5</v>
      </c>
      <c r="N2938" s="335" t="str">
        <f>IF(MAXIFS('単価履歴'!$O:$O,'単価履歴'!$E:$E,E2938,'単価履歴'!$F:$F,F2938)=O2938,"●","")</f>
        <v/>
      </c>
      <c r="O2938" s="346">
        <v>45951.28563657407</v>
      </c>
      <c r="P2938" s="334" t="str">
        <f t="shared" si="4"/>
        <v>共英名古屋:ナベＨ３(1級)</v>
      </c>
    </row>
    <row r="2939" ht="15.75" customHeight="1">
      <c r="A2939" s="335" t="s">
        <v>4088</v>
      </c>
      <c r="B2939" s="336">
        <v>45951.0</v>
      </c>
      <c r="C2939" s="335" t="s">
        <v>37</v>
      </c>
      <c r="D2939" s="335" t="s">
        <v>48</v>
      </c>
      <c r="E2939" s="337" t="str">
        <f t="shared" si="1"/>
        <v>共英名古屋:ナベ</v>
      </c>
      <c r="F2939" s="338" t="s">
        <v>122</v>
      </c>
      <c r="G2939" s="339" t="str">
        <f t="shared" si="2"/>
        <v>共英名古屋:ナベＬ１(2級)</v>
      </c>
      <c r="H2939" s="340">
        <f t="shared" si="3"/>
        <v>37.5</v>
      </c>
      <c r="I2939" s="341">
        <v>1.0</v>
      </c>
      <c r="J2939" s="332">
        <f>IFERROR(__xludf.DUMMYFUNCTION("IF(IF(COUNTIF(P$2:P2938, P2939)=0, """", INDEX(H$2:H2938,
MAX(FILTER(ROW(H$2:H2938) - ROW(H$2) + 1, P$2:P2938 = P2939))))=""単価"","""",
IF(COUNTIF(P$2:P2938, P2939)=0, """", INDEX(H$2:H2938,
MAX(FILTER(ROW(H$2:H2938) - ROW(H$2) + 1, P$2:P2938 = P2939)))))"),36.5)</f>
        <v>36.5</v>
      </c>
      <c r="N2939" s="335" t="str">
        <f>IF(MAXIFS('単価履歴'!$O:$O,'単価履歴'!$E:$E,E2939,'単価履歴'!$F:$F,F2939)=O2939,"●","")</f>
        <v/>
      </c>
      <c r="O2939" s="346">
        <v>45951.28563657407</v>
      </c>
      <c r="P2939" s="334" t="str">
        <f t="shared" si="4"/>
        <v>共英名古屋:ナベＬ１(2級)</v>
      </c>
    </row>
    <row r="2940" ht="15.75" customHeight="1">
      <c r="A2940" s="335" t="s">
        <v>4089</v>
      </c>
      <c r="B2940" s="336">
        <v>45951.0</v>
      </c>
      <c r="C2940" s="335" t="s">
        <v>6</v>
      </c>
      <c r="D2940" s="335" t="s">
        <v>48</v>
      </c>
      <c r="E2940" s="337" t="str">
        <f t="shared" si="1"/>
        <v>中山鋼業:ナベ</v>
      </c>
      <c r="F2940" s="338" t="s">
        <v>111</v>
      </c>
      <c r="G2940" s="339" t="str">
        <f t="shared" si="2"/>
        <v>中山鋼業:ナベＨ１(特A)</v>
      </c>
      <c r="H2940" s="340">
        <f t="shared" si="3"/>
        <v>44.5</v>
      </c>
      <c r="I2940" s="341">
        <v>0.5</v>
      </c>
      <c r="J2940" s="332">
        <f>IFERROR(__xludf.DUMMYFUNCTION("IF(IF(COUNTIF(P$2:P2939, P2940)=0, """", INDEX(H$2:H2939,
MAX(FILTER(ROW(H$2:H2939) - ROW(H$2) + 1, P$2:P2939 = P2940))))=""単価"","""",
IF(COUNTIF(P$2:P2939, P2940)=0, """", INDEX(H$2:H2939,
MAX(FILTER(ROW(H$2:H2939) - ROW(H$2) + 1, P$2:P2939 = P2940)))))"),44.0)</f>
        <v>44</v>
      </c>
      <c r="N2940" s="335" t="str">
        <f>IF(MAXIFS('単価履歴'!$O:$O,'単価履歴'!$E:$E,E2940,'単価履歴'!$F:$F,F2940)=O2940,"●","")</f>
        <v/>
      </c>
      <c r="O2940" s="346">
        <v>45951.28601851852</v>
      </c>
      <c r="P2940" s="334" t="str">
        <f t="shared" si="4"/>
        <v>中山鋼業:ナベＨ１(特A)</v>
      </c>
    </row>
    <row r="2941" ht="15.75" customHeight="1">
      <c r="A2941" s="335" t="s">
        <v>4090</v>
      </c>
      <c r="B2941" s="336">
        <v>45951.0</v>
      </c>
      <c r="C2941" s="335" t="s">
        <v>6</v>
      </c>
      <c r="D2941" s="335" t="s">
        <v>48</v>
      </c>
      <c r="E2941" s="337" t="str">
        <f t="shared" si="1"/>
        <v>中山鋼業:ナベ</v>
      </c>
      <c r="F2941" s="338" t="s">
        <v>1237</v>
      </c>
      <c r="G2941" s="339" t="str">
        <f t="shared" si="2"/>
        <v>中山鋼業:ナベＪＨ１(H2T山口)鍛造ﾊﾞﾘ</v>
      </c>
      <c r="H2941" s="340">
        <f t="shared" si="3"/>
        <v>43.7</v>
      </c>
      <c r="I2941" s="341">
        <v>0.5</v>
      </c>
      <c r="J2941" s="332">
        <f>IFERROR(__xludf.DUMMYFUNCTION("IF(IF(COUNTIF(P$2:P2940, P2941)=0, """", INDEX(H$2:H2940,
MAX(FILTER(ROW(H$2:H2940) - ROW(H$2) + 1, P$2:P2940 = P2941))))=""単価"","""",
IF(COUNTIF(P$2:P2940, P2941)=0, """", INDEX(H$2:H2940,
MAX(FILTER(ROW(H$2:H2940) - ROW(H$2) + 1, P$2:P2940 = P2941)))))"),43.2)</f>
        <v>43.2</v>
      </c>
      <c r="N2941" s="335" t="str">
        <f>IF(MAXIFS('単価履歴'!$O:$O,'単価履歴'!$E:$E,E2941,'単価履歴'!$F:$F,F2941)=O2941,"●","")</f>
        <v/>
      </c>
      <c r="O2941" s="346">
        <v>45951.28601851852</v>
      </c>
      <c r="P2941" s="334" t="str">
        <f t="shared" si="4"/>
        <v>中山鋼業:ナベＪＨ１(H2T山口)鍛造ﾊﾞﾘ</v>
      </c>
    </row>
    <row r="2942" ht="15.75" customHeight="1">
      <c r="A2942" s="335" t="s">
        <v>4091</v>
      </c>
      <c r="B2942" s="336">
        <v>45951.0</v>
      </c>
      <c r="C2942" s="335" t="s">
        <v>6</v>
      </c>
      <c r="D2942" s="335" t="s">
        <v>48</v>
      </c>
      <c r="E2942" s="337" t="str">
        <f t="shared" si="1"/>
        <v>中山鋼業:ナベ</v>
      </c>
      <c r="F2942" s="338" t="s">
        <v>116</v>
      </c>
      <c r="G2942" s="339" t="str">
        <f t="shared" si="2"/>
        <v>中山鋼業:ナベＨ２(特級)</v>
      </c>
      <c r="H2942" s="340">
        <f t="shared" si="3"/>
        <v>42.5</v>
      </c>
      <c r="I2942" s="341">
        <v>0.5</v>
      </c>
      <c r="J2942" s="332">
        <f>IFERROR(__xludf.DUMMYFUNCTION("IF(IF(COUNTIF(P$2:P2941, P2942)=0, """", INDEX(H$2:H2941,
MAX(FILTER(ROW(H$2:H2941) - ROW(H$2) + 1, P$2:P2941 = P2942))))=""単価"","""",
IF(COUNTIF(P$2:P2941, P2942)=0, """", INDEX(H$2:H2941,
MAX(FILTER(ROW(H$2:H2941) - ROW(H$2) + 1, P$2:P2941 = P2942)))))"),42.0)</f>
        <v>42</v>
      </c>
      <c r="N2942" s="335" t="str">
        <f>IF(MAXIFS('単価履歴'!$O:$O,'単価履歴'!$E:$E,E2942,'単価履歴'!$F:$F,F2942)=O2942,"●","")</f>
        <v/>
      </c>
      <c r="O2942" s="346">
        <v>45951.28601851852</v>
      </c>
      <c r="P2942" s="334" t="str">
        <f t="shared" si="4"/>
        <v>中山鋼業:ナベＨ２(特級)</v>
      </c>
    </row>
    <row r="2943" ht="15.75" customHeight="1">
      <c r="A2943" s="335" t="s">
        <v>4092</v>
      </c>
      <c r="B2943" s="336">
        <v>45951.0</v>
      </c>
      <c r="C2943" s="335" t="s">
        <v>6</v>
      </c>
      <c r="D2943" s="335" t="s">
        <v>48</v>
      </c>
      <c r="E2943" s="337" t="str">
        <f t="shared" si="1"/>
        <v>中山鋼業:ナベ</v>
      </c>
      <c r="F2943" s="338" t="s">
        <v>119</v>
      </c>
      <c r="G2943" s="339" t="str">
        <f t="shared" si="2"/>
        <v>中山鋼業:ナベＨ３(1級)</v>
      </c>
      <c r="H2943" s="340">
        <f t="shared" si="3"/>
        <v>41</v>
      </c>
      <c r="I2943" s="341">
        <v>0.5</v>
      </c>
      <c r="J2943" s="332">
        <f>IFERROR(__xludf.DUMMYFUNCTION("IF(IF(COUNTIF(P$2:P2942, P2943)=0, """", INDEX(H$2:H2942,
MAX(FILTER(ROW(H$2:H2942) - ROW(H$2) + 1, P$2:P2942 = P2943))))=""単価"","""",
IF(COUNTIF(P$2:P2942, P2943)=0, """", INDEX(H$2:H2942,
MAX(FILTER(ROW(H$2:H2942) - ROW(H$2) + 1, P$2:P2942 = P2943)))))"),40.5)</f>
        <v>40.5</v>
      </c>
      <c r="N2943" s="335" t="str">
        <f>IF(MAXIFS('単価履歴'!$O:$O,'単価履歴'!$E:$E,E2943,'単価履歴'!$F:$F,F2943)=O2943,"●","")</f>
        <v/>
      </c>
      <c r="O2943" s="346">
        <v>45951.28601851852</v>
      </c>
      <c r="P2943" s="334" t="str">
        <f t="shared" si="4"/>
        <v>中山鋼業:ナベＨ３(1級)</v>
      </c>
    </row>
    <row r="2944" ht="15.75" customHeight="1">
      <c r="A2944" s="335" t="s">
        <v>4093</v>
      </c>
      <c r="B2944" s="336">
        <v>45951.0</v>
      </c>
      <c r="C2944" s="335" t="s">
        <v>6</v>
      </c>
      <c r="D2944" s="335" t="s">
        <v>48</v>
      </c>
      <c r="E2944" s="337" t="str">
        <f t="shared" si="1"/>
        <v>中山鋼業:ナベ</v>
      </c>
      <c r="F2944" s="338" t="s">
        <v>122</v>
      </c>
      <c r="G2944" s="339" t="str">
        <f t="shared" si="2"/>
        <v>中山鋼業:ナベＬ１(2級)</v>
      </c>
      <c r="H2944" s="340">
        <f t="shared" si="3"/>
        <v>40.5</v>
      </c>
      <c r="I2944" s="341">
        <v>0.5</v>
      </c>
      <c r="J2944" s="332">
        <f>IFERROR(__xludf.DUMMYFUNCTION("IF(IF(COUNTIF(P$2:P2943, P2944)=0, """", INDEX(H$2:H2943,
MAX(FILTER(ROW(H$2:H2943) - ROW(H$2) + 1, P$2:P2943 = P2944))))=""単価"","""",
IF(COUNTIF(P$2:P2943, P2944)=0, """", INDEX(H$2:H2943,
MAX(FILTER(ROW(H$2:H2943) - ROW(H$2) + 1, P$2:P2943 = P2944)))))"),40.0)</f>
        <v>40</v>
      </c>
      <c r="N2944" s="335" t="str">
        <f>IF(MAXIFS('単価履歴'!$O:$O,'単価履歴'!$E:$E,E2944,'単価履歴'!$F:$F,F2944)=O2944,"●","")</f>
        <v/>
      </c>
      <c r="O2944" s="346">
        <v>45951.28601851852</v>
      </c>
      <c r="P2944" s="334" t="str">
        <f t="shared" si="4"/>
        <v>中山鋼業:ナベＬ１(2級)</v>
      </c>
    </row>
    <row r="2945" ht="15.75" customHeight="1">
      <c r="A2945" s="335" t="s">
        <v>4094</v>
      </c>
      <c r="B2945" s="336">
        <v>45951.0</v>
      </c>
      <c r="C2945" s="335" t="s">
        <v>6</v>
      </c>
      <c r="D2945" s="335" t="s">
        <v>48</v>
      </c>
      <c r="E2945" s="337" t="str">
        <f t="shared" si="1"/>
        <v>中山鋼業:ナベ</v>
      </c>
      <c r="F2945" s="338" t="s">
        <v>573</v>
      </c>
      <c r="G2945" s="339" t="str">
        <f t="shared" si="2"/>
        <v>中山鋼業:ナベＬ２(H4･級外･L1ﾊﾞﾗ)</v>
      </c>
      <c r="H2945" s="340">
        <f t="shared" si="3"/>
        <v>37</v>
      </c>
      <c r="I2945" s="341">
        <v>0.5</v>
      </c>
      <c r="J2945" s="332">
        <f>IFERROR(__xludf.DUMMYFUNCTION("IF(IF(COUNTIF(P$2:P2944, P2945)=0, """", INDEX(H$2:H2944,
MAX(FILTER(ROW(H$2:H2944) - ROW(H$2) + 1, P$2:P2944 = P2945))))=""単価"","""",
IF(COUNTIF(P$2:P2944, P2945)=0, """", INDEX(H$2:H2944,
MAX(FILTER(ROW(H$2:H2944) - ROW(H$2) + 1, P$2:P2944 = P2945)))))"),36.5)</f>
        <v>36.5</v>
      </c>
      <c r="N2945" s="335" t="str">
        <f>IF(MAXIFS('単価履歴'!$O:$O,'単価履歴'!$E:$E,E2945,'単価履歴'!$F:$F,F2945)=O2945,"●","")</f>
        <v/>
      </c>
      <c r="O2945" s="346">
        <v>45951.28601851852</v>
      </c>
      <c r="P2945" s="334" t="str">
        <f t="shared" si="4"/>
        <v>中山鋼業:ナベＬ２(H4･級外･L1ﾊﾞﾗ)</v>
      </c>
    </row>
    <row r="2946" ht="15.75" customHeight="1">
      <c r="A2946" s="335" t="s">
        <v>4095</v>
      </c>
      <c r="B2946" s="336">
        <v>45951.0</v>
      </c>
      <c r="C2946" s="335" t="s">
        <v>6</v>
      </c>
      <c r="D2946" s="335" t="s">
        <v>48</v>
      </c>
      <c r="E2946" s="337" t="str">
        <f t="shared" si="1"/>
        <v>中山鋼業:ナベ</v>
      </c>
      <c r="F2946" s="338" t="s">
        <v>130</v>
      </c>
      <c r="G2946" s="339" t="str">
        <f t="shared" si="2"/>
        <v>中山鋼業:ナベ新断Ａ</v>
      </c>
      <c r="H2946" s="340">
        <f t="shared" si="3"/>
        <v>0.5</v>
      </c>
      <c r="I2946" s="341">
        <v>0.5</v>
      </c>
      <c r="J2946" s="332">
        <f>IFERROR(__xludf.DUMMYFUNCTION("IF(IF(COUNTIF(P$2:P2945, P2946)=0, """", INDEX(H$2:H2945,
MAX(FILTER(ROW(H$2:H2945) - ROW(H$2) + 1, P$2:P2945 = P2946))))=""単価"","""",
IF(COUNTIF(P$2:P2945, P2946)=0, """", INDEX(H$2:H2945,
MAX(FILTER(ROW(H$2:H2945) - ROW(H$2) + 1, P$2:P2945 = P2946)))))"),0.0)</f>
        <v>0</v>
      </c>
      <c r="N2946" s="335" t="str">
        <f>IF(MAXIFS('単価履歴'!$O:$O,'単価履歴'!$E:$E,E2946,'単価履歴'!$F:$F,F2946)=O2946,"●","")</f>
        <v/>
      </c>
      <c r="O2946" s="346">
        <v>45951.28601851852</v>
      </c>
      <c r="P2946" s="334" t="str">
        <f t="shared" si="4"/>
        <v>中山鋼業:ナベ新断Ａ</v>
      </c>
    </row>
    <row r="2947" ht="15.75" customHeight="1">
      <c r="A2947" s="335" t="s">
        <v>4096</v>
      </c>
      <c r="B2947" s="336">
        <v>45951.0</v>
      </c>
      <c r="C2947" s="335" t="s">
        <v>31</v>
      </c>
      <c r="D2947" s="335" t="s">
        <v>64</v>
      </c>
      <c r="E2947" s="337" t="str">
        <f t="shared" si="1"/>
        <v>泉北中谷:ナベ双葉</v>
      </c>
      <c r="F2947" s="338" t="s">
        <v>116</v>
      </c>
      <c r="G2947" s="339" t="str">
        <f t="shared" si="2"/>
        <v>泉北中谷:ナベ双葉Ｈ２(特級)</v>
      </c>
      <c r="H2947" s="340">
        <f t="shared" si="3"/>
        <v>41.5</v>
      </c>
      <c r="I2947" s="341">
        <v>0.5</v>
      </c>
      <c r="J2947" s="332">
        <f>IFERROR(__xludf.DUMMYFUNCTION("IF(IF(COUNTIF(P$2:P2946, P2947)=0, """", INDEX(H$2:H2946,
MAX(FILTER(ROW(H$2:H2946) - ROW(H$2) + 1, P$2:P2946 = P2947))))=""単価"","""",
IF(COUNTIF(P$2:P2946, P2947)=0, """", INDEX(H$2:H2946,
MAX(FILTER(ROW(H$2:H2946) - ROW(H$2) + 1, P$2:P2946 = P2947)))))"),41.0)</f>
        <v>41</v>
      </c>
      <c r="N2947" s="335" t="str">
        <f>IF(MAXIFS('単価履歴'!$O:$O,'単価履歴'!$E:$E,E2947,'単価履歴'!$F:$F,F2947)=O2947,"●","")</f>
        <v/>
      </c>
      <c r="O2947" s="346">
        <v>45951.286620370374</v>
      </c>
      <c r="P2947" s="334" t="str">
        <f t="shared" si="4"/>
        <v>泉北中谷:ナベ双葉Ｈ２(特級)</v>
      </c>
    </row>
    <row r="2948" ht="15.75" customHeight="1">
      <c r="A2948" s="335" t="s">
        <v>4097</v>
      </c>
      <c r="B2948" s="336">
        <v>45951.0</v>
      </c>
      <c r="C2948" s="335" t="s">
        <v>9</v>
      </c>
      <c r="D2948" s="335" t="s">
        <v>51</v>
      </c>
      <c r="E2948" s="337" t="str">
        <f t="shared" si="1"/>
        <v>大鉄　堺:大鉄堺</v>
      </c>
      <c r="F2948" s="338" t="s">
        <v>111</v>
      </c>
      <c r="G2948" s="339" t="str">
        <f t="shared" si="2"/>
        <v>大鉄　堺:大鉄堺Ｈ１(特A)</v>
      </c>
      <c r="H2948" s="340">
        <f t="shared" si="3"/>
        <v>44.5</v>
      </c>
      <c r="I2948" s="341">
        <v>0.5</v>
      </c>
      <c r="J2948" s="332">
        <f>IFERROR(__xludf.DUMMYFUNCTION("IF(IF(COUNTIF(P$2:P2947, P2948)=0, """", INDEX(H$2:H2947,
MAX(FILTER(ROW(H$2:H2947) - ROW(H$2) + 1, P$2:P2947 = P2948))))=""単価"","""",
IF(COUNTIF(P$2:P2947, P2948)=0, """", INDEX(H$2:H2947,
MAX(FILTER(ROW(H$2:H2947) - ROW(H$2) + 1, P$2:P2947 = P2948)))))"),44.0)</f>
        <v>44</v>
      </c>
      <c r="N2948" s="335" t="str">
        <f>IF(MAXIFS('単価履歴'!$O:$O,'単価履歴'!$E:$E,E2948,'単価履歴'!$F:$F,F2948)=O2948,"●","")</f>
        <v/>
      </c>
      <c r="O2948" s="346">
        <v>45951.2872800926</v>
      </c>
      <c r="P2948" s="334" t="str">
        <f t="shared" si="4"/>
        <v>大鉄　堺:大鉄堺Ｈ１(特A)</v>
      </c>
    </row>
    <row r="2949" ht="15.75" customHeight="1">
      <c r="A2949" s="335" t="s">
        <v>4098</v>
      </c>
      <c r="B2949" s="336">
        <v>45951.0</v>
      </c>
      <c r="C2949" s="335" t="s">
        <v>9</v>
      </c>
      <c r="D2949" s="335" t="s">
        <v>51</v>
      </c>
      <c r="E2949" s="337" t="str">
        <f t="shared" si="1"/>
        <v>大鉄　堺:大鉄堺</v>
      </c>
      <c r="F2949" s="338" t="s">
        <v>116</v>
      </c>
      <c r="G2949" s="339" t="str">
        <f t="shared" si="2"/>
        <v>大鉄　堺:大鉄堺Ｈ２(特級)</v>
      </c>
      <c r="H2949" s="340">
        <f t="shared" si="3"/>
        <v>41.5</v>
      </c>
      <c r="I2949" s="341">
        <v>0.5</v>
      </c>
      <c r="J2949" s="332">
        <f>IFERROR(__xludf.DUMMYFUNCTION("IF(IF(COUNTIF(P$2:P2948, P2949)=0, """", INDEX(H$2:H2948,
MAX(FILTER(ROW(H$2:H2948) - ROW(H$2) + 1, P$2:P2948 = P2949))))=""単価"","""",
IF(COUNTIF(P$2:P2948, P2949)=0, """", INDEX(H$2:H2948,
MAX(FILTER(ROW(H$2:H2948) - ROW(H$2) + 1, P$2:P2948 = P2949)))))"),41.0)</f>
        <v>41</v>
      </c>
      <c r="N2949" s="335" t="str">
        <f>IF(MAXIFS('単価履歴'!$O:$O,'単価履歴'!$E:$E,E2949,'単価履歴'!$F:$F,F2949)=O2949,"●","")</f>
        <v/>
      </c>
      <c r="O2949" s="346">
        <v>45951.2872800926</v>
      </c>
      <c r="P2949" s="334" t="str">
        <f t="shared" si="4"/>
        <v>大鉄　堺:大鉄堺Ｈ２(特級)</v>
      </c>
    </row>
    <row r="2950" ht="15.75" customHeight="1">
      <c r="A2950" s="335" t="s">
        <v>4099</v>
      </c>
      <c r="B2950" s="336">
        <v>45951.0</v>
      </c>
      <c r="C2950" s="335" t="s">
        <v>9</v>
      </c>
      <c r="D2950" s="335" t="s">
        <v>51</v>
      </c>
      <c r="E2950" s="337" t="str">
        <f t="shared" si="1"/>
        <v>大鉄　堺:大鉄堺</v>
      </c>
      <c r="F2950" s="338" t="s">
        <v>1237</v>
      </c>
      <c r="G2950" s="339" t="str">
        <f t="shared" si="2"/>
        <v>大鉄　堺:大鉄堺ＪＨ１(H2T山口)鍛造ﾊﾞﾘ</v>
      </c>
      <c r="H2950" s="340">
        <f t="shared" si="3"/>
        <v>43.5</v>
      </c>
      <c r="I2950" s="341">
        <v>0.5</v>
      </c>
      <c r="J2950" s="332">
        <f>IFERROR(__xludf.DUMMYFUNCTION("IF(IF(COUNTIF(P$2:P2949, P2950)=0, """", INDEX(H$2:H2949,
MAX(FILTER(ROW(H$2:H2949) - ROW(H$2) + 1, P$2:P2949 = P2950))))=""単価"","""",
IF(COUNTIF(P$2:P2949, P2950)=0, """", INDEX(H$2:H2949,
MAX(FILTER(ROW(H$2:H2949) - ROW(H$2) + 1, P$2:P2949 = P2950)))))"),43.0)</f>
        <v>43</v>
      </c>
      <c r="N2950" s="335" t="str">
        <f>IF(MAXIFS('単価履歴'!$O:$O,'単価履歴'!$E:$E,E2950,'単価履歴'!$F:$F,F2950)=O2950,"●","")</f>
        <v/>
      </c>
      <c r="O2950" s="346">
        <v>45951.2872800926</v>
      </c>
      <c r="P2950" s="334" t="str">
        <f t="shared" si="4"/>
        <v>大鉄　堺:大鉄堺ＪＨ１(H2T山口)鍛造ﾊﾞﾘ</v>
      </c>
    </row>
    <row r="2951" ht="15.75" customHeight="1">
      <c r="A2951" s="335" t="s">
        <v>4100</v>
      </c>
      <c r="B2951" s="336">
        <v>45951.0</v>
      </c>
      <c r="C2951" s="335" t="s">
        <v>9</v>
      </c>
      <c r="D2951" s="335" t="s">
        <v>51</v>
      </c>
      <c r="E2951" s="337" t="str">
        <f t="shared" si="1"/>
        <v>大鉄　堺:大鉄堺</v>
      </c>
      <c r="F2951" s="338" t="s">
        <v>119</v>
      </c>
      <c r="G2951" s="339" t="str">
        <f t="shared" si="2"/>
        <v>大鉄　堺:大鉄堺Ｈ３(1級)</v>
      </c>
      <c r="H2951" s="340">
        <f t="shared" si="3"/>
        <v>41</v>
      </c>
      <c r="I2951" s="341">
        <v>0.5</v>
      </c>
      <c r="J2951" s="332">
        <f>IFERROR(__xludf.DUMMYFUNCTION("IF(IF(COUNTIF(P$2:P2950, P2951)=0, """", INDEX(H$2:H2950,
MAX(FILTER(ROW(H$2:H2950) - ROW(H$2) + 1, P$2:P2950 = P2951))))=""単価"","""",
IF(COUNTIF(P$2:P2950, P2951)=0, """", INDEX(H$2:H2950,
MAX(FILTER(ROW(H$2:H2950) - ROW(H$2) + 1, P$2:P2950 = P2951)))))"),40.5)</f>
        <v>40.5</v>
      </c>
      <c r="N2951" s="335" t="str">
        <f>IF(MAXIFS('単価履歴'!$O:$O,'単価履歴'!$E:$E,E2951,'単価履歴'!$F:$F,F2951)=O2951,"●","")</f>
        <v/>
      </c>
      <c r="O2951" s="346">
        <v>45951.2872800926</v>
      </c>
      <c r="P2951" s="334" t="str">
        <f t="shared" si="4"/>
        <v>大鉄　堺:大鉄堺Ｈ３(1級)</v>
      </c>
    </row>
    <row r="2952" ht="15.75" customHeight="1">
      <c r="A2952" s="335" t="s">
        <v>4101</v>
      </c>
      <c r="B2952" s="336">
        <v>45951.0</v>
      </c>
      <c r="C2952" s="335" t="s">
        <v>9</v>
      </c>
      <c r="D2952" s="335" t="s">
        <v>51</v>
      </c>
      <c r="E2952" s="337" t="str">
        <f t="shared" si="1"/>
        <v>大鉄　堺:大鉄堺</v>
      </c>
      <c r="F2952" s="338" t="s">
        <v>122</v>
      </c>
      <c r="G2952" s="339" t="str">
        <f t="shared" si="2"/>
        <v>大鉄　堺:大鉄堺Ｌ１(2級)</v>
      </c>
      <c r="H2952" s="340">
        <f t="shared" si="3"/>
        <v>40.5</v>
      </c>
      <c r="I2952" s="341">
        <v>0.5</v>
      </c>
      <c r="J2952" s="332">
        <f>IFERROR(__xludf.DUMMYFUNCTION("IF(IF(COUNTIF(P$2:P2951, P2952)=0, """", INDEX(H$2:H2951,
MAX(FILTER(ROW(H$2:H2951) - ROW(H$2) + 1, P$2:P2951 = P2952))))=""単価"","""",
IF(COUNTIF(P$2:P2951, P2952)=0, """", INDEX(H$2:H2951,
MAX(FILTER(ROW(H$2:H2951) - ROW(H$2) + 1, P$2:P2951 = P2952)))))"),40.0)</f>
        <v>40</v>
      </c>
      <c r="N2952" s="335" t="str">
        <f>IF(MAXIFS('単価履歴'!$O:$O,'単価履歴'!$E:$E,E2952,'単価履歴'!$F:$F,F2952)=O2952,"●","")</f>
        <v/>
      </c>
      <c r="O2952" s="346">
        <v>45951.2872800926</v>
      </c>
      <c r="P2952" s="334" t="str">
        <f t="shared" si="4"/>
        <v>大鉄　堺:大鉄堺Ｌ１(2級)</v>
      </c>
    </row>
    <row r="2953" ht="15.75" customHeight="1">
      <c r="A2953" s="335" t="s">
        <v>4102</v>
      </c>
      <c r="B2953" s="336">
        <v>45951.0</v>
      </c>
      <c r="C2953" s="335" t="s">
        <v>9</v>
      </c>
      <c r="D2953" s="335" t="s">
        <v>51</v>
      </c>
      <c r="E2953" s="337" t="str">
        <f t="shared" si="1"/>
        <v>大鉄　堺:大鉄堺</v>
      </c>
      <c r="F2953" s="338" t="s">
        <v>130</v>
      </c>
      <c r="G2953" s="339" t="str">
        <f t="shared" si="2"/>
        <v>大鉄　堺:大鉄堺新断Ａ</v>
      </c>
      <c r="H2953" s="340">
        <f t="shared" si="3"/>
        <v>28</v>
      </c>
      <c r="I2953" s="341">
        <v>0.5</v>
      </c>
      <c r="J2953" s="332">
        <f>IFERROR(__xludf.DUMMYFUNCTION("IF(IF(COUNTIF(P$2:P2952, P2953)=0, """", INDEX(H$2:H2952,
MAX(FILTER(ROW(H$2:H2952) - ROW(H$2) + 1, P$2:P2952 = P2953))))=""単価"","""",
IF(COUNTIF(P$2:P2952, P2953)=0, """", INDEX(H$2:H2952,
MAX(FILTER(ROW(H$2:H2952) - ROW(H$2) + 1, P$2:P2952 = P2953)))))"),27.5)</f>
        <v>27.5</v>
      </c>
      <c r="N2953" s="335" t="str">
        <f>IF(MAXIFS('単価履歴'!$O:$O,'単価履歴'!$E:$E,E2953,'単価履歴'!$F:$F,F2953)=O2953,"●","")</f>
        <v/>
      </c>
      <c r="O2953" s="346">
        <v>45951.2872800926</v>
      </c>
      <c r="P2953" s="334" t="str">
        <f t="shared" si="4"/>
        <v>大鉄　堺:大鉄堺新断Ａ</v>
      </c>
    </row>
    <row r="2954" ht="15.75" customHeight="1">
      <c r="A2954" s="335" t="s">
        <v>4103</v>
      </c>
      <c r="B2954" s="336">
        <v>45951.0</v>
      </c>
      <c r="C2954" s="335" t="s">
        <v>9</v>
      </c>
      <c r="D2954" s="335" t="s">
        <v>51</v>
      </c>
      <c r="E2954" s="337" t="str">
        <f t="shared" si="1"/>
        <v>大鉄　堺:大鉄堺</v>
      </c>
      <c r="F2954" s="338" t="s">
        <v>131</v>
      </c>
      <c r="G2954" s="339" t="str">
        <f t="shared" si="2"/>
        <v>大鉄　堺:大鉄堺新断Ｂ</v>
      </c>
      <c r="H2954" s="340">
        <f t="shared" si="3"/>
        <v>27.5</v>
      </c>
      <c r="I2954" s="341">
        <v>0.5</v>
      </c>
      <c r="J2954" s="332">
        <f>IFERROR(__xludf.DUMMYFUNCTION("IF(IF(COUNTIF(P$2:P2953, P2954)=0, """", INDEX(H$2:H2953,
MAX(FILTER(ROW(H$2:H2953) - ROW(H$2) + 1, P$2:P2953 = P2954))))=""単価"","""",
IF(COUNTIF(P$2:P2953, P2954)=0, """", INDEX(H$2:H2953,
MAX(FILTER(ROW(H$2:H2953) - ROW(H$2) + 1, P$2:P2953 = P2954)))))"),27.0)</f>
        <v>27</v>
      </c>
      <c r="N2954" s="335" t="str">
        <f>IF(MAXIFS('単価履歴'!$O:$O,'単価履歴'!$E:$E,E2954,'単価履歴'!$F:$F,F2954)=O2954,"●","")</f>
        <v/>
      </c>
      <c r="O2954" s="346">
        <v>45951.2872800926</v>
      </c>
      <c r="P2954" s="334" t="str">
        <f t="shared" si="4"/>
        <v>大鉄　堺:大鉄堺新断Ｂ</v>
      </c>
    </row>
    <row r="2955" ht="15.75" customHeight="1">
      <c r="A2955" s="335" t="s">
        <v>4104</v>
      </c>
      <c r="B2955" s="336">
        <v>45951.0</v>
      </c>
      <c r="C2955" s="335" t="s">
        <v>9</v>
      </c>
      <c r="D2955" s="335" t="s">
        <v>51</v>
      </c>
      <c r="E2955" s="337" t="str">
        <f t="shared" si="1"/>
        <v>大鉄　堺:大鉄堺</v>
      </c>
      <c r="F2955" s="338" t="s">
        <v>145</v>
      </c>
      <c r="G2955" s="339" t="str">
        <f t="shared" si="2"/>
        <v>大鉄　堺:大鉄堺シュレＡ</v>
      </c>
      <c r="H2955" s="340">
        <f t="shared" si="3"/>
        <v>30.5</v>
      </c>
      <c r="I2955" s="341">
        <v>0.5</v>
      </c>
      <c r="J2955" s="332">
        <f>IFERROR(__xludf.DUMMYFUNCTION("IF(IF(COUNTIF(P$2:P2954, P2955)=0, """", INDEX(H$2:H2954,
MAX(FILTER(ROW(H$2:H2954) - ROW(H$2) + 1, P$2:P2954 = P2955))))=""単価"","""",
IF(COUNTIF(P$2:P2954, P2955)=0, """", INDEX(H$2:H2954,
MAX(FILTER(ROW(H$2:H2954) - ROW(H$2) + 1, P$2:P2954 = P2955)))))"),30.0)</f>
        <v>30</v>
      </c>
      <c r="N2955" s="335" t="str">
        <f>IF(MAXIFS('単価履歴'!$O:$O,'単価履歴'!$E:$E,E2955,'単価履歴'!$F:$F,F2955)=O2955,"●","")</f>
        <v/>
      </c>
      <c r="O2955" s="346">
        <v>45951.2872800926</v>
      </c>
      <c r="P2955" s="334" t="str">
        <f t="shared" si="4"/>
        <v>大鉄　堺:大鉄堺シュレＡ</v>
      </c>
    </row>
    <row r="2956" ht="15.75" customHeight="1">
      <c r="A2956" s="335" t="s">
        <v>4105</v>
      </c>
      <c r="B2956" s="336">
        <v>45951.0</v>
      </c>
      <c r="C2956" s="335" t="s">
        <v>9</v>
      </c>
      <c r="D2956" s="335" t="s">
        <v>51</v>
      </c>
      <c r="E2956" s="337" t="str">
        <f t="shared" si="1"/>
        <v>大鉄　堺:大鉄堺</v>
      </c>
      <c r="F2956" s="338" t="s">
        <v>149</v>
      </c>
      <c r="G2956" s="339" t="str">
        <f t="shared" si="2"/>
        <v>大鉄　堺:大鉄堺シュレＢ</v>
      </c>
      <c r="H2956" s="340">
        <f t="shared" si="3"/>
        <v>29.8</v>
      </c>
      <c r="I2956" s="341">
        <v>0.5</v>
      </c>
      <c r="J2956" s="332">
        <f>IFERROR(__xludf.DUMMYFUNCTION("IF(IF(COUNTIF(P$2:P2955, P2956)=0, """", INDEX(H$2:H2955,
MAX(FILTER(ROW(H$2:H2955) - ROW(H$2) + 1, P$2:P2955 = P2956))))=""単価"","""",
IF(COUNTIF(P$2:P2955, P2956)=0, """", INDEX(H$2:H2955,
MAX(FILTER(ROW(H$2:H2955) - ROW(H$2) + 1, P$2:P2955 = P2956)))))"),29.3)</f>
        <v>29.3</v>
      </c>
      <c r="N2956" s="335" t="str">
        <f>IF(MAXIFS('単価履歴'!$O:$O,'単価履歴'!$E:$E,E2956,'単価履歴'!$F:$F,F2956)=O2956,"●","")</f>
        <v/>
      </c>
      <c r="O2956" s="346">
        <v>45951.2872800926</v>
      </c>
      <c r="P2956" s="334" t="str">
        <f t="shared" si="4"/>
        <v>大鉄　堺:大鉄堺シュレＢ</v>
      </c>
    </row>
    <row r="2957" ht="15.75" customHeight="1">
      <c r="A2957" s="335" t="s">
        <v>4106</v>
      </c>
      <c r="B2957" s="336">
        <v>45951.0</v>
      </c>
      <c r="C2957" s="335" t="s">
        <v>9</v>
      </c>
      <c r="D2957" s="335" t="s">
        <v>51</v>
      </c>
      <c r="E2957" s="337" t="str">
        <f t="shared" si="1"/>
        <v>大鉄　堺:大鉄堺</v>
      </c>
      <c r="F2957" s="338" t="s">
        <v>151</v>
      </c>
      <c r="G2957" s="339" t="str">
        <f t="shared" si="2"/>
        <v>大鉄　堺:大鉄堺シュレＣ</v>
      </c>
      <c r="H2957" s="340">
        <f t="shared" si="3"/>
        <v>28.4</v>
      </c>
      <c r="I2957" s="341">
        <v>0.5</v>
      </c>
      <c r="J2957" s="332">
        <f>IFERROR(__xludf.DUMMYFUNCTION("IF(IF(COUNTIF(P$2:P2956, P2957)=0, """", INDEX(H$2:H2956,
MAX(FILTER(ROW(H$2:H2956) - ROW(H$2) + 1, P$2:P2956 = P2957))))=""単価"","""",
IF(COUNTIF(P$2:P2956, P2957)=0, """", INDEX(H$2:H2956,
MAX(FILTER(ROW(H$2:H2956) - ROW(H$2) + 1, P$2:P2956 = P2957)))))"),27.9)</f>
        <v>27.9</v>
      </c>
      <c r="N2957" s="335" t="str">
        <f>IF(MAXIFS('単価履歴'!$O:$O,'単価履歴'!$E:$E,E2957,'単価履歴'!$F:$F,F2957)=O2957,"●","")</f>
        <v/>
      </c>
      <c r="O2957" s="346">
        <v>45951.2872800926</v>
      </c>
      <c r="P2957" s="334" t="str">
        <f t="shared" si="4"/>
        <v>大鉄　堺:大鉄堺シュレＣ</v>
      </c>
    </row>
    <row r="2958" ht="15.75" customHeight="1">
      <c r="A2958" s="335" t="s">
        <v>4107</v>
      </c>
      <c r="B2958" s="336">
        <v>45951.0</v>
      </c>
      <c r="C2958" s="335" t="s">
        <v>9</v>
      </c>
      <c r="D2958" s="335" t="s">
        <v>51</v>
      </c>
      <c r="E2958" s="337" t="str">
        <f t="shared" si="1"/>
        <v>大鉄　堺:大鉄堺</v>
      </c>
      <c r="F2958" s="338" t="s">
        <v>154</v>
      </c>
      <c r="G2958" s="339" t="str">
        <f t="shared" si="2"/>
        <v>大鉄　堺:大鉄堺ＣＰ Ａ</v>
      </c>
      <c r="H2958" s="340">
        <f t="shared" si="3"/>
        <v>36</v>
      </c>
      <c r="I2958" s="341">
        <v>0.5</v>
      </c>
      <c r="J2958" s="332">
        <f>IFERROR(__xludf.DUMMYFUNCTION("IF(IF(COUNTIF(P$2:P2957, P2958)=0, """", INDEX(H$2:H2957,
MAX(FILTER(ROW(H$2:H2957) - ROW(H$2) + 1, P$2:P2957 = P2958))))=""単価"","""",
IF(COUNTIF(P$2:P2957, P2958)=0, """", INDEX(H$2:H2957,
MAX(FILTER(ROW(H$2:H2957) - ROW(H$2) + 1, P$2:P2957 = P2958)))))"),35.5)</f>
        <v>35.5</v>
      </c>
      <c r="N2958" s="335" t="str">
        <f>IF(MAXIFS('単価履歴'!$O:$O,'単価履歴'!$E:$E,E2958,'単価履歴'!$F:$F,F2958)=O2958,"●","")</f>
        <v/>
      </c>
      <c r="O2958" s="346">
        <v>45951.2872800926</v>
      </c>
      <c r="P2958" s="334" t="str">
        <f t="shared" si="4"/>
        <v>大鉄　堺:大鉄堺ＣＰ Ａ</v>
      </c>
    </row>
    <row r="2959" ht="15.75" customHeight="1">
      <c r="A2959" s="335" t="s">
        <v>4108</v>
      </c>
      <c r="B2959" s="336">
        <v>45951.0</v>
      </c>
      <c r="C2959" s="335" t="s">
        <v>9</v>
      </c>
      <c r="D2959" s="335" t="s">
        <v>51</v>
      </c>
      <c r="E2959" s="337" t="str">
        <f t="shared" si="1"/>
        <v>大鉄　堺:大鉄堺</v>
      </c>
      <c r="F2959" s="338" t="s">
        <v>156</v>
      </c>
      <c r="G2959" s="339" t="str">
        <f t="shared" si="2"/>
        <v>大鉄　堺:大鉄堺ＣＰ Ｂ一斗缶</v>
      </c>
      <c r="H2959" s="340">
        <f t="shared" si="3"/>
        <v>29.5</v>
      </c>
      <c r="I2959" s="341">
        <v>0.5</v>
      </c>
      <c r="J2959" s="332">
        <f>IFERROR(__xludf.DUMMYFUNCTION("IF(IF(COUNTIF(P$2:P2958, P2959)=0, """", INDEX(H$2:H2958,
MAX(FILTER(ROW(H$2:H2958) - ROW(H$2) + 1, P$2:P2958 = P2959))))=""単価"","""",
IF(COUNTIF(P$2:P2958, P2959)=0, """", INDEX(H$2:H2958,
MAX(FILTER(ROW(H$2:H2958) - ROW(H$2) + 1, P$2:P2958 = P2959)))))"),29.0)</f>
        <v>29</v>
      </c>
      <c r="N2959" s="335" t="str">
        <f>IF(MAXIFS('単価履歴'!$O:$O,'単価履歴'!$E:$E,E2959,'単価履歴'!$F:$F,F2959)=O2959,"●","")</f>
        <v/>
      </c>
      <c r="O2959" s="346">
        <v>45951.2872800926</v>
      </c>
      <c r="P2959" s="334" t="str">
        <f t="shared" si="4"/>
        <v>大鉄　堺:大鉄堺ＣＰ Ｂ一斗缶</v>
      </c>
    </row>
    <row r="2960" ht="15.75" customHeight="1">
      <c r="A2960" s="335" t="s">
        <v>4109</v>
      </c>
      <c r="B2960" s="336">
        <v>45951.0</v>
      </c>
      <c r="C2960" s="335" t="s">
        <v>9</v>
      </c>
      <c r="D2960" s="335" t="s">
        <v>47</v>
      </c>
      <c r="E2960" s="337" t="str">
        <f t="shared" si="1"/>
        <v>大鉄　堺:豊通</v>
      </c>
      <c r="F2960" s="338" t="s">
        <v>111</v>
      </c>
      <c r="G2960" s="339" t="str">
        <f t="shared" si="2"/>
        <v>大鉄　堺:豊通Ｈ１(特A)</v>
      </c>
      <c r="H2960" s="340">
        <f t="shared" si="3"/>
        <v>29.4</v>
      </c>
      <c r="I2960" s="341">
        <v>0.5</v>
      </c>
      <c r="J2960" s="332">
        <f>IFERROR(__xludf.DUMMYFUNCTION("IF(IF(COUNTIF(P$2:P2959, P2960)=0, """", INDEX(H$2:H2959,
MAX(FILTER(ROW(H$2:H2959) - ROW(H$2) + 1, P$2:P2959 = P2960))))=""単価"","""",
IF(COUNTIF(P$2:P2959, P2960)=0, """", INDEX(H$2:H2959,
MAX(FILTER(ROW(H$2:H2959) - ROW(H$2) + 1, P$2:P2959 = P2960)))))"),28.9)</f>
        <v>28.9</v>
      </c>
      <c r="N2960" s="335" t="str">
        <f>IF(MAXIFS('単価履歴'!$O:$O,'単価履歴'!$E:$E,E2960,'単価履歴'!$F:$F,F2960)=O2960,"●","")</f>
        <v/>
      </c>
      <c r="O2960" s="346">
        <v>45951.28759259259</v>
      </c>
      <c r="P2960" s="334" t="str">
        <f t="shared" si="4"/>
        <v>大鉄　堺:豊通Ｈ１(特A)</v>
      </c>
    </row>
    <row r="2961" ht="15.75" customHeight="1">
      <c r="A2961" s="335" t="s">
        <v>4110</v>
      </c>
      <c r="B2961" s="336">
        <v>45951.0</v>
      </c>
      <c r="C2961" s="335" t="s">
        <v>9</v>
      </c>
      <c r="D2961" s="335" t="s">
        <v>47</v>
      </c>
      <c r="E2961" s="337" t="str">
        <f t="shared" si="1"/>
        <v>大鉄　堺:豊通</v>
      </c>
      <c r="F2961" s="338" t="s">
        <v>1237</v>
      </c>
      <c r="G2961" s="339" t="str">
        <f t="shared" si="2"/>
        <v>大鉄　堺:豊通ＪＨ１(H2T山口)鍛造ﾊﾞﾘ</v>
      </c>
      <c r="H2961" s="340">
        <f t="shared" si="3"/>
        <v>28.4</v>
      </c>
      <c r="I2961" s="341">
        <v>0.5</v>
      </c>
      <c r="J2961" s="332">
        <f>IFERROR(__xludf.DUMMYFUNCTION("IF(IF(COUNTIF(P$2:P2960, P2961)=0, """", INDEX(H$2:H2960,
MAX(FILTER(ROW(H$2:H2960) - ROW(H$2) + 1, P$2:P2960 = P2961))))=""単価"","""",
IF(COUNTIF(P$2:P2960, P2961)=0, """", INDEX(H$2:H2960,
MAX(FILTER(ROW(H$2:H2960) - ROW(H$2) + 1, P$2:P2960 = P2961)))))"),27.9)</f>
        <v>27.9</v>
      </c>
      <c r="N2961" s="335" t="str">
        <f>IF(MAXIFS('単価履歴'!$O:$O,'単価履歴'!$E:$E,E2961,'単価履歴'!$F:$F,F2961)=O2961,"●","")</f>
        <v/>
      </c>
      <c r="O2961" s="346">
        <v>45951.28759259259</v>
      </c>
      <c r="P2961" s="334" t="str">
        <f t="shared" si="4"/>
        <v>大鉄　堺:豊通ＪＨ１(H2T山口)鍛造ﾊﾞﾘ</v>
      </c>
    </row>
    <row r="2962" ht="15.75" customHeight="1">
      <c r="A2962" s="335" t="s">
        <v>4111</v>
      </c>
      <c r="B2962" s="336">
        <v>45951.0</v>
      </c>
      <c r="C2962" s="335" t="s">
        <v>9</v>
      </c>
      <c r="D2962" s="335" t="s">
        <v>47</v>
      </c>
      <c r="E2962" s="337" t="str">
        <f t="shared" si="1"/>
        <v>大鉄　堺:豊通</v>
      </c>
      <c r="F2962" s="338" t="s">
        <v>116</v>
      </c>
      <c r="G2962" s="339" t="str">
        <f t="shared" si="2"/>
        <v>大鉄　堺:豊通Ｈ２(特級)</v>
      </c>
      <c r="H2962" s="340">
        <f t="shared" si="3"/>
        <v>25.2</v>
      </c>
      <c r="I2962" s="341">
        <v>0.5</v>
      </c>
      <c r="J2962" s="332">
        <f>IFERROR(__xludf.DUMMYFUNCTION("IF(IF(COUNTIF(P$2:P2961, P2962)=0, """", INDEX(H$2:H2961,
MAX(FILTER(ROW(H$2:H2961) - ROW(H$2) + 1, P$2:P2961 = P2962))))=""単価"","""",
IF(COUNTIF(P$2:P2961, P2962)=0, """", INDEX(H$2:H2961,
MAX(FILTER(ROW(H$2:H2961) - ROW(H$2) + 1, P$2:P2961 = P2962)))))"),24.7)</f>
        <v>24.7</v>
      </c>
      <c r="N2962" s="335" t="str">
        <f>IF(MAXIFS('単価履歴'!$O:$O,'単価履歴'!$E:$E,E2962,'単価履歴'!$F:$F,F2962)=O2962,"●","")</f>
        <v/>
      </c>
      <c r="O2962" s="346">
        <v>45951.28759259259</v>
      </c>
      <c r="P2962" s="334" t="str">
        <f t="shared" si="4"/>
        <v>大鉄　堺:豊通Ｈ２(特級)</v>
      </c>
    </row>
    <row r="2963" ht="15.75" customHeight="1">
      <c r="A2963" s="335" t="s">
        <v>4112</v>
      </c>
      <c r="B2963" s="336">
        <v>45951.0</v>
      </c>
      <c r="C2963" s="335" t="s">
        <v>9</v>
      </c>
      <c r="D2963" s="335" t="s">
        <v>47</v>
      </c>
      <c r="E2963" s="337" t="str">
        <f t="shared" si="1"/>
        <v>大鉄　堺:豊通</v>
      </c>
      <c r="F2963" s="338" t="s">
        <v>119</v>
      </c>
      <c r="G2963" s="339" t="str">
        <f t="shared" si="2"/>
        <v>大鉄　堺:豊通Ｈ３(1級)</v>
      </c>
      <c r="H2963" s="340">
        <f t="shared" si="3"/>
        <v>24.2</v>
      </c>
      <c r="I2963" s="341">
        <v>0.5</v>
      </c>
      <c r="J2963" s="332">
        <f>IFERROR(__xludf.DUMMYFUNCTION("IF(IF(COUNTIF(P$2:P2962, P2963)=0, """", INDEX(H$2:H2962,
MAX(FILTER(ROW(H$2:H2962) - ROW(H$2) + 1, P$2:P2962 = P2963))))=""単価"","""",
IF(COUNTIF(P$2:P2962, P2963)=0, """", INDEX(H$2:H2962,
MAX(FILTER(ROW(H$2:H2962) - ROW(H$2) + 1, P$2:P2962 = P2963)))))"),23.7)</f>
        <v>23.7</v>
      </c>
      <c r="N2963" s="335" t="str">
        <f>IF(MAXIFS('単価履歴'!$O:$O,'単価履歴'!$E:$E,E2963,'単価履歴'!$F:$F,F2963)=O2963,"●","")</f>
        <v/>
      </c>
      <c r="O2963" s="346">
        <v>45951.28759259259</v>
      </c>
      <c r="P2963" s="334" t="str">
        <f t="shared" si="4"/>
        <v>大鉄　堺:豊通Ｈ３(1級)</v>
      </c>
    </row>
    <row r="2964" ht="15.75" customHeight="1">
      <c r="A2964" s="335" t="s">
        <v>4113</v>
      </c>
      <c r="B2964" s="336">
        <v>45951.0</v>
      </c>
      <c r="C2964" s="335" t="s">
        <v>9</v>
      </c>
      <c r="D2964" s="335" t="s">
        <v>47</v>
      </c>
      <c r="E2964" s="337" t="str">
        <f t="shared" si="1"/>
        <v>大鉄　堺:豊通</v>
      </c>
      <c r="F2964" s="338" t="s">
        <v>122</v>
      </c>
      <c r="G2964" s="339" t="str">
        <f t="shared" si="2"/>
        <v>大鉄　堺:豊通Ｌ１(2級)</v>
      </c>
      <c r="H2964" s="340">
        <f t="shared" si="3"/>
        <v>22.7</v>
      </c>
      <c r="I2964" s="341">
        <v>0.5</v>
      </c>
      <c r="J2964" s="332">
        <f>IFERROR(__xludf.DUMMYFUNCTION("IF(IF(COUNTIF(P$2:P2963, P2964)=0, """", INDEX(H$2:H2963,
MAX(FILTER(ROW(H$2:H2963) - ROW(H$2) + 1, P$2:P2963 = P2964))))=""単価"","""",
IF(COUNTIF(P$2:P2963, P2964)=0, """", INDEX(H$2:H2963,
MAX(FILTER(ROW(H$2:H2963) - ROW(H$2) + 1, P$2:P2963 = P2964)))))"),22.2)</f>
        <v>22.2</v>
      </c>
      <c r="N2964" s="335" t="str">
        <f>IF(MAXIFS('単価履歴'!$O:$O,'単価履歴'!$E:$E,E2964,'単価履歴'!$F:$F,F2964)=O2964,"●","")</f>
        <v/>
      </c>
      <c r="O2964" s="346">
        <v>45951.28759259259</v>
      </c>
      <c r="P2964" s="334" t="str">
        <f t="shared" si="4"/>
        <v>大鉄　堺:豊通Ｌ１(2級)</v>
      </c>
    </row>
    <row r="2965" ht="15.75" customHeight="1">
      <c r="A2965" s="335" t="s">
        <v>4114</v>
      </c>
      <c r="B2965" s="336">
        <v>45951.0</v>
      </c>
      <c r="C2965" s="335" t="s">
        <v>9</v>
      </c>
      <c r="D2965" s="335" t="s">
        <v>47</v>
      </c>
      <c r="E2965" s="337" t="str">
        <f t="shared" si="1"/>
        <v>大鉄　堺:豊通</v>
      </c>
      <c r="F2965" s="338" t="s">
        <v>130</v>
      </c>
      <c r="G2965" s="339" t="str">
        <f t="shared" si="2"/>
        <v>大鉄　堺:豊通新断Ａ</v>
      </c>
      <c r="H2965" s="340">
        <f t="shared" si="3"/>
        <v>26.2</v>
      </c>
      <c r="I2965" s="341">
        <v>0.5</v>
      </c>
      <c r="J2965" s="332">
        <f>IFERROR(__xludf.DUMMYFUNCTION("IF(IF(COUNTIF(P$2:P2964, P2965)=0, """", INDEX(H$2:H2964,
MAX(FILTER(ROW(H$2:H2964) - ROW(H$2) + 1, P$2:P2964 = P2965))))=""単価"","""",
IF(COUNTIF(P$2:P2964, P2965)=0, """", INDEX(H$2:H2964,
MAX(FILTER(ROW(H$2:H2964) - ROW(H$2) + 1, P$2:P2964 = P2965)))))"),25.7)</f>
        <v>25.7</v>
      </c>
      <c r="N2965" s="335" t="str">
        <f>IF(MAXIFS('単価履歴'!$O:$O,'単価履歴'!$E:$E,E2965,'単価履歴'!$F:$F,F2965)=O2965,"●","")</f>
        <v/>
      </c>
      <c r="O2965" s="346">
        <v>45951.28759259259</v>
      </c>
      <c r="P2965" s="334" t="str">
        <f t="shared" si="4"/>
        <v>大鉄　堺:豊通新断Ａ</v>
      </c>
    </row>
    <row r="2966" ht="15.75" customHeight="1">
      <c r="A2966" s="335" t="s">
        <v>4115</v>
      </c>
      <c r="B2966" s="336">
        <v>45951.0</v>
      </c>
      <c r="C2966" s="335" t="s">
        <v>9</v>
      </c>
      <c r="D2966" s="335" t="s">
        <v>47</v>
      </c>
      <c r="E2966" s="337" t="str">
        <f t="shared" si="1"/>
        <v>大鉄　堺:豊通</v>
      </c>
      <c r="F2966" s="338" t="s">
        <v>131</v>
      </c>
      <c r="G2966" s="339" t="str">
        <f t="shared" si="2"/>
        <v>大鉄　堺:豊通新断Ｂ</v>
      </c>
      <c r="H2966" s="340">
        <f t="shared" si="3"/>
        <v>25.7</v>
      </c>
      <c r="I2966" s="341">
        <v>0.5</v>
      </c>
      <c r="J2966" s="332">
        <f>IFERROR(__xludf.DUMMYFUNCTION("IF(IF(COUNTIF(P$2:P2965, P2966)=0, """", INDEX(H$2:H2965,
MAX(FILTER(ROW(H$2:H2965) - ROW(H$2) + 1, P$2:P2965 = P2966))))=""単価"","""",
IF(COUNTIF(P$2:P2965, P2966)=0, """", INDEX(H$2:H2965,
MAX(FILTER(ROW(H$2:H2965) - ROW(H$2) + 1, P$2:P2965 = P2966)))))"),25.2)</f>
        <v>25.2</v>
      </c>
      <c r="N2966" s="335" t="str">
        <f>IF(MAXIFS('単価履歴'!$O:$O,'単価履歴'!$E:$E,E2966,'単価履歴'!$F:$F,F2966)=O2966,"●","")</f>
        <v/>
      </c>
      <c r="O2966" s="346">
        <v>45951.28759259259</v>
      </c>
      <c r="P2966" s="334" t="str">
        <f t="shared" si="4"/>
        <v>大鉄　堺:豊通新断Ｂ</v>
      </c>
    </row>
    <row r="2967" ht="15.75" customHeight="1">
      <c r="A2967" s="335" t="s">
        <v>4116</v>
      </c>
      <c r="B2967" s="336">
        <v>45951.0</v>
      </c>
      <c r="C2967" s="335" t="s">
        <v>9</v>
      </c>
      <c r="D2967" s="335" t="s">
        <v>47</v>
      </c>
      <c r="E2967" s="337" t="str">
        <f t="shared" si="1"/>
        <v>大鉄　堺:豊通</v>
      </c>
      <c r="F2967" s="338" t="s">
        <v>145</v>
      </c>
      <c r="G2967" s="339" t="str">
        <f t="shared" si="2"/>
        <v>大鉄　堺:豊通シュレＡ</v>
      </c>
      <c r="H2967" s="340">
        <f t="shared" si="3"/>
        <v>29.7</v>
      </c>
      <c r="I2967" s="341">
        <v>0.5</v>
      </c>
      <c r="J2967" s="332">
        <f>IFERROR(__xludf.DUMMYFUNCTION("IF(IF(COUNTIF(P$2:P2966, P2967)=0, """", INDEX(H$2:H2966,
MAX(FILTER(ROW(H$2:H2966) - ROW(H$2) + 1, P$2:P2966 = P2967))))=""単価"","""",
IF(COUNTIF(P$2:P2966, P2967)=0, """", INDEX(H$2:H2966,
MAX(FILTER(ROW(H$2:H2966) - ROW(H$2) + 1, P$2:P2966 = P2967)))))"),29.2)</f>
        <v>29.2</v>
      </c>
      <c r="N2967" s="335" t="str">
        <f>IF(MAXIFS('単価履歴'!$O:$O,'単価履歴'!$E:$E,E2967,'単価履歴'!$F:$F,F2967)=O2967,"●","")</f>
        <v/>
      </c>
      <c r="O2967" s="346">
        <v>45951.28759259259</v>
      </c>
      <c r="P2967" s="334" t="str">
        <f t="shared" si="4"/>
        <v>大鉄　堺:豊通シュレＡ</v>
      </c>
    </row>
    <row r="2968" ht="15.75" customHeight="1">
      <c r="A2968" s="335" t="s">
        <v>4117</v>
      </c>
      <c r="B2968" s="336">
        <v>45951.0</v>
      </c>
      <c r="C2968" s="335" t="s">
        <v>9</v>
      </c>
      <c r="D2968" s="335" t="s">
        <v>47</v>
      </c>
      <c r="E2968" s="337" t="str">
        <f t="shared" si="1"/>
        <v>大鉄　堺:豊通</v>
      </c>
      <c r="F2968" s="338" t="s">
        <v>149</v>
      </c>
      <c r="G2968" s="339" t="str">
        <f t="shared" si="2"/>
        <v>大鉄　堺:豊通シュレＢ</v>
      </c>
      <c r="H2968" s="340">
        <f t="shared" si="3"/>
        <v>29</v>
      </c>
      <c r="I2968" s="341">
        <v>0.5</v>
      </c>
      <c r="J2968" s="332">
        <f>IFERROR(__xludf.DUMMYFUNCTION("IF(IF(COUNTIF(P$2:P2967, P2968)=0, """", INDEX(H$2:H2967,
MAX(FILTER(ROW(H$2:H2967) - ROW(H$2) + 1, P$2:P2967 = P2968))))=""単価"","""",
IF(COUNTIF(P$2:P2967, P2968)=0, """", INDEX(H$2:H2967,
MAX(FILTER(ROW(H$2:H2967) - ROW(H$2) + 1, P$2:P2967 = P2968)))))"),28.5)</f>
        <v>28.5</v>
      </c>
      <c r="N2968" s="335" t="str">
        <f>IF(MAXIFS('単価履歴'!$O:$O,'単価履歴'!$E:$E,E2968,'単価履歴'!$F:$F,F2968)=O2968,"●","")</f>
        <v/>
      </c>
      <c r="O2968" s="346">
        <v>45951.28759259259</v>
      </c>
      <c r="P2968" s="334" t="str">
        <f t="shared" si="4"/>
        <v>大鉄　堺:豊通シュレＢ</v>
      </c>
    </row>
    <row r="2969" ht="15.75" customHeight="1">
      <c r="A2969" s="335" t="s">
        <v>4118</v>
      </c>
      <c r="B2969" s="336">
        <v>45951.0</v>
      </c>
      <c r="C2969" s="335" t="s">
        <v>9</v>
      </c>
      <c r="D2969" s="335" t="s">
        <v>47</v>
      </c>
      <c r="E2969" s="337" t="str">
        <f t="shared" si="1"/>
        <v>大鉄　堺:豊通</v>
      </c>
      <c r="F2969" s="338" t="s">
        <v>151</v>
      </c>
      <c r="G2969" s="339" t="str">
        <f t="shared" si="2"/>
        <v>大鉄　堺:豊通シュレＣ</v>
      </c>
      <c r="H2969" s="340">
        <f t="shared" si="3"/>
        <v>27.6</v>
      </c>
      <c r="I2969" s="341">
        <v>0.5</v>
      </c>
      <c r="J2969" s="332">
        <f>IFERROR(__xludf.DUMMYFUNCTION("IF(IF(COUNTIF(P$2:P2968, P2969)=0, """", INDEX(H$2:H2968,
MAX(FILTER(ROW(H$2:H2968) - ROW(H$2) + 1, P$2:P2968 = P2969))))=""単価"","""",
IF(COUNTIF(P$2:P2968, P2969)=0, """", INDEX(H$2:H2968,
MAX(FILTER(ROW(H$2:H2968) - ROW(H$2) + 1, P$2:P2968 = P2969)))))"),27.1)</f>
        <v>27.1</v>
      </c>
      <c r="N2969" s="335" t="str">
        <f>IF(MAXIFS('単価履歴'!$O:$O,'単価履歴'!$E:$E,E2969,'単価履歴'!$F:$F,F2969)=O2969,"●","")</f>
        <v/>
      </c>
      <c r="O2969" s="346">
        <v>45951.28759259259</v>
      </c>
      <c r="P2969" s="334" t="str">
        <f t="shared" si="4"/>
        <v>大鉄　堺:豊通シュレＣ</v>
      </c>
    </row>
    <row r="2970" ht="15.75" customHeight="1">
      <c r="A2970" s="335" t="s">
        <v>4119</v>
      </c>
      <c r="B2970" s="336">
        <v>45951.0</v>
      </c>
      <c r="C2970" s="335" t="s">
        <v>9</v>
      </c>
      <c r="D2970" s="335" t="s">
        <v>47</v>
      </c>
      <c r="E2970" s="337" t="str">
        <f t="shared" si="1"/>
        <v>大鉄　堺:豊通</v>
      </c>
      <c r="F2970" s="338" t="s">
        <v>154</v>
      </c>
      <c r="G2970" s="339" t="str">
        <f t="shared" si="2"/>
        <v>大鉄　堺:豊通ＣＰ Ａ</v>
      </c>
      <c r="H2970" s="340">
        <f t="shared" si="3"/>
        <v>40.2</v>
      </c>
      <c r="I2970" s="341">
        <v>0.5</v>
      </c>
      <c r="J2970" s="332">
        <f>IFERROR(__xludf.DUMMYFUNCTION("IF(IF(COUNTIF(P$2:P2969, P2970)=0, """", INDEX(H$2:H2969,
MAX(FILTER(ROW(H$2:H2969) - ROW(H$2) + 1, P$2:P2969 = P2970))))=""単価"","""",
IF(COUNTIF(P$2:P2969, P2970)=0, """", INDEX(H$2:H2969,
MAX(FILTER(ROW(H$2:H2969) - ROW(H$2) + 1, P$2:P2969 = P2970)))))"),39.7)</f>
        <v>39.7</v>
      </c>
      <c r="N2970" s="335" t="str">
        <f>IF(MAXIFS('単価履歴'!$O:$O,'単価履歴'!$E:$E,E2970,'単価履歴'!$F:$F,F2970)=O2970,"●","")</f>
        <v/>
      </c>
      <c r="O2970" s="346">
        <v>45951.28759259259</v>
      </c>
      <c r="P2970" s="334" t="str">
        <f t="shared" si="4"/>
        <v>大鉄　堺:豊通ＣＰ Ａ</v>
      </c>
    </row>
    <row r="2971" ht="15.75" customHeight="1">
      <c r="A2971" s="335" t="s">
        <v>4120</v>
      </c>
      <c r="B2971" s="336">
        <v>45951.0</v>
      </c>
      <c r="C2971" s="335" t="s">
        <v>9</v>
      </c>
      <c r="D2971" s="335" t="s">
        <v>47</v>
      </c>
      <c r="E2971" s="337" t="str">
        <f t="shared" si="1"/>
        <v>大鉄　堺:豊通</v>
      </c>
      <c r="F2971" s="338" t="s">
        <v>156</v>
      </c>
      <c r="G2971" s="339" t="str">
        <f t="shared" si="2"/>
        <v>大鉄　堺:豊通ＣＰ Ｂ一斗缶</v>
      </c>
      <c r="H2971" s="340">
        <f t="shared" si="3"/>
        <v>33.7</v>
      </c>
      <c r="I2971" s="341">
        <v>0.5</v>
      </c>
      <c r="J2971" s="332">
        <f>IFERROR(__xludf.DUMMYFUNCTION("IF(IF(COUNTIF(P$2:P2970, P2971)=0, """", INDEX(H$2:H2970,
MAX(FILTER(ROW(H$2:H2970) - ROW(H$2) + 1, P$2:P2970 = P2971))))=""単価"","""",
IF(COUNTIF(P$2:P2970, P2971)=0, """", INDEX(H$2:H2970,
MAX(FILTER(ROW(H$2:H2970) - ROW(H$2) + 1, P$2:P2970 = P2971)))))"),33.2)</f>
        <v>33.2</v>
      </c>
      <c r="N2971" s="335" t="str">
        <f>IF(MAXIFS('単価履歴'!$O:$O,'単価履歴'!$E:$E,E2971,'単価履歴'!$F:$F,F2971)=O2971,"●","")</f>
        <v/>
      </c>
      <c r="O2971" s="346">
        <v>45951.28759259259</v>
      </c>
      <c r="P2971" s="334" t="str">
        <f t="shared" si="4"/>
        <v>大鉄　堺:豊通ＣＰ Ｂ一斗缶</v>
      </c>
    </row>
    <row r="2972" ht="15.75" customHeight="1">
      <c r="A2972" s="335"/>
      <c r="B2972" s="336"/>
      <c r="C2972" s="335"/>
      <c r="D2972" s="335"/>
      <c r="E2972" s="337" t="str">
        <f t="shared" si="1"/>
        <v>:</v>
      </c>
      <c r="F2972" s="338"/>
      <c r="G2972" s="339" t="str">
        <f t="shared" si="2"/>
        <v>:</v>
      </c>
      <c r="H2972" s="340">
        <f t="shared" si="3"/>
        <v>0</v>
      </c>
      <c r="I2972" s="341"/>
      <c r="J2972" s="332">
        <f>IFERROR(__xludf.DUMMYFUNCTION("IF(IF(COUNTIF(P$2:P2971, P2972)=0, """", INDEX(H$2:H2971,
MAX(FILTER(ROW(H$2:H2971) - ROW(H$2) + 1, P$2:P2971 = P2972))))=""単価"","""",
IF(COUNTIF(P$2:P2971, P2972)=0, """", INDEX(H$2:H2971,
MAX(FILTER(ROW(H$2:H2971) - ROW(H$2) + 1, P$2:P2971 = P2972)))))"),0.0)</f>
        <v>0</v>
      </c>
      <c r="N2972" s="335" t="str">
        <f>IF(MAXIFS('単価履歴'!$O:$O,'単価履歴'!$E:$E,E2972,'単価履歴'!$F:$F,F2972)=O2972,"●","")</f>
        <v>●</v>
      </c>
      <c r="O2972" s="346"/>
      <c r="P2972" s="334" t="str">
        <f t="shared" si="4"/>
        <v>:</v>
      </c>
    </row>
    <row r="2973" ht="15.75" customHeight="1">
      <c r="A2973" s="335" t="s">
        <v>4121</v>
      </c>
      <c r="B2973" s="336">
        <v>45951.0</v>
      </c>
      <c r="C2973" s="335" t="s">
        <v>9</v>
      </c>
      <c r="D2973" s="335" t="s">
        <v>50</v>
      </c>
      <c r="E2973" s="337" t="str">
        <f t="shared" si="1"/>
        <v>大鉄　堺:産振</v>
      </c>
      <c r="F2973" s="338" t="s">
        <v>116</v>
      </c>
      <c r="G2973" s="339" t="str">
        <f t="shared" si="2"/>
        <v>大鉄　堺:産振Ｈ２(特級)</v>
      </c>
      <c r="H2973" s="340">
        <f t="shared" si="3"/>
        <v>42.2</v>
      </c>
      <c r="I2973" s="341">
        <v>0.5</v>
      </c>
      <c r="J2973" s="332">
        <f>IFERROR(__xludf.DUMMYFUNCTION("IF(IF(COUNTIF(P$2:P2972, P2973)=0, """", INDEX(H$2:H2972,
MAX(FILTER(ROW(H$2:H2972) - ROW(H$2) + 1, P$2:P2972 = P2973))))=""単価"","""",
IF(COUNTIF(P$2:P2972, P2973)=0, """", INDEX(H$2:H2972,
MAX(FILTER(ROW(H$2:H2972) - ROW(H$2) + 1, P$2:P2972 = P2973)))))"),41.7)</f>
        <v>41.7</v>
      </c>
      <c r="N2973" s="335" t="str">
        <f>IF(MAXIFS('単価履歴'!$O:$O,'単価履歴'!$E:$E,E2973,'単価履歴'!$F:$F,F2973)=O2973,"●","")</f>
        <v/>
      </c>
      <c r="O2973" s="346">
        <v>45951.287824074076</v>
      </c>
      <c r="P2973" s="334" t="str">
        <f t="shared" si="4"/>
        <v>大鉄　堺:産振Ｈ２(特級)</v>
      </c>
    </row>
    <row r="2974" ht="15.75" customHeight="1">
      <c r="A2974" s="335" t="s">
        <v>4122</v>
      </c>
      <c r="B2974" s="336">
        <v>45951.0</v>
      </c>
      <c r="C2974" s="335" t="s">
        <v>9</v>
      </c>
      <c r="D2974" s="335" t="s">
        <v>50</v>
      </c>
      <c r="E2974" s="337" t="str">
        <f t="shared" si="1"/>
        <v>大鉄　堺:産振</v>
      </c>
      <c r="F2974" s="338" t="s">
        <v>119</v>
      </c>
      <c r="G2974" s="339" t="str">
        <f t="shared" si="2"/>
        <v>大鉄　堺:産振Ｈ３(1級)</v>
      </c>
      <c r="H2974" s="340">
        <f t="shared" si="3"/>
        <v>24.2</v>
      </c>
      <c r="I2974" s="341">
        <v>0.5</v>
      </c>
      <c r="J2974" s="332">
        <f>IFERROR(__xludf.DUMMYFUNCTION("IF(IF(COUNTIF(P$2:P2973, P2974)=0, """", INDEX(H$2:H2973,
MAX(FILTER(ROW(H$2:H2973) - ROW(H$2) + 1, P$2:P2973 = P2974))))=""単価"","""",
IF(COUNTIF(P$2:P2973, P2974)=0, """", INDEX(H$2:H2973,
MAX(FILTER(ROW(H$2:H2973) - ROW(H$2) + 1, P$2:P2973 = P2974)))))"),23.700000000000003)</f>
        <v>23.7</v>
      </c>
      <c r="N2974" s="335" t="str">
        <f>IF(MAXIFS('単価履歴'!$O:$O,'単価履歴'!$E:$E,E2974,'単価履歴'!$F:$F,F2974)=O2974,"●","")</f>
        <v/>
      </c>
      <c r="O2974" s="346">
        <v>45951.287824074076</v>
      </c>
      <c r="P2974" s="334" t="str">
        <f t="shared" si="4"/>
        <v>大鉄　堺:産振Ｈ３(1級)</v>
      </c>
    </row>
    <row r="2975" ht="15.75" customHeight="1">
      <c r="A2975" s="335" t="s">
        <v>4123</v>
      </c>
      <c r="B2975" s="336">
        <v>45951.0</v>
      </c>
      <c r="C2975" s="335" t="s">
        <v>9</v>
      </c>
      <c r="D2975" s="335" t="s">
        <v>50</v>
      </c>
      <c r="E2975" s="337" t="str">
        <f t="shared" si="1"/>
        <v>大鉄　堺:産振</v>
      </c>
      <c r="F2975" s="338" t="s">
        <v>154</v>
      </c>
      <c r="G2975" s="339" t="str">
        <f t="shared" si="2"/>
        <v>大鉄　堺:産振ＣＰ Ａ</v>
      </c>
      <c r="H2975" s="340">
        <f t="shared" si="3"/>
        <v>45.7</v>
      </c>
      <c r="I2975" s="341">
        <v>0.5</v>
      </c>
      <c r="J2975" s="332">
        <f>IFERROR(__xludf.DUMMYFUNCTION("IF(IF(COUNTIF(P$2:P2974, P2975)=0, """", INDEX(H$2:H2974,
MAX(FILTER(ROW(H$2:H2974) - ROW(H$2) + 1, P$2:P2974 = P2975))))=""単価"","""",
IF(COUNTIF(P$2:P2974, P2975)=0, """", INDEX(H$2:H2974,
MAX(FILTER(ROW(H$2:H2974) - ROW(H$2) + 1, P$2:P2974 = P2975)))))"),45.2)</f>
        <v>45.2</v>
      </c>
      <c r="N2975" s="335" t="str">
        <f>IF(MAXIFS('単価履歴'!$O:$O,'単価履歴'!$E:$E,E2975,'単価履歴'!$F:$F,F2975)=O2975,"●","")</f>
        <v/>
      </c>
      <c r="O2975" s="346">
        <v>45951.287824074076</v>
      </c>
      <c r="P2975" s="334" t="str">
        <f t="shared" si="4"/>
        <v>大鉄　堺:産振ＣＰ Ａ</v>
      </c>
    </row>
    <row r="2976" ht="15.75" customHeight="1">
      <c r="A2976" s="335" t="s">
        <v>4124</v>
      </c>
      <c r="B2976" s="336">
        <v>45951.0</v>
      </c>
      <c r="C2976" s="335" t="s">
        <v>9</v>
      </c>
      <c r="D2976" s="335" t="s">
        <v>50</v>
      </c>
      <c r="E2976" s="337" t="str">
        <f t="shared" si="1"/>
        <v>大鉄　堺:産振</v>
      </c>
      <c r="F2976" s="338" t="s">
        <v>156</v>
      </c>
      <c r="G2976" s="339" t="str">
        <f t="shared" si="2"/>
        <v>大鉄　堺:産振ＣＰ Ｂ一斗缶</v>
      </c>
      <c r="H2976" s="340">
        <f t="shared" si="3"/>
        <v>35.5</v>
      </c>
      <c r="I2976" s="341">
        <v>0.5</v>
      </c>
      <c r="J2976" s="332">
        <f>IFERROR(__xludf.DUMMYFUNCTION("IF(IF(COUNTIF(P$2:P2975, P2976)=0, """", INDEX(H$2:H2975,
MAX(FILTER(ROW(H$2:H2975) - ROW(H$2) + 1, P$2:P2975 = P2976))))=""単価"","""",
IF(COUNTIF(P$2:P2975, P2976)=0, """", INDEX(H$2:H2975,
MAX(FILTER(ROW(H$2:H2975) - ROW(H$2) + 1, P$2:P2975 = P2976)))))"),35.0)</f>
        <v>35</v>
      </c>
      <c r="N2976" s="335" t="str">
        <f>IF(MAXIFS('単価履歴'!$O:$O,'単価履歴'!$E:$E,E2976,'単価履歴'!$F:$F,F2976)=O2976,"●","")</f>
        <v/>
      </c>
      <c r="O2976" s="346">
        <v>45951.287824074076</v>
      </c>
      <c r="P2976" s="334" t="str">
        <f t="shared" si="4"/>
        <v>大鉄　堺:産振ＣＰ Ｂ一斗缶</v>
      </c>
    </row>
    <row r="2977" ht="15.75" customHeight="1">
      <c r="A2977" s="335" t="s">
        <v>4125</v>
      </c>
      <c r="B2977" s="336">
        <v>45951.0</v>
      </c>
      <c r="C2977" s="335" t="s">
        <v>9</v>
      </c>
      <c r="D2977" s="335" t="s">
        <v>50</v>
      </c>
      <c r="E2977" s="337" t="str">
        <f t="shared" si="1"/>
        <v>大鉄　堺:産振</v>
      </c>
      <c r="F2977" s="338" t="s">
        <v>122</v>
      </c>
      <c r="G2977" s="339" t="str">
        <f t="shared" si="2"/>
        <v>大鉄　堺:産振Ｌ１(2級)</v>
      </c>
      <c r="H2977" s="340">
        <f t="shared" si="3"/>
        <v>23.2</v>
      </c>
      <c r="I2977" s="341">
        <v>0.5</v>
      </c>
      <c r="J2977" s="332">
        <f>IFERROR(__xludf.DUMMYFUNCTION("IF(IF(COUNTIF(P$2:P2976, P2977)=0, """", INDEX(H$2:H2976,
MAX(FILTER(ROW(H$2:H2976) - ROW(H$2) + 1, P$2:P2976 = P2977))))=""単価"","""",
IF(COUNTIF(P$2:P2976, P2977)=0, """", INDEX(H$2:H2976,
MAX(FILTER(ROW(H$2:H2976) - ROW(H$2) + 1, P$2:P2976 = P2977)))))"),22.700000000000003)</f>
        <v>22.7</v>
      </c>
      <c r="N2977" s="335" t="str">
        <f>IF(MAXIFS('単価履歴'!$O:$O,'単価履歴'!$E:$E,E2977,'単価履歴'!$F:$F,F2977)=O2977,"●","")</f>
        <v/>
      </c>
      <c r="O2977" s="346">
        <v>45951.287824074076</v>
      </c>
      <c r="P2977" s="334" t="str">
        <f t="shared" si="4"/>
        <v>大鉄　堺:産振Ｌ１(2級)</v>
      </c>
    </row>
    <row r="2978" ht="15.75" customHeight="1">
      <c r="A2978" s="335" t="s">
        <v>4126</v>
      </c>
      <c r="B2978" s="336">
        <v>45951.0</v>
      </c>
      <c r="C2978" s="335" t="s">
        <v>9</v>
      </c>
      <c r="D2978" s="335" t="s">
        <v>50</v>
      </c>
      <c r="E2978" s="337" t="str">
        <f t="shared" si="1"/>
        <v>大鉄　堺:産振</v>
      </c>
      <c r="F2978" s="338" t="s">
        <v>130</v>
      </c>
      <c r="G2978" s="339" t="str">
        <f t="shared" si="2"/>
        <v>大鉄　堺:産振新断Ａ</v>
      </c>
      <c r="H2978" s="340">
        <f t="shared" si="3"/>
        <v>41.7</v>
      </c>
      <c r="I2978" s="341">
        <v>0.5</v>
      </c>
      <c r="J2978" s="332">
        <f>IFERROR(__xludf.DUMMYFUNCTION("IF(IF(COUNTIF(P$2:P2977, P2978)=0, """", INDEX(H$2:H2977,
MAX(FILTER(ROW(H$2:H2977) - ROW(H$2) + 1, P$2:P2977 = P2978))))=""単価"","""",
IF(COUNTIF(P$2:P2977, P2978)=0, """", INDEX(H$2:H2977,
MAX(FILTER(ROW(H$2:H2977) - ROW(H$2) + 1, P$2:P2977 = P2978)))))"),41.2)</f>
        <v>41.2</v>
      </c>
      <c r="N2978" s="335" t="str">
        <f>IF(MAXIFS('単価履歴'!$O:$O,'単価履歴'!$E:$E,E2978,'単価履歴'!$F:$F,F2978)=O2978,"●","")</f>
        <v/>
      </c>
      <c r="O2978" s="346">
        <v>45951.287824074076</v>
      </c>
      <c r="P2978" s="334" t="str">
        <f t="shared" si="4"/>
        <v>大鉄　堺:産振新断Ａ</v>
      </c>
    </row>
    <row r="2979" ht="15.75" customHeight="1">
      <c r="A2979" s="335" t="s">
        <v>4127</v>
      </c>
      <c r="B2979" s="336">
        <v>45951.0</v>
      </c>
      <c r="C2979" s="335" t="s">
        <v>9</v>
      </c>
      <c r="D2979" s="335" t="s">
        <v>50</v>
      </c>
      <c r="E2979" s="337" t="str">
        <f t="shared" si="1"/>
        <v>大鉄　堺:産振</v>
      </c>
      <c r="F2979" s="338" t="s">
        <v>131</v>
      </c>
      <c r="G2979" s="339" t="str">
        <f t="shared" si="2"/>
        <v>大鉄　堺:産振新断Ｂ</v>
      </c>
      <c r="H2979" s="340">
        <f t="shared" si="3"/>
        <v>41.2</v>
      </c>
      <c r="I2979" s="341">
        <v>0.5</v>
      </c>
      <c r="J2979" s="332">
        <f>IFERROR(__xludf.DUMMYFUNCTION("IF(IF(COUNTIF(P$2:P2978, P2979)=0, """", INDEX(H$2:H2978,
MAX(FILTER(ROW(H$2:H2978) - ROW(H$2) + 1, P$2:P2978 = P2979))))=""単価"","""",
IF(COUNTIF(P$2:P2978, P2979)=0, """", INDEX(H$2:H2978,
MAX(FILTER(ROW(H$2:H2978) - ROW(H$2) + 1, P$2:P2978 = P2979)))))"),40.7)</f>
        <v>40.7</v>
      </c>
      <c r="N2979" s="335" t="str">
        <f>IF(MAXIFS('単価履歴'!$O:$O,'単価履歴'!$E:$E,E2979,'単価履歴'!$F:$F,F2979)=O2979,"●","")</f>
        <v/>
      </c>
      <c r="O2979" s="346">
        <v>45951.287824074076</v>
      </c>
      <c r="P2979" s="334" t="str">
        <f t="shared" si="4"/>
        <v>大鉄　堺:産振新断Ｂ</v>
      </c>
    </row>
    <row r="2980" ht="15.75" customHeight="1">
      <c r="A2980" s="335" t="s">
        <v>4128</v>
      </c>
      <c r="B2980" s="336">
        <v>45951.0</v>
      </c>
      <c r="C2980" s="335" t="s">
        <v>9</v>
      </c>
      <c r="D2980" s="335" t="s">
        <v>49</v>
      </c>
      <c r="E2980" s="337" t="str">
        <f t="shared" si="1"/>
        <v>大鉄　堺:伊藤忠</v>
      </c>
      <c r="F2980" s="338" t="s">
        <v>111</v>
      </c>
      <c r="G2980" s="339" t="str">
        <f t="shared" si="2"/>
        <v>大鉄　堺:伊藤忠Ｈ１(特A)</v>
      </c>
      <c r="H2980" s="340">
        <f t="shared" si="3"/>
        <v>28.3</v>
      </c>
      <c r="I2980" s="341">
        <v>0.5</v>
      </c>
      <c r="J2980" s="332">
        <f>IFERROR(__xludf.DUMMYFUNCTION("IF(IF(COUNTIF(P$2:P2979, P2980)=0, """", INDEX(H$2:H2979,
MAX(FILTER(ROW(H$2:H2979) - ROW(H$2) + 1, P$2:P2979 = P2980))))=""単価"","""",
IF(COUNTIF(P$2:P2979, P2980)=0, """", INDEX(H$2:H2979,
MAX(FILTER(ROW(H$2:H2979) - ROW(H$2) + 1, P$2:P2979 = P2980)))))"),27.8)</f>
        <v>27.8</v>
      </c>
      <c r="N2980" s="335" t="str">
        <f>IF(MAXIFS('単価履歴'!$O:$O,'単価履歴'!$E:$E,E2980,'単価履歴'!$F:$F,F2980)=O2980,"●","")</f>
        <v/>
      </c>
      <c r="O2980" s="346">
        <v>45951.28802083334</v>
      </c>
      <c r="P2980" s="334" t="str">
        <f t="shared" si="4"/>
        <v>大鉄　堺:伊藤忠Ｈ１(特A)</v>
      </c>
    </row>
    <row r="2981" ht="15.75" customHeight="1">
      <c r="A2981" s="335" t="s">
        <v>4129</v>
      </c>
      <c r="B2981" s="336">
        <v>45951.0</v>
      </c>
      <c r="C2981" s="335" t="s">
        <v>9</v>
      </c>
      <c r="D2981" s="335" t="s">
        <v>49</v>
      </c>
      <c r="E2981" s="337" t="str">
        <f t="shared" si="1"/>
        <v>大鉄　堺:伊藤忠</v>
      </c>
      <c r="F2981" s="338" t="s">
        <v>1237</v>
      </c>
      <c r="G2981" s="339" t="str">
        <f t="shared" si="2"/>
        <v>大鉄　堺:伊藤忠ＪＨ１(H2T山口)鍛造ﾊﾞﾘ</v>
      </c>
      <c r="H2981" s="340">
        <f t="shared" si="3"/>
        <v>35.7</v>
      </c>
      <c r="I2981" s="341">
        <v>0.5</v>
      </c>
      <c r="J2981" s="332">
        <f>IFERROR(__xludf.DUMMYFUNCTION("IF(IF(COUNTIF(P$2:P2980, P2981)=0, """", INDEX(H$2:H2980,
MAX(FILTER(ROW(H$2:H2980) - ROW(H$2) + 1, P$2:P2980 = P2981))))=""単価"","""",
IF(COUNTIF(P$2:P2980, P2981)=0, """", INDEX(H$2:H2980,
MAX(FILTER(ROW(H$2:H2980) - ROW(H$2) + 1, P$2:P2980 = P2981)))))"),35.2)</f>
        <v>35.2</v>
      </c>
      <c r="N2981" s="335" t="str">
        <f>IF(MAXIFS('単価履歴'!$O:$O,'単価履歴'!$E:$E,E2981,'単価履歴'!$F:$F,F2981)=O2981,"●","")</f>
        <v/>
      </c>
      <c r="O2981" s="346">
        <v>45951.28802083334</v>
      </c>
      <c r="P2981" s="334" t="str">
        <f t="shared" si="4"/>
        <v>大鉄　堺:伊藤忠ＪＨ１(H2T山口)鍛造ﾊﾞﾘ</v>
      </c>
    </row>
    <row r="2982" ht="15.75" customHeight="1">
      <c r="A2982" s="335" t="s">
        <v>4130</v>
      </c>
      <c r="B2982" s="336">
        <v>45951.0</v>
      </c>
      <c r="C2982" s="335" t="s">
        <v>9</v>
      </c>
      <c r="D2982" s="335" t="s">
        <v>49</v>
      </c>
      <c r="E2982" s="337" t="str">
        <f t="shared" si="1"/>
        <v>大鉄　堺:伊藤忠</v>
      </c>
      <c r="F2982" s="338" t="s">
        <v>116</v>
      </c>
      <c r="G2982" s="339" t="str">
        <f t="shared" si="2"/>
        <v>大鉄　堺:伊藤忠Ｈ２(特級)</v>
      </c>
      <c r="H2982" s="340">
        <f t="shared" si="3"/>
        <v>33.5</v>
      </c>
      <c r="I2982" s="341">
        <v>0.5</v>
      </c>
      <c r="J2982" s="332">
        <f>IFERROR(__xludf.DUMMYFUNCTION("IF(IF(COUNTIF(P$2:P2981, P2982)=0, """", INDEX(H$2:H2981,
MAX(FILTER(ROW(H$2:H2981) - ROW(H$2) + 1, P$2:P2981 = P2982))))=""単価"","""",
IF(COUNTIF(P$2:P2981, P2982)=0, """", INDEX(H$2:H2981,
MAX(FILTER(ROW(H$2:H2981) - ROW(H$2) + 1, P$2:P2981 = P2982)))))"),33.0)</f>
        <v>33</v>
      </c>
      <c r="N2982" s="335" t="str">
        <f>IF(MAXIFS('単価履歴'!$O:$O,'単価履歴'!$E:$E,E2982,'単価履歴'!$F:$F,F2982)=O2982,"●","")</f>
        <v/>
      </c>
      <c r="O2982" s="346">
        <v>45951.28802083334</v>
      </c>
      <c r="P2982" s="334" t="str">
        <f t="shared" si="4"/>
        <v>大鉄　堺:伊藤忠Ｈ２(特級)</v>
      </c>
    </row>
    <row r="2983" ht="15.75" customHeight="1">
      <c r="A2983" s="335" t="s">
        <v>4131</v>
      </c>
      <c r="B2983" s="336">
        <v>45951.0</v>
      </c>
      <c r="C2983" s="335" t="s">
        <v>9</v>
      </c>
      <c r="D2983" s="335" t="s">
        <v>49</v>
      </c>
      <c r="E2983" s="337" t="str">
        <f t="shared" si="1"/>
        <v>大鉄　堺:伊藤忠</v>
      </c>
      <c r="F2983" s="338" t="s">
        <v>119</v>
      </c>
      <c r="G2983" s="339" t="str">
        <f t="shared" si="2"/>
        <v>大鉄　堺:伊藤忠Ｈ３(1級)</v>
      </c>
      <c r="H2983" s="340">
        <f t="shared" si="3"/>
        <v>32.5</v>
      </c>
      <c r="I2983" s="341">
        <v>0.5</v>
      </c>
      <c r="J2983" s="332">
        <f>IFERROR(__xludf.DUMMYFUNCTION("IF(IF(COUNTIF(P$2:P2982, P2983)=0, """", INDEX(H$2:H2982,
MAX(FILTER(ROW(H$2:H2982) - ROW(H$2) + 1, P$2:P2982 = P2983))))=""単価"","""",
IF(COUNTIF(P$2:P2982, P2983)=0, """", INDEX(H$2:H2982,
MAX(FILTER(ROW(H$2:H2982) - ROW(H$2) + 1, P$2:P2982 = P2983)))))"),32.0)</f>
        <v>32</v>
      </c>
      <c r="N2983" s="335" t="str">
        <f>IF(MAXIFS('単価履歴'!$O:$O,'単価履歴'!$E:$E,E2983,'単価履歴'!$F:$F,F2983)=O2983,"●","")</f>
        <v/>
      </c>
      <c r="O2983" s="346">
        <v>45951.28802083334</v>
      </c>
      <c r="P2983" s="334" t="str">
        <f t="shared" si="4"/>
        <v>大鉄　堺:伊藤忠Ｈ３(1級)</v>
      </c>
    </row>
    <row r="2984" ht="15.75" customHeight="1">
      <c r="A2984" s="335" t="s">
        <v>4132</v>
      </c>
      <c r="B2984" s="336">
        <v>45951.0</v>
      </c>
      <c r="C2984" s="335" t="s">
        <v>9</v>
      </c>
      <c r="D2984" s="335" t="s">
        <v>49</v>
      </c>
      <c r="E2984" s="337" t="str">
        <f t="shared" si="1"/>
        <v>大鉄　堺:伊藤忠</v>
      </c>
      <c r="F2984" s="338" t="s">
        <v>122</v>
      </c>
      <c r="G2984" s="339" t="str">
        <f t="shared" si="2"/>
        <v>大鉄　堺:伊藤忠Ｌ１(2級)</v>
      </c>
      <c r="H2984" s="340">
        <f t="shared" si="3"/>
        <v>31.5</v>
      </c>
      <c r="I2984" s="341">
        <v>0.5</v>
      </c>
      <c r="J2984" s="332">
        <f>IFERROR(__xludf.DUMMYFUNCTION("IF(IF(COUNTIF(P$2:P2983, P2984)=0, """", INDEX(H$2:H2983,
MAX(FILTER(ROW(H$2:H2983) - ROW(H$2) + 1, P$2:P2983 = P2984))))=""単価"","""",
IF(COUNTIF(P$2:P2983, P2984)=0, """", INDEX(H$2:H2983,
MAX(FILTER(ROW(H$2:H2983) - ROW(H$2) + 1, P$2:P2983 = P2984)))))"),31.0)</f>
        <v>31</v>
      </c>
      <c r="N2984" s="335" t="str">
        <f>IF(MAXIFS('単価履歴'!$O:$O,'単価履歴'!$E:$E,E2984,'単価履歴'!$F:$F,F2984)=O2984,"●","")</f>
        <v/>
      </c>
      <c r="O2984" s="346">
        <v>45951.28802083334</v>
      </c>
      <c r="P2984" s="334" t="str">
        <f t="shared" si="4"/>
        <v>大鉄　堺:伊藤忠Ｌ１(2級)</v>
      </c>
    </row>
    <row r="2985" ht="15.75" customHeight="1">
      <c r="A2985" s="335" t="s">
        <v>4133</v>
      </c>
      <c r="B2985" s="336">
        <v>45951.0</v>
      </c>
      <c r="C2985" s="335" t="s">
        <v>9</v>
      </c>
      <c r="D2985" s="335" t="s">
        <v>49</v>
      </c>
      <c r="E2985" s="337" t="str">
        <f t="shared" si="1"/>
        <v>大鉄　堺:伊藤忠</v>
      </c>
      <c r="F2985" s="338" t="s">
        <v>130</v>
      </c>
      <c r="G2985" s="339" t="str">
        <f t="shared" si="2"/>
        <v>大鉄　堺:伊藤忠新断Ａ</v>
      </c>
      <c r="H2985" s="340">
        <f t="shared" si="3"/>
        <v>27.8</v>
      </c>
      <c r="I2985" s="341">
        <v>0.5</v>
      </c>
      <c r="J2985" s="332">
        <f>IFERROR(__xludf.DUMMYFUNCTION("IF(IF(COUNTIF(P$2:P2984, P2985)=0, """", INDEX(H$2:H2984,
MAX(FILTER(ROW(H$2:H2984) - ROW(H$2) + 1, P$2:P2984 = P2985))))=""単価"","""",
IF(COUNTIF(P$2:P2984, P2985)=0, """", INDEX(H$2:H2984,
MAX(FILTER(ROW(H$2:H2984) - ROW(H$2) + 1, P$2:P2984 = P2985)))))"),27.3)</f>
        <v>27.3</v>
      </c>
      <c r="N2985" s="335" t="str">
        <f>IF(MAXIFS('単価履歴'!$O:$O,'単価履歴'!$E:$E,E2985,'単価履歴'!$F:$F,F2985)=O2985,"●","")</f>
        <v/>
      </c>
      <c r="O2985" s="346">
        <v>45951.28802083334</v>
      </c>
      <c r="P2985" s="334" t="str">
        <f t="shared" si="4"/>
        <v>大鉄　堺:伊藤忠新断Ａ</v>
      </c>
    </row>
    <row r="2986" ht="15.75" customHeight="1">
      <c r="A2986" s="335" t="s">
        <v>4134</v>
      </c>
      <c r="B2986" s="336">
        <v>45951.0</v>
      </c>
      <c r="C2986" s="335" t="s">
        <v>9</v>
      </c>
      <c r="D2986" s="335" t="s">
        <v>49</v>
      </c>
      <c r="E2986" s="337" t="str">
        <f t="shared" si="1"/>
        <v>大鉄　堺:伊藤忠</v>
      </c>
      <c r="F2986" s="338" t="s">
        <v>131</v>
      </c>
      <c r="G2986" s="339" t="str">
        <f t="shared" si="2"/>
        <v>大鉄　堺:伊藤忠新断Ｂ</v>
      </c>
      <c r="H2986" s="340">
        <f t="shared" si="3"/>
        <v>27.3</v>
      </c>
      <c r="I2986" s="341">
        <v>0.5</v>
      </c>
      <c r="J2986" s="332">
        <f>IFERROR(__xludf.DUMMYFUNCTION("IF(IF(COUNTIF(P$2:P2985, P2986)=0, """", INDEX(H$2:H2985,
MAX(FILTER(ROW(H$2:H2985) - ROW(H$2) + 1, P$2:P2985 = P2986))))=""単価"","""",
IF(COUNTIF(P$2:P2985, P2986)=0, """", INDEX(H$2:H2985,
MAX(FILTER(ROW(H$2:H2985) - ROW(H$2) + 1, P$2:P2985 = P2986)))))"),26.8)</f>
        <v>26.8</v>
      </c>
      <c r="N2986" s="335" t="str">
        <f>IF(MAXIFS('単価履歴'!$O:$O,'単価履歴'!$E:$E,E2986,'単価履歴'!$F:$F,F2986)=O2986,"●","")</f>
        <v/>
      </c>
      <c r="O2986" s="346">
        <v>45951.28802083334</v>
      </c>
      <c r="P2986" s="334" t="str">
        <f t="shared" si="4"/>
        <v>大鉄　堺:伊藤忠新断Ｂ</v>
      </c>
    </row>
    <row r="2987" ht="15.75" customHeight="1">
      <c r="A2987" s="335" t="s">
        <v>4135</v>
      </c>
      <c r="B2987" s="336">
        <v>45951.0</v>
      </c>
      <c r="C2987" s="335" t="s">
        <v>10</v>
      </c>
      <c r="D2987" s="335" t="s">
        <v>47</v>
      </c>
      <c r="E2987" s="337" t="str">
        <f t="shared" si="1"/>
        <v>岸和田:豊通</v>
      </c>
      <c r="F2987" s="338" t="s">
        <v>111</v>
      </c>
      <c r="G2987" s="339" t="str">
        <f t="shared" si="2"/>
        <v>岸和田:豊通Ｈ１(特A)</v>
      </c>
      <c r="H2987" s="340">
        <f t="shared" si="3"/>
        <v>42.5</v>
      </c>
      <c r="I2987" s="341">
        <v>0.5</v>
      </c>
      <c r="J2987" s="332">
        <f>IFERROR(__xludf.DUMMYFUNCTION("IF(IF(COUNTIF(P$2:P2986, P2987)=0, """", INDEX(H$2:H2986,
MAX(FILTER(ROW(H$2:H2986) - ROW(H$2) + 1, P$2:P2986 = P2987))))=""単価"","""",
IF(COUNTIF(P$2:P2986, P2987)=0, """", INDEX(H$2:H2986,
MAX(FILTER(ROW(H$2:H2986) - ROW(H$2) + 1, P$2:P2986 = P2987)))))"),42.0)</f>
        <v>42</v>
      </c>
      <c r="N2987" s="335" t="str">
        <f>IF(MAXIFS('単価履歴'!$O:$O,'単価履歴'!$E:$E,E2987,'単価履歴'!$F:$F,F2987)=O2987,"●","")</f>
        <v/>
      </c>
      <c r="O2987" s="346">
        <v>45951.28832175926</v>
      </c>
      <c r="P2987" s="334" t="str">
        <f t="shared" si="4"/>
        <v>岸和田:豊通Ｈ１(特A)</v>
      </c>
    </row>
    <row r="2988" ht="15.75" customHeight="1">
      <c r="A2988" s="335" t="s">
        <v>4136</v>
      </c>
      <c r="B2988" s="336">
        <v>45951.0</v>
      </c>
      <c r="C2988" s="335" t="s">
        <v>10</v>
      </c>
      <c r="D2988" s="335" t="s">
        <v>47</v>
      </c>
      <c r="E2988" s="337" t="str">
        <f t="shared" si="1"/>
        <v>岸和田:豊通</v>
      </c>
      <c r="F2988" s="338" t="s">
        <v>116</v>
      </c>
      <c r="G2988" s="339" t="str">
        <f t="shared" si="2"/>
        <v>岸和田:豊通Ｈ２(特級)</v>
      </c>
      <c r="H2988" s="340">
        <f t="shared" si="3"/>
        <v>40.5</v>
      </c>
      <c r="I2988" s="341">
        <v>0.5</v>
      </c>
      <c r="J2988" s="332">
        <f>IFERROR(__xludf.DUMMYFUNCTION("IF(IF(COUNTIF(P$2:P2987, P2988)=0, """", INDEX(H$2:H2987,
MAX(FILTER(ROW(H$2:H2987) - ROW(H$2) + 1, P$2:P2987 = P2988))))=""単価"","""",
IF(COUNTIF(P$2:P2987, P2988)=0, """", INDEX(H$2:H2987,
MAX(FILTER(ROW(H$2:H2987) - ROW(H$2) + 1, P$2:P2987 = P2988)))))"),40.0)</f>
        <v>40</v>
      </c>
      <c r="N2988" s="335" t="str">
        <f>IF(MAXIFS('単価履歴'!$O:$O,'単価履歴'!$E:$E,E2988,'単価履歴'!$F:$F,F2988)=O2988,"●","")</f>
        <v/>
      </c>
      <c r="O2988" s="346">
        <v>45951.28832175926</v>
      </c>
      <c r="P2988" s="334" t="str">
        <f t="shared" si="4"/>
        <v>岸和田:豊通Ｈ２(特級)</v>
      </c>
    </row>
    <row r="2989" ht="15.75" customHeight="1">
      <c r="A2989" s="335" t="s">
        <v>4137</v>
      </c>
      <c r="B2989" s="336">
        <v>45951.0</v>
      </c>
      <c r="C2989" s="335" t="s">
        <v>10</v>
      </c>
      <c r="D2989" s="335" t="s">
        <v>47</v>
      </c>
      <c r="E2989" s="337" t="str">
        <f t="shared" si="1"/>
        <v>岸和田:豊通</v>
      </c>
      <c r="F2989" s="338" t="s">
        <v>119</v>
      </c>
      <c r="G2989" s="339" t="str">
        <f t="shared" si="2"/>
        <v>岸和田:豊通Ｈ３(1級)</v>
      </c>
      <c r="H2989" s="340">
        <f t="shared" si="3"/>
        <v>40</v>
      </c>
      <c r="I2989" s="341">
        <v>0.5</v>
      </c>
      <c r="J2989" s="332">
        <f>IFERROR(__xludf.DUMMYFUNCTION("IF(IF(COUNTIF(P$2:P2988, P2989)=0, """", INDEX(H$2:H2988,
MAX(FILTER(ROW(H$2:H2988) - ROW(H$2) + 1, P$2:P2988 = P2989))))=""単価"","""",
IF(COUNTIF(P$2:P2988, P2989)=0, """", INDEX(H$2:H2988,
MAX(FILTER(ROW(H$2:H2988) - ROW(H$2) + 1, P$2:P2988 = P2989)))))"),39.5)</f>
        <v>39.5</v>
      </c>
      <c r="N2989" s="335" t="str">
        <f>IF(MAXIFS('単価履歴'!$O:$O,'単価履歴'!$E:$E,E2989,'単価履歴'!$F:$F,F2989)=O2989,"●","")</f>
        <v/>
      </c>
      <c r="O2989" s="346">
        <v>45951.28832175926</v>
      </c>
      <c r="P2989" s="334" t="str">
        <f t="shared" si="4"/>
        <v>岸和田:豊通Ｈ３(1級)</v>
      </c>
    </row>
    <row r="2990" ht="15.75" customHeight="1">
      <c r="A2990" s="335" t="s">
        <v>4138</v>
      </c>
      <c r="B2990" s="336">
        <v>45951.0</v>
      </c>
      <c r="C2990" s="335" t="s">
        <v>10</v>
      </c>
      <c r="D2990" s="335" t="s">
        <v>47</v>
      </c>
      <c r="E2990" s="337" t="str">
        <f t="shared" si="1"/>
        <v>岸和田:豊通</v>
      </c>
      <c r="F2990" s="338" t="s">
        <v>122</v>
      </c>
      <c r="G2990" s="339" t="str">
        <f t="shared" si="2"/>
        <v>岸和田:豊通Ｌ１(2級)</v>
      </c>
      <c r="H2990" s="340">
        <f t="shared" si="3"/>
        <v>39.5</v>
      </c>
      <c r="I2990" s="341">
        <v>0.5</v>
      </c>
      <c r="J2990" s="332">
        <f>IFERROR(__xludf.DUMMYFUNCTION("IF(IF(COUNTIF(P$2:P2989, P2990)=0, """", INDEX(H$2:H2989,
MAX(FILTER(ROW(H$2:H2989) - ROW(H$2) + 1, P$2:P2989 = P2990))))=""単価"","""",
IF(COUNTIF(P$2:P2989, P2990)=0, """", INDEX(H$2:H2989,
MAX(FILTER(ROW(H$2:H2989) - ROW(H$2) + 1, P$2:P2989 = P2990)))))"),39.0)</f>
        <v>39</v>
      </c>
      <c r="N2990" s="335" t="str">
        <f>IF(MAXIFS('単価履歴'!$O:$O,'単価履歴'!$E:$E,E2990,'単価履歴'!$F:$F,F2990)=O2990,"●","")</f>
        <v/>
      </c>
      <c r="O2990" s="346">
        <v>45951.28832175926</v>
      </c>
      <c r="P2990" s="334" t="str">
        <f t="shared" si="4"/>
        <v>岸和田:豊通Ｌ１(2級)</v>
      </c>
    </row>
    <row r="2991" ht="15.75" customHeight="1">
      <c r="A2991" s="335" t="s">
        <v>4139</v>
      </c>
      <c r="B2991" s="336">
        <v>45951.0</v>
      </c>
      <c r="C2991" s="335" t="s">
        <v>10</v>
      </c>
      <c r="D2991" s="335" t="s">
        <v>47</v>
      </c>
      <c r="E2991" s="337" t="str">
        <f t="shared" si="1"/>
        <v>岸和田:豊通</v>
      </c>
      <c r="F2991" s="338" t="s">
        <v>154</v>
      </c>
      <c r="G2991" s="339" t="str">
        <f t="shared" si="2"/>
        <v>岸和田:豊通ＣＰ Ａ</v>
      </c>
      <c r="H2991" s="340">
        <f t="shared" si="3"/>
        <v>42.7</v>
      </c>
      <c r="I2991" s="341">
        <v>0.5</v>
      </c>
      <c r="J2991" s="332">
        <f>IFERROR(__xludf.DUMMYFUNCTION("IF(IF(COUNTIF(P$2:P2990, P2991)=0, """", INDEX(H$2:H2990,
MAX(FILTER(ROW(H$2:H2990) - ROW(H$2) + 1, P$2:P2990 = P2991))))=""単価"","""",
IF(COUNTIF(P$2:P2990, P2991)=0, """", INDEX(H$2:H2990,
MAX(FILTER(ROW(H$2:H2990) - ROW(H$2) + 1, P$2:P2990 = P2991)))))"),42.2)</f>
        <v>42.2</v>
      </c>
      <c r="N2991" s="335" t="str">
        <f>IF(MAXIFS('単価履歴'!$O:$O,'単価履歴'!$E:$E,E2991,'単価履歴'!$F:$F,F2991)=O2991,"●","")</f>
        <v/>
      </c>
      <c r="O2991" s="346">
        <v>45951.28832175926</v>
      </c>
      <c r="P2991" s="334" t="str">
        <f t="shared" si="4"/>
        <v>岸和田:豊通ＣＰ Ａ</v>
      </c>
    </row>
    <row r="2992" ht="15.75" customHeight="1">
      <c r="A2992" s="335" t="s">
        <v>4140</v>
      </c>
      <c r="B2992" s="336">
        <v>45951.0</v>
      </c>
      <c r="C2992" s="335" t="s">
        <v>10</v>
      </c>
      <c r="D2992" s="335" t="s">
        <v>46</v>
      </c>
      <c r="E2992" s="337" t="str">
        <f t="shared" si="1"/>
        <v>岸和田:阪和</v>
      </c>
      <c r="F2992" s="338" t="s">
        <v>149</v>
      </c>
      <c r="G2992" s="339" t="str">
        <f t="shared" si="2"/>
        <v>岸和田:阪和シュレＢ</v>
      </c>
      <c r="H2992" s="340">
        <f t="shared" si="3"/>
        <v>43.3</v>
      </c>
      <c r="I2992" s="341">
        <v>0.5</v>
      </c>
      <c r="J2992" s="332">
        <f>IFERROR(__xludf.DUMMYFUNCTION("IF(IF(COUNTIF(P$2:P2991, P2992)=0, """", INDEX(H$2:H2991,
MAX(FILTER(ROW(H$2:H2991) - ROW(H$2) + 1, P$2:P2991 = P2992))))=""単価"","""",
IF(COUNTIF(P$2:P2991, P2992)=0, """", INDEX(H$2:H2991,
MAX(FILTER(ROW(H$2:H2991) - ROW(H$2) + 1, P$2:P2991 = P2992)))))"),42.8)</f>
        <v>42.8</v>
      </c>
      <c r="N2992" s="335" t="str">
        <f>IF(MAXIFS('単価履歴'!$O:$O,'単価履歴'!$E:$E,E2992,'単価履歴'!$F:$F,F2992)=O2992,"●","")</f>
        <v/>
      </c>
      <c r="O2992" s="346">
        <v>45951.28866898148</v>
      </c>
      <c r="P2992" s="334" t="str">
        <f t="shared" si="4"/>
        <v>岸和田:阪和シュレＢ</v>
      </c>
    </row>
    <row r="2993" ht="15.75" customHeight="1">
      <c r="A2993" s="335" t="s">
        <v>4141</v>
      </c>
      <c r="B2993" s="336">
        <v>45951.0</v>
      </c>
      <c r="C2993" s="335" t="s">
        <v>36</v>
      </c>
      <c r="D2993" s="335" t="s">
        <v>1303</v>
      </c>
      <c r="E2993" s="337" t="str">
        <f t="shared" si="1"/>
        <v>共英枚方:ナベ/置場単価</v>
      </c>
      <c r="F2993" s="338" t="s">
        <v>111</v>
      </c>
      <c r="G2993" s="339" t="str">
        <f t="shared" si="2"/>
        <v>共英枚方:ナベ/置場単価Ｈ１(特A)</v>
      </c>
      <c r="H2993" s="340">
        <f t="shared" si="3"/>
        <v>41.5</v>
      </c>
      <c r="I2993" s="341">
        <v>0.5</v>
      </c>
      <c r="J2993" s="332">
        <f>IFERROR(__xludf.DUMMYFUNCTION("IF(IF(COUNTIF(P$2:P2992, P2993)=0, """", INDEX(H$2:H2992,
MAX(FILTER(ROW(H$2:H2992) - ROW(H$2) + 1, P$2:P2992 = P2993))))=""単価"","""",
IF(COUNTIF(P$2:P2992, P2993)=0, """", INDEX(H$2:H2992,
MAX(FILTER(ROW(H$2:H2992) - ROW(H$2) + 1, P$2:P2992 = P2993)))))"),41.0)</f>
        <v>41</v>
      </c>
      <c r="N2993" s="335" t="str">
        <f>IF(MAXIFS('単価履歴'!$O:$O,'単価履歴'!$E:$E,E2993,'単価履歴'!$F:$F,F2993)=O2993,"●","")</f>
        <v/>
      </c>
      <c r="O2993" s="346">
        <v>45951.28901620371</v>
      </c>
      <c r="P2993" s="334" t="str">
        <f t="shared" si="4"/>
        <v>共英枚方:ナベ/置場単価Ｈ１(特A)</v>
      </c>
    </row>
    <row r="2994" ht="15.75" customHeight="1">
      <c r="A2994" s="335" t="s">
        <v>4142</v>
      </c>
      <c r="B2994" s="336">
        <v>45951.0</v>
      </c>
      <c r="C2994" s="335" t="s">
        <v>36</v>
      </c>
      <c r="D2994" s="335" t="s">
        <v>1303</v>
      </c>
      <c r="E2994" s="337" t="str">
        <f t="shared" si="1"/>
        <v>共英枚方:ナベ/置場単価</v>
      </c>
      <c r="F2994" s="338" t="s">
        <v>116</v>
      </c>
      <c r="G2994" s="339" t="str">
        <f t="shared" si="2"/>
        <v>共英枚方:ナベ/置場単価Ｈ２(特級)</v>
      </c>
      <c r="H2994" s="340">
        <f t="shared" si="3"/>
        <v>39.5</v>
      </c>
      <c r="I2994" s="341">
        <v>0.5</v>
      </c>
      <c r="J2994" s="332">
        <f>IFERROR(__xludf.DUMMYFUNCTION("IF(IF(COUNTIF(P$2:P2993, P2994)=0, """", INDEX(H$2:H2993,
MAX(FILTER(ROW(H$2:H2993) - ROW(H$2) + 1, P$2:P2993 = P2994))))=""単価"","""",
IF(COUNTIF(P$2:P2993, P2994)=0, """", INDEX(H$2:H2993,
MAX(FILTER(ROW(H$2:H2993) - ROW(H$2) + 1, P$2:P2993 = P2994)))))"),39.0)</f>
        <v>39</v>
      </c>
      <c r="N2994" s="335" t="str">
        <f>IF(MAXIFS('単価履歴'!$O:$O,'単価履歴'!$E:$E,E2994,'単価履歴'!$F:$F,F2994)=O2994,"●","")</f>
        <v/>
      </c>
      <c r="O2994" s="346">
        <v>45951.28901620371</v>
      </c>
      <c r="P2994" s="334" t="str">
        <f t="shared" si="4"/>
        <v>共英枚方:ナベ/置場単価Ｈ２(特級)</v>
      </c>
    </row>
    <row r="2995" ht="15.75" customHeight="1">
      <c r="A2995" s="335" t="s">
        <v>4143</v>
      </c>
      <c r="B2995" s="336">
        <v>45951.0</v>
      </c>
      <c r="C2995" s="335" t="s">
        <v>36</v>
      </c>
      <c r="D2995" s="335" t="s">
        <v>1303</v>
      </c>
      <c r="E2995" s="337" t="str">
        <f t="shared" si="1"/>
        <v>共英枚方:ナベ/置場単価</v>
      </c>
      <c r="F2995" s="338" t="s">
        <v>119</v>
      </c>
      <c r="G2995" s="339" t="str">
        <f t="shared" si="2"/>
        <v>共英枚方:ナベ/置場単価Ｈ３(1級)</v>
      </c>
      <c r="H2995" s="340">
        <f t="shared" si="3"/>
        <v>39</v>
      </c>
      <c r="I2995" s="341">
        <v>0.5</v>
      </c>
      <c r="J2995" s="332">
        <f>IFERROR(__xludf.DUMMYFUNCTION("IF(IF(COUNTIF(P$2:P2994, P2995)=0, """", INDEX(H$2:H2994,
MAX(FILTER(ROW(H$2:H2994) - ROW(H$2) + 1, P$2:P2994 = P2995))))=""単価"","""",
IF(COUNTIF(P$2:P2994, P2995)=0, """", INDEX(H$2:H2994,
MAX(FILTER(ROW(H$2:H2994) - ROW(H$2) + 1, P$2:P2994 = P2995)))))"),38.5)</f>
        <v>38.5</v>
      </c>
      <c r="N2995" s="335" t="str">
        <f>IF(MAXIFS('単価履歴'!$O:$O,'単価履歴'!$E:$E,E2995,'単価履歴'!$F:$F,F2995)=O2995,"●","")</f>
        <v/>
      </c>
      <c r="O2995" s="346">
        <v>45951.28901620371</v>
      </c>
      <c r="P2995" s="334" t="str">
        <f t="shared" si="4"/>
        <v>共英枚方:ナベ/置場単価Ｈ３(1級)</v>
      </c>
    </row>
    <row r="2996" ht="15.75" customHeight="1">
      <c r="A2996" s="335" t="s">
        <v>4144</v>
      </c>
      <c r="B2996" s="336">
        <v>45951.0</v>
      </c>
      <c r="C2996" s="335" t="s">
        <v>36</v>
      </c>
      <c r="D2996" s="335" t="s">
        <v>1303</v>
      </c>
      <c r="E2996" s="337" t="str">
        <f t="shared" si="1"/>
        <v>共英枚方:ナベ/置場単価</v>
      </c>
      <c r="F2996" s="338" t="s">
        <v>122</v>
      </c>
      <c r="G2996" s="339" t="str">
        <f t="shared" si="2"/>
        <v>共英枚方:ナベ/置場単価Ｌ１(2級)</v>
      </c>
      <c r="H2996" s="340">
        <f t="shared" si="3"/>
        <v>38.5</v>
      </c>
      <c r="I2996" s="341">
        <v>0.5</v>
      </c>
      <c r="J2996" s="332">
        <f>IFERROR(__xludf.DUMMYFUNCTION("IF(IF(COUNTIF(P$2:P2995, P2996)=0, """", INDEX(H$2:H2995,
MAX(FILTER(ROW(H$2:H2995) - ROW(H$2) + 1, P$2:P2995 = P2996))))=""単価"","""",
IF(COUNTIF(P$2:P2995, P2996)=0, """", INDEX(H$2:H2995,
MAX(FILTER(ROW(H$2:H2995) - ROW(H$2) + 1, P$2:P2995 = P2996)))))"),38.0)</f>
        <v>38</v>
      </c>
      <c r="N2996" s="335" t="str">
        <f>IF(MAXIFS('単価履歴'!$O:$O,'単価履歴'!$E:$E,E2996,'単価履歴'!$F:$F,F2996)=O2996,"●","")</f>
        <v/>
      </c>
      <c r="O2996" s="346">
        <v>45951.28901620371</v>
      </c>
      <c r="P2996" s="334" t="str">
        <f t="shared" si="4"/>
        <v>共英枚方:ナベ/置場単価Ｌ１(2級)</v>
      </c>
    </row>
    <row r="2997" ht="15.75" customHeight="1">
      <c r="A2997" s="335" t="s">
        <v>4145</v>
      </c>
      <c r="B2997" s="336">
        <v>45951.0</v>
      </c>
      <c r="C2997" s="335" t="s">
        <v>36</v>
      </c>
      <c r="D2997" s="335" t="s">
        <v>1303</v>
      </c>
      <c r="E2997" s="337" t="str">
        <f t="shared" si="1"/>
        <v>共英枚方:ナベ/置場単価</v>
      </c>
      <c r="F2997" s="338" t="s">
        <v>154</v>
      </c>
      <c r="G2997" s="339" t="str">
        <f t="shared" si="2"/>
        <v>共英枚方:ナベ/置場単価ＣＰ Ａ</v>
      </c>
      <c r="H2997" s="340">
        <f t="shared" si="3"/>
        <v>45</v>
      </c>
      <c r="I2997" s="341">
        <v>0.5</v>
      </c>
      <c r="J2997" s="332">
        <f>IFERROR(__xludf.DUMMYFUNCTION("IF(IF(COUNTIF(P$2:P2996, P2997)=0, """", INDEX(H$2:H2996,
MAX(FILTER(ROW(H$2:H2996) - ROW(H$2) + 1, P$2:P2996 = P2997))))=""単価"","""",
IF(COUNTIF(P$2:P2996, P2997)=0, """", INDEX(H$2:H2996,
MAX(FILTER(ROW(H$2:H2996) - ROW(H$2) + 1, P$2:P2996 = P2997)))))"),44.5)</f>
        <v>44.5</v>
      </c>
      <c r="N2997" s="335" t="str">
        <f>IF(MAXIFS('単価履歴'!$O:$O,'単価履歴'!$E:$E,E2997,'単価履歴'!$F:$F,F2997)=O2997,"●","")</f>
        <v/>
      </c>
      <c r="O2997" s="346">
        <v>45951.28901620371</v>
      </c>
      <c r="P2997" s="334" t="str">
        <f t="shared" si="4"/>
        <v>共英枚方:ナベ/置場単価ＣＰ Ａ</v>
      </c>
    </row>
    <row r="2998" ht="15.75" customHeight="1">
      <c r="A2998" s="335" t="s">
        <v>4146</v>
      </c>
      <c r="B2998" s="336">
        <v>45951.0</v>
      </c>
      <c r="C2998" s="335" t="s">
        <v>29</v>
      </c>
      <c r="D2998" s="335" t="s">
        <v>63</v>
      </c>
      <c r="E2998" s="337" t="str">
        <f t="shared" si="1"/>
        <v>南港:ﾅﾝｾｲ</v>
      </c>
      <c r="F2998" s="338" t="s">
        <v>1199</v>
      </c>
      <c r="G2998" s="339" t="str">
        <f t="shared" si="2"/>
        <v>南港:ﾅﾝｾｲＨＳ１(単体H1/電特A/HS))</v>
      </c>
      <c r="H2998" s="340">
        <f t="shared" si="3"/>
        <v>47</v>
      </c>
      <c r="I2998" s="341">
        <v>3.5</v>
      </c>
      <c r="J2998" s="332">
        <f>IFERROR(__xludf.DUMMYFUNCTION("IF(IF(COUNTIF(P$2:P2997, P2998)=0, """", INDEX(H$2:H2997,
MAX(FILTER(ROW(H$2:H2997) - ROW(H$2) + 1, P$2:P2997 = P2998))))=""単価"","""",
IF(COUNTIF(P$2:P2997, P2998)=0, """", INDEX(H$2:H2997,
MAX(FILTER(ROW(H$2:H2997) - ROW(H$2) + 1, P$2:P2997 = P2998)))))"),43.5)</f>
        <v>43.5</v>
      </c>
      <c r="N2998" s="335" t="str">
        <f>IF(MAXIFS('単価履歴'!$O:$O,'単価履歴'!$E:$E,E2998,'単価履歴'!$F:$F,F2998)=O2998,"●","")</f>
        <v/>
      </c>
      <c r="O2998" s="346">
        <v>45951.291238425925</v>
      </c>
      <c r="P2998" s="334" t="str">
        <f t="shared" si="4"/>
        <v>南港:ﾅﾝｾｲＨＳ１(単体H1/電特A/HS))</v>
      </c>
    </row>
    <row r="2999" ht="15.75" customHeight="1">
      <c r="A2999" s="335" t="s">
        <v>4147</v>
      </c>
      <c r="B2999" s="336">
        <v>45951.0</v>
      </c>
      <c r="C2999" s="335" t="s">
        <v>29</v>
      </c>
      <c r="D2999" s="335" t="s">
        <v>63</v>
      </c>
      <c r="E2999" s="337" t="str">
        <f t="shared" si="1"/>
        <v>南港:ﾅﾝｾｲ</v>
      </c>
      <c r="F2999" s="338" t="s">
        <v>116</v>
      </c>
      <c r="G2999" s="339" t="str">
        <f t="shared" si="2"/>
        <v>南港:ﾅﾝｾｲＨ２(特級)</v>
      </c>
      <c r="H2999" s="340">
        <f t="shared" si="3"/>
        <v>41.5</v>
      </c>
      <c r="I2999" s="341">
        <v>0.5</v>
      </c>
      <c r="J2999" s="332">
        <f>IFERROR(__xludf.DUMMYFUNCTION("IF(IF(COUNTIF(P$2:P2998, P2999)=0, """", INDEX(H$2:H2998,
MAX(FILTER(ROW(H$2:H2998) - ROW(H$2) + 1, P$2:P2998 = P2999))))=""単価"","""",
IF(COUNTIF(P$2:P2998, P2999)=0, """", INDEX(H$2:H2998,
MAX(FILTER(ROW(H$2:H2998) - ROW(H$2) + 1, P$2:P2998 = P2999)))))"),41.0)</f>
        <v>41</v>
      </c>
      <c r="N2999" s="335" t="str">
        <f>IF(MAXIFS('単価履歴'!$O:$O,'単価履歴'!$E:$E,E2999,'単価履歴'!$F:$F,F2999)=O2999,"●","")</f>
        <v/>
      </c>
      <c r="O2999" s="346">
        <v>45951.291608796295</v>
      </c>
      <c r="P2999" s="334" t="str">
        <f t="shared" si="4"/>
        <v>南港:ﾅﾝｾｲＨ２(特級)</v>
      </c>
    </row>
    <row r="3000" ht="15.75" customHeight="1">
      <c r="A3000" s="335" t="s">
        <v>4148</v>
      </c>
      <c r="B3000" s="336">
        <v>45951.0</v>
      </c>
      <c r="C3000" s="335" t="s">
        <v>14</v>
      </c>
      <c r="D3000" s="335" t="s">
        <v>48</v>
      </c>
      <c r="E3000" s="337" t="str">
        <f t="shared" si="1"/>
        <v>愛知:ナベ</v>
      </c>
      <c r="F3000" s="338" t="s">
        <v>1199</v>
      </c>
      <c r="G3000" s="339" t="str">
        <f t="shared" si="2"/>
        <v>愛知:ナベＨＳ１(単体H1/電特A/HS))</v>
      </c>
      <c r="H3000" s="340">
        <f t="shared" si="3"/>
        <v>43</v>
      </c>
      <c r="I3000" s="341">
        <v>1.0</v>
      </c>
      <c r="J3000" s="332">
        <f>IFERROR(__xludf.DUMMYFUNCTION("IF(IF(COUNTIF(P$2:P2999, P3000)=0, """", INDEX(H$2:H2999,
MAX(FILTER(ROW(H$2:H2999) - ROW(H$2) + 1, P$2:P2999 = P3000))))=""単価"","""",
IF(COUNTIF(P$2:P2999, P3000)=0, """", INDEX(H$2:H2999,
MAX(FILTER(ROW(H$2:H2999) - ROW(H$2) + 1, P$2:P2999 = P3000)))))"),42.0)</f>
        <v>42</v>
      </c>
      <c r="N3000" s="335" t="str">
        <f>IF(MAXIFS('単価履歴'!$O:$O,'単価履歴'!$E:$E,E3000,'単価履歴'!$F:$F,F3000)=O3000,"●","")</f>
        <v/>
      </c>
      <c r="O3000" s="346">
        <v>45951.37755787037</v>
      </c>
      <c r="P3000" s="334" t="str">
        <f t="shared" si="4"/>
        <v>愛知:ナベＨＳ１(単体H1/電特A/HS))</v>
      </c>
    </row>
    <row r="3001" ht="15.75" customHeight="1">
      <c r="A3001" s="335" t="s">
        <v>4149</v>
      </c>
      <c r="B3001" s="336">
        <v>45951.0</v>
      </c>
      <c r="C3001" s="335" t="s">
        <v>14</v>
      </c>
      <c r="D3001" s="335" t="s">
        <v>48</v>
      </c>
      <c r="E3001" s="337" t="str">
        <f t="shared" si="1"/>
        <v>愛知:ナベ</v>
      </c>
      <c r="F3001" s="338" t="s">
        <v>101</v>
      </c>
      <c r="G3001" s="339" t="str">
        <f t="shared" si="2"/>
        <v>愛知:ナベＨＳ２</v>
      </c>
      <c r="H3001" s="340">
        <f t="shared" si="3"/>
        <v>42.5</v>
      </c>
      <c r="I3001" s="341">
        <v>1.0</v>
      </c>
      <c r="J3001" s="332">
        <f>IFERROR(__xludf.DUMMYFUNCTION("IF(IF(COUNTIF(P$2:P3000, P3001)=0, """", INDEX(H$2:H3000,
MAX(FILTER(ROW(H$2:H3000) - ROW(H$2) + 1, P$2:P3000 = P3001))))=""単価"","""",
IF(COUNTIF(P$2:P3000, P3001)=0, """", INDEX(H$2:H3000,
MAX(FILTER(ROW(H$2:H3000) - ROW(H$2) + 1, P$2:P3000 = P3001)))))"),41.5)</f>
        <v>41.5</v>
      </c>
      <c r="N3001" s="335" t="str">
        <f>IF(MAXIFS('単価履歴'!$O:$O,'単価履歴'!$E:$E,E3001,'単価履歴'!$F:$F,F3001)=O3001,"●","")</f>
        <v/>
      </c>
      <c r="O3001" s="346">
        <v>45951.37755787037</v>
      </c>
      <c r="P3001" s="334" t="str">
        <f t="shared" si="4"/>
        <v>愛知:ナベＨＳ２</v>
      </c>
    </row>
    <row r="3002" ht="15.75" customHeight="1">
      <c r="A3002" s="335" t="s">
        <v>4150</v>
      </c>
      <c r="B3002" s="336">
        <v>45951.0</v>
      </c>
      <c r="C3002" s="335" t="s">
        <v>14</v>
      </c>
      <c r="D3002" s="335" t="s">
        <v>48</v>
      </c>
      <c r="E3002" s="337" t="str">
        <f t="shared" si="1"/>
        <v>愛知:ナベ</v>
      </c>
      <c r="F3002" s="338" t="s">
        <v>111</v>
      </c>
      <c r="G3002" s="339" t="str">
        <f t="shared" si="2"/>
        <v>愛知:ナベＨ１(特A)</v>
      </c>
      <c r="H3002" s="340">
        <f t="shared" si="3"/>
        <v>42</v>
      </c>
      <c r="I3002" s="341">
        <v>1.0</v>
      </c>
      <c r="J3002" s="332">
        <f>IFERROR(__xludf.DUMMYFUNCTION("IF(IF(COUNTIF(P$2:P3001, P3002)=0, """", INDEX(H$2:H3001,
MAX(FILTER(ROW(H$2:H3001) - ROW(H$2) + 1, P$2:P3001 = P3002))))=""単価"","""",
IF(COUNTIF(P$2:P3001, P3002)=0, """", INDEX(H$2:H3001,
MAX(FILTER(ROW(H$2:H3001) - ROW(H$2) + 1, P$2:P3001 = P3002)))))"),41.0)</f>
        <v>41</v>
      </c>
      <c r="N3002" s="335" t="str">
        <f>IF(MAXIFS('単価履歴'!$O:$O,'単価履歴'!$E:$E,E3002,'単価履歴'!$F:$F,F3002)=O3002,"●","")</f>
        <v/>
      </c>
      <c r="O3002" s="346">
        <v>45951.37755787037</v>
      </c>
      <c r="P3002" s="334" t="str">
        <f t="shared" si="4"/>
        <v>愛知:ナベＨ１(特A)</v>
      </c>
    </row>
    <row r="3003" ht="15.75" customHeight="1">
      <c r="A3003" s="335" t="s">
        <v>4151</v>
      </c>
      <c r="B3003" s="336">
        <v>45951.0</v>
      </c>
      <c r="C3003" s="335" t="s">
        <v>14</v>
      </c>
      <c r="D3003" s="335" t="s">
        <v>48</v>
      </c>
      <c r="E3003" s="337" t="str">
        <f t="shared" si="1"/>
        <v>愛知:ナベ</v>
      </c>
      <c r="F3003" s="338" t="s">
        <v>116</v>
      </c>
      <c r="G3003" s="339" t="str">
        <f t="shared" si="2"/>
        <v>愛知:ナベＨ２(特級)</v>
      </c>
      <c r="H3003" s="340">
        <f t="shared" si="3"/>
        <v>40.4</v>
      </c>
      <c r="I3003" s="341">
        <v>1.0</v>
      </c>
      <c r="J3003" s="332">
        <f>IFERROR(__xludf.DUMMYFUNCTION("IF(IF(COUNTIF(P$2:P3002, P3003)=0, """", INDEX(H$2:H3002,
MAX(FILTER(ROW(H$2:H3002) - ROW(H$2) + 1, P$2:P3002 = P3003))))=""単価"","""",
IF(COUNTIF(P$2:P3002, P3003)=0, """", INDEX(H$2:H3002,
MAX(FILTER(ROW(H$2:H3002) - ROW(H$2) + 1, P$2:P3002 = P3003)))))"),39.4)</f>
        <v>39.4</v>
      </c>
      <c r="N3003" s="335" t="str">
        <f>IF(MAXIFS('単価履歴'!$O:$O,'単価履歴'!$E:$E,E3003,'単価履歴'!$F:$F,F3003)=O3003,"●","")</f>
        <v/>
      </c>
      <c r="O3003" s="346">
        <v>45951.37755787037</v>
      </c>
      <c r="P3003" s="334" t="str">
        <f t="shared" si="4"/>
        <v>愛知:ナベＨ２(特級)</v>
      </c>
    </row>
    <row r="3004" ht="15.75" customHeight="1">
      <c r="A3004" s="335" t="s">
        <v>4152</v>
      </c>
      <c r="B3004" s="336">
        <v>45951.0</v>
      </c>
      <c r="C3004" s="335" t="s">
        <v>14</v>
      </c>
      <c r="D3004" s="335" t="s">
        <v>48</v>
      </c>
      <c r="E3004" s="337" t="str">
        <f t="shared" si="1"/>
        <v>愛知:ナベ</v>
      </c>
      <c r="F3004" s="338" t="s">
        <v>119</v>
      </c>
      <c r="G3004" s="339" t="str">
        <f t="shared" si="2"/>
        <v>愛知:ナベＨ３(1級)</v>
      </c>
      <c r="H3004" s="340">
        <f t="shared" si="3"/>
        <v>39.4</v>
      </c>
      <c r="I3004" s="341">
        <v>1.0</v>
      </c>
      <c r="J3004" s="332">
        <f>IFERROR(__xludf.DUMMYFUNCTION("IF(IF(COUNTIF(P$2:P3003, P3004)=0, """", INDEX(H$2:H3003,
MAX(FILTER(ROW(H$2:H3003) - ROW(H$2) + 1, P$2:P3003 = P3004))))=""単価"","""",
IF(COUNTIF(P$2:P3003, P3004)=0, """", INDEX(H$2:H3003,
MAX(FILTER(ROW(H$2:H3003) - ROW(H$2) + 1, P$2:P3003 = P3004)))))"),38.4)</f>
        <v>38.4</v>
      </c>
      <c r="N3004" s="335" t="str">
        <f>IF(MAXIFS('単価履歴'!$O:$O,'単価履歴'!$E:$E,E3004,'単価履歴'!$F:$F,F3004)=O3004,"●","")</f>
        <v/>
      </c>
      <c r="O3004" s="346">
        <v>45951.37755787037</v>
      </c>
      <c r="P3004" s="334" t="str">
        <f t="shared" si="4"/>
        <v>愛知:ナベＨ３(1級)</v>
      </c>
    </row>
    <row r="3005" ht="15.75" customHeight="1">
      <c r="A3005" s="335" t="s">
        <v>4153</v>
      </c>
      <c r="B3005" s="336">
        <v>45951.0</v>
      </c>
      <c r="C3005" s="335" t="s">
        <v>14</v>
      </c>
      <c r="D3005" s="335" t="s">
        <v>48</v>
      </c>
      <c r="E3005" s="337" t="str">
        <f t="shared" si="1"/>
        <v>愛知:ナベ</v>
      </c>
      <c r="F3005" s="338" t="s">
        <v>573</v>
      </c>
      <c r="G3005" s="339" t="str">
        <f t="shared" si="2"/>
        <v>愛知:ナベＬ２(H4･級外･L1ﾊﾞﾗ)</v>
      </c>
      <c r="H3005" s="340">
        <f t="shared" si="3"/>
        <v>35.4</v>
      </c>
      <c r="I3005" s="341">
        <v>1.0</v>
      </c>
      <c r="J3005" s="332">
        <f>IFERROR(__xludf.DUMMYFUNCTION("IF(IF(COUNTIF(P$2:P3004, P3005)=0, """", INDEX(H$2:H3004,
MAX(FILTER(ROW(H$2:H3004) - ROW(H$2) + 1, P$2:P3004 = P3005))))=""単価"","""",
IF(COUNTIF(P$2:P3004, P3005)=0, """", INDEX(H$2:H3004,
MAX(FILTER(ROW(H$2:H3004) - ROW(H$2) + 1, P$2:P3004 = P3005)))))"),34.4)</f>
        <v>34.4</v>
      </c>
      <c r="N3005" s="335" t="str">
        <f>IF(MAXIFS('単価履歴'!$O:$O,'単価履歴'!$E:$E,E3005,'単価履歴'!$F:$F,F3005)=O3005,"●","")</f>
        <v/>
      </c>
      <c r="O3005" s="346">
        <v>45951.37755787037</v>
      </c>
      <c r="P3005" s="334" t="str">
        <f t="shared" si="4"/>
        <v>愛知:ナベＬ２(H4･級外･L1ﾊﾞﾗ)</v>
      </c>
    </row>
    <row r="3006" ht="15.75" customHeight="1">
      <c r="A3006" s="335" t="s">
        <v>4154</v>
      </c>
      <c r="B3006" s="336">
        <v>45951.0</v>
      </c>
      <c r="C3006" s="335" t="s">
        <v>14</v>
      </c>
      <c r="D3006" s="335" t="s">
        <v>48</v>
      </c>
      <c r="E3006" s="337" t="str">
        <f t="shared" si="1"/>
        <v>愛知:ナベ</v>
      </c>
      <c r="F3006" s="338" t="s">
        <v>575</v>
      </c>
      <c r="G3006" s="339" t="str">
        <f t="shared" si="2"/>
        <v>愛知:ナベ鋼ダライＡ</v>
      </c>
      <c r="H3006" s="340">
        <f t="shared" si="3"/>
        <v>1.5</v>
      </c>
      <c r="I3006" s="341">
        <v>1.0</v>
      </c>
      <c r="J3006" s="332">
        <f>IFERROR(__xludf.DUMMYFUNCTION("IF(IF(COUNTIF(P$2:P3005, P3006)=0, """", INDEX(H$2:H3005,
MAX(FILTER(ROW(H$2:H3005) - ROW(H$2) + 1, P$2:P3005 = P3006))))=""単価"","""",
IF(COUNTIF(P$2:P3005, P3006)=0, """", INDEX(H$2:H3005,
MAX(FILTER(ROW(H$2:H3005) - ROW(H$2) + 1, P$2:P3005 = P3006)))))"),0.5)</f>
        <v>0.5</v>
      </c>
      <c r="N3006" s="335" t="str">
        <f>IF(MAXIFS('単価履歴'!$O:$O,'単価履歴'!$E:$E,E3006,'単価履歴'!$F:$F,F3006)=O3006,"●","")</f>
        <v/>
      </c>
      <c r="O3006" s="346">
        <v>45951.37755787037</v>
      </c>
      <c r="P3006" s="334" t="str">
        <f t="shared" si="4"/>
        <v>愛知:ナベ鋼ダライＡ</v>
      </c>
    </row>
    <row r="3007" ht="15.75" customHeight="1">
      <c r="A3007" s="335" t="s">
        <v>4155</v>
      </c>
      <c r="B3007" s="336">
        <v>45951.0</v>
      </c>
      <c r="C3007" s="335" t="s">
        <v>28</v>
      </c>
      <c r="D3007" s="335" t="s">
        <v>52</v>
      </c>
      <c r="E3007" s="337" t="str">
        <f t="shared" si="1"/>
        <v>ＪＦＥ条鋼:リバイブ</v>
      </c>
      <c r="F3007" s="338" t="s">
        <v>111</v>
      </c>
      <c r="G3007" s="339" t="str">
        <f t="shared" si="2"/>
        <v>ＪＦＥ条鋼:リバイブＨ１(特A)</v>
      </c>
      <c r="H3007" s="340">
        <f t="shared" si="3"/>
        <v>41</v>
      </c>
      <c r="I3007" s="341">
        <v>0.5</v>
      </c>
      <c r="J3007" s="332">
        <f>IFERROR(__xludf.DUMMYFUNCTION("IF(IF(COUNTIF(P$2:P3006, P3007)=0, """", INDEX(H$2:H3006,
MAX(FILTER(ROW(H$2:H3006) - ROW(H$2) + 1, P$2:P3006 = P3007))))=""単価"","""",
IF(COUNTIF(P$2:P3006, P3007)=0, """", INDEX(H$2:H3006,
MAX(FILTER(ROW(H$2:H3006) - ROW(H$2) + 1, P$2:P3006 = P3007)))))"),40.5)</f>
        <v>40.5</v>
      </c>
      <c r="N3007" s="335" t="str">
        <f>IF(MAXIFS('単価履歴'!$O:$O,'単価履歴'!$E:$E,E3007,'単価履歴'!$F:$F,F3007)=O3007,"●","")</f>
        <v/>
      </c>
      <c r="O3007" s="346">
        <v>45951.378159722226</v>
      </c>
      <c r="P3007" s="334" t="str">
        <f t="shared" si="4"/>
        <v>ＪＦＥ条鋼:リバイブＨ１(特A)</v>
      </c>
    </row>
    <row r="3008" ht="15.75" customHeight="1">
      <c r="A3008" s="335" t="s">
        <v>4156</v>
      </c>
      <c r="B3008" s="336">
        <v>45951.0</v>
      </c>
      <c r="C3008" s="335" t="s">
        <v>28</v>
      </c>
      <c r="D3008" s="335" t="s">
        <v>52</v>
      </c>
      <c r="E3008" s="337" t="str">
        <f t="shared" si="1"/>
        <v>ＪＦＥ条鋼:リバイブ</v>
      </c>
      <c r="F3008" s="338" t="s">
        <v>116</v>
      </c>
      <c r="G3008" s="339" t="str">
        <f t="shared" si="2"/>
        <v>ＪＦＥ条鋼:リバイブＨ２(特級)</v>
      </c>
      <c r="H3008" s="340">
        <f t="shared" si="3"/>
        <v>41</v>
      </c>
      <c r="I3008" s="341">
        <v>0.5</v>
      </c>
      <c r="J3008" s="332">
        <f>IFERROR(__xludf.DUMMYFUNCTION("IF(IF(COUNTIF(P$2:P3007, P3008)=0, """", INDEX(H$2:H3007,
MAX(FILTER(ROW(H$2:H3007) - ROW(H$2) + 1, P$2:P3007 = P3008))))=""単価"","""",
IF(COUNTIF(P$2:P3007, P3008)=0, """", INDEX(H$2:H3007,
MAX(FILTER(ROW(H$2:H3007) - ROW(H$2) + 1, P$2:P3007 = P3008)))))"),40.5)</f>
        <v>40.5</v>
      </c>
      <c r="N3008" s="335" t="str">
        <f>IF(MAXIFS('単価履歴'!$O:$O,'単価履歴'!$E:$E,E3008,'単価履歴'!$F:$F,F3008)=O3008,"●","")</f>
        <v/>
      </c>
      <c r="O3008" s="346">
        <v>45951.378159722226</v>
      </c>
      <c r="P3008" s="334" t="str">
        <f t="shared" si="4"/>
        <v>ＪＦＥ条鋼:リバイブＨ２(特級)</v>
      </c>
    </row>
    <row r="3009" ht="15.75" customHeight="1">
      <c r="A3009" s="335" t="s">
        <v>4157</v>
      </c>
      <c r="B3009" s="336">
        <v>45951.0</v>
      </c>
      <c r="C3009" s="335" t="s">
        <v>28</v>
      </c>
      <c r="D3009" s="335" t="s">
        <v>52</v>
      </c>
      <c r="E3009" s="337" t="str">
        <f t="shared" si="1"/>
        <v>ＪＦＥ条鋼:リバイブ</v>
      </c>
      <c r="F3009" s="338" t="s">
        <v>119</v>
      </c>
      <c r="G3009" s="339" t="str">
        <f t="shared" si="2"/>
        <v>ＪＦＥ条鋼:リバイブＨ３(1級)</v>
      </c>
      <c r="H3009" s="340">
        <f t="shared" si="3"/>
        <v>40</v>
      </c>
      <c r="I3009" s="341">
        <v>0.5</v>
      </c>
      <c r="J3009" s="332">
        <f>IFERROR(__xludf.DUMMYFUNCTION("IF(IF(COUNTIF(P$2:P3008, P3009)=0, """", INDEX(H$2:H3008,
MAX(FILTER(ROW(H$2:H3008) - ROW(H$2) + 1, P$2:P3008 = P3009))))=""単価"","""",
IF(COUNTIF(P$2:P3008, P3009)=0, """", INDEX(H$2:H3008,
MAX(FILTER(ROW(H$2:H3008) - ROW(H$2) + 1, P$2:P3008 = P3009)))))"),39.5)</f>
        <v>39.5</v>
      </c>
      <c r="N3009" s="335" t="str">
        <f>IF(MAXIFS('単価履歴'!$O:$O,'単価履歴'!$E:$E,E3009,'単価履歴'!$F:$F,F3009)=O3009,"●","")</f>
        <v/>
      </c>
      <c r="O3009" s="346">
        <v>45951.378159722226</v>
      </c>
      <c r="P3009" s="334" t="str">
        <f t="shared" si="4"/>
        <v>ＪＦＥ条鋼:リバイブＨ３(1級)</v>
      </c>
    </row>
    <row r="3010" ht="15.75" customHeight="1">
      <c r="A3010" s="335" t="s">
        <v>4158</v>
      </c>
      <c r="B3010" s="336">
        <v>45951.0</v>
      </c>
      <c r="C3010" s="335" t="s">
        <v>28</v>
      </c>
      <c r="D3010" s="335" t="s">
        <v>52</v>
      </c>
      <c r="E3010" s="337" t="str">
        <f t="shared" si="1"/>
        <v>ＪＦＥ条鋼:リバイブ</v>
      </c>
      <c r="F3010" s="338" t="s">
        <v>122</v>
      </c>
      <c r="G3010" s="339" t="str">
        <f t="shared" si="2"/>
        <v>ＪＦＥ条鋼:リバイブＬ１(2級)</v>
      </c>
      <c r="H3010" s="340">
        <f t="shared" si="3"/>
        <v>37</v>
      </c>
      <c r="I3010" s="341">
        <v>0.5</v>
      </c>
      <c r="J3010" s="332">
        <f>IFERROR(__xludf.DUMMYFUNCTION("IF(IF(COUNTIF(P$2:P3009, P3010)=0, """", INDEX(H$2:H3009,
MAX(FILTER(ROW(H$2:H3009) - ROW(H$2) + 1, P$2:P3009 = P3010))))=""単価"","""",
IF(COUNTIF(P$2:P3009, P3010)=0, """", INDEX(H$2:H3009,
MAX(FILTER(ROW(H$2:H3009) - ROW(H$2) + 1, P$2:P3009 = P3010)))))"),36.5)</f>
        <v>36.5</v>
      </c>
      <c r="N3010" s="335" t="str">
        <f>IF(MAXIFS('単価履歴'!$O:$O,'単価履歴'!$E:$E,E3010,'単価履歴'!$F:$F,F3010)=O3010,"●","")</f>
        <v/>
      </c>
      <c r="O3010" s="346">
        <v>45951.378159722226</v>
      </c>
      <c r="P3010" s="334" t="str">
        <f t="shared" si="4"/>
        <v>ＪＦＥ条鋼:リバイブＬ１(2級)</v>
      </c>
    </row>
    <row r="3011" ht="15.75" customHeight="1">
      <c r="A3011" s="335" t="s">
        <v>4159</v>
      </c>
      <c r="B3011" s="336">
        <v>45951.0</v>
      </c>
      <c r="C3011" s="335" t="s">
        <v>28</v>
      </c>
      <c r="D3011" s="335" t="s">
        <v>52</v>
      </c>
      <c r="E3011" s="337" t="str">
        <f t="shared" si="1"/>
        <v>ＪＦＥ条鋼:リバイブ</v>
      </c>
      <c r="F3011" s="338" t="s">
        <v>573</v>
      </c>
      <c r="G3011" s="339" t="str">
        <f t="shared" si="2"/>
        <v>ＪＦＥ条鋼:リバイブＬ２(H4･級外･L1ﾊﾞﾗ)</v>
      </c>
      <c r="H3011" s="340">
        <f t="shared" si="3"/>
        <v>32</v>
      </c>
      <c r="I3011" s="341">
        <v>0.5</v>
      </c>
      <c r="J3011" s="332">
        <f>IFERROR(__xludf.DUMMYFUNCTION("IF(IF(COUNTIF(P$2:P3010, P3011)=0, """", INDEX(H$2:H3010,
MAX(FILTER(ROW(H$2:H3010) - ROW(H$2) + 1, P$2:P3010 = P3011))))=""単価"","""",
IF(COUNTIF(P$2:P3010, P3011)=0, """", INDEX(H$2:H3010,
MAX(FILTER(ROW(H$2:H3010) - ROW(H$2) + 1, P$2:P3010 = P3011)))))"),31.5)</f>
        <v>31.5</v>
      </c>
      <c r="N3011" s="335" t="str">
        <f>IF(MAXIFS('単価履歴'!$O:$O,'単価履歴'!$E:$E,E3011,'単価履歴'!$F:$F,F3011)=O3011,"●","")</f>
        <v/>
      </c>
      <c r="O3011" s="346">
        <v>45951.378159722226</v>
      </c>
      <c r="P3011" s="334" t="str">
        <f t="shared" si="4"/>
        <v>ＪＦＥ条鋼:リバイブＬ２(H4･級外･L1ﾊﾞﾗ)</v>
      </c>
    </row>
    <row r="3012" ht="15.75" customHeight="1">
      <c r="A3012" s="335" t="s">
        <v>4160</v>
      </c>
      <c r="B3012" s="336">
        <v>45951.0</v>
      </c>
      <c r="C3012" s="335" t="s">
        <v>28</v>
      </c>
      <c r="D3012" s="335" t="s">
        <v>52</v>
      </c>
      <c r="E3012" s="337" t="str">
        <f t="shared" si="1"/>
        <v>ＪＦＥ条鋼:リバイブ</v>
      </c>
      <c r="F3012" s="338" t="s">
        <v>130</v>
      </c>
      <c r="G3012" s="339" t="str">
        <f t="shared" si="2"/>
        <v>ＪＦＥ条鋼:リバイブ新断Ａ</v>
      </c>
      <c r="H3012" s="340">
        <f t="shared" si="3"/>
        <v>46.5</v>
      </c>
      <c r="I3012" s="341">
        <v>0.5</v>
      </c>
      <c r="J3012" s="332">
        <f>IFERROR(__xludf.DUMMYFUNCTION("IF(IF(COUNTIF(P$2:P3011, P3012)=0, """", INDEX(H$2:H3011,
MAX(FILTER(ROW(H$2:H3011) - ROW(H$2) + 1, P$2:P3011 = P3012))))=""単価"","""",
IF(COUNTIF(P$2:P3011, P3012)=0, """", INDEX(H$2:H3011,
MAX(FILTER(ROW(H$2:H3011) - ROW(H$2) + 1, P$2:P3011 = P3012)))))"),46.0)</f>
        <v>46</v>
      </c>
      <c r="N3012" s="335" t="str">
        <f>IF(MAXIFS('単価履歴'!$O:$O,'単価履歴'!$E:$E,E3012,'単価履歴'!$F:$F,F3012)=O3012,"●","")</f>
        <v/>
      </c>
      <c r="O3012" s="346">
        <v>45951.378159722226</v>
      </c>
      <c r="P3012" s="334" t="str">
        <f t="shared" si="4"/>
        <v>ＪＦＥ条鋼:リバイブ新断Ａ</v>
      </c>
    </row>
    <row r="3013" ht="15.75" customHeight="1">
      <c r="A3013" s="335" t="s">
        <v>4161</v>
      </c>
      <c r="B3013" s="336">
        <v>45951.0</v>
      </c>
      <c r="C3013" s="335" t="s">
        <v>28</v>
      </c>
      <c r="D3013" s="335" t="s">
        <v>52</v>
      </c>
      <c r="E3013" s="337" t="str">
        <f t="shared" si="1"/>
        <v>ＪＦＥ条鋼:リバイブ</v>
      </c>
      <c r="F3013" s="338" t="s">
        <v>131</v>
      </c>
      <c r="G3013" s="339" t="str">
        <f t="shared" si="2"/>
        <v>ＪＦＥ条鋼:リバイブ新断Ｂ</v>
      </c>
      <c r="H3013" s="340">
        <f t="shared" si="3"/>
        <v>45.5</v>
      </c>
      <c r="I3013" s="341">
        <v>0.5</v>
      </c>
      <c r="J3013" s="332">
        <f>IFERROR(__xludf.DUMMYFUNCTION("IF(IF(COUNTIF(P$2:P3012, P3013)=0, """", INDEX(H$2:H3012,
MAX(FILTER(ROW(H$2:H3012) - ROW(H$2) + 1, P$2:P3012 = P3013))))=""単価"","""",
IF(COUNTIF(P$2:P3012, P3013)=0, """", INDEX(H$2:H3012,
MAX(FILTER(ROW(H$2:H3012) - ROW(H$2) + 1, P$2:P3012 = P3013)))))"),45.0)</f>
        <v>45</v>
      </c>
      <c r="N3013" s="335" t="str">
        <f>IF(MAXIFS('単価履歴'!$O:$O,'単価履歴'!$E:$E,E3013,'単価履歴'!$F:$F,F3013)=O3013,"●","")</f>
        <v/>
      </c>
      <c r="O3013" s="346">
        <v>45951.378159722226</v>
      </c>
      <c r="P3013" s="334" t="str">
        <f t="shared" si="4"/>
        <v>ＪＦＥ条鋼:リバイブ新断Ｂ</v>
      </c>
    </row>
    <row r="3014" ht="15.75" customHeight="1">
      <c r="A3014" s="335" t="s">
        <v>4162</v>
      </c>
      <c r="B3014" s="336">
        <v>45951.0</v>
      </c>
      <c r="C3014" s="335" t="s">
        <v>28</v>
      </c>
      <c r="D3014" s="335" t="s">
        <v>52</v>
      </c>
      <c r="E3014" s="337" t="str">
        <f t="shared" si="1"/>
        <v>ＪＦＥ条鋼:リバイブ</v>
      </c>
      <c r="F3014" s="338" t="s">
        <v>575</v>
      </c>
      <c r="G3014" s="339" t="str">
        <f t="shared" si="2"/>
        <v>ＪＦＥ条鋼:リバイブ鋼ダライＡ</v>
      </c>
      <c r="H3014" s="340">
        <f t="shared" si="3"/>
        <v>39</v>
      </c>
      <c r="I3014" s="341">
        <v>0.5</v>
      </c>
      <c r="J3014" s="332">
        <f>IFERROR(__xludf.DUMMYFUNCTION("IF(IF(COUNTIF(P$2:P3013, P3014)=0, """", INDEX(H$2:H3013,
MAX(FILTER(ROW(H$2:H3013) - ROW(H$2) + 1, P$2:P3013 = P3014))))=""単価"","""",
IF(COUNTIF(P$2:P3013, P3014)=0, """", INDEX(H$2:H3013,
MAX(FILTER(ROW(H$2:H3013) - ROW(H$2) + 1, P$2:P3013 = P3014)))))"),38.5)</f>
        <v>38.5</v>
      </c>
      <c r="N3014" s="335" t="str">
        <f>IF(MAXIFS('単価履歴'!$O:$O,'単価履歴'!$E:$E,E3014,'単価履歴'!$F:$F,F3014)=O3014,"●","")</f>
        <v/>
      </c>
      <c r="O3014" s="346">
        <v>45951.378159722226</v>
      </c>
      <c r="P3014" s="334" t="str">
        <f t="shared" si="4"/>
        <v>ＪＦＥ条鋼:リバイブ鋼ダライＡ</v>
      </c>
    </row>
    <row r="3015" ht="15.75" customHeight="1">
      <c r="A3015" s="335" t="s">
        <v>4163</v>
      </c>
      <c r="B3015" s="336">
        <v>45951.0</v>
      </c>
      <c r="C3015" s="335" t="s">
        <v>28</v>
      </c>
      <c r="D3015" s="335" t="s">
        <v>52</v>
      </c>
      <c r="E3015" s="337" t="str">
        <f t="shared" si="1"/>
        <v>ＪＦＥ条鋼:リバイブ</v>
      </c>
      <c r="F3015" s="338" t="s">
        <v>154</v>
      </c>
      <c r="G3015" s="339" t="str">
        <f t="shared" si="2"/>
        <v>ＪＦＥ条鋼:リバイブＣＰ Ａ</v>
      </c>
      <c r="H3015" s="340">
        <f t="shared" si="3"/>
        <v>45.5</v>
      </c>
      <c r="I3015" s="341">
        <v>0.5</v>
      </c>
      <c r="J3015" s="332">
        <f>IFERROR(__xludf.DUMMYFUNCTION("IF(IF(COUNTIF(P$2:P3014, P3015)=0, """", INDEX(H$2:H3014,
MAX(FILTER(ROW(H$2:H3014) - ROW(H$2) + 1, P$2:P3014 = P3015))))=""単価"","""",
IF(COUNTIF(P$2:P3014, P3015)=0, """", INDEX(H$2:H3014,
MAX(FILTER(ROW(H$2:H3014) - ROW(H$2) + 1, P$2:P3014 = P3015)))))"),45.0)</f>
        <v>45</v>
      </c>
      <c r="N3015" s="335" t="str">
        <f>IF(MAXIFS('単価履歴'!$O:$O,'単価履歴'!$E:$E,E3015,'単価履歴'!$F:$F,F3015)=O3015,"●","")</f>
        <v/>
      </c>
      <c r="O3015" s="346">
        <v>45951.378159722226</v>
      </c>
      <c r="P3015" s="334" t="str">
        <f t="shared" si="4"/>
        <v>ＪＦＥ条鋼:リバイブＣＰ Ａ</v>
      </c>
    </row>
    <row r="3016" ht="15.75" customHeight="1">
      <c r="A3016" s="335" t="s">
        <v>4164</v>
      </c>
      <c r="B3016" s="336">
        <v>45951.0</v>
      </c>
      <c r="C3016" s="335" t="s">
        <v>29</v>
      </c>
      <c r="D3016" s="335" t="s">
        <v>63</v>
      </c>
      <c r="E3016" s="337" t="str">
        <f t="shared" si="1"/>
        <v>南港:ﾅﾝｾｲ</v>
      </c>
      <c r="F3016" s="338" t="s">
        <v>111</v>
      </c>
      <c r="G3016" s="339" t="str">
        <f t="shared" si="2"/>
        <v>南港:ﾅﾝｾｲＨ１(特A)</v>
      </c>
      <c r="H3016" s="340">
        <f t="shared" si="3"/>
        <v>42.5</v>
      </c>
      <c r="I3016" s="341">
        <v>42.5</v>
      </c>
      <c r="J3016" s="332" t="str">
        <f>IFERROR(__xludf.DUMMYFUNCTION("IF(IF(COUNTIF(P$2:P3015, P3016)=0, """", INDEX(H$2:H3015,
MAX(FILTER(ROW(H$2:H3015) - ROW(H$2) + 1, P$2:P3015 = P3016))))=""単価"","""",
IF(COUNTIF(P$2:P3015, P3016)=0, """", INDEX(H$2:H3015,
MAX(FILTER(ROW(H$2:H3015) - ROW(H$2) + 1, P$2:P3015 = P3016)))))"),"")</f>
        <v/>
      </c>
      <c r="N3016" s="335" t="str">
        <f>IF(MAXIFS('単価履歴'!$O:$O,'単価履歴'!$E:$E,E3016,'単価履歴'!$F:$F,F3016)=O3016,"●","")</f>
        <v/>
      </c>
      <c r="O3016" s="346">
        <v>45951.385358796295</v>
      </c>
      <c r="P3016" s="334" t="str">
        <f t="shared" si="4"/>
        <v>南港:ﾅﾝｾｲＨ１(特A)</v>
      </c>
    </row>
    <row r="3017" ht="15.75" customHeight="1">
      <c r="A3017" s="335" t="s">
        <v>4165</v>
      </c>
      <c r="B3017" s="336">
        <v>45951.0</v>
      </c>
      <c r="C3017" s="335" t="s">
        <v>29</v>
      </c>
      <c r="D3017" s="335" t="s">
        <v>63</v>
      </c>
      <c r="E3017" s="337" t="str">
        <f t="shared" si="1"/>
        <v>南港:ﾅﾝｾｲ</v>
      </c>
      <c r="F3017" s="338" t="s">
        <v>119</v>
      </c>
      <c r="G3017" s="339" t="str">
        <f t="shared" si="2"/>
        <v>南港:ﾅﾝｾｲＨ３(1級)</v>
      </c>
      <c r="H3017" s="340">
        <f t="shared" si="3"/>
        <v>40.5</v>
      </c>
      <c r="I3017" s="341">
        <v>40.5</v>
      </c>
      <c r="J3017" s="332" t="str">
        <f>IFERROR(__xludf.DUMMYFUNCTION("IF(IF(COUNTIF(P$2:P3016, P3017)=0, """", INDEX(H$2:H3016,
MAX(FILTER(ROW(H$2:H3016) - ROW(H$2) + 1, P$2:P3016 = P3017))))=""単価"","""",
IF(COUNTIF(P$2:P3016, P3017)=0, """", INDEX(H$2:H3016,
MAX(FILTER(ROW(H$2:H3016) - ROW(H$2) + 1, P$2:P3016 = P3017)))))"),"")</f>
        <v/>
      </c>
      <c r="N3017" s="335" t="str">
        <f>IF(MAXIFS('単価履歴'!$O:$O,'単価履歴'!$E:$E,E3017,'単価履歴'!$F:$F,F3017)=O3017,"●","")</f>
        <v/>
      </c>
      <c r="O3017" s="346">
        <v>45951.38853009259</v>
      </c>
      <c r="P3017" s="334" t="str">
        <f t="shared" si="4"/>
        <v>南港:ﾅﾝｾｲＨ３(1級)</v>
      </c>
    </row>
    <row r="3018" ht="15.75" customHeight="1">
      <c r="A3018" s="335" t="s">
        <v>4166</v>
      </c>
      <c r="B3018" s="336">
        <v>45951.0</v>
      </c>
      <c r="C3018" s="335" t="s">
        <v>29</v>
      </c>
      <c r="D3018" s="335" t="s">
        <v>63</v>
      </c>
      <c r="E3018" s="337" t="str">
        <f t="shared" si="1"/>
        <v>南港:ﾅﾝｾｲ</v>
      </c>
      <c r="F3018" s="338" t="s">
        <v>122</v>
      </c>
      <c r="G3018" s="339" t="str">
        <f t="shared" si="2"/>
        <v>南港:ﾅﾝｾｲＬ１(2級)</v>
      </c>
      <c r="H3018" s="340">
        <f t="shared" si="3"/>
        <v>39.5</v>
      </c>
      <c r="I3018" s="341">
        <v>39.5</v>
      </c>
      <c r="J3018" s="332" t="str">
        <f>IFERROR(__xludf.DUMMYFUNCTION("IF(IF(COUNTIF(P$2:P3017, P3018)=0, """", INDEX(H$2:H3017,
MAX(FILTER(ROW(H$2:H3017) - ROW(H$2) + 1, P$2:P3017 = P3018))))=""単価"","""",
IF(COUNTIF(P$2:P3017, P3018)=0, """", INDEX(H$2:H3017,
MAX(FILTER(ROW(H$2:H3017) - ROW(H$2) + 1, P$2:P3017 = P3018)))))"),"")</f>
        <v/>
      </c>
      <c r="N3018" s="335" t="str">
        <f>IF(MAXIFS('単価履歴'!$O:$O,'単価履歴'!$E:$E,E3018,'単価履歴'!$F:$F,F3018)=O3018,"●","")</f>
        <v/>
      </c>
      <c r="O3018" s="346">
        <v>45951.39048611111</v>
      </c>
      <c r="P3018" s="334" t="str">
        <f t="shared" si="4"/>
        <v>南港:ﾅﾝｾｲＬ１(2級)</v>
      </c>
    </row>
    <row r="3019" ht="15.75" customHeight="1">
      <c r="A3019" s="335" t="s">
        <v>4167</v>
      </c>
      <c r="B3019" s="336">
        <v>45952.0</v>
      </c>
      <c r="C3019" s="335" t="s">
        <v>12</v>
      </c>
      <c r="D3019" s="335" t="s">
        <v>53</v>
      </c>
      <c r="E3019" s="337" t="str">
        <f t="shared" si="1"/>
        <v>山陽特殊:MM</v>
      </c>
      <c r="F3019" s="338" t="s">
        <v>130</v>
      </c>
      <c r="G3019" s="339" t="str">
        <f t="shared" si="2"/>
        <v>山陽特殊:MM新断Ａ</v>
      </c>
      <c r="H3019" s="340">
        <f t="shared" si="3"/>
        <v>47</v>
      </c>
      <c r="I3019" s="341">
        <v>0.5</v>
      </c>
      <c r="J3019" s="332">
        <f>IFERROR(__xludf.DUMMYFUNCTION("IF(IF(COUNTIF(P$2:P3018, P3019)=0, """", INDEX(H$2:H3018,
MAX(FILTER(ROW(H$2:H3018) - ROW(H$2) + 1, P$2:P3018 = P3019))))=""単価"","""",
IF(COUNTIF(P$2:P3018, P3019)=0, """", INDEX(H$2:H3018,
MAX(FILTER(ROW(H$2:H3018) - ROW(H$2) + 1, P$2:P3018 = P3019)))))"),46.5)</f>
        <v>46.5</v>
      </c>
      <c r="N3019" s="335" t="str">
        <f>IF(MAXIFS('単価履歴'!$O:$O,'単価履歴'!$E:$E,E3019,'単価履歴'!$F:$F,F3019)=O3019,"●","")</f>
        <v/>
      </c>
      <c r="O3019" s="346">
        <v>45951.72695601852</v>
      </c>
      <c r="P3019" s="334" t="str">
        <f t="shared" si="4"/>
        <v>山陽特殊:MM新断Ａ</v>
      </c>
    </row>
    <row r="3020" ht="15.75" customHeight="1">
      <c r="A3020" s="335" t="s">
        <v>4168</v>
      </c>
      <c r="B3020" s="336">
        <v>45952.0</v>
      </c>
      <c r="C3020" s="335" t="s">
        <v>12</v>
      </c>
      <c r="D3020" s="335" t="s">
        <v>53</v>
      </c>
      <c r="E3020" s="337" t="str">
        <f t="shared" si="1"/>
        <v>山陽特殊:MM</v>
      </c>
      <c r="F3020" s="338" t="s">
        <v>131</v>
      </c>
      <c r="G3020" s="339" t="str">
        <f t="shared" si="2"/>
        <v>山陽特殊:MM新断Ｂ</v>
      </c>
      <c r="H3020" s="340">
        <f t="shared" si="3"/>
        <v>46</v>
      </c>
      <c r="I3020" s="341">
        <v>0.5</v>
      </c>
      <c r="J3020" s="332">
        <f>IFERROR(__xludf.DUMMYFUNCTION("IF(IF(COUNTIF(P$2:P3019, P3020)=0, """", INDEX(H$2:H3019,
MAX(FILTER(ROW(H$2:H3019) - ROW(H$2) + 1, P$2:P3019 = P3020))))=""単価"","""",
IF(COUNTIF(P$2:P3019, P3020)=0, """", INDEX(H$2:H3019,
MAX(FILTER(ROW(H$2:H3019) - ROW(H$2) + 1, P$2:P3019 = P3020)))))"),45.5)</f>
        <v>45.5</v>
      </c>
      <c r="N3020" s="335" t="str">
        <f>IF(MAXIFS('単価履歴'!$O:$O,'単価履歴'!$E:$E,E3020,'単価履歴'!$F:$F,F3020)=O3020,"●","")</f>
        <v/>
      </c>
      <c r="O3020" s="346">
        <v>45951.72695601852</v>
      </c>
      <c r="P3020" s="334" t="str">
        <f t="shared" si="4"/>
        <v>山陽特殊:MM新断Ｂ</v>
      </c>
    </row>
    <row r="3021" ht="15.75" customHeight="1">
      <c r="A3021" s="335" t="s">
        <v>4169</v>
      </c>
      <c r="B3021" s="336">
        <v>45952.0</v>
      </c>
      <c r="C3021" s="335" t="s">
        <v>12</v>
      </c>
      <c r="D3021" s="335" t="s">
        <v>53</v>
      </c>
      <c r="E3021" s="337" t="str">
        <f t="shared" si="1"/>
        <v>山陽特殊:MM</v>
      </c>
      <c r="F3021" s="338" t="s">
        <v>1199</v>
      </c>
      <c r="G3021" s="339" t="str">
        <f t="shared" si="2"/>
        <v>山陽特殊:MMＨＳ１(単体H1/電特A/HS))</v>
      </c>
      <c r="H3021" s="340">
        <f t="shared" si="3"/>
        <v>48.5</v>
      </c>
      <c r="I3021" s="341">
        <v>1.0</v>
      </c>
      <c r="J3021" s="332">
        <f>IFERROR(__xludf.DUMMYFUNCTION("IF(IF(COUNTIF(P$2:P3020, P3021)=0, """", INDEX(H$2:H3020,
MAX(FILTER(ROW(H$2:H3020) - ROW(H$2) + 1, P$2:P3020 = P3021))))=""単価"","""",
IF(COUNTIF(P$2:P3020, P3021)=0, """", INDEX(H$2:H3020,
MAX(FILTER(ROW(H$2:H3020) - ROW(H$2) + 1, P$2:P3020 = P3021)))))"),47.5)</f>
        <v>47.5</v>
      </c>
      <c r="N3021" s="335" t="str">
        <f>IF(MAXIFS('単価履歴'!$O:$O,'単価履歴'!$E:$E,E3021,'単価履歴'!$F:$F,F3021)=O3021,"●","")</f>
        <v/>
      </c>
      <c r="O3021" s="346">
        <v>45951.72741898148</v>
      </c>
      <c r="P3021" s="334" t="str">
        <f t="shared" si="4"/>
        <v>山陽特殊:MMＨＳ１(単体H1/電特A/HS))</v>
      </c>
    </row>
    <row r="3022" ht="15.75" customHeight="1">
      <c r="A3022" s="335" t="s">
        <v>4170</v>
      </c>
      <c r="B3022" s="336">
        <v>45952.0</v>
      </c>
      <c r="C3022" s="335" t="s">
        <v>12</v>
      </c>
      <c r="D3022" s="335" t="s">
        <v>53</v>
      </c>
      <c r="E3022" s="337" t="str">
        <f t="shared" si="1"/>
        <v>山陽特殊:MM</v>
      </c>
      <c r="F3022" s="338" t="s">
        <v>101</v>
      </c>
      <c r="G3022" s="339" t="str">
        <f t="shared" si="2"/>
        <v>山陽特殊:MMＨＳ２</v>
      </c>
      <c r="H3022" s="340">
        <f t="shared" si="3"/>
        <v>48.3</v>
      </c>
      <c r="I3022" s="341">
        <v>1.0</v>
      </c>
      <c r="J3022" s="332">
        <f>IFERROR(__xludf.DUMMYFUNCTION("IF(IF(COUNTIF(P$2:P3021, P3022)=0, """", INDEX(H$2:H3021,
MAX(FILTER(ROW(H$2:H3021) - ROW(H$2) + 1, P$2:P3021 = P3022))))=""単価"","""",
IF(COUNTIF(P$2:P3021, P3022)=0, """", INDEX(H$2:H3021,
MAX(FILTER(ROW(H$2:H3021) - ROW(H$2) + 1, P$2:P3021 = P3022)))))"),47.3)</f>
        <v>47.3</v>
      </c>
      <c r="N3022" s="335" t="str">
        <f>IF(MAXIFS('単価履歴'!$O:$O,'単価履歴'!$E:$E,E3022,'単価履歴'!$F:$F,F3022)=O3022,"●","")</f>
        <v/>
      </c>
      <c r="O3022" s="346">
        <v>45951.72741898148</v>
      </c>
      <c r="P3022" s="334" t="str">
        <f t="shared" si="4"/>
        <v>山陽特殊:MMＨＳ２</v>
      </c>
    </row>
    <row r="3023" ht="15.75" customHeight="1">
      <c r="A3023" s="335" t="s">
        <v>4171</v>
      </c>
      <c r="B3023" s="336">
        <v>45952.0</v>
      </c>
      <c r="C3023" s="335" t="s">
        <v>12</v>
      </c>
      <c r="D3023" s="335" t="s">
        <v>53</v>
      </c>
      <c r="E3023" s="337" t="str">
        <f t="shared" si="1"/>
        <v>山陽特殊:MM</v>
      </c>
      <c r="F3023" s="338" t="s">
        <v>105</v>
      </c>
      <c r="G3023" s="339" t="str">
        <f t="shared" si="2"/>
        <v>山陽特殊:MMＨＳ３</v>
      </c>
      <c r="H3023" s="340">
        <f t="shared" si="3"/>
        <v>46.3</v>
      </c>
      <c r="I3023" s="341">
        <v>1.0</v>
      </c>
      <c r="J3023" s="332">
        <f>IFERROR(__xludf.DUMMYFUNCTION("IF(IF(COUNTIF(P$2:P3022, P3023)=0, """", INDEX(H$2:H3022,
MAX(FILTER(ROW(H$2:H3022) - ROW(H$2) + 1, P$2:P3022 = P3023))))=""単価"","""",
IF(COUNTIF(P$2:P3022, P3023)=0, """", INDEX(H$2:H3022,
MAX(FILTER(ROW(H$2:H3022) - ROW(H$2) + 1, P$2:P3022 = P3023)))))"),45.3)</f>
        <v>45.3</v>
      </c>
      <c r="N3023" s="335" t="str">
        <f>IF(MAXIFS('単価履歴'!$O:$O,'単価履歴'!$E:$E,E3023,'単価履歴'!$F:$F,F3023)=O3023,"●","")</f>
        <v/>
      </c>
      <c r="O3023" s="346">
        <v>45951.72741898148</v>
      </c>
      <c r="P3023" s="334" t="str">
        <f t="shared" si="4"/>
        <v>山陽特殊:MMＨＳ３</v>
      </c>
    </row>
    <row r="3024" ht="15.75" customHeight="1">
      <c r="A3024" s="335" t="s">
        <v>4172</v>
      </c>
      <c r="B3024" s="336">
        <v>45952.0</v>
      </c>
      <c r="C3024" s="335" t="s">
        <v>12</v>
      </c>
      <c r="D3024" s="335" t="s">
        <v>53</v>
      </c>
      <c r="E3024" s="337" t="str">
        <f t="shared" si="1"/>
        <v>山陽特殊:MM</v>
      </c>
      <c r="F3024" s="338" t="s">
        <v>122</v>
      </c>
      <c r="G3024" s="339" t="str">
        <f t="shared" si="2"/>
        <v>山陽特殊:MMＬ１(2級)</v>
      </c>
      <c r="H3024" s="340">
        <f t="shared" si="3"/>
        <v>4</v>
      </c>
      <c r="I3024" s="341">
        <v>1.0</v>
      </c>
      <c r="J3024" s="332">
        <f>IFERROR(__xludf.DUMMYFUNCTION("IF(IF(COUNTIF(P$2:P3023, P3024)=0, """", INDEX(H$2:H3023,
MAX(FILTER(ROW(H$2:H3023) - ROW(H$2) + 1, P$2:P3023 = P3024))))=""単価"","""",
IF(COUNTIF(P$2:P3023, P3024)=0, """", INDEX(H$2:H3023,
MAX(FILTER(ROW(H$2:H3023) - ROW(H$2) + 1, P$2:P3023 = P3024)))))"),3.0)</f>
        <v>3</v>
      </c>
      <c r="N3024" s="335" t="str">
        <f>IF(MAXIFS('単価履歴'!$O:$O,'単価履歴'!$E:$E,E3024,'単価履歴'!$F:$F,F3024)=O3024,"●","")</f>
        <v/>
      </c>
      <c r="O3024" s="346">
        <v>45951.72741898148</v>
      </c>
      <c r="P3024" s="334" t="str">
        <f t="shared" si="4"/>
        <v>山陽特殊:MMＬ１(2級)</v>
      </c>
    </row>
    <row r="3025" ht="15.75" customHeight="1">
      <c r="A3025" s="335" t="s">
        <v>4173</v>
      </c>
      <c r="B3025" s="336">
        <v>45952.0</v>
      </c>
      <c r="C3025" s="335" t="s">
        <v>12</v>
      </c>
      <c r="D3025" s="335" t="s">
        <v>53</v>
      </c>
      <c r="E3025" s="337" t="str">
        <f t="shared" si="1"/>
        <v>山陽特殊:MM</v>
      </c>
      <c r="F3025" s="338" t="s">
        <v>574</v>
      </c>
      <c r="G3025" s="339" t="str">
        <f t="shared" si="2"/>
        <v>山陽特殊:MM新断Ｃ</v>
      </c>
      <c r="H3025" s="340">
        <f t="shared" si="3"/>
        <v>43.7</v>
      </c>
      <c r="I3025" s="341">
        <v>1.0</v>
      </c>
      <c r="J3025" s="332">
        <f>IFERROR(__xludf.DUMMYFUNCTION("IF(IF(COUNTIF(P$2:P3024, P3025)=0, """", INDEX(H$2:H3024,
MAX(FILTER(ROW(H$2:H3024) - ROW(H$2) + 1, P$2:P3024 = P3025))))=""単価"","""",
IF(COUNTIF(P$2:P3024, P3025)=0, """", INDEX(H$2:H3024,
MAX(FILTER(ROW(H$2:H3024) - ROW(H$2) + 1, P$2:P3024 = P3025)))))"),42.699999999999996)</f>
        <v>42.7</v>
      </c>
      <c r="N3025" s="335" t="str">
        <f>IF(MAXIFS('単価履歴'!$O:$O,'単価履歴'!$E:$E,E3025,'単価履歴'!$F:$F,F3025)=O3025,"●","")</f>
        <v/>
      </c>
      <c r="O3025" s="346">
        <v>45951.72741898148</v>
      </c>
      <c r="P3025" s="334" t="str">
        <f t="shared" si="4"/>
        <v>山陽特殊:MM新断Ｃ</v>
      </c>
    </row>
    <row r="3026" ht="15.75" customHeight="1">
      <c r="A3026" s="335" t="s">
        <v>4174</v>
      </c>
      <c r="B3026" s="336">
        <v>45952.0</v>
      </c>
      <c r="C3026" s="335" t="s">
        <v>14</v>
      </c>
      <c r="D3026" s="335" t="s">
        <v>46</v>
      </c>
      <c r="E3026" s="337" t="str">
        <f t="shared" si="1"/>
        <v>愛知:阪和</v>
      </c>
      <c r="F3026" s="338" t="s">
        <v>1199</v>
      </c>
      <c r="G3026" s="339" t="str">
        <f t="shared" si="2"/>
        <v>愛知:阪和ＨＳ１(単体H1/電特A/HS))</v>
      </c>
      <c r="H3026" s="340">
        <f t="shared" si="3"/>
        <v>45.2</v>
      </c>
      <c r="I3026" s="341">
        <v>1.0</v>
      </c>
      <c r="J3026" s="332">
        <f>IFERROR(__xludf.DUMMYFUNCTION("IF(IF(COUNTIF(P$2:P3025, P3026)=0, """", INDEX(H$2:H3025,
MAX(FILTER(ROW(H$2:H3025) - ROW(H$2) + 1, P$2:P3025 = P3026))))=""単価"","""",
IF(COUNTIF(P$2:P3025, P3026)=0, """", INDEX(H$2:H3025,
MAX(FILTER(ROW(H$2:H3025) - ROW(H$2) + 1, P$2:P3025 = P3026)))))"),44.2)</f>
        <v>44.2</v>
      </c>
      <c r="N3026" s="335" t="str">
        <f>IF(MAXIFS('単価履歴'!$O:$O,'単価履歴'!$E:$E,E3026,'単価履歴'!$F:$F,F3026)=O3026,"●","")</f>
        <v/>
      </c>
      <c r="O3026" s="346">
        <v>45951.72795138889</v>
      </c>
      <c r="P3026" s="334" t="str">
        <f t="shared" si="4"/>
        <v>愛知:阪和ＨＳ１(単体H1/電特A/HS))</v>
      </c>
    </row>
    <row r="3027" ht="15.75" customHeight="1">
      <c r="A3027" s="335" t="s">
        <v>4175</v>
      </c>
      <c r="B3027" s="336">
        <v>45952.0</v>
      </c>
      <c r="C3027" s="335" t="s">
        <v>14</v>
      </c>
      <c r="D3027" s="335" t="s">
        <v>46</v>
      </c>
      <c r="E3027" s="337" t="str">
        <f t="shared" si="1"/>
        <v>愛知:阪和</v>
      </c>
      <c r="F3027" s="338" t="s">
        <v>101</v>
      </c>
      <c r="G3027" s="339" t="str">
        <f t="shared" si="2"/>
        <v>愛知:阪和ＨＳ２</v>
      </c>
      <c r="H3027" s="340">
        <f t="shared" si="3"/>
        <v>44.7</v>
      </c>
      <c r="I3027" s="341">
        <v>1.0</v>
      </c>
      <c r="J3027" s="332">
        <f>IFERROR(__xludf.DUMMYFUNCTION("IF(IF(COUNTIF(P$2:P3026, P3027)=0, """", INDEX(H$2:H3026,
MAX(FILTER(ROW(H$2:H3026) - ROW(H$2) + 1, P$2:P3026 = P3027))))=""単価"","""",
IF(COUNTIF(P$2:P3026, P3027)=0, """", INDEX(H$2:H3026,
MAX(FILTER(ROW(H$2:H3026) - ROW(H$2) + 1, P$2:P3026 = P3027)))))"),43.7)</f>
        <v>43.7</v>
      </c>
      <c r="N3027" s="335" t="str">
        <f>IF(MAXIFS('単価履歴'!$O:$O,'単価履歴'!$E:$E,E3027,'単価履歴'!$F:$F,F3027)=O3027,"●","")</f>
        <v/>
      </c>
      <c r="O3027" s="346">
        <v>45951.72795138889</v>
      </c>
      <c r="P3027" s="334" t="str">
        <f t="shared" si="4"/>
        <v>愛知:阪和ＨＳ２</v>
      </c>
    </row>
    <row r="3028" ht="15.75" customHeight="1">
      <c r="A3028" s="335" t="s">
        <v>4176</v>
      </c>
      <c r="B3028" s="336">
        <v>45952.0</v>
      </c>
      <c r="C3028" s="335" t="s">
        <v>14</v>
      </c>
      <c r="D3028" s="335" t="s">
        <v>46</v>
      </c>
      <c r="E3028" s="337" t="str">
        <f t="shared" si="1"/>
        <v>愛知:阪和</v>
      </c>
      <c r="F3028" s="338" t="s">
        <v>111</v>
      </c>
      <c r="G3028" s="339" t="str">
        <f t="shared" si="2"/>
        <v>愛知:阪和Ｈ１(特A)</v>
      </c>
      <c r="H3028" s="340">
        <f t="shared" si="3"/>
        <v>40.2</v>
      </c>
      <c r="I3028" s="341">
        <v>1.0</v>
      </c>
      <c r="J3028" s="332">
        <f>IFERROR(__xludf.DUMMYFUNCTION("IF(IF(COUNTIF(P$2:P3027, P3028)=0, """", INDEX(H$2:H3027,
MAX(FILTER(ROW(H$2:H3027) - ROW(H$2) + 1, P$2:P3027 = P3028))))=""単価"","""",
IF(COUNTIF(P$2:P3027, P3028)=0, """", INDEX(H$2:H3027,
MAX(FILTER(ROW(H$2:H3027) - ROW(H$2) + 1, P$2:P3027 = P3028)))))"),39.2)</f>
        <v>39.2</v>
      </c>
      <c r="N3028" s="335" t="str">
        <f>IF(MAXIFS('単価履歴'!$O:$O,'単価履歴'!$E:$E,E3028,'単価履歴'!$F:$F,F3028)=O3028,"●","")</f>
        <v/>
      </c>
      <c r="O3028" s="346">
        <v>45951.72795138889</v>
      </c>
      <c r="P3028" s="334" t="str">
        <f t="shared" si="4"/>
        <v>愛知:阪和Ｈ１(特A)</v>
      </c>
    </row>
    <row r="3029" ht="15.75" customHeight="1">
      <c r="A3029" s="335" t="s">
        <v>4177</v>
      </c>
      <c r="B3029" s="336">
        <v>45952.0</v>
      </c>
      <c r="C3029" s="335" t="s">
        <v>14</v>
      </c>
      <c r="D3029" s="335" t="s">
        <v>46</v>
      </c>
      <c r="E3029" s="337" t="str">
        <f t="shared" si="1"/>
        <v>愛知:阪和</v>
      </c>
      <c r="F3029" s="338" t="s">
        <v>116</v>
      </c>
      <c r="G3029" s="339" t="str">
        <f t="shared" si="2"/>
        <v>愛知:阪和Ｈ２(特級)</v>
      </c>
      <c r="H3029" s="340">
        <f t="shared" si="3"/>
        <v>39.7</v>
      </c>
      <c r="I3029" s="341">
        <v>1.0</v>
      </c>
      <c r="J3029" s="332">
        <f>IFERROR(__xludf.DUMMYFUNCTION("IF(IF(COUNTIF(P$2:P3028, P3029)=0, """", INDEX(H$2:H3028,
MAX(FILTER(ROW(H$2:H3028) - ROW(H$2) + 1, P$2:P3028 = P3029))))=""単価"","""",
IF(COUNTIF(P$2:P3028, P3029)=0, """", INDEX(H$2:H3028,
MAX(FILTER(ROW(H$2:H3028) - ROW(H$2) + 1, P$2:P3028 = P3029)))))"),38.7)</f>
        <v>38.7</v>
      </c>
      <c r="N3029" s="335" t="str">
        <f>IF(MAXIFS('単価履歴'!$O:$O,'単価履歴'!$E:$E,E3029,'単価履歴'!$F:$F,F3029)=O3029,"●","")</f>
        <v/>
      </c>
      <c r="O3029" s="346">
        <v>45951.72795138889</v>
      </c>
      <c r="P3029" s="334" t="str">
        <f t="shared" si="4"/>
        <v>愛知:阪和Ｈ２(特級)</v>
      </c>
    </row>
    <row r="3030" ht="15.75" customHeight="1">
      <c r="A3030" s="335" t="s">
        <v>4178</v>
      </c>
      <c r="B3030" s="336">
        <v>45952.0</v>
      </c>
      <c r="C3030" s="335" t="s">
        <v>14</v>
      </c>
      <c r="D3030" s="335" t="s">
        <v>46</v>
      </c>
      <c r="E3030" s="337" t="str">
        <f t="shared" si="1"/>
        <v>愛知:阪和</v>
      </c>
      <c r="F3030" s="338" t="s">
        <v>119</v>
      </c>
      <c r="G3030" s="339" t="str">
        <f t="shared" si="2"/>
        <v>愛知:阪和Ｈ３(1級)</v>
      </c>
      <c r="H3030" s="340">
        <f t="shared" si="3"/>
        <v>38.7</v>
      </c>
      <c r="I3030" s="341">
        <v>1.0</v>
      </c>
      <c r="J3030" s="332">
        <f>IFERROR(__xludf.DUMMYFUNCTION("IF(IF(COUNTIF(P$2:P3029, P3030)=0, """", INDEX(H$2:H3029,
MAX(FILTER(ROW(H$2:H3029) - ROW(H$2) + 1, P$2:P3029 = P3030))))=""単価"","""",
IF(COUNTIF(P$2:P3029, P3030)=0, """", INDEX(H$2:H3029,
MAX(FILTER(ROW(H$2:H3029) - ROW(H$2) + 1, P$2:P3029 = P3030)))))"),37.7)</f>
        <v>37.7</v>
      </c>
      <c r="N3030" s="335" t="str">
        <f>IF(MAXIFS('単価履歴'!$O:$O,'単価履歴'!$E:$E,E3030,'単価履歴'!$F:$F,F3030)=O3030,"●","")</f>
        <v/>
      </c>
      <c r="O3030" s="346">
        <v>45951.72795138889</v>
      </c>
      <c r="P3030" s="334" t="str">
        <f t="shared" si="4"/>
        <v>愛知:阪和Ｈ３(1級)</v>
      </c>
    </row>
    <row r="3031" ht="15.75" customHeight="1">
      <c r="A3031" s="335" t="s">
        <v>4179</v>
      </c>
      <c r="B3031" s="336">
        <v>45952.0</v>
      </c>
      <c r="C3031" s="335" t="s">
        <v>14</v>
      </c>
      <c r="D3031" s="335" t="s">
        <v>46</v>
      </c>
      <c r="E3031" s="337" t="str">
        <f t="shared" si="1"/>
        <v>愛知:阪和</v>
      </c>
      <c r="F3031" s="338" t="s">
        <v>573</v>
      </c>
      <c r="G3031" s="339" t="str">
        <f t="shared" si="2"/>
        <v>愛知:阪和Ｌ２(H4･級外･L1ﾊﾞﾗ)</v>
      </c>
      <c r="H3031" s="340">
        <f t="shared" si="3"/>
        <v>35.3</v>
      </c>
      <c r="I3031" s="341">
        <v>1.0</v>
      </c>
      <c r="J3031" s="332">
        <f>IFERROR(__xludf.DUMMYFUNCTION("IF(IF(COUNTIF(P$2:P3030, P3031)=0, """", INDEX(H$2:H3030,
MAX(FILTER(ROW(H$2:H3030) - ROW(H$2) + 1, P$2:P3030 = P3031))))=""単価"","""",
IF(COUNTIF(P$2:P3030, P3031)=0, """", INDEX(H$2:H3030,
MAX(FILTER(ROW(H$2:H3030) - ROW(H$2) + 1, P$2:P3030 = P3031)))))"),34.3)</f>
        <v>34.3</v>
      </c>
      <c r="N3031" s="335" t="str">
        <f>IF(MAXIFS('単価履歴'!$O:$O,'単価履歴'!$E:$E,E3031,'単価履歴'!$F:$F,F3031)=O3031,"●","")</f>
        <v/>
      </c>
      <c r="O3031" s="346">
        <v>45951.72795138889</v>
      </c>
      <c r="P3031" s="334" t="str">
        <f t="shared" si="4"/>
        <v>愛知:阪和Ｌ２(H4･級外･L1ﾊﾞﾗ)</v>
      </c>
    </row>
    <row r="3032" ht="15.75" customHeight="1">
      <c r="A3032" s="335"/>
      <c r="B3032" s="336"/>
      <c r="C3032" s="335"/>
      <c r="D3032" s="335"/>
      <c r="E3032" s="337" t="str">
        <f t="shared" si="1"/>
        <v>:</v>
      </c>
      <c r="F3032" s="338"/>
      <c r="G3032" s="339" t="str">
        <f t="shared" si="2"/>
        <v>:</v>
      </c>
      <c r="H3032" s="340">
        <f t="shared" si="3"/>
        <v>0</v>
      </c>
      <c r="I3032" s="335"/>
      <c r="J3032" s="332">
        <f>IFERROR(__xludf.DUMMYFUNCTION("IF(IF(COUNTIF(P$2:P3031, P3032)=0, """", INDEX(H$2:H3031,
MAX(FILTER(ROW(H$2:H3031) - ROW(H$2) + 1, P$2:P3031 = P3032))))=""単価"","""",
IF(COUNTIF(P$2:P3031, P3032)=0, """", INDEX(H$2:H3031,
MAX(FILTER(ROW(H$2:H3031) - ROW(H$2) + 1, P$2:P3031 = P3032)))))"),0.0)</f>
        <v>0</v>
      </c>
      <c r="N3032" s="335" t="str">
        <f>IF(MAXIFS('単価履歴'!$O:$O,'単価履歴'!$E:$E,E3032,'単価履歴'!$F:$F,F3032)=O3032,"●","")</f>
        <v>●</v>
      </c>
      <c r="O3032" s="346"/>
      <c r="P3032" s="334" t="str">
        <f t="shared" si="4"/>
        <v>:</v>
      </c>
    </row>
    <row r="3033" ht="15.75" customHeight="1">
      <c r="A3033" s="335" t="s">
        <v>4180</v>
      </c>
      <c r="B3033" s="336">
        <v>45952.0</v>
      </c>
      <c r="C3033" s="335" t="s">
        <v>14</v>
      </c>
      <c r="D3033" s="335" t="s">
        <v>46</v>
      </c>
      <c r="E3033" s="337" t="str">
        <f t="shared" si="1"/>
        <v>愛知:阪和</v>
      </c>
      <c r="F3033" s="338" t="s">
        <v>130</v>
      </c>
      <c r="G3033" s="339" t="str">
        <f t="shared" si="2"/>
        <v>愛知:阪和新断Ａ</v>
      </c>
      <c r="H3033" s="340">
        <f t="shared" si="3"/>
        <v>45</v>
      </c>
      <c r="I3033" s="341">
        <v>0.5</v>
      </c>
      <c r="J3033" s="332">
        <f>IFERROR(__xludf.DUMMYFUNCTION("IF(IF(COUNTIF(P$2:P3032, P3033)=0, """", INDEX(H$2:H3032,
MAX(FILTER(ROW(H$2:H3032) - ROW(H$2) + 1, P$2:P3032 = P3033))))=""単価"","""",
IF(COUNTIF(P$2:P3032, P3033)=0, """", INDEX(H$2:H3032,
MAX(FILTER(ROW(H$2:H3032) - ROW(H$2) + 1, P$2:P3032 = P3033)))))"),44.5)</f>
        <v>44.5</v>
      </c>
      <c r="N3033" s="335" t="str">
        <f>IF(MAXIFS('単価履歴'!$O:$O,'単価履歴'!$E:$E,E3033,'単価履歴'!$F:$F,F3033)=O3033,"●","")</f>
        <v/>
      </c>
      <c r="O3033" s="346">
        <v>45951.72828703704</v>
      </c>
      <c r="P3033" s="334" t="str">
        <f t="shared" si="4"/>
        <v>愛知:阪和新断Ａ</v>
      </c>
    </row>
    <row r="3034" ht="15.75" customHeight="1">
      <c r="A3034" s="335" t="s">
        <v>4181</v>
      </c>
      <c r="B3034" s="336">
        <v>45952.0</v>
      </c>
      <c r="C3034" s="335" t="s">
        <v>14</v>
      </c>
      <c r="D3034" s="335" t="s">
        <v>46</v>
      </c>
      <c r="E3034" s="337" t="str">
        <f t="shared" si="1"/>
        <v>愛知:阪和</v>
      </c>
      <c r="F3034" s="338" t="s">
        <v>131</v>
      </c>
      <c r="G3034" s="339" t="str">
        <f t="shared" si="2"/>
        <v>愛知:阪和新断Ｂ</v>
      </c>
      <c r="H3034" s="340">
        <f t="shared" si="3"/>
        <v>44</v>
      </c>
      <c r="I3034" s="341">
        <v>0.5</v>
      </c>
      <c r="J3034" s="332">
        <f>IFERROR(__xludf.DUMMYFUNCTION("IF(IF(COUNTIF(P$2:P3033, P3034)=0, """", INDEX(H$2:H3033,
MAX(FILTER(ROW(H$2:H3033) - ROW(H$2) + 1, P$2:P3033 = P3034))))=""単価"","""",
IF(COUNTIF(P$2:P3033, P3034)=0, """", INDEX(H$2:H3033,
MAX(FILTER(ROW(H$2:H3033) - ROW(H$2) + 1, P$2:P3033 = P3034)))))"),43.5)</f>
        <v>43.5</v>
      </c>
      <c r="N3034" s="335" t="str">
        <f>IF(MAXIFS('単価履歴'!$O:$O,'単価履歴'!$E:$E,E3034,'単価履歴'!$F:$F,F3034)=O3034,"●","")</f>
        <v/>
      </c>
      <c r="O3034" s="346">
        <v>45951.72828703704</v>
      </c>
      <c r="P3034" s="334" t="str">
        <f t="shared" si="4"/>
        <v>愛知:阪和新断Ｂ</v>
      </c>
    </row>
    <row r="3035" ht="15.75" customHeight="1">
      <c r="A3035" s="335" t="s">
        <v>4182</v>
      </c>
      <c r="B3035" s="336">
        <v>45952.0</v>
      </c>
      <c r="C3035" s="335" t="s">
        <v>15</v>
      </c>
      <c r="D3035" s="335" t="s">
        <v>58</v>
      </c>
      <c r="E3035" s="337" t="str">
        <f t="shared" si="1"/>
        <v>山口鋼業:MM建材</v>
      </c>
      <c r="F3035" s="338" t="s">
        <v>1199</v>
      </c>
      <c r="G3035" s="339" t="str">
        <f t="shared" si="2"/>
        <v>山口鋼業:MM建材ＨＳ１(単体H1/電特A/HS))</v>
      </c>
      <c r="H3035" s="340">
        <f t="shared" si="3"/>
        <v>42</v>
      </c>
      <c r="I3035" s="341">
        <v>1.0</v>
      </c>
      <c r="J3035" s="332">
        <f>IFERROR(__xludf.DUMMYFUNCTION("IF(IF(COUNTIF(P$2:P3034, P3035)=0, """", INDEX(H$2:H3034,
MAX(FILTER(ROW(H$2:H3034) - ROW(H$2) + 1, P$2:P3034 = P3035))))=""単価"","""",
IF(COUNTIF(P$2:P3034, P3035)=0, """", INDEX(H$2:H3034,
MAX(FILTER(ROW(H$2:H3034) - ROW(H$2) + 1, P$2:P3034 = P3035)))))"),41.0)</f>
        <v>41</v>
      </c>
      <c r="N3035" s="335" t="str">
        <f>IF(MAXIFS('単価履歴'!$O:$O,'単価履歴'!$E:$E,E3035,'単価履歴'!$F:$F,F3035)=O3035,"●","")</f>
        <v/>
      </c>
      <c r="O3035" s="346">
        <v>45951.72869212963</v>
      </c>
      <c r="P3035" s="334" t="str">
        <f t="shared" si="4"/>
        <v>山口鋼業:MM建材ＨＳ１(単体H1/電特A/HS))</v>
      </c>
    </row>
    <row r="3036" ht="15.75" customHeight="1">
      <c r="A3036" s="335" t="s">
        <v>4183</v>
      </c>
      <c r="B3036" s="336">
        <v>45952.0</v>
      </c>
      <c r="C3036" s="335" t="s">
        <v>15</v>
      </c>
      <c r="D3036" s="335" t="s">
        <v>58</v>
      </c>
      <c r="E3036" s="337" t="str">
        <f t="shared" si="1"/>
        <v>山口鋼業:MM建材</v>
      </c>
      <c r="F3036" s="338" t="s">
        <v>1237</v>
      </c>
      <c r="G3036" s="339" t="str">
        <f t="shared" si="2"/>
        <v>山口鋼業:MM建材ＪＨ１(H2T山口)鍛造ﾊﾞﾘ</v>
      </c>
      <c r="H3036" s="340">
        <f t="shared" si="3"/>
        <v>41.5</v>
      </c>
      <c r="I3036" s="341">
        <v>1.0</v>
      </c>
      <c r="J3036" s="332">
        <f>IFERROR(__xludf.DUMMYFUNCTION("IF(IF(COUNTIF(P$2:P3035, P3036)=0, """", INDEX(H$2:H3035,
MAX(FILTER(ROW(H$2:H3035) - ROW(H$2) + 1, P$2:P3035 = P3036))))=""単価"","""",
IF(COUNTIF(P$2:P3035, P3036)=0, """", INDEX(H$2:H3035,
MAX(FILTER(ROW(H$2:H3035) - ROW(H$2) + 1, P$2:P3035 = P3036)))))"),40.5)</f>
        <v>40.5</v>
      </c>
      <c r="N3036" s="335" t="str">
        <f>IF(MAXIFS('単価履歴'!$O:$O,'単価履歴'!$E:$E,E3036,'単価履歴'!$F:$F,F3036)=O3036,"●","")</f>
        <v/>
      </c>
      <c r="O3036" s="346">
        <v>45951.72869212963</v>
      </c>
      <c r="P3036" s="334" t="str">
        <f t="shared" si="4"/>
        <v>山口鋼業:MM建材ＪＨ１(H2T山口)鍛造ﾊﾞﾘ</v>
      </c>
    </row>
    <row r="3037" ht="15.75" customHeight="1">
      <c r="A3037" s="335" t="s">
        <v>4184</v>
      </c>
      <c r="B3037" s="336">
        <v>45952.0</v>
      </c>
      <c r="C3037" s="335" t="s">
        <v>15</v>
      </c>
      <c r="D3037" s="335" t="s">
        <v>58</v>
      </c>
      <c r="E3037" s="337" t="str">
        <f t="shared" si="1"/>
        <v>山口鋼業:MM建材</v>
      </c>
      <c r="F3037" s="338" t="s">
        <v>116</v>
      </c>
      <c r="G3037" s="339" t="str">
        <f t="shared" si="2"/>
        <v>山口鋼業:MM建材Ｈ２(特級)</v>
      </c>
      <c r="H3037" s="340">
        <f t="shared" si="3"/>
        <v>40.5</v>
      </c>
      <c r="I3037" s="341">
        <v>1.0</v>
      </c>
      <c r="J3037" s="332">
        <f>IFERROR(__xludf.DUMMYFUNCTION("IF(IF(COUNTIF(P$2:P3036, P3037)=0, """", INDEX(H$2:H3036,
MAX(FILTER(ROW(H$2:H3036) - ROW(H$2) + 1, P$2:P3036 = P3037))))=""単価"","""",
IF(COUNTIF(P$2:P3036, P3037)=0, """", INDEX(H$2:H3036,
MAX(FILTER(ROW(H$2:H3036) - ROW(H$2) + 1, P$2:P3036 = P3037)))))"),39.5)</f>
        <v>39.5</v>
      </c>
      <c r="N3037" s="335" t="str">
        <f>IF(MAXIFS('単価履歴'!$O:$O,'単価履歴'!$E:$E,E3037,'単価履歴'!$F:$F,F3037)=O3037,"●","")</f>
        <v/>
      </c>
      <c r="O3037" s="346">
        <v>45951.72869212963</v>
      </c>
      <c r="P3037" s="334" t="str">
        <f t="shared" si="4"/>
        <v>山口鋼業:MM建材Ｈ２(特級)</v>
      </c>
    </row>
    <row r="3038" ht="15.75" customHeight="1">
      <c r="A3038" s="335" t="s">
        <v>4185</v>
      </c>
      <c r="B3038" s="336">
        <v>45952.0</v>
      </c>
      <c r="C3038" s="335" t="s">
        <v>15</v>
      </c>
      <c r="D3038" s="335" t="s">
        <v>58</v>
      </c>
      <c r="E3038" s="337" t="str">
        <f t="shared" si="1"/>
        <v>山口鋼業:MM建材</v>
      </c>
      <c r="F3038" s="338" t="s">
        <v>119</v>
      </c>
      <c r="G3038" s="339" t="str">
        <f t="shared" si="2"/>
        <v>山口鋼業:MM建材Ｈ３(1級)</v>
      </c>
      <c r="H3038" s="340">
        <f t="shared" si="3"/>
        <v>39.5</v>
      </c>
      <c r="I3038" s="341">
        <v>1.0</v>
      </c>
      <c r="J3038" s="332">
        <f>IFERROR(__xludf.DUMMYFUNCTION("IF(IF(COUNTIF(P$2:P3037, P3038)=0, """", INDEX(H$2:H3037,
MAX(FILTER(ROW(H$2:H3037) - ROW(H$2) + 1, P$2:P3037 = P3038))))=""単価"","""",
IF(COUNTIF(P$2:P3037, P3038)=0, """", INDEX(H$2:H3037,
MAX(FILTER(ROW(H$2:H3037) - ROW(H$2) + 1, P$2:P3037 = P3038)))))"),38.5)</f>
        <v>38.5</v>
      </c>
      <c r="N3038" s="335" t="str">
        <f>IF(MAXIFS('単価履歴'!$O:$O,'単価履歴'!$E:$E,E3038,'単価履歴'!$F:$F,F3038)=O3038,"●","")</f>
        <v/>
      </c>
      <c r="O3038" s="346">
        <v>45951.72869212963</v>
      </c>
      <c r="P3038" s="334" t="str">
        <f t="shared" si="4"/>
        <v>山口鋼業:MM建材Ｈ３(1級)</v>
      </c>
    </row>
    <row r="3039" ht="15.75" customHeight="1">
      <c r="A3039" s="335" t="s">
        <v>4186</v>
      </c>
      <c r="B3039" s="336">
        <v>45952.0</v>
      </c>
      <c r="C3039" s="335" t="s">
        <v>15</v>
      </c>
      <c r="D3039" s="335" t="s">
        <v>58</v>
      </c>
      <c r="E3039" s="337" t="str">
        <f t="shared" si="1"/>
        <v>山口鋼業:MM建材</v>
      </c>
      <c r="F3039" s="338" t="s">
        <v>573</v>
      </c>
      <c r="G3039" s="339" t="str">
        <f t="shared" si="2"/>
        <v>山口鋼業:MM建材Ｌ２(H4･級外･L1ﾊﾞﾗ)</v>
      </c>
      <c r="H3039" s="340">
        <f t="shared" si="3"/>
        <v>38</v>
      </c>
      <c r="I3039" s="341">
        <v>1.0</v>
      </c>
      <c r="J3039" s="332">
        <f>IFERROR(__xludf.DUMMYFUNCTION("IF(IF(COUNTIF(P$2:P3038, P3039)=0, """", INDEX(H$2:H3038,
MAX(FILTER(ROW(H$2:H3038) - ROW(H$2) + 1, P$2:P3038 = P3039))))=""単価"","""",
IF(COUNTIF(P$2:P3038, P3039)=0, """", INDEX(H$2:H3038,
MAX(FILTER(ROW(H$2:H3038) - ROW(H$2) + 1, P$2:P3038 = P3039)))))"),37.0)</f>
        <v>37</v>
      </c>
      <c r="N3039" s="335" t="str">
        <f>IF(MAXIFS('単価履歴'!$O:$O,'単価履歴'!$E:$E,E3039,'単価履歴'!$F:$F,F3039)=O3039,"●","")</f>
        <v/>
      </c>
      <c r="O3039" s="346">
        <v>45951.72869212963</v>
      </c>
      <c r="P3039" s="334" t="str">
        <f t="shared" si="4"/>
        <v>山口鋼業:MM建材Ｌ２(H4･級外･L1ﾊﾞﾗ)</v>
      </c>
    </row>
    <row r="3040" ht="15.75" customHeight="1">
      <c r="A3040" s="335" t="s">
        <v>4187</v>
      </c>
      <c r="B3040" s="336">
        <v>45952.0</v>
      </c>
      <c r="C3040" s="335" t="s">
        <v>15</v>
      </c>
      <c r="D3040" s="335" t="s">
        <v>58</v>
      </c>
      <c r="E3040" s="337" t="str">
        <f t="shared" si="1"/>
        <v>山口鋼業:MM建材</v>
      </c>
      <c r="F3040" s="338" t="s">
        <v>575</v>
      </c>
      <c r="G3040" s="339" t="str">
        <f t="shared" si="2"/>
        <v>山口鋼業:MM建材鋼ダライＡ</v>
      </c>
      <c r="H3040" s="340">
        <f t="shared" si="3"/>
        <v>37.6</v>
      </c>
      <c r="I3040" s="341">
        <v>1.0</v>
      </c>
      <c r="J3040" s="332">
        <f>IFERROR(__xludf.DUMMYFUNCTION("IF(IF(COUNTIF(P$2:P3039, P3040)=0, """", INDEX(H$2:H3039,
MAX(FILTER(ROW(H$2:H3039) - ROW(H$2) + 1, P$2:P3039 = P3040))))=""単価"","""",
IF(COUNTIF(P$2:P3039, P3040)=0, """", INDEX(H$2:H3039,
MAX(FILTER(ROW(H$2:H3039) - ROW(H$2) + 1, P$2:P3039 = P3040)))))"),36.6)</f>
        <v>36.6</v>
      </c>
      <c r="N3040" s="335" t="str">
        <f>IF(MAXIFS('単価履歴'!$O:$O,'単価履歴'!$E:$E,E3040,'単価履歴'!$F:$F,F3040)=O3040,"●","")</f>
        <v/>
      </c>
      <c r="O3040" s="346">
        <v>45951.72869212963</v>
      </c>
      <c r="P3040" s="334" t="str">
        <f t="shared" si="4"/>
        <v>山口鋼業:MM建材鋼ダライＡ</v>
      </c>
    </row>
    <row r="3041" ht="15.75" customHeight="1">
      <c r="A3041" s="335" t="s">
        <v>4188</v>
      </c>
      <c r="B3041" s="336">
        <v>45952.0</v>
      </c>
      <c r="C3041" s="335" t="s">
        <v>15</v>
      </c>
      <c r="D3041" s="335" t="s">
        <v>58</v>
      </c>
      <c r="E3041" s="337" t="str">
        <f t="shared" si="1"/>
        <v>山口鋼業:MM建材</v>
      </c>
      <c r="F3041" s="338" t="s">
        <v>577</v>
      </c>
      <c r="G3041" s="339" t="str">
        <f t="shared" si="2"/>
        <v>山口鋼業:MM建材鋳物・ﾀﾞｸﾀｲﾙ</v>
      </c>
      <c r="H3041" s="340">
        <f t="shared" si="3"/>
        <v>42</v>
      </c>
      <c r="I3041" s="341">
        <v>1.0</v>
      </c>
      <c r="J3041" s="332">
        <f>IFERROR(__xludf.DUMMYFUNCTION("IF(IF(COUNTIF(P$2:P3040, P3041)=0, """", INDEX(H$2:H3040,
MAX(FILTER(ROW(H$2:H3040) - ROW(H$2) + 1, P$2:P3040 = P3041))))=""単価"","""",
IF(COUNTIF(P$2:P3040, P3041)=0, """", INDEX(H$2:H3040,
MAX(FILTER(ROW(H$2:H3040) - ROW(H$2) + 1, P$2:P3040 = P3041)))))"),41.0)</f>
        <v>41</v>
      </c>
      <c r="N3041" s="335" t="str">
        <f>IF(MAXIFS('単価履歴'!$O:$O,'単価履歴'!$E:$E,E3041,'単価履歴'!$F:$F,F3041)=O3041,"●","")</f>
        <v/>
      </c>
      <c r="O3041" s="346">
        <v>45951.72869212963</v>
      </c>
      <c r="P3041" s="334" t="str">
        <f t="shared" si="4"/>
        <v>山口鋼業:MM建材鋳物・ﾀﾞｸﾀｲﾙ</v>
      </c>
    </row>
    <row r="3042" ht="15.75" customHeight="1">
      <c r="A3042" s="335" t="s">
        <v>4189</v>
      </c>
      <c r="B3042" s="336">
        <v>45952.0</v>
      </c>
      <c r="C3042" s="335" t="s">
        <v>15</v>
      </c>
      <c r="D3042" s="335" t="s">
        <v>46</v>
      </c>
      <c r="E3042" s="337" t="str">
        <f t="shared" si="1"/>
        <v>山口鋼業:阪和</v>
      </c>
      <c r="F3042" s="338" t="s">
        <v>1199</v>
      </c>
      <c r="G3042" s="339" t="str">
        <f t="shared" si="2"/>
        <v>山口鋼業:阪和ＨＳ１(単体H1/電特A/HS))</v>
      </c>
      <c r="H3042" s="340">
        <f t="shared" si="3"/>
        <v>43.5</v>
      </c>
      <c r="I3042" s="341">
        <v>1.0</v>
      </c>
      <c r="J3042" s="332">
        <f>IFERROR(__xludf.DUMMYFUNCTION("IF(IF(COUNTIF(P$2:P3041, P3042)=0, """", INDEX(H$2:H3041,
MAX(FILTER(ROW(H$2:H3041) - ROW(H$2) + 1, P$2:P3041 = P3042))))=""単価"","""",
IF(COUNTIF(P$2:P3041, P3042)=0, """", INDEX(H$2:H3041,
MAX(FILTER(ROW(H$2:H3041) - ROW(H$2) + 1, P$2:P3041 = P3042)))))"),42.5)</f>
        <v>42.5</v>
      </c>
      <c r="N3042" s="335" t="str">
        <f>IF(MAXIFS('単価履歴'!$O:$O,'単価履歴'!$E:$E,E3042,'単価履歴'!$F:$F,F3042)=O3042,"●","")</f>
        <v/>
      </c>
      <c r="O3042" s="346">
        <v>45951.73005787037</v>
      </c>
      <c r="P3042" s="334" t="str">
        <f t="shared" si="4"/>
        <v>山口鋼業:阪和ＨＳ１(単体H1/電特A/HS))</v>
      </c>
    </row>
    <row r="3043" ht="15.75" customHeight="1">
      <c r="A3043" s="335" t="s">
        <v>4190</v>
      </c>
      <c r="B3043" s="336">
        <v>45952.0</v>
      </c>
      <c r="C3043" s="335" t="s">
        <v>15</v>
      </c>
      <c r="D3043" s="335" t="s">
        <v>46</v>
      </c>
      <c r="E3043" s="337" t="str">
        <f t="shared" si="1"/>
        <v>山口鋼業:阪和</v>
      </c>
      <c r="F3043" s="338" t="s">
        <v>111</v>
      </c>
      <c r="G3043" s="339" t="str">
        <f t="shared" si="2"/>
        <v>山口鋼業:阪和Ｈ１(特A)</v>
      </c>
      <c r="H3043" s="340">
        <f t="shared" si="3"/>
        <v>42</v>
      </c>
      <c r="I3043" s="341">
        <v>1.0</v>
      </c>
      <c r="J3043" s="332">
        <f>IFERROR(__xludf.DUMMYFUNCTION("IF(IF(COUNTIF(P$2:P3042, P3043)=0, """", INDEX(H$2:H3042,
MAX(FILTER(ROW(H$2:H3042) - ROW(H$2) + 1, P$2:P3042 = P3043))))=""単価"","""",
IF(COUNTIF(P$2:P3042, P3043)=0, """", INDEX(H$2:H3042,
MAX(FILTER(ROW(H$2:H3042) - ROW(H$2) + 1, P$2:P3042 = P3043)))))"),41.0)</f>
        <v>41</v>
      </c>
      <c r="N3043" s="335" t="str">
        <f>IF(MAXIFS('単価履歴'!$O:$O,'単価履歴'!$E:$E,E3043,'単価履歴'!$F:$F,F3043)=O3043,"●","")</f>
        <v/>
      </c>
      <c r="O3043" s="346">
        <v>45951.73005787037</v>
      </c>
      <c r="P3043" s="334" t="str">
        <f t="shared" si="4"/>
        <v>山口鋼業:阪和Ｈ１(特A)</v>
      </c>
    </row>
    <row r="3044" ht="15.75" customHeight="1">
      <c r="A3044" s="335" t="s">
        <v>4191</v>
      </c>
      <c r="B3044" s="336">
        <v>45952.0</v>
      </c>
      <c r="C3044" s="335" t="s">
        <v>15</v>
      </c>
      <c r="D3044" s="335" t="s">
        <v>46</v>
      </c>
      <c r="E3044" s="337" t="str">
        <f t="shared" si="1"/>
        <v>山口鋼業:阪和</v>
      </c>
      <c r="F3044" s="338" t="s">
        <v>116</v>
      </c>
      <c r="G3044" s="339" t="str">
        <f t="shared" si="2"/>
        <v>山口鋼業:阪和Ｈ２(特級)</v>
      </c>
      <c r="H3044" s="340">
        <f t="shared" si="3"/>
        <v>41.5</v>
      </c>
      <c r="I3044" s="341">
        <v>1.0</v>
      </c>
      <c r="J3044" s="332">
        <f>IFERROR(__xludf.DUMMYFUNCTION("IF(IF(COUNTIF(P$2:P3043, P3044)=0, """", INDEX(H$2:H3043,
MAX(FILTER(ROW(H$2:H3043) - ROW(H$2) + 1, P$2:P3043 = P3044))))=""単価"","""",
IF(COUNTIF(P$2:P3043, P3044)=0, """", INDEX(H$2:H3043,
MAX(FILTER(ROW(H$2:H3043) - ROW(H$2) + 1, P$2:P3043 = P3044)))))"),40.5)</f>
        <v>40.5</v>
      </c>
      <c r="N3044" s="335" t="str">
        <f>IF(MAXIFS('単価履歴'!$O:$O,'単価履歴'!$E:$E,E3044,'単価履歴'!$F:$F,F3044)=O3044,"●","")</f>
        <v/>
      </c>
      <c r="O3044" s="346">
        <v>45951.73005787037</v>
      </c>
      <c r="P3044" s="334" t="str">
        <f t="shared" si="4"/>
        <v>山口鋼業:阪和Ｈ２(特級)</v>
      </c>
    </row>
    <row r="3045" ht="15.75" customHeight="1">
      <c r="A3045" s="335" t="s">
        <v>4192</v>
      </c>
      <c r="B3045" s="336">
        <v>45952.0</v>
      </c>
      <c r="C3045" s="335" t="s">
        <v>15</v>
      </c>
      <c r="D3045" s="335" t="s">
        <v>46</v>
      </c>
      <c r="E3045" s="337" t="str">
        <f t="shared" si="1"/>
        <v>山口鋼業:阪和</v>
      </c>
      <c r="F3045" s="338" t="s">
        <v>119</v>
      </c>
      <c r="G3045" s="339" t="str">
        <f t="shared" si="2"/>
        <v>山口鋼業:阪和Ｈ３(1級)</v>
      </c>
      <c r="H3045" s="340">
        <f t="shared" si="3"/>
        <v>40.5</v>
      </c>
      <c r="I3045" s="341">
        <v>1.0</v>
      </c>
      <c r="J3045" s="332">
        <f>IFERROR(__xludf.DUMMYFUNCTION("IF(IF(COUNTIF(P$2:P3044, P3045)=0, """", INDEX(H$2:H3044,
MAX(FILTER(ROW(H$2:H3044) - ROW(H$2) + 1, P$2:P3044 = P3045))))=""単価"","""",
IF(COUNTIF(P$2:P3044, P3045)=0, """", INDEX(H$2:H3044,
MAX(FILTER(ROW(H$2:H3044) - ROW(H$2) + 1, P$2:P3044 = P3045)))))"),39.5)</f>
        <v>39.5</v>
      </c>
      <c r="N3045" s="335" t="str">
        <f>IF(MAXIFS('単価履歴'!$O:$O,'単価履歴'!$E:$E,E3045,'単価履歴'!$F:$F,F3045)=O3045,"●","")</f>
        <v/>
      </c>
      <c r="O3045" s="346">
        <v>45951.73005787037</v>
      </c>
      <c r="P3045" s="334" t="str">
        <f t="shared" si="4"/>
        <v>山口鋼業:阪和Ｈ３(1級)</v>
      </c>
    </row>
    <row r="3046" ht="15.75" customHeight="1">
      <c r="A3046" s="335" t="s">
        <v>4193</v>
      </c>
      <c r="B3046" s="336">
        <v>45952.0</v>
      </c>
      <c r="C3046" s="335" t="s">
        <v>15</v>
      </c>
      <c r="D3046" s="335" t="s">
        <v>46</v>
      </c>
      <c r="E3046" s="337" t="str">
        <f t="shared" si="1"/>
        <v>山口鋼業:阪和</v>
      </c>
      <c r="F3046" s="338" t="s">
        <v>573</v>
      </c>
      <c r="G3046" s="339" t="str">
        <f t="shared" si="2"/>
        <v>山口鋼業:阪和Ｌ２(H4･級外･L1ﾊﾞﾗ)</v>
      </c>
      <c r="H3046" s="340">
        <f t="shared" si="3"/>
        <v>39</v>
      </c>
      <c r="I3046" s="341">
        <v>1.0</v>
      </c>
      <c r="J3046" s="332">
        <f>IFERROR(__xludf.DUMMYFUNCTION("IF(IF(COUNTIF(P$2:P3045, P3046)=0, """", INDEX(H$2:H3045,
MAX(FILTER(ROW(H$2:H3045) - ROW(H$2) + 1, P$2:P3045 = P3046))))=""単価"","""",
IF(COUNTIF(P$2:P3045, P3046)=0, """", INDEX(H$2:H3045,
MAX(FILTER(ROW(H$2:H3045) - ROW(H$2) + 1, P$2:P3045 = P3046)))))"),38.0)</f>
        <v>38</v>
      </c>
      <c r="N3046" s="335" t="str">
        <f>IF(MAXIFS('単価履歴'!$O:$O,'単価履歴'!$E:$E,E3046,'単価履歴'!$F:$F,F3046)=O3046,"●","")</f>
        <v/>
      </c>
      <c r="O3046" s="346">
        <v>45951.73005787037</v>
      </c>
      <c r="P3046" s="334" t="str">
        <f t="shared" si="4"/>
        <v>山口鋼業:阪和Ｌ２(H4･級外･L1ﾊﾞﾗ)</v>
      </c>
    </row>
    <row r="3047" ht="15.75" customHeight="1">
      <c r="A3047" s="335" t="s">
        <v>4194</v>
      </c>
      <c r="B3047" s="336">
        <v>45952.0</v>
      </c>
      <c r="C3047" s="335" t="s">
        <v>537</v>
      </c>
      <c r="D3047" s="335" t="s">
        <v>59</v>
      </c>
      <c r="E3047" s="337" t="str">
        <f t="shared" si="1"/>
        <v>大同特殊鋼:大同興業</v>
      </c>
      <c r="F3047" s="338" t="s">
        <v>1199</v>
      </c>
      <c r="G3047" s="339" t="str">
        <f t="shared" si="2"/>
        <v>大同特殊鋼:大同興業ＨＳ１(単体H1/電特A/HS))</v>
      </c>
      <c r="H3047" s="340">
        <f t="shared" si="3"/>
        <v>45.5</v>
      </c>
      <c r="I3047" s="341">
        <v>1.0</v>
      </c>
      <c r="J3047" s="332">
        <f>IFERROR(__xludf.DUMMYFUNCTION("IF(IF(COUNTIF(P$2:P3046, P3047)=0, """", INDEX(H$2:H3046,
MAX(FILTER(ROW(H$2:H3046) - ROW(H$2) + 1, P$2:P3046 = P3047))))=""単価"","""",
IF(COUNTIF(P$2:P3046, P3047)=0, """", INDEX(H$2:H3046,
MAX(FILTER(ROW(H$2:H3046) - ROW(H$2) + 1, P$2:P3046 = P3047)))))"),44.5)</f>
        <v>44.5</v>
      </c>
      <c r="N3047" s="335" t="str">
        <f>IF(MAXIFS('単価履歴'!$O:$O,'単価履歴'!$E:$E,E3047,'単価履歴'!$F:$F,F3047)=O3047,"●","")</f>
        <v/>
      </c>
      <c r="O3047" s="346">
        <v>45951.73033564815</v>
      </c>
      <c r="P3047" s="334" t="str">
        <f t="shared" si="4"/>
        <v>大同特殊鋼:大同興業ＨＳ１(単体H1/電特A/HS))</v>
      </c>
    </row>
    <row r="3048" ht="15.75" customHeight="1">
      <c r="A3048" s="335" t="s">
        <v>4195</v>
      </c>
      <c r="B3048" s="336">
        <v>45952.0</v>
      </c>
      <c r="C3048" s="335" t="s">
        <v>537</v>
      </c>
      <c r="D3048" s="335" t="s">
        <v>59</v>
      </c>
      <c r="E3048" s="337" t="str">
        <f t="shared" si="1"/>
        <v>大同特殊鋼:大同興業</v>
      </c>
      <c r="F3048" s="338" t="s">
        <v>575</v>
      </c>
      <c r="G3048" s="339" t="str">
        <f t="shared" si="2"/>
        <v>大同特殊鋼:大同興業鋼ダライＡ</v>
      </c>
      <c r="H3048" s="340">
        <f t="shared" si="3"/>
        <v>38.4</v>
      </c>
      <c r="I3048" s="341">
        <v>1.0</v>
      </c>
      <c r="J3048" s="332">
        <f>IFERROR(__xludf.DUMMYFUNCTION("IF(IF(COUNTIF(P$2:P3047, P3048)=0, """", INDEX(H$2:H3047,
MAX(FILTER(ROW(H$2:H3047) - ROW(H$2) + 1, P$2:P3047 = P3048))))=""単価"","""",
IF(COUNTIF(P$2:P3047, P3048)=0, """", INDEX(H$2:H3047,
MAX(FILTER(ROW(H$2:H3047) - ROW(H$2) + 1, P$2:P3047 = P3048)))))"),37.4)</f>
        <v>37.4</v>
      </c>
      <c r="N3048" s="335" t="str">
        <f>IF(MAXIFS('単価履歴'!$O:$O,'単価履歴'!$E:$E,E3048,'単価履歴'!$F:$F,F3048)=O3048,"●","")</f>
        <v/>
      </c>
      <c r="O3048" s="346">
        <v>45951.73033564815</v>
      </c>
      <c r="P3048" s="334" t="str">
        <f t="shared" si="4"/>
        <v>大同特殊鋼:大同興業鋼ダライＡ</v>
      </c>
    </row>
    <row r="3049" ht="15.75" customHeight="1">
      <c r="A3049" s="335" t="s">
        <v>4196</v>
      </c>
      <c r="B3049" s="336">
        <v>45952.0</v>
      </c>
      <c r="C3049" s="335" t="s">
        <v>537</v>
      </c>
      <c r="D3049" s="335" t="s">
        <v>1404</v>
      </c>
      <c r="E3049" s="337" t="str">
        <f t="shared" si="1"/>
        <v>大同特殊鋼:JSE/大和ﾘﾃｯｸ</v>
      </c>
      <c r="F3049" s="338" t="s">
        <v>1199</v>
      </c>
      <c r="G3049" s="339" t="str">
        <f t="shared" si="2"/>
        <v>大同特殊鋼:JSE/大和ﾘﾃｯｸＨＳ１(単体H1/電特A/HS))</v>
      </c>
      <c r="H3049" s="340">
        <f t="shared" si="3"/>
        <v>44.8</v>
      </c>
      <c r="I3049" s="341">
        <v>1.0</v>
      </c>
      <c r="J3049" s="332">
        <f>IFERROR(__xludf.DUMMYFUNCTION("IF(IF(COUNTIF(P$2:P3048, P3049)=0, """", INDEX(H$2:H3048,
MAX(FILTER(ROW(H$2:H3048) - ROW(H$2) + 1, P$2:P3048 = P3049))))=""単価"","""",
IF(COUNTIF(P$2:P3048, P3049)=0, """", INDEX(H$2:H3048,
MAX(FILTER(ROW(H$2:H3048) - ROW(H$2) + 1, P$2:P3048 = P3049)))))"),43.8)</f>
        <v>43.8</v>
      </c>
      <c r="N3049" s="335" t="str">
        <f>IF(MAXIFS('単価履歴'!$O:$O,'単価履歴'!$E:$E,E3049,'単価履歴'!$F:$F,F3049)=O3049,"●","")</f>
        <v/>
      </c>
      <c r="O3049" s="346">
        <v>45951.730625</v>
      </c>
      <c r="P3049" s="334" t="str">
        <f t="shared" si="4"/>
        <v>大同特殊鋼:JSE/大和ﾘﾃｯｸＨＳ１(単体H1/電特A/HS))</v>
      </c>
    </row>
    <row r="3050" ht="15.75" customHeight="1">
      <c r="A3050" s="335" t="s">
        <v>4197</v>
      </c>
      <c r="B3050" s="336">
        <v>45952.0</v>
      </c>
      <c r="C3050" s="335" t="s">
        <v>537</v>
      </c>
      <c r="D3050" s="335" t="s">
        <v>1404</v>
      </c>
      <c r="E3050" s="337" t="str">
        <f t="shared" si="1"/>
        <v>大同特殊鋼:JSE/大和ﾘﾃｯｸ</v>
      </c>
      <c r="F3050" s="338" t="s">
        <v>116</v>
      </c>
      <c r="G3050" s="339" t="str">
        <f t="shared" si="2"/>
        <v>大同特殊鋼:JSE/大和ﾘﾃｯｸＨ２(特級)</v>
      </c>
      <c r="H3050" s="340">
        <f t="shared" si="3"/>
        <v>41.7</v>
      </c>
      <c r="I3050" s="341">
        <v>1.0</v>
      </c>
      <c r="J3050" s="332">
        <f>IFERROR(__xludf.DUMMYFUNCTION("IF(IF(COUNTIF(P$2:P3049, P3050)=0, """", INDEX(H$2:H3049,
MAX(FILTER(ROW(H$2:H3049) - ROW(H$2) + 1, P$2:P3049 = P3050))))=""単価"","""",
IF(COUNTIF(P$2:P3049, P3050)=0, """", INDEX(H$2:H3049,
MAX(FILTER(ROW(H$2:H3049) - ROW(H$2) + 1, P$2:P3049 = P3050)))))"),40.7)</f>
        <v>40.7</v>
      </c>
      <c r="N3050" s="335" t="str">
        <f>IF(MAXIFS('単価履歴'!$O:$O,'単価履歴'!$E:$E,E3050,'単価履歴'!$F:$F,F3050)=O3050,"●","")</f>
        <v/>
      </c>
      <c r="O3050" s="346">
        <v>45951.730625</v>
      </c>
      <c r="P3050" s="334" t="str">
        <f t="shared" si="4"/>
        <v>大同特殊鋼:JSE/大和ﾘﾃｯｸＨ２(特級)</v>
      </c>
    </row>
    <row r="3051" ht="15.75" customHeight="1">
      <c r="A3051" s="335" t="s">
        <v>4198</v>
      </c>
      <c r="B3051" s="336">
        <v>45952.0</v>
      </c>
      <c r="C3051" s="335" t="s">
        <v>537</v>
      </c>
      <c r="D3051" s="335" t="s">
        <v>1404</v>
      </c>
      <c r="E3051" s="337" t="str">
        <f t="shared" si="1"/>
        <v>大同特殊鋼:JSE/大和ﾘﾃｯｸ</v>
      </c>
      <c r="F3051" s="338" t="s">
        <v>575</v>
      </c>
      <c r="G3051" s="339" t="str">
        <f t="shared" si="2"/>
        <v>大同特殊鋼:JSE/大和ﾘﾃｯｸ鋼ダライＡ</v>
      </c>
      <c r="H3051" s="340">
        <f t="shared" si="3"/>
        <v>40.5</v>
      </c>
      <c r="I3051" s="341">
        <v>1.0</v>
      </c>
      <c r="J3051" s="332">
        <f>IFERROR(__xludf.DUMMYFUNCTION("IF(IF(COUNTIF(P$2:P3050, P3051)=0, """", INDEX(H$2:H3050,
MAX(FILTER(ROW(H$2:H3050) - ROW(H$2) + 1, P$2:P3050 = P3051))))=""単価"","""",
IF(COUNTIF(P$2:P3050, P3051)=0, """", INDEX(H$2:H3050,
MAX(FILTER(ROW(H$2:H3050) - ROW(H$2) + 1, P$2:P3050 = P3051)))))"),39.5)</f>
        <v>39.5</v>
      </c>
      <c r="N3051" s="335" t="str">
        <f>IF(MAXIFS('単価履歴'!$O:$O,'単価履歴'!$E:$E,E3051,'単価履歴'!$F:$F,F3051)=O3051,"●","")</f>
        <v/>
      </c>
      <c r="O3051" s="346">
        <v>45951.730625</v>
      </c>
      <c r="P3051" s="334" t="str">
        <f t="shared" si="4"/>
        <v>大同特殊鋼:JSE/大和ﾘﾃｯｸ鋼ダライＡ</v>
      </c>
    </row>
    <row r="3052" ht="15.75" customHeight="1">
      <c r="A3052" s="335" t="s">
        <v>4199</v>
      </c>
      <c r="B3052" s="336">
        <v>45951.0</v>
      </c>
      <c r="C3052" s="335" t="s">
        <v>537</v>
      </c>
      <c r="D3052" s="335" t="s">
        <v>1407</v>
      </c>
      <c r="E3052" s="337" t="str">
        <f t="shared" si="1"/>
        <v>大同特殊鋼:JSE/第二＠2.3</v>
      </c>
      <c r="F3052" s="338" t="s">
        <v>1199</v>
      </c>
      <c r="G3052" s="339" t="str">
        <f t="shared" si="2"/>
        <v>大同特殊鋼:JSE/第二＠2.3ＨＳ１(単体H1/電特A/HS))</v>
      </c>
      <c r="H3052" s="340">
        <f t="shared" si="3"/>
        <v>42.5</v>
      </c>
      <c r="I3052" s="341">
        <v>1.0</v>
      </c>
      <c r="J3052" s="332">
        <f>IFERROR(__xludf.DUMMYFUNCTION("IF(IF(COUNTIF(P$2:P3051, P3052)=0, """", INDEX(H$2:H3051,
MAX(FILTER(ROW(H$2:H3051) - ROW(H$2) + 1, P$2:P3051 = P3052))))=""単価"","""",
IF(COUNTIF(P$2:P3051, P3052)=0, """", INDEX(H$2:H3051,
MAX(FILTER(ROW(H$2:H3051) - ROW(H$2) + 1, P$2:P3051 = P3052)))))"),41.5)</f>
        <v>41.5</v>
      </c>
      <c r="N3052" s="335" t="str">
        <f>IF(MAXIFS('単価履歴'!$O:$O,'単価履歴'!$E:$E,E3052,'単価履歴'!$F:$F,F3052)=O3052,"●","")</f>
        <v/>
      </c>
      <c r="O3052" s="346">
        <v>45951.73087962963</v>
      </c>
      <c r="P3052" s="334" t="str">
        <f t="shared" si="4"/>
        <v>大同特殊鋼:JSE/第二＠2.3ＨＳ１(単体H1/電特A/HS))</v>
      </c>
    </row>
    <row r="3053" ht="15.75" customHeight="1">
      <c r="A3053" s="335" t="s">
        <v>4200</v>
      </c>
      <c r="B3053" s="336">
        <v>45951.0</v>
      </c>
      <c r="C3053" s="335" t="s">
        <v>537</v>
      </c>
      <c r="D3053" s="335" t="s">
        <v>1407</v>
      </c>
      <c r="E3053" s="337" t="str">
        <f t="shared" si="1"/>
        <v>大同特殊鋼:JSE/第二＠2.3</v>
      </c>
      <c r="F3053" s="338" t="s">
        <v>116</v>
      </c>
      <c r="G3053" s="339" t="str">
        <f t="shared" si="2"/>
        <v>大同特殊鋼:JSE/第二＠2.3Ｈ２(特級)</v>
      </c>
      <c r="H3053" s="340">
        <f t="shared" si="3"/>
        <v>39.4</v>
      </c>
      <c r="I3053" s="341">
        <v>1.0</v>
      </c>
      <c r="J3053" s="332">
        <f>IFERROR(__xludf.DUMMYFUNCTION("IF(IF(COUNTIF(P$2:P3052, P3053)=0, """", INDEX(H$2:H3052,
MAX(FILTER(ROW(H$2:H3052) - ROW(H$2) + 1, P$2:P3052 = P3053))))=""単価"","""",
IF(COUNTIF(P$2:P3052, P3053)=0, """", INDEX(H$2:H3052,
MAX(FILTER(ROW(H$2:H3052) - ROW(H$2) + 1, P$2:P3052 = P3053)))))"),38.400000000000006)</f>
        <v>38.4</v>
      </c>
      <c r="N3053" s="335" t="str">
        <f>IF(MAXIFS('単価履歴'!$O:$O,'単価履歴'!$E:$E,E3053,'単価履歴'!$F:$F,F3053)=O3053,"●","")</f>
        <v/>
      </c>
      <c r="O3053" s="346">
        <v>45951.73087962963</v>
      </c>
      <c r="P3053" s="334" t="str">
        <f t="shared" si="4"/>
        <v>大同特殊鋼:JSE/第二＠2.3Ｈ２(特級)</v>
      </c>
    </row>
    <row r="3054" ht="15.75" customHeight="1">
      <c r="A3054" s="335" t="s">
        <v>4201</v>
      </c>
      <c r="B3054" s="336">
        <v>45951.0</v>
      </c>
      <c r="C3054" s="335" t="s">
        <v>537</v>
      </c>
      <c r="D3054" s="335" t="s">
        <v>1407</v>
      </c>
      <c r="E3054" s="337" t="str">
        <f t="shared" si="1"/>
        <v>大同特殊鋼:JSE/第二＠2.3</v>
      </c>
      <c r="F3054" s="338" t="s">
        <v>575</v>
      </c>
      <c r="G3054" s="339" t="str">
        <f t="shared" si="2"/>
        <v>大同特殊鋼:JSE/第二＠2.3鋼ダライＡ</v>
      </c>
      <c r="H3054" s="340">
        <f t="shared" si="3"/>
        <v>38.2</v>
      </c>
      <c r="I3054" s="341">
        <v>1.0</v>
      </c>
      <c r="J3054" s="332">
        <f>IFERROR(__xludf.DUMMYFUNCTION("IF(IF(COUNTIF(P$2:P3053, P3054)=0, """", INDEX(H$2:H3053,
MAX(FILTER(ROW(H$2:H3053) - ROW(H$2) + 1, P$2:P3053 = P3054))))=""単価"","""",
IF(COUNTIF(P$2:P3053, P3054)=0, """", INDEX(H$2:H3053,
MAX(FILTER(ROW(H$2:H3053) - ROW(H$2) + 1, P$2:P3053 = P3054)))))"),37.2)</f>
        <v>37.2</v>
      </c>
      <c r="N3054" s="335" t="str">
        <f>IF(MAXIFS('単価履歴'!$O:$O,'単価履歴'!$E:$E,E3054,'単価履歴'!$F:$F,F3054)=O3054,"●","")</f>
        <v/>
      </c>
      <c r="O3054" s="346">
        <v>45951.73087962963</v>
      </c>
      <c r="P3054" s="334" t="str">
        <f t="shared" si="4"/>
        <v>大同特殊鋼:JSE/第二＠2.3鋼ダライＡ</v>
      </c>
    </row>
    <row r="3055" ht="15.75" customHeight="1">
      <c r="A3055" s="335" t="s">
        <v>4202</v>
      </c>
      <c r="B3055" s="336">
        <v>45951.0</v>
      </c>
      <c r="C3055" s="335" t="s">
        <v>537</v>
      </c>
      <c r="D3055" s="335" t="s">
        <v>1410</v>
      </c>
      <c r="E3055" s="337" t="str">
        <f t="shared" si="1"/>
        <v>大同特殊鋼:JSE/岐阜＠1.5</v>
      </c>
      <c r="F3055" s="338" t="s">
        <v>1199</v>
      </c>
      <c r="G3055" s="339" t="str">
        <f t="shared" si="2"/>
        <v>大同特殊鋼:JSE/岐阜＠1.5ＨＳ１(単体H1/電特A/HS))</v>
      </c>
      <c r="H3055" s="340">
        <f t="shared" si="3"/>
        <v>43.3</v>
      </c>
      <c r="I3055" s="341">
        <v>1.0</v>
      </c>
      <c r="J3055" s="332">
        <f>IFERROR(__xludf.DUMMYFUNCTION("IF(IF(COUNTIF(P$2:P3054, P3055)=0, """", INDEX(H$2:H3054,
MAX(FILTER(ROW(H$2:H3054) - ROW(H$2) + 1, P$2:P3054 = P3055))))=""単価"","""",
IF(COUNTIF(P$2:P3054, P3055)=0, """", INDEX(H$2:H3054,
MAX(FILTER(ROW(H$2:H3054) - ROW(H$2) + 1, P$2:P3054 = P3055)))))"),42.3)</f>
        <v>42.3</v>
      </c>
      <c r="N3055" s="335" t="str">
        <f>IF(MAXIFS('単価履歴'!$O:$O,'単価履歴'!$E:$E,E3055,'単価履歴'!$F:$F,F3055)=O3055,"●","")</f>
        <v/>
      </c>
      <c r="O3055" s="346">
        <v>45951.73087962963</v>
      </c>
      <c r="P3055" s="334" t="str">
        <f t="shared" si="4"/>
        <v>大同特殊鋼:JSE/岐阜＠1.5ＨＳ１(単体H1/電特A/HS))</v>
      </c>
    </row>
    <row r="3056" ht="15.75" customHeight="1">
      <c r="A3056" s="335" t="s">
        <v>4203</v>
      </c>
      <c r="B3056" s="336">
        <v>45951.0</v>
      </c>
      <c r="C3056" s="335" t="s">
        <v>537</v>
      </c>
      <c r="D3056" s="335" t="s">
        <v>1410</v>
      </c>
      <c r="E3056" s="337" t="str">
        <f t="shared" si="1"/>
        <v>大同特殊鋼:JSE/岐阜＠1.5</v>
      </c>
      <c r="F3056" s="338" t="s">
        <v>116</v>
      </c>
      <c r="G3056" s="339" t="str">
        <f t="shared" si="2"/>
        <v>大同特殊鋼:JSE/岐阜＠1.5Ｈ２(特級)</v>
      </c>
      <c r="H3056" s="340">
        <f t="shared" si="3"/>
        <v>40.2</v>
      </c>
      <c r="I3056" s="341">
        <v>1.0</v>
      </c>
      <c r="J3056" s="332">
        <f>IFERROR(__xludf.DUMMYFUNCTION("IF(IF(COUNTIF(P$2:P3055, P3056)=0, """", INDEX(H$2:H3055,
MAX(FILTER(ROW(H$2:H3055) - ROW(H$2) + 1, P$2:P3055 = P3056))))=""単価"","""",
IF(COUNTIF(P$2:P3055, P3056)=0, """", INDEX(H$2:H3055,
MAX(FILTER(ROW(H$2:H3055) - ROW(H$2) + 1, P$2:P3055 = P3056)))))"),39.2)</f>
        <v>39.2</v>
      </c>
      <c r="N3056" s="335" t="str">
        <f>IF(MAXIFS('単価履歴'!$O:$O,'単価履歴'!$E:$E,E3056,'単価履歴'!$F:$F,F3056)=O3056,"●","")</f>
        <v/>
      </c>
      <c r="O3056" s="346">
        <v>45951.73087962963</v>
      </c>
      <c r="P3056" s="334" t="str">
        <f t="shared" si="4"/>
        <v>大同特殊鋼:JSE/岐阜＠1.5Ｈ２(特級)</v>
      </c>
    </row>
    <row r="3057" ht="15.75" customHeight="1">
      <c r="A3057" s="335" t="s">
        <v>4204</v>
      </c>
      <c r="B3057" s="336">
        <v>45951.0</v>
      </c>
      <c r="C3057" s="335" t="s">
        <v>537</v>
      </c>
      <c r="D3057" s="335" t="s">
        <v>1410</v>
      </c>
      <c r="E3057" s="337" t="str">
        <f t="shared" si="1"/>
        <v>大同特殊鋼:JSE/岐阜＠1.5</v>
      </c>
      <c r="F3057" s="338" t="s">
        <v>575</v>
      </c>
      <c r="G3057" s="339" t="str">
        <f t="shared" si="2"/>
        <v>大同特殊鋼:JSE/岐阜＠1.5鋼ダライＡ</v>
      </c>
      <c r="H3057" s="340">
        <f t="shared" si="3"/>
        <v>39</v>
      </c>
      <c r="I3057" s="341">
        <v>1.0</v>
      </c>
      <c r="J3057" s="332">
        <f>IFERROR(__xludf.DUMMYFUNCTION("IF(IF(COUNTIF(P$2:P3056, P3057)=0, """", INDEX(H$2:H3056,
MAX(FILTER(ROW(H$2:H3056) - ROW(H$2) + 1, P$2:P3056 = P3057))))=""単価"","""",
IF(COUNTIF(P$2:P3056, P3057)=0, """", INDEX(H$2:H3056,
MAX(FILTER(ROW(H$2:H3056) - ROW(H$2) + 1, P$2:P3056 = P3057)))))"),38.0)</f>
        <v>38</v>
      </c>
      <c r="N3057" s="335" t="str">
        <f>IF(MAXIFS('単価履歴'!$O:$O,'単価履歴'!$E:$E,E3057,'単価履歴'!$F:$F,F3057)=O3057,"●","")</f>
        <v/>
      </c>
      <c r="O3057" s="346">
        <v>45951.73087962963</v>
      </c>
      <c r="P3057" s="334" t="str">
        <f t="shared" si="4"/>
        <v>大同特殊鋼:JSE/岐阜＠1.5鋼ダライＡ</v>
      </c>
    </row>
    <row r="3058" ht="15.75" customHeight="1">
      <c r="A3058" s="335" t="s">
        <v>4205</v>
      </c>
      <c r="B3058" s="336">
        <v>45952.0</v>
      </c>
      <c r="C3058" s="335" t="s">
        <v>14</v>
      </c>
      <c r="D3058" s="335" t="s">
        <v>46</v>
      </c>
      <c r="E3058" s="337" t="str">
        <f t="shared" si="1"/>
        <v>愛知:阪和</v>
      </c>
      <c r="F3058" s="338" t="s">
        <v>145</v>
      </c>
      <c r="G3058" s="339" t="str">
        <f t="shared" si="2"/>
        <v>愛知:阪和シュレＡ</v>
      </c>
      <c r="H3058" s="340">
        <f t="shared" si="3"/>
        <v>45</v>
      </c>
      <c r="I3058" s="341">
        <v>0.5</v>
      </c>
      <c r="J3058" s="332">
        <f>IFERROR(__xludf.DUMMYFUNCTION("IF(IF(COUNTIF(P$2:P3057, P3058)=0, """", INDEX(H$2:H3057,
MAX(FILTER(ROW(H$2:H3057) - ROW(H$2) + 1, P$2:P3057 = P3058))))=""単価"","""",
IF(COUNTIF(P$2:P3057, P3058)=0, """", INDEX(H$2:H3057,
MAX(FILTER(ROW(H$2:H3057) - ROW(H$2) + 1, P$2:P3057 = P3058)))))"),44.5)</f>
        <v>44.5</v>
      </c>
      <c r="N3058" s="335" t="str">
        <f>IF(MAXIFS('単価履歴'!$O:$O,'単価履歴'!$E:$E,E3058,'単価履歴'!$F:$F,F3058)=O3058,"●","")</f>
        <v/>
      </c>
      <c r="O3058" s="346">
        <v>45951.74050925926</v>
      </c>
      <c r="P3058" s="334" t="str">
        <f t="shared" si="4"/>
        <v>愛知:阪和シュレＡ</v>
      </c>
    </row>
    <row r="3059" ht="15.75" customHeight="1">
      <c r="A3059" s="335" t="s">
        <v>4206</v>
      </c>
      <c r="B3059" s="336">
        <v>45951.0</v>
      </c>
      <c r="C3059" s="335" t="s">
        <v>9</v>
      </c>
      <c r="D3059" s="335" t="s">
        <v>50</v>
      </c>
      <c r="E3059" s="337" t="str">
        <f t="shared" si="1"/>
        <v>大鉄　堺:産振</v>
      </c>
      <c r="F3059" s="338" t="s">
        <v>111</v>
      </c>
      <c r="G3059" s="339" t="str">
        <f t="shared" si="2"/>
        <v>大鉄　堺:産振Ｈ１(特A)</v>
      </c>
      <c r="H3059" s="340">
        <f t="shared" si="3"/>
        <v>45.2</v>
      </c>
      <c r="I3059" s="341">
        <v>1.0</v>
      </c>
      <c r="J3059" s="332">
        <f>IFERROR(__xludf.DUMMYFUNCTION("IF(IF(COUNTIF(P$2:P3058, P3059)=0, """", INDEX(H$2:H3058,
MAX(FILTER(ROW(H$2:H3058) - ROW(H$2) + 1, P$2:P3058 = P3059))))=""単価"","""",
IF(COUNTIF(P$2:P3058, P3059)=0, """", INDEX(H$2:H3058,
MAX(FILTER(ROW(H$2:H3058) - ROW(H$2) + 1, P$2:P3058 = P3059)))))"),44.2)</f>
        <v>44.2</v>
      </c>
      <c r="N3059" s="335" t="str">
        <f>IF(MAXIFS('単価履歴'!$O:$O,'単価履歴'!$E:$E,E3059,'単価履歴'!$F:$F,F3059)=O3059,"●","")</f>
        <v/>
      </c>
      <c r="O3059" s="346">
        <v>45952.41143518519</v>
      </c>
      <c r="P3059" s="334" t="str">
        <f t="shared" si="4"/>
        <v>大鉄　堺:産振Ｈ１(特A)</v>
      </c>
    </row>
    <row r="3060" ht="15.75" customHeight="1">
      <c r="A3060" s="335" t="s">
        <v>4207</v>
      </c>
      <c r="B3060" s="336">
        <v>45954.0</v>
      </c>
      <c r="C3060" s="335" t="s">
        <v>11</v>
      </c>
      <c r="D3060" s="335" t="s">
        <v>46</v>
      </c>
      <c r="E3060" s="337" t="str">
        <f t="shared" si="1"/>
        <v>ﾔﾏﾄ:阪和</v>
      </c>
      <c r="F3060" s="338" t="s">
        <v>116</v>
      </c>
      <c r="G3060" s="339" t="str">
        <f t="shared" si="2"/>
        <v>ﾔﾏﾄ:阪和Ｈ２(特級)</v>
      </c>
      <c r="H3060" s="340">
        <f t="shared" si="3"/>
        <v>43.6</v>
      </c>
      <c r="I3060" s="341">
        <v>0.5</v>
      </c>
      <c r="J3060" s="332">
        <f>IFERROR(__xludf.DUMMYFUNCTION("IF(IF(COUNTIF(P$2:P3059, P3060)=0, """", INDEX(H$2:H3059,
MAX(FILTER(ROW(H$2:H3059) - ROW(H$2) + 1, P$2:P3059 = P3060))))=""単価"","""",
IF(COUNTIF(P$2:P3059, P3060)=0, """", INDEX(H$2:H3059,
MAX(FILTER(ROW(H$2:H3059) - ROW(H$2) + 1, P$2:P3059 = P3060)))))"),43.1)</f>
        <v>43.1</v>
      </c>
      <c r="N3060" s="335" t="str">
        <f>IF(MAXIFS('単価履歴'!$O:$O,'単価履歴'!$E:$E,E3060,'単価履歴'!$F:$F,F3060)=O3060,"●","")</f>
        <v/>
      </c>
      <c r="O3060" s="346">
        <v>45953.76299768519</v>
      </c>
      <c r="P3060" s="334" t="str">
        <f t="shared" si="4"/>
        <v>ﾔﾏﾄ:阪和Ｈ２(特級)</v>
      </c>
    </row>
    <row r="3061" ht="15.75" customHeight="1">
      <c r="A3061" s="335" t="s">
        <v>4208</v>
      </c>
      <c r="B3061" s="336">
        <v>45954.0</v>
      </c>
      <c r="C3061" s="335" t="s">
        <v>11</v>
      </c>
      <c r="D3061" s="335" t="s">
        <v>46</v>
      </c>
      <c r="E3061" s="337" t="str">
        <f t="shared" si="1"/>
        <v>ﾔﾏﾄ:阪和</v>
      </c>
      <c r="F3061" s="338" t="s">
        <v>119</v>
      </c>
      <c r="G3061" s="339" t="str">
        <f t="shared" si="2"/>
        <v>ﾔﾏﾄ:阪和Ｈ３(1級)</v>
      </c>
      <c r="H3061" s="340">
        <f t="shared" si="3"/>
        <v>42.6</v>
      </c>
      <c r="I3061" s="341">
        <v>0.5</v>
      </c>
      <c r="J3061" s="332">
        <f>IFERROR(__xludf.DUMMYFUNCTION("IF(IF(COUNTIF(P$2:P3060, P3061)=0, """", INDEX(H$2:H3060,
MAX(FILTER(ROW(H$2:H3060) - ROW(H$2) + 1, P$2:P3060 = P3061))))=""単価"","""",
IF(COUNTIF(P$2:P3060, P3061)=0, """", INDEX(H$2:H3060,
MAX(FILTER(ROW(H$2:H3060) - ROW(H$2) + 1, P$2:P3060 = P3061)))))"),42.1)</f>
        <v>42.1</v>
      </c>
      <c r="N3061" s="335" t="str">
        <f>IF(MAXIFS('単価履歴'!$O:$O,'単価履歴'!$E:$E,E3061,'単価履歴'!$F:$F,F3061)=O3061,"●","")</f>
        <v/>
      </c>
      <c r="O3061" s="346">
        <v>45953.76299768519</v>
      </c>
      <c r="P3061" s="334" t="str">
        <f t="shared" si="4"/>
        <v>ﾔﾏﾄ:阪和Ｈ３(1級)</v>
      </c>
    </row>
    <row r="3062" ht="15.75" customHeight="1">
      <c r="A3062" s="335" t="s">
        <v>4209</v>
      </c>
      <c r="B3062" s="336">
        <v>45954.0</v>
      </c>
      <c r="C3062" s="335" t="s">
        <v>11</v>
      </c>
      <c r="D3062" s="335" t="s">
        <v>46</v>
      </c>
      <c r="E3062" s="337" t="str">
        <f t="shared" si="1"/>
        <v>ﾔﾏﾄ:阪和</v>
      </c>
      <c r="F3062" s="338" t="s">
        <v>122</v>
      </c>
      <c r="G3062" s="339" t="str">
        <f t="shared" si="2"/>
        <v>ﾔﾏﾄ:阪和Ｌ１(2級)</v>
      </c>
      <c r="H3062" s="340">
        <f t="shared" si="3"/>
        <v>40.6</v>
      </c>
      <c r="I3062" s="341">
        <v>0.5</v>
      </c>
      <c r="J3062" s="332">
        <f>IFERROR(__xludf.DUMMYFUNCTION("IF(IF(COUNTIF(P$2:P3061, P3062)=0, """", INDEX(H$2:H3061,
MAX(FILTER(ROW(H$2:H3061) - ROW(H$2) + 1, P$2:P3061 = P3062))))=""単価"","""",
IF(COUNTIF(P$2:P3061, P3062)=0, """", INDEX(H$2:H3061,
MAX(FILTER(ROW(H$2:H3061) - ROW(H$2) + 1, P$2:P3061 = P3062)))))"),40.1)</f>
        <v>40.1</v>
      </c>
      <c r="N3062" s="335" t="str">
        <f>IF(MAXIFS('単価履歴'!$O:$O,'単価履歴'!$E:$E,E3062,'単価履歴'!$F:$F,F3062)=O3062,"●","")</f>
        <v/>
      </c>
      <c r="O3062" s="346">
        <v>45953.76299768519</v>
      </c>
      <c r="P3062" s="334" t="str">
        <f t="shared" si="4"/>
        <v>ﾔﾏﾄ:阪和Ｌ１(2級)</v>
      </c>
    </row>
    <row r="3063" ht="15.75" customHeight="1">
      <c r="A3063" s="335" t="s">
        <v>4210</v>
      </c>
      <c r="B3063" s="336">
        <v>45954.0</v>
      </c>
      <c r="C3063" s="335" t="s">
        <v>11</v>
      </c>
      <c r="D3063" s="335" t="s">
        <v>46</v>
      </c>
      <c r="E3063" s="337" t="str">
        <f t="shared" si="1"/>
        <v>ﾔﾏﾄ:阪和</v>
      </c>
      <c r="F3063" s="338" t="s">
        <v>111</v>
      </c>
      <c r="G3063" s="339" t="str">
        <f t="shared" si="2"/>
        <v>ﾔﾏﾄ:阪和Ｈ１(特A)</v>
      </c>
      <c r="H3063" s="340">
        <f t="shared" si="3"/>
        <v>44.6</v>
      </c>
      <c r="I3063" s="341">
        <v>0.5</v>
      </c>
      <c r="J3063" s="332">
        <f>IFERROR(__xludf.DUMMYFUNCTION("IF(IF(COUNTIF(P$2:P3062, P3063)=0, """", INDEX(H$2:H3062,
MAX(FILTER(ROW(H$2:H3062) - ROW(H$2) + 1, P$2:P3062 = P3063))))=""単価"","""",
IF(COUNTIF(P$2:P3062, P3063)=0, """", INDEX(H$2:H3062,
MAX(FILTER(ROW(H$2:H3062) - ROW(H$2) + 1, P$2:P3062 = P3063)))))"),44.1)</f>
        <v>44.1</v>
      </c>
      <c r="N3063" s="335" t="str">
        <f>IF(MAXIFS('単価履歴'!$O:$O,'単価履歴'!$E:$E,E3063,'単価履歴'!$F:$F,F3063)=O3063,"●","")</f>
        <v/>
      </c>
      <c r="O3063" s="346">
        <v>45953.76299768519</v>
      </c>
      <c r="P3063" s="334" t="str">
        <f t="shared" si="4"/>
        <v>ﾔﾏﾄ:阪和Ｈ１(特A)</v>
      </c>
    </row>
    <row r="3064" ht="15.75" customHeight="1">
      <c r="A3064" s="335" t="s">
        <v>4211</v>
      </c>
      <c r="B3064" s="336">
        <v>45954.0</v>
      </c>
      <c r="C3064" s="335" t="s">
        <v>11</v>
      </c>
      <c r="D3064" s="335" t="s">
        <v>46</v>
      </c>
      <c r="E3064" s="337" t="str">
        <f t="shared" si="1"/>
        <v>ﾔﾏﾄ:阪和</v>
      </c>
      <c r="F3064" s="338" t="s">
        <v>573</v>
      </c>
      <c r="G3064" s="339" t="str">
        <f t="shared" si="2"/>
        <v>ﾔﾏﾄ:阪和Ｌ２(H4･級外･L1ﾊﾞﾗ)</v>
      </c>
      <c r="H3064" s="340">
        <f t="shared" si="3"/>
        <v>38.1</v>
      </c>
      <c r="I3064" s="341">
        <v>0.5</v>
      </c>
      <c r="J3064" s="332">
        <f>IFERROR(__xludf.DUMMYFUNCTION("IF(IF(COUNTIF(P$2:P3063, P3064)=0, """", INDEX(H$2:H3063,
MAX(FILTER(ROW(H$2:H3063) - ROW(H$2) + 1, P$2:P3063 = P3064))))=""単価"","""",
IF(COUNTIF(P$2:P3063, P3064)=0, """", INDEX(H$2:H3063,
MAX(FILTER(ROW(H$2:H3063) - ROW(H$2) + 1, P$2:P3063 = P3064)))))"),37.6)</f>
        <v>37.6</v>
      </c>
      <c r="N3064" s="335" t="str">
        <f>IF(MAXIFS('単価履歴'!$O:$O,'単価履歴'!$E:$E,E3064,'単価履歴'!$F:$F,F3064)=O3064,"●","")</f>
        <v/>
      </c>
      <c r="O3064" s="346">
        <v>45953.76299768519</v>
      </c>
      <c r="P3064" s="334" t="str">
        <f t="shared" si="4"/>
        <v>ﾔﾏﾄ:阪和Ｌ２(H4･級外･L1ﾊﾞﾗ)</v>
      </c>
    </row>
    <row r="3065" ht="15.75" customHeight="1">
      <c r="A3065" s="335" t="s">
        <v>4212</v>
      </c>
      <c r="B3065" s="336">
        <v>45940.0</v>
      </c>
      <c r="C3065" s="335" t="s">
        <v>7</v>
      </c>
      <c r="D3065" s="335" t="s">
        <v>49</v>
      </c>
      <c r="E3065" s="337" t="str">
        <f t="shared" si="1"/>
        <v>合同大阪:伊藤忠</v>
      </c>
      <c r="F3065" s="338" t="s">
        <v>1199</v>
      </c>
      <c r="G3065" s="339" t="str">
        <f t="shared" si="2"/>
        <v>合同大阪:伊藤忠ＨＳ１(単体H1/電特A/HS))</v>
      </c>
      <c r="H3065" s="340">
        <f t="shared" si="3"/>
        <v>44.8</v>
      </c>
      <c r="I3065" s="341">
        <v>1.0</v>
      </c>
      <c r="J3065" s="332">
        <f>IFERROR(__xludf.DUMMYFUNCTION("IF(IF(COUNTIF(P$2:P3064, P3065)=0, """", INDEX(H$2:H3064,
MAX(FILTER(ROW(H$2:H3064) - ROW(H$2) + 1, P$2:P3064 = P3065))))=""単価"","""",
IF(COUNTIF(P$2:P3064, P3065)=0, """", INDEX(H$2:H3064,
MAX(FILTER(ROW(H$2:H3064) - ROW(H$2) + 1, P$2:P3064 = P3065)))))"),43.8)</f>
        <v>43.8</v>
      </c>
      <c r="N3065" s="335" t="str">
        <f>IF(MAXIFS('単価履歴'!$O:$O,'単価履歴'!$E:$E,E3065,'単価履歴'!$F:$F,F3065)=O3065,"●","")</f>
        <v/>
      </c>
      <c r="O3065" s="346">
        <v>45954.48399305556</v>
      </c>
      <c r="P3065" s="334" t="str">
        <f t="shared" si="4"/>
        <v>合同大阪:伊藤忠ＨＳ１(単体H1/電特A/HS))</v>
      </c>
    </row>
    <row r="3066" ht="15.75" customHeight="1">
      <c r="A3066" s="335" t="s">
        <v>4213</v>
      </c>
      <c r="B3066" s="336">
        <v>45940.0</v>
      </c>
      <c r="C3066" s="335" t="s">
        <v>7</v>
      </c>
      <c r="D3066" s="335" t="s">
        <v>49</v>
      </c>
      <c r="E3066" s="337" t="str">
        <f t="shared" si="1"/>
        <v>合同大阪:伊藤忠</v>
      </c>
      <c r="F3066" s="338" t="s">
        <v>101</v>
      </c>
      <c r="G3066" s="339" t="str">
        <f t="shared" si="2"/>
        <v>合同大阪:伊藤忠ＨＳ２</v>
      </c>
      <c r="H3066" s="340">
        <f t="shared" si="3"/>
        <v>44.3</v>
      </c>
      <c r="I3066" s="341">
        <v>1.0</v>
      </c>
      <c r="J3066" s="332">
        <f>IFERROR(__xludf.DUMMYFUNCTION("IF(IF(COUNTIF(P$2:P3065, P3066)=0, """", INDEX(H$2:H3065,
MAX(FILTER(ROW(H$2:H3065) - ROW(H$2) + 1, P$2:P3065 = P3066))))=""単価"","""",
IF(COUNTIF(P$2:P3065, P3066)=0, """", INDEX(H$2:H3065,
MAX(FILTER(ROW(H$2:H3065) - ROW(H$2) + 1, P$2:P3065 = P3066)))))"),43.3)</f>
        <v>43.3</v>
      </c>
      <c r="N3066" s="335" t="str">
        <f>IF(MAXIFS('単価履歴'!$O:$O,'単価履歴'!$E:$E,E3066,'単価履歴'!$F:$F,F3066)=O3066,"●","")</f>
        <v/>
      </c>
      <c r="O3066" s="346">
        <v>45954.48399305556</v>
      </c>
      <c r="P3066" s="334" t="str">
        <f t="shared" si="4"/>
        <v>合同大阪:伊藤忠ＨＳ２</v>
      </c>
    </row>
    <row r="3067" ht="15.75" customHeight="1">
      <c r="A3067" s="335" t="s">
        <v>4214</v>
      </c>
      <c r="B3067" s="336">
        <v>45940.0</v>
      </c>
      <c r="C3067" s="335" t="s">
        <v>7</v>
      </c>
      <c r="D3067" s="335" t="s">
        <v>49</v>
      </c>
      <c r="E3067" s="337" t="str">
        <f t="shared" si="1"/>
        <v>合同大阪:伊藤忠</v>
      </c>
      <c r="F3067" s="338" t="s">
        <v>111</v>
      </c>
      <c r="G3067" s="339" t="str">
        <f t="shared" si="2"/>
        <v>合同大阪:伊藤忠Ｈ１(特A)</v>
      </c>
      <c r="H3067" s="340">
        <f t="shared" si="3"/>
        <v>44.3</v>
      </c>
      <c r="I3067" s="341">
        <v>1.0</v>
      </c>
      <c r="J3067" s="332">
        <f>IFERROR(__xludf.DUMMYFUNCTION("IF(IF(COUNTIF(P$2:P3066, P3067)=0, """", INDEX(H$2:H3066,
MAX(FILTER(ROW(H$2:H3066) - ROW(H$2) + 1, P$2:P3066 = P3067))))=""単価"","""",
IF(COUNTIF(P$2:P3066, P3067)=0, """", INDEX(H$2:H3066,
MAX(FILTER(ROW(H$2:H3066) - ROW(H$2) + 1, P$2:P3066 = P3067)))))"),43.3)</f>
        <v>43.3</v>
      </c>
      <c r="N3067" s="335" t="str">
        <f>IF(MAXIFS('単価履歴'!$O:$O,'単価履歴'!$E:$E,E3067,'単価履歴'!$F:$F,F3067)=O3067,"●","")</f>
        <v/>
      </c>
      <c r="O3067" s="346">
        <v>45954.48399305556</v>
      </c>
      <c r="P3067" s="334" t="str">
        <f t="shared" si="4"/>
        <v>合同大阪:伊藤忠Ｈ１(特A)</v>
      </c>
    </row>
    <row r="3068" ht="15.75" customHeight="1">
      <c r="A3068" s="335" t="s">
        <v>4215</v>
      </c>
      <c r="B3068" s="336">
        <v>45940.0</v>
      </c>
      <c r="C3068" s="335" t="s">
        <v>7</v>
      </c>
      <c r="D3068" s="335" t="s">
        <v>49</v>
      </c>
      <c r="E3068" s="337" t="str">
        <f t="shared" si="1"/>
        <v>合同大阪:伊藤忠</v>
      </c>
      <c r="F3068" s="338" t="s">
        <v>116</v>
      </c>
      <c r="G3068" s="339" t="str">
        <f t="shared" si="2"/>
        <v>合同大阪:伊藤忠Ｈ２(特級)</v>
      </c>
      <c r="H3068" s="340">
        <f t="shared" si="3"/>
        <v>42.8</v>
      </c>
      <c r="I3068" s="341">
        <v>1.0</v>
      </c>
      <c r="J3068" s="332">
        <f>IFERROR(__xludf.DUMMYFUNCTION("IF(IF(COUNTIF(P$2:P3067, P3068)=0, """", INDEX(H$2:H3067,
MAX(FILTER(ROW(H$2:H3067) - ROW(H$2) + 1, P$2:P3067 = P3068))))=""単価"","""",
IF(COUNTIF(P$2:P3067, P3068)=0, """", INDEX(H$2:H3067,
MAX(FILTER(ROW(H$2:H3067) - ROW(H$2) + 1, P$2:P3067 = P3068)))))"),41.8)</f>
        <v>41.8</v>
      </c>
      <c r="N3068" s="335" t="str">
        <f>IF(MAXIFS('単価履歴'!$O:$O,'単価履歴'!$E:$E,E3068,'単価履歴'!$F:$F,F3068)=O3068,"●","")</f>
        <v/>
      </c>
      <c r="O3068" s="346">
        <v>45954.48399305556</v>
      </c>
      <c r="P3068" s="334" t="str">
        <f t="shared" si="4"/>
        <v>合同大阪:伊藤忠Ｈ２(特級)</v>
      </c>
    </row>
    <row r="3069" ht="15.75" customHeight="1">
      <c r="A3069" s="335" t="s">
        <v>4216</v>
      </c>
      <c r="B3069" s="336">
        <v>45940.0</v>
      </c>
      <c r="C3069" s="335" t="s">
        <v>7</v>
      </c>
      <c r="D3069" s="335" t="s">
        <v>49</v>
      </c>
      <c r="E3069" s="337" t="str">
        <f t="shared" si="1"/>
        <v>合同大阪:伊藤忠</v>
      </c>
      <c r="F3069" s="338" t="s">
        <v>119</v>
      </c>
      <c r="G3069" s="339" t="str">
        <f t="shared" si="2"/>
        <v>合同大阪:伊藤忠Ｈ３(1級)</v>
      </c>
      <c r="H3069" s="340">
        <f t="shared" si="3"/>
        <v>42.3</v>
      </c>
      <c r="I3069" s="341">
        <v>1.0</v>
      </c>
      <c r="J3069" s="332">
        <f>IFERROR(__xludf.DUMMYFUNCTION("IF(IF(COUNTIF(P$2:P3068, P3069)=0, """", INDEX(H$2:H3068,
MAX(FILTER(ROW(H$2:H3068) - ROW(H$2) + 1, P$2:P3068 = P3069))))=""単価"","""",
IF(COUNTIF(P$2:P3068, P3069)=0, """", INDEX(H$2:H3068,
MAX(FILTER(ROW(H$2:H3068) - ROW(H$2) + 1, P$2:P3068 = P3069)))))"),41.3)</f>
        <v>41.3</v>
      </c>
      <c r="N3069" s="335" t="str">
        <f>IF(MAXIFS('単価履歴'!$O:$O,'単価履歴'!$E:$E,E3069,'単価履歴'!$F:$F,F3069)=O3069,"●","")</f>
        <v/>
      </c>
      <c r="O3069" s="346">
        <v>45954.48399305556</v>
      </c>
      <c r="P3069" s="334" t="str">
        <f t="shared" si="4"/>
        <v>合同大阪:伊藤忠Ｈ３(1級)</v>
      </c>
    </row>
    <row r="3070" ht="15.75" customHeight="1">
      <c r="A3070" s="335" t="s">
        <v>4217</v>
      </c>
      <c r="B3070" s="336">
        <v>45940.0</v>
      </c>
      <c r="C3070" s="335" t="s">
        <v>7</v>
      </c>
      <c r="D3070" s="335" t="s">
        <v>49</v>
      </c>
      <c r="E3070" s="337" t="str">
        <f t="shared" si="1"/>
        <v>合同大阪:伊藤忠</v>
      </c>
      <c r="F3070" s="338" t="s">
        <v>122</v>
      </c>
      <c r="G3070" s="339" t="str">
        <f t="shared" si="2"/>
        <v>合同大阪:伊藤忠Ｌ１(2級)</v>
      </c>
      <c r="H3070" s="340">
        <f t="shared" si="3"/>
        <v>41.3</v>
      </c>
      <c r="I3070" s="341">
        <v>1.0</v>
      </c>
      <c r="J3070" s="332">
        <f>IFERROR(__xludf.DUMMYFUNCTION("IF(IF(COUNTIF(P$2:P3069, P3070)=0, """", INDEX(H$2:H3069,
MAX(FILTER(ROW(H$2:H3069) - ROW(H$2) + 1, P$2:P3069 = P3070))))=""単価"","""",
IF(COUNTIF(P$2:P3069, P3070)=0, """", INDEX(H$2:H3069,
MAX(FILTER(ROW(H$2:H3069) - ROW(H$2) + 1, P$2:P3069 = P3070)))))"),40.3)</f>
        <v>40.3</v>
      </c>
      <c r="N3070" s="335" t="str">
        <f>IF(MAXIFS('単価履歴'!$O:$O,'単価履歴'!$E:$E,E3070,'単価履歴'!$F:$F,F3070)=O3070,"●","")</f>
        <v/>
      </c>
      <c r="O3070" s="346">
        <v>45954.48399305556</v>
      </c>
      <c r="P3070" s="334" t="str">
        <f t="shared" si="4"/>
        <v>合同大阪:伊藤忠Ｌ１(2級)</v>
      </c>
    </row>
    <row r="3071" ht="15.75" customHeight="1">
      <c r="A3071" s="335" t="s">
        <v>4218</v>
      </c>
      <c r="B3071" s="336">
        <v>45940.0</v>
      </c>
      <c r="C3071" s="335" t="s">
        <v>7</v>
      </c>
      <c r="D3071" s="335" t="s">
        <v>49</v>
      </c>
      <c r="E3071" s="337" t="str">
        <f t="shared" si="1"/>
        <v>合同大阪:伊藤忠</v>
      </c>
      <c r="F3071" s="338" t="s">
        <v>130</v>
      </c>
      <c r="G3071" s="339" t="str">
        <f t="shared" si="2"/>
        <v>合同大阪:伊藤忠新断Ａ</v>
      </c>
      <c r="H3071" s="340">
        <f t="shared" si="3"/>
        <v>45.3</v>
      </c>
      <c r="I3071" s="341">
        <v>1.0</v>
      </c>
      <c r="J3071" s="332">
        <f>IFERROR(__xludf.DUMMYFUNCTION("IF(IF(COUNTIF(P$2:P3070, P3071)=0, """", INDEX(H$2:H3070,
MAX(FILTER(ROW(H$2:H3070) - ROW(H$2) + 1, P$2:P3070 = P3071))))=""単価"","""",
IF(COUNTIF(P$2:P3070, P3071)=0, """", INDEX(H$2:H3070,
MAX(FILTER(ROW(H$2:H3070) - ROW(H$2) + 1, P$2:P3070 = P3071)))))"),44.3)</f>
        <v>44.3</v>
      </c>
      <c r="N3071" s="335" t="str">
        <f>IF(MAXIFS('単価履歴'!$O:$O,'単価履歴'!$E:$E,E3071,'単価履歴'!$F:$F,F3071)=O3071,"●","")</f>
        <v/>
      </c>
      <c r="O3071" s="346">
        <v>45954.48399305556</v>
      </c>
      <c r="P3071" s="334" t="str">
        <f t="shared" si="4"/>
        <v>合同大阪:伊藤忠新断Ａ</v>
      </c>
    </row>
    <row r="3072" ht="15.75" customHeight="1">
      <c r="A3072" s="335" t="s">
        <v>4219</v>
      </c>
      <c r="B3072" s="336">
        <v>45940.0</v>
      </c>
      <c r="C3072" s="335" t="s">
        <v>7</v>
      </c>
      <c r="D3072" s="335" t="s">
        <v>49</v>
      </c>
      <c r="E3072" s="337" t="str">
        <f t="shared" si="1"/>
        <v>合同大阪:伊藤忠</v>
      </c>
      <c r="F3072" s="338" t="s">
        <v>131</v>
      </c>
      <c r="G3072" s="339" t="str">
        <f t="shared" si="2"/>
        <v>合同大阪:伊藤忠新断Ｂ</v>
      </c>
      <c r="H3072" s="340">
        <f t="shared" si="3"/>
        <v>44.8</v>
      </c>
      <c r="I3072" s="341">
        <v>1.0</v>
      </c>
      <c r="J3072" s="332">
        <f>IFERROR(__xludf.DUMMYFUNCTION("IF(IF(COUNTIF(P$2:P3071, P3072)=0, """", INDEX(H$2:H3071,
MAX(FILTER(ROW(H$2:H3071) - ROW(H$2) + 1, P$2:P3071 = P3072))))=""単価"","""",
IF(COUNTIF(P$2:P3071, P3072)=0, """", INDEX(H$2:H3071,
MAX(FILTER(ROW(H$2:H3071) - ROW(H$2) + 1, P$2:P3071 = P3072)))))"),43.8)</f>
        <v>43.8</v>
      </c>
      <c r="N3072" s="335" t="str">
        <f>IF(MAXIFS('単価履歴'!$O:$O,'単価履歴'!$E:$E,E3072,'単価履歴'!$F:$F,F3072)=O3072,"●","")</f>
        <v/>
      </c>
      <c r="O3072" s="346">
        <v>45954.48399305556</v>
      </c>
      <c r="P3072" s="334" t="str">
        <f t="shared" si="4"/>
        <v>合同大阪:伊藤忠新断Ｂ</v>
      </c>
    </row>
    <row r="3073" ht="15.75" customHeight="1">
      <c r="A3073" s="335" t="s">
        <v>4220</v>
      </c>
      <c r="B3073" s="336">
        <v>45940.0</v>
      </c>
      <c r="C3073" s="335" t="s">
        <v>7</v>
      </c>
      <c r="D3073" s="335" t="s">
        <v>49</v>
      </c>
      <c r="E3073" s="337" t="str">
        <f t="shared" si="1"/>
        <v>合同大阪:伊藤忠</v>
      </c>
      <c r="F3073" s="338" t="s">
        <v>575</v>
      </c>
      <c r="G3073" s="339" t="str">
        <f t="shared" si="2"/>
        <v>合同大阪:伊藤忠鋼ダライＡ</v>
      </c>
      <c r="H3073" s="340">
        <f t="shared" si="3"/>
        <v>33.8</v>
      </c>
      <c r="I3073" s="341">
        <v>1.0</v>
      </c>
      <c r="J3073" s="332">
        <f>IFERROR(__xludf.DUMMYFUNCTION("IF(IF(COUNTIF(P$2:P3072, P3073)=0, """", INDEX(H$2:H3072,
MAX(FILTER(ROW(H$2:H3072) - ROW(H$2) + 1, P$2:P3072 = P3073))))=""単価"","""",
IF(COUNTIF(P$2:P3072, P3073)=0, """", INDEX(H$2:H3072,
MAX(FILTER(ROW(H$2:H3072) - ROW(H$2) + 1, P$2:P3072 = P3073)))))"),32.8)</f>
        <v>32.8</v>
      </c>
      <c r="N3073" s="335" t="str">
        <f>IF(MAXIFS('単価履歴'!$O:$O,'単価履歴'!$E:$E,E3073,'単価履歴'!$F:$F,F3073)=O3073,"●","")</f>
        <v/>
      </c>
      <c r="O3073" s="346">
        <v>45954.48399305556</v>
      </c>
      <c r="P3073" s="334" t="str">
        <f t="shared" si="4"/>
        <v>合同大阪:伊藤忠鋼ダライＡ</v>
      </c>
    </row>
    <row r="3074" ht="15.75" customHeight="1">
      <c r="A3074" s="335" t="s">
        <v>4221</v>
      </c>
      <c r="B3074" s="336">
        <v>45940.0</v>
      </c>
      <c r="C3074" s="335" t="s">
        <v>7</v>
      </c>
      <c r="D3074" s="335" t="s">
        <v>49</v>
      </c>
      <c r="E3074" s="337" t="str">
        <f t="shared" si="1"/>
        <v>合同大阪:伊藤忠</v>
      </c>
      <c r="F3074" s="338" t="s">
        <v>576</v>
      </c>
      <c r="G3074" s="339" t="str">
        <f t="shared" si="2"/>
        <v>合同大阪:伊藤忠鋼ダライＢ</v>
      </c>
      <c r="H3074" s="340">
        <f t="shared" si="3"/>
        <v>33.3</v>
      </c>
      <c r="I3074" s="341">
        <v>1.0</v>
      </c>
      <c r="J3074" s="332">
        <f>IFERROR(__xludf.DUMMYFUNCTION("IF(IF(COUNTIF(P$2:P3073, P3074)=0, """", INDEX(H$2:H3073,
MAX(FILTER(ROW(H$2:H3073) - ROW(H$2) + 1, P$2:P3073 = P3074))))=""単価"","""",
IF(COUNTIF(P$2:P3073, P3074)=0, """", INDEX(H$2:H3073,
MAX(FILTER(ROW(H$2:H3073) - ROW(H$2) + 1, P$2:P3073 = P3074)))))"),32.3)</f>
        <v>32.3</v>
      </c>
      <c r="N3074" s="335" t="str">
        <f>IF(MAXIFS('単価履歴'!$O:$O,'単価履歴'!$E:$E,E3074,'単価履歴'!$F:$F,F3074)=O3074,"●","")</f>
        <v/>
      </c>
      <c r="O3074" s="346">
        <v>45954.48399305556</v>
      </c>
      <c r="P3074" s="334" t="str">
        <f t="shared" si="4"/>
        <v>合同大阪:伊藤忠鋼ダライＢ</v>
      </c>
    </row>
    <row r="3075" ht="15.75" customHeight="1">
      <c r="A3075" s="335" t="s">
        <v>4222</v>
      </c>
      <c r="B3075" s="336">
        <v>45941.0</v>
      </c>
      <c r="C3075" s="335" t="s">
        <v>13</v>
      </c>
      <c r="D3075" s="335" t="s">
        <v>49</v>
      </c>
      <c r="E3075" s="337" t="str">
        <f t="shared" si="1"/>
        <v>ｸﾎﾞﾀ:伊藤忠</v>
      </c>
      <c r="F3075" s="338" t="s">
        <v>130</v>
      </c>
      <c r="G3075" s="339" t="str">
        <f t="shared" si="2"/>
        <v>ｸﾎﾞﾀ:伊藤忠新断Ａ</v>
      </c>
      <c r="H3075" s="340">
        <f t="shared" si="3"/>
        <v>48.2</v>
      </c>
      <c r="I3075" s="341">
        <v>1.0</v>
      </c>
      <c r="J3075" s="332">
        <f>IFERROR(__xludf.DUMMYFUNCTION("IF(IF(COUNTIF(P$2:P3074, P3075)=0, """", INDEX(H$2:H3074,
MAX(FILTER(ROW(H$2:H3074) - ROW(H$2) + 1, P$2:P3074 = P3075))))=""単価"","""",
IF(COUNTIF(P$2:P3074, P3075)=0, """", INDEX(H$2:H3074,
MAX(FILTER(ROW(H$2:H3074) - ROW(H$2) + 1, P$2:P3074 = P3075)))))"),47.2)</f>
        <v>47.2</v>
      </c>
      <c r="N3075" s="335" t="str">
        <f>IF(MAXIFS('単価履歴'!$O:$O,'単価履歴'!$E:$E,E3075,'単価履歴'!$F:$F,F3075)=O3075,"●","")</f>
        <v/>
      </c>
      <c r="O3075" s="346">
        <v>45954.48494212963</v>
      </c>
      <c r="P3075" s="334" t="str">
        <f t="shared" si="4"/>
        <v>ｸﾎﾞﾀ:伊藤忠新断Ａ</v>
      </c>
    </row>
    <row r="3076" ht="15.75" customHeight="1">
      <c r="A3076" s="335" t="s">
        <v>4223</v>
      </c>
      <c r="B3076" s="336">
        <v>45940.0</v>
      </c>
      <c r="C3076" s="335" t="s">
        <v>534</v>
      </c>
      <c r="D3076" s="335" t="s">
        <v>46</v>
      </c>
      <c r="E3076" s="337" t="str">
        <f t="shared" si="1"/>
        <v>合同姫路:阪和</v>
      </c>
      <c r="F3076" s="338" t="s">
        <v>130</v>
      </c>
      <c r="G3076" s="339" t="str">
        <f t="shared" si="2"/>
        <v>合同姫路:阪和新断Ａ</v>
      </c>
      <c r="H3076" s="340">
        <f t="shared" si="3"/>
        <v>47.8</v>
      </c>
      <c r="I3076" s="341">
        <v>1.5</v>
      </c>
      <c r="J3076" s="332">
        <f>IFERROR(__xludf.DUMMYFUNCTION("IF(IF(COUNTIF(P$2:P3075, P3076)=0, """", INDEX(H$2:H3075,
MAX(FILTER(ROW(H$2:H3075) - ROW(H$2) + 1, P$2:P3075 = P3076))))=""単価"","""",
IF(COUNTIF(P$2:P3075, P3076)=0, """", INDEX(H$2:H3075,
MAX(FILTER(ROW(H$2:H3075) - ROW(H$2) + 1, P$2:P3075 = P3076)))))"),46.3)</f>
        <v>46.3</v>
      </c>
      <c r="N3076" s="335" t="str">
        <f>IF(MAXIFS('単価履歴'!$O:$O,'単価履歴'!$E:$E,E3076,'単価履歴'!$F:$F,F3076)=O3076,"●","")</f>
        <v/>
      </c>
      <c r="O3076" s="346">
        <v>45954.709444444445</v>
      </c>
      <c r="P3076" s="334" t="str">
        <f t="shared" si="4"/>
        <v>合同姫路:阪和新断Ａ</v>
      </c>
    </row>
    <row r="3077" ht="15.75" customHeight="1">
      <c r="A3077" s="335" t="s">
        <v>4224</v>
      </c>
      <c r="B3077" s="336">
        <v>45948.0</v>
      </c>
      <c r="C3077" s="335" t="s">
        <v>534</v>
      </c>
      <c r="D3077" s="335" t="s">
        <v>46</v>
      </c>
      <c r="E3077" s="337" t="str">
        <f t="shared" si="1"/>
        <v>合同姫路:阪和</v>
      </c>
      <c r="F3077" s="338" t="s">
        <v>130</v>
      </c>
      <c r="G3077" s="339" t="str">
        <f t="shared" si="2"/>
        <v>合同姫路:阪和新断Ａ</v>
      </c>
      <c r="H3077" s="340">
        <f t="shared" si="3"/>
        <v>48.3</v>
      </c>
      <c r="I3077" s="341">
        <v>0.5</v>
      </c>
      <c r="J3077" s="332">
        <f>IFERROR(__xludf.DUMMYFUNCTION("IF(IF(COUNTIF(P$2:P3076, P3077)=0, """", INDEX(H$2:H3076,
MAX(FILTER(ROW(H$2:H3076) - ROW(H$2) + 1, P$2:P3076 = P3077))))=""単価"","""",
IF(COUNTIF(P$2:P3076, P3077)=0, """", INDEX(H$2:H3076,
MAX(FILTER(ROW(H$2:H3076) - ROW(H$2) + 1, P$2:P3076 = P3077)))))"),47.8)</f>
        <v>47.8</v>
      </c>
      <c r="N3077" s="335" t="str">
        <f>IF(MAXIFS('単価履歴'!$O:$O,'単価履歴'!$E:$E,E3077,'単価履歴'!$F:$F,F3077)=O3077,"●","")</f>
        <v/>
      </c>
      <c r="O3077" s="346">
        <v>45954.713946759264</v>
      </c>
      <c r="P3077" s="334" t="str">
        <f t="shared" si="4"/>
        <v>合同姫路:阪和新断Ａ</v>
      </c>
    </row>
    <row r="3078" ht="15.75" customHeight="1">
      <c r="A3078" s="335" t="s">
        <v>4225</v>
      </c>
      <c r="B3078" s="336">
        <v>45952.0</v>
      </c>
      <c r="C3078" s="335" t="s">
        <v>534</v>
      </c>
      <c r="D3078" s="335" t="s">
        <v>46</v>
      </c>
      <c r="E3078" s="337" t="str">
        <f t="shared" si="1"/>
        <v>合同姫路:阪和</v>
      </c>
      <c r="F3078" s="338" t="s">
        <v>130</v>
      </c>
      <c r="G3078" s="339" t="str">
        <f t="shared" si="2"/>
        <v>合同姫路:阪和新断Ａ</v>
      </c>
      <c r="H3078" s="340">
        <f t="shared" si="3"/>
        <v>48.8</v>
      </c>
      <c r="I3078" s="341">
        <v>0.5</v>
      </c>
      <c r="J3078" s="332">
        <f>IFERROR(__xludf.DUMMYFUNCTION("IF(IF(COUNTIF(P$2:P3077, P3078)=0, """", INDEX(H$2:H3077,
MAX(FILTER(ROW(H$2:H3077) - ROW(H$2) + 1, P$2:P3077 = P3078))))=""単価"","""",
IF(COUNTIF(P$2:P3077, P3078)=0, """", INDEX(H$2:H3077,
MAX(FILTER(ROW(H$2:H3077) - ROW(H$2) + 1, P$2:P3077 = P3078)))))"),48.3)</f>
        <v>48.3</v>
      </c>
      <c r="N3078" s="335" t="str">
        <f>IF(MAXIFS('単価履歴'!$O:$O,'単価履歴'!$E:$E,E3078,'単価履歴'!$F:$F,F3078)=O3078,"●","")</f>
        <v/>
      </c>
      <c r="O3078" s="346">
        <v>45954.71615740741</v>
      </c>
      <c r="P3078" s="334" t="str">
        <f t="shared" si="4"/>
        <v>合同姫路:阪和新断Ａ</v>
      </c>
    </row>
    <row r="3079" ht="15.75" customHeight="1">
      <c r="A3079" s="335" t="s">
        <v>4226</v>
      </c>
      <c r="B3079" s="336">
        <v>45955.0</v>
      </c>
      <c r="C3079" s="335" t="s">
        <v>13</v>
      </c>
      <c r="D3079" s="335" t="s">
        <v>49</v>
      </c>
      <c r="E3079" s="337" t="str">
        <f t="shared" si="1"/>
        <v>ｸﾎﾞﾀ:伊藤忠</v>
      </c>
      <c r="F3079" s="338" t="s">
        <v>130</v>
      </c>
      <c r="G3079" s="339" t="str">
        <f t="shared" si="2"/>
        <v>ｸﾎﾞﾀ:伊藤忠新断Ａ</v>
      </c>
      <c r="H3079" s="340">
        <f t="shared" si="3"/>
        <v>48.7</v>
      </c>
      <c r="I3079" s="341">
        <v>0.5</v>
      </c>
      <c r="J3079" s="332">
        <f>IFERROR(__xludf.DUMMYFUNCTION("IF(IF(COUNTIF(P$2:P3078, P3079)=0, """", INDEX(H$2:H3078,
MAX(FILTER(ROW(H$2:H3078) - ROW(H$2) + 1, P$2:P3078 = P3079))))=""単価"","""",
IF(COUNTIF(P$2:P3078, P3079)=0, """", INDEX(H$2:H3078,
MAX(FILTER(ROW(H$2:H3078) - ROW(H$2) + 1, P$2:P3078 = P3079)))))"),48.2)</f>
        <v>48.2</v>
      </c>
      <c r="N3079" s="335" t="str">
        <f>IF(MAXIFS('単価履歴'!$O:$O,'単価履歴'!$E:$E,E3079,'単価履歴'!$F:$F,F3079)=O3079,"●","")</f>
        <v/>
      </c>
      <c r="O3079" s="346">
        <v>45954.728368055556</v>
      </c>
      <c r="P3079" s="334" t="str">
        <f t="shared" si="4"/>
        <v>ｸﾎﾞﾀ:伊藤忠新断Ａ</v>
      </c>
    </row>
    <row r="3080" ht="15.75" customHeight="1">
      <c r="A3080" s="335" t="s">
        <v>4227</v>
      </c>
      <c r="B3080" s="336">
        <v>45955.0</v>
      </c>
      <c r="C3080" s="335" t="s">
        <v>22</v>
      </c>
      <c r="D3080" s="335" t="s">
        <v>47</v>
      </c>
      <c r="E3080" s="337" t="str">
        <f t="shared" si="1"/>
        <v>栗本鐵工:豊通</v>
      </c>
      <c r="F3080" s="338" t="s">
        <v>1199</v>
      </c>
      <c r="G3080" s="339" t="str">
        <f t="shared" si="2"/>
        <v>栗本鐵工:豊通ＨＳ１(単体H1/電特A/HS))</v>
      </c>
      <c r="H3080" s="340">
        <f t="shared" si="3"/>
        <v>48.3</v>
      </c>
      <c r="I3080" s="341">
        <v>0.5</v>
      </c>
      <c r="J3080" s="332">
        <f>IFERROR(__xludf.DUMMYFUNCTION("IF(IF(COUNTIF(P$2:P3079, P3080)=0, """", INDEX(H$2:H3079,
MAX(FILTER(ROW(H$2:H3079) - ROW(H$2) + 1, P$2:P3079 = P3080))))=""単価"","""",
IF(COUNTIF(P$2:P3079, P3080)=0, """", INDEX(H$2:H3079,
MAX(FILTER(ROW(H$2:H3079) - ROW(H$2) + 1, P$2:P3079 = P3080)))))"),47.8)</f>
        <v>47.8</v>
      </c>
      <c r="N3080" s="335" t="str">
        <f>IF(MAXIFS('単価履歴'!$O:$O,'単価履歴'!$E:$E,E3080,'単価履歴'!$F:$F,F3080)=O3080,"●","")</f>
        <v/>
      </c>
      <c r="O3080" s="346">
        <v>45954.757627314815</v>
      </c>
      <c r="P3080" s="334" t="str">
        <f t="shared" si="4"/>
        <v>栗本鐵工:豊通ＨＳ１(単体H1/電特A/HS))</v>
      </c>
    </row>
    <row r="3081" ht="15.75" customHeight="1">
      <c r="A3081" s="335" t="s">
        <v>4228</v>
      </c>
      <c r="B3081" s="336">
        <v>45955.0</v>
      </c>
      <c r="C3081" s="335" t="s">
        <v>22</v>
      </c>
      <c r="D3081" s="335" t="s">
        <v>47</v>
      </c>
      <c r="E3081" s="337" t="str">
        <f t="shared" si="1"/>
        <v>栗本鐵工:豊通</v>
      </c>
      <c r="F3081" s="338" t="s">
        <v>101</v>
      </c>
      <c r="G3081" s="339" t="str">
        <f t="shared" si="2"/>
        <v>栗本鐵工:豊通ＨＳ２</v>
      </c>
      <c r="H3081" s="340">
        <f t="shared" si="3"/>
        <v>48</v>
      </c>
      <c r="I3081" s="341">
        <v>0.5</v>
      </c>
      <c r="J3081" s="332">
        <f>IFERROR(__xludf.DUMMYFUNCTION("IF(IF(COUNTIF(P$2:P3080, P3081)=0, """", INDEX(H$2:H3080,
MAX(FILTER(ROW(H$2:H3080) - ROW(H$2) + 1, P$2:P3080 = P3081))))=""単価"","""",
IF(COUNTIF(P$2:P3080, P3081)=0, """", INDEX(H$2:H3080,
MAX(FILTER(ROW(H$2:H3080) - ROW(H$2) + 1, P$2:P3080 = P3081)))))"),47.5)</f>
        <v>47.5</v>
      </c>
      <c r="N3081" s="335" t="str">
        <f>IF(MAXIFS('単価履歴'!$O:$O,'単価履歴'!$E:$E,E3081,'単価履歴'!$F:$F,F3081)=O3081,"●","")</f>
        <v/>
      </c>
      <c r="O3081" s="346">
        <v>45954.757627314815</v>
      </c>
      <c r="P3081" s="334" t="str">
        <f t="shared" si="4"/>
        <v>栗本鐵工:豊通ＨＳ２</v>
      </c>
    </row>
    <row r="3082" ht="15.75" customHeight="1">
      <c r="A3082" s="335" t="s">
        <v>4229</v>
      </c>
      <c r="B3082" s="336">
        <v>45955.0</v>
      </c>
      <c r="C3082" s="335" t="s">
        <v>22</v>
      </c>
      <c r="D3082" s="335" t="s">
        <v>47</v>
      </c>
      <c r="E3082" s="337" t="str">
        <f t="shared" si="1"/>
        <v>栗本鐵工:豊通</v>
      </c>
      <c r="F3082" s="338" t="s">
        <v>105</v>
      </c>
      <c r="G3082" s="339" t="str">
        <f t="shared" si="2"/>
        <v>栗本鐵工:豊通ＨＳ３</v>
      </c>
      <c r="H3082" s="340">
        <f t="shared" si="3"/>
        <v>47.1</v>
      </c>
      <c r="I3082" s="341">
        <v>0.5</v>
      </c>
      <c r="J3082" s="332">
        <f>IFERROR(__xludf.DUMMYFUNCTION("IF(IF(COUNTIF(P$2:P3081, P3082)=0, """", INDEX(H$2:H3081,
MAX(FILTER(ROW(H$2:H3081) - ROW(H$2) + 1, P$2:P3081 = P3082))))=""単価"","""",
IF(COUNTIF(P$2:P3081, P3082)=0, """", INDEX(H$2:H3081,
MAX(FILTER(ROW(H$2:H3081) - ROW(H$2) + 1, P$2:P3081 = P3082)))))"),46.6)</f>
        <v>46.6</v>
      </c>
      <c r="N3082" s="335" t="str">
        <f>IF(MAXIFS('単価履歴'!$O:$O,'単価履歴'!$E:$E,E3082,'単価履歴'!$F:$F,F3082)=O3082,"●","")</f>
        <v/>
      </c>
      <c r="O3082" s="346">
        <v>45954.757627314815</v>
      </c>
      <c r="P3082" s="334" t="str">
        <f t="shared" si="4"/>
        <v>栗本鐵工:豊通ＨＳ３</v>
      </c>
    </row>
    <row r="3083" ht="15.75" customHeight="1">
      <c r="A3083" s="335" t="s">
        <v>4230</v>
      </c>
      <c r="B3083" s="336">
        <v>45955.0</v>
      </c>
      <c r="C3083" s="335" t="s">
        <v>22</v>
      </c>
      <c r="D3083" s="335" t="s">
        <v>47</v>
      </c>
      <c r="E3083" s="337" t="str">
        <f t="shared" si="1"/>
        <v>栗本鐵工:豊通</v>
      </c>
      <c r="F3083" s="338" t="s">
        <v>577</v>
      </c>
      <c r="G3083" s="339" t="str">
        <f t="shared" si="2"/>
        <v>栗本鐵工:豊通鋳物・ﾀﾞｸﾀｲﾙ</v>
      </c>
      <c r="H3083" s="340">
        <f t="shared" si="3"/>
        <v>46.9</v>
      </c>
      <c r="I3083" s="341">
        <v>0.5</v>
      </c>
      <c r="J3083" s="332">
        <f>IFERROR(__xludf.DUMMYFUNCTION("IF(IF(COUNTIF(P$2:P3082, P3083)=0, """", INDEX(H$2:H3082,
MAX(FILTER(ROW(H$2:H3082) - ROW(H$2) + 1, P$2:P3082 = P3083))))=""単価"","""",
IF(COUNTIF(P$2:P3082, P3083)=0, """", INDEX(H$2:H3082,
MAX(FILTER(ROW(H$2:H3082) - ROW(H$2) + 1, P$2:P3082 = P3083)))))"),46.4)</f>
        <v>46.4</v>
      </c>
      <c r="N3083" s="335" t="str">
        <f>IF(MAXIFS('単価履歴'!$O:$O,'単価履歴'!$E:$E,E3083,'単価履歴'!$F:$F,F3083)=O3083,"●","")</f>
        <v/>
      </c>
      <c r="O3083" s="346">
        <v>45954.757627314815</v>
      </c>
      <c r="P3083" s="334" t="str">
        <f t="shared" si="4"/>
        <v>栗本鐵工:豊通鋳物・ﾀﾞｸﾀｲﾙ</v>
      </c>
    </row>
    <row r="3084" ht="15.75" customHeight="1">
      <c r="A3084" s="335" t="s">
        <v>4231</v>
      </c>
      <c r="B3084" s="336">
        <v>45959.0</v>
      </c>
      <c r="C3084" s="335" t="s">
        <v>7</v>
      </c>
      <c r="D3084" s="335" t="s">
        <v>49</v>
      </c>
      <c r="E3084" s="337" t="str">
        <f t="shared" si="1"/>
        <v>合同大阪:伊藤忠</v>
      </c>
      <c r="F3084" s="363" t="s">
        <v>116</v>
      </c>
      <c r="G3084" s="339" t="str">
        <f t="shared" si="2"/>
        <v>合同大阪:伊藤忠Ｈ２(特級)</v>
      </c>
      <c r="H3084" s="340">
        <f t="shared" si="3"/>
        <v>43.3</v>
      </c>
      <c r="I3084" s="341">
        <v>0.5</v>
      </c>
      <c r="J3084" s="332">
        <f>IFERROR(__xludf.DUMMYFUNCTION("IF(IF(COUNTIF(P$2:P3083, P3084)=0, """", INDEX(H$2:H3083,
MAX(FILTER(ROW(H$2:H3083) - ROW(H$2) + 1, P$2:P3083 = P3084))))=""単価"","""",
IF(COUNTIF(P$2:P3083, P3084)=0, """", INDEX(H$2:H3083,
MAX(FILTER(ROW(H$2:H3083) - ROW(H$2) + 1, P$2:P3083 = P3084)))))"),42.8)</f>
        <v>42.8</v>
      </c>
      <c r="N3084" s="335" t="str">
        <f>IF(MAXIFS('単価履歴'!$O:$O,'単価履歴'!$E:$E,E3084,'単価履歴'!$F:$F,F3084)=O3084,"●","")</f>
        <v/>
      </c>
      <c r="O3084" s="346">
        <v>45959.26861111111</v>
      </c>
      <c r="P3084" s="334" t="str">
        <f t="shared" si="4"/>
        <v>合同大阪:伊藤忠Ｈ２(特級)</v>
      </c>
    </row>
    <row r="3085" ht="15.75" customHeight="1">
      <c r="A3085" s="335" t="s">
        <v>4232</v>
      </c>
      <c r="B3085" s="336">
        <v>45959.0</v>
      </c>
      <c r="C3085" s="335" t="s">
        <v>7</v>
      </c>
      <c r="D3085" s="335" t="s">
        <v>49</v>
      </c>
      <c r="E3085" s="337" t="str">
        <f t="shared" si="1"/>
        <v>合同大阪:伊藤忠</v>
      </c>
      <c r="F3085" s="363" t="s">
        <v>119</v>
      </c>
      <c r="G3085" s="339" t="str">
        <f t="shared" si="2"/>
        <v>合同大阪:伊藤忠Ｈ３(1級)</v>
      </c>
      <c r="H3085" s="340">
        <f t="shared" si="3"/>
        <v>42.8</v>
      </c>
      <c r="I3085" s="341">
        <v>0.5</v>
      </c>
      <c r="J3085" s="332">
        <f>IFERROR(__xludf.DUMMYFUNCTION("IF(IF(COUNTIF(P$2:P3084, P3085)=0, """", INDEX(H$2:H3084,
MAX(FILTER(ROW(H$2:H3084) - ROW(H$2) + 1, P$2:P3084 = P3085))))=""単価"","""",
IF(COUNTIF(P$2:P3084, P3085)=0, """", INDEX(H$2:H3084,
MAX(FILTER(ROW(H$2:H3084) - ROW(H$2) + 1, P$2:P3084 = P3085)))))"),42.3)</f>
        <v>42.3</v>
      </c>
      <c r="N3085" s="335" t="str">
        <f>IF(MAXIFS('単価履歴'!$O:$O,'単価履歴'!$E:$E,E3085,'単価履歴'!$F:$F,F3085)=O3085,"●","")</f>
        <v/>
      </c>
      <c r="O3085" s="346">
        <v>45959.26861111111</v>
      </c>
      <c r="P3085" s="334" t="str">
        <f t="shared" si="4"/>
        <v>合同大阪:伊藤忠Ｈ３(1級)</v>
      </c>
    </row>
    <row r="3086" ht="15.75" customHeight="1">
      <c r="A3086" s="335" t="s">
        <v>4233</v>
      </c>
      <c r="B3086" s="336">
        <v>45959.0</v>
      </c>
      <c r="C3086" s="335" t="s">
        <v>7</v>
      </c>
      <c r="D3086" s="335" t="s">
        <v>49</v>
      </c>
      <c r="E3086" s="337" t="str">
        <f t="shared" si="1"/>
        <v>合同大阪:伊藤忠</v>
      </c>
      <c r="F3086" s="363" t="s">
        <v>122</v>
      </c>
      <c r="G3086" s="339" t="str">
        <f t="shared" si="2"/>
        <v>合同大阪:伊藤忠Ｌ１(2級)</v>
      </c>
      <c r="H3086" s="340">
        <f t="shared" si="3"/>
        <v>41.8</v>
      </c>
      <c r="I3086" s="341">
        <v>0.5</v>
      </c>
      <c r="J3086" s="332">
        <f>IFERROR(__xludf.DUMMYFUNCTION("IF(IF(COUNTIF(P$2:P3085, P3086)=0, """", INDEX(H$2:H3085,
MAX(FILTER(ROW(H$2:H3085) - ROW(H$2) + 1, P$2:P3085 = P3086))))=""単価"","""",
IF(COUNTIF(P$2:P3085, P3086)=0, """", INDEX(H$2:H3085,
MAX(FILTER(ROW(H$2:H3085) - ROW(H$2) + 1, P$2:P3085 = P3086)))))"),41.3)</f>
        <v>41.3</v>
      </c>
      <c r="N3086" s="335" t="str">
        <f>IF(MAXIFS('単価履歴'!$O:$O,'単価履歴'!$E:$E,E3086,'単価履歴'!$F:$F,F3086)=O3086,"●","")</f>
        <v/>
      </c>
      <c r="O3086" s="346">
        <v>45959.26861111111</v>
      </c>
      <c r="P3086" s="334" t="str">
        <f t="shared" si="4"/>
        <v>合同大阪:伊藤忠Ｌ１(2級)</v>
      </c>
    </row>
    <row r="3087" ht="15.75" customHeight="1">
      <c r="A3087" s="335" t="s">
        <v>4234</v>
      </c>
      <c r="B3087" s="336">
        <v>45959.0</v>
      </c>
      <c r="C3087" s="335" t="s">
        <v>10</v>
      </c>
      <c r="D3087" s="335" t="s">
        <v>47</v>
      </c>
      <c r="E3087" s="337" t="str">
        <f t="shared" si="1"/>
        <v>岸和田:豊通</v>
      </c>
      <c r="F3087" s="338" t="s">
        <v>111</v>
      </c>
      <c r="G3087" s="339" t="str">
        <f t="shared" si="2"/>
        <v>岸和田:豊通Ｈ１(特A)</v>
      </c>
      <c r="H3087" s="340">
        <f t="shared" si="3"/>
        <v>43.5</v>
      </c>
      <c r="I3087" s="341">
        <v>1.0</v>
      </c>
      <c r="J3087" s="332">
        <f>IFERROR(__xludf.DUMMYFUNCTION("IF(IF(COUNTIF(P$2:P3086, P3087)=0, """", INDEX(H$2:H3086,
MAX(FILTER(ROW(H$2:H3086) - ROW(H$2) + 1, P$2:P3086 = P3087))))=""単価"","""",
IF(COUNTIF(P$2:P3086, P3087)=0, """", INDEX(H$2:H3086,
MAX(FILTER(ROW(H$2:H3086) - ROW(H$2) + 1, P$2:P3086 = P3087)))))"),42.5)</f>
        <v>42.5</v>
      </c>
      <c r="N3087" s="335" t="str">
        <f>IF(MAXIFS('単価履歴'!$O:$O,'単価履歴'!$E:$E,E3087,'単価履歴'!$F:$F,F3087)=O3087,"●","")</f>
        <v/>
      </c>
      <c r="O3087" s="346">
        <v>45959.269432870366</v>
      </c>
      <c r="P3087" s="334" t="str">
        <f t="shared" si="4"/>
        <v>岸和田:豊通Ｈ１(特A)</v>
      </c>
    </row>
    <row r="3088" ht="15.75" customHeight="1">
      <c r="A3088" s="335" t="s">
        <v>4235</v>
      </c>
      <c r="B3088" s="336">
        <v>45959.0</v>
      </c>
      <c r="C3088" s="335" t="s">
        <v>10</v>
      </c>
      <c r="D3088" s="335" t="s">
        <v>47</v>
      </c>
      <c r="E3088" s="337" t="str">
        <f t="shared" si="1"/>
        <v>岸和田:豊通</v>
      </c>
      <c r="F3088" s="338" t="s">
        <v>116</v>
      </c>
      <c r="G3088" s="339" t="str">
        <f t="shared" si="2"/>
        <v>岸和田:豊通Ｈ２(特級)</v>
      </c>
      <c r="H3088" s="340">
        <f t="shared" si="3"/>
        <v>41</v>
      </c>
      <c r="I3088" s="341">
        <v>0.5</v>
      </c>
      <c r="J3088" s="332">
        <f>IFERROR(__xludf.DUMMYFUNCTION("IF(IF(COUNTIF(P$2:P3087, P3088)=0, """", INDEX(H$2:H3087,
MAX(FILTER(ROW(H$2:H3087) - ROW(H$2) + 1, P$2:P3087 = P3088))))=""単価"","""",
IF(COUNTIF(P$2:P3087, P3088)=0, """", INDEX(H$2:H3087,
MAX(FILTER(ROW(H$2:H3087) - ROW(H$2) + 1, P$2:P3087 = P3088)))))"),40.5)</f>
        <v>40.5</v>
      </c>
      <c r="N3088" s="335" t="str">
        <f>IF(MAXIFS('単価履歴'!$O:$O,'単価履歴'!$E:$E,E3088,'単価履歴'!$F:$F,F3088)=O3088,"●","")</f>
        <v/>
      </c>
      <c r="O3088" s="346">
        <v>45959.26966435185</v>
      </c>
      <c r="P3088" s="334" t="str">
        <f t="shared" si="4"/>
        <v>岸和田:豊通Ｈ２(特級)</v>
      </c>
    </row>
    <row r="3089" ht="15.75" customHeight="1">
      <c r="A3089" s="335" t="s">
        <v>4236</v>
      </c>
      <c r="B3089" s="336">
        <v>45959.0</v>
      </c>
      <c r="C3089" s="335" t="s">
        <v>10</v>
      </c>
      <c r="D3089" s="335" t="s">
        <v>47</v>
      </c>
      <c r="E3089" s="337" t="str">
        <f t="shared" si="1"/>
        <v>岸和田:豊通</v>
      </c>
      <c r="F3089" s="338" t="s">
        <v>119</v>
      </c>
      <c r="G3089" s="339" t="str">
        <f t="shared" si="2"/>
        <v>岸和田:豊通Ｈ３(1級)</v>
      </c>
      <c r="H3089" s="340">
        <f t="shared" si="3"/>
        <v>40.5</v>
      </c>
      <c r="I3089" s="341">
        <v>0.5</v>
      </c>
      <c r="J3089" s="332">
        <f>IFERROR(__xludf.DUMMYFUNCTION("IF(IF(COUNTIF(P$2:P3088, P3089)=0, """", INDEX(H$2:H3088,
MAX(FILTER(ROW(H$2:H3088) - ROW(H$2) + 1, P$2:P3088 = P3089))))=""単価"","""",
IF(COUNTIF(P$2:P3088, P3089)=0, """", INDEX(H$2:H3088,
MAX(FILTER(ROW(H$2:H3088) - ROW(H$2) + 1, P$2:P3088 = P3089)))))"),40.0)</f>
        <v>40</v>
      </c>
      <c r="N3089" s="335" t="str">
        <f>IF(MAXIFS('単価履歴'!$O:$O,'単価履歴'!$E:$E,E3089,'単価履歴'!$F:$F,F3089)=O3089,"●","")</f>
        <v/>
      </c>
      <c r="O3089" s="346">
        <v>45959.26966435185</v>
      </c>
      <c r="P3089" s="334" t="str">
        <f t="shared" si="4"/>
        <v>岸和田:豊通Ｈ３(1級)</v>
      </c>
    </row>
    <row r="3090" ht="15.75" customHeight="1">
      <c r="A3090" s="335" t="s">
        <v>4237</v>
      </c>
      <c r="B3090" s="336">
        <v>45959.0</v>
      </c>
      <c r="C3090" s="335" t="s">
        <v>10</v>
      </c>
      <c r="D3090" s="335" t="s">
        <v>47</v>
      </c>
      <c r="E3090" s="337" t="str">
        <f t="shared" si="1"/>
        <v>岸和田:豊通</v>
      </c>
      <c r="F3090" s="338" t="s">
        <v>122</v>
      </c>
      <c r="G3090" s="339" t="str">
        <f t="shared" si="2"/>
        <v>岸和田:豊通Ｌ１(2級)</v>
      </c>
      <c r="H3090" s="340">
        <f t="shared" si="3"/>
        <v>40</v>
      </c>
      <c r="I3090" s="341">
        <v>0.5</v>
      </c>
      <c r="J3090" s="332">
        <f>IFERROR(__xludf.DUMMYFUNCTION("IF(IF(COUNTIF(P$2:P3089, P3090)=0, """", INDEX(H$2:H3089,
MAX(FILTER(ROW(H$2:H3089) - ROW(H$2) + 1, P$2:P3089 = P3090))))=""単価"","""",
IF(COUNTIF(P$2:P3089, P3090)=0, """", INDEX(H$2:H3089,
MAX(FILTER(ROW(H$2:H3089) - ROW(H$2) + 1, P$2:P3089 = P3090)))))"),39.5)</f>
        <v>39.5</v>
      </c>
      <c r="N3090" s="335" t="str">
        <f>IF(MAXIFS('単価履歴'!$O:$O,'単価履歴'!$E:$E,E3090,'単価履歴'!$F:$F,F3090)=O3090,"●","")</f>
        <v/>
      </c>
      <c r="O3090" s="346">
        <v>45959.26966435185</v>
      </c>
      <c r="P3090" s="334" t="str">
        <f t="shared" si="4"/>
        <v>岸和田:豊通Ｌ１(2級)</v>
      </c>
    </row>
    <row r="3091" ht="15.75" customHeight="1">
      <c r="A3091" s="335" t="s">
        <v>4238</v>
      </c>
      <c r="B3091" s="336">
        <v>45959.0</v>
      </c>
      <c r="C3091" s="335" t="s">
        <v>10</v>
      </c>
      <c r="D3091" s="335" t="s">
        <v>47</v>
      </c>
      <c r="E3091" s="337" t="str">
        <f t="shared" si="1"/>
        <v>岸和田:豊通</v>
      </c>
      <c r="F3091" s="338" t="s">
        <v>154</v>
      </c>
      <c r="G3091" s="339" t="str">
        <f t="shared" si="2"/>
        <v>岸和田:豊通ＣＰ Ａ</v>
      </c>
      <c r="H3091" s="340">
        <f t="shared" si="3"/>
        <v>43.2</v>
      </c>
      <c r="I3091" s="341">
        <v>0.5</v>
      </c>
      <c r="J3091" s="332">
        <f>IFERROR(__xludf.DUMMYFUNCTION("IF(IF(COUNTIF(P$2:P3090, P3091)=0, """", INDEX(H$2:H3090,
MAX(FILTER(ROW(H$2:H3090) - ROW(H$2) + 1, P$2:P3090 = P3091))))=""単価"","""",
IF(COUNTIF(P$2:P3090, P3091)=0, """", INDEX(H$2:H3090,
MAX(FILTER(ROW(H$2:H3090) - ROW(H$2) + 1, P$2:P3090 = P3091)))))"),42.7)</f>
        <v>42.7</v>
      </c>
      <c r="N3091" s="335" t="str">
        <f>IF(MAXIFS('単価履歴'!$O:$O,'単価履歴'!$E:$E,E3091,'単価履歴'!$F:$F,F3091)=O3091,"●","")</f>
        <v/>
      </c>
      <c r="O3091" s="346">
        <v>45959.26966435185</v>
      </c>
      <c r="P3091" s="334" t="str">
        <f t="shared" si="4"/>
        <v>岸和田:豊通ＣＰ Ａ</v>
      </c>
    </row>
    <row r="3092" ht="15.75" customHeight="1">
      <c r="A3092" s="335" t="s">
        <v>4239</v>
      </c>
      <c r="B3092" s="336">
        <v>45959.0</v>
      </c>
      <c r="C3092" s="335" t="s">
        <v>7</v>
      </c>
      <c r="D3092" s="335" t="s">
        <v>49</v>
      </c>
      <c r="E3092" s="337" t="str">
        <f t="shared" si="1"/>
        <v>合同大阪:伊藤忠</v>
      </c>
      <c r="F3092" s="363" t="s">
        <v>111</v>
      </c>
      <c r="G3092" s="339" t="str">
        <f t="shared" si="2"/>
        <v>合同大阪:伊藤忠Ｈ１(特A)</v>
      </c>
      <c r="H3092" s="340">
        <f t="shared" si="3"/>
        <v>44.8</v>
      </c>
      <c r="I3092" s="341">
        <v>0.5</v>
      </c>
      <c r="J3092" s="332">
        <f>IFERROR(__xludf.DUMMYFUNCTION("IF(IF(COUNTIF(P$2:P3091, P3092)=0, """", INDEX(H$2:H3091,
MAX(FILTER(ROW(H$2:H3091) - ROW(H$2) + 1, P$2:P3091 = P3092))))=""単価"","""",
IF(COUNTIF(P$2:P3091, P3092)=0, """", INDEX(H$2:H3091,
MAX(FILTER(ROW(H$2:H3091) - ROW(H$2) + 1, P$2:P3091 = P3092)))))"),44.3)</f>
        <v>44.3</v>
      </c>
      <c r="N3092" s="335" t="str">
        <f>IF(MAXIFS('単価履歴'!$O:$O,'単価履歴'!$E:$E,E3092,'単価履歴'!$F:$F,F3092)=O3092,"●","")</f>
        <v/>
      </c>
      <c r="O3092" s="346">
        <v>45959.334074074075</v>
      </c>
      <c r="P3092" s="334" t="str">
        <f t="shared" si="4"/>
        <v>合同大阪:伊藤忠Ｈ１(特A)</v>
      </c>
    </row>
    <row r="3093" ht="15.75" customHeight="1">
      <c r="A3093" s="335" t="s">
        <v>4240</v>
      </c>
      <c r="B3093" s="336">
        <v>45959.0</v>
      </c>
      <c r="C3093" s="335" t="s">
        <v>12</v>
      </c>
      <c r="D3093" s="335" t="s">
        <v>53</v>
      </c>
      <c r="E3093" s="337" t="str">
        <f t="shared" si="1"/>
        <v>山陽特殊:MM</v>
      </c>
      <c r="F3093" s="338" t="s">
        <v>574</v>
      </c>
      <c r="G3093" s="339" t="str">
        <f t="shared" si="2"/>
        <v>山陽特殊:MM新断Ｃ</v>
      </c>
      <c r="H3093" s="340">
        <f t="shared" si="3"/>
        <v>44.7</v>
      </c>
      <c r="I3093" s="341">
        <v>1.0</v>
      </c>
      <c r="J3093" s="332">
        <f>IFERROR(__xludf.DUMMYFUNCTION("IF(IF(COUNTIF(P$2:P3092, P3093)=0, """", INDEX(H$2:H3092,
MAX(FILTER(ROW(H$2:H3092) - ROW(H$2) + 1, P$2:P3092 = P3093))))=""単価"","""",
IF(COUNTIF(P$2:P3092, P3093)=0, """", INDEX(H$2:H3092,
MAX(FILTER(ROW(H$2:H3092) - ROW(H$2) + 1, P$2:P3092 = P3093)))))"),43.699999999999996)</f>
        <v>43.7</v>
      </c>
      <c r="N3093" s="335" t="str">
        <f>IF(MAXIFS('単価履歴'!$O:$O,'単価履歴'!$E:$E,E3093,'単価履歴'!$F:$F,F3093)=O3093,"●","")</f>
        <v/>
      </c>
      <c r="O3093" s="346">
        <v>45959.49959490741</v>
      </c>
      <c r="P3093" s="334" t="str">
        <f t="shared" si="4"/>
        <v>山陽特殊:MM新断Ｃ</v>
      </c>
    </row>
    <row r="3094" ht="15.75" customHeight="1">
      <c r="A3094" s="335" t="s">
        <v>4241</v>
      </c>
      <c r="B3094" s="336">
        <v>45932.0</v>
      </c>
      <c r="C3094" s="335" t="s">
        <v>29</v>
      </c>
      <c r="D3094" s="335" t="s">
        <v>50</v>
      </c>
      <c r="E3094" s="337" t="str">
        <f t="shared" si="1"/>
        <v>南港:産振</v>
      </c>
      <c r="F3094" s="338" t="s">
        <v>130</v>
      </c>
      <c r="G3094" s="339" t="str">
        <f t="shared" si="2"/>
        <v>南港:産振新断Ａ</v>
      </c>
      <c r="H3094" s="340">
        <f t="shared" si="3"/>
        <v>44.7</v>
      </c>
      <c r="I3094" s="341">
        <v>-0.3</v>
      </c>
      <c r="J3094" s="332">
        <f>IFERROR(__xludf.DUMMYFUNCTION("IF(IF(COUNTIF(P$2:P3093, P3094)=0, """", INDEX(H$2:H3093,
MAX(FILTER(ROW(H$2:H3093) - ROW(H$2) + 1, P$2:P3093 = P3094))))=""単価"","""",
IF(COUNTIF(P$2:P3093, P3094)=0, """", INDEX(H$2:H3093,
MAX(FILTER(ROW(H$2:H3093) - ROW(H$2) + 1, P$2:P3093 = P3094)))))"),45.0)</f>
        <v>45</v>
      </c>
      <c r="N3094" s="335" t="str">
        <f>IF(MAXIFS('単価履歴'!$O:$O,'単価履歴'!$E:$E,E3094,'単価履歴'!$F:$F,F3094)=O3094,"●","")</f>
        <v/>
      </c>
      <c r="O3094" s="346">
        <v>45959.50052083333</v>
      </c>
      <c r="P3094" s="334" t="str">
        <f t="shared" si="4"/>
        <v>南港:産振新断Ａ</v>
      </c>
    </row>
    <row r="3095" ht="15.75" customHeight="1">
      <c r="A3095" s="335" t="s">
        <v>4242</v>
      </c>
      <c r="B3095" s="336">
        <v>45957.0</v>
      </c>
      <c r="C3095" s="335" t="s">
        <v>31</v>
      </c>
      <c r="D3095" s="335" t="s">
        <v>47</v>
      </c>
      <c r="E3095" s="337" t="str">
        <f t="shared" si="1"/>
        <v>泉北中谷:豊通</v>
      </c>
      <c r="F3095" s="338" t="s">
        <v>130</v>
      </c>
      <c r="G3095" s="339" t="str">
        <f t="shared" si="2"/>
        <v>泉北中谷:豊通新断Ａ</v>
      </c>
      <c r="H3095" s="340">
        <f t="shared" si="3"/>
        <v>45.8</v>
      </c>
      <c r="I3095" s="341">
        <v>45.8</v>
      </c>
      <c r="J3095" s="332" t="str">
        <f>IFERROR(__xludf.DUMMYFUNCTION("IF(IF(COUNTIF(P$2:P3094, P3095)=0, """", INDEX(H$2:H3094,
MAX(FILTER(ROW(H$2:H3094) - ROW(H$2) + 1, P$2:P3094 = P3095))))=""単価"","""",
IF(COUNTIF(P$2:P3094, P3095)=0, """", INDEX(H$2:H3094,
MAX(FILTER(ROW(H$2:H3094) - ROW(H$2) + 1, P$2:P3094 = P3095)))))"),"")</f>
        <v/>
      </c>
      <c r="N3095" s="335" t="str">
        <f>IF(MAXIFS('単価履歴'!$O:$O,'単価履歴'!$E:$E,E3095,'単価履歴'!$F:$F,F3095)=O3095,"●","")</f>
        <v/>
      </c>
      <c r="O3095" s="346">
        <v>45959.55478009259</v>
      </c>
      <c r="P3095" s="334" t="str">
        <f t="shared" si="4"/>
        <v>泉北中谷:豊通新断Ａ</v>
      </c>
    </row>
    <row r="3096" ht="15.75" customHeight="1">
      <c r="A3096" s="335" t="s">
        <v>4243</v>
      </c>
      <c r="B3096" s="336">
        <v>45952.0</v>
      </c>
      <c r="C3096" s="335" t="s">
        <v>534</v>
      </c>
      <c r="D3096" s="335" t="s">
        <v>46</v>
      </c>
      <c r="E3096" s="337" t="str">
        <f t="shared" si="1"/>
        <v>合同姫路:阪和</v>
      </c>
      <c r="F3096" s="338" t="s">
        <v>131</v>
      </c>
      <c r="G3096" s="339" t="str">
        <f t="shared" si="2"/>
        <v>合同姫路:阪和新断Ｂ</v>
      </c>
      <c r="H3096" s="340">
        <f t="shared" si="3"/>
        <v>47.8</v>
      </c>
      <c r="I3096" s="341">
        <v>47.8</v>
      </c>
      <c r="J3096" s="332" t="str">
        <f>IFERROR(__xludf.DUMMYFUNCTION("IF(IF(COUNTIF(P$2:P3095, P3096)=0, """", INDEX(H$2:H3095,
MAX(FILTER(ROW(H$2:H3095) - ROW(H$2) + 1, P$2:P3095 = P3096))))=""単価"","""",
IF(COUNTIF(P$2:P3095, P3096)=0, """", INDEX(H$2:H3095,
MAX(FILTER(ROW(H$2:H3095) - ROW(H$2) + 1, P$2:P3095 = P3096)))))"),"")</f>
        <v/>
      </c>
      <c r="N3096" s="335" t="str">
        <f>IF(MAXIFS('単価履歴'!$O:$O,'単価履歴'!$E:$E,E3096,'単価履歴'!$F:$F,F3096)=O3096,"●","")</f>
        <v/>
      </c>
      <c r="O3096" s="346">
        <v>45959.55856481481</v>
      </c>
      <c r="P3096" s="334" t="str">
        <f t="shared" si="4"/>
        <v>合同姫路:阪和新断Ｂ</v>
      </c>
    </row>
    <row r="3097" ht="15.75" customHeight="1">
      <c r="A3097" s="335" t="s">
        <v>4244</v>
      </c>
      <c r="B3097" s="336">
        <v>45961.0</v>
      </c>
      <c r="C3097" s="335" t="s">
        <v>531</v>
      </c>
      <c r="D3097" s="335" t="s">
        <v>77</v>
      </c>
      <c r="E3097" s="337" t="str">
        <f t="shared" si="1"/>
        <v>東鐵関西:直納</v>
      </c>
      <c r="F3097" s="338" t="s">
        <v>1199</v>
      </c>
      <c r="G3097" s="339" t="str">
        <f t="shared" si="2"/>
        <v>東鐵関西:直納ＨＳ１(単体H1/電特A/HS))</v>
      </c>
      <c r="H3097" s="340">
        <f t="shared" si="3"/>
        <v>45.5</v>
      </c>
      <c r="I3097" s="341">
        <v>1.0</v>
      </c>
      <c r="J3097" s="332">
        <f>IFERROR(__xludf.DUMMYFUNCTION("IF(IF(COUNTIF(P$2:P3096, P3097)=0, """", INDEX(H$2:H3096,
MAX(FILTER(ROW(H$2:H3096) - ROW(H$2) + 1, P$2:P3096 = P3097))))=""単価"","""",
IF(COUNTIF(P$2:P3096, P3097)=0, """", INDEX(H$2:H3096,
MAX(FILTER(ROW(H$2:H3096) - ROW(H$2) + 1, P$2:P3096 = P3097)))))"),44.5)</f>
        <v>44.5</v>
      </c>
      <c r="N3097" s="335" t="str">
        <f>IF(MAXIFS('単価履歴'!$O:$O,'単価履歴'!$E:$E,E3097,'単価履歴'!$F:$F,F3097)=O3097,"●","")</f>
        <v/>
      </c>
      <c r="O3097" s="346">
        <v>45962.27689814815</v>
      </c>
      <c r="P3097" s="334" t="str">
        <f t="shared" si="4"/>
        <v>東鐵関西:直納ＨＳ１(単体H1/電特A/HS))</v>
      </c>
    </row>
    <row r="3098" ht="15.75" customHeight="1">
      <c r="A3098" s="335" t="s">
        <v>4245</v>
      </c>
      <c r="B3098" s="336">
        <v>45961.0</v>
      </c>
      <c r="C3098" s="335" t="s">
        <v>531</v>
      </c>
      <c r="D3098" s="335" t="s">
        <v>77</v>
      </c>
      <c r="E3098" s="337" t="str">
        <f t="shared" si="1"/>
        <v>東鐵関西:直納</v>
      </c>
      <c r="F3098" s="338" t="s">
        <v>122</v>
      </c>
      <c r="G3098" s="339" t="str">
        <f t="shared" si="2"/>
        <v>東鐵関西:直納Ｌ１(2級)</v>
      </c>
      <c r="H3098" s="340">
        <f t="shared" si="3"/>
        <v>41</v>
      </c>
      <c r="I3098" s="341">
        <v>1.0</v>
      </c>
      <c r="J3098" s="332">
        <f>IFERROR(__xludf.DUMMYFUNCTION("IF(IF(COUNTIF(P$2:P3097, P3098)=0, """", INDEX(H$2:H3097,
MAX(FILTER(ROW(H$2:H3097) - ROW(H$2) + 1, P$2:P3097 = P3098))))=""単価"","""",
IF(COUNTIF(P$2:P3097, P3098)=0, """", INDEX(H$2:H3097,
MAX(FILTER(ROW(H$2:H3097) - ROW(H$2) + 1, P$2:P3097 = P3098)))))"),40.0)</f>
        <v>40</v>
      </c>
      <c r="N3098" s="335" t="str">
        <f>IF(MAXIFS('単価履歴'!$O:$O,'単価履歴'!$E:$E,E3098,'単価履歴'!$F:$F,F3098)=O3098,"●","")</f>
        <v/>
      </c>
      <c r="O3098" s="346">
        <v>45962.27689814815</v>
      </c>
      <c r="P3098" s="334" t="str">
        <f t="shared" si="4"/>
        <v>東鐵関西:直納Ｌ１(2級)</v>
      </c>
    </row>
    <row r="3099" ht="15.75" customHeight="1">
      <c r="A3099" s="335" t="s">
        <v>4246</v>
      </c>
      <c r="B3099" s="336">
        <v>45961.0</v>
      </c>
      <c r="C3099" s="335" t="s">
        <v>531</v>
      </c>
      <c r="D3099" s="335" t="s">
        <v>77</v>
      </c>
      <c r="E3099" s="337" t="str">
        <f t="shared" si="1"/>
        <v>東鐵関西:直納</v>
      </c>
      <c r="F3099" s="338" t="s">
        <v>111</v>
      </c>
      <c r="G3099" s="339" t="str">
        <f t="shared" si="2"/>
        <v>東鐵関西:直納Ｈ１(特A)</v>
      </c>
      <c r="H3099" s="340">
        <f t="shared" si="3"/>
        <v>45</v>
      </c>
      <c r="I3099" s="341">
        <v>1.0</v>
      </c>
      <c r="J3099" s="332">
        <f>IFERROR(__xludf.DUMMYFUNCTION("IF(IF(COUNTIF(P$2:P3098, P3099)=0, """", INDEX(H$2:H3098,
MAX(FILTER(ROW(H$2:H3098) - ROW(H$2) + 1, P$2:P3098 = P3099))))=""単価"","""",
IF(COUNTIF(P$2:P3098, P3099)=0, """", INDEX(H$2:H3098,
MAX(FILTER(ROW(H$2:H3098) - ROW(H$2) + 1, P$2:P3098 = P3099)))))"),44.0)</f>
        <v>44</v>
      </c>
      <c r="N3099" s="335" t="str">
        <f>IF(MAXIFS('単価履歴'!$O:$O,'単価履歴'!$E:$E,E3099,'単価履歴'!$F:$F,F3099)=O3099,"●","")</f>
        <v/>
      </c>
      <c r="O3099" s="346">
        <v>45962.27689814815</v>
      </c>
      <c r="P3099" s="334" t="str">
        <f t="shared" si="4"/>
        <v>東鐵関西:直納Ｈ１(特A)</v>
      </c>
    </row>
    <row r="3100" ht="15.75" customHeight="1">
      <c r="A3100" s="335" t="s">
        <v>4247</v>
      </c>
      <c r="B3100" s="336">
        <v>45961.0</v>
      </c>
      <c r="C3100" s="335" t="s">
        <v>531</v>
      </c>
      <c r="D3100" s="335" t="s">
        <v>77</v>
      </c>
      <c r="E3100" s="337" t="str">
        <f t="shared" si="1"/>
        <v>東鐵関西:直納</v>
      </c>
      <c r="F3100" s="338" t="s">
        <v>573</v>
      </c>
      <c r="G3100" s="339" t="str">
        <f t="shared" si="2"/>
        <v>東鐵関西:直納Ｌ２(H4･級外･L1ﾊﾞﾗ)</v>
      </c>
      <c r="H3100" s="340">
        <f t="shared" si="3"/>
        <v>38</v>
      </c>
      <c r="I3100" s="341">
        <v>1.0</v>
      </c>
      <c r="J3100" s="332">
        <f>IFERROR(__xludf.DUMMYFUNCTION("IF(IF(COUNTIF(P$2:P3099, P3100)=0, """", INDEX(H$2:H3099,
MAX(FILTER(ROW(H$2:H3099) - ROW(H$2) + 1, P$2:P3099 = P3100))))=""単価"","""",
IF(COUNTIF(P$2:P3099, P3100)=0, """", INDEX(H$2:H3099,
MAX(FILTER(ROW(H$2:H3099) - ROW(H$2) + 1, P$2:P3099 = P3100)))))"),37.0)</f>
        <v>37</v>
      </c>
      <c r="N3100" s="335" t="str">
        <f>IF(MAXIFS('単価履歴'!$O:$O,'単価履歴'!$E:$E,E3100,'単価履歴'!$F:$F,F3100)=O3100,"●","")</f>
        <v/>
      </c>
      <c r="O3100" s="346">
        <v>45962.27689814815</v>
      </c>
      <c r="P3100" s="334" t="str">
        <f t="shared" si="4"/>
        <v>東鐵関西:直納Ｌ２(H4･級外･L1ﾊﾞﾗ)</v>
      </c>
    </row>
    <row r="3101" ht="15.75" customHeight="1">
      <c r="A3101" s="335" t="s">
        <v>4248</v>
      </c>
      <c r="B3101" s="336">
        <v>45961.0</v>
      </c>
      <c r="C3101" s="335" t="s">
        <v>531</v>
      </c>
      <c r="D3101" s="335" t="s">
        <v>77</v>
      </c>
      <c r="E3101" s="337" t="str">
        <f t="shared" si="1"/>
        <v>東鐵関西:直納</v>
      </c>
      <c r="F3101" s="338" t="s">
        <v>116</v>
      </c>
      <c r="G3101" s="339" t="str">
        <f t="shared" si="2"/>
        <v>東鐵関西:直納Ｈ２(特級)</v>
      </c>
      <c r="H3101" s="340">
        <f t="shared" si="3"/>
        <v>43</v>
      </c>
      <c r="I3101" s="341">
        <v>1.0</v>
      </c>
      <c r="J3101" s="332">
        <f>IFERROR(__xludf.DUMMYFUNCTION("IF(IF(COUNTIF(P$2:P3100, P3101)=0, """", INDEX(H$2:H3100,
MAX(FILTER(ROW(H$2:H3100) - ROW(H$2) + 1, P$2:P3100 = P3101))))=""単価"","""",
IF(COUNTIF(P$2:P3100, P3101)=0, """", INDEX(H$2:H3100,
MAX(FILTER(ROW(H$2:H3100) - ROW(H$2) + 1, P$2:P3100 = P3101)))))"),42.0)</f>
        <v>42</v>
      </c>
      <c r="N3101" s="335" t="str">
        <f>IF(MAXIFS('単価履歴'!$O:$O,'単価履歴'!$E:$E,E3101,'単価履歴'!$F:$F,F3101)=O3101,"●","")</f>
        <v/>
      </c>
      <c r="O3101" s="346">
        <v>45962.27689814815</v>
      </c>
      <c r="P3101" s="334" t="str">
        <f t="shared" si="4"/>
        <v>東鐵関西:直納Ｈ２(特級)</v>
      </c>
    </row>
    <row r="3102" ht="15.75" customHeight="1">
      <c r="A3102" s="335" t="s">
        <v>4249</v>
      </c>
      <c r="B3102" s="336">
        <v>45961.0</v>
      </c>
      <c r="C3102" s="335" t="s">
        <v>531</v>
      </c>
      <c r="D3102" s="335" t="s">
        <v>77</v>
      </c>
      <c r="E3102" s="337" t="str">
        <f t="shared" si="1"/>
        <v>東鐵関西:直納</v>
      </c>
      <c r="F3102" s="338" t="s">
        <v>145</v>
      </c>
      <c r="G3102" s="339" t="str">
        <f t="shared" si="2"/>
        <v>東鐵関西:直納シュレＡ</v>
      </c>
      <c r="H3102" s="340">
        <f t="shared" si="3"/>
        <v>45</v>
      </c>
      <c r="I3102" s="341">
        <v>1.0</v>
      </c>
      <c r="J3102" s="332">
        <f>IFERROR(__xludf.DUMMYFUNCTION("IF(IF(COUNTIF(P$2:P3101, P3102)=0, """", INDEX(H$2:H3101,
MAX(FILTER(ROW(H$2:H3101) - ROW(H$2) + 1, P$2:P3101 = P3102))))=""単価"","""",
IF(COUNTIF(P$2:P3101, P3102)=0, """", INDEX(H$2:H3101,
MAX(FILTER(ROW(H$2:H3101) - ROW(H$2) + 1, P$2:P3101 = P3102)))))"),44.0)</f>
        <v>44</v>
      </c>
      <c r="N3102" s="335" t="str">
        <f>IF(MAXIFS('単価履歴'!$O:$O,'単価履歴'!$E:$E,E3102,'単価履歴'!$F:$F,F3102)=O3102,"●","")</f>
        <v/>
      </c>
      <c r="O3102" s="346">
        <v>45962.27689814815</v>
      </c>
      <c r="P3102" s="334" t="str">
        <f t="shared" si="4"/>
        <v>東鐵関西:直納シュレＡ</v>
      </c>
    </row>
    <row r="3103" ht="15.75" customHeight="1">
      <c r="A3103" s="335" t="s">
        <v>4250</v>
      </c>
      <c r="B3103" s="336">
        <v>45961.0</v>
      </c>
      <c r="C3103" s="335" t="s">
        <v>531</v>
      </c>
      <c r="D3103" s="335" t="s">
        <v>77</v>
      </c>
      <c r="E3103" s="337" t="str">
        <f t="shared" si="1"/>
        <v>東鐵関西:直納</v>
      </c>
      <c r="F3103" s="338" t="s">
        <v>119</v>
      </c>
      <c r="G3103" s="339" t="str">
        <f t="shared" si="2"/>
        <v>東鐵関西:直納Ｈ３(1級)</v>
      </c>
      <c r="H3103" s="340">
        <f t="shared" si="3"/>
        <v>43</v>
      </c>
      <c r="I3103" s="341">
        <v>1.0</v>
      </c>
      <c r="J3103" s="332">
        <f>IFERROR(__xludf.DUMMYFUNCTION("IF(IF(COUNTIF(P$2:P3102, P3103)=0, """", INDEX(H$2:H3102,
MAX(FILTER(ROW(H$2:H3102) - ROW(H$2) + 1, P$2:P3102 = P3103))))=""単価"","""",
IF(COUNTIF(P$2:P3102, P3103)=0, """", INDEX(H$2:H3102,
MAX(FILTER(ROW(H$2:H3102) - ROW(H$2) + 1, P$2:P3102 = P3103)))))"),42.0)</f>
        <v>42</v>
      </c>
      <c r="N3103" s="335" t="str">
        <f>IF(MAXIFS('単価履歴'!$O:$O,'単価履歴'!$E:$E,E3103,'単価履歴'!$F:$F,F3103)=O3103,"●","")</f>
        <v/>
      </c>
      <c r="O3103" s="346">
        <v>45962.27689814815</v>
      </c>
      <c r="P3103" s="334" t="str">
        <f t="shared" si="4"/>
        <v>東鐵関西:直納Ｈ３(1級)</v>
      </c>
    </row>
    <row r="3104" ht="15.75" customHeight="1">
      <c r="A3104" s="335" t="s">
        <v>4251</v>
      </c>
      <c r="B3104" s="336">
        <v>45961.0</v>
      </c>
      <c r="C3104" s="335" t="s">
        <v>531</v>
      </c>
      <c r="D3104" s="335" t="s">
        <v>77</v>
      </c>
      <c r="E3104" s="337" t="str">
        <f t="shared" si="1"/>
        <v>東鐵関西:直納</v>
      </c>
      <c r="F3104" s="338" t="s">
        <v>151</v>
      </c>
      <c r="G3104" s="339" t="str">
        <f t="shared" si="2"/>
        <v>東鐵関西:直納シュレＣ</v>
      </c>
      <c r="H3104" s="340">
        <f t="shared" si="3"/>
        <v>44</v>
      </c>
      <c r="I3104" s="341">
        <v>1.0</v>
      </c>
      <c r="J3104" s="332">
        <f>IFERROR(__xludf.DUMMYFUNCTION("IF(IF(COUNTIF(P$2:P3103, P3104)=0, """", INDEX(H$2:H3103,
MAX(FILTER(ROW(H$2:H3103) - ROW(H$2) + 1, P$2:P3103 = P3104))))=""単価"","""",
IF(COUNTIF(P$2:P3103, P3104)=0, """", INDEX(H$2:H3103,
MAX(FILTER(ROW(H$2:H3103) - ROW(H$2) + 1, P$2:P3103 = P3104)))))"),43.0)</f>
        <v>43</v>
      </c>
      <c r="N3104" s="335" t="str">
        <f>IF(MAXIFS('単価履歴'!$O:$O,'単価履歴'!$E:$E,E3104,'単価履歴'!$F:$F,F3104)=O3104,"●","")</f>
        <v/>
      </c>
      <c r="O3104" s="346">
        <v>45962.27689814815</v>
      </c>
      <c r="P3104" s="334" t="str">
        <f t="shared" si="4"/>
        <v>東鐵関西:直納シュレＣ</v>
      </c>
    </row>
    <row r="3105" ht="15.75" customHeight="1">
      <c r="A3105" s="335" t="s">
        <v>4252</v>
      </c>
      <c r="B3105" s="336">
        <v>45961.0</v>
      </c>
      <c r="C3105" s="335" t="s">
        <v>29</v>
      </c>
      <c r="D3105" s="335" t="s">
        <v>63</v>
      </c>
      <c r="E3105" s="337" t="str">
        <f t="shared" si="1"/>
        <v>南港:ﾅﾝｾｲ</v>
      </c>
      <c r="F3105" s="338" t="s">
        <v>116</v>
      </c>
      <c r="G3105" s="339" t="str">
        <f t="shared" si="2"/>
        <v>南港:ﾅﾝｾｲＨ２(特級)</v>
      </c>
      <c r="H3105" s="340">
        <f t="shared" si="3"/>
        <v>41</v>
      </c>
      <c r="I3105" s="341">
        <v>-0.5</v>
      </c>
      <c r="J3105" s="332">
        <f>IFERROR(__xludf.DUMMYFUNCTION("IF(IF(COUNTIF(P$2:P3104, P3105)=0, """", INDEX(H$2:H3104,
MAX(FILTER(ROW(H$2:H3104) - ROW(H$2) + 1, P$2:P3104 = P3105))))=""単価"","""",
IF(COUNTIF(P$2:P3104, P3105)=0, """", INDEX(H$2:H3104,
MAX(FILTER(ROW(H$2:H3104) - ROW(H$2) + 1, P$2:P3104 = P3105)))))"),41.5)</f>
        <v>41.5</v>
      </c>
      <c r="N3105" s="335" t="str">
        <f>IF(MAXIFS('単価履歴'!$O:$O,'単価履歴'!$E:$E,E3105,'単価履歴'!$F:$F,F3105)=O3105,"●","")</f>
        <v>●</v>
      </c>
      <c r="O3105" s="346">
        <v>45962.27984953704</v>
      </c>
      <c r="P3105" s="334" t="str">
        <f t="shared" si="4"/>
        <v>南港:ﾅﾝｾｲＨ２(特級)</v>
      </c>
    </row>
    <row r="3106" ht="15.75" customHeight="1">
      <c r="A3106" s="335" t="s">
        <v>4253</v>
      </c>
      <c r="B3106" s="336">
        <v>45961.0</v>
      </c>
      <c r="C3106" s="335" t="s">
        <v>29</v>
      </c>
      <c r="D3106" s="335" t="s">
        <v>63</v>
      </c>
      <c r="E3106" s="337" t="str">
        <f t="shared" si="1"/>
        <v>南港:ﾅﾝｾｲ</v>
      </c>
      <c r="F3106" s="338" t="s">
        <v>119</v>
      </c>
      <c r="G3106" s="339" t="str">
        <f t="shared" si="2"/>
        <v>南港:ﾅﾝｾｲＨ３(1級)</v>
      </c>
      <c r="H3106" s="340">
        <f t="shared" si="3"/>
        <v>40</v>
      </c>
      <c r="I3106" s="341">
        <v>-0.5</v>
      </c>
      <c r="J3106" s="332">
        <f>IFERROR(__xludf.DUMMYFUNCTION("IF(IF(COUNTIF(P$2:P3105, P3106)=0, """", INDEX(H$2:H3105,
MAX(FILTER(ROW(H$2:H3105) - ROW(H$2) + 1, P$2:P3105 = P3106))))=""単価"","""",
IF(COUNTIF(P$2:P3105, P3106)=0, """", INDEX(H$2:H3105,
MAX(FILTER(ROW(H$2:H3105) - ROW(H$2) + 1, P$2:P3105 = P3106)))))"),40.5)</f>
        <v>40.5</v>
      </c>
      <c r="N3106" s="335" t="str">
        <f>IF(MAXIFS('単価履歴'!$O:$O,'単価履歴'!$E:$E,E3106,'単価履歴'!$F:$F,F3106)=O3106,"●","")</f>
        <v>●</v>
      </c>
      <c r="O3106" s="346">
        <v>45962.27984953704</v>
      </c>
      <c r="P3106" s="334" t="str">
        <f t="shared" si="4"/>
        <v>南港:ﾅﾝｾｲＨ３(1級)</v>
      </c>
    </row>
    <row r="3107" ht="15.75" customHeight="1">
      <c r="A3107" s="335" t="s">
        <v>4254</v>
      </c>
      <c r="B3107" s="336">
        <v>45961.0</v>
      </c>
      <c r="C3107" s="335" t="s">
        <v>29</v>
      </c>
      <c r="D3107" s="335" t="s">
        <v>63</v>
      </c>
      <c r="E3107" s="337" t="str">
        <f t="shared" si="1"/>
        <v>南港:ﾅﾝｾｲ</v>
      </c>
      <c r="F3107" s="338" t="s">
        <v>111</v>
      </c>
      <c r="G3107" s="339" t="str">
        <f t="shared" si="2"/>
        <v>南港:ﾅﾝｾｲＨ１(特A)</v>
      </c>
      <c r="H3107" s="340">
        <f t="shared" si="3"/>
        <v>42</v>
      </c>
      <c r="I3107" s="341">
        <v>-0.5</v>
      </c>
      <c r="J3107" s="332">
        <f>IFERROR(__xludf.DUMMYFUNCTION("IF(IF(COUNTIF(P$2:P3106, P3107)=0, """", INDEX(H$2:H3106,
MAX(FILTER(ROW(H$2:H3106) - ROW(H$2) + 1, P$2:P3106 = P3107))))=""単価"","""",
IF(COUNTIF(P$2:P3106, P3107)=0, """", INDEX(H$2:H3106,
MAX(FILTER(ROW(H$2:H3106) - ROW(H$2) + 1, P$2:P3106 = P3107)))))"),42.5)</f>
        <v>42.5</v>
      </c>
      <c r="N3107" s="335" t="str">
        <f>IF(MAXIFS('単価履歴'!$O:$O,'単価履歴'!$E:$E,E3107,'単価履歴'!$F:$F,F3107)=O3107,"●","")</f>
        <v>●</v>
      </c>
      <c r="O3107" s="346">
        <v>45962.27984953704</v>
      </c>
      <c r="P3107" s="334" t="str">
        <f t="shared" si="4"/>
        <v>南港:ﾅﾝｾｲＨ１(特A)</v>
      </c>
    </row>
    <row r="3108" ht="15.75" customHeight="1">
      <c r="A3108" s="335" t="s">
        <v>4255</v>
      </c>
      <c r="B3108" s="336">
        <v>45961.0</v>
      </c>
      <c r="C3108" s="335" t="s">
        <v>29</v>
      </c>
      <c r="D3108" s="335" t="s">
        <v>63</v>
      </c>
      <c r="E3108" s="337" t="str">
        <f t="shared" si="1"/>
        <v>南港:ﾅﾝｾｲ</v>
      </c>
      <c r="F3108" s="338" t="s">
        <v>122</v>
      </c>
      <c r="G3108" s="339" t="str">
        <f t="shared" si="2"/>
        <v>南港:ﾅﾝｾｲＬ１(2級)</v>
      </c>
      <c r="H3108" s="340">
        <f t="shared" si="3"/>
        <v>39</v>
      </c>
      <c r="I3108" s="341">
        <v>-0.5</v>
      </c>
      <c r="J3108" s="332">
        <f>IFERROR(__xludf.DUMMYFUNCTION("IF(IF(COUNTIF(P$2:P3107, P3108)=0, """", INDEX(H$2:H3107,
MAX(FILTER(ROW(H$2:H3107) - ROW(H$2) + 1, P$2:P3107 = P3108))))=""単価"","""",
IF(COUNTIF(P$2:P3107, P3108)=0, """", INDEX(H$2:H3107,
MAX(FILTER(ROW(H$2:H3107) - ROW(H$2) + 1, P$2:P3107 = P3108)))))"),39.5)</f>
        <v>39.5</v>
      </c>
      <c r="N3108" s="335" t="str">
        <f>IF(MAXIFS('単価履歴'!$O:$O,'単価履歴'!$E:$E,E3108,'単価履歴'!$F:$F,F3108)=O3108,"●","")</f>
        <v>●</v>
      </c>
      <c r="O3108" s="346">
        <v>45962.27984953704</v>
      </c>
      <c r="P3108" s="334" t="str">
        <f t="shared" si="4"/>
        <v>南港:ﾅﾝｾｲＬ１(2級)</v>
      </c>
    </row>
    <row r="3109" ht="15.75" customHeight="1">
      <c r="A3109" s="335" t="s">
        <v>4256</v>
      </c>
      <c r="B3109" s="336">
        <v>45962.0</v>
      </c>
      <c r="C3109" s="335"/>
      <c r="D3109" s="335"/>
      <c r="E3109" s="337" t="str">
        <f t="shared" si="1"/>
        <v>:</v>
      </c>
      <c r="F3109" s="338"/>
      <c r="G3109" s="339" t="str">
        <f t="shared" si="2"/>
        <v>:</v>
      </c>
      <c r="H3109" s="340">
        <f t="shared" si="3"/>
        <v>0</v>
      </c>
      <c r="I3109" s="341"/>
      <c r="J3109" s="332">
        <f>IFERROR(__xludf.DUMMYFUNCTION("IF(IF(COUNTIF(P$2:P3108, P3109)=0, """", INDEX(H$2:H3108,
MAX(FILTER(ROW(H$2:H3108) - ROW(H$2) + 1, P$2:P3108 = P3109))))=""単価"","""",
IF(COUNTIF(P$2:P3108, P3109)=0, """", INDEX(H$2:H3108,
MAX(FILTER(ROW(H$2:H3108) - ROW(H$2) + 1, P$2:P3108 = P3109)))))"),0.0)</f>
        <v>0</v>
      </c>
      <c r="N3109" s="335" t="str">
        <f>IF(MAXIFS('単価履歴'!$O:$O,'単価履歴'!$E:$E,E3109,'単価履歴'!$F:$F,F3109)=O3109,"●","")</f>
        <v>●</v>
      </c>
      <c r="O3109" s="346"/>
      <c r="P3109" s="334" t="str">
        <f t="shared" si="4"/>
        <v>:</v>
      </c>
    </row>
    <row r="3110" ht="15.75" customHeight="1">
      <c r="A3110" s="335" t="s">
        <v>4257</v>
      </c>
      <c r="B3110" s="336">
        <v>45962.0</v>
      </c>
      <c r="C3110" s="335" t="s">
        <v>532</v>
      </c>
      <c r="D3110" s="335" t="s">
        <v>77</v>
      </c>
      <c r="E3110" s="337" t="str">
        <f t="shared" si="1"/>
        <v>東鐵岡山:直納</v>
      </c>
      <c r="F3110" s="338" t="s">
        <v>1199</v>
      </c>
      <c r="G3110" s="339" t="str">
        <f t="shared" si="2"/>
        <v>東鐵岡山:直納ＨＳ１(単体H1/電特A/HS))</v>
      </c>
      <c r="H3110" s="340">
        <f t="shared" si="3"/>
        <v>45.5</v>
      </c>
      <c r="I3110" s="341">
        <v>0.5</v>
      </c>
      <c r="J3110" s="332">
        <f>IFERROR(__xludf.DUMMYFUNCTION("IF(IF(COUNTIF(P$2:P3109, P3110)=0, """", INDEX(H$2:H3109,
MAX(FILTER(ROW(H$2:H3109) - ROW(H$2) + 1, P$2:P3109 = P3110))))=""単価"","""",
IF(COUNTIF(P$2:P3109, P3110)=0, """", INDEX(H$2:H3109,
MAX(FILTER(ROW(H$2:H3109) - ROW(H$2) + 1, P$2:P3109 = P3110)))))"),45.0)</f>
        <v>45</v>
      </c>
      <c r="N3110" s="335" t="str">
        <f>IF(MAXIFS('単価履歴'!$O:$O,'単価履歴'!$E:$E,E3110,'単価履歴'!$F:$F,F3110)=O3110,"●","")</f>
        <v/>
      </c>
      <c r="O3110" s="346">
        <v>45962.344409722224</v>
      </c>
      <c r="P3110" s="334" t="str">
        <f t="shared" si="4"/>
        <v>東鐵岡山:直納ＨＳ１(単体H1/電特A/HS))</v>
      </c>
    </row>
    <row r="3111" ht="15.75" customHeight="1">
      <c r="A3111" s="335" t="s">
        <v>4258</v>
      </c>
      <c r="B3111" s="336">
        <v>45962.0</v>
      </c>
      <c r="C3111" s="335" t="s">
        <v>532</v>
      </c>
      <c r="D3111" s="335" t="s">
        <v>77</v>
      </c>
      <c r="E3111" s="337" t="str">
        <f t="shared" si="1"/>
        <v>東鐵岡山:直納</v>
      </c>
      <c r="F3111" s="338" t="s">
        <v>111</v>
      </c>
      <c r="G3111" s="339" t="str">
        <f t="shared" si="2"/>
        <v>東鐵岡山:直納Ｈ１(特A)</v>
      </c>
      <c r="H3111" s="340">
        <f t="shared" si="3"/>
        <v>44.2</v>
      </c>
      <c r="I3111" s="341">
        <v>0.5</v>
      </c>
      <c r="J3111" s="332">
        <f>IFERROR(__xludf.DUMMYFUNCTION("IF(IF(COUNTIF(P$2:P3110, P3111)=0, """", INDEX(H$2:H3110,
MAX(FILTER(ROW(H$2:H3110) - ROW(H$2) + 1, P$2:P3110 = P3111))))=""単価"","""",
IF(COUNTIF(P$2:P3110, P3111)=0, """", INDEX(H$2:H3110,
MAX(FILTER(ROW(H$2:H3110) - ROW(H$2) + 1, P$2:P3110 = P3111)))))"),43.7)</f>
        <v>43.7</v>
      </c>
      <c r="N3111" s="335" t="str">
        <f>IF(MAXIFS('単価履歴'!$O:$O,'単価履歴'!$E:$E,E3111,'単価履歴'!$F:$F,F3111)=O3111,"●","")</f>
        <v/>
      </c>
      <c r="O3111" s="346">
        <v>45962.344409722224</v>
      </c>
      <c r="P3111" s="334" t="str">
        <f t="shared" si="4"/>
        <v>東鐵岡山:直納Ｈ１(特A)</v>
      </c>
    </row>
    <row r="3112" ht="15.75" customHeight="1">
      <c r="A3112" s="335" t="s">
        <v>4259</v>
      </c>
      <c r="B3112" s="336">
        <v>45962.0</v>
      </c>
      <c r="C3112" s="335" t="s">
        <v>532</v>
      </c>
      <c r="D3112" s="335" t="s">
        <v>77</v>
      </c>
      <c r="E3112" s="337" t="str">
        <f t="shared" si="1"/>
        <v>東鐵岡山:直納</v>
      </c>
      <c r="F3112" s="338" t="s">
        <v>116</v>
      </c>
      <c r="G3112" s="339" t="str">
        <f t="shared" si="2"/>
        <v>東鐵岡山:直納Ｈ２(特級)</v>
      </c>
      <c r="H3112" s="340">
        <f t="shared" si="3"/>
        <v>43.5</v>
      </c>
      <c r="I3112" s="341">
        <v>0.5</v>
      </c>
      <c r="J3112" s="332">
        <f>IFERROR(__xludf.DUMMYFUNCTION("IF(IF(COUNTIF(P$2:P3111, P3112)=0, """", INDEX(H$2:H3111,
MAX(FILTER(ROW(H$2:H3111) - ROW(H$2) + 1, P$2:P3111 = P3112))))=""単価"","""",
IF(COUNTIF(P$2:P3111, P3112)=0, """", INDEX(H$2:H3111,
MAX(FILTER(ROW(H$2:H3111) - ROW(H$2) + 1, P$2:P3111 = P3112)))))"),43.0)</f>
        <v>43</v>
      </c>
      <c r="N3112" s="335" t="str">
        <f>IF(MAXIFS('単価履歴'!$O:$O,'単価履歴'!$E:$E,E3112,'単価履歴'!$F:$F,F3112)=O3112,"●","")</f>
        <v/>
      </c>
      <c r="O3112" s="346">
        <v>45962.344409722224</v>
      </c>
      <c r="P3112" s="334" t="str">
        <f t="shared" si="4"/>
        <v>東鐵岡山:直納Ｈ２(特級)</v>
      </c>
    </row>
    <row r="3113" ht="15.75" customHeight="1">
      <c r="A3113" s="335" t="s">
        <v>4260</v>
      </c>
      <c r="B3113" s="336">
        <v>45962.0</v>
      </c>
      <c r="C3113" s="335" t="s">
        <v>532</v>
      </c>
      <c r="D3113" s="335" t="s">
        <v>77</v>
      </c>
      <c r="E3113" s="337" t="str">
        <f t="shared" si="1"/>
        <v>東鐵岡山:直納</v>
      </c>
      <c r="F3113" s="338" t="s">
        <v>119</v>
      </c>
      <c r="G3113" s="339" t="str">
        <f t="shared" si="2"/>
        <v>東鐵岡山:直納Ｈ３(1級)</v>
      </c>
      <c r="H3113" s="340">
        <f t="shared" si="3"/>
        <v>43</v>
      </c>
      <c r="I3113" s="341">
        <v>0.5</v>
      </c>
      <c r="J3113" s="332">
        <f>IFERROR(__xludf.DUMMYFUNCTION("IF(IF(COUNTIF(P$2:P3112, P3113)=0, """", INDEX(H$2:H3112,
MAX(FILTER(ROW(H$2:H3112) - ROW(H$2) + 1, P$2:P3112 = P3113))))=""単価"","""",
IF(COUNTIF(P$2:P3112, P3113)=0, """", INDEX(H$2:H3112,
MAX(FILTER(ROW(H$2:H3112) - ROW(H$2) + 1, P$2:P3112 = P3113)))))"),42.5)</f>
        <v>42.5</v>
      </c>
      <c r="N3113" s="335" t="str">
        <f>IF(MAXIFS('単価履歴'!$O:$O,'単価履歴'!$E:$E,E3113,'単価履歴'!$F:$F,F3113)=O3113,"●","")</f>
        <v/>
      </c>
      <c r="O3113" s="346">
        <v>45962.344409722224</v>
      </c>
      <c r="P3113" s="334" t="str">
        <f t="shared" si="4"/>
        <v>東鐵岡山:直納Ｈ３(1級)</v>
      </c>
    </row>
    <row r="3114" ht="15.75" customHeight="1">
      <c r="A3114" s="335" t="s">
        <v>4261</v>
      </c>
      <c r="B3114" s="336">
        <v>45962.0</v>
      </c>
      <c r="C3114" s="335" t="s">
        <v>532</v>
      </c>
      <c r="D3114" s="335" t="s">
        <v>77</v>
      </c>
      <c r="E3114" s="337" t="str">
        <f t="shared" si="1"/>
        <v>東鐵岡山:直納</v>
      </c>
      <c r="F3114" s="338" t="s">
        <v>122</v>
      </c>
      <c r="G3114" s="339" t="str">
        <f t="shared" si="2"/>
        <v>東鐵岡山:直納Ｌ１(2級)</v>
      </c>
      <c r="H3114" s="340">
        <f t="shared" si="3"/>
        <v>41.5</v>
      </c>
      <c r="I3114" s="341">
        <v>0.5</v>
      </c>
      <c r="J3114" s="332">
        <f>IFERROR(__xludf.DUMMYFUNCTION("IF(IF(COUNTIF(P$2:P3113, P3114)=0, """", INDEX(H$2:H3113,
MAX(FILTER(ROW(H$2:H3113) - ROW(H$2) + 1, P$2:P3113 = P3114))))=""単価"","""",
IF(COUNTIF(P$2:P3113, P3114)=0, """", INDEX(H$2:H3113,
MAX(FILTER(ROW(H$2:H3113) - ROW(H$2) + 1, P$2:P3113 = P3114)))))"),41.0)</f>
        <v>41</v>
      </c>
      <c r="N3114" s="335" t="str">
        <f>IF(MAXIFS('単価履歴'!$O:$O,'単価履歴'!$E:$E,E3114,'単価履歴'!$F:$F,F3114)=O3114,"●","")</f>
        <v/>
      </c>
      <c r="O3114" s="346">
        <v>45962.344409722224</v>
      </c>
      <c r="P3114" s="334" t="str">
        <f t="shared" si="4"/>
        <v>東鐵岡山:直納Ｌ１(2級)</v>
      </c>
    </row>
    <row r="3115" ht="15.75" customHeight="1">
      <c r="A3115" s="335" t="s">
        <v>4262</v>
      </c>
      <c r="B3115" s="336">
        <v>45962.0</v>
      </c>
      <c r="C3115" s="335" t="s">
        <v>532</v>
      </c>
      <c r="D3115" s="335" t="s">
        <v>77</v>
      </c>
      <c r="E3115" s="337" t="str">
        <f t="shared" si="1"/>
        <v>東鐵岡山:直納</v>
      </c>
      <c r="F3115" s="338" t="s">
        <v>573</v>
      </c>
      <c r="G3115" s="339" t="str">
        <f t="shared" si="2"/>
        <v>東鐵岡山:直納Ｌ２(H4･級外･L1ﾊﾞﾗ)</v>
      </c>
      <c r="H3115" s="340">
        <f t="shared" si="3"/>
        <v>38.5</v>
      </c>
      <c r="I3115" s="341">
        <v>0.5</v>
      </c>
      <c r="J3115" s="332">
        <f>IFERROR(__xludf.DUMMYFUNCTION("IF(IF(COUNTIF(P$2:P3114, P3115)=0, """", INDEX(H$2:H3114,
MAX(FILTER(ROW(H$2:H3114) - ROW(H$2) + 1, P$2:P3114 = P3115))))=""単価"","""",
IF(COUNTIF(P$2:P3114, P3115)=0, """", INDEX(H$2:H3114,
MAX(FILTER(ROW(H$2:H3114) - ROW(H$2) + 1, P$2:P3114 = P3115)))))"),38.0)</f>
        <v>38</v>
      </c>
      <c r="N3115" s="335" t="str">
        <f>IF(MAXIFS('単価履歴'!$O:$O,'単価履歴'!$E:$E,E3115,'単価履歴'!$F:$F,F3115)=O3115,"●","")</f>
        <v/>
      </c>
      <c r="O3115" s="346">
        <v>45962.344409722224</v>
      </c>
      <c r="P3115" s="334" t="str">
        <f t="shared" si="4"/>
        <v>東鐵岡山:直納Ｌ２(H4･級外･L1ﾊﾞﾗ)</v>
      </c>
    </row>
    <row r="3116" ht="15.75" customHeight="1">
      <c r="A3116" s="335" t="s">
        <v>4263</v>
      </c>
      <c r="B3116" s="336">
        <v>45962.0</v>
      </c>
      <c r="C3116" s="335" t="s">
        <v>532</v>
      </c>
      <c r="D3116" s="335" t="s">
        <v>77</v>
      </c>
      <c r="E3116" s="337" t="str">
        <f t="shared" si="1"/>
        <v>東鐵岡山:直納</v>
      </c>
      <c r="F3116" s="338" t="s">
        <v>145</v>
      </c>
      <c r="G3116" s="339" t="str">
        <f t="shared" si="2"/>
        <v>東鐵岡山:直納シュレＡ</v>
      </c>
      <c r="H3116" s="340">
        <f t="shared" si="3"/>
        <v>44</v>
      </c>
      <c r="I3116" s="341">
        <v>0.5</v>
      </c>
      <c r="J3116" s="332">
        <f>IFERROR(__xludf.DUMMYFUNCTION("IF(IF(COUNTIF(P$2:P3115, P3116)=0, """", INDEX(H$2:H3115,
MAX(FILTER(ROW(H$2:H3115) - ROW(H$2) + 1, P$2:P3115 = P3116))))=""単価"","""",
IF(COUNTIF(P$2:P3115, P3116)=0, """", INDEX(H$2:H3115,
MAX(FILTER(ROW(H$2:H3115) - ROW(H$2) + 1, P$2:P3115 = P3116)))))"),43.5)</f>
        <v>43.5</v>
      </c>
      <c r="N3116" s="335" t="str">
        <f>IF(MAXIFS('単価履歴'!$O:$O,'単価履歴'!$E:$E,E3116,'単価履歴'!$F:$F,F3116)=O3116,"●","")</f>
        <v/>
      </c>
      <c r="O3116" s="346">
        <v>45962.344409722224</v>
      </c>
      <c r="P3116" s="334" t="str">
        <f t="shared" si="4"/>
        <v>東鐵岡山:直納シュレＡ</v>
      </c>
    </row>
    <row r="3117" ht="15.75" customHeight="1">
      <c r="A3117" s="335" t="s">
        <v>4264</v>
      </c>
      <c r="B3117" s="336">
        <v>45962.0</v>
      </c>
      <c r="C3117" s="335" t="s">
        <v>532</v>
      </c>
      <c r="D3117" s="335" t="s">
        <v>77</v>
      </c>
      <c r="E3117" s="337" t="str">
        <f t="shared" si="1"/>
        <v>東鐵岡山:直納</v>
      </c>
      <c r="F3117" s="338" t="s">
        <v>151</v>
      </c>
      <c r="G3117" s="339" t="str">
        <f t="shared" si="2"/>
        <v>東鐵岡山:直納シュレＣ</v>
      </c>
      <c r="H3117" s="340">
        <f t="shared" si="3"/>
        <v>43.5</v>
      </c>
      <c r="I3117" s="341">
        <v>0.5</v>
      </c>
      <c r="J3117" s="332">
        <f>IFERROR(__xludf.DUMMYFUNCTION("IF(IF(COUNTIF(P$2:P3116, P3117)=0, """", INDEX(H$2:H3116,
MAX(FILTER(ROW(H$2:H3116) - ROW(H$2) + 1, P$2:P3116 = P3117))))=""単価"","""",
IF(COUNTIF(P$2:P3116, P3117)=0, """", INDEX(H$2:H3116,
MAX(FILTER(ROW(H$2:H3116) - ROW(H$2) + 1, P$2:P3116 = P3117)))))"),43.0)</f>
        <v>43</v>
      </c>
      <c r="N3117" s="335" t="str">
        <f>IF(MAXIFS('単価履歴'!$O:$O,'単価履歴'!$E:$E,E3117,'単価履歴'!$F:$F,F3117)=O3117,"●","")</f>
        <v/>
      </c>
      <c r="O3117" s="346">
        <v>45962.344409722224</v>
      </c>
      <c r="P3117" s="334" t="str">
        <f t="shared" si="4"/>
        <v>東鐵岡山:直納シュレＣ</v>
      </c>
    </row>
    <row r="3118" ht="15.75" customHeight="1">
      <c r="A3118" s="335" t="s">
        <v>4265</v>
      </c>
      <c r="B3118" s="336">
        <v>45962.0</v>
      </c>
      <c r="C3118" s="335" t="s">
        <v>532</v>
      </c>
      <c r="D3118" s="335" t="s">
        <v>77</v>
      </c>
      <c r="E3118" s="337" t="str">
        <f t="shared" si="1"/>
        <v>東鐵岡山:直納</v>
      </c>
      <c r="F3118" s="338" t="s">
        <v>130</v>
      </c>
      <c r="G3118" s="339" t="str">
        <f t="shared" si="2"/>
        <v>東鐵岡山:直納新断Ａ</v>
      </c>
      <c r="H3118" s="340">
        <f t="shared" si="3"/>
        <v>44.5</v>
      </c>
      <c r="I3118" s="341">
        <v>0.5</v>
      </c>
      <c r="J3118" s="332">
        <f>IFERROR(__xludf.DUMMYFUNCTION("IF(IF(COUNTIF(P$2:P3117, P3118)=0, """", INDEX(H$2:H3117,
MAX(FILTER(ROW(H$2:H3117) - ROW(H$2) + 1, P$2:P3117 = P3118))))=""単価"","""",
IF(COUNTIF(P$2:P3117, P3118)=0, """", INDEX(H$2:H3117,
MAX(FILTER(ROW(H$2:H3117) - ROW(H$2) + 1, P$2:P3117 = P3118)))))"),44.0)</f>
        <v>44</v>
      </c>
      <c r="N3118" s="335" t="str">
        <f>IF(MAXIFS('単価履歴'!$O:$O,'単価履歴'!$E:$E,E3118,'単価履歴'!$F:$F,F3118)=O3118,"●","")</f>
        <v/>
      </c>
      <c r="O3118" s="346">
        <v>45962.344409722224</v>
      </c>
      <c r="P3118" s="334" t="str">
        <f t="shared" si="4"/>
        <v>東鐵岡山:直納新断Ａ</v>
      </c>
    </row>
    <row r="3119" ht="15.75" customHeight="1">
      <c r="A3119" s="335" t="s">
        <v>4266</v>
      </c>
      <c r="B3119" s="336">
        <v>45962.0</v>
      </c>
      <c r="C3119" s="335" t="s">
        <v>532</v>
      </c>
      <c r="D3119" s="335" t="s">
        <v>77</v>
      </c>
      <c r="E3119" s="337" t="str">
        <f t="shared" si="1"/>
        <v>東鐵岡山:直納</v>
      </c>
      <c r="F3119" s="338" t="s">
        <v>131</v>
      </c>
      <c r="G3119" s="339" t="str">
        <f t="shared" si="2"/>
        <v>東鐵岡山:直納新断Ｂ</v>
      </c>
      <c r="H3119" s="340">
        <f t="shared" si="3"/>
        <v>44.5</v>
      </c>
      <c r="I3119" s="341">
        <v>0.5</v>
      </c>
      <c r="J3119" s="332">
        <f>IFERROR(__xludf.DUMMYFUNCTION("IF(IF(COUNTIF(P$2:P3118, P3119)=0, """", INDEX(H$2:H3118,
MAX(FILTER(ROW(H$2:H3118) - ROW(H$2) + 1, P$2:P3118 = P3119))))=""単価"","""",
IF(COUNTIF(P$2:P3118, P3119)=0, """", INDEX(H$2:H3118,
MAX(FILTER(ROW(H$2:H3118) - ROW(H$2) + 1, P$2:P3118 = P3119)))))"),44.0)</f>
        <v>44</v>
      </c>
      <c r="N3119" s="335" t="str">
        <f>IF(MAXIFS('単価履歴'!$O:$O,'単価履歴'!$E:$E,E3119,'単価履歴'!$F:$F,F3119)=O3119,"●","")</f>
        <v/>
      </c>
      <c r="O3119" s="346">
        <v>45962.344409722224</v>
      </c>
      <c r="P3119" s="334" t="str">
        <f t="shared" si="4"/>
        <v>東鐵岡山:直納新断Ｂ</v>
      </c>
    </row>
    <row r="3120" ht="15.75" customHeight="1">
      <c r="A3120" s="335" t="s">
        <v>4267</v>
      </c>
      <c r="B3120" s="336">
        <v>45962.0</v>
      </c>
      <c r="C3120" s="335" t="s">
        <v>532</v>
      </c>
      <c r="D3120" s="335" t="s">
        <v>77</v>
      </c>
      <c r="E3120" s="337" t="str">
        <f t="shared" si="1"/>
        <v>東鐵岡山:直納</v>
      </c>
      <c r="F3120" s="338" t="s">
        <v>575</v>
      </c>
      <c r="G3120" s="339" t="str">
        <f t="shared" si="2"/>
        <v>東鐵岡山:直納鋼ダライＡ</v>
      </c>
      <c r="H3120" s="340">
        <f t="shared" si="3"/>
        <v>39.5</v>
      </c>
      <c r="I3120" s="341">
        <v>0.5</v>
      </c>
      <c r="J3120" s="332">
        <f>IFERROR(__xludf.DUMMYFUNCTION("IF(IF(COUNTIF(P$2:P3119, P3120)=0, """", INDEX(H$2:H3119,
MAX(FILTER(ROW(H$2:H3119) - ROW(H$2) + 1, P$2:P3119 = P3120))))=""単価"","""",
IF(COUNTIF(P$2:P3119, P3120)=0, """", INDEX(H$2:H3119,
MAX(FILTER(ROW(H$2:H3119) - ROW(H$2) + 1, P$2:P3119 = P3120)))))"),39.0)</f>
        <v>39</v>
      </c>
      <c r="N3120" s="335" t="str">
        <f>IF(MAXIFS('単価履歴'!$O:$O,'単価履歴'!$E:$E,E3120,'単価履歴'!$F:$F,F3120)=O3120,"●","")</f>
        <v/>
      </c>
      <c r="O3120" s="346">
        <v>45962.344409722224</v>
      </c>
      <c r="P3120" s="334" t="str">
        <f t="shared" si="4"/>
        <v>東鐵岡山:直納鋼ダライＡ</v>
      </c>
    </row>
    <row r="3121" ht="15.75" customHeight="1">
      <c r="A3121" s="335" t="s">
        <v>4268</v>
      </c>
      <c r="B3121" s="336">
        <v>45962.0</v>
      </c>
      <c r="C3121" s="335" t="s">
        <v>532</v>
      </c>
      <c r="D3121" s="335" t="s">
        <v>77</v>
      </c>
      <c r="E3121" s="337" t="str">
        <f t="shared" si="1"/>
        <v>東鐵岡山:直納</v>
      </c>
      <c r="F3121" s="338" t="s">
        <v>25</v>
      </c>
      <c r="G3121" s="339" t="str">
        <f t="shared" si="2"/>
        <v>東鐵岡山:直納銑ダライ</v>
      </c>
      <c r="H3121" s="340">
        <f t="shared" si="3"/>
        <v>36</v>
      </c>
      <c r="I3121" s="341">
        <v>0.5</v>
      </c>
      <c r="J3121" s="332">
        <f>IFERROR(__xludf.DUMMYFUNCTION("IF(IF(COUNTIF(P$2:P3120, P3121)=0, """", INDEX(H$2:H3120,
MAX(FILTER(ROW(H$2:H3120) - ROW(H$2) + 1, P$2:P3120 = P3121))))=""単価"","""",
IF(COUNTIF(P$2:P3120, P3121)=0, """", INDEX(H$2:H3120,
MAX(FILTER(ROW(H$2:H3120) - ROW(H$2) + 1, P$2:P3120 = P3121)))))"),35.5)</f>
        <v>35.5</v>
      </c>
      <c r="N3121" s="335" t="str">
        <f>IF(MAXIFS('単価履歴'!$O:$O,'単価履歴'!$E:$E,E3121,'単価履歴'!$F:$F,F3121)=O3121,"●","")</f>
        <v/>
      </c>
      <c r="O3121" s="346">
        <v>45962.344409722224</v>
      </c>
      <c r="P3121" s="334" t="str">
        <f t="shared" si="4"/>
        <v>東鐵岡山:直納銑ダライ</v>
      </c>
    </row>
    <row r="3122" ht="15.75" customHeight="1">
      <c r="A3122" s="335" t="s">
        <v>4269</v>
      </c>
      <c r="B3122" s="336">
        <v>45962.0</v>
      </c>
      <c r="C3122" s="335" t="s">
        <v>532</v>
      </c>
      <c r="D3122" s="335" t="s">
        <v>77</v>
      </c>
      <c r="E3122" s="337" t="str">
        <f t="shared" si="1"/>
        <v>東鐵岡山:直納</v>
      </c>
      <c r="F3122" s="338" t="s">
        <v>154</v>
      </c>
      <c r="G3122" s="339" t="str">
        <f t="shared" si="2"/>
        <v>東鐵岡山:直納ＣＰ Ａ</v>
      </c>
      <c r="H3122" s="340">
        <f t="shared" si="3"/>
        <v>42</v>
      </c>
      <c r="I3122" s="341">
        <v>0.5</v>
      </c>
      <c r="J3122" s="332">
        <f>IFERROR(__xludf.DUMMYFUNCTION("IF(IF(COUNTIF(P$2:P3121, P3122)=0, """", INDEX(H$2:H3121,
MAX(FILTER(ROW(H$2:H3121) - ROW(H$2) + 1, P$2:P3121 = P3122))))=""単価"","""",
IF(COUNTIF(P$2:P3121, P3122)=0, """", INDEX(H$2:H3121,
MAX(FILTER(ROW(H$2:H3121) - ROW(H$2) + 1, P$2:P3121 = P3122)))))"),41.5)</f>
        <v>41.5</v>
      </c>
      <c r="N3122" s="335" t="str">
        <f>IF(MAXIFS('単価履歴'!$O:$O,'単価履歴'!$E:$E,E3122,'単価履歴'!$F:$F,F3122)=O3122,"●","")</f>
        <v/>
      </c>
      <c r="O3122" s="346">
        <v>45962.344409722224</v>
      </c>
      <c r="P3122" s="334" t="str">
        <f t="shared" si="4"/>
        <v>東鐵岡山:直納ＣＰ Ａ</v>
      </c>
    </row>
    <row r="3123" ht="15.75" customHeight="1">
      <c r="A3123" s="335" t="s">
        <v>4270</v>
      </c>
      <c r="B3123" s="336">
        <v>45962.0</v>
      </c>
      <c r="C3123" s="335" t="s">
        <v>6</v>
      </c>
      <c r="D3123" s="335" t="s">
        <v>48</v>
      </c>
      <c r="E3123" s="337" t="str">
        <f t="shared" si="1"/>
        <v>中山鋼業:ナベ</v>
      </c>
      <c r="F3123" s="338" t="s">
        <v>111</v>
      </c>
      <c r="G3123" s="339" t="str">
        <f t="shared" si="2"/>
        <v>中山鋼業:ナベＨ１(特A)</v>
      </c>
      <c r="H3123" s="340">
        <f t="shared" si="3"/>
        <v>45</v>
      </c>
      <c r="I3123" s="341">
        <v>0.5</v>
      </c>
      <c r="J3123" s="332">
        <f>IFERROR(__xludf.DUMMYFUNCTION("IF(IF(COUNTIF(P$2:P3122, P3123)=0, """", INDEX(H$2:H3122,
MAX(FILTER(ROW(H$2:H3122) - ROW(H$2) + 1, P$2:P3122 = P3123))))=""単価"","""",
IF(COUNTIF(P$2:P3122, P3123)=0, """", INDEX(H$2:H3122,
MAX(FILTER(ROW(H$2:H3122) - ROW(H$2) + 1, P$2:P3122 = P3123)))))"),44.5)</f>
        <v>44.5</v>
      </c>
      <c r="N3123" s="335" t="str">
        <f>IF(MAXIFS('単価履歴'!$O:$O,'単価履歴'!$E:$E,E3123,'単価履歴'!$F:$F,F3123)=O3123,"●","")</f>
        <v/>
      </c>
      <c r="O3123" s="346">
        <v>45962.344768518524</v>
      </c>
      <c r="P3123" s="334" t="str">
        <f t="shared" si="4"/>
        <v>中山鋼業:ナベＨ１(特A)</v>
      </c>
    </row>
    <row r="3124" ht="15.75" customHeight="1">
      <c r="A3124" s="335" t="s">
        <v>4271</v>
      </c>
      <c r="B3124" s="336">
        <v>45962.0</v>
      </c>
      <c r="C3124" s="335" t="s">
        <v>6</v>
      </c>
      <c r="D3124" s="335" t="s">
        <v>48</v>
      </c>
      <c r="E3124" s="337" t="str">
        <f t="shared" si="1"/>
        <v>中山鋼業:ナベ</v>
      </c>
      <c r="F3124" s="338" t="s">
        <v>1237</v>
      </c>
      <c r="G3124" s="339" t="str">
        <f t="shared" si="2"/>
        <v>中山鋼業:ナベＪＨ１(H2T山口)鍛造ﾊﾞﾘ</v>
      </c>
      <c r="H3124" s="340">
        <f t="shared" si="3"/>
        <v>44.2</v>
      </c>
      <c r="I3124" s="341">
        <v>0.5</v>
      </c>
      <c r="J3124" s="332">
        <f>IFERROR(__xludf.DUMMYFUNCTION("IF(IF(COUNTIF(P$2:P3123, P3124)=0, """", INDEX(H$2:H3123,
MAX(FILTER(ROW(H$2:H3123) - ROW(H$2) + 1, P$2:P3123 = P3124))))=""単価"","""",
IF(COUNTIF(P$2:P3123, P3124)=0, """", INDEX(H$2:H3123,
MAX(FILTER(ROW(H$2:H3123) - ROW(H$2) + 1, P$2:P3123 = P3124)))))"),43.7)</f>
        <v>43.7</v>
      </c>
      <c r="N3124" s="335" t="str">
        <f>IF(MAXIFS('単価履歴'!$O:$O,'単価履歴'!$E:$E,E3124,'単価履歴'!$F:$F,F3124)=O3124,"●","")</f>
        <v/>
      </c>
      <c r="O3124" s="346">
        <v>45962.344768518524</v>
      </c>
      <c r="P3124" s="334" t="str">
        <f t="shared" si="4"/>
        <v>中山鋼業:ナベＪＨ１(H2T山口)鍛造ﾊﾞﾘ</v>
      </c>
    </row>
    <row r="3125" ht="15.75" customHeight="1">
      <c r="A3125" s="335" t="s">
        <v>4272</v>
      </c>
      <c r="B3125" s="336">
        <v>45962.0</v>
      </c>
      <c r="C3125" s="335" t="s">
        <v>6</v>
      </c>
      <c r="D3125" s="335" t="s">
        <v>48</v>
      </c>
      <c r="E3125" s="337" t="str">
        <f t="shared" si="1"/>
        <v>中山鋼業:ナベ</v>
      </c>
      <c r="F3125" s="338" t="s">
        <v>116</v>
      </c>
      <c r="G3125" s="339" t="str">
        <f t="shared" si="2"/>
        <v>中山鋼業:ナベＨ２(特級)</v>
      </c>
      <c r="H3125" s="340">
        <f t="shared" si="3"/>
        <v>43</v>
      </c>
      <c r="I3125" s="341">
        <v>0.5</v>
      </c>
      <c r="J3125" s="332">
        <f>IFERROR(__xludf.DUMMYFUNCTION("IF(IF(COUNTIF(P$2:P3124, P3125)=0, """", INDEX(H$2:H3124,
MAX(FILTER(ROW(H$2:H3124) - ROW(H$2) + 1, P$2:P3124 = P3125))))=""単価"","""",
IF(COUNTIF(P$2:P3124, P3125)=0, """", INDEX(H$2:H3124,
MAX(FILTER(ROW(H$2:H3124) - ROW(H$2) + 1, P$2:P3124 = P3125)))))"),42.5)</f>
        <v>42.5</v>
      </c>
      <c r="N3125" s="335" t="str">
        <f>IF(MAXIFS('単価履歴'!$O:$O,'単価履歴'!$E:$E,E3125,'単価履歴'!$F:$F,F3125)=O3125,"●","")</f>
        <v/>
      </c>
      <c r="O3125" s="346">
        <v>45962.344768518524</v>
      </c>
      <c r="P3125" s="334" t="str">
        <f t="shared" si="4"/>
        <v>中山鋼業:ナベＨ２(特級)</v>
      </c>
    </row>
    <row r="3126" ht="15.75" customHeight="1">
      <c r="A3126" s="335" t="s">
        <v>4273</v>
      </c>
      <c r="B3126" s="336">
        <v>45962.0</v>
      </c>
      <c r="C3126" s="335" t="s">
        <v>6</v>
      </c>
      <c r="D3126" s="335" t="s">
        <v>48</v>
      </c>
      <c r="E3126" s="337" t="str">
        <f t="shared" si="1"/>
        <v>中山鋼業:ナベ</v>
      </c>
      <c r="F3126" s="338" t="s">
        <v>119</v>
      </c>
      <c r="G3126" s="339" t="str">
        <f t="shared" si="2"/>
        <v>中山鋼業:ナベＨ３(1級)</v>
      </c>
      <c r="H3126" s="340">
        <f t="shared" si="3"/>
        <v>41.5</v>
      </c>
      <c r="I3126" s="341">
        <v>0.5</v>
      </c>
      <c r="J3126" s="332">
        <f>IFERROR(__xludf.DUMMYFUNCTION("IF(IF(COUNTIF(P$2:P3125, P3126)=0, """", INDEX(H$2:H3125,
MAX(FILTER(ROW(H$2:H3125) - ROW(H$2) + 1, P$2:P3125 = P3126))))=""単価"","""",
IF(COUNTIF(P$2:P3125, P3126)=0, """", INDEX(H$2:H3125,
MAX(FILTER(ROW(H$2:H3125) - ROW(H$2) + 1, P$2:P3125 = P3126)))))"),41.0)</f>
        <v>41</v>
      </c>
      <c r="N3126" s="335" t="str">
        <f>IF(MAXIFS('単価履歴'!$O:$O,'単価履歴'!$E:$E,E3126,'単価履歴'!$F:$F,F3126)=O3126,"●","")</f>
        <v/>
      </c>
      <c r="O3126" s="346">
        <v>45962.344768518524</v>
      </c>
      <c r="P3126" s="334" t="str">
        <f t="shared" si="4"/>
        <v>中山鋼業:ナベＨ３(1級)</v>
      </c>
    </row>
    <row r="3127" ht="15.75" customHeight="1">
      <c r="A3127" s="335" t="s">
        <v>4274</v>
      </c>
      <c r="B3127" s="336">
        <v>45962.0</v>
      </c>
      <c r="C3127" s="335" t="s">
        <v>6</v>
      </c>
      <c r="D3127" s="335" t="s">
        <v>48</v>
      </c>
      <c r="E3127" s="337" t="str">
        <f t="shared" si="1"/>
        <v>中山鋼業:ナベ</v>
      </c>
      <c r="F3127" s="338" t="s">
        <v>122</v>
      </c>
      <c r="G3127" s="339" t="str">
        <f t="shared" si="2"/>
        <v>中山鋼業:ナベＬ１(2級)</v>
      </c>
      <c r="H3127" s="340">
        <f t="shared" si="3"/>
        <v>41</v>
      </c>
      <c r="I3127" s="341">
        <v>0.5</v>
      </c>
      <c r="J3127" s="332">
        <f>IFERROR(__xludf.DUMMYFUNCTION("IF(IF(COUNTIF(P$2:P3126, P3127)=0, """", INDEX(H$2:H3126,
MAX(FILTER(ROW(H$2:H3126) - ROW(H$2) + 1, P$2:P3126 = P3127))))=""単価"","""",
IF(COUNTIF(P$2:P3126, P3127)=0, """", INDEX(H$2:H3126,
MAX(FILTER(ROW(H$2:H3126) - ROW(H$2) + 1, P$2:P3126 = P3127)))))"),40.5)</f>
        <v>40.5</v>
      </c>
      <c r="N3127" s="335" t="str">
        <f>IF(MAXIFS('単価履歴'!$O:$O,'単価履歴'!$E:$E,E3127,'単価履歴'!$F:$F,F3127)=O3127,"●","")</f>
        <v/>
      </c>
      <c r="O3127" s="346">
        <v>45962.344768518524</v>
      </c>
      <c r="P3127" s="334" t="str">
        <f t="shared" si="4"/>
        <v>中山鋼業:ナベＬ１(2級)</v>
      </c>
    </row>
    <row r="3128" ht="15.75" customHeight="1">
      <c r="A3128" s="335" t="s">
        <v>4275</v>
      </c>
      <c r="B3128" s="336">
        <v>45962.0</v>
      </c>
      <c r="C3128" s="335" t="s">
        <v>6</v>
      </c>
      <c r="D3128" s="335" t="s">
        <v>48</v>
      </c>
      <c r="E3128" s="337" t="str">
        <f t="shared" si="1"/>
        <v>中山鋼業:ナベ</v>
      </c>
      <c r="F3128" s="338" t="s">
        <v>573</v>
      </c>
      <c r="G3128" s="339" t="str">
        <f t="shared" si="2"/>
        <v>中山鋼業:ナベＬ２(H4･級外･L1ﾊﾞﾗ)</v>
      </c>
      <c r="H3128" s="340">
        <f t="shared" si="3"/>
        <v>37.5</v>
      </c>
      <c r="I3128" s="341">
        <v>0.5</v>
      </c>
      <c r="J3128" s="332">
        <f>IFERROR(__xludf.DUMMYFUNCTION("IF(IF(COUNTIF(P$2:P3127, P3128)=0, """", INDEX(H$2:H3127,
MAX(FILTER(ROW(H$2:H3127) - ROW(H$2) + 1, P$2:P3127 = P3128))))=""単価"","""",
IF(COUNTIF(P$2:P3127, P3128)=0, """", INDEX(H$2:H3127,
MAX(FILTER(ROW(H$2:H3127) - ROW(H$2) + 1, P$2:P3127 = P3128)))))"),37.0)</f>
        <v>37</v>
      </c>
      <c r="N3128" s="335" t="str">
        <f>IF(MAXIFS('単価履歴'!$O:$O,'単価履歴'!$E:$E,E3128,'単価履歴'!$F:$F,F3128)=O3128,"●","")</f>
        <v/>
      </c>
      <c r="O3128" s="346">
        <v>45962.344768518524</v>
      </c>
      <c r="P3128" s="334" t="str">
        <f t="shared" si="4"/>
        <v>中山鋼業:ナベＬ２(H4･級外･L1ﾊﾞﾗ)</v>
      </c>
    </row>
    <row r="3129" ht="15.75" customHeight="1">
      <c r="A3129" s="335" t="s">
        <v>4276</v>
      </c>
      <c r="B3129" s="336">
        <v>45962.0</v>
      </c>
      <c r="C3129" s="335" t="s">
        <v>6</v>
      </c>
      <c r="D3129" s="335" t="s">
        <v>48</v>
      </c>
      <c r="E3129" s="337" t="str">
        <f t="shared" si="1"/>
        <v>中山鋼業:ナベ</v>
      </c>
      <c r="F3129" s="338" t="s">
        <v>130</v>
      </c>
      <c r="G3129" s="339" t="str">
        <f t="shared" si="2"/>
        <v>中山鋼業:ナベ新断Ａ</v>
      </c>
      <c r="H3129" s="340">
        <f t="shared" si="3"/>
        <v>1</v>
      </c>
      <c r="I3129" s="341">
        <v>0.5</v>
      </c>
      <c r="J3129" s="332">
        <f>IFERROR(__xludf.DUMMYFUNCTION("IF(IF(COUNTIF(P$2:P3128, P3129)=0, """", INDEX(H$2:H3128,
MAX(FILTER(ROW(H$2:H3128) - ROW(H$2) + 1, P$2:P3128 = P3129))))=""単価"","""",
IF(COUNTIF(P$2:P3128, P3129)=0, """", INDEX(H$2:H3128,
MAX(FILTER(ROW(H$2:H3128) - ROW(H$2) + 1, P$2:P3128 = P3129)))))"),0.5)</f>
        <v>0.5</v>
      </c>
      <c r="N3129" s="335" t="str">
        <f>IF(MAXIFS('単価履歴'!$O:$O,'単価履歴'!$E:$E,E3129,'単価履歴'!$F:$F,F3129)=O3129,"●","")</f>
        <v/>
      </c>
      <c r="O3129" s="346">
        <v>45962.344768518524</v>
      </c>
      <c r="P3129" s="334" t="str">
        <f t="shared" si="4"/>
        <v>中山鋼業:ナベ新断Ａ</v>
      </c>
    </row>
    <row r="3130" ht="15.75" customHeight="1">
      <c r="A3130" s="335" t="s">
        <v>4277</v>
      </c>
      <c r="B3130" s="336">
        <v>45962.0</v>
      </c>
      <c r="C3130" s="335" t="s">
        <v>6</v>
      </c>
      <c r="D3130" s="335" t="s">
        <v>48</v>
      </c>
      <c r="E3130" s="337" t="str">
        <f t="shared" si="1"/>
        <v>中山鋼業:ナベ</v>
      </c>
      <c r="F3130" s="338" t="s">
        <v>575</v>
      </c>
      <c r="G3130" s="339" t="str">
        <f t="shared" si="2"/>
        <v>中山鋼業:ナベ鋼ダライＡ</v>
      </c>
      <c r="H3130" s="340">
        <f t="shared" si="3"/>
        <v>34.2</v>
      </c>
      <c r="I3130" s="341">
        <v>0.5</v>
      </c>
      <c r="J3130" s="332">
        <f>IFERROR(__xludf.DUMMYFUNCTION("IF(IF(COUNTIF(P$2:P3129, P3130)=0, """", INDEX(H$2:H3129,
MAX(FILTER(ROW(H$2:H3129) - ROW(H$2) + 1, P$2:P3129 = P3130))))=""単価"","""",
IF(COUNTIF(P$2:P3129, P3130)=0, """", INDEX(H$2:H3129,
MAX(FILTER(ROW(H$2:H3129) - ROW(H$2) + 1, P$2:P3129 = P3130)))))"),33.7)</f>
        <v>33.7</v>
      </c>
      <c r="N3130" s="335" t="str">
        <f>IF(MAXIFS('単価履歴'!$O:$O,'単価履歴'!$E:$E,E3130,'単価履歴'!$F:$F,F3130)=O3130,"●","")</f>
        <v/>
      </c>
      <c r="O3130" s="346">
        <v>45962.344768518524</v>
      </c>
      <c r="P3130" s="334" t="str">
        <f t="shared" si="4"/>
        <v>中山鋼業:ナベ鋼ダライＡ</v>
      </c>
    </row>
    <row r="3131" ht="15.75" customHeight="1">
      <c r="A3131" s="335" t="s">
        <v>4278</v>
      </c>
      <c r="B3131" s="336">
        <v>45965.0</v>
      </c>
      <c r="C3131" s="335" t="s">
        <v>7</v>
      </c>
      <c r="D3131" s="335" t="s">
        <v>49</v>
      </c>
      <c r="E3131" s="337" t="str">
        <f t="shared" si="1"/>
        <v>合同大阪:伊藤忠</v>
      </c>
      <c r="F3131" s="338" t="s">
        <v>1199</v>
      </c>
      <c r="G3131" s="339" t="str">
        <f t="shared" si="2"/>
        <v>合同大阪:伊藤忠ＨＳ１(単体H1/電特A/HS))</v>
      </c>
      <c r="H3131" s="340">
        <f t="shared" si="3"/>
        <v>45.3</v>
      </c>
      <c r="I3131" s="341">
        <v>0.5</v>
      </c>
      <c r="J3131" s="332">
        <f>IFERROR(__xludf.DUMMYFUNCTION("IF(IF(COUNTIF(P$2:P3130, P3131)=0, """", INDEX(H$2:H3130,
MAX(FILTER(ROW(H$2:H3130) - ROW(H$2) + 1, P$2:P3130 = P3131))))=""単価"","""",
IF(COUNTIF(P$2:P3130, P3131)=0, """", INDEX(H$2:H3130,
MAX(FILTER(ROW(H$2:H3130) - ROW(H$2) + 1, P$2:P3130 = P3131)))))"),44.8)</f>
        <v>44.8</v>
      </c>
      <c r="N3131" s="335" t="str">
        <f>IF(MAXIFS('単価履歴'!$O:$O,'単価履歴'!$E:$E,E3131,'単価履歴'!$F:$F,F3131)=O3131,"●","")</f>
        <v/>
      </c>
      <c r="O3131" s="346">
        <v>45962.34505787037</v>
      </c>
      <c r="P3131" s="334" t="str">
        <f t="shared" si="4"/>
        <v>合同大阪:伊藤忠ＨＳ１(単体H1/電特A/HS))</v>
      </c>
    </row>
    <row r="3132" ht="15.75" customHeight="1">
      <c r="A3132" s="335" t="s">
        <v>4279</v>
      </c>
      <c r="B3132" s="336">
        <v>45965.0</v>
      </c>
      <c r="C3132" s="335" t="s">
        <v>7</v>
      </c>
      <c r="D3132" s="335" t="s">
        <v>49</v>
      </c>
      <c r="E3132" s="337" t="str">
        <f t="shared" si="1"/>
        <v>合同大阪:伊藤忠</v>
      </c>
      <c r="F3132" s="338" t="s">
        <v>101</v>
      </c>
      <c r="G3132" s="339" t="str">
        <f t="shared" si="2"/>
        <v>合同大阪:伊藤忠ＨＳ２</v>
      </c>
      <c r="H3132" s="340">
        <f t="shared" si="3"/>
        <v>44.8</v>
      </c>
      <c r="I3132" s="341">
        <v>0.5</v>
      </c>
      <c r="J3132" s="332">
        <f>IFERROR(__xludf.DUMMYFUNCTION("IF(IF(COUNTIF(P$2:P3131, P3132)=0, """", INDEX(H$2:H3131,
MAX(FILTER(ROW(H$2:H3131) - ROW(H$2) + 1, P$2:P3131 = P3132))))=""単価"","""",
IF(COUNTIF(P$2:P3131, P3132)=0, """", INDEX(H$2:H3131,
MAX(FILTER(ROW(H$2:H3131) - ROW(H$2) + 1, P$2:P3131 = P3132)))))"),44.3)</f>
        <v>44.3</v>
      </c>
      <c r="N3132" s="335" t="str">
        <f>IF(MAXIFS('単価履歴'!$O:$O,'単価履歴'!$E:$E,E3132,'単価履歴'!$F:$F,F3132)=O3132,"●","")</f>
        <v/>
      </c>
      <c r="O3132" s="346">
        <v>45962.34505787037</v>
      </c>
      <c r="P3132" s="334" t="str">
        <f t="shared" si="4"/>
        <v>合同大阪:伊藤忠ＨＳ２</v>
      </c>
    </row>
    <row r="3133" ht="15.75" customHeight="1">
      <c r="A3133" s="335" t="s">
        <v>4280</v>
      </c>
      <c r="B3133" s="336">
        <v>45965.0</v>
      </c>
      <c r="C3133" s="335" t="s">
        <v>7</v>
      </c>
      <c r="D3133" s="335" t="s">
        <v>49</v>
      </c>
      <c r="E3133" s="337" t="str">
        <f t="shared" si="1"/>
        <v>合同大阪:伊藤忠</v>
      </c>
      <c r="F3133" s="338" t="s">
        <v>111</v>
      </c>
      <c r="G3133" s="339" t="str">
        <f t="shared" si="2"/>
        <v>合同大阪:伊藤忠Ｈ１(特A)</v>
      </c>
      <c r="H3133" s="340">
        <f t="shared" si="3"/>
        <v>45.3</v>
      </c>
      <c r="I3133" s="341">
        <v>0.5</v>
      </c>
      <c r="J3133" s="332">
        <f>IFERROR(__xludf.DUMMYFUNCTION("IF(IF(COUNTIF(P$2:P3132, P3133)=0, """", INDEX(H$2:H3132,
MAX(FILTER(ROW(H$2:H3132) - ROW(H$2) + 1, P$2:P3132 = P3133))))=""単価"","""",
IF(COUNTIF(P$2:P3132, P3133)=0, """", INDEX(H$2:H3132,
MAX(FILTER(ROW(H$2:H3132) - ROW(H$2) + 1, P$2:P3132 = P3133)))))"),44.8)</f>
        <v>44.8</v>
      </c>
      <c r="N3133" s="335" t="str">
        <f>IF(MAXIFS('単価履歴'!$O:$O,'単価履歴'!$E:$E,E3133,'単価履歴'!$F:$F,F3133)=O3133,"●","")</f>
        <v/>
      </c>
      <c r="O3133" s="346">
        <v>45962.34505787037</v>
      </c>
      <c r="P3133" s="334" t="str">
        <f t="shared" si="4"/>
        <v>合同大阪:伊藤忠Ｈ１(特A)</v>
      </c>
    </row>
    <row r="3134" ht="15.75" customHeight="1">
      <c r="A3134" s="335" t="s">
        <v>4281</v>
      </c>
      <c r="B3134" s="336">
        <v>45965.0</v>
      </c>
      <c r="C3134" s="335" t="s">
        <v>7</v>
      </c>
      <c r="D3134" s="335" t="s">
        <v>49</v>
      </c>
      <c r="E3134" s="337" t="str">
        <f t="shared" si="1"/>
        <v>合同大阪:伊藤忠</v>
      </c>
      <c r="F3134" s="338" t="s">
        <v>116</v>
      </c>
      <c r="G3134" s="339" t="str">
        <f t="shared" si="2"/>
        <v>合同大阪:伊藤忠Ｈ２(特級)</v>
      </c>
      <c r="H3134" s="340">
        <f t="shared" si="3"/>
        <v>43.8</v>
      </c>
      <c r="I3134" s="341">
        <v>0.5</v>
      </c>
      <c r="J3134" s="332">
        <f>IFERROR(__xludf.DUMMYFUNCTION("IF(IF(COUNTIF(P$2:P3133, P3134)=0, """", INDEX(H$2:H3133,
MAX(FILTER(ROW(H$2:H3133) - ROW(H$2) + 1, P$2:P3133 = P3134))))=""単価"","""",
IF(COUNTIF(P$2:P3133, P3134)=0, """", INDEX(H$2:H3133,
MAX(FILTER(ROW(H$2:H3133) - ROW(H$2) + 1, P$2:P3133 = P3134)))))"),43.3)</f>
        <v>43.3</v>
      </c>
      <c r="N3134" s="335" t="str">
        <f>IF(MAXIFS('単価履歴'!$O:$O,'単価履歴'!$E:$E,E3134,'単価履歴'!$F:$F,F3134)=O3134,"●","")</f>
        <v/>
      </c>
      <c r="O3134" s="346">
        <v>45962.34505787037</v>
      </c>
      <c r="P3134" s="334" t="str">
        <f t="shared" si="4"/>
        <v>合同大阪:伊藤忠Ｈ２(特級)</v>
      </c>
    </row>
    <row r="3135" ht="15.75" customHeight="1">
      <c r="A3135" s="335" t="s">
        <v>4282</v>
      </c>
      <c r="B3135" s="336">
        <v>45965.0</v>
      </c>
      <c r="C3135" s="335" t="s">
        <v>7</v>
      </c>
      <c r="D3135" s="335" t="s">
        <v>49</v>
      </c>
      <c r="E3135" s="337" t="str">
        <f t="shared" si="1"/>
        <v>合同大阪:伊藤忠</v>
      </c>
      <c r="F3135" s="338" t="s">
        <v>119</v>
      </c>
      <c r="G3135" s="339" t="str">
        <f t="shared" si="2"/>
        <v>合同大阪:伊藤忠Ｈ３(1級)</v>
      </c>
      <c r="H3135" s="340">
        <f t="shared" si="3"/>
        <v>43.3</v>
      </c>
      <c r="I3135" s="341">
        <v>0.5</v>
      </c>
      <c r="J3135" s="332">
        <f>IFERROR(__xludf.DUMMYFUNCTION("IF(IF(COUNTIF(P$2:P3134, P3135)=0, """", INDEX(H$2:H3134,
MAX(FILTER(ROW(H$2:H3134) - ROW(H$2) + 1, P$2:P3134 = P3135))))=""単価"","""",
IF(COUNTIF(P$2:P3134, P3135)=0, """", INDEX(H$2:H3134,
MAX(FILTER(ROW(H$2:H3134) - ROW(H$2) + 1, P$2:P3134 = P3135)))))"),42.8)</f>
        <v>42.8</v>
      </c>
      <c r="N3135" s="335" t="str">
        <f>IF(MAXIFS('単価履歴'!$O:$O,'単価履歴'!$E:$E,E3135,'単価履歴'!$F:$F,F3135)=O3135,"●","")</f>
        <v/>
      </c>
      <c r="O3135" s="346">
        <v>45962.34505787037</v>
      </c>
      <c r="P3135" s="334" t="str">
        <f t="shared" si="4"/>
        <v>合同大阪:伊藤忠Ｈ３(1級)</v>
      </c>
    </row>
    <row r="3136" ht="15.75" customHeight="1">
      <c r="A3136" s="335" t="s">
        <v>4283</v>
      </c>
      <c r="B3136" s="336">
        <v>45965.0</v>
      </c>
      <c r="C3136" s="335" t="s">
        <v>7</v>
      </c>
      <c r="D3136" s="335" t="s">
        <v>49</v>
      </c>
      <c r="E3136" s="337" t="str">
        <f t="shared" si="1"/>
        <v>合同大阪:伊藤忠</v>
      </c>
      <c r="F3136" s="338" t="s">
        <v>122</v>
      </c>
      <c r="G3136" s="339" t="str">
        <f t="shared" si="2"/>
        <v>合同大阪:伊藤忠Ｌ１(2級)</v>
      </c>
      <c r="H3136" s="340">
        <f t="shared" si="3"/>
        <v>42.3</v>
      </c>
      <c r="I3136" s="341">
        <v>0.5</v>
      </c>
      <c r="J3136" s="332">
        <f>IFERROR(__xludf.DUMMYFUNCTION("IF(IF(COUNTIF(P$2:P3135, P3136)=0, """", INDEX(H$2:H3135,
MAX(FILTER(ROW(H$2:H3135) - ROW(H$2) + 1, P$2:P3135 = P3136))))=""単価"","""",
IF(COUNTIF(P$2:P3135, P3136)=0, """", INDEX(H$2:H3135,
MAX(FILTER(ROW(H$2:H3135) - ROW(H$2) + 1, P$2:P3135 = P3136)))))"),41.8)</f>
        <v>41.8</v>
      </c>
      <c r="N3136" s="335" t="str">
        <f>IF(MAXIFS('単価履歴'!$O:$O,'単価履歴'!$E:$E,E3136,'単価履歴'!$F:$F,F3136)=O3136,"●","")</f>
        <v/>
      </c>
      <c r="O3136" s="346">
        <v>45962.34505787037</v>
      </c>
      <c r="P3136" s="334" t="str">
        <f t="shared" si="4"/>
        <v>合同大阪:伊藤忠Ｌ１(2級)</v>
      </c>
    </row>
    <row r="3137" ht="15.75" customHeight="1">
      <c r="A3137" s="335" t="s">
        <v>4284</v>
      </c>
      <c r="B3137" s="336">
        <v>45962.0</v>
      </c>
      <c r="C3137" s="335" t="s">
        <v>9</v>
      </c>
      <c r="D3137" s="335" t="s">
        <v>51</v>
      </c>
      <c r="E3137" s="337" t="str">
        <f t="shared" si="1"/>
        <v>大鉄　堺:大鉄堺</v>
      </c>
      <c r="F3137" s="338" t="s">
        <v>111</v>
      </c>
      <c r="G3137" s="339" t="str">
        <f t="shared" si="2"/>
        <v>大鉄　堺:大鉄堺Ｈ１(特A)</v>
      </c>
      <c r="H3137" s="340">
        <f t="shared" si="3"/>
        <v>45</v>
      </c>
      <c r="I3137" s="341">
        <v>0.5</v>
      </c>
      <c r="J3137" s="332">
        <f>IFERROR(__xludf.DUMMYFUNCTION("IF(IF(COUNTIF(P$2:P3136, P3137)=0, """", INDEX(H$2:H3136,
MAX(FILTER(ROW(H$2:H3136) - ROW(H$2) + 1, P$2:P3136 = P3137))))=""単価"","""",
IF(COUNTIF(P$2:P3136, P3137)=0, """", INDEX(H$2:H3136,
MAX(FILTER(ROW(H$2:H3136) - ROW(H$2) + 1, P$2:P3136 = P3137)))))"),44.5)</f>
        <v>44.5</v>
      </c>
      <c r="N3137" s="335" t="str">
        <f>IF(MAXIFS('単価履歴'!$O:$O,'単価履歴'!$E:$E,E3137,'単価履歴'!$F:$F,F3137)=O3137,"●","")</f>
        <v/>
      </c>
      <c r="O3137" s="346">
        <v>45962.34673611111</v>
      </c>
      <c r="P3137" s="334" t="str">
        <f t="shared" si="4"/>
        <v>大鉄　堺:大鉄堺Ｈ１(特A)</v>
      </c>
    </row>
    <row r="3138" ht="15.75" customHeight="1">
      <c r="A3138" s="335" t="s">
        <v>4285</v>
      </c>
      <c r="B3138" s="336">
        <v>45962.0</v>
      </c>
      <c r="C3138" s="335" t="s">
        <v>9</v>
      </c>
      <c r="D3138" s="335" t="s">
        <v>51</v>
      </c>
      <c r="E3138" s="337" t="str">
        <f t="shared" si="1"/>
        <v>大鉄　堺:大鉄堺</v>
      </c>
      <c r="F3138" s="338" t="s">
        <v>116</v>
      </c>
      <c r="G3138" s="339" t="str">
        <f t="shared" si="2"/>
        <v>大鉄　堺:大鉄堺Ｈ２(特級)</v>
      </c>
      <c r="H3138" s="340">
        <f t="shared" si="3"/>
        <v>42</v>
      </c>
      <c r="I3138" s="341">
        <v>0.5</v>
      </c>
      <c r="J3138" s="332">
        <f>IFERROR(__xludf.DUMMYFUNCTION("IF(IF(COUNTIF(P$2:P3137, P3138)=0, """", INDEX(H$2:H3137,
MAX(FILTER(ROW(H$2:H3137) - ROW(H$2) + 1, P$2:P3137 = P3138))))=""単価"","""",
IF(COUNTIF(P$2:P3137, P3138)=0, """", INDEX(H$2:H3137,
MAX(FILTER(ROW(H$2:H3137) - ROW(H$2) + 1, P$2:P3137 = P3138)))))"),41.5)</f>
        <v>41.5</v>
      </c>
      <c r="N3138" s="335" t="str">
        <f>IF(MAXIFS('単価履歴'!$O:$O,'単価履歴'!$E:$E,E3138,'単価履歴'!$F:$F,F3138)=O3138,"●","")</f>
        <v/>
      </c>
      <c r="O3138" s="346">
        <v>45962.34673611111</v>
      </c>
      <c r="P3138" s="334" t="str">
        <f t="shared" si="4"/>
        <v>大鉄　堺:大鉄堺Ｈ２(特級)</v>
      </c>
    </row>
    <row r="3139" ht="15.75" customHeight="1">
      <c r="A3139" s="335" t="s">
        <v>4286</v>
      </c>
      <c r="B3139" s="336">
        <v>45962.0</v>
      </c>
      <c r="C3139" s="335" t="s">
        <v>9</v>
      </c>
      <c r="D3139" s="335" t="s">
        <v>51</v>
      </c>
      <c r="E3139" s="337" t="str">
        <f t="shared" si="1"/>
        <v>大鉄　堺:大鉄堺</v>
      </c>
      <c r="F3139" s="338" t="s">
        <v>1237</v>
      </c>
      <c r="G3139" s="339" t="str">
        <f t="shared" si="2"/>
        <v>大鉄　堺:大鉄堺ＪＨ１(H2T山口)鍛造ﾊﾞﾘ</v>
      </c>
      <c r="H3139" s="340">
        <f t="shared" si="3"/>
        <v>44</v>
      </c>
      <c r="I3139" s="341">
        <v>0.5</v>
      </c>
      <c r="J3139" s="332">
        <f>IFERROR(__xludf.DUMMYFUNCTION("IF(IF(COUNTIF(P$2:P3138, P3139)=0, """", INDEX(H$2:H3138,
MAX(FILTER(ROW(H$2:H3138) - ROW(H$2) + 1, P$2:P3138 = P3139))))=""単価"","""",
IF(COUNTIF(P$2:P3138, P3139)=0, """", INDEX(H$2:H3138,
MAX(FILTER(ROW(H$2:H3138) - ROW(H$2) + 1, P$2:P3138 = P3139)))))"),43.5)</f>
        <v>43.5</v>
      </c>
      <c r="N3139" s="335" t="str">
        <f>IF(MAXIFS('単価履歴'!$O:$O,'単価履歴'!$E:$E,E3139,'単価履歴'!$F:$F,F3139)=O3139,"●","")</f>
        <v/>
      </c>
      <c r="O3139" s="346">
        <v>45962.34673611111</v>
      </c>
      <c r="P3139" s="334" t="str">
        <f t="shared" si="4"/>
        <v>大鉄　堺:大鉄堺ＪＨ１(H2T山口)鍛造ﾊﾞﾘ</v>
      </c>
    </row>
    <row r="3140" ht="15.75" customHeight="1">
      <c r="A3140" s="335" t="s">
        <v>4287</v>
      </c>
      <c r="B3140" s="336">
        <v>45962.0</v>
      </c>
      <c r="C3140" s="335" t="s">
        <v>9</v>
      </c>
      <c r="D3140" s="335" t="s">
        <v>51</v>
      </c>
      <c r="E3140" s="337" t="str">
        <f t="shared" si="1"/>
        <v>大鉄　堺:大鉄堺</v>
      </c>
      <c r="F3140" s="338" t="s">
        <v>119</v>
      </c>
      <c r="G3140" s="339" t="str">
        <f t="shared" si="2"/>
        <v>大鉄　堺:大鉄堺Ｈ３(1級)</v>
      </c>
      <c r="H3140" s="340">
        <f t="shared" si="3"/>
        <v>41.5</v>
      </c>
      <c r="I3140" s="341">
        <v>0.5</v>
      </c>
      <c r="J3140" s="332">
        <f>IFERROR(__xludf.DUMMYFUNCTION("IF(IF(COUNTIF(P$2:P3139, P3140)=0, """", INDEX(H$2:H3139,
MAX(FILTER(ROW(H$2:H3139) - ROW(H$2) + 1, P$2:P3139 = P3140))))=""単価"","""",
IF(COUNTIF(P$2:P3139, P3140)=0, """", INDEX(H$2:H3139,
MAX(FILTER(ROW(H$2:H3139) - ROW(H$2) + 1, P$2:P3139 = P3140)))))"),41.0)</f>
        <v>41</v>
      </c>
      <c r="N3140" s="335" t="str">
        <f>IF(MAXIFS('単価履歴'!$O:$O,'単価履歴'!$E:$E,E3140,'単価履歴'!$F:$F,F3140)=O3140,"●","")</f>
        <v/>
      </c>
      <c r="O3140" s="346">
        <v>45962.34673611111</v>
      </c>
      <c r="P3140" s="334" t="str">
        <f t="shared" si="4"/>
        <v>大鉄　堺:大鉄堺Ｈ３(1級)</v>
      </c>
    </row>
    <row r="3141" ht="15.75" customHeight="1">
      <c r="A3141" s="335" t="s">
        <v>4288</v>
      </c>
      <c r="B3141" s="336">
        <v>45962.0</v>
      </c>
      <c r="C3141" s="335" t="s">
        <v>9</v>
      </c>
      <c r="D3141" s="335" t="s">
        <v>51</v>
      </c>
      <c r="E3141" s="337" t="str">
        <f t="shared" si="1"/>
        <v>大鉄　堺:大鉄堺</v>
      </c>
      <c r="F3141" s="338" t="s">
        <v>122</v>
      </c>
      <c r="G3141" s="339" t="str">
        <f t="shared" si="2"/>
        <v>大鉄　堺:大鉄堺Ｌ１(2級)</v>
      </c>
      <c r="H3141" s="340">
        <f t="shared" si="3"/>
        <v>41</v>
      </c>
      <c r="I3141" s="341">
        <v>0.5</v>
      </c>
      <c r="J3141" s="332">
        <f>IFERROR(__xludf.DUMMYFUNCTION("IF(IF(COUNTIF(P$2:P3140, P3141)=0, """", INDEX(H$2:H3140,
MAX(FILTER(ROW(H$2:H3140) - ROW(H$2) + 1, P$2:P3140 = P3141))))=""単価"","""",
IF(COUNTIF(P$2:P3140, P3141)=0, """", INDEX(H$2:H3140,
MAX(FILTER(ROW(H$2:H3140) - ROW(H$2) + 1, P$2:P3140 = P3141)))))"),40.5)</f>
        <v>40.5</v>
      </c>
      <c r="N3141" s="335" t="str">
        <f>IF(MAXIFS('単価履歴'!$O:$O,'単価履歴'!$E:$E,E3141,'単価履歴'!$F:$F,F3141)=O3141,"●","")</f>
        <v/>
      </c>
      <c r="O3141" s="346">
        <v>45962.34673611111</v>
      </c>
      <c r="P3141" s="334" t="str">
        <f t="shared" si="4"/>
        <v>大鉄　堺:大鉄堺Ｌ１(2級)</v>
      </c>
    </row>
    <row r="3142" ht="15.75" customHeight="1">
      <c r="A3142" s="335" t="s">
        <v>4289</v>
      </c>
      <c r="B3142" s="336">
        <v>45962.0</v>
      </c>
      <c r="C3142" s="335" t="s">
        <v>9</v>
      </c>
      <c r="D3142" s="335" t="s">
        <v>51</v>
      </c>
      <c r="E3142" s="337" t="str">
        <f t="shared" si="1"/>
        <v>大鉄　堺:大鉄堺</v>
      </c>
      <c r="F3142" s="338" t="s">
        <v>130</v>
      </c>
      <c r="G3142" s="339" t="str">
        <f t="shared" si="2"/>
        <v>大鉄　堺:大鉄堺新断Ａ</v>
      </c>
      <c r="H3142" s="340">
        <f t="shared" si="3"/>
        <v>28.5</v>
      </c>
      <c r="I3142" s="341">
        <v>0.5</v>
      </c>
      <c r="J3142" s="332">
        <f>IFERROR(__xludf.DUMMYFUNCTION("IF(IF(COUNTIF(P$2:P3141, P3142)=0, """", INDEX(H$2:H3141,
MAX(FILTER(ROW(H$2:H3141) - ROW(H$2) + 1, P$2:P3141 = P3142))))=""単価"","""",
IF(COUNTIF(P$2:P3141, P3142)=0, """", INDEX(H$2:H3141,
MAX(FILTER(ROW(H$2:H3141) - ROW(H$2) + 1, P$2:P3141 = P3142)))))"),28.0)</f>
        <v>28</v>
      </c>
      <c r="N3142" s="335" t="str">
        <f>IF(MAXIFS('単価履歴'!$O:$O,'単価履歴'!$E:$E,E3142,'単価履歴'!$F:$F,F3142)=O3142,"●","")</f>
        <v/>
      </c>
      <c r="O3142" s="346">
        <v>45962.34673611111</v>
      </c>
      <c r="P3142" s="334" t="str">
        <f t="shared" si="4"/>
        <v>大鉄　堺:大鉄堺新断Ａ</v>
      </c>
    </row>
    <row r="3143" ht="15.75" customHeight="1">
      <c r="A3143" s="335" t="s">
        <v>4290</v>
      </c>
      <c r="B3143" s="336">
        <v>45962.0</v>
      </c>
      <c r="C3143" s="335" t="s">
        <v>9</v>
      </c>
      <c r="D3143" s="335" t="s">
        <v>51</v>
      </c>
      <c r="E3143" s="337" t="str">
        <f t="shared" si="1"/>
        <v>大鉄　堺:大鉄堺</v>
      </c>
      <c r="F3143" s="338" t="s">
        <v>131</v>
      </c>
      <c r="G3143" s="339" t="str">
        <f t="shared" si="2"/>
        <v>大鉄　堺:大鉄堺新断Ｂ</v>
      </c>
      <c r="H3143" s="340">
        <f t="shared" si="3"/>
        <v>28</v>
      </c>
      <c r="I3143" s="341">
        <v>0.5</v>
      </c>
      <c r="J3143" s="332">
        <f>IFERROR(__xludf.DUMMYFUNCTION("IF(IF(COUNTIF(P$2:P3142, P3143)=0, """", INDEX(H$2:H3142,
MAX(FILTER(ROW(H$2:H3142) - ROW(H$2) + 1, P$2:P3142 = P3143))))=""単価"","""",
IF(COUNTIF(P$2:P3142, P3143)=0, """", INDEX(H$2:H3142,
MAX(FILTER(ROW(H$2:H3142) - ROW(H$2) + 1, P$2:P3142 = P3143)))))"),27.5)</f>
        <v>27.5</v>
      </c>
      <c r="N3143" s="335" t="str">
        <f>IF(MAXIFS('単価履歴'!$O:$O,'単価履歴'!$E:$E,E3143,'単価履歴'!$F:$F,F3143)=O3143,"●","")</f>
        <v/>
      </c>
      <c r="O3143" s="346">
        <v>45962.34673611111</v>
      </c>
      <c r="P3143" s="334" t="str">
        <f t="shared" si="4"/>
        <v>大鉄　堺:大鉄堺新断Ｂ</v>
      </c>
    </row>
    <row r="3144" ht="15.75" customHeight="1">
      <c r="A3144" s="335" t="s">
        <v>4291</v>
      </c>
      <c r="B3144" s="336">
        <v>45962.0</v>
      </c>
      <c r="C3144" s="335" t="s">
        <v>9</v>
      </c>
      <c r="D3144" s="335" t="s">
        <v>51</v>
      </c>
      <c r="E3144" s="337" t="str">
        <f t="shared" si="1"/>
        <v>大鉄　堺:大鉄堺</v>
      </c>
      <c r="F3144" s="338" t="s">
        <v>145</v>
      </c>
      <c r="G3144" s="339" t="str">
        <f t="shared" si="2"/>
        <v>大鉄　堺:大鉄堺シュレＡ</v>
      </c>
      <c r="H3144" s="340">
        <f t="shared" si="3"/>
        <v>31</v>
      </c>
      <c r="I3144" s="341">
        <v>0.5</v>
      </c>
      <c r="J3144" s="332">
        <f>IFERROR(__xludf.DUMMYFUNCTION("IF(IF(COUNTIF(P$2:P3143, P3144)=0, """", INDEX(H$2:H3143,
MAX(FILTER(ROW(H$2:H3143) - ROW(H$2) + 1, P$2:P3143 = P3144))))=""単価"","""",
IF(COUNTIF(P$2:P3143, P3144)=0, """", INDEX(H$2:H3143,
MAX(FILTER(ROW(H$2:H3143) - ROW(H$2) + 1, P$2:P3143 = P3144)))))"),30.5)</f>
        <v>30.5</v>
      </c>
      <c r="N3144" s="335" t="str">
        <f>IF(MAXIFS('単価履歴'!$O:$O,'単価履歴'!$E:$E,E3144,'単価履歴'!$F:$F,F3144)=O3144,"●","")</f>
        <v/>
      </c>
      <c r="O3144" s="346">
        <v>45962.34673611111</v>
      </c>
      <c r="P3144" s="334" t="str">
        <f t="shared" si="4"/>
        <v>大鉄　堺:大鉄堺シュレＡ</v>
      </c>
    </row>
    <row r="3145" ht="15.75" customHeight="1">
      <c r="A3145" s="335" t="s">
        <v>4292</v>
      </c>
      <c r="B3145" s="336">
        <v>45962.0</v>
      </c>
      <c r="C3145" s="335" t="s">
        <v>9</v>
      </c>
      <c r="D3145" s="335" t="s">
        <v>51</v>
      </c>
      <c r="E3145" s="337" t="str">
        <f t="shared" si="1"/>
        <v>大鉄　堺:大鉄堺</v>
      </c>
      <c r="F3145" s="338" t="s">
        <v>149</v>
      </c>
      <c r="G3145" s="339" t="str">
        <f t="shared" si="2"/>
        <v>大鉄　堺:大鉄堺シュレＢ</v>
      </c>
      <c r="H3145" s="340">
        <f t="shared" si="3"/>
        <v>30.3</v>
      </c>
      <c r="I3145" s="341">
        <v>0.5</v>
      </c>
      <c r="J3145" s="332">
        <f>IFERROR(__xludf.DUMMYFUNCTION("IF(IF(COUNTIF(P$2:P3144, P3145)=0, """", INDEX(H$2:H3144,
MAX(FILTER(ROW(H$2:H3144) - ROW(H$2) + 1, P$2:P3144 = P3145))))=""単価"","""",
IF(COUNTIF(P$2:P3144, P3145)=0, """", INDEX(H$2:H3144,
MAX(FILTER(ROW(H$2:H3144) - ROW(H$2) + 1, P$2:P3144 = P3145)))))"),29.8)</f>
        <v>29.8</v>
      </c>
      <c r="N3145" s="335" t="str">
        <f>IF(MAXIFS('単価履歴'!$O:$O,'単価履歴'!$E:$E,E3145,'単価履歴'!$F:$F,F3145)=O3145,"●","")</f>
        <v/>
      </c>
      <c r="O3145" s="346">
        <v>45962.34673611111</v>
      </c>
      <c r="P3145" s="334" t="str">
        <f t="shared" si="4"/>
        <v>大鉄　堺:大鉄堺シュレＢ</v>
      </c>
    </row>
    <row r="3146" ht="15.75" customHeight="1">
      <c r="A3146" s="335" t="s">
        <v>4293</v>
      </c>
      <c r="B3146" s="336">
        <v>45962.0</v>
      </c>
      <c r="C3146" s="335" t="s">
        <v>9</v>
      </c>
      <c r="D3146" s="335" t="s">
        <v>51</v>
      </c>
      <c r="E3146" s="337" t="str">
        <f t="shared" si="1"/>
        <v>大鉄　堺:大鉄堺</v>
      </c>
      <c r="F3146" s="338" t="s">
        <v>151</v>
      </c>
      <c r="G3146" s="339" t="str">
        <f t="shared" si="2"/>
        <v>大鉄　堺:大鉄堺シュレＣ</v>
      </c>
      <c r="H3146" s="340">
        <f t="shared" si="3"/>
        <v>28.9</v>
      </c>
      <c r="I3146" s="341">
        <v>0.5</v>
      </c>
      <c r="J3146" s="332">
        <f>IFERROR(__xludf.DUMMYFUNCTION("IF(IF(COUNTIF(P$2:P3145, P3146)=0, """", INDEX(H$2:H3145,
MAX(FILTER(ROW(H$2:H3145) - ROW(H$2) + 1, P$2:P3145 = P3146))))=""単価"","""",
IF(COUNTIF(P$2:P3145, P3146)=0, """", INDEX(H$2:H3145,
MAX(FILTER(ROW(H$2:H3145) - ROW(H$2) + 1, P$2:P3145 = P3146)))))"),28.4)</f>
        <v>28.4</v>
      </c>
      <c r="N3146" s="335" t="str">
        <f>IF(MAXIFS('単価履歴'!$O:$O,'単価履歴'!$E:$E,E3146,'単価履歴'!$F:$F,F3146)=O3146,"●","")</f>
        <v/>
      </c>
      <c r="O3146" s="346">
        <v>45962.34673611111</v>
      </c>
      <c r="P3146" s="334" t="str">
        <f t="shared" si="4"/>
        <v>大鉄　堺:大鉄堺シュレＣ</v>
      </c>
    </row>
    <row r="3147" ht="15.75" customHeight="1">
      <c r="A3147" s="335" t="s">
        <v>4294</v>
      </c>
      <c r="B3147" s="336">
        <v>45962.0</v>
      </c>
      <c r="C3147" s="335" t="s">
        <v>9</v>
      </c>
      <c r="D3147" s="335" t="s">
        <v>51</v>
      </c>
      <c r="E3147" s="337" t="str">
        <f t="shared" si="1"/>
        <v>大鉄　堺:大鉄堺</v>
      </c>
      <c r="F3147" s="338" t="s">
        <v>154</v>
      </c>
      <c r="G3147" s="339" t="str">
        <f t="shared" si="2"/>
        <v>大鉄　堺:大鉄堺ＣＰ Ａ</v>
      </c>
      <c r="H3147" s="340">
        <f t="shared" si="3"/>
        <v>36.5</v>
      </c>
      <c r="I3147" s="341">
        <v>0.5</v>
      </c>
      <c r="J3147" s="332">
        <f>IFERROR(__xludf.DUMMYFUNCTION("IF(IF(COUNTIF(P$2:P3146, P3147)=0, """", INDEX(H$2:H3146,
MAX(FILTER(ROW(H$2:H3146) - ROW(H$2) + 1, P$2:P3146 = P3147))))=""単価"","""",
IF(COUNTIF(P$2:P3146, P3147)=0, """", INDEX(H$2:H3146,
MAX(FILTER(ROW(H$2:H3146) - ROW(H$2) + 1, P$2:P3146 = P3147)))))"),36.0)</f>
        <v>36</v>
      </c>
      <c r="N3147" s="335" t="str">
        <f>IF(MAXIFS('単価履歴'!$O:$O,'単価履歴'!$E:$E,E3147,'単価履歴'!$F:$F,F3147)=O3147,"●","")</f>
        <v/>
      </c>
      <c r="O3147" s="346">
        <v>45962.34673611111</v>
      </c>
      <c r="P3147" s="334" t="str">
        <f t="shared" si="4"/>
        <v>大鉄　堺:大鉄堺ＣＰ Ａ</v>
      </c>
    </row>
    <row r="3148" ht="15.75" customHeight="1">
      <c r="A3148" s="335" t="s">
        <v>4295</v>
      </c>
      <c r="B3148" s="336">
        <v>45962.0</v>
      </c>
      <c r="C3148" s="335" t="s">
        <v>9</v>
      </c>
      <c r="D3148" s="335" t="s">
        <v>51</v>
      </c>
      <c r="E3148" s="337" t="str">
        <f t="shared" si="1"/>
        <v>大鉄　堺:大鉄堺</v>
      </c>
      <c r="F3148" s="338" t="s">
        <v>156</v>
      </c>
      <c r="G3148" s="339" t="str">
        <f t="shared" si="2"/>
        <v>大鉄　堺:大鉄堺ＣＰ Ｂ一斗缶</v>
      </c>
      <c r="H3148" s="340">
        <f t="shared" si="3"/>
        <v>30</v>
      </c>
      <c r="I3148" s="341">
        <v>0.5</v>
      </c>
      <c r="J3148" s="332">
        <f>IFERROR(__xludf.DUMMYFUNCTION("IF(IF(COUNTIF(P$2:P3147, P3148)=0, """", INDEX(H$2:H3147,
MAX(FILTER(ROW(H$2:H3147) - ROW(H$2) + 1, P$2:P3147 = P3148))))=""単価"","""",
IF(COUNTIF(P$2:P3147, P3148)=0, """", INDEX(H$2:H3147,
MAX(FILTER(ROW(H$2:H3147) - ROW(H$2) + 1, P$2:P3147 = P3148)))))"),29.5)</f>
        <v>29.5</v>
      </c>
      <c r="N3148" s="335" t="str">
        <f>IF(MAXIFS('単価履歴'!$O:$O,'単価履歴'!$E:$E,E3148,'単価履歴'!$F:$F,F3148)=O3148,"●","")</f>
        <v/>
      </c>
      <c r="O3148" s="346">
        <v>45962.34673611111</v>
      </c>
      <c r="P3148" s="334" t="str">
        <f t="shared" si="4"/>
        <v>大鉄　堺:大鉄堺ＣＰ Ｂ一斗缶</v>
      </c>
    </row>
    <row r="3149" ht="15.75" customHeight="1">
      <c r="A3149" s="335" t="s">
        <v>4296</v>
      </c>
      <c r="B3149" s="336">
        <v>45962.0</v>
      </c>
      <c r="C3149" s="335" t="s">
        <v>9</v>
      </c>
      <c r="D3149" s="335" t="s">
        <v>51</v>
      </c>
      <c r="E3149" s="337" t="str">
        <f t="shared" si="1"/>
        <v>大鉄　堺:大鉄堺</v>
      </c>
      <c r="F3149" s="338" t="s">
        <v>575</v>
      </c>
      <c r="G3149" s="339" t="str">
        <f t="shared" si="2"/>
        <v>大鉄　堺:大鉄堺鋼ダライＡ</v>
      </c>
      <c r="H3149" s="340">
        <f t="shared" si="3"/>
        <v>27.5</v>
      </c>
      <c r="I3149" s="341">
        <v>1.0</v>
      </c>
      <c r="J3149" s="332">
        <f>IFERROR(__xludf.DUMMYFUNCTION("IF(IF(COUNTIF(P$2:P3148, P3149)=0, """", INDEX(H$2:H3148,
MAX(FILTER(ROW(H$2:H3148) - ROW(H$2) + 1, P$2:P3148 = P3149))))=""単価"","""",
IF(COUNTIF(P$2:P3148, P3149)=0, """", INDEX(H$2:H3148,
MAX(FILTER(ROW(H$2:H3148) - ROW(H$2) + 1, P$2:P3148 = P3149)))))"),26.5)</f>
        <v>26.5</v>
      </c>
      <c r="N3149" s="335" t="str">
        <f>IF(MAXIFS('単価履歴'!$O:$O,'単価履歴'!$E:$E,E3149,'単価履歴'!$F:$F,F3149)=O3149,"●","")</f>
        <v/>
      </c>
      <c r="O3149" s="346">
        <v>45962.35383101852</v>
      </c>
      <c r="P3149" s="334" t="str">
        <f t="shared" si="4"/>
        <v>大鉄　堺:大鉄堺鋼ダライＡ</v>
      </c>
    </row>
    <row r="3150" ht="15.75" customHeight="1">
      <c r="A3150" s="335" t="s">
        <v>4297</v>
      </c>
      <c r="B3150" s="336">
        <v>45962.0</v>
      </c>
      <c r="C3150" s="335" t="s">
        <v>9</v>
      </c>
      <c r="D3150" s="335" t="s">
        <v>51</v>
      </c>
      <c r="E3150" s="337" t="str">
        <f t="shared" si="1"/>
        <v>大鉄　堺:大鉄堺</v>
      </c>
      <c r="F3150" s="338" t="s">
        <v>576</v>
      </c>
      <c r="G3150" s="339" t="str">
        <f t="shared" si="2"/>
        <v>大鉄　堺:大鉄堺鋼ダライＢ</v>
      </c>
      <c r="H3150" s="340">
        <f t="shared" si="3"/>
        <v>27.5</v>
      </c>
      <c r="I3150" s="341">
        <v>1.0</v>
      </c>
      <c r="J3150" s="332">
        <f>IFERROR(__xludf.DUMMYFUNCTION("IF(IF(COUNTIF(P$2:P3149, P3150)=0, """", INDEX(H$2:H3149,
MAX(FILTER(ROW(H$2:H3149) - ROW(H$2) + 1, P$2:P3149 = P3150))))=""単価"","""",
IF(COUNTIF(P$2:P3149, P3150)=0, """", INDEX(H$2:H3149,
MAX(FILTER(ROW(H$2:H3149) - ROW(H$2) + 1, P$2:P3149 = P3150)))))"),26.5)</f>
        <v>26.5</v>
      </c>
      <c r="N3150" s="335" t="str">
        <f>IF(MAXIFS('単価履歴'!$O:$O,'単価履歴'!$E:$E,E3150,'単価履歴'!$F:$F,F3150)=O3150,"●","")</f>
        <v/>
      </c>
      <c r="O3150" s="346">
        <v>45962.35383101852</v>
      </c>
      <c r="P3150" s="334" t="str">
        <f t="shared" si="4"/>
        <v>大鉄　堺:大鉄堺鋼ダライＢ</v>
      </c>
    </row>
    <row r="3151" ht="15.75" customHeight="1">
      <c r="A3151" s="335" t="s">
        <v>4298</v>
      </c>
      <c r="B3151" s="336">
        <v>45962.0</v>
      </c>
      <c r="C3151" s="335" t="s">
        <v>9</v>
      </c>
      <c r="D3151" s="335" t="s">
        <v>47</v>
      </c>
      <c r="E3151" s="337" t="str">
        <f t="shared" si="1"/>
        <v>大鉄　堺:豊通</v>
      </c>
      <c r="F3151" s="338" t="s">
        <v>111</v>
      </c>
      <c r="G3151" s="339" t="str">
        <f t="shared" si="2"/>
        <v>大鉄　堺:豊通Ｈ１(特A)</v>
      </c>
      <c r="H3151" s="340">
        <f t="shared" si="3"/>
        <v>29.9</v>
      </c>
      <c r="I3151" s="364">
        <v>0.5</v>
      </c>
      <c r="J3151" s="332">
        <f>IFERROR(__xludf.DUMMYFUNCTION("IF(IF(COUNTIF(P$2:P3150, P3151)=0, """", INDEX(H$2:H3150,
MAX(FILTER(ROW(H$2:H3150) - ROW(H$2) + 1, P$2:P3150 = P3151))))=""単価"","""",
IF(COUNTIF(P$2:P3150, P3151)=0, """", INDEX(H$2:H3150,
MAX(FILTER(ROW(H$2:H3150) - ROW(H$2) + 1, P$2:P3150 = P3151)))))"),29.4)</f>
        <v>29.4</v>
      </c>
      <c r="K3151" s="365"/>
      <c r="L3151" s="365"/>
      <c r="M3151" s="365"/>
      <c r="N3151" s="335" t="str">
        <f>IF(MAXIFS('単価履歴'!$O:$O,'単価履歴'!$E:$E,E3151,'単価履歴'!$F:$F,F3151)=O3151,"●","")</f>
        <v/>
      </c>
      <c r="O3151" s="366">
        <v>45962.354004629626</v>
      </c>
      <c r="P3151" s="334" t="str">
        <f t="shared" si="4"/>
        <v>大鉄　堺:豊通Ｈ１(特A)</v>
      </c>
    </row>
    <row r="3152" ht="15.75" customHeight="1">
      <c r="A3152" s="335" t="s">
        <v>4299</v>
      </c>
      <c r="B3152" s="336">
        <v>45962.0</v>
      </c>
      <c r="C3152" s="335" t="s">
        <v>9</v>
      </c>
      <c r="D3152" s="335" t="s">
        <v>47</v>
      </c>
      <c r="E3152" s="337" t="str">
        <f t="shared" si="1"/>
        <v>大鉄　堺:豊通</v>
      </c>
      <c r="F3152" s="338" t="s">
        <v>1237</v>
      </c>
      <c r="G3152" s="339" t="str">
        <f t="shared" si="2"/>
        <v>大鉄　堺:豊通ＪＨ１(H2T山口)鍛造ﾊﾞﾘ</v>
      </c>
      <c r="H3152" s="340">
        <f t="shared" si="3"/>
        <v>28.9</v>
      </c>
      <c r="I3152" s="364">
        <v>0.5</v>
      </c>
      <c r="J3152" s="332">
        <f>IFERROR(__xludf.DUMMYFUNCTION("IF(IF(COUNTIF(P$2:P3151, P3152)=0, """", INDEX(H$2:H3151,
MAX(FILTER(ROW(H$2:H3151) - ROW(H$2) + 1, P$2:P3151 = P3152))))=""単価"","""",
IF(COUNTIF(P$2:P3151, P3152)=0, """", INDEX(H$2:H3151,
MAX(FILTER(ROW(H$2:H3151) - ROW(H$2) + 1, P$2:P3151 = P3152)))))"),28.4)</f>
        <v>28.4</v>
      </c>
      <c r="K3152" s="365"/>
      <c r="L3152" s="365"/>
      <c r="M3152" s="365"/>
      <c r="N3152" s="335" t="str">
        <f>IF(MAXIFS('単価履歴'!$O:$O,'単価履歴'!$E:$E,E3152,'単価履歴'!$F:$F,F3152)=O3152,"●","")</f>
        <v/>
      </c>
      <c r="O3152" s="366">
        <v>45962.354004629626</v>
      </c>
      <c r="P3152" s="334" t="str">
        <f t="shared" si="4"/>
        <v>大鉄　堺:豊通ＪＨ１(H2T山口)鍛造ﾊﾞﾘ</v>
      </c>
    </row>
    <row r="3153" ht="15.75" customHeight="1">
      <c r="A3153" s="335" t="s">
        <v>4300</v>
      </c>
      <c r="B3153" s="336">
        <v>45962.0</v>
      </c>
      <c r="C3153" s="335" t="s">
        <v>9</v>
      </c>
      <c r="D3153" s="335" t="s">
        <v>47</v>
      </c>
      <c r="E3153" s="337" t="str">
        <f t="shared" si="1"/>
        <v>大鉄　堺:豊通</v>
      </c>
      <c r="F3153" s="338" t="s">
        <v>116</v>
      </c>
      <c r="G3153" s="339" t="str">
        <f t="shared" si="2"/>
        <v>大鉄　堺:豊通Ｈ２(特級)</v>
      </c>
      <c r="H3153" s="340">
        <f t="shared" si="3"/>
        <v>25.7</v>
      </c>
      <c r="I3153" s="364">
        <v>0.5</v>
      </c>
      <c r="J3153" s="332">
        <f>IFERROR(__xludf.DUMMYFUNCTION("IF(IF(COUNTIF(P$2:P3152, P3153)=0, """", INDEX(H$2:H3152,
MAX(FILTER(ROW(H$2:H3152) - ROW(H$2) + 1, P$2:P3152 = P3153))))=""単価"","""",
IF(COUNTIF(P$2:P3152, P3153)=0, """", INDEX(H$2:H3152,
MAX(FILTER(ROW(H$2:H3152) - ROW(H$2) + 1, P$2:P3152 = P3153)))))"),25.2)</f>
        <v>25.2</v>
      </c>
      <c r="K3153" s="365"/>
      <c r="L3153" s="365"/>
      <c r="M3153" s="365"/>
      <c r="N3153" s="335" t="str">
        <f>IF(MAXIFS('単価履歴'!$O:$O,'単価履歴'!$E:$E,E3153,'単価履歴'!$F:$F,F3153)=O3153,"●","")</f>
        <v/>
      </c>
      <c r="O3153" s="366">
        <v>45962.354004629626</v>
      </c>
      <c r="P3153" s="334" t="str">
        <f t="shared" si="4"/>
        <v>大鉄　堺:豊通Ｈ２(特級)</v>
      </c>
    </row>
    <row r="3154" ht="15.75" customHeight="1">
      <c r="A3154" s="335" t="s">
        <v>4301</v>
      </c>
      <c r="B3154" s="336">
        <v>45962.0</v>
      </c>
      <c r="C3154" s="335" t="s">
        <v>9</v>
      </c>
      <c r="D3154" s="335" t="s">
        <v>47</v>
      </c>
      <c r="E3154" s="337" t="str">
        <f t="shared" si="1"/>
        <v>大鉄　堺:豊通</v>
      </c>
      <c r="F3154" s="338" t="s">
        <v>119</v>
      </c>
      <c r="G3154" s="339" t="str">
        <f t="shared" si="2"/>
        <v>大鉄　堺:豊通Ｈ３(1級)</v>
      </c>
      <c r="H3154" s="340">
        <f t="shared" si="3"/>
        <v>24.7</v>
      </c>
      <c r="I3154" s="364">
        <v>0.5</v>
      </c>
      <c r="J3154" s="332">
        <f>IFERROR(__xludf.DUMMYFUNCTION("IF(IF(COUNTIF(P$2:P3153, P3154)=0, """", INDEX(H$2:H3153,
MAX(FILTER(ROW(H$2:H3153) - ROW(H$2) + 1, P$2:P3153 = P3154))))=""単価"","""",
IF(COUNTIF(P$2:P3153, P3154)=0, """", INDEX(H$2:H3153,
MAX(FILTER(ROW(H$2:H3153) - ROW(H$2) + 1, P$2:P3153 = P3154)))))"),24.2)</f>
        <v>24.2</v>
      </c>
      <c r="K3154" s="365"/>
      <c r="L3154" s="365"/>
      <c r="M3154" s="365"/>
      <c r="N3154" s="335" t="str">
        <f>IF(MAXIFS('単価履歴'!$O:$O,'単価履歴'!$E:$E,E3154,'単価履歴'!$F:$F,F3154)=O3154,"●","")</f>
        <v/>
      </c>
      <c r="O3154" s="366">
        <v>45962.354004629626</v>
      </c>
      <c r="P3154" s="334" t="str">
        <f t="shared" si="4"/>
        <v>大鉄　堺:豊通Ｈ３(1級)</v>
      </c>
    </row>
    <row r="3155" ht="15.75" customHeight="1">
      <c r="A3155" s="335" t="s">
        <v>4302</v>
      </c>
      <c r="B3155" s="336">
        <v>45962.0</v>
      </c>
      <c r="C3155" s="335" t="s">
        <v>9</v>
      </c>
      <c r="D3155" s="335" t="s">
        <v>47</v>
      </c>
      <c r="E3155" s="337" t="str">
        <f t="shared" si="1"/>
        <v>大鉄　堺:豊通</v>
      </c>
      <c r="F3155" s="338" t="s">
        <v>122</v>
      </c>
      <c r="G3155" s="339" t="str">
        <f t="shared" si="2"/>
        <v>大鉄　堺:豊通Ｌ１(2級)</v>
      </c>
      <c r="H3155" s="340">
        <f t="shared" si="3"/>
        <v>23.2</v>
      </c>
      <c r="I3155" s="364">
        <v>0.5</v>
      </c>
      <c r="J3155" s="332">
        <f>IFERROR(__xludf.DUMMYFUNCTION("IF(IF(COUNTIF(P$2:P3154, P3155)=0, """", INDEX(H$2:H3154,
MAX(FILTER(ROW(H$2:H3154) - ROW(H$2) + 1, P$2:P3154 = P3155))))=""単価"","""",
IF(COUNTIF(P$2:P3154, P3155)=0, """", INDEX(H$2:H3154,
MAX(FILTER(ROW(H$2:H3154) - ROW(H$2) + 1, P$2:P3154 = P3155)))))"),22.7)</f>
        <v>22.7</v>
      </c>
      <c r="K3155" s="365"/>
      <c r="L3155" s="365"/>
      <c r="M3155" s="365"/>
      <c r="N3155" s="335" t="str">
        <f>IF(MAXIFS('単価履歴'!$O:$O,'単価履歴'!$E:$E,E3155,'単価履歴'!$F:$F,F3155)=O3155,"●","")</f>
        <v/>
      </c>
      <c r="O3155" s="366">
        <v>45962.354004629626</v>
      </c>
      <c r="P3155" s="334" t="str">
        <f t="shared" si="4"/>
        <v>大鉄　堺:豊通Ｌ１(2級)</v>
      </c>
    </row>
    <row r="3156" ht="15.75" customHeight="1">
      <c r="A3156" s="335" t="s">
        <v>4303</v>
      </c>
      <c r="B3156" s="336">
        <v>45962.0</v>
      </c>
      <c r="C3156" s="335" t="s">
        <v>9</v>
      </c>
      <c r="D3156" s="335" t="s">
        <v>47</v>
      </c>
      <c r="E3156" s="337" t="str">
        <f t="shared" si="1"/>
        <v>大鉄　堺:豊通</v>
      </c>
      <c r="F3156" s="338" t="s">
        <v>130</v>
      </c>
      <c r="G3156" s="339" t="str">
        <f t="shared" si="2"/>
        <v>大鉄　堺:豊通新断Ａ</v>
      </c>
      <c r="H3156" s="340">
        <f t="shared" si="3"/>
        <v>26.7</v>
      </c>
      <c r="I3156" s="364">
        <v>0.5</v>
      </c>
      <c r="J3156" s="332">
        <f>IFERROR(__xludf.DUMMYFUNCTION("IF(IF(COUNTIF(P$2:P3155, P3156)=0, """", INDEX(H$2:H3155,
MAX(FILTER(ROW(H$2:H3155) - ROW(H$2) + 1, P$2:P3155 = P3156))))=""単価"","""",
IF(COUNTIF(P$2:P3155, P3156)=0, """", INDEX(H$2:H3155,
MAX(FILTER(ROW(H$2:H3155) - ROW(H$2) + 1, P$2:P3155 = P3156)))))"),26.2)</f>
        <v>26.2</v>
      </c>
      <c r="K3156" s="365"/>
      <c r="L3156" s="365"/>
      <c r="M3156" s="365"/>
      <c r="N3156" s="335" t="str">
        <f>IF(MAXIFS('単価履歴'!$O:$O,'単価履歴'!$E:$E,E3156,'単価履歴'!$F:$F,F3156)=O3156,"●","")</f>
        <v/>
      </c>
      <c r="O3156" s="366">
        <v>45962.354004629626</v>
      </c>
      <c r="P3156" s="334" t="str">
        <f t="shared" si="4"/>
        <v>大鉄　堺:豊通新断Ａ</v>
      </c>
    </row>
    <row r="3157" ht="15.75" customHeight="1">
      <c r="A3157" s="335" t="s">
        <v>4304</v>
      </c>
      <c r="B3157" s="336">
        <v>45962.0</v>
      </c>
      <c r="C3157" s="335" t="s">
        <v>9</v>
      </c>
      <c r="D3157" s="335" t="s">
        <v>47</v>
      </c>
      <c r="E3157" s="337" t="str">
        <f t="shared" si="1"/>
        <v>大鉄　堺:豊通</v>
      </c>
      <c r="F3157" s="338" t="s">
        <v>131</v>
      </c>
      <c r="G3157" s="339" t="str">
        <f t="shared" si="2"/>
        <v>大鉄　堺:豊通新断Ｂ</v>
      </c>
      <c r="H3157" s="340">
        <f t="shared" si="3"/>
        <v>26.2</v>
      </c>
      <c r="I3157" s="364">
        <v>0.5</v>
      </c>
      <c r="J3157" s="332">
        <f>IFERROR(__xludf.DUMMYFUNCTION("IF(IF(COUNTIF(P$2:P3156, P3157)=0, """", INDEX(H$2:H3156,
MAX(FILTER(ROW(H$2:H3156) - ROW(H$2) + 1, P$2:P3156 = P3157))))=""単価"","""",
IF(COUNTIF(P$2:P3156, P3157)=0, """", INDEX(H$2:H3156,
MAX(FILTER(ROW(H$2:H3156) - ROW(H$2) + 1, P$2:P3156 = P3157)))))"),25.7)</f>
        <v>25.7</v>
      </c>
      <c r="K3157" s="365"/>
      <c r="L3157" s="365"/>
      <c r="M3157" s="365"/>
      <c r="N3157" s="335" t="str">
        <f>IF(MAXIFS('単価履歴'!$O:$O,'単価履歴'!$E:$E,E3157,'単価履歴'!$F:$F,F3157)=O3157,"●","")</f>
        <v/>
      </c>
      <c r="O3157" s="366">
        <v>45962.354004629626</v>
      </c>
      <c r="P3157" s="334" t="str">
        <f t="shared" si="4"/>
        <v>大鉄　堺:豊通新断Ｂ</v>
      </c>
    </row>
    <row r="3158" ht="15.75" customHeight="1">
      <c r="A3158" s="335" t="s">
        <v>4305</v>
      </c>
      <c r="B3158" s="336">
        <v>45962.0</v>
      </c>
      <c r="C3158" s="335" t="s">
        <v>9</v>
      </c>
      <c r="D3158" s="335" t="s">
        <v>47</v>
      </c>
      <c r="E3158" s="337" t="str">
        <f t="shared" si="1"/>
        <v>大鉄　堺:豊通</v>
      </c>
      <c r="F3158" s="338" t="s">
        <v>145</v>
      </c>
      <c r="G3158" s="339" t="str">
        <f t="shared" si="2"/>
        <v>大鉄　堺:豊通シュレＡ</v>
      </c>
      <c r="H3158" s="340">
        <f t="shared" si="3"/>
        <v>30.2</v>
      </c>
      <c r="I3158" s="364">
        <v>0.5</v>
      </c>
      <c r="J3158" s="332">
        <f>IFERROR(__xludf.DUMMYFUNCTION("IF(IF(COUNTIF(P$2:P3157, P3158)=0, """", INDEX(H$2:H3157,
MAX(FILTER(ROW(H$2:H3157) - ROW(H$2) + 1, P$2:P3157 = P3158))))=""単価"","""",
IF(COUNTIF(P$2:P3157, P3158)=0, """", INDEX(H$2:H3157,
MAX(FILTER(ROW(H$2:H3157) - ROW(H$2) + 1, P$2:P3157 = P3158)))))"),29.7)</f>
        <v>29.7</v>
      </c>
      <c r="K3158" s="365"/>
      <c r="L3158" s="365"/>
      <c r="M3158" s="365"/>
      <c r="N3158" s="335" t="str">
        <f>IF(MAXIFS('単価履歴'!$O:$O,'単価履歴'!$E:$E,E3158,'単価履歴'!$F:$F,F3158)=O3158,"●","")</f>
        <v/>
      </c>
      <c r="O3158" s="366">
        <v>45962.354004629626</v>
      </c>
      <c r="P3158" s="334" t="str">
        <f t="shared" si="4"/>
        <v>大鉄　堺:豊通シュレＡ</v>
      </c>
    </row>
    <row r="3159" ht="15.75" customHeight="1">
      <c r="A3159" s="335" t="s">
        <v>4306</v>
      </c>
      <c r="B3159" s="336">
        <v>45962.0</v>
      </c>
      <c r="C3159" s="335" t="s">
        <v>9</v>
      </c>
      <c r="D3159" s="335" t="s">
        <v>47</v>
      </c>
      <c r="E3159" s="337" t="str">
        <f t="shared" si="1"/>
        <v>大鉄　堺:豊通</v>
      </c>
      <c r="F3159" s="338" t="s">
        <v>149</v>
      </c>
      <c r="G3159" s="339" t="str">
        <f t="shared" si="2"/>
        <v>大鉄　堺:豊通シュレＢ</v>
      </c>
      <c r="H3159" s="340">
        <f t="shared" si="3"/>
        <v>29.5</v>
      </c>
      <c r="I3159" s="364">
        <v>0.5</v>
      </c>
      <c r="J3159" s="332">
        <f>IFERROR(__xludf.DUMMYFUNCTION("IF(IF(COUNTIF(P$2:P3158, P3159)=0, """", INDEX(H$2:H3158,
MAX(FILTER(ROW(H$2:H3158) - ROW(H$2) + 1, P$2:P3158 = P3159))))=""単価"","""",
IF(COUNTIF(P$2:P3158, P3159)=0, """", INDEX(H$2:H3158,
MAX(FILTER(ROW(H$2:H3158) - ROW(H$2) + 1, P$2:P3158 = P3159)))))"),29.0)</f>
        <v>29</v>
      </c>
      <c r="K3159" s="365"/>
      <c r="L3159" s="365"/>
      <c r="M3159" s="365"/>
      <c r="N3159" s="335" t="str">
        <f>IF(MAXIFS('単価履歴'!$O:$O,'単価履歴'!$E:$E,E3159,'単価履歴'!$F:$F,F3159)=O3159,"●","")</f>
        <v/>
      </c>
      <c r="O3159" s="366">
        <v>45962.354004629626</v>
      </c>
      <c r="P3159" s="334" t="str">
        <f t="shared" si="4"/>
        <v>大鉄　堺:豊通シュレＢ</v>
      </c>
    </row>
    <row r="3160" ht="15.75" customHeight="1">
      <c r="A3160" s="335" t="s">
        <v>4307</v>
      </c>
      <c r="B3160" s="336">
        <v>45962.0</v>
      </c>
      <c r="C3160" s="335" t="s">
        <v>9</v>
      </c>
      <c r="D3160" s="335" t="s">
        <v>47</v>
      </c>
      <c r="E3160" s="337" t="str">
        <f t="shared" si="1"/>
        <v>大鉄　堺:豊通</v>
      </c>
      <c r="F3160" s="338" t="s">
        <v>151</v>
      </c>
      <c r="G3160" s="339" t="str">
        <f t="shared" si="2"/>
        <v>大鉄　堺:豊通シュレＣ</v>
      </c>
      <c r="H3160" s="340">
        <f t="shared" si="3"/>
        <v>28.1</v>
      </c>
      <c r="I3160" s="364">
        <v>0.5</v>
      </c>
      <c r="J3160" s="332">
        <f>IFERROR(__xludf.DUMMYFUNCTION("IF(IF(COUNTIF(P$2:P3159, P3160)=0, """", INDEX(H$2:H3159,
MAX(FILTER(ROW(H$2:H3159) - ROW(H$2) + 1, P$2:P3159 = P3160))))=""単価"","""",
IF(COUNTIF(P$2:P3159, P3160)=0, """", INDEX(H$2:H3159,
MAX(FILTER(ROW(H$2:H3159) - ROW(H$2) + 1, P$2:P3159 = P3160)))))"),27.6)</f>
        <v>27.6</v>
      </c>
      <c r="K3160" s="365"/>
      <c r="L3160" s="365"/>
      <c r="M3160" s="365"/>
      <c r="N3160" s="335" t="str">
        <f>IF(MAXIFS('単価履歴'!$O:$O,'単価履歴'!$E:$E,E3160,'単価履歴'!$F:$F,F3160)=O3160,"●","")</f>
        <v/>
      </c>
      <c r="O3160" s="366">
        <v>45962.354004629626</v>
      </c>
      <c r="P3160" s="334" t="str">
        <f t="shared" si="4"/>
        <v>大鉄　堺:豊通シュレＣ</v>
      </c>
    </row>
    <row r="3161" ht="15.75" customHeight="1">
      <c r="A3161" s="335" t="s">
        <v>4308</v>
      </c>
      <c r="B3161" s="336">
        <v>45962.0</v>
      </c>
      <c r="C3161" s="335" t="s">
        <v>9</v>
      </c>
      <c r="D3161" s="335" t="s">
        <v>47</v>
      </c>
      <c r="E3161" s="337" t="str">
        <f t="shared" si="1"/>
        <v>大鉄　堺:豊通</v>
      </c>
      <c r="F3161" s="338" t="s">
        <v>154</v>
      </c>
      <c r="G3161" s="339" t="str">
        <f t="shared" si="2"/>
        <v>大鉄　堺:豊通ＣＰ Ａ</v>
      </c>
      <c r="H3161" s="340">
        <f t="shared" si="3"/>
        <v>40.7</v>
      </c>
      <c r="I3161" s="364">
        <v>0.5</v>
      </c>
      <c r="J3161" s="332">
        <f>IFERROR(__xludf.DUMMYFUNCTION("IF(IF(COUNTIF(P$2:P3160, P3161)=0, """", INDEX(H$2:H3160,
MAX(FILTER(ROW(H$2:H3160) - ROW(H$2) + 1, P$2:P3160 = P3161))))=""単価"","""",
IF(COUNTIF(P$2:P3160, P3161)=0, """", INDEX(H$2:H3160,
MAX(FILTER(ROW(H$2:H3160) - ROW(H$2) + 1, P$2:P3160 = P3161)))))"),40.2)</f>
        <v>40.2</v>
      </c>
      <c r="K3161" s="365"/>
      <c r="L3161" s="365"/>
      <c r="M3161" s="365"/>
      <c r="N3161" s="335" t="str">
        <f>IF(MAXIFS('単価履歴'!$O:$O,'単価履歴'!$E:$E,E3161,'単価履歴'!$F:$F,F3161)=O3161,"●","")</f>
        <v/>
      </c>
      <c r="O3161" s="366">
        <v>45962.354004629626</v>
      </c>
      <c r="P3161" s="334" t="str">
        <f t="shared" si="4"/>
        <v>大鉄　堺:豊通ＣＰ Ａ</v>
      </c>
    </row>
    <row r="3162" ht="15.75" customHeight="1">
      <c r="A3162" s="335" t="s">
        <v>4309</v>
      </c>
      <c r="B3162" s="336">
        <v>45962.0</v>
      </c>
      <c r="C3162" s="335" t="s">
        <v>9</v>
      </c>
      <c r="D3162" s="335" t="s">
        <v>47</v>
      </c>
      <c r="E3162" s="337" t="str">
        <f t="shared" si="1"/>
        <v>大鉄　堺:豊通</v>
      </c>
      <c r="F3162" s="338" t="s">
        <v>156</v>
      </c>
      <c r="G3162" s="339" t="str">
        <f t="shared" si="2"/>
        <v>大鉄　堺:豊通ＣＰ Ｂ一斗缶</v>
      </c>
      <c r="H3162" s="340">
        <f t="shared" si="3"/>
        <v>34.2</v>
      </c>
      <c r="I3162" s="364">
        <v>0.5</v>
      </c>
      <c r="J3162" s="332">
        <f>IFERROR(__xludf.DUMMYFUNCTION("IF(IF(COUNTIF(P$2:P3161, P3162)=0, """", INDEX(H$2:H3161,
MAX(FILTER(ROW(H$2:H3161) - ROW(H$2) + 1, P$2:P3161 = P3162))))=""単価"","""",
IF(COUNTIF(P$2:P3161, P3162)=0, """", INDEX(H$2:H3161,
MAX(FILTER(ROW(H$2:H3161) - ROW(H$2) + 1, P$2:P3161 = P3162)))))"),33.7)</f>
        <v>33.7</v>
      </c>
      <c r="K3162" s="365"/>
      <c r="L3162" s="365"/>
      <c r="M3162" s="365"/>
      <c r="N3162" s="335" t="str">
        <f>IF(MAXIFS('単価履歴'!$O:$O,'単価履歴'!$E:$E,E3162,'単価履歴'!$F:$F,F3162)=O3162,"●","")</f>
        <v/>
      </c>
      <c r="O3162" s="366">
        <v>45962.354004629626</v>
      </c>
      <c r="P3162" s="334" t="str">
        <f t="shared" si="4"/>
        <v>大鉄　堺:豊通ＣＰ Ｂ一斗缶</v>
      </c>
    </row>
    <row r="3163" ht="15.75" customHeight="1">
      <c r="A3163" s="335" t="s">
        <v>4310</v>
      </c>
      <c r="B3163" s="336">
        <v>45962.0</v>
      </c>
      <c r="C3163" s="335" t="s">
        <v>9</v>
      </c>
      <c r="D3163" s="335" t="s">
        <v>47</v>
      </c>
      <c r="E3163" s="337" t="str">
        <f t="shared" si="1"/>
        <v>大鉄　堺:豊通</v>
      </c>
      <c r="F3163" s="338" t="s">
        <v>575</v>
      </c>
      <c r="G3163" s="339" t="str">
        <f t="shared" si="2"/>
        <v>大鉄　堺:豊通鋼ダライＡ</v>
      </c>
      <c r="H3163" s="340">
        <f t="shared" si="3"/>
        <v>27.2</v>
      </c>
      <c r="I3163" s="364">
        <v>1.0</v>
      </c>
      <c r="J3163" s="332">
        <f>IFERROR(__xludf.DUMMYFUNCTION("IF(IF(COUNTIF(P$2:P3162, P3163)=0, """", INDEX(H$2:H3162,
MAX(FILTER(ROW(H$2:H3162) - ROW(H$2) + 1, P$2:P3162 = P3163))))=""単価"","""",
IF(COUNTIF(P$2:P3162, P3163)=0, """", INDEX(H$2:H3162,
MAX(FILTER(ROW(H$2:H3162) - ROW(H$2) + 1, P$2:P3162 = P3163)))))"),26.2)</f>
        <v>26.2</v>
      </c>
      <c r="K3163" s="365"/>
      <c r="L3163" s="365"/>
      <c r="M3163" s="365"/>
      <c r="N3163" s="335" t="str">
        <f>IF(MAXIFS('単価履歴'!$O:$O,'単価履歴'!$E:$E,E3163,'単価履歴'!$F:$F,F3163)=O3163,"●","")</f>
        <v/>
      </c>
      <c r="O3163" s="366">
        <v>45962.35425925926</v>
      </c>
      <c r="P3163" s="334" t="str">
        <f t="shared" si="4"/>
        <v>大鉄　堺:豊通鋼ダライＡ</v>
      </c>
    </row>
    <row r="3164" ht="15.75" customHeight="1">
      <c r="A3164" s="335" t="s">
        <v>4311</v>
      </c>
      <c r="B3164" s="336">
        <v>45962.0</v>
      </c>
      <c r="C3164" s="335" t="s">
        <v>9</v>
      </c>
      <c r="D3164" s="335" t="s">
        <v>47</v>
      </c>
      <c r="E3164" s="337" t="str">
        <f t="shared" si="1"/>
        <v>大鉄　堺:豊通</v>
      </c>
      <c r="F3164" s="338" t="s">
        <v>576</v>
      </c>
      <c r="G3164" s="339" t="str">
        <f t="shared" si="2"/>
        <v>大鉄　堺:豊通鋼ダライＢ</v>
      </c>
      <c r="H3164" s="340">
        <f t="shared" si="3"/>
        <v>27.2</v>
      </c>
      <c r="I3164" s="364">
        <v>1.0</v>
      </c>
      <c r="J3164" s="332">
        <f>IFERROR(__xludf.DUMMYFUNCTION("IF(IF(COUNTIF(P$2:P3163, P3164)=0, """", INDEX(H$2:H3163,
MAX(FILTER(ROW(H$2:H3163) - ROW(H$2) + 1, P$2:P3163 = P3164))))=""単価"","""",
IF(COUNTIF(P$2:P3163, P3164)=0, """", INDEX(H$2:H3163,
MAX(FILTER(ROW(H$2:H3163) - ROW(H$2) + 1, P$2:P3163 = P3164)))))"),26.2)</f>
        <v>26.2</v>
      </c>
      <c r="K3164" s="365"/>
      <c r="L3164" s="365"/>
      <c r="M3164" s="365"/>
      <c r="N3164" s="335" t="str">
        <f>IF(MAXIFS('単価履歴'!$O:$O,'単価履歴'!$E:$E,E3164,'単価履歴'!$F:$F,F3164)=O3164,"●","")</f>
        <v/>
      </c>
      <c r="O3164" s="366">
        <v>45962.35425925926</v>
      </c>
      <c r="P3164" s="334" t="str">
        <f t="shared" si="4"/>
        <v>大鉄　堺:豊通鋼ダライＢ</v>
      </c>
    </row>
    <row r="3165" ht="15.75" customHeight="1">
      <c r="A3165" s="335" t="s">
        <v>4312</v>
      </c>
      <c r="B3165" s="336">
        <v>45962.0</v>
      </c>
      <c r="C3165" s="335" t="s">
        <v>9</v>
      </c>
      <c r="D3165" s="335" t="s">
        <v>49</v>
      </c>
      <c r="E3165" s="337" t="str">
        <f t="shared" si="1"/>
        <v>大鉄　堺:伊藤忠</v>
      </c>
      <c r="F3165" s="338" t="s">
        <v>111</v>
      </c>
      <c r="G3165" s="339" t="str">
        <f t="shared" si="2"/>
        <v>大鉄　堺:伊藤忠Ｈ１(特A)</v>
      </c>
      <c r="H3165" s="340">
        <f t="shared" si="3"/>
        <v>28.8</v>
      </c>
      <c r="I3165" s="341">
        <v>0.5</v>
      </c>
      <c r="J3165" s="332">
        <f>IFERROR(__xludf.DUMMYFUNCTION("IF(IF(COUNTIF(P$2:P3164, P3165)=0, """", INDEX(H$2:H3164,
MAX(FILTER(ROW(H$2:H3164) - ROW(H$2) + 1, P$2:P3164 = P3165))))=""単価"","""",
IF(COUNTIF(P$2:P3164, P3165)=0, """", INDEX(H$2:H3164,
MAX(FILTER(ROW(H$2:H3164) - ROW(H$2) + 1, P$2:P3164 = P3165)))))"),28.3)</f>
        <v>28.3</v>
      </c>
      <c r="N3165" s="335" t="str">
        <f>IF(MAXIFS('単価履歴'!$O:$O,'単価履歴'!$E:$E,E3165,'単価履歴'!$F:$F,F3165)=O3165,"●","")</f>
        <v/>
      </c>
      <c r="O3165" s="346">
        <v>45962.35440972222</v>
      </c>
      <c r="P3165" s="334" t="str">
        <f t="shared" si="4"/>
        <v>大鉄　堺:伊藤忠Ｈ１(特A)</v>
      </c>
    </row>
    <row r="3166" ht="15.75" customHeight="1">
      <c r="A3166" s="335" t="s">
        <v>4313</v>
      </c>
      <c r="B3166" s="336">
        <v>45962.0</v>
      </c>
      <c r="C3166" s="335" t="s">
        <v>9</v>
      </c>
      <c r="D3166" s="335" t="s">
        <v>49</v>
      </c>
      <c r="E3166" s="337" t="str">
        <f t="shared" si="1"/>
        <v>大鉄　堺:伊藤忠</v>
      </c>
      <c r="F3166" s="338" t="s">
        <v>1237</v>
      </c>
      <c r="G3166" s="339" t="str">
        <f t="shared" si="2"/>
        <v>大鉄　堺:伊藤忠ＪＨ１(H2T山口)鍛造ﾊﾞﾘ</v>
      </c>
      <c r="H3166" s="340">
        <f t="shared" si="3"/>
        <v>36.2</v>
      </c>
      <c r="I3166" s="341">
        <v>0.5</v>
      </c>
      <c r="J3166" s="332">
        <f>IFERROR(__xludf.DUMMYFUNCTION("IF(IF(COUNTIF(P$2:P3165, P3166)=0, """", INDEX(H$2:H3165,
MAX(FILTER(ROW(H$2:H3165) - ROW(H$2) + 1, P$2:P3165 = P3166))))=""単価"","""",
IF(COUNTIF(P$2:P3165, P3166)=0, """", INDEX(H$2:H3165,
MAX(FILTER(ROW(H$2:H3165) - ROW(H$2) + 1, P$2:P3165 = P3166)))))"),35.7)</f>
        <v>35.7</v>
      </c>
      <c r="N3166" s="335" t="str">
        <f>IF(MAXIFS('単価履歴'!$O:$O,'単価履歴'!$E:$E,E3166,'単価履歴'!$F:$F,F3166)=O3166,"●","")</f>
        <v/>
      </c>
      <c r="O3166" s="346">
        <v>45962.35440972222</v>
      </c>
      <c r="P3166" s="334" t="str">
        <f t="shared" si="4"/>
        <v>大鉄　堺:伊藤忠ＪＨ１(H2T山口)鍛造ﾊﾞﾘ</v>
      </c>
    </row>
    <row r="3167" ht="15.75" customHeight="1">
      <c r="A3167" s="335" t="s">
        <v>4314</v>
      </c>
      <c r="B3167" s="336">
        <v>45962.0</v>
      </c>
      <c r="C3167" s="335" t="s">
        <v>9</v>
      </c>
      <c r="D3167" s="335" t="s">
        <v>49</v>
      </c>
      <c r="E3167" s="337" t="str">
        <f t="shared" si="1"/>
        <v>大鉄　堺:伊藤忠</v>
      </c>
      <c r="F3167" s="338" t="s">
        <v>116</v>
      </c>
      <c r="G3167" s="339" t="str">
        <f t="shared" si="2"/>
        <v>大鉄　堺:伊藤忠Ｈ２(特級)</v>
      </c>
      <c r="H3167" s="340">
        <f t="shared" si="3"/>
        <v>34</v>
      </c>
      <c r="I3167" s="341">
        <v>0.5</v>
      </c>
      <c r="J3167" s="332">
        <f>IFERROR(__xludf.DUMMYFUNCTION("IF(IF(COUNTIF(P$2:P3166, P3167)=0, """", INDEX(H$2:H3166,
MAX(FILTER(ROW(H$2:H3166) - ROW(H$2) + 1, P$2:P3166 = P3167))))=""単価"","""",
IF(COUNTIF(P$2:P3166, P3167)=0, """", INDEX(H$2:H3166,
MAX(FILTER(ROW(H$2:H3166) - ROW(H$2) + 1, P$2:P3166 = P3167)))))"),33.5)</f>
        <v>33.5</v>
      </c>
      <c r="N3167" s="335" t="str">
        <f>IF(MAXIFS('単価履歴'!$O:$O,'単価履歴'!$E:$E,E3167,'単価履歴'!$F:$F,F3167)=O3167,"●","")</f>
        <v/>
      </c>
      <c r="O3167" s="346">
        <v>45962.35440972222</v>
      </c>
      <c r="P3167" s="334" t="str">
        <f t="shared" si="4"/>
        <v>大鉄　堺:伊藤忠Ｈ２(特級)</v>
      </c>
    </row>
    <row r="3168" ht="15.75" customHeight="1">
      <c r="A3168" s="335" t="s">
        <v>4315</v>
      </c>
      <c r="B3168" s="336">
        <v>45962.0</v>
      </c>
      <c r="C3168" s="335" t="s">
        <v>9</v>
      </c>
      <c r="D3168" s="335" t="s">
        <v>49</v>
      </c>
      <c r="E3168" s="337" t="str">
        <f t="shared" si="1"/>
        <v>大鉄　堺:伊藤忠</v>
      </c>
      <c r="F3168" s="338" t="s">
        <v>119</v>
      </c>
      <c r="G3168" s="339" t="str">
        <f t="shared" si="2"/>
        <v>大鉄　堺:伊藤忠Ｈ３(1級)</v>
      </c>
      <c r="H3168" s="340">
        <f t="shared" si="3"/>
        <v>33</v>
      </c>
      <c r="I3168" s="341">
        <v>0.5</v>
      </c>
      <c r="J3168" s="332">
        <f>IFERROR(__xludf.DUMMYFUNCTION("IF(IF(COUNTIF(P$2:P3167, P3168)=0, """", INDEX(H$2:H3167,
MAX(FILTER(ROW(H$2:H3167) - ROW(H$2) + 1, P$2:P3167 = P3168))))=""単価"","""",
IF(COUNTIF(P$2:P3167, P3168)=0, """", INDEX(H$2:H3167,
MAX(FILTER(ROW(H$2:H3167) - ROW(H$2) + 1, P$2:P3167 = P3168)))))"),32.5)</f>
        <v>32.5</v>
      </c>
      <c r="N3168" s="335" t="str">
        <f>IF(MAXIFS('単価履歴'!$O:$O,'単価履歴'!$E:$E,E3168,'単価履歴'!$F:$F,F3168)=O3168,"●","")</f>
        <v/>
      </c>
      <c r="O3168" s="346">
        <v>45962.35440972222</v>
      </c>
      <c r="P3168" s="334" t="str">
        <f t="shared" si="4"/>
        <v>大鉄　堺:伊藤忠Ｈ３(1級)</v>
      </c>
    </row>
    <row r="3169" ht="15.75" customHeight="1">
      <c r="A3169" s="335" t="s">
        <v>4316</v>
      </c>
      <c r="B3169" s="336">
        <v>45962.0</v>
      </c>
      <c r="C3169" s="335" t="s">
        <v>9</v>
      </c>
      <c r="D3169" s="335" t="s">
        <v>49</v>
      </c>
      <c r="E3169" s="337" t="str">
        <f t="shared" si="1"/>
        <v>大鉄　堺:伊藤忠</v>
      </c>
      <c r="F3169" s="338" t="s">
        <v>122</v>
      </c>
      <c r="G3169" s="339" t="str">
        <f t="shared" si="2"/>
        <v>大鉄　堺:伊藤忠Ｌ１(2級)</v>
      </c>
      <c r="H3169" s="340">
        <f t="shared" si="3"/>
        <v>32</v>
      </c>
      <c r="I3169" s="341">
        <v>0.5</v>
      </c>
      <c r="J3169" s="332">
        <f>IFERROR(__xludf.DUMMYFUNCTION("IF(IF(COUNTIF(P$2:P3168, P3169)=0, """", INDEX(H$2:H3168,
MAX(FILTER(ROW(H$2:H3168) - ROW(H$2) + 1, P$2:P3168 = P3169))))=""単価"","""",
IF(COUNTIF(P$2:P3168, P3169)=0, """", INDEX(H$2:H3168,
MAX(FILTER(ROW(H$2:H3168) - ROW(H$2) + 1, P$2:P3168 = P3169)))))"),31.5)</f>
        <v>31.5</v>
      </c>
      <c r="N3169" s="335" t="str">
        <f>IF(MAXIFS('単価履歴'!$O:$O,'単価履歴'!$E:$E,E3169,'単価履歴'!$F:$F,F3169)=O3169,"●","")</f>
        <v/>
      </c>
      <c r="O3169" s="346">
        <v>45962.35440972222</v>
      </c>
      <c r="P3169" s="334" t="str">
        <f t="shared" si="4"/>
        <v>大鉄　堺:伊藤忠Ｌ１(2級)</v>
      </c>
    </row>
    <row r="3170" ht="15.75" customHeight="1">
      <c r="A3170" s="335" t="s">
        <v>4317</v>
      </c>
      <c r="B3170" s="336">
        <v>45962.0</v>
      </c>
      <c r="C3170" s="335" t="s">
        <v>9</v>
      </c>
      <c r="D3170" s="335" t="s">
        <v>49</v>
      </c>
      <c r="E3170" s="337" t="str">
        <f t="shared" si="1"/>
        <v>大鉄　堺:伊藤忠</v>
      </c>
      <c r="F3170" s="338" t="s">
        <v>130</v>
      </c>
      <c r="G3170" s="339" t="str">
        <f t="shared" si="2"/>
        <v>大鉄　堺:伊藤忠新断Ａ</v>
      </c>
      <c r="H3170" s="340">
        <f t="shared" si="3"/>
        <v>28.3</v>
      </c>
      <c r="I3170" s="341">
        <v>0.5</v>
      </c>
      <c r="J3170" s="332">
        <f>IFERROR(__xludf.DUMMYFUNCTION("IF(IF(COUNTIF(P$2:P3169, P3170)=0, """", INDEX(H$2:H3169,
MAX(FILTER(ROW(H$2:H3169) - ROW(H$2) + 1, P$2:P3169 = P3170))))=""単価"","""",
IF(COUNTIF(P$2:P3169, P3170)=0, """", INDEX(H$2:H3169,
MAX(FILTER(ROW(H$2:H3169) - ROW(H$2) + 1, P$2:P3169 = P3170)))))"),27.8)</f>
        <v>27.8</v>
      </c>
      <c r="N3170" s="335" t="str">
        <f>IF(MAXIFS('単価履歴'!$O:$O,'単価履歴'!$E:$E,E3170,'単価履歴'!$F:$F,F3170)=O3170,"●","")</f>
        <v/>
      </c>
      <c r="O3170" s="346">
        <v>45962.35440972222</v>
      </c>
      <c r="P3170" s="334" t="str">
        <f t="shared" si="4"/>
        <v>大鉄　堺:伊藤忠新断Ａ</v>
      </c>
    </row>
    <row r="3171" ht="15.75" customHeight="1">
      <c r="A3171" s="335" t="s">
        <v>4318</v>
      </c>
      <c r="B3171" s="336">
        <v>45962.0</v>
      </c>
      <c r="C3171" s="335" t="s">
        <v>9</v>
      </c>
      <c r="D3171" s="335" t="s">
        <v>49</v>
      </c>
      <c r="E3171" s="337" t="str">
        <f t="shared" si="1"/>
        <v>大鉄　堺:伊藤忠</v>
      </c>
      <c r="F3171" s="338" t="s">
        <v>131</v>
      </c>
      <c r="G3171" s="339" t="str">
        <f t="shared" si="2"/>
        <v>大鉄　堺:伊藤忠新断Ｂ</v>
      </c>
      <c r="H3171" s="340">
        <f t="shared" si="3"/>
        <v>27.8</v>
      </c>
      <c r="I3171" s="341">
        <v>0.5</v>
      </c>
      <c r="J3171" s="332">
        <f>IFERROR(__xludf.DUMMYFUNCTION("IF(IF(COUNTIF(P$2:P3170, P3171)=0, """", INDEX(H$2:H3170,
MAX(FILTER(ROW(H$2:H3170) - ROW(H$2) + 1, P$2:P3170 = P3171))))=""単価"","""",
IF(COUNTIF(P$2:P3170, P3171)=0, """", INDEX(H$2:H3170,
MAX(FILTER(ROW(H$2:H3170) - ROW(H$2) + 1, P$2:P3170 = P3171)))))"),27.3)</f>
        <v>27.3</v>
      </c>
      <c r="N3171" s="335" t="str">
        <f>IF(MAXIFS('単価履歴'!$O:$O,'単価履歴'!$E:$E,E3171,'単価履歴'!$F:$F,F3171)=O3171,"●","")</f>
        <v/>
      </c>
      <c r="O3171" s="346">
        <v>45962.35440972222</v>
      </c>
      <c r="P3171" s="334" t="str">
        <f t="shared" si="4"/>
        <v>大鉄　堺:伊藤忠新断Ｂ</v>
      </c>
    </row>
    <row r="3172" ht="15.75" customHeight="1">
      <c r="A3172" s="335" t="s">
        <v>4319</v>
      </c>
      <c r="B3172" s="336">
        <v>45951.0</v>
      </c>
      <c r="C3172" s="335" t="s">
        <v>9</v>
      </c>
      <c r="D3172" s="335" t="s">
        <v>50</v>
      </c>
      <c r="E3172" s="337" t="str">
        <f t="shared" si="1"/>
        <v>大鉄　堺:産振</v>
      </c>
      <c r="F3172" s="338" t="s">
        <v>116</v>
      </c>
      <c r="G3172" s="339" t="str">
        <f t="shared" si="2"/>
        <v>大鉄　堺:産振Ｈ２(特級)</v>
      </c>
      <c r="H3172" s="340">
        <f t="shared" si="3"/>
        <v>43.2</v>
      </c>
      <c r="I3172" s="341">
        <v>1.0</v>
      </c>
      <c r="J3172" s="332">
        <f>IFERROR(__xludf.DUMMYFUNCTION("IF(IF(COUNTIF(P$2:P3171, P3172)=0, """", INDEX(H$2:H3171,
MAX(FILTER(ROW(H$2:H3171) - ROW(H$2) + 1, P$2:P3171 = P3172))))=""単価"","""",
IF(COUNTIF(P$2:P3171, P3172)=0, """", INDEX(H$2:H3171,
MAX(FILTER(ROW(H$2:H3171) - ROW(H$2) + 1, P$2:P3171 = P3172)))))"),42.2)</f>
        <v>42.2</v>
      </c>
      <c r="N3172" s="335" t="str">
        <f>IF(MAXIFS('単価履歴'!$O:$O,'単価履歴'!$E:$E,E3172,'単価履歴'!$F:$F,F3172)=O3172,"●","")</f>
        <v/>
      </c>
      <c r="O3172" s="346">
        <v>45962.35497685186</v>
      </c>
      <c r="P3172" s="334" t="str">
        <f t="shared" si="4"/>
        <v>大鉄　堺:産振Ｈ２(特級)</v>
      </c>
    </row>
    <row r="3173" ht="15.75" customHeight="1">
      <c r="A3173" s="335" t="s">
        <v>4320</v>
      </c>
      <c r="B3173" s="336">
        <v>45951.0</v>
      </c>
      <c r="C3173" s="335" t="s">
        <v>9</v>
      </c>
      <c r="D3173" s="335" t="s">
        <v>50</v>
      </c>
      <c r="E3173" s="337" t="str">
        <f t="shared" si="1"/>
        <v>大鉄　堺:産振</v>
      </c>
      <c r="F3173" s="338" t="s">
        <v>575</v>
      </c>
      <c r="G3173" s="339" t="str">
        <f t="shared" si="2"/>
        <v>大鉄　堺:産振鋼ダライＡ</v>
      </c>
      <c r="H3173" s="340">
        <f t="shared" si="3"/>
        <v>37.2</v>
      </c>
      <c r="I3173" s="341">
        <v>1.0</v>
      </c>
      <c r="J3173" s="332">
        <f>IFERROR(__xludf.DUMMYFUNCTION("IF(IF(COUNTIF(P$2:P3172, P3173)=0, """", INDEX(H$2:H3172,
MAX(FILTER(ROW(H$2:H3172) - ROW(H$2) + 1, P$2:P3172 = P3173))))=""単価"","""",
IF(COUNTIF(P$2:P3172, P3173)=0, """", INDEX(H$2:H3172,
MAX(FILTER(ROW(H$2:H3172) - ROW(H$2) + 1, P$2:P3172 = P3173)))))"),36.2)</f>
        <v>36.2</v>
      </c>
      <c r="N3173" s="335" t="str">
        <f>IF(MAXIFS('単価履歴'!$O:$O,'単価履歴'!$E:$E,E3173,'単価履歴'!$F:$F,F3173)=O3173,"●","")</f>
        <v/>
      </c>
      <c r="O3173" s="346">
        <v>45962.35497685186</v>
      </c>
      <c r="P3173" s="334" t="str">
        <f t="shared" si="4"/>
        <v>大鉄　堺:産振鋼ダライＡ</v>
      </c>
    </row>
    <row r="3174" ht="15.75" customHeight="1">
      <c r="A3174" s="335" t="s">
        <v>4321</v>
      </c>
      <c r="B3174" s="336">
        <v>45951.0</v>
      </c>
      <c r="C3174" s="335" t="s">
        <v>9</v>
      </c>
      <c r="D3174" s="335" t="s">
        <v>50</v>
      </c>
      <c r="E3174" s="337" t="str">
        <f t="shared" si="1"/>
        <v>大鉄　堺:産振</v>
      </c>
      <c r="F3174" s="338" t="s">
        <v>111</v>
      </c>
      <c r="G3174" s="339" t="str">
        <f t="shared" si="2"/>
        <v>大鉄　堺:産振Ｈ１(特A)</v>
      </c>
      <c r="H3174" s="340">
        <f t="shared" si="3"/>
        <v>45.7</v>
      </c>
      <c r="I3174" s="341">
        <v>0.5</v>
      </c>
      <c r="J3174" s="332">
        <f>IFERROR(__xludf.DUMMYFUNCTION("IF(IF(COUNTIF(P$2:P3173, P3174)=0, """", INDEX(H$2:H3173,
MAX(FILTER(ROW(H$2:H3173) - ROW(H$2) + 1, P$2:P3173 = P3174))))=""単価"","""",
IF(COUNTIF(P$2:P3173, P3174)=0, """", INDEX(H$2:H3173,
MAX(FILTER(ROW(H$2:H3173) - ROW(H$2) + 1, P$2:P3173 = P3174)))))"),45.2)</f>
        <v>45.2</v>
      </c>
      <c r="N3174" s="335" t="str">
        <f>IF(MAXIFS('単価履歴'!$O:$O,'単価履歴'!$E:$E,E3174,'単価履歴'!$F:$F,F3174)=O3174,"●","")</f>
        <v/>
      </c>
      <c r="O3174" s="346">
        <v>45962.356875</v>
      </c>
      <c r="P3174" s="334" t="str">
        <f t="shared" si="4"/>
        <v>大鉄　堺:産振Ｈ１(特A)</v>
      </c>
    </row>
    <row r="3175" ht="15.75" customHeight="1">
      <c r="A3175" s="335" t="s">
        <v>4322</v>
      </c>
      <c r="B3175" s="336">
        <v>45951.0</v>
      </c>
      <c r="C3175" s="335" t="s">
        <v>9</v>
      </c>
      <c r="D3175" s="335" t="s">
        <v>50</v>
      </c>
      <c r="E3175" s="337" t="str">
        <f t="shared" si="1"/>
        <v>大鉄　堺:産振</v>
      </c>
      <c r="F3175" s="338" t="s">
        <v>119</v>
      </c>
      <c r="G3175" s="339" t="str">
        <f t="shared" si="2"/>
        <v>大鉄　堺:産振Ｈ３(1級)</v>
      </c>
      <c r="H3175" s="340">
        <f t="shared" si="3"/>
        <v>24.7</v>
      </c>
      <c r="I3175" s="341">
        <v>0.5</v>
      </c>
      <c r="J3175" s="332">
        <f>IFERROR(__xludf.DUMMYFUNCTION("IF(IF(COUNTIF(P$2:P3174, P3175)=0, """", INDEX(H$2:H3174,
MAX(FILTER(ROW(H$2:H3174) - ROW(H$2) + 1, P$2:P3174 = P3175))))=""単価"","""",
IF(COUNTIF(P$2:P3174, P3175)=0, """", INDEX(H$2:H3174,
MAX(FILTER(ROW(H$2:H3174) - ROW(H$2) + 1, P$2:P3174 = P3175)))))"),24.200000000000003)</f>
        <v>24.2</v>
      </c>
      <c r="N3175" s="335" t="str">
        <f>IF(MAXIFS('単価履歴'!$O:$O,'単価履歴'!$E:$E,E3175,'単価履歴'!$F:$F,F3175)=O3175,"●","")</f>
        <v/>
      </c>
      <c r="O3175" s="346">
        <v>45962.356875</v>
      </c>
      <c r="P3175" s="334" t="str">
        <f t="shared" si="4"/>
        <v>大鉄　堺:産振Ｈ３(1級)</v>
      </c>
    </row>
    <row r="3176" ht="15.75" customHeight="1">
      <c r="A3176" s="335" t="s">
        <v>4323</v>
      </c>
      <c r="B3176" s="336">
        <v>45951.0</v>
      </c>
      <c r="C3176" s="335" t="s">
        <v>9</v>
      </c>
      <c r="D3176" s="335" t="s">
        <v>50</v>
      </c>
      <c r="E3176" s="337" t="str">
        <f t="shared" si="1"/>
        <v>大鉄　堺:産振</v>
      </c>
      <c r="F3176" s="338" t="s">
        <v>154</v>
      </c>
      <c r="G3176" s="339" t="str">
        <f t="shared" si="2"/>
        <v>大鉄　堺:産振ＣＰ Ａ</v>
      </c>
      <c r="H3176" s="340">
        <f t="shared" si="3"/>
        <v>46.2</v>
      </c>
      <c r="I3176" s="341">
        <v>0.5</v>
      </c>
      <c r="J3176" s="332">
        <f>IFERROR(__xludf.DUMMYFUNCTION("IF(IF(COUNTIF(P$2:P3175, P3176)=0, """", INDEX(H$2:H3175,
MAX(FILTER(ROW(H$2:H3175) - ROW(H$2) + 1, P$2:P3175 = P3176))))=""単価"","""",
IF(COUNTIF(P$2:P3175, P3176)=0, """", INDEX(H$2:H3175,
MAX(FILTER(ROW(H$2:H3175) - ROW(H$2) + 1, P$2:P3175 = P3176)))))"),45.7)</f>
        <v>45.7</v>
      </c>
      <c r="N3176" s="335" t="str">
        <f>IF(MAXIFS('単価履歴'!$O:$O,'単価履歴'!$E:$E,E3176,'単価履歴'!$F:$F,F3176)=O3176,"●","")</f>
        <v/>
      </c>
      <c r="O3176" s="346">
        <v>45962.356875</v>
      </c>
      <c r="P3176" s="334" t="str">
        <f t="shared" si="4"/>
        <v>大鉄　堺:産振ＣＰ Ａ</v>
      </c>
    </row>
    <row r="3177" ht="15.75" customHeight="1">
      <c r="A3177" s="335" t="s">
        <v>4324</v>
      </c>
      <c r="B3177" s="336">
        <v>45951.0</v>
      </c>
      <c r="C3177" s="335" t="s">
        <v>9</v>
      </c>
      <c r="D3177" s="335" t="s">
        <v>50</v>
      </c>
      <c r="E3177" s="337" t="str">
        <f t="shared" si="1"/>
        <v>大鉄　堺:産振</v>
      </c>
      <c r="F3177" s="338" t="s">
        <v>156</v>
      </c>
      <c r="G3177" s="339" t="str">
        <f t="shared" si="2"/>
        <v>大鉄　堺:産振ＣＰ Ｂ一斗缶</v>
      </c>
      <c r="H3177" s="340">
        <f t="shared" si="3"/>
        <v>36</v>
      </c>
      <c r="I3177" s="341">
        <v>0.5</v>
      </c>
      <c r="J3177" s="332">
        <f>IFERROR(__xludf.DUMMYFUNCTION("IF(IF(COUNTIF(P$2:P3176, P3177)=0, """", INDEX(H$2:H3176,
MAX(FILTER(ROW(H$2:H3176) - ROW(H$2) + 1, P$2:P3176 = P3177))))=""単価"","""",
IF(COUNTIF(P$2:P3176, P3177)=0, """", INDEX(H$2:H3176,
MAX(FILTER(ROW(H$2:H3176) - ROW(H$2) + 1, P$2:P3176 = P3177)))))"),35.5)</f>
        <v>35.5</v>
      </c>
      <c r="N3177" s="335" t="str">
        <f>IF(MAXIFS('単価履歴'!$O:$O,'単価履歴'!$E:$E,E3177,'単価履歴'!$F:$F,F3177)=O3177,"●","")</f>
        <v/>
      </c>
      <c r="O3177" s="346">
        <v>45962.356875</v>
      </c>
      <c r="P3177" s="334" t="str">
        <f t="shared" si="4"/>
        <v>大鉄　堺:産振ＣＰ Ｂ一斗缶</v>
      </c>
    </row>
    <row r="3178" ht="15.75" customHeight="1">
      <c r="A3178" s="335" t="s">
        <v>4325</v>
      </c>
      <c r="B3178" s="336">
        <v>45951.0</v>
      </c>
      <c r="C3178" s="335" t="s">
        <v>9</v>
      </c>
      <c r="D3178" s="335" t="s">
        <v>50</v>
      </c>
      <c r="E3178" s="337" t="str">
        <f t="shared" si="1"/>
        <v>大鉄　堺:産振</v>
      </c>
      <c r="F3178" s="338" t="s">
        <v>122</v>
      </c>
      <c r="G3178" s="339" t="str">
        <f t="shared" si="2"/>
        <v>大鉄　堺:産振Ｌ１(2級)</v>
      </c>
      <c r="H3178" s="340">
        <f t="shared" si="3"/>
        <v>23.7</v>
      </c>
      <c r="I3178" s="341">
        <v>0.5</v>
      </c>
      <c r="J3178" s="332">
        <f>IFERROR(__xludf.DUMMYFUNCTION("IF(IF(COUNTIF(P$2:P3177, P3178)=0, """", INDEX(H$2:H3177,
MAX(FILTER(ROW(H$2:H3177) - ROW(H$2) + 1, P$2:P3177 = P3178))))=""単価"","""",
IF(COUNTIF(P$2:P3177, P3178)=0, """", INDEX(H$2:H3177,
MAX(FILTER(ROW(H$2:H3177) - ROW(H$2) + 1, P$2:P3177 = P3178)))))"),23.200000000000003)</f>
        <v>23.2</v>
      </c>
      <c r="N3178" s="335" t="str">
        <f>IF(MAXIFS('単価履歴'!$O:$O,'単価履歴'!$E:$E,E3178,'単価履歴'!$F:$F,F3178)=O3178,"●","")</f>
        <v/>
      </c>
      <c r="O3178" s="346">
        <v>45962.356875</v>
      </c>
      <c r="P3178" s="334" t="str">
        <f t="shared" si="4"/>
        <v>大鉄　堺:産振Ｌ１(2級)</v>
      </c>
    </row>
    <row r="3179" ht="15.75" customHeight="1">
      <c r="A3179" s="335" t="s">
        <v>4326</v>
      </c>
      <c r="B3179" s="336">
        <v>45951.0</v>
      </c>
      <c r="C3179" s="335" t="s">
        <v>9</v>
      </c>
      <c r="D3179" s="335" t="s">
        <v>50</v>
      </c>
      <c r="E3179" s="337" t="str">
        <f t="shared" si="1"/>
        <v>大鉄　堺:産振</v>
      </c>
      <c r="F3179" s="338" t="s">
        <v>130</v>
      </c>
      <c r="G3179" s="339" t="str">
        <f t="shared" si="2"/>
        <v>大鉄　堺:産振新断Ａ</v>
      </c>
      <c r="H3179" s="340">
        <f t="shared" si="3"/>
        <v>42.2</v>
      </c>
      <c r="I3179" s="341">
        <v>0.5</v>
      </c>
      <c r="J3179" s="332">
        <f>IFERROR(__xludf.DUMMYFUNCTION("IF(IF(COUNTIF(P$2:P3178, P3179)=0, """", INDEX(H$2:H3178,
MAX(FILTER(ROW(H$2:H3178) - ROW(H$2) + 1, P$2:P3178 = P3179))))=""単価"","""",
IF(COUNTIF(P$2:P3178, P3179)=0, """", INDEX(H$2:H3178,
MAX(FILTER(ROW(H$2:H3178) - ROW(H$2) + 1, P$2:P3178 = P3179)))))"),41.7)</f>
        <v>41.7</v>
      </c>
      <c r="N3179" s="335" t="str">
        <f>IF(MAXIFS('単価履歴'!$O:$O,'単価履歴'!$E:$E,E3179,'単価履歴'!$F:$F,F3179)=O3179,"●","")</f>
        <v/>
      </c>
      <c r="O3179" s="346">
        <v>45962.356875</v>
      </c>
      <c r="P3179" s="334" t="str">
        <f t="shared" si="4"/>
        <v>大鉄　堺:産振新断Ａ</v>
      </c>
    </row>
    <row r="3180" ht="15.75" customHeight="1">
      <c r="A3180" s="335" t="s">
        <v>4327</v>
      </c>
      <c r="B3180" s="336">
        <v>45951.0</v>
      </c>
      <c r="C3180" s="335" t="s">
        <v>9</v>
      </c>
      <c r="D3180" s="335" t="s">
        <v>50</v>
      </c>
      <c r="E3180" s="337" t="str">
        <f t="shared" si="1"/>
        <v>大鉄　堺:産振</v>
      </c>
      <c r="F3180" s="338" t="s">
        <v>131</v>
      </c>
      <c r="G3180" s="339" t="str">
        <f t="shared" si="2"/>
        <v>大鉄　堺:産振新断Ｂ</v>
      </c>
      <c r="H3180" s="340">
        <f t="shared" si="3"/>
        <v>41.7</v>
      </c>
      <c r="I3180" s="341">
        <v>0.5</v>
      </c>
      <c r="J3180" s="332">
        <f>IFERROR(__xludf.DUMMYFUNCTION("IF(IF(COUNTIF(P$2:P3179, P3180)=0, """", INDEX(H$2:H3179,
MAX(FILTER(ROW(H$2:H3179) - ROW(H$2) + 1, P$2:P3179 = P3180))))=""単価"","""",
IF(COUNTIF(P$2:P3179, P3180)=0, """", INDEX(H$2:H3179,
MAX(FILTER(ROW(H$2:H3179) - ROW(H$2) + 1, P$2:P3179 = P3180)))))"),41.2)</f>
        <v>41.2</v>
      </c>
      <c r="N3180" s="335" t="str">
        <f>IF(MAXIFS('単価履歴'!$O:$O,'単価履歴'!$E:$E,E3180,'単価履歴'!$F:$F,F3180)=O3180,"●","")</f>
        <v/>
      </c>
      <c r="O3180" s="346">
        <v>45962.356875</v>
      </c>
      <c r="P3180" s="334" t="str">
        <f t="shared" si="4"/>
        <v>大鉄　堺:産振新断Ｂ</v>
      </c>
    </row>
    <row r="3181" ht="15.75" customHeight="1">
      <c r="A3181" s="335" t="s">
        <v>4328</v>
      </c>
      <c r="B3181" s="336">
        <v>45962.0</v>
      </c>
      <c r="C3181" s="335" t="s">
        <v>10</v>
      </c>
      <c r="D3181" s="335" t="s">
        <v>47</v>
      </c>
      <c r="E3181" s="337" t="str">
        <f t="shared" si="1"/>
        <v>岸和田:豊通</v>
      </c>
      <c r="F3181" s="338" t="s">
        <v>111</v>
      </c>
      <c r="G3181" s="339" t="str">
        <f t="shared" si="2"/>
        <v>岸和田:豊通Ｈ１(特A)</v>
      </c>
      <c r="H3181" s="340">
        <f t="shared" si="3"/>
        <v>44</v>
      </c>
      <c r="I3181" s="341">
        <v>0.5</v>
      </c>
      <c r="J3181" s="332">
        <f>IFERROR(__xludf.DUMMYFUNCTION("IF(IF(COUNTIF(P$2:P3180, P3181)=0, """", INDEX(H$2:H3180,
MAX(FILTER(ROW(H$2:H3180) - ROW(H$2) + 1, P$2:P3180 = P3181))))=""単価"","""",
IF(COUNTIF(P$2:P3180, P3181)=0, """", INDEX(H$2:H3180,
MAX(FILTER(ROW(H$2:H3180) - ROW(H$2) + 1, P$2:P3180 = P3181)))))"),43.5)</f>
        <v>43.5</v>
      </c>
      <c r="N3181" s="335" t="str">
        <f>IF(MAXIFS('単価履歴'!$O:$O,'単価履歴'!$E:$E,E3181,'単価履歴'!$F:$F,F3181)=O3181,"●","")</f>
        <v/>
      </c>
      <c r="O3181" s="346">
        <v>45962.35923611111</v>
      </c>
      <c r="P3181" s="334" t="str">
        <f t="shared" si="4"/>
        <v>岸和田:豊通Ｈ１(特A)</v>
      </c>
    </row>
    <row r="3182" ht="15.75" customHeight="1">
      <c r="A3182" s="335" t="s">
        <v>4329</v>
      </c>
      <c r="B3182" s="336">
        <v>45962.0</v>
      </c>
      <c r="C3182" s="335" t="s">
        <v>10</v>
      </c>
      <c r="D3182" s="335" t="s">
        <v>47</v>
      </c>
      <c r="E3182" s="337" t="str">
        <f t="shared" si="1"/>
        <v>岸和田:豊通</v>
      </c>
      <c r="F3182" s="338" t="s">
        <v>116</v>
      </c>
      <c r="G3182" s="339" t="str">
        <f t="shared" si="2"/>
        <v>岸和田:豊通Ｈ２(特級)</v>
      </c>
      <c r="H3182" s="340">
        <f t="shared" si="3"/>
        <v>41.5</v>
      </c>
      <c r="I3182" s="341">
        <v>0.5</v>
      </c>
      <c r="J3182" s="332">
        <f>IFERROR(__xludf.DUMMYFUNCTION("IF(IF(COUNTIF(P$2:P3181, P3182)=0, """", INDEX(H$2:H3181,
MAX(FILTER(ROW(H$2:H3181) - ROW(H$2) + 1, P$2:P3181 = P3182))))=""単価"","""",
IF(COUNTIF(P$2:P3181, P3182)=0, """", INDEX(H$2:H3181,
MAX(FILTER(ROW(H$2:H3181) - ROW(H$2) + 1, P$2:P3181 = P3182)))))"),41.0)</f>
        <v>41</v>
      </c>
      <c r="N3182" s="335" t="str">
        <f>IF(MAXIFS('単価履歴'!$O:$O,'単価履歴'!$E:$E,E3182,'単価履歴'!$F:$F,F3182)=O3182,"●","")</f>
        <v/>
      </c>
      <c r="O3182" s="346">
        <v>45962.35923611111</v>
      </c>
      <c r="P3182" s="334" t="str">
        <f t="shared" si="4"/>
        <v>岸和田:豊通Ｈ２(特級)</v>
      </c>
    </row>
    <row r="3183" ht="15.75" customHeight="1">
      <c r="A3183" s="335" t="s">
        <v>4330</v>
      </c>
      <c r="B3183" s="336">
        <v>45962.0</v>
      </c>
      <c r="C3183" s="335" t="s">
        <v>10</v>
      </c>
      <c r="D3183" s="335" t="s">
        <v>47</v>
      </c>
      <c r="E3183" s="337" t="str">
        <f t="shared" si="1"/>
        <v>岸和田:豊通</v>
      </c>
      <c r="F3183" s="338" t="s">
        <v>119</v>
      </c>
      <c r="G3183" s="339" t="str">
        <f t="shared" si="2"/>
        <v>岸和田:豊通Ｈ３(1級)</v>
      </c>
      <c r="H3183" s="340">
        <f t="shared" si="3"/>
        <v>41</v>
      </c>
      <c r="I3183" s="341">
        <v>0.5</v>
      </c>
      <c r="J3183" s="332">
        <f>IFERROR(__xludf.DUMMYFUNCTION("IF(IF(COUNTIF(P$2:P3182, P3183)=0, """", INDEX(H$2:H3182,
MAX(FILTER(ROW(H$2:H3182) - ROW(H$2) + 1, P$2:P3182 = P3183))))=""単価"","""",
IF(COUNTIF(P$2:P3182, P3183)=0, """", INDEX(H$2:H3182,
MAX(FILTER(ROW(H$2:H3182) - ROW(H$2) + 1, P$2:P3182 = P3183)))))"),40.5)</f>
        <v>40.5</v>
      </c>
      <c r="N3183" s="335" t="str">
        <f>IF(MAXIFS('単価履歴'!$O:$O,'単価履歴'!$E:$E,E3183,'単価履歴'!$F:$F,F3183)=O3183,"●","")</f>
        <v/>
      </c>
      <c r="O3183" s="346">
        <v>45962.35923611111</v>
      </c>
      <c r="P3183" s="334" t="str">
        <f t="shared" si="4"/>
        <v>岸和田:豊通Ｈ３(1級)</v>
      </c>
    </row>
    <row r="3184" ht="15.75" customHeight="1">
      <c r="A3184" s="335" t="s">
        <v>4331</v>
      </c>
      <c r="B3184" s="336">
        <v>45962.0</v>
      </c>
      <c r="C3184" s="335" t="s">
        <v>10</v>
      </c>
      <c r="D3184" s="335" t="s">
        <v>47</v>
      </c>
      <c r="E3184" s="337" t="str">
        <f t="shared" si="1"/>
        <v>岸和田:豊通</v>
      </c>
      <c r="F3184" s="338" t="s">
        <v>122</v>
      </c>
      <c r="G3184" s="339" t="str">
        <f t="shared" si="2"/>
        <v>岸和田:豊通Ｌ１(2級)</v>
      </c>
      <c r="H3184" s="340">
        <f t="shared" si="3"/>
        <v>40.5</v>
      </c>
      <c r="I3184" s="341">
        <v>0.5</v>
      </c>
      <c r="J3184" s="332">
        <f>IFERROR(__xludf.DUMMYFUNCTION("IF(IF(COUNTIF(P$2:P3183, P3184)=0, """", INDEX(H$2:H3183,
MAX(FILTER(ROW(H$2:H3183) - ROW(H$2) + 1, P$2:P3183 = P3184))))=""単価"","""",
IF(COUNTIF(P$2:P3183, P3184)=0, """", INDEX(H$2:H3183,
MAX(FILTER(ROW(H$2:H3183) - ROW(H$2) + 1, P$2:P3183 = P3184)))))"),40.0)</f>
        <v>40</v>
      </c>
      <c r="N3184" s="335" t="str">
        <f>IF(MAXIFS('単価履歴'!$O:$O,'単価履歴'!$E:$E,E3184,'単価履歴'!$F:$F,F3184)=O3184,"●","")</f>
        <v/>
      </c>
      <c r="O3184" s="346">
        <v>45962.35923611111</v>
      </c>
      <c r="P3184" s="334" t="str">
        <f t="shared" si="4"/>
        <v>岸和田:豊通Ｌ１(2級)</v>
      </c>
    </row>
    <row r="3185" ht="15.75" customHeight="1">
      <c r="A3185" s="335" t="s">
        <v>4332</v>
      </c>
      <c r="B3185" s="336">
        <v>45962.0</v>
      </c>
      <c r="C3185" s="335" t="s">
        <v>10</v>
      </c>
      <c r="D3185" s="335" t="s">
        <v>47</v>
      </c>
      <c r="E3185" s="337" t="str">
        <f t="shared" si="1"/>
        <v>岸和田:豊通</v>
      </c>
      <c r="F3185" s="338" t="s">
        <v>154</v>
      </c>
      <c r="G3185" s="339" t="str">
        <f t="shared" si="2"/>
        <v>岸和田:豊通ＣＰ Ａ</v>
      </c>
      <c r="H3185" s="340">
        <f t="shared" si="3"/>
        <v>43.7</v>
      </c>
      <c r="I3185" s="341">
        <v>0.5</v>
      </c>
      <c r="J3185" s="332">
        <f>IFERROR(__xludf.DUMMYFUNCTION("IF(IF(COUNTIF(P$2:P3184, P3185)=0, """", INDEX(H$2:H3184,
MAX(FILTER(ROW(H$2:H3184) - ROW(H$2) + 1, P$2:P3184 = P3185))))=""単価"","""",
IF(COUNTIF(P$2:P3184, P3185)=0, """", INDEX(H$2:H3184,
MAX(FILTER(ROW(H$2:H3184) - ROW(H$2) + 1, P$2:P3184 = P3185)))))"),43.2)</f>
        <v>43.2</v>
      </c>
      <c r="N3185" s="335" t="str">
        <f>IF(MAXIFS('単価履歴'!$O:$O,'単価履歴'!$E:$E,E3185,'単価履歴'!$F:$F,F3185)=O3185,"●","")</f>
        <v/>
      </c>
      <c r="O3185" s="346">
        <v>45962.35923611111</v>
      </c>
      <c r="P3185" s="334" t="str">
        <f t="shared" si="4"/>
        <v>岸和田:豊通ＣＰ Ａ</v>
      </c>
    </row>
    <row r="3186" ht="15.75" customHeight="1">
      <c r="A3186" s="335" t="s">
        <v>4333</v>
      </c>
      <c r="B3186" s="336">
        <v>45962.0</v>
      </c>
      <c r="C3186" s="335" t="s">
        <v>13</v>
      </c>
      <c r="D3186" s="335" t="s">
        <v>49</v>
      </c>
      <c r="E3186" s="337" t="str">
        <f t="shared" si="1"/>
        <v>ｸﾎﾞﾀ:伊藤忠</v>
      </c>
      <c r="F3186" s="338" t="s">
        <v>130</v>
      </c>
      <c r="G3186" s="339" t="str">
        <f t="shared" si="2"/>
        <v>ｸﾎﾞﾀ:伊藤忠新断Ａ</v>
      </c>
      <c r="H3186" s="340">
        <f t="shared" si="3"/>
        <v>49.2</v>
      </c>
      <c r="I3186" s="341">
        <v>0.5</v>
      </c>
      <c r="J3186" s="332">
        <f>IFERROR(__xludf.DUMMYFUNCTION("IF(IF(COUNTIF(P$2:P3185, P3186)=0, """", INDEX(H$2:H3185,
MAX(FILTER(ROW(H$2:H3185) - ROW(H$2) + 1, P$2:P3185 = P3186))))=""単価"","""",
IF(COUNTIF(P$2:P3185, P3186)=0, """", INDEX(H$2:H3185,
MAX(FILTER(ROW(H$2:H3185) - ROW(H$2) + 1, P$2:P3185 = P3186)))))"),48.7)</f>
        <v>48.7</v>
      </c>
      <c r="N3186" s="335" t="str">
        <f>IF(MAXIFS('単価履歴'!$O:$O,'単価履歴'!$E:$E,E3186,'単価履歴'!$F:$F,F3186)=O3186,"●","")</f>
        <v/>
      </c>
      <c r="O3186" s="346">
        <v>45962.36466435185</v>
      </c>
      <c r="P3186" s="334" t="str">
        <f t="shared" si="4"/>
        <v>ｸﾎﾞﾀ:伊藤忠新断Ａ</v>
      </c>
    </row>
    <row r="3187" ht="15.75" customHeight="1">
      <c r="A3187" s="335" t="s">
        <v>4334</v>
      </c>
      <c r="B3187" s="336">
        <v>45962.0</v>
      </c>
      <c r="C3187" s="335" t="s">
        <v>22</v>
      </c>
      <c r="D3187" s="335" t="s">
        <v>47</v>
      </c>
      <c r="E3187" s="337" t="str">
        <f t="shared" si="1"/>
        <v>栗本鐵工:豊通</v>
      </c>
      <c r="F3187" s="338" t="s">
        <v>1199</v>
      </c>
      <c r="G3187" s="339" t="str">
        <f t="shared" si="2"/>
        <v>栗本鐵工:豊通ＨＳ１(単体H1/電特A/HS))</v>
      </c>
      <c r="H3187" s="340">
        <f t="shared" si="3"/>
        <v>48.8</v>
      </c>
      <c r="I3187" s="341">
        <v>0.5</v>
      </c>
      <c r="J3187" s="332">
        <f>IFERROR(__xludf.DUMMYFUNCTION("IF(IF(COUNTIF(P$2:P3186, P3187)=0, """", INDEX(H$2:H3186,
MAX(FILTER(ROW(H$2:H3186) - ROW(H$2) + 1, P$2:P3186 = P3187))))=""単価"","""",
IF(COUNTIF(P$2:P3186, P3187)=0, """", INDEX(H$2:H3186,
MAX(FILTER(ROW(H$2:H3186) - ROW(H$2) + 1, P$2:P3186 = P3187)))))"),48.3)</f>
        <v>48.3</v>
      </c>
      <c r="N3187" s="335" t="str">
        <f>IF(MAXIFS('単価履歴'!$O:$O,'単価履歴'!$E:$E,E3187,'単価履歴'!$F:$F,F3187)=O3187,"●","")</f>
        <v/>
      </c>
      <c r="O3187" s="346">
        <v>45962.3650462963</v>
      </c>
      <c r="P3187" s="334" t="str">
        <f t="shared" si="4"/>
        <v>栗本鐵工:豊通ＨＳ１(単体H1/電特A/HS))</v>
      </c>
    </row>
    <row r="3188" ht="15.75" customHeight="1">
      <c r="A3188" s="335" t="s">
        <v>4335</v>
      </c>
      <c r="B3188" s="336">
        <v>45962.0</v>
      </c>
      <c r="C3188" s="335" t="s">
        <v>22</v>
      </c>
      <c r="D3188" s="335" t="s">
        <v>47</v>
      </c>
      <c r="E3188" s="337" t="str">
        <f t="shared" si="1"/>
        <v>栗本鐵工:豊通</v>
      </c>
      <c r="F3188" s="338" t="s">
        <v>101</v>
      </c>
      <c r="G3188" s="339" t="str">
        <f t="shared" si="2"/>
        <v>栗本鐵工:豊通ＨＳ２</v>
      </c>
      <c r="H3188" s="340">
        <f t="shared" si="3"/>
        <v>48.5</v>
      </c>
      <c r="I3188" s="341">
        <v>0.5</v>
      </c>
      <c r="J3188" s="332">
        <f>IFERROR(__xludf.DUMMYFUNCTION("IF(IF(COUNTIF(P$2:P3187, P3188)=0, """", INDEX(H$2:H3187,
MAX(FILTER(ROW(H$2:H3187) - ROW(H$2) + 1, P$2:P3187 = P3188))))=""単価"","""",
IF(COUNTIF(P$2:P3187, P3188)=0, """", INDEX(H$2:H3187,
MAX(FILTER(ROW(H$2:H3187) - ROW(H$2) + 1, P$2:P3187 = P3188)))))"),48.0)</f>
        <v>48</v>
      </c>
      <c r="N3188" s="335" t="str">
        <f>IF(MAXIFS('単価履歴'!$O:$O,'単価履歴'!$E:$E,E3188,'単価履歴'!$F:$F,F3188)=O3188,"●","")</f>
        <v/>
      </c>
      <c r="O3188" s="346">
        <v>45962.3650462963</v>
      </c>
      <c r="P3188" s="334" t="str">
        <f t="shared" si="4"/>
        <v>栗本鐵工:豊通ＨＳ２</v>
      </c>
    </row>
    <row r="3189" ht="15.75" customHeight="1">
      <c r="A3189" s="335" t="s">
        <v>4336</v>
      </c>
      <c r="B3189" s="336">
        <v>45962.0</v>
      </c>
      <c r="C3189" s="335" t="s">
        <v>22</v>
      </c>
      <c r="D3189" s="335" t="s">
        <v>47</v>
      </c>
      <c r="E3189" s="337" t="str">
        <f t="shared" si="1"/>
        <v>栗本鐵工:豊通</v>
      </c>
      <c r="F3189" s="338" t="s">
        <v>105</v>
      </c>
      <c r="G3189" s="339" t="str">
        <f t="shared" si="2"/>
        <v>栗本鐵工:豊通ＨＳ３</v>
      </c>
      <c r="H3189" s="340">
        <f t="shared" si="3"/>
        <v>47.6</v>
      </c>
      <c r="I3189" s="341">
        <v>0.5</v>
      </c>
      <c r="J3189" s="332">
        <f>IFERROR(__xludf.DUMMYFUNCTION("IF(IF(COUNTIF(P$2:P3188, P3189)=0, """", INDEX(H$2:H3188,
MAX(FILTER(ROW(H$2:H3188) - ROW(H$2) + 1, P$2:P3188 = P3189))))=""単価"","""",
IF(COUNTIF(P$2:P3188, P3189)=0, """", INDEX(H$2:H3188,
MAX(FILTER(ROW(H$2:H3188) - ROW(H$2) + 1, P$2:P3188 = P3189)))))"),47.1)</f>
        <v>47.1</v>
      </c>
      <c r="N3189" s="335" t="str">
        <f>IF(MAXIFS('単価履歴'!$O:$O,'単価履歴'!$E:$E,E3189,'単価履歴'!$F:$F,F3189)=O3189,"●","")</f>
        <v/>
      </c>
      <c r="O3189" s="346">
        <v>45962.3650462963</v>
      </c>
      <c r="P3189" s="334" t="str">
        <f t="shared" si="4"/>
        <v>栗本鐵工:豊通ＨＳ３</v>
      </c>
    </row>
    <row r="3190" ht="15.75" customHeight="1">
      <c r="A3190" s="335" t="s">
        <v>4337</v>
      </c>
      <c r="B3190" s="336">
        <v>45962.0</v>
      </c>
      <c r="C3190" s="335" t="s">
        <v>22</v>
      </c>
      <c r="D3190" s="335" t="s">
        <v>47</v>
      </c>
      <c r="E3190" s="337" t="str">
        <f t="shared" si="1"/>
        <v>栗本鐵工:豊通</v>
      </c>
      <c r="F3190" s="338" t="s">
        <v>577</v>
      </c>
      <c r="G3190" s="339" t="str">
        <f t="shared" si="2"/>
        <v>栗本鐵工:豊通鋳物・ﾀﾞｸﾀｲﾙ</v>
      </c>
      <c r="H3190" s="340">
        <f t="shared" si="3"/>
        <v>47.4</v>
      </c>
      <c r="I3190" s="341">
        <v>0.5</v>
      </c>
      <c r="J3190" s="332">
        <f>IFERROR(__xludf.DUMMYFUNCTION("IF(IF(COUNTIF(P$2:P3189, P3190)=0, """", INDEX(H$2:H3189,
MAX(FILTER(ROW(H$2:H3189) - ROW(H$2) + 1, P$2:P3189 = P3190))))=""単価"","""",
IF(COUNTIF(P$2:P3189, P3190)=0, """", INDEX(H$2:H3189,
MAX(FILTER(ROW(H$2:H3189) - ROW(H$2) + 1, P$2:P3189 = P3190)))))"),46.9)</f>
        <v>46.9</v>
      </c>
      <c r="N3190" s="335" t="str">
        <f>IF(MAXIFS('単価履歴'!$O:$O,'単価履歴'!$E:$E,E3190,'単価履歴'!$F:$F,F3190)=O3190,"●","")</f>
        <v/>
      </c>
      <c r="O3190" s="346">
        <v>45962.3650462963</v>
      </c>
      <c r="P3190" s="334" t="str">
        <f t="shared" si="4"/>
        <v>栗本鐵工:豊通鋳物・ﾀﾞｸﾀｲﾙ</v>
      </c>
    </row>
    <row r="3191" ht="15.75" customHeight="1">
      <c r="A3191" s="335" t="s">
        <v>4338</v>
      </c>
      <c r="B3191" s="336">
        <v>45962.0</v>
      </c>
      <c r="C3191" s="335" t="s">
        <v>36</v>
      </c>
      <c r="D3191" s="335" t="s">
        <v>1303</v>
      </c>
      <c r="E3191" s="337" t="str">
        <f t="shared" si="1"/>
        <v>共英枚方:ナベ/置場単価</v>
      </c>
      <c r="F3191" s="338" t="s">
        <v>111</v>
      </c>
      <c r="G3191" s="339" t="str">
        <f t="shared" si="2"/>
        <v>共英枚方:ナベ/置場単価Ｈ１(特A)</v>
      </c>
      <c r="H3191" s="340">
        <f t="shared" si="3"/>
        <v>42</v>
      </c>
      <c r="I3191" s="341">
        <v>0.5</v>
      </c>
      <c r="J3191" s="332">
        <f>IFERROR(__xludf.DUMMYFUNCTION("IF(IF(COUNTIF(P$2:P3190, P3191)=0, """", INDEX(H$2:H3190,
MAX(FILTER(ROW(H$2:H3190) - ROW(H$2) + 1, P$2:P3190 = P3191))))=""単価"","""",
IF(COUNTIF(P$2:P3190, P3191)=0, """", INDEX(H$2:H3190,
MAX(FILTER(ROW(H$2:H3190) - ROW(H$2) + 1, P$2:P3190 = P3191)))))"),41.5)</f>
        <v>41.5</v>
      </c>
      <c r="N3191" s="335" t="str">
        <f>IF(MAXIFS('単価履歴'!$O:$O,'単価履歴'!$E:$E,E3191,'単価履歴'!$F:$F,F3191)=O3191,"●","")</f>
        <v/>
      </c>
      <c r="O3191" s="346">
        <v>45962.36525462963</v>
      </c>
      <c r="P3191" s="334" t="str">
        <f t="shared" si="4"/>
        <v>共英枚方:ナベ/置場単価Ｈ１(特A)</v>
      </c>
    </row>
    <row r="3192" ht="15.75" customHeight="1">
      <c r="A3192" s="335" t="s">
        <v>4339</v>
      </c>
      <c r="B3192" s="336">
        <v>45962.0</v>
      </c>
      <c r="C3192" s="335" t="s">
        <v>36</v>
      </c>
      <c r="D3192" s="335" t="s">
        <v>1303</v>
      </c>
      <c r="E3192" s="337" t="str">
        <f t="shared" si="1"/>
        <v>共英枚方:ナベ/置場単価</v>
      </c>
      <c r="F3192" s="338" t="s">
        <v>116</v>
      </c>
      <c r="G3192" s="339" t="str">
        <f t="shared" si="2"/>
        <v>共英枚方:ナベ/置場単価Ｈ２(特級)</v>
      </c>
      <c r="H3192" s="340">
        <f t="shared" si="3"/>
        <v>40</v>
      </c>
      <c r="I3192" s="341">
        <v>0.5</v>
      </c>
      <c r="J3192" s="332">
        <f>IFERROR(__xludf.DUMMYFUNCTION("IF(IF(COUNTIF(P$2:P3191, P3192)=0, """", INDEX(H$2:H3191,
MAX(FILTER(ROW(H$2:H3191) - ROW(H$2) + 1, P$2:P3191 = P3192))))=""単価"","""",
IF(COUNTIF(P$2:P3191, P3192)=0, """", INDEX(H$2:H3191,
MAX(FILTER(ROW(H$2:H3191) - ROW(H$2) + 1, P$2:P3191 = P3192)))))"),39.5)</f>
        <v>39.5</v>
      </c>
      <c r="N3192" s="335" t="str">
        <f>IF(MAXIFS('単価履歴'!$O:$O,'単価履歴'!$E:$E,E3192,'単価履歴'!$F:$F,F3192)=O3192,"●","")</f>
        <v/>
      </c>
      <c r="O3192" s="346">
        <v>45962.36525462963</v>
      </c>
      <c r="P3192" s="334" t="str">
        <f t="shared" si="4"/>
        <v>共英枚方:ナベ/置場単価Ｈ２(特級)</v>
      </c>
    </row>
    <row r="3193" ht="15.75" customHeight="1">
      <c r="A3193" s="335" t="s">
        <v>4340</v>
      </c>
      <c r="B3193" s="336">
        <v>45962.0</v>
      </c>
      <c r="C3193" s="335" t="s">
        <v>36</v>
      </c>
      <c r="D3193" s="335" t="s">
        <v>1303</v>
      </c>
      <c r="E3193" s="337" t="str">
        <f t="shared" si="1"/>
        <v>共英枚方:ナベ/置場単価</v>
      </c>
      <c r="F3193" s="338" t="s">
        <v>119</v>
      </c>
      <c r="G3193" s="339" t="str">
        <f t="shared" si="2"/>
        <v>共英枚方:ナベ/置場単価Ｈ３(1級)</v>
      </c>
      <c r="H3193" s="340">
        <f t="shared" si="3"/>
        <v>39.5</v>
      </c>
      <c r="I3193" s="341">
        <v>0.5</v>
      </c>
      <c r="J3193" s="332">
        <f>IFERROR(__xludf.DUMMYFUNCTION("IF(IF(COUNTIF(P$2:P3192, P3193)=0, """", INDEX(H$2:H3192,
MAX(FILTER(ROW(H$2:H3192) - ROW(H$2) + 1, P$2:P3192 = P3193))))=""単価"","""",
IF(COUNTIF(P$2:P3192, P3193)=0, """", INDEX(H$2:H3192,
MAX(FILTER(ROW(H$2:H3192) - ROW(H$2) + 1, P$2:P3192 = P3193)))))"),39.0)</f>
        <v>39</v>
      </c>
      <c r="N3193" s="335" t="str">
        <f>IF(MAXIFS('単価履歴'!$O:$O,'単価履歴'!$E:$E,E3193,'単価履歴'!$F:$F,F3193)=O3193,"●","")</f>
        <v/>
      </c>
      <c r="O3193" s="346">
        <v>45962.36525462963</v>
      </c>
      <c r="P3193" s="334" t="str">
        <f t="shared" si="4"/>
        <v>共英枚方:ナベ/置場単価Ｈ３(1級)</v>
      </c>
    </row>
    <row r="3194" ht="15.75" customHeight="1">
      <c r="A3194" s="335" t="s">
        <v>4341</v>
      </c>
      <c r="B3194" s="336">
        <v>45962.0</v>
      </c>
      <c r="C3194" s="335" t="s">
        <v>36</v>
      </c>
      <c r="D3194" s="335" t="s">
        <v>1303</v>
      </c>
      <c r="E3194" s="337" t="str">
        <f t="shared" si="1"/>
        <v>共英枚方:ナベ/置場単価</v>
      </c>
      <c r="F3194" s="338" t="s">
        <v>122</v>
      </c>
      <c r="G3194" s="339" t="str">
        <f t="shared" si="2"/>
        <v>共英枚方:ナベ/置場単価Ｌ１(2級)</v>
      </c>
      <c r="H3194" s="340">
        <f t="shared" si="3"/>
        <v>39</v>
      </c>
      <c r="I3194" s="341">
        <v>0.5</v>
      </c>
      <c r="J3194" s="332">
        <f>IFERROR(__xludf.DUMMYFUNCTION("IF(IF(COUNTIF(P$2:P3193, P3194)=0, """", INDEX(H$2:H3193,
MAX(FILTER(ROW(H$2:H3193) - ROW(H$2) + 1, P$2:P3193 = P3194))))=""単価"","""",
IF(COUNTIF(P$2:P3193, P3194)=0, """", INDEX(H$2:H3193,
MAX(FILTER(ROW(H$2:H3193) - ROW(H$2) + 1, P$2:P3193 = P3194)))))"),38.5)</f>
        <v>38.5</v>
      </c>
      <c r="N3194" s="335" t="str">
        <f>IF(MAXIFS('単価履歴'!$O:$O,'単価履歴'!$E:$E,E3194,'単価履歴'!$F:$F,F3194)=O3194,"●","")</f>
        <v/>
      </c>
      <c r="O3194" s="346">
        <v>45962.36525462963</v>
      </c>
      <c r="P3194" s="334" t="str">
        <f t="shared" si="4"/>
        <v>共英枚方:ナベ/置場単価Ｌ１(2級)</v>
      </c>
    </row>
    <row r="3195" ht="15.75" customHeight="1">
      <c r="A3195" s="335" t="s">
        <v>4342</v>
      </c>
      <c r="B3195" s="336">
        <v>45962.0</v>
      </c>
      <c r="C3195" s="335" t="s">
        <v>36</v>
      </c>
      <c r="D3195" s="335" t="s">
        <v>1303</v>
      </c>
      <c r="E3195" s="337" t="str">
        <f t="shared" si="1"/>
        <v>共英枚方:ナベ/置場単価</v>
      </c>
      <c r="F3195" s="338" t="s">
        <v>154</v>
      </c>
      <c r="G3195" s="339" t="str">
        <f t="shared" si="2"/>
        <v>共英枚方:ナベ/置場単価ＣＰ Ａ</v>
      </c>
      <c r="H3195" s="340">
        <f t="shared" si="3"/>
        <v>45.5</v>
      </c>
      <c r="I3195" s="341">
        <v>0.5</v>
      </c>
      <c r="J3195" s="332">
        <f>IFERROR(__xludf.DUMMYFUNCTION("IF(IF(COUNTIF(P$2:P3194, P3195)=0, """", INDEX(H$2:H3194,
MAX(FILTER(ROW(H$2:H3194) - ROW(H$2) + 1, P$2:P3194 = P3195))))=""単価"","""",
IF(COUNTIF(P$2:P3194, P3195)=0, """", INDEX(H$2:H3194,
MAX(FILTER(ROW(H$2:H3194) - ROW(H$2) + 1, P$2:P3194 = P3195)))))"),45.0)</f>
        <v>45</v>
      </c>
      <c r="N3195" s="335" t="str">
        <f>IF(MAXIFS('単価履歴'!$O:$O,'単価履歴'!$E:$E,E3195,'単価履歴'!$F:$F,F3195)=O3195,"●","")</f>
        <v/>
      </c>
      <c r="O3195" s="346">
        <v>45962.36525462963</v>
      </c>
      <c r="P3195" s="334" t="str">
        <f t="shared" si="4"/>
        <v>共英枚方:ナベ/置場単価ＣＰ Ａ</v>
      </c>
    </row>
    <row r="3196" ht="15.75" customHeight="1">
      <c r="A3196" s="335" t="s">
        <v>4343</v>
      </c>
      <c r="B3196" s="336">
        <v>45947.0</v>
      </c>
      <c r="C3196" s="335" t="s">
        <v>12</v>
      </c>
      <c r="D3196" s="335" t="s">
        <v>50</v>
      </c>
      <c r="E3196" s="337" t="str">
        <f t="shared" si="1"/>
        <v>山陽特殊:産振</v>
      </c>
      <c r="F3196" s="338" t="s">
        <v>1199</v>
      </c>
      <c r="G3196" s="339" t="str">
        <f t="shared" si="2"/>
        <v>山陽特殊:産振ＨＳ１(単体H1/電特A/HS))</v>
      </c>
      <c r="H3196" s="340">
        <f t="shared" si="3"/>
        <v>45.1</v>
      </c>
      <c r="I3196" s="341">
        <v>0.5</v>
      </c>
      <c r="J3196" s="332">
        <f>IFERROR(__xludf.DUMMYFUNCTION("IF(IF(COUNTIF(P$2:P3195, P3196)=0, """", INDEX(H$2:H3195,
MAX(FILTER(ROW(H$2:H3195) - ROW(H$2) + 1, P$2:P3195 = P3196))))=""単価"","""",
IF(COUNTIF(P$2:P3195, P3196)=0, """", INDEX(H$2:H3195,
MAX(FILTER(ROW(H$2:H3195) - ROW(H$2) + 1, P$2:P3195 = P3196)))))"),44.6)</f>
        <v>44.6</v>
      </c>
      <c r="N3196" s="335" t="str">
        <f>IF(MAXIFS('単価履歴'!$O:$O,'単価履歴'!$E:$E,E3196,'単価履歴'!$F:$F,F3196)=O3196,"●","")</f>
        <v/>
      </c>
      <c r="O3196" s="346">
        <v>45962.36965277778</v>
      </c>
      <c r="P3196" s="334" t="str">
        <f t="shared" si="4"/>
        <v>山陽特殊:産振ＨＳ１(単体H1/電特A/HS))</v>
      </c>
    </row>
    <row r="3197" ht="15.75" customHeight="1">
      <c r="A3197" s="335" t="s">
        <v>4344</v>
      </c>
      <c r="B3197" s="336">
        <v>45947.0</v>
      </c>
      <c r="C3197" s="335" t="s">
        <v>12</v>
      </c>
      <c r="D3197" s="335" t="s">
        <v>50</v>
      </c>
      <c r="E3197" s="337" t="str">
        <f t="shared" si="1"/>
        <v>山陽特殊:産振</v>
      </c>
      <c r="F3197" s="338" t="s">
        <v>101</v>
      </c>
      <c r="G3197" s="339" t="str">
        <f t="shared" si="2"/>
        <v>山陽特殊:産振ＨＳ２</v>
      </c>
      <c r="H3197" s="340">
        <f t="shared" si="3"/>
        <v>44.9</v>
      </c>
      <c r="I3197" s="341">
        <v>0.5</v>
      </c>
      <c r="J3197" s="332">
        <f>IFERROR(__xludf.DUMMYFUNCTION("IF(IF(COUNTIF(P$2:P3196, P3197)=0, """", INDEX(H$2:H3196,
MAX(FILTER(ROW(H$2:H3196) - ROW(H$2) + 1, P$2:P3196 = P3197))))=""単価"","""",
IF(COUNTIF(P$2:P3196, P3197)=0, """", INDEX(H$2:H3196,
MAX(FILTER(ROW(H$2:H3196) - ROW(H$2) + 1, P$2:P3196 = P3197)))))"),44.4)</f>
        <v>44.4</v>
      </c>
      <c r="N3197" s="335" t="str">
        <f>IF(MAXIFS('単価履歴'!$O:$O,'単価履歴'!$E:$E,E3197,'単価履歴'!$F:$F,F3197)=O3197,"●","")</f>
        <v/>
      </c>
      <c r="O3197" s="346">
        <v>45962.36965277778</v>
      </c>
      <c r="P3197" s="334" t="str">
        <f t="shared" si="4"/>
        <v>山陽特殊:産振ＨＳ２</v>
      </c>
    </row>
    <row r="3198" ht="15.75" customHeight="1">
      <c r="A3198" s="335" t="s">
        <v>4345</v>
      </c>
      <c r="B3198" s="336">
        <v>45947.0</v>
      </c>
      <c r="C3198" s="335" t="s">
        <v>12</v>
      </c>
      <c r="D3198" s="335" t="s">
        <v>50</v>
      </c>
      <c r="E3198" s="337" t="str">
        <f t="shared" si="1"/>
        <v>山陽特殊:産振</v>
      </c>
      <c r="F3198" s="338" t="s">
        <v>105</v>
      </c>
      <c r="G3198" s="339" t="str">
        <f t="shared" si="2"/>
        <v>山陽特殊:産振ＨＳ３</v>
      </c>
      <c r="H3198" s="340">
        <f t="shared" si="3"/>
        <v>42.9</v>
      </c>
      <c r="I3198" s="341">
        <v>0.5</v>
      </c>
      <c r="J3198" s="332">
        <f>IFERROR(__xludf.DUMMYFUNCTION("IF(IF(COUNTIF(P$2:P3197, P3198)=0, """", INDEX(H$2:H3197,
MAX(FILTER(ROW(H$2:H3197) - ROW(H$2) + 1, P$2:P3197 = P3198))))=""単価"","""",
IF(COUNTIF(P$2:P3197, P3198)=0, """", INDEX(H$2:H3197,
MAX(FILTER(ROW(H$2:H3197) - ROW(H$2) + 1, P$2:P3197 = P3198)))))"),42.4)</f>
        <v>42.4</v>
      </c>
      <c r="N3198" s="335" t="str">
        <f>IF(MAXIFS('単価履歴'!$O:$O,'単価履歴'!$E:$E,E3198,'単価履歴'!$F:$F,F3198)=O3198,"●","")</f>
        <v/>
      </c>
      <c r="O3198" s="346">
        <v>45962.36965277778</v>
      </c>
      <c r="P3198" s="334" t="str">
        <f t="shared" si="4"/>
        <v>山陽特殊:産振ＨＳ３</v>
      </c>
    </row>
    <row r="3199" ht="15.75" customHeight="1">
      <c r="A3199" s="335" t="s">
        <v>4346</v>
      </c>
      <c r="B3199" s="336">
        <v>45962.0</v>
      </c>
      <c r="C3199" s="335" t="s">
        <v>11</v>
      </c>
      <c r="D3199" s="335" t="s">
        <v>46</v>
      </c>
      <c r="E3199" s="337" t="str">
        <f t="shared" si="1"/>
        <v>ﾔﾏﾄ:阪和</v>
      </c>
      <c r="F3199" s="338" t="s">
        <v>116</v>
      </c>
      <c r="G3199" s="339" t="str">
        <f t="shared" si="2"/>
        <v>ﾔﾏﾄ:阪和Ｈ２(特級)</v>
      </c>
      <c r="H3199" s="340">
        <f t="shared" si="3"/>
        <v>44.1</v>
      </c>
      <c r="I3199" s="341">
        <v>0.5</v>
      </c>
      <c r="J3199" s="332">
        <f>IFERROR(__xludf.DUMMYFUNCTION("IF(IF(COUNTIF(P$2:P3198, P3199)=0, """", INDEX(H$2:H3198,
MAX(FILTER(ROW(H$2:H3198) - ROW(H$2) + 1, P$2:P3198 = P3199))))=""単価"","""",
IF(COUNTIF(P$2:P3198, P3199)=0, """", INDEX(H$2:H3198,
MAX(FILTER(ROW(H$2:H3198) - ROW(H$2) + 1, P$2:P3198 = P3199)))))"),43.6)</f>
        <v>43.6</v>
      </c>
      <c r="N3199" s="335" t="str">
        <f>IF(MAXIFS('単価履歴'!$O:$O,'単価履歴'!$E:$E,E3199,'単価履歴'!$F:$F,F3199)=O3199,"●","")</f>
        <v/>
      </c>
      <c r="O3199" s="346">
        <v>45962.37085648148</v>
      </c>
      <c r="P3199" s="334" t="str">
        <f t="shared" si="4"/>
        <v>ﾔﾏﾄ:阪和Ｈ２(特級)</v>
      </c>
    </row>
    <row r="3200" ht="15.75" customHeight="1">
      <c r="A3200" s="335" t="s">
        <v>4347</v>
      </c>
      <c r="B3200" s="336">
        <v>45962.0</v>
      </c>
      <c r="C3200" s="335" t="s">
        <v>11</v>
      </c>
      <c r="D3200" s="335" t="s">
        <v>46</v>
      </c>
      <c r="E3200" s="337" t="str">
        <f t="shared" si="1"/>
        <v>ﾔﾏﾄ:阪和</v>
      </c>
      <c r="F3200" s="338" t="s">
        <v>119</v>
      </c>
      <c r="G3200" s="339" t="str">
        <f t="shared" si="2"/>
        <v>ﾔﾏﾄ:阪和Ｈ３(1級)</v>
      </c>
      <c r="H3200" s="340">
        <f t="shared" si="3"/>
        <v>43.1</v>
      </c>
      <c r="I3200" s="341">
        <v>0.5</v>
      </c>
      <c r="J3200" s="332">
        <f>IFERROR(__xludf.DUMMYFUNCTION("IF(IF(COUNTIF(P$2:P3199, P3200)=0, """", INDEX(H$2:H3199,
MAX(FILTER(ROW(H$2:H3199) - ROW(H$2) + 1, P$2:P3199 = P3200))))=""単価"","""",
IF(COUNTIF(P$2:P3199, P3200)=0, """", INDEX(H$2:H3199,
MAX(FILTER(ROW(H$2:H3199) - ROW(H$2) + 1, P$2:P3199 = P3200)))))"),42.6)</f>
        <v>42.6</v>
      </c>
      <c r="N3200" s="335" t="str">
        <f>IF(MAXIFS('単価履歴'!$O:$O,'単価履歴'!$E:$E,E3200,'単価履歴'!$F:$F,F3200)=O3200,"●","")</f>
        <v/>
      </c>
      <c r="O3200" s="346">
        <v>45962.37085648148</v>
      </c>
      <c r="P3200" s="334" t="str">
        <f t="shared" si="4"/>
        <v>ﾔﾏﾄ:阪和Ｈ３(1級)</v>
      </c>
    </row>
    <row r="3201" ht="15.75" customHeight="1">
      <c r="A3201" s="335" t="s">
        <v>4348</v>
      </c>
      <c r="B3201" s="336">
        <v>45962.0</v>
      </c>
      <c r="C3201" s="335" t="s">
        <v>11</v>
      </c>
      <c r="D3201" s="335" t="s">
        <v>46</v>
      </c>
      <c r="E3201" s="337" t="str">
        <f t="shared" si="1"/>
        <v>ﾔﾏﾄ:阪和</v>
      </c>
      <c r="F3201" s="338" t="s">
        <v>122</v>
      </c>
      <c r="G3201" s="339" t="str">
        <f t="shared" si="2"/>
        <v>ﾔﾏﾄ:阪和Ｌ１(2級)</v>
      </c>
      <c r="H3201" s="340">
        <f t="shared" si="3"/>
        <v>41.1</v>
      </c>
      <c r="I3201" s="341">
        <v>0.5</v>
      </c>
      <c r="J3201" s="332">
        <f>IFERROR(__xludf.DUMMYFUNCTION("IF(IF(COUNTIF(P$2:P3200, P3201)=0, """", INDEX(H$2:H3200,
MAX(FILTER(ROW(H$2:H3200) - ROW(H$2) + 1, P$2:P3200 = P3201))))=""単価"","""",
IF(COUNTIF(P$2:P3200, P3201)=0, """", INDEX(H$2:H3200,
MAX(FILTER(ROW(H$2:H3200) - ROW(H$2) + 1, P$2:P3200 = P3201)))))"),40.6)</f>
        <v>40.6</v>
      </c>
      <c r="N3201" s="335" t="str">
        <f>IF(MAXIFS('単価履歴'!$O:$O,'単価履歴'!$E:$E,E3201,'単価履歴'!$F:$F,F3201)=O3201,"●","")</f>
        <v/>
      </c>
      <c r="O3201" s="346">
        <v>45962.37085648148</v>
      </c>
      <c r="P3201" s="334" t="str">
        <f t="shared" si="4"/>
        <v>ﾔﾏﾄ:阪和Ｌ１(2級)</v>
      </c>
    </row>
    <row r="3202" ht="15.75" customHeight="1">
      <c r="A3202" s="335" t="s">
        <v>4349</v>
      </c>
      <c r="B3202" s="336">
        <v>45962.0</v>
      </c>
      <c r="C3202" s="335" t="s">
        <v>11</v>
      </c>
      <c r="D3202" s="335" t="s">
        <v>46</v>
      </c>
      <c r="E3202" s="337" t="str">
        <f t="shared" si="1"/>
        <v>ﾔﾏﾄ:阪和</v>
      </c>
      <c r="F3202" s="338" t="s">
        <v>111</v>
      </c>
      <c r="G3202" s="339" t="str">
        <f t="shared" si="2"/>
        <v>ﾔﾏﾄ:阪和Ｈ１(特A)</v>
      </c>
      <c r="H3202" s="340">
        <f t="shared" si="3"/>
        <v>45.1</v>
      </c>
      <c r="I3202" s="341">
        <v>0.5</v>
      </c>
      <c r="J3202" s="332">
        <f>IFERROR(__xludf.DUMMYFUNCTION("IF(IF(COUNTIF(P$2:P3201, P3202)=0, """", INDEX(H$2:H3201,
MAX(FILTER(ROW(H$2:H3201) - ROW(H$2) + 1, P$2:P3201 = P3202))))=""単価"","""",
IF(COUNTIF(P$2:P3201, P3202)=0, """", INDEX(H$2:H3201,
MAX(FILTER(ROW(H$2:H3201) - ROW(H$2) + 1, P$2:P3201 = P3202)))))"),44.6)</f>
        <v>44.6</v>
      </c>
      <c r="N3202" s="335" t="str">
        <f>IF(MAXIFS('単価履歴'!$O:$O,'単価履歴'!$E:$E,E3202,'単価履歴'!$F:$F,F3202)=O3202,"●","")</f>
        <v/>
      </c>
      <c r="O3202" s="346">
        <v>45962.37085648148</v>
      </c>
      <c r="P3202" s="334" t="str">
        <f t="shared" si="4"/>
        <v>ﾔﾏﾄ:阪和Ｈ１(特A)</v>
      </c>
    </row>
    <row r="3203" ht="15.75" customHeight="1">
      <c r="A3203" s="335" t="s">
        <v>4350</v>
      </c>
      <c r="B3203" s="336">
        <v>45962.0</v>
      </c>
      <c r="C3203" s="335" t="s">
        <v>11</v>
      </c>
      <c r="D3203" s="335" t="s">
        <v>46</v>
      </c>
      <c r="E3203" s="337" t="str">
        <f t="shared" si="1"/>
        <v>ﾔﾏﾄ:阪和</v>
      </c>
      <c r="F3203" s="338" t="s">
        <v>573</v>
      </c>
      <c r="G3203" s="339" t="str">
        <f t="shared" si="2"/>
        <v>ﾔﾏﾄ:阪和Ｌ２(H4･級外･L1ﾊﾞﾗ)</v>
      </c>
      <c r="H3203" s="340">
        <f t="shared" si="3"/>
        <v>38.6</v>
      </c>
      <c r="I3203" s="341">
        <v>0.5</v>
      </c>
      <c r="J3203" s="332">
        <f>IFERROR(__xludf.DUMMYFUNCTION("IF(IF(COUNTIF(P$2:P3202, P3203)=0, """", INDEX(H$2:H3202,
MAX(FILTER(ROW(H$2:H3202) - ROW(H$2) + 1, P$2:P3202 = P3203))))=""単価"","""",
IF(COUNTIF(P$2:P3202, P3203)=0, """", INDEX(H$2:H3202,
MAX(FILTER(ROW(H$2:H3202) - ROW(H$2) + 1, P$2:P3202 = P3203)))))"),38.1)</f>
        <v>38.1</v>
      </c>
      <c r="N3203" s="335" t="str">
        <f>IF(MAXIFS('単価履歴'!$O:$O,'単価履歴'!$E:$E,E3203,'単価履歴'!$F:$F,F3203)=O3203,"●","")</f>
        <v/>
      </c>
      <c r="O3203" s="346">
        <v>45962.37085648148</v>
      </c>
      <c r="P3203" s="334" t="str">
        <f t="shared" si="4"/>
        <v>ﾔﾏﾄ:阪和Ｌ２(H4･級外･L1ﾊﾞﾗ)</v>
      </c>
    </row>
    <row r="3204" ht="15.75" customHeight="1">
      <c r="A3204" s="335" t="s">
        <v>4351</v>
      </c>
      <c r="B3204" s="336">
        <v>45962.0</v>
      </c>
      <c r="C3204" s="335" t="s">
        <v>534</v>
      </c>
      <c r="D3204" s="335" t="s">
        <v>46</v>
      </c>
      <c r="E3204" s="337" t="str">
        <f t="shared" si="1"/>
        <v>合同姫路:阪和</v>
      </c>
      <c r="F3204" s="363" t="s">
        <v>130</v>
      </c>
      <c r="G3204" s="339" t="str">
        <f t="shared" si="2"/>
        <v>合同姫路:阪和新断Ａ</v>
      </c>
      <c r="H3204" s="340">
        <f t="shared" si="3"/>
        <v>48.3</v>
      </c>
      <c r="I3204" s="335">
        <v>-0.5</v>
      </c>
      <c r="J3204" s="332">
        <f>IFERROR(__xludf.DUMMYFUNCTION("IF(IF(COUNTIF(P$2:P3203, P3204)=0, """", INDEX(H$2:H3203,
MAX(FILTER(ROW(H$2:H3203) - ROW(H$2) + 1, P$2:P3203 = P3204))))=""単価"","""",
IF(COUNTIF(P$2:P3203, P3204)=0, """", INDEX(H$2:H3203,
MAX(FILTER(ROW(H$2:H3203) - ROW(H$2) + 1, P$2:P3203 = P3204)))))"),48.8)</f>
        <v>48.8</v>
      </c>
      <c r="N3204" s="335" t="str">
        <f>IF(MAXIFS('単価履歴'!$O:$O,'単価履歴'!$E:$E,E3204,'単価履歴'!$F:$F,F3204)=O3204,"●","")</f>
        <v/>
      </c>
      <c r="O3204" s="346">
        <v>45962.371458333335</v>
      </c>
      <c r="P3204" s="334" t="str">
        <f t="shared" si="4"/>
        <v>合同姫路:阪和新断Ａ</v>
      </c>
    </row>
    <row r="3205" ht="15.75" customHeight="1">
      <c r="A3205" s="335" t="s">
        <v>4352</v>
      </c>
      <c r="B3205" s="336">
        <v>45962.0</v>
      </c>
      <c r="C3205" s="335" t="s">
        <v>534</v>
      </c>
      <c r="D3205" s="335" t="s">
        <v>46</v>
      </c>
      <c r="E3205" s="337" t="str">
        <f t="shared" si="1"/>
        <v>合同姫路:阪和</v>
      </c>
      <c r="F3205" s="363" t="s">
        <v>131</v>
      </c>
      <c r="G3205" s="339" t="str">
        <f t="shared" si="2"/>
        <v>合同姫路:阪和新断Ｂ</v>
      </c>
      <c r="H3205" s="340">
        <f t="shared" si="3"/>
        <v>47.3</v>
      </c>
      <c r="I3205" s="335">
        <v>-0.5</v>
      </c>
      <c r="J3205" s="332">
        <f>IFERROR(__xludf.DUMMYFUNCTION("IF(IF(COUNTIF(P$2:P3204, P3205)=0, """", INDEX(H$2:H3204,
MAX(FILTER(ROW(H$2:H3204) - ROW(H$2) + 1, P$2:P3204 = P3205))))=""単価"","""",
IF(COUNTIF(P$2:P3204, P3205)=0, """", INDEX(H$2:H3204,
MAX(FILTER(ROW(H$2:H3204) - ROW(H$2) + 1, P$2:P3204 = P3205)))))"),47.8)</f>
        <v>47.8</v>
      </c>
      <c r="N3205" s="335" t="str">
        <f>IF(MAXIFS('単価履歴'!$O:$O,'単価履歴'!$E:$E,E3205,'単価履歴'!$F:$F,F3205)=O3205,"●","")</f>
        <v/>
      </c>
      <c r="O3205" s="346">
        <v>45962.371458333335</v>
      </c>
      <c r="P3205" s="334" t="str">
        <f t="shared" si="4"/>
        <v>合同姫路:阪和新断Ｂ</v>
      </c>
    </row>
    <row r="3206" ht="15.75" customHeight="1">
      <c r="A3206" s="335" t="s">
        <v>4353</v>
      </c>
      <c r="B3206" s="336">
        <v>45962.0</v>
      </c>
      <c r="C3206" s="335" t="s">
        <v>12</v>
      </c>
      <c r="D3206" s="335" t="s">
        <v>50</v>
      </c>
      <c r="E3206" s="337" t="str">
        <f t="shared" si="1"/>
        <v>山陽特殊:産振</v>
      </c>
      <c r="F3206" s="338" t="s">
        <v>1199</v>
      </c>
      <c r="G3206" s="339" t="str">
        <f t="shared" si="2"/>
        <v>山陽特殊:産振ＨＳ１(単体H1/電特A/HS))</v>
      </c>
      <c r="H3206" s="340">
        <f t="shared" si="3"/>
        <v>46.1</v>
      </c>
      <c r="I3206" s="341">
        <v>1.0</v>
      </c>
      <c r="J3206" s="332">
        <f>IFERROR(__xludf.DUMMYFUNCTION("IF(IF(COUNTIF(P$2:P3205, P3206)=0, """", INDEX(H$2:H3205,
MAX(FILTER(ROW(H$2:H3205) - ROW(H$2) + 1, P$2:P3205 = P3206))))=""単価"","""",
IF(COUNTIF(P$2:P3205, P3206)=0, """", INDEX(H$2:H3205,
MAX(FILTER(ROW(H$2:H3205) - ROW(H$2) + 1, P$2:P3205 = P3206)))))"),45.1)</f>
        <v>45.1</v>
      </c>
      <c r="N3206" s="335" t="str">
        <f>IF(MAXIFS('単価履歴'!$O:$O,'単価履歴'!$E:$E,E3206,'単価履歴'!$F:$F,F3206)=O3206,"●","")</f>
        <v/>
      </c>
      <c r="O3206" s="346">
        <v>45962.37354166667</v>
      </c>
      <c r="P3206" s="334" t="str">
        <f t="shared" si="4"/>
        <v>山陽特殊:産振ＨＳ１(単体H1/電特A/HS))</v>
      </c>
    </row>
    <row r="3207" ht="15.75" customHeight="1">
      <c r="A3207" s="335" t="s">
        <v>4354</v>
      </c>
      <c r="B3207" s="336">
        <v>45962.0</v>
      </c>
      <c r="C3207" s="335" t="s">
        <v>12</v>
      </c>
      <c r="D3207" s="335" t="s">
        <v>50</v>
      </c>
      <c r="E3207" s="337" t="str">
        <f t="shared" si="1"/>
        <v>山陽特殊:産振</v>
      </c>
      <c r="F3207" s="338" t="s">
        <v>101</v>
      </c>
      <c r="G3207" s="339" t="str">
        <f t="shared" si="2"/>
        <v>山陽特殊:産振ＨＳ２</v>
      </c>
      <c r="H3207" s="340">
        <f t="shared" si="3"/>
        <v>45.9</v>
      </c>
      <c r="I3207" s="341">
        <v>1.0</v>
      </c>
      <c r="J3207" s="332">
        <f>IFERROR(__xludf.DUMMYFUNCTION("IF(IF(COUNTIF(P$2:P3206, P3207)=0, """", INDEX(H$2:H3206,
MAX(FILTER(ROW(H$2:H3206) - ROW(H$2) + 1, P$2:P3206 = P3207))))=""単価"","""",
IF(COUNTIF(P$2:P3206, P3207)=0, """", INDEX(H$2:H3206,
MAX(FILTER(ROW(H$2:H3206) - ROW(H$2) + 1, P$2:P3206 = P3207)))))"),44.9)</f>
        <v>44.9</v>
      </c>
      <c r="N3207" s="335" t="str">
        <f>IF(MAXIFS('単価履歴'!$O:$O,'単価履歴'!$E:$E,E3207,'単価履歴'!$F:$F,F3207)=O3207,"●","")</f>
        <v/>
      </c>
      <c r="O3207" s="346">
        <v>45962.37354166667</v>
      </c>
      <c r="P3207" s="334" t="str">
        <f t="shared" si="4"/>
        <v>山陽特殊:産振ＨＳ２</v>
      </c>
    </row>
    <row r="3208" ht="15.75" customHeight="1">
      <c r="A3208" s="335" t="s">
        <v>4355</v>
      </c>
      <c r="B3208" s="336">
        <v>45962.0</v>
      </c>
      <c r="C3208" s="335" t="s">
        <v>12</v>
      </c>
      <c r="D3208" s="335" t="s">
        <v>50</v>
      </c>
      <c r="E3208" s="337" t="str">
        <f t="shared" si="1"/>
        <v>山陽特殊:産振</v>
      </c>
      <c r="F3208" s="338" t="s">
        <v>105</v>
      </c>
      <c r="G3208" s="339" t="str">
        <f t="shared" si="2"/>
        <v>山陽特殊:産振ＨＳ３</v>
      </c>
      <c r="H3208" s="340">
        <f t="shared" si="3"/>
        <v>43.9</v>
      </c>
      <c r="I3208" s="341">
        <v>1.0</v>
      </c>
      <c r="J3208" s="332">
        <f>IFERROR(__xludf.DUMMYFUNCTION("IF(IF(COUNTIF(P$2:P3207, P3208)=0, """", INDEX(H$2:H3207,
MAX(FILTER(ROW(H$2:H3207) - ROW(H$2) + 1, P$2:P3207 = P3208))))=""単価"","""",
IF(COUNTIF(P$2:P3207, P3208)=0, """", INDEX(H$2:H3207,
MAX(FILTER(ROW(H$2:H3207) - ROW(H$2) + 1, P$2:P3207 = P3208)))))"),42.9)</f>
        <v>42.9</v>
      </c>
      <c r="N3208" s="335" t="str">
        <f>IF(MAXIFS('単価履歴'!$O:$O,'単価履歴'!$E:$E,E3208,'単価履歴'!$F:$F,F3208)=O3208,"●","")</f>
        <v/>
      </c>
      <c r="O3208" s="346">
        <v>45962.37354166667</v>
      </c>
      <c r="P3208" s="334" t="str">
        <f t="shared" si="4"/>
        <v>山陽特殊:産振ＨＳ３</v>
      </c>
    </row>
    <row r="3209" ht="15.75" customHeight="1">
      <c r="A3209" s="335" t="s">
        <v>4356</v>
      </c>
      <c r="B3209" s="336">
        <v>45962.0</v>
      </c>
      <c r="C3209" s="335" t="s">
        <v>31</v>
      </c>
      <c r="D3209" s="335" t="s">
        <v>64</v>
      </c>
      <c r="E3209" s="337" t="str">
        <f t="shared" si="1"/>
        <v>泉北中谷:ナベ双葉</v>
      </c>
      <c r="F3209" s="338" t="s">
        <v>1199</v>
      </c>
      <c r="G3209" s="339" t="str">
        <f t="shared" si="2"/>
        <v>泉北中谷:ナベ双葉ＨＳ１(単体H1/電特A/HS))</v>
      </c>
      <c r="H3209" s="340">
        <f t="shared" si="3"/>
        <v>44.8</v>
      </c>
      <c r="I3209" s="341">
        <v>2.8</v>
      </c>
      <c r="J3209" s="332">
        <f>IFERROR(__xludf.DUMMYFUNCTION("IF(IF(COUNTIF(P$2:P3208, P3209)=0, """", INDEX(H$2:H3208,
MAX(FILTER(ROW(H$2:H3208) - ROW(H$2) + 1, P$2:P3208 = P3209))))=""単価"","""",
IF(COUNTIF(P$2:P3208, P3209)=0, """", INDEX(H$2:H3208,
MAX(FILTER(ROW(H$2:H3208) - ROW(H$2) + 1, P$2:P3208 = P3209)))))"),42.0)</f>
        <v>42</v>
      </c>
      <c r="N3209" s="335" t="str">
        <f>IF(MAXIFS('単価履歴'!$O:$O,'単価履歴'!$E:$E,E3209,'単価履歴'!$F:$F,F3209)=O3209,"●","")</f>
        <v/>
      </c>
      <c r="O3209" s="346">
        <v>45962.37784722222</v>
      </c>
      <c r="P3209" s="334" t="str">
        <f t="shared" si="4"/>
        <v>泉北中谷:ナベ双葉ＨＳ１(単体H1/電特A/HS))</v>
      </c>
    </row>
    <row r="3210" ht="15.75" customHeight="1">
      <c r="A3210" s="335" t="s">
        <v>4357</v>
      </c>
      <c r="B3210" s="336">
        <v>45962.0</v>
      </c>
      <c r="C3210" s="335" t="s">
        <v>535</v>
      </c>
      <c r="D3210" s="335" t="s">
        <v>77</v>
      </c>
      <c r="E3210" s="337" t="str">
        <f t="shared" si="1"/>
        <v>東鐵名古屋:直納</v>
      </c>
      <c r="F3210" s="338" t="s">
        <v>1199</v>
      </c>
      <c r="G3210" s="339" t="str">
        <f t="shared" si="2"/>
        <v>東鐵名古屋:直納ＨＳ１(単体H1/電特A/HS))</v>
      </c>
      <c r="H3210" s="340">
        <f t="shared" si="3"/>
        <v>45.5</v>
      </c>
      <c r="I3210" s="341">
        <v>0.5</v>
      </c>
      <c r="J3210" s="332">
        <f>IFERROR(__xludf.DUMMYFUNCTION("IF(IF(COUNTIF(P$2:P3209, P3210)=0, """", INDEX(H$2:H3209,
MAX(FILTER(ROW(H$2:H3209) - ROW(H$2) + 1, P$2:P3209 = P3210))))=""単価"","""",
IF(COUNTIF(P$2:P3209, P3210)=0, """", INDEX(H$2:H3209,
MAX(FILTER(ROW(H$2:H3209) - ROW(H$2) + 1, P$2:P3209 = P3210)))))"),45.0)</f>
        <v>45</v>
      </c>
      <c r="N3210" s="335" t="str">
        <f>IF(MAXIFS('単価履歴'!$O:$O,'単価履歴'!$E:$E,E3210,'単価履歴'!$F:$F,F3210)=O3210,"●","")</f>
        <v/>
      </c>
      <c r="O3210" s="346">
        <v>45962.37841435186</v>
      </c>
      <c r="P3210" s="334" t="str">
        <f t="shared" si="4"/>
        <v>東鐵名古屋:直納ＨＳ１(単体H1/電特A/HS))</v>
      </c>
    </row>
    <row r="3211" ht="15.75" customHeight="1">
      <c r="A3211" s="335" t="s">
        <v>4358</v>
      </c>
      <c r="B3211" s="336">
        <v>45962.0</v>
      </c>
      <c r="C3211" s="335" t="s">
        <v>535</v>
      </c>
      <c r="D3211" s="335" t="s">
        <v>77</v>
      </c>
      <c r="E3211" s="337" t="str">
        <f t="shared" si="1"/>
        <v>東鐵名古屋:直納</v>
      </c>
      <c r="F3211" s="338" t="s">
        <v>111</v>
      </c>
      <c r="G3211" s="339" t="str">
        <f t="shared" si="2"/>
        <v>東鐵名古屋:直納Ｈ１(特A)</v>
      </c>
      <c r="H3211" s="340">
        <f t="shared" si="3"/>
        <v>43.7</v>
      </c>
      <c r="I3211" s="341">
        <v>0.5</v>
      </c>
      <c r="J3211" s="332">
        <f>IFERROR(__xludf.DUMMYFUNCTION("IF(IF(COUNTIF(P$2:P3210, P3211)=0, """", INDEX(H$2:H3210,
MAX(FILTER(ROW(H$2:H3210) - ROW(H$2) + 1, P$2:P3210 = P3211))))=""単価"","""",
IF(COUNTIF(P$2:P3210, P3211)=0, """", INDEX(H$2:H3210,
MAX(FILTER(ROW(H$2:H3210) - ROW(H$2) + 1, P$2:P3210 = P3211)))))"),43.2)</f>
        <v>43.2</v>
      </c>
      <c r="N3211" s="335" t="str">
        <f>IF(MAXIFS('単価履歴'!$O:$O,'単価履歴'!$E:$E,E3211,'単価履歴'!$F:$F,F3211)=O3211,"●","")</f>
        <v/>
      </c>
      <c r="O3211" s="346">
        <v>45962.37841435186</v>
      </c>
      <c r="P3211" s="334" t="str">
        <f t="shared" si="4"/>
        <v>東鐵名古屋:直納Ｈ１(特A)</v>
      </c>
    </row>
    <row r="3212" ht="15.75" customHeight="1">
      <c r="A3212" s="335" t="s">
        <v>4359</v>
      </c>
      <c r="B3212" s="336">
        <v>45962.0</v>
      </c>
      <c r="C3212" s="335" t="s">
        <v>535</v>
      </c>
      <c r="D3212" s="335" t="s">
        <v>77</v>
      </c>
      <c r="E3212" s="337" t="str">
        <f t="shared" si="1"/>
        <v>東鐵名古屋:直納</v>
      </c>
      <c r="F3212" s="338" t="s">
        <v>116</v>
      </c>
      <c r="G3212" s="339" t="str">
        <f t="shared" si="2"/>
        <v>東鐵名古屋:直納Ｈ２(特級)</v>
      </c>
      <c r="H3212" s="340">
        <f t="shared" si="3"/>
        <v>43</v>
      </c>
      <c r="I3212" s="341">
        <v>0.5</v>
      </c>
      <c r="J3212" s="332">
        <f>IFERROR(__xludf.DUMMYFUNCTION("IF(IF(COUNTIF(P$2:P3211, P3212)=0, """", INDEX(H$2:H3211,
MAX(FILTER(ROW(H$2:H3211) - ROW(H$2) + 1, P$2:P3211 = P3212))))=""単価"","""",
IF(COUNTIF(P$2:P3211, P3212)=0, """", INDEX(H$2:H3211,
MAX(FILTER(ROW(H$2:H3211) - ROW(H$2) + 1, P$2:P3211 = P3212)))))"),42.5)</f>
        <v>42.5</v>
      </c>
      <c r="N3212" s="335" t="str">
        <f>IF(MAXIFS('単価履歴'!$O:$O,'単価履歴'!$E:$E,E3212,'単価履歴'!$F:$F,F3212)=O3212,"●","")</f>
        <v/>
      </c>
      <c r="O3212" s="346">
        <v>45962.37841435186</v>
      </c>
      <c r="P3212" s="334" t="str">
        <f t="shared" si="4"/>
        <v>東鐵名古屋:直納Ｈ２(特級)</v>
      </c>
    </row>
    <row r="3213" ht="15.75" customHeight="1">
      <c r="A3213" s="335" t="s">
        <v>4360</v>
      </c>
      <c r="B3213" s="336">
        <v>45962.0</v>
      </c>
      <c r="C3213" s="335" t="s">
        <v>535</v>
      </c>
      <c r="D3213" s="335" t="s">
        <v>77</v>
      </c>
      <c r="E3213" s="337" t="str">
        <f t="shared" si="1"/>
        <v>東鐵名古屋:直納</v>
      </c>
      <c r="F3213" s="338" t="s">
        <v>119</v>
      </c>
      <c r="G3213" s="339" t="str">
        <f t="shared" si="2"/>
        <v>東鐵名古屋:直納Ｈ３(1級)</v>
      </c>
      <c r="H3213" s="340">
        <f t="shared" si="3"/>
        <v>42.5</v>
      </c>
      <c r="I3213" s="341">
        <v>0.5</v>
      </c>
      <c r="J3213" s="332">
        <f>IFERROR(__xludf.DUMMYFUNCTION("IF(IF(COUNTIF(P$2:P3212, P3213)=0, """", INDEX(H$2:H3212,
MAX(FILTER(ROW(H$2:H3212) - ROW(H$2) + 1, P$2:P3212 = P3213))))=""単価"","""",
IF(COUNTIF(P$2:P3212, P3213)=0, """", INDEX(H$2:H3212,
MAX(FILTER(ROW(H$2:H3212) - ROW(H$2) + 1, P$2:P3212 = P3213)))))"),42.0)</f>
        <v>42</v>
      </c>
      <c r="N3213" s="335" t="str">
        <f>IF(MAXIFS('単価履歴'!$O:$O,'単価履歴'!$E:$E,E3213,'単価履歴'!$F:$F,F3213)=O3213,"●","")</f>
        <v/>
      </c>
      <c r="O3213" s="346">
        <v>45962.37841435186</v>
      </c>
      <c r="P3213" s="334" t="str">
        <f t="shared" si="4"/>
        <v>東鐵名古屋:直納Ｈ３(1級)</v>
      </c>
    </row>
    <row r="3214" ht="15.75" customHeight="1">
      <c r="A3214" s="335" t="s">
        <v>4361</v>
      </c>
      <c r="B3214" s="336">
        <v>45962.0</v>
      </c>
      <c r="C3214" s="335" t="s">
        <v>535</v>
      </c>
      <c r="D3214" s="335" t="s">
        <v>77</v>
      </c>
      <c r="E3214" s="337" t="str">
        <f t="shared" si="1"/>
        <v>東鐵名古屋:直納</v>
      </c>
      <c r="F3214" s="338" t="s">
        <v>122</v>
      </c>
      <c r="G3214" s="339" t="str">
        <f t="shared" si="2"/>
        <v>東鐵名古屋:直納Ｌ１(2級)</v>
      </c>
      <c r="H3214" s="340">
        <f t="shared" si="3"/>
        <v>41</v>
      </c>
      <c r="I3214" s="341">
        <v>0.5</v>
      </c>
      <c r="J3214" s="332">
        <f>IFERROR(__xludf.DUMMYFUNCTION("IF(IF(COUNTIF(P$2:P3213, P3214)=0, """", INDEX(H$2:H3213,
MAX(FILTER(ROW(H$2:H3213) - ROW(H$2) + 1, P$2:P3213 = P3214))))=""単価"","""",
IF(COUNTIF(P$2:P3213, P3214)=0, """", INDEX(H$2:H3213,
MAX(FILTER(ROW(H$2:H3213) - ROW(H$2) + 1, P$2:P3213 = P3214)))))"),40.5)</f>
        <v>40.5</v>
      </c>
      <c r="N3214" s="335" t="str">
        <f>IF(MAXIFS('単価履歴'!$O:$O,'単価履歴'!$E:$E,E3214,'単価履歴'!$F:$F,F3214)=O3214,"●","")</f>
        <v/>
      </c>
      <c r="O3214" s="346">
        <v>45962.37841435186</v>
      </c>
      <c r="P3214" s="334" t="str">
        <f t="shared" si="4"/>
        <v>東鐵名古屋:直納Ｌ１(2級)</v>
      </c>
    </row>
    <row r="3215" ht="15.75" customHeight="1">
      <c r="A3215" s="335" t="s">
        <v>4362</v>
      </c>
      <c r="B3215" s="336">
        <v>45962.0</v>
      </c>
      <c r="C3215" s="335" t="s">
        <v>535</v>
      </c>
      <c r="D3215" s="335" t="s">
        <v>77</v>
      </c>
      <c r="E3215" s="337" t="str">
        <f t="shared" si="1"/>
        <v>東鐵名古屋:直納</v>
      </c>
      <c r="F3215" s="338" t="s">
        <v>573</v>
      </c>
      <c r="G3215" s="339" t="str">
        <f t="shared" si="2"/>
        <v>東鐵名古屋:直納Ｌ２(H4･級外･L1ﾊﾞﾗ)</v>
      </c>
      <c r="H3215" s="340">
        <f t="shared" si="3"/>
        <v>38</v>
      </c>
      <c r="I3215" s="341">
        <v>0.5</v>
      </c>
      <c r="J3215" s="332">
        <f>IFERROR(__xludf.DUMMYFUNCTION("IF(IF(COUNTIF(P$2:P3214, P3215)=0, """", INDEX(H$2:H3214,
MAX(FILTER(ROW(H$2:H3214) - ROW(H$2) + 1, P$2:P3214 = P3215))))=""単価"","""",
IF(COUNTIF(P$2:P3214, P3215)=0, """", INDEX(H$2:H3214,
MAX(FILTER(ROW(H$2:H3214) - ROW(H$2) + 1, P$2:P3214 = P3215)))))"),37.5)</f>
        <v>37.5</v>
      </c>
      <c r="N3215" s="335" t="str">
        <f>IF(MAXIFS('単価履歴'!$O:$O,'単価履歴'!$E:$E,E3215,'単価履歴'!$F:$F,F3215)=O3215,"●","")</f>
        <v/>
      </c>
      <c r="O3215" s="346">
        <v>45962.37841435186</v>
      </c>
      <c r="P3215" s="334" t="str">
        <f t="shared" si="4"/>
        <v>東鐵名古屋:直納Ｌ２(H4･級外･L1ﾊﾞﾗ)</v>
      </c>
    </row>
    <row r="3216" ht="15.75" customHeight="1">
      <c r="A3216" s="335" t="s">
        <v>4363</v>
      </c>
      <c r="B3216" s="336">
        <v>45962.0</v>
      </c>
      <c r="C3216" s="335" t="s">
        <v>535</v>
      </c>
      <c r="D3216" s="335" t="s">
        <v>77</v>
      </c>
      <c r="E3216" s="337" t="str">
        <f t="shared" si="1"/>
        <v>東鐵名古屋:直納</v>
      </c>
      <c r="F3216" s="338" t="s">
        <v>145</v>
      </c>
      <c r="G3216" s="339" t="str">
        <f t="shared" si="2"/>
        <v>東鐵名古屋:直納シュレＡ</v>
      </c>
      <c r="H3216" s="340">
        <f t="shared" si="3"/>
        <v>44</v>
      </c>
      <c r="I3216" s="341">
        <v>0.5</v>
      </c>
      <c r="J3216" s="332">
        <f>IFERROR(__xludf.DUMMYFUNCTION("IF(IF(COUNTIF(P$2:P3215, P3216)=0, """", INDEX(H$2:H3215,
MAX(FILTER(ROW(H$2:H3215) - ROW(H$2) + 1, P$2:P3215 = P3216))))=""単価"","""",
IF(COUNTIF(P$2:P3215, P3216)=0, """", INDEX(H$2:H3215,
MAX(FILTER(ROW(H$2:H3215) - ROW(H$2) + 1, P$2:P3215 = P3216)))))"),43.5)</f>
        <v>43.5</v>
      </c>
      <c r="N3216" s="335" t="str">
        <f>IF(MAXIFS('単価履歴'!$O:$O,'単価履歴'!$E:$E,E3216,'単価履歴'!$F:$F,F3216)=O3216,"●","")</f>
        <v/>
      </c>
      <c r="O3216" s="346">
        <v>45962.37841435186</v>
      </c>
      <c r="P3216" s="334" t="str">
        <f t="shared" si="4"/>
        <v>東鐵名古屋:直納シュレＡ</v>
      </c>
    </row>
    <row r="3217" ht="15.75" customHeight="1">
      <c r="A3217" s="335" t="s">
        <v>4364</v>
      </c>
      <c r="B3217" s="336">
        <v>45962.0</v>
      </c>
      <c r="C3217" s="335" t="s">
        <v>535</v>
      </c>
      <c r="D3217" s="335" t="s">
        <v>77</v>
      </c>
      <c r="E3217" s="337" t="str">
        <f t="shared" si="1"/>
        <v>東鐵名古屋:直納</v>
      </c>
      <c r="F3217" s="338" t="s">
        <v>151</v>
      </c>
      <c r="G3217" s="339" t="str">
        <f t="shared" si="2"/>
        <v>東鐵名古屋:直納シュレＣ</v>
      </c>
      <c r="H3217" s="340">
        <f t="shared" si="3"/>
        <v>43.5</v>
      </c>
      <c r="I3217" s="341">
        <v>0.5</v>
      </c>
      <c r="J3217" s="332">
        <f>IFERROR(__xludf.DUMMYFUNCTION("IF(IF(COUNTIF(P$2:P3216, P3217)=0, """", INDEX(H$2:H3216,
MAX(FILTER(ROW(H$2:H3216) - ROW(H$2) + 1, P$2:P3216 = P3217))))=""単価"","""",
IF(COUNTIF(P$2:P3216, P3217)=0, """", INDEX(H$2:H3216,
MAX(FILTER(ROW(H$2:H3216) - ROW(H$2) + 1, P$2:P3216 = P3217)))))"),43.0)</f>
        <v>43</v>
      </c>
      <c r="N3217" s="335" t="str">
        <f>IF(MAXIFS('単価履歴'!$O:$O,'単価履歴'!$E:$E,E3217,'単価履歴'!$F:$F,F3217)=O3217,"●","")</f>
        <v/>
      </c>
      <c r="O3217" s="346">
        <v>45962.37841435186</v>
      </c>
      <c r="P3217" s="334" t="str">
        <f t="shared" si="4"/>
        <v>東鐵名古屋:直納シュレＣ</v>
      </c>
    </row>
    <row r="3218" ht="15.75" customHeight="1">
      <c r="A3218" s="335" t="s">
        <v>4365</v>
      </c>
      <c r="B3218" s="336">
        <v>45962.0</v>
      </c>
      <c r="C3218" s="335" t="s">
        <v>536</v>
      </c>
      <c r="D3218" s="335" t="s">
        <v>77</v>
      </c>
      <c r="E3218" s="337" t="str">
        <f t="shared" si="1"/>
        <v>東鐵田原:直納</v>
      </c>
      <c r="F3218" s="338" t="s">
        <v>1199</v>
      </c>
      <c r="G3218" s="339" t="str">
        <f t="shared" si="2"/>
        <v>東鐵田原:直納ＨＳ１(単体H1/電特A/HS))</v>
      </c>
      <c r="H3218" s="340">
        <f t="shared" si="3"/>
        <v>46</v>
      </c>
      <c r="I3218" s="341">
        <v>0.5</v>
      </c>
      <c r="J3218" s="332">
        <f>IFERROR(__xludf.DUMMYFUNCTION("IF(IF(COUNTIF(P$2:P3217, P3218)=0, """", INDEX(H$2:H3217,
MAX(FILTER(ROW(H$2:H3217) - ROW(H$2) + 1, P$2:P3217 = P3218))))=""単価"","""",
IF(COUNTIF(P$2:P3217, P3218)=0, """", INDEX(H$2:H3217,
MAX(FILTER(ROW(H$2:H3217) - ROW(H$2) + 1, P$2:P3217 = P3218)))))"),45.5)</f>
        <v>45.5</v>
      </c>
      <c r="N3218" s="335" t="str">
        <f>IF(MAXIFS('単価履歴'!$O:$O,'単価履歴'!$E:$E,E3218,'単価履歴'!$F:$F,F3218)=O3218,"●","")</f>
        <v/>
      </c>
      <c r="O3218" s="346">
        <v>45962.37863425926</v>
      </c>
      <c r="P3218" s="334" t="str">
        <f t="shared" si="4"/>
        <v>東鐵田原:直納ＨＳ１(単体H1/電特A/HS))</v>
      </c>
    </row>
    <row r="3219" ht="15.75" customHeight="1">
      <c r="A3219" s="335" t="s">
        <v>4366</v>
      </c>
      <c r="B3219" s="336">
        <v>45962.0</v>
      </c>
      <c r="C3219" s="335" t="s">
        <v>536</v>
      </c>
      <c r="D3219" s="335" t="s">
        <v>77</v>
      </c>
      <c r="E3219" s="337" t="str">
        <f t="shared" si="1"/>
        <v>東鐵田原:直納</v>
      </c>
      <c r="F3219" s="338" t="s">
        <v>111</v>
      </c>
      <c r="G3219" s="339" t="str">
        <f t="shared" si="2"/>
        <v>東鐵田原:直納Ｈ１(特A)</v>
      </c>
      <c r="H3219" s="340">
        <f t="shared" si="3"/>
        <v>45.2</v>
      </c>
      <c r="I3219" s="341">
        <v>0.5</v>
      </c>
      <c r="J3219" s="332">
        <f>IFERROR(__xludf.DUMMYFUNCTION("IF(IF(COUNTIF(P$2:P3218, P3219)=0, """", INDEX(H$2:H3218,
MAX(FILTER(ROW(H$2:H3218) - ROW(H$2) + 1, P$2:P3218 = P3219))))=""単価"","""",
IF(COUNTIF(P$2:P3218, P3219)=0, """", INDEX(H$2:H3218,
MAX(FILTER(ROW(H$2:H3218) - ROW(H$2) + 1, P$2:P3218 = P3219)))))"),44.7)</f>
        <v>44.7</v>
      </c>
      <c r="N3219" s="335" t="str">
        <f>IF(MAXIFS('単価履歴'!$O:$O,'単価履歴'!$E:$E,E3219,'単価履歴'!$F:$F,F3219)=O3219,"●","")</f>
        <v/>
      </c>
      <c r="O3219" s="346">
        <v>45962.37863425926</v>
      </c>
      <c r="P3219" s="334" t="str">
        <f t="shared" si="4"/>
        <v>東鐵田原:直納Ｈ１(特A)</v>
      </c>
    </row>
    <row r="3220" ht="15.75" customHeight="1">
      <c r="A3220" s="335" t="s">
        <v>4367</v>
      </c>
      <c r="B3220" s="336">
        <v>45962.0</v>
      </c>
      <c r="C3220" s="335" t="s">
        <v>536</v>
      </c>
      <c r="D3220" s="335" t="s">
        <v>77</v>
      </c>
      <c r="E3220" s="337" t="str">
        <f t="shared" si="1"/>
        <v>東鐵田原:直納</v>
      </c>
      <c r="F3220" s="338" t="s">
        <v>116</v>
      </c>
      <c r="G3220" s="339" t="str">
        <f t="shared" si="2"/>
        <v>東鐵田原:直納Ｈ２(特級)</v>
      </c>
      <c r="H3220" s="340">
        <f t="shared" si="3"/>
        <v>43.5</v>
      </c>
      <c r="I3220" s="341">
        <v>0.5</v>
      </c>
      <c r="J3220" s="332">
        <f>IFERROR(__xludf.DUMMYFUNCTION("IF(IF(COUNTIF(P$2:P3219, P3220)=0, """", INDEX(H$2:H3219,
MAX(FILTER(ROW(H$2:H3219) - ROW(H$2) + 1, P$2:P3219 = P3220))))=""単価"","""",
IF(COUNTIF(P$2:P3219, P3220)=0, """", INDEX(H$2:H3219,
MAX(FILTER(ROW(H$2:H3219) - ROW(H$2) + 1, P$2:P3219 = P3220)))))"),43.0)</f>
        <v>43</v>
      </c>
      <c r="N3220" s="335" t="str">
        <f>IF(MAXIFS('単価履歴'!$O:$O,'単価履歴'!$E:$E,E3220,'単価履歴'!$F:$F,F3220)=O3220,"●","")</f>
        <v/>
      </c>
      <c r="O3220" s="346">
        <v>45962.37863425926</v>
      </c>
      <c r="P3220" s="334" t="str">
        <f t="shared" si="4"/>
        <v>東鐵田原:直納Ｈ２(特級)</v>
      </c>
    </row>
    <row r="3221" ht="15.75" customHeight="1">
      <c r="A3221" s="335" t="s">
        <v>4368</v>
      </c>
      <c r="B3221" s="336">
        <v>45962.0</v>
      </c>
      <c r="C3221" s="335" t="s">
        <v>536</v>
      </c>
      <c r="D3221" s="335" t="s">
        <v>77</v>
      </c>
      <c r="E3221" s="337" t="str">
        <f t="shared" si="1"/>
        <v>東鐵田原:直納</v>
      </c>
      <c r="F3221" s="338" t="s">
        <v>119</v>
      </c>
      <c r="G3221" s="339" t="str">
        <f t="shared" si="2"/>
        <v>東鐵田原:直納Ｈ３(1級)</v>
      </c>
      <c r="H3221" s="340">
        <f t="shared" si="3"/>
        <v>43</v>
      </c>
      <c r="I3221" s="341">
        <v>0.5</v>
      </c>
      <c r="J3221" s="332">
        <f>IFERROR(__xludf.DUMMYFUNCTION("IF(IF(COUNTIF(P$2:P3220, P3221)=0, """", INDEX(H$2:H3220,
MAX(FILTER(ROW(H$2:H3220) - ROW(H$2) + 1, P$2:P3220 = P3221))))=""単価"","""",
IF(COUNTIF(P$2:P3220, P3221)=0, """", INDEX(H$2:H3220,
MAX(FILTER(ROW(H$2:H3220) - ROW(H$2) + 1, P$2:P3220 = P3221)))))"),42.5)</f>
        <v>42.5</v>
      </c>
      <c r="N3221" s="335" t="str">
        <f>IF(MAXIFS('単価履歴'!$O:$O,'単価履歴'!$E:$E,E3221,'単価履歴'!$F:$F,F3221)=O3221,"●","")</f>
        <v/>
      </c>
      <c r="O3221" s="346">
        <v>45962.37863425926</v>
      </c>
      <c r="P3221" s="334" t="str">
        <f t="shared" si="4"/>
        <v>東鐵田原:直納Ｈ３(1級)</v>
      </c>
    </row>
    <row r="3222" ht="15.75" customHeight="1">
      <c r="A3222" s="335" t="s">
        <v>4369</v>
      </c>
      <c r="B3222" s="336">
        <v>45962.0</v>
      </c>
      <c r="C3222" s="335" t="s">
        <v>536</v>
      </c>
      <c r="D3222" s="335" t="s">
        <v>77</v>
      </c>
      <c r="E3222" s="337" t="str">
        <f t="shared" si="1"/>
        <v>東鐵田原:直納</v>
      </c>
      <c r="F3222" s="338" t="s">
        <v>122</v>
      </c>
      <c r="G3222" s="339" t="str">
        <f t="shared" si="2"/>
        <v>東鐵田原:直納Ｌ１(2級)</v>
      </c>
      <c r="H3222" s="340">
        <f t="shared" si="3"/>
        <v>41.5</v>
      </c>
      <c r="I3222" s="341">
        <v>0.5</v>
      </c>
      <c r="J3222" s="332">
        <f>IFERROR(__xludf.DUMMYFUNCTION("IF(IF(COUNTIF(P$2:P3221, P3222)=0, """", INDEX(H$2:H3221,
MAX(FILTER(ROW(H$2:H3221) - ROW(H$2) + 1, P$2:P3221 = P3222))))=""単価"","""",
IF(COUNTIF(P$2:P3221, P3222)=0, """", INDEX(H$2:H3221,
MAX(FILTER(ROW(H$2:H3221) - ROW(H$2) + 1, P$2:P3221 = P3222)))))"),41.0)</f>
        <v>41</v>
      </c>
      <c r="N3222" s="335" t="str">
        <f>IF(MAXIFS('単価履歴'!$O:$O,'単価履歴'!$E:$E,E3222,'単価履歴'!$F:$F,F3222)=O3222,"●","")</f>
        <v/>
      </c>
      <c r="O3222" s="346">
        <v>45962.37863425926</v>
      </c>
      <c r="P3222" s="334" t="str">
        <f t="shared" si="4"/>
        <v>東鐵田原:直納Ｌ１(2級)</v>
      </c>
    </row>
    <row r="3223" ht="15.75" customHeight="1">
      <c r="A3223" s="335" t="s">
        <v>4370</v>
      </c>
      <c r="B3223" s="336">
        <v>45962.0</v>
      </c>
      <c r="C3223" s="335" t="s">
        <v>536</v>
      </c>
      <c r="D3223" s="335" t="s">
        <v>77</v>
      </c>
      <c r="E3223" s="337" t="str">
        <f t="shared" si="1"/>
        <v>東鐵田原:直納</v>
      </c>
      <c r="F3223" s="338" t="s">
        <v>573</v>
      </c>
      <c r="G3223" s="339" t="str">
        <f t="shared" si="2"/>
        <v>東鐵田原:直納Ｌ２(H4･級外･L1ﾊﾞﾗ)</v>
      </c>
      <c r="H3223" s="340">
        <f t="shared" si="3"/>
        <v>38.5</v>
      </c>
      <c r="I3223" s="341">
        <v>0.5</v>
      </c>
      <c r="J3223" s="332">
        <f>IFERROR(__xludf.DUMMYFUNCTION("IF(IF(COUNTIF(P$2:P3222, P3223)=0, """", INDEX(H$2:H3222,
MAX(FILTER(ROW(H$2:H3222) - ROW(H$2) + 1, P$2:P3222 = P3223))))=""単価"","""",
IF(COUNTIF(P$2:P3222, P3223)=0, """", INDEX(H$2:H3222,
MAX(FILTER(ROW(H$2:H3222) - ROW(H$2) + 1, P$2:P3222 = P3223)))))"),38.0)</f>
        <v>38</v>
      </c>
      <c r="N3223" s="335" t="str">
        <f>IF(MAXIFS('単価履歴'!$O:$O,'単価履歴'!$E:$E,E3223,'単価履歴'!$F:$F,F3223)=O3223,"●","")</f>
        <v/>
      </c>
      <c r="O3223" s="346">
        <v>45962.37863425926</v>
      </c>
      <c r="P3223" s="334" t="str">
        <f t="shared" si="4"/>
        <v>東鐵田原:直納Ｌ２(H4･級外･L1ﾊﾞﾗ)</v>
      </c>
    </row>
    <row r="3224" ht="15.75" customHeight="1">
      <c r="A3224" s="335" t="s">
        <v>4371</v>
      </c>
      <c r="B3224" s="336">
        <v>45962.0</v>
      </c>
      <c r="C3224" s="335" t="s">
        <v>536</v>
      </c>
      <c r="D3224" s="335" t="s">
        <v>77</v>
      </c>
      <c r="E3224" s="337" t="str">
        <f t="shared" si="1"/>
        <v>東鐵田原:直納</v>
      </c>
      <c r="F3224" s="338" t="s">
        <v>130</v>
      </c>
      <c r="G3224" s="339" t="str">
        <f t="shared" si="2"/>
        <v>東鐵田原:直納新断Ａ</v>
      </c>
      <c r="H3224" s="340">
        <f t="shared" si="3"/>
        <v>45.5</v>
      </c>
      <c r="I3224" s="341">
        <v>0.5</v>
      </c>
      <c r="J3224" s="332">
        <f>IFERROR(__xludf.DUMMYFUNCTION("IF(IF(COUNTIF(P$2:P3223, P3224)=0, """", INDEX(H$2:H3223,
MAX(FILTER(ROW(H$2:H3223) - ROW(H$2) + 1, P$2:P3223 = P3224))))=""単価"","""",
IF(COUNTIF(P$2:P3223, P3224)=0, """", INDEX(H$2:H3223,
MAX(FILTER(ROW(H$2:H3223) - ROW(H$2) + 1, P$2:P3223 = P3224)))))"),45.0)</f>
        <v>45</v>
      </c>
      <c r="N3224" s="335" t="str">
        <f>IF(MAXIFS('単価履歴'!$O:$O,'単価履歴'!$E:$E,E3224,'単価履歴'!$F:$F,F3224)=O3224,"●","")</f>
        <v/>
      </c>
      <c r="O3224" s="346">
        <v>45962.37863425926</v>
      </c>
      <c r="P3224" s="334" t="str">
        <f t="shared" si="4"/>
        <v>東鐵田原:直納新断Ａ</v>
      </c>
    </row>
    <row r="3225" ht="15.75" customHeight="1">
      <c r="A3225" s="335" t="s">
        <v>4372</v>
      </c>
      <c r="B3225" s="336">
        <v>45962.0</v>
      </c>
      <c r="C3225" s="335" t="s">
        <v>536</v>
      </c>
      <c r="D3225" s="335" t="s">
        <v>77</v>
      </c>
      <c r="E3225" s="337" t="str">
        <f t="shared" si="1"/>
        <v>東鐵田原:直納</v>
      </c>
      <c r="F3225" s="338" t="s">
        <v>131</v>
      </c>
      <c r="G3225" s="339" t="str">
        <f t="shared" si="2"/>
        <v>東鐵田原:直納新断Ｂ</v>
      </c>
      <c r="H3225" s="340">
        <f t="shared" si="3"/>
        <v>45.5</v>
      </c>
      <c r="I3225" s="341">
        <v>0.5</v>
      </c>
      <c r="J3225" s="332">
        <f>IFERROR(__xludf.DUMMYFUNCTION("IF(IF(COUNTIF(P$2:P3224, P3225)=0, """", INDEX(H$2:H3224,
MAX(FILTER(ROW(H$2:H3224) - ROW(H$2) + 1, P$2:P3224 = P3225))))=""単価"","""",
IF(COUNTIF(P$2:P3224, P3225)=0, """", INDEX(H$2:H3224,
MAX(FILTER(ROW(H$2:H3224) - ROW(H$2) + 1, P$2:P3224 = P3225)))))"),45.0)</f>
        <v>45</v>
      </c>
      <c r="N3225" s="335" t="str">
        <f>IF(MAXIFS('単価履歴'!$O:$O,'単価履歴'!$E:$E,E3225,'単価履歴'!$F:$F,F3225)=O3225,"●","")</f>
        <v/>
      </c>
      <c r="O3225" s="346">
        <v>45962.37863425926</v>
      </c>
      <c r="P3225" s="334" t="str">
        <f t="shared" si="4"/>
        <v>東鐵田原:直納新断Ｂ</v>
      </c>
    </row>
    <row r="3226" ht="15.75" customHeight="1">
      <c r="A3226" s="335" t="s">
        <v>4373</v>
      </c>
      <c r="B3226" s="336">
        <v>45962.0</v>
      </c>
      <c r="C3226" s="335" t="s">
        <v>536</v>
      </c>
      <c r="D3226" s="335" t="s">
        <v>77</v>
      </c>
      <c r="E3226" s="337" t="str">
        <f t="shared" si="1"/>
        <v>東鐵田原:直納</v>
      </c>
      <c r="F3226" s="338" t="s">
        <v>575</v>
      </c>
      <c r="G3226" s="339" t="str">
        <f t="shared" si="2"/>
        <v>東鐵田原:直納鋼ダライＡ</v>
      </c>
      <c r="H3226" s="340">
        <f t="shared" si="3"/>
        <v>42</v>
      </c>
      <c r="I3226" s="341">
        <v>0.5</v>
      </c>
      <c r="J3226" s="332">
        <f>IFERROR(__xludf.DUMMYFUNCTION("IF(IF(COUNTIF(P$2:P3225, P3226)=0, """", INDEX(H$2:H3225,
MAX(FILTER(ROW(H$2:H3225) - ROW(H$2) + 1, P$2:P3225 = P3226))))=""単価"","""",
IF(COUNTIF(P$2:P3225, P3226)=0, """", INDEX(H$2:H3225,
MAX(FILTER(ROW(H$2:H3225) - ROW(H$2) + 1, P$2:P3225 = P3226)))))"),41.5)</f>
        <v>41.5</v>
      </c>
      <c r="N3226" s="335" t="str">
        <f>IF(MAXIFS('単価履歴'!$O:$O,'単価履歴'!$E:$E,E3226,'単価履歴'!$F:$F,F3226)=O3226,"●","")</f>
        <v/>
      </c>
      <c r="O3226" s="346">
        <v>45962.37863425926</v>
      </c>
      <c r="P3226" s="334" t="str">
        <f t="shared" si="4"/>
        <v>東鐵田原:直納鋼ダライＡ</v>
      </c>
    </row>
    <row r="3227" ht="15.75" customHeight="1">
      <c r="A3227" s="335" t="s">
        <v>4374</v>
      </c>
      <c r="B3227" s="336">
        <v>45962.0</v>
      </c>
      <c r="C3227" s="335" t="s">
        <v>536</v>
      </c>
      <c r="D3227" s="335" t="s">
        <v>77</v>
      </c>
      <c r="E3227" s="337" t="str">
        <f t="shared" si="1"/>
        <v>東鐵田原:直納</v>
      </c>
      <c r="F3227" s="338" t="s">
        <v>145</v>
      </c>
      <c r="G3227" s="339" t="str">
        <f t="shared" si="2"/>
        <v>東鐵田原:直納シュレＡ</v>
      </c>
      <c r="H3227" s="340">
        <f t="shared" si="3"/>
        <v>44.5</v>
      </c>
      <c r="I3227" s="341">
        <v>0.5</v>
      </c>
      <c r="J3227" s="332">
        <f>IFERROR(__xludf.DUMMYFUNCTION("IF(IF(COUNTIF(P$2:P3226, P3227)=0, """", INDEX(H$2:H3226,
MAX(FILTER(ROW(H$2:H3226) - ROW(H$2) + 1, P$2:P3226 = P3227))))=""単価"","""",
IF(COUNTIF(P$2:P3226, P3227)=0, """", INDEX(H$2:H3226,
MAX(FILTER(ROW(H$2:H3226) - ROW(H$2) + 1, P$2:P3226 = P3227)))))"),44.0)</f>
        <v>44</v>
      </c>
      <c r="N3227" s="335" t="str">
        <f>IF(MAXIFS('単価履歴'!$O:$O,'単価履歴'!$E:$E,E3227,'単価履歴'!$F:$F,F3227)=O3227,"●","")</f>
        <v/>
      </c>
      <c r="O3227" s="346">
        <v>45962.37863425926</v>
      </c>
      <c r="P3227" s="334" t="str">
        <f t="shared" si="4"/>
        <v>東鐵田原:直納シュレＡ</v>
      </c>
    </row>
    <row r="3228" ht="15.75" customHeight="1">
      <c r="A3228" s="335" t="s">
        <v>4375</v>
      </c>
      <c r="B3228" s="336">
        <v>45962.0</v>
      </c>
      <c r="C3228" s="335" t="s">
        <v>536</v>
      </c>
      <c r="D3228" s="335" t="s">
        <v>77</v>
      </c>
      <c r="E3228" s="337" t="str">
        <f t="shared" si="1"/>
        <v>東鐵田原:直納</v>
      </c>
      <c r="F3228" s="338" t="s">
        <v>151</v>
      </c>
      <c r="G3228" s="339" t="str">
        <f t="shared" si="2"/>
        <v>東鐵田原:直納シュレＣ</v>
      </c>
      <c r="H3228" s="340">
        <f t="shared" si="3"/>
        <v>44</v>
      </c>
      <c r="I3228" s="341">
        <v>0.5</v>
      </c>
      <c r="J3228" s="332">
        <f>IFERROR(__xludf.DUMMYFUNCTION("IF(IF(COUNTIF(P$2:P3227, P3228)=0, """", INDEX(H$2:H3227,
MAX(FILTER(ROW(H$2:H3227) - ROW(H$2) + 1, P$2:P3227 = P3228))))=""単価"","""",
IF(COUNTIF(P$2:P3227, P3228)=0, """", INDEX(H$2:H3227,
MAX(FILTER(ROW(H$2:H3227) - ROW(H$2) + 1, P$2:P3227 = P3228)))))"),43.5)</f>
        <v>43.5</v>
      </c>
      <c r="N3228" s="335" t="str">
        <f>IF(MAXIFS('単価履歴'!$O:$O,'単価履歴'!$E:$E,E3228,'単価履歴'!$F:$F,F3228)=O3228,"●","")</f>
        <v/>
      </c>
      <c r="O3228" s="346">
        <v>45962.37863425926</v>
      </c>
      <c r="P3228" s="334" t="str">
        <f t="shared" si="4"/>
        <v>東鐵田原:直納シュレＣ</v>
      </c>
    </row>
    <row r="3229" ht="15.75" customHeight="1">
      <c r="A3229" s="335" t="s">
        <v>4376</v>
      </c>
      <c r="B3229" s="336">
        <v>45962.0</v>
      </c>
      <c r="C3229" s="335" t="s">
        <v>536</v>
      </c>
      <c r="D3229" s="335" t="s">
        <v>77</v>
      </c>
      <c r="E3229" s="337" t="str">
        <f t="shared" si="1"/>
        <v>東鐵田原:直納</v>
      </c>
      <c r="F3229" s="338" t="s">
        <v>154</v>
      </c>
      <c r="G3229" s="339" t="str">
        <f t="shared" si="2"/>
        <v>東鐵田原:直納ＣＰ Ａ</v>
      </c>
      <c r="H3229" s="340">
        <f t="shared" si="3"/>
        <v>42</v>
      </c>
      <c r="I3229" s="341">
        <v>0.5</v>
      </c>
      <c r="J3229" s="332">
        <f>IFERROR(__xludf.DUMMYFUNCTION("IF(IF(COUNTIF(P$2:P3228, P3229)=0, """", INDEX(H$2:H3228,
MAX(FILTER(ROW(H$2:H3228) - ROW(H$2) + 1, P$2:P3228 = P3229))))=""単価"","""",
IF(COUNTIF(P$2:P3228, P3229)=0, """", INDEX(H$2:H3228,
MAX(FILTER(ROW(H$2:H3228) - ROW(H$2) + 1, P$2:P3228 = P3229)))))"),41.5)</f>
        <v>41.5</v>
      </c>
      <c r="N3229" s="335" t="str">
        <f>IF(MAXIFS('単価履歴'!$O:$O,'単価履歴'!$E:$E,E3229,'単価履歴'!$F:$F,F3229)=O3229,"●","")</f>
        <v/>
      </c>
      <c r="O3229" s="346">
        <v>45962.37863425926</v>
      </c>
      <c r="P3229" s="334" t="str">
        <f t="shared" si="4"/>
        <v>東鐵田原:直納ＣＰ Ａ</v>
      </c>
    </row>
    <row r="3230" ht="15.75" customHeight="1">
      <c r="A3230" s="335" t="s">
        <v>4377</v>
      </c>
      <c r="B3230" s="336">
        <v>45962.0</v>
      </c>
      <c r="C3230" s="335" t="s">
        <v>19</v>
      </c>
      <c r="D3230" s="335" t="s">
        <v>61</v>
      </c>
      <c r="E3230" s="337" t="str">
        <f t="shared" si="1"/>
        <v>トピー工業:ＭＭ</v>
      </c>
      <c r="F3230" s="338" t="s">
        <v>116</v>
      </c>
      <c r="G3230" s="339" t="str">
        <f t="shared" si="2"/>
        <v>トピー工業:ＭＭＨ２(特級)</v>
      </c>
      <c r="H3230" s="340">
        <f t="shared" si="3"/>
        <v>37</v>
      </c>
      <c r="I3230" s="341">
        <v>0.5</v>
      </c>
      <c r="J3230" s="332">
        <f>IFERROR(__xludf.DUMMYFUNCTION("IF(IF(COUNTIF(P$2:P3229, P3230)=0, """", INDEX(H$2:H3229,
MAX(FILTER(ROW(H$2:H3229) - ROW(H$2) + 1, P$2:P3229 = P3230))))=""単価"","""",
IF(COUNTIF(P$2:P3229, P3230)=0, """", INDEX(H$2:H3229,
MAX(FILTER(ROW(H$2:H3229) - ROW(H$2) + 1, P$2:P3229 = P3230)))))"),36.5)</f>
        <v>36.5</v>
      </c>
      <c r="N3230" s="335" t="str">
        <f>IF(MAXIFS('単価履歴'!$O:$O,'単価履歴'!$E:$E,E3230,'単価履歴'!$F:$F,F3230)=O3230,"●","")</f>
        <v/>
      </c>
      <c r="O3230" s="346">
        <v>45962.378854166665</v>
      </c>
      <c r="P3230" s="334" t="str">
        <f t="shared" si="4"/>
        <v>トピー工業:ＭＭＨ２(特級)</v>
      </c>
    </row>
    <row r="3231" ht="15.75" customHeight="1">
      <c r="A3231" s="335" t="s">
        <v>4378</v>
      </c>
      <c r="B3231" s="336">
        <v>45962.0</v>
      </c>
      <c r="C3231" s="335" t="s">
        <v>15</v>
      </c>
      <c r="D3231" s="335" t="s">
        <v>58</v>
      </c>
      <c r="E3231" s="337" t="str">
        <f t="shared" si="1"/>
        <v>山口鋼業:MM建材</v>
      </c>
      <c r="F3231" s="338" t="s">
        <v>1199</v>
      </c>
      <c r="G3231" s="339" t="str">
        <f t="shared" si="2"/>
        <v>山口鋼業:MM建材ＨＳ１(単体H1/電特A/HS))</v>
      </c>
      <c r="H3231" s="340">
        <f t="shared" si="3"/>
        <v>42.5</v>
      </c>
      <c r="I3231" s="341">
        <v>0.5</v>
      </c>
      <c r="J3231" s="332">
        <f>IFERROR(__xludf.DUMMYFUNCTION("IF(IF(COUNTIF(P$2:P3230, P3231)=0, """", INDEX(H$2:H3230,
MAX(FILTER(ROW(H$2:H3230) - ROW(H$2) + 1, P$2:P3230 = P3231))))=""単価"","""",
IF(COUNTIF(P$2:P3230, P3231)=0, """", INDEX(H$2:H3230,
MAX(FILTER(ROW(H$2:H3230) - ROW(H$2) + 1, P$2:P3230 = P3231)))))"),42.0)</f>
        <v>42</v>
      </c>
      <c r="N3231" s="335" t="str">
        <f>IF(MAXIFS('単価履歴'!$O:$O,'単価履歴'!$E:$E,E3231,'単価履歴'!$F:$F,F3231)=O3231,"●","")</f>
        <v/>
      </c>
      <c r="O3231" s="346">
        <v>45962.37913194444</v>
      </c>
      <c r="P3231" s="334" t="str">
        <f t="shared" si="4"/>
        <v>山口鋼業:MM建材ＨＳ１(単体H1/電特A/HS))</v>
      </c>
    </row>
    <row r="3232" ht="15.75" customHeight="1">
      <c r="A3232" s="335" t="s">
        <v>4379</v>
      </c>
      <c r="B3232" s="336">
        <v>45962.0</v>
      </c>
      <c r="C3232" s="335" t="s">
        <v>15</v>
      </c>
      <c r="D3232" s="335" t="s">
        <v>58</v>
      </c>
      <c r="E3232" s="337" t="str">
        <f t="shared" si="1"/>
        <v>山口鋼業:MM建材</v>
      </c>
      <c r="F3232" s="338" t="s">
        <v>1237</v>
      </c>
      <c r="G3232" s="339" t="str">
        <f t="shared" si="2"/>
        <v>山口鋼業:MM建材ＪＨ１(H2T山口)鍛造ﾊﾞﾘ</v>
      </c>
      <c r="H3232" s="340">
        <f t="shared" si="3"/>
        <v>42</v>
      </c>
      <c r="I3232" s="341">
        <v>0.5</v>
      </c>
      <c r="J3232" s="332">
        <f>IFERROR(__xludf.DUMMYFUNCTION("IF(IF(COUNTIF(P$2:P3231, P3232)=0, """", INDEX(H$2:H3231,
MAX(FILTER(ROW(H$2:H3231) - ROW(H$2) + 1, P$2:P3231 = P3232))))=""単価"","""",
IF(COUNTIF(P$2:P3231, P3232)=0, """", INDEX(H$2:H3231,
MAX(FILTER(ROW(H$2:H3231) - ROW(H$2) + 1, P$2:P3231 = P3232)))))"),41.5)</f>
        <v>41.5</v>
      </c>
      <c r="N3232" s="335" t="str">
        <f>IF(MAXIFS('単価履歴'!$O:$O,'単価履歴'!$E:$E,E3232,'単価履歴'!$F:$F,F3232)=O3232,"●","")</f>
        <v/>
      </c>
      <c r="O3232" s="346">
        <v>45962.37913194444</v>
      </c>
      <c r="P3232" s="334" t="str">
        <f t="shared" si="4"/>
        <v>山口鋼業:MM建材ＪＨ１(H2T山口)鍛造ﾊﾞﾘ</v>
      </c>
    </row>
    <row r="3233" ht="15.75" customHeight="1">
      <c r="A3233" s="335" t="s">
        <v>4380</v>
      </c>
      <c r="B3233" s="336">
        <v>45962.0</v>
      </c>
      <c r="C3233" s="335" t="s">
        <v>15</v>
      </c>
      <c r="D3233" s="335" t="s">
        <v>58</v>
      </c>
      <c r="E3233" s="337" t="str">
        <f t="shared" si="1"/>
        <v>山口鋼業:MM建材</v>
      </c>
      <c r="F3233" s="338" t="s">
        <v>116</v>
      </c>
      <c r="G3233" s="339" t="str">
        <f t="shared" si="2"/>
        <v>山口鋼業:MM建材Ｈ２(特級)</v>
      </c>
      <c r="H3233" s="340">
        <f t="shared" si="3"/>
        <v>41</v>
      </c>
      <c r="I3233" s="341">
        <v>0.5</v>
      </c>
      <c r="J3233" s="332">
        <f>IFERROR(__xludf.DUMMYFUNCTION("IF(IF(COUNTIF(P$2:P3232, P3233)=0, """", INDEX(H$2:H3232,
MAX(FILTER(ROW(H$2:H3232) - ROW(H$2) + 1, P$2:P3232 = P3233))))=""単価"","""",
IF(COUNTIF(P$2:P3232, P3233)=0, """", INDEX(H$2:H3232,
MAX(FILTER(ROW(H$2:H3232) - ROW(H$2) + 1, P$2:P3232 = P3233)))))"),40.5)</f>
        <v>40.5</v>
      </c>
      <c r="N3233" s="335" t="str">
        <f>IF(MAXIFS('単価履歴'!$O:$O,'単価履歴'!$E:$E,E3233,'単価履歴'!$F:$F,F3233)=O3233,"●","")</f>
        <v/>
      </c>
      <c r="O3233" s="346">
        <v>45962.37913194444</v>
      </c>
      <c r="P3233" s="334" t="str">
        <f t="shared" si="4"/>
        <v>山口鋼業:MM建材Ｈ２(特級)</v>
      </c>
    </row>
    <row r="3234" ht="15.75" customHeight="1">
      <c r="A3234" s="335" t="s">
        <v>4381</v>
      </c>
      <c r="B3234" s="336">
        <v>45962.0</v>
      </c>
      <c r="C3234" s="335" t="s">
        <v>15</v>
      </c>
      <c r="D3234" s="335" t="s">
        <v>58</v>
      </c>
      <c r="E3234" s="337" t="str">
        <f t="shared" si="1"/>
        <v>山口鋼業:MM建材</v>
      </c>
      <c r="F3234" s="338" t="s">
        <v>119</v>
      </c>
      <c r="G3234" s="339" t="str">
        <f t="shared" si="2"/>
        <v>山口鋼業:MM建材Ｈ３(1級)</v>
      </c>
      <c r="H3234" s="340">
        <f t="shared" si="3"/>
        <v>40</v>
      </c>
      <c r="I3234" s="341">
        <v>0.5</v>
      </c>
      <c r="J3234" s="332">
        <f>IFERROR(__xludf.DUMMYFUNCTION("IF(IF(COUNTIF(P$2:P3233, P3234)=0, """", INDEX(H$2:H3233,
MAX(FILTER(ROW(H$2:H3233) - ROW(H$2) + 1, P$2:P3233 = P3234))))=""単価"","""",
IF(COUNTIF(P$2:P3233, P3234)=0, """", INDEX(H$2:H3233,
MAX(FILTER(ROW(H$2:H3233) - ROW(H$2) + 1, P$2:P3233 = P3234)))))"),39.5)</f>
        <v>39.5</v>
      </c>
      <c r="N3234" s="335" t="str">
        <f>IF(MAXIFS('単価履歴'!$O:$O,'単価履歴'!$E:$E,E3234,'単価履歴'!$F:$F,F3234)=O3234,"●","")</f>
        <v/>
      </c>
      <c r="O3234" s="346">
        <v>45962.37913194444</v>
      </c>
      <c r="P3234" s="334" t="str">
        <f t="shared" si="4"/>
        <v>山口鋼業:MM建材Ｈ３(1級)</v>
      </c>
    </row>
    <row r="3235" ht="15.75" customHeight="1">
      <c r="A3235" s="335" t="s">
        <v>4382</v>
      </c>
      <c r="B3235" s="336">
        <v>45962.0</v>
      </c>
      <c r="C3235" s="335" t="s">
        <v>15</v>
      </c>
      <c r="D3235" s="335" t="s">
        <v>58</v>
      </c>
      <c r="E3235" s="337" t="str">
        <f t="shared" si="1"/>
        <v>山口鋼業:MM建材</v>
      </c>
      <c r="F3235" s="338" t="s">
        <v>573</v>
      </c>
      <c r="G3235" s="339" t="str">
        <f t="shared" si="2"/>
        <v>山口鋼業:MM建材Ｌ２(H4･級外･L1ﾊﾞﾗ)</v>
      </c>
      <c r="H3235" s="340">
        <f t="shared" si="3"/>
        <v>38.5</v>
      </c>
      <c r="I3235" s="341">
        <v>0.5</v>
      </c>
      <c r="J3235" s="332">
        <f>IFERROR(__xludf.DUMMYFUNCTION("IF(IF(COUNTIF(P$2:P3234, P3235)=0, """", INDEX(H$2:H3234,
MAX(FILTER(ROW(H$2:H3234) - ROW(H$2) + 1, P$2:P3234 = P3235))))=""単価"","""",
IF(COUNTIF(P$2:P3234, P3235)=0, """", INDEX(H$2:H3234,
MAX(FILTER(ROW(H$2:H3234) - ROW(H$2) + 1, P$2:P3234 = P3235)))))"),38.0)</f>
        <v>38</v>
      </c>
      <c r="N3235" s="335" t="str">
        <f>IF(MAXIFS('単価履歴'!$O:$O,'単価履歴'!$E:$E,E3235,'単価履歴'!$F:$F,F3235)=O3235,"●","")</f>
        <v/>
      </c>
      <c r="O3235" s="346">
        <v>45962.37913194444</v>
      </c>
      <c r="P3235" s="334" t="str">
        <f t="shared" si="4"/>
        <v>山口鋼業:MM建材Ｌ２(H4･級外･L1ﾊﾞﾗ)</v>
      </c>
    </row>
    <row r="3236" ht="15.75" customHeight="1">
      <c r="A3236" s="335" t="s">
        <v>4383</v>
      </c>
      <c r="B3236" s="336">
        <v>45962.0</v>
      </c>
      <c r="C3236" s="335" t="s">
        <v>15</v>
      </c>
      <c r="D3236" s="335" t="s">
        <v>58</v>
      </c>
      <c r="E3236" s="337" t="str">
        <f t="shared" si="1"/>
        <v>山口鋼業:MM建材</v>
      </c>
      <c r="F3236" s="338" t="s">
        <v>575</v>
      </c>
      <c r="G3236" s="339" t="str">
        <f t="shared" si="2"/>
        <v>山口鋼業:MM建材鋼ダライＡ</v>
      </c>
      <c r="H3236" s="340">
        <f t="shared" si="3"/>
        <v>38.1</v>
      </c>
      <c r="I3236" s="341">
        <v>0.5</v>
      </c>
      <c r="J3236" s="332">
        <f>IFERROR(__xludf.DUMMYFUNCTION("IF(IF(COUNTIF(P$2:P3235, P3236)=0, """", INDEX(H$2:H3235,
MAX(FILTER(ROW(H$2:H3235) - ROW(H$2) + 1, P$2:P3235 = P3236))))=""単価"","""",
IF(COUNTIF(P$2:P3235, P3236)=0, """", INDEX(H$2:H3235,
MAX(FILTER(ROW(H$2:H3235) - ROW(H$2) + 1, P$2:P3235 = P3236)))))"),37.6)</f>
        <v>37.6</v>
      </c>
      <c r="N3236" s="335" t="str">
        <f>IF(MAXIFS('単価履歴'!$O:$O,'単価履歴'!$E:$E,E3236,'単価履歴'!$F:$F,F3236)=O3236,"●","")</f>
        <v/>
      </c>
      <c r="O3236" s="346">
        <v>45962.37913194444</v>
      </c>
      <c r="P3236" s="334" t="str">
        <f t="shared" si="4"/>
        <v>山口鋼業:MM建材鋼ダライＡ</v>
      </c>
    </row>
    <row r="3237" ht="15.75" customHeight="1">
      <c r="A3237" s="335" t="s">
        <v>4384</v>
      </c>
      <c r="B3237" s="336">
        <v>45962.0</v>
      </c>
      <c r="C3237" s="335" t="s">
        <v>15</v>
      </c>
      <c r="D3237" s="335" t="s">
        <v>58</v>
      </c>
      <c r="E3237" s="337" t="str">
        <f t="shared" si="1"/>
        <v>山口鋼業:MM建材</v>
      </c>
      <c r="F3237" s="338" t="s">
        <v>577</v>
      </c>
      <c r="G3237" s="339" t="str">
        <f t="shared" si="2"/>
        <v>山口鋼業:MM建材鋳物・ﾀﾞｸﾀｲﾙ</v>
      </c>
      <c r="H3237" s="340">
        <f t="shared" si="3"/>
        <v>42.5</v>
      </c>
      <c r="I3237" s="341">
        <v>0.5</v>
      </c>
      <c r="J3237" s="332">
        <f>IFERROR(__xludf.DUMMYFUNCTION("IF(IF(COUNTIF(P$2:P3236, P3237)=0, """", INDEX(H$2:H3236,
MAX(FILTER(ROW(H$2:H3236) - ROW(H$2) + 1, P$2:P3236 = P3237))))=""単価"","""",
IF(COUNTIF(P$2:P3236, P3237)=0, """", INDEX(H$2:H3236,
MAX(FILTER(ROW(H$2:H3236) - ROW(H$2) + 1, P$2:P3236 = P3237)))))"),42.0)</f>
        <v>42</v>
      </c>
      <c r="N3237" s="335" t="str">
        <f>IF(MAXIFS('単価履歴'!$O:$O,'単価履歴'!$E:$E,E3237,'単価履歴'!$F:$F,F3237)=O3237,"●","")</f>
        <v/>
      </c>
      <c r="O3237" s="346">
        <v>45962.37913194444</v>
      </c>
      <c r="P3237" s="334" t="str">
        <f t="shared" si="4"/>
        <v>山口鋼業:MM建材鋳物・ﾀﾞｸﾀｲﾙ</v>
      </c>
    </row>
    <row r="3238" ht="15.75" customHeight="1">
      <c r="A3238" s="335" t="s">
        <v>4385</v>
      </c>
      <c r="B3238" s="336">
        <v>45962.0</v>
      </c>
      <c r="C3238" s="335" t="s">
        <v>15</v>
      </c>
      <c r="D3238" s="335" t="s">
        <v>46</v>
      </c>
      <c r="E3238" s="337" t="str">
        <f t="shared" si="1"/>
        <v>山口鋼業:阪和</v>
      </c>
      <c r="F3238" s="338" t="s">
        <v>1199</v>
      </c>
      <c r="G3238" s="339" t="str">
        <f t="shared" si="2"/>
        <v>山口鋼業:阪和ＨＳ１(単体H1/電特A/HS))</v>
      </c>
      <c r="H3238" s="340">
        <f t="shared" si="3"/>
        <v>44</v>
      </c>
      <c r="I3238" s="341">
        <v>0.5</v>
      </c>
      <c r="J3238" s="332">
        <f>IFERROR(__xludf.DUMMYFUNCTION("IF(IF(COUNTIF(P$2:P3237, P3238)=0, """", INDEX(H$2:H3237,
MAX(FILTER(ROW(H$2:H3237) - ROW(H$2) + 1, P$2:P3237 = P3238))))=""単価"","""",
IF(COUNTIF(P$2:P3237, P3238)=0, """", INDEX(H$2:H3237,
MAX(FILTER(ROW(H$2:H3237) - ROW(H$2) + 1, P$2:P3237 = P3238)))))"),43.5)</f>
        <v>43.5</v>
      </c>
      <c r="N3238" s="335" t="str">
        <f>IF(MAXIFS('単価履歴'!$O:$O,'単価履歴'!$E:$E,E3238,'単価履歴'!$F:$F,F3238)=O3238,"●","")</f>
        <v/>
      </c>
      <c r="O3238" s="346">
        <v>45962.379525462966</v>
      </c>
      <c r="P3238" s="334" t="str">
        <f t="shared" si="4"/>
        <v>山口鋼業:阪和ＨＳ１(単体H1/電特A/HS))</v>
      </c>
    </row>
    <row r="3239" ht="15.75" customHeight="1">
      <c r="A3239" s="335" t="s">
        <v>4386</v>
      </c>
      <c r="B3239" s="336">
        <v>45962.0</v>
      </c>
      <c r="C3239" s="335" t="s">
        <v>15</v>
      </c>
      <c r="D3239" s="335" t="s">
        <v>46</v>
      </c>
      <c r="E3239" s="337" t="str">
        <f t="shared" si="1"/>
        <v>山口鋼業:阪和</v>
      </c>
      <c r="F3239" s="338" t="s">
        <v>111</v>
      </c>
      <c r="G3239" s="339" t="str">
        <f t="shared" si="2"/>
        <v>山口鋼業:阪和Ｈ１(特A)</v>
      </c>
      <c r="H3239" s="340">
        <f t="shared" si="3"/>
        <v>42.5</v>
      </c>
      <c r="I3239" s="341">
        <v>0.5</v>
      </c>
      <c r="J3239" s="332">
        <f>IFERROR(__xludf.DUMMYFUNCTION("IF(IF(COUNTIF(P$2:P3238, P3239)=0, """", INDEX(H$2:H3238,
MAX(FILTER(ROW(H$2:H3238) - ROW(H$2) + 1, P$2:P3238 = P3239))))=""単価"","""",
IF(COUNTIF(P$2:P3238, P3239)=0, """", INDEX(H$2:H3238,
MAX(FILTER(ROW(H$2:H3238) - ROW(H$2) + 1, P$2:P3238 = P3239)))))"),42.0)</f>
        <v>42</v>
      </c>
      <c r="N3239" s="335" t="str">
        <f>IF(MAXIFS('単価履歴'!$O:$O,'単価履歴'!$E:$E,E3239,'単価履歴'!$F:$F,F3239)=O3239,"●","")</f>
        <v/>
      </c>
      <c r="O3239" s="346">
        <v>45962.379525462966</v>
      </c>
      <c r="P3239" s="334" t="str">
        <f t="shared" si="4"/>
        <v>山口鋼業:阪和Ｈ１(特A)</v>
      </c>
    </row>
    <row r="3240" ht="15.75" customHeight="1">
      <c r="A3240" s="335" t="s">
        <v>4387</v>
      </c>
      <c r="B3240" s="336">
        <v>45962.0</v>
      </c>
      <c r="C3240" s="335" t="s">
        <v>15</v>
      </c>
      <c r="D3240" s="335" t="s">
        <v>46</v>
      </c>
      <c r="E3240" s="337" t="str">
        <f t="shared" si="1"/>
        <v>山口鋼業:阪和</v>
      </c>
      <c r="F3240" s="338" t="s">
        <v>116</v>
      </c>
      <c r="G3240" s="339" t="str">
        <f t="shared" si="2"/>
        <v>山口鋼業:阪和Ｈ２(特級)</v>
      </c>
      <c r="H3240" s="340">
        <f t="shared" si="3"/>
        <v>42</v>
      </c>
      <c r="I3240" s="341">
        <v>0.5</v>
      </c>
      <c r="J3240" s="332">
        <f>IFERROR(__xludf.DUMMYFUNCTION("IF(IF(COUNTIF(P$2:P3239, P3240)=0, """", INDEX(H$2:H3239,
MAX(FILTER(ROW(H$2:H3239) - ROW(H$2) + 1, P$2:P3239 = P3240))))=""単価"","""",
IF(COUNTIF(P$2:P3239, P3240)=0, """", INDEX(H$2:H3239,
MAX(FILTER(ROW(H$2:H3239) - ROW(H$2) + 1, P$2:P3239 = P3240)))))"),41.5)</f>
        <v>41.5</v>
      </c>
      <c r="N3240" s="335" t="str">
        <f>IF(MAXIFS('単価履歴'!$O:$O,'単価履歴'!$E:$E,E3240,'単価履歴'!$F:$F,F3240)=O3240,"●","")</f>
        <v/>
      </c>
      <c r="O3240" s="346">
        <v>45962.379525462966</v>
      </c>
      <c r="P3240" s="334" t="str">
        <f t="shared" si="4"/>
        <v>山口鋼業:阪和Ｈ２(特級)</v>
      </c>
    </row>
    <row r="3241" ht="15.75" customHeight="1">
      <c r="A3241" s="335" t="s">
        <v>4388</v>
      </c>
      <c r="B3241" s="336">
        <v>45962.0</v>
      </c>
      <c r="C3241" s="335" t="s">
        <v>15</v>
      </c>
      <c r="D3241" s="335" t="s">
        <v>46</v>
      </c>
      <c r="E3241" s="337" t="str">
        <f t="shared" si="1"/>
        <v>山口鋼業:阪和</v>
      </c>
      <c r="F3241" s="338" t="s">
        <v>119</v>
      </c>
      <c r="G3241" s="339" t="str">
        <f t="shared" si="2"/>
        <v>山口鋼業:阪和Ｈ３(1級)</v>
      </c>
      <c r="H3241" s="340">
        <f t="shared" si="3"/>
        <v>41</v>
      </c>
      <c r="I3241" s="341">
        <v>0.5</v>
      </c>
      <c r="J3241" s="332">
        <f>IFERROR(__xludf.DUMMYFUNCTION("IF(IF(COUNTIF(P$2:P3240, P3241)=0, """", INDEX(H$2:H3240,
MAX(FILTER(ROW(H$2:H3240) - ROW(H$2) + 1, P$2:P3240 = P3241))))=""単価"","""",
IF(COUNTIF(P$2:P3240, P3241)=0, """", INDEX(H$2:H3240,
MAX(FILTER(ROW(H$2:H3240) - ROW(H$2) + 1, P$2:P3240 = P3241)))))"),40.5)</f>
        <v>40.5</v>
      </c>
      <c r="N3241" s="335" t="str">
        <f>IF(MAXIFS('単価履歴'!$O:$O,'単価履歴'!$E:$E,E3241,'単価履歴'!$F:$F,F3241)=O3241,"●","")</f>
        <v/>
      </c>
      <c r="O3241" s="346">
        <v>45962.379525462966</v>
      </c>
      <c r="P3241" s="334" t="str">
        <f t="shared" si="4"/>
        <v>山口鋼業:阪和Ｈ３(1級)</v>
      </c>
    </row>
    <row r="3242" ht="15.75" customHeight="1">
      <c r="A3242" s="335" t="s">
        <v>4389</v>
      </c>
      <c r="B3242" s="336">
        <v>45962.0</v>
      </c>
      <c r="C3242" s="335" t="s">
        <v>15</v>
      </c>
      <c r="D3242" s="335" t="s">
        <v>46</v>
      </c>
      <c r="E3242" s="337" t="str">
        <f t="shared" si="1"/>
        <v>山口鋼業:阪和</v>
      </c>
      <c r="F3242" s="338" t="s">
        <v>573</v>
      </c>
      <c r="G3242" s="339" t="str">
        <f t="shared" si="2"/>
        <v>山口鋼業:阪和Ｌ２(H4･級外･L1ﾊﾞﾗ)</v>
      </c>
      <c r="H3242" s="340">
        <f t="shared" si="3"/>
        <v>39.5</v>
      </c>
      <c r="I3242" s="341">
        <v>0.5</v>
      </c>
      <c r="J3242" s="332">
        <f>IFERROR(__xludf.DUMMYFUNCTION("IF(IF(COUNTIF(P$2:P3241, P3242)=0, """", INDEX(H$2:H3241,
MAX(FILTER(ROW(H$2:H3241) - ROW(H$2) + 1, P$2:P3241 = P3242))))=""単価"","""",
IF(COUNTIF(P$2:P3241, P3242)=0, """", INDEX(H$2:H3241,
MAX(FILTER(ROW(H$2:H3241) - ROW(H$2) + 1, P$2:P3241 = P3242)))))"),39.0)</f>
        <v>39</v>
      </c>
      <c r="N3242" s="335" t="str">
        <f>IF(MAXIFS('単価履歴'!$O:$O,'単価履歴'!$E:$E,E3242,'単価履歴'!$F:$F,F3242)=O3242,"●","")</f>
        <v/>
      </c>
      <c r="O3242" s="346">
        <v>45962.379525462966</v>
      </c>
      <c r="P3242" s="334" t="str">
        <f t="shared" si="4"/>
        <v>山口鋼業:阪和Ｌ２(H4･級外･L1ﾊﾞﾗ)</v>
      </c>
    </row>
    <row r="3243" ht="15.75" customHeight="1">
      <c r="A3243" s="335" t="s">
        <v>4390</v>
      </c>
      <c r="B3243" s="336">
        <v>45962.0</v>
      </c>
      <c r="C3243" s="335" t="s">
        <v>37</v>
      </c>
      <c r="D3243" s="335" t="s">
        <v>48</v>
      </c>
      <c r="E3243" s="337" t="str">
        <f t="shared" si="1"/>
        <v>共英名古屋:ナベ</v>
      </c>
      <c r="F3243" s="338" t="s">
        <v>111</v>
      </c>
      <c r="G3243" s="339" t="str">
        <f t="shared" si="2"/>
        <v>共英名古屋:ナベＨ１(特A)</v>
      </c>
      <c r="H3243" s="340">
        <f t="shared" si="3"/>
        <v>44.7</v>
      </c>
      <c r="I3243" s="341">
        <v>0.5</v>
      </c>
      <c r="J3243" s="332">
        <f>IFERROR(__xludf.DUMMYFUNCTION("IF(IF(COUNTIF(P$2:P3242, P3243)=0, """", INDEX(H$2:H3242,
MAX(FILTER(ROW(H$2:H3242) - ROW(H$2) + 1, P$2:P3242 = P3243))))=""単価"","""",
IF(COUNTIF(P$2:P3242, P3243)=0, """", INDEX(H$2:H3242,
MAX(FILTER(ROW(H$2:H3242) - ROW(H$2) + 1, P$2:P3242 = P3243)))))"),44.2)</f>
        <v>44.2</v>
      </c>
      <c r="N3243" s="335" t="str">
        <f>IF(MAXIFS('単価履歴'!$O:$O,'単価履歴'!$E:$E,E3243,'単価履歴'!$F:$F,F3243)=O3243,"●","")</f>
        <v/>
      </c>
      <c r="O3243" s="346">
        <v>45962.37976851852</v>
      </c>
      <c r="P3243" s="334" t="str">
        <f t="shared" si="4"/>
        <v>共英名古屋:ナベＨ１(特A)</v>
      </c>
    </row>
    <row r="3244" ht="15.75" customHeight="1">
      <c r="A3244" s="335" t="s">
        <v>4391</v>
      </c>
      <c r="B3244" s="336">
        <v>45962.0</v>
      </c>
      <c r="C3244" s="335" t="s">
        <v>37</v>
      </c>
      <c r="D3244" s="335" t="s">
        <v>48</v>
      </c>
      <c r="E3244" s="337" t="str">
        <f t="shared" si="1"/>
        <v>共英名古屋:ナベ</v>
      </c>
      <c r="F3244" s="338" t="s">
        <v>116</v>
      </c>
      <c r="G3244" s="339" t="str">
        <f t="shared" si="2"/>
        <v>共英名古屋:ナベＨ２(特級)</v>
      </c>
      <c r="H3244" s="340">
        <f t="shared" si="3"/>
        <v>42</v>
      </c>
      <c r="I3244" s="341">
        <v>0.5</v>
      </c>
      <c r="J3244" s="332">
        <f>IFERROR(__xludf.DUMMYFUNCTION("IF(IF(COUNTIF(P$2:P3243, P3244)=0, """", INDEX(H$2:H3243,
MAX(FILTER(ROW(H$2:H3243) - ROW(H$2) + 1, P$2:P3243 = P3244))))=""単価"","""",
IF(COUNTIF(P$2:P3243, P3244)=0, """", INDEX(H$2:H3243,
MAX(FILTER(ROW(H$2:H3243) - ROW(H$2) + 1, P$2:P3243 = P3244)))))"),41.5)</f>
        <v>41.5</v>
      </c>
      <c r="N3244" s="335" t="str">
        <f>IF(MAXIFS('単価履歴'!$O:$O,'単価履歴'!$E:$E,E3244,'単価履歴'!$F:$F,F3244)=O3244,"●","")</f>
        <v/>
      </c>
      <c r="O3244" s="346">
        <v>45962.37976851852</v>
      </c>
      <c r="P3244" s="334" t="str">
        <f t="shared" si="4"/>
        <v>共英名古屋:ナベＨ２(特級)</v>
      </c>
    </row>
    <row r="3245" ht="15.75" customHeight="1">
      <c r="A3245" s="335" t="s">
        <v>4392</v>
      </c>
      <c r="B3245" s="336">
        <v>45962.0</v>
      </c>
      <c r="C3245" s="335" t="s">
        <v>37</v>
      </c>
      <c r="D3245" s="335" t="s">
        <v>48</v>
      </c>
      <c r="E3245" s="337" t="str">
        <f t="shared" si="1"/>
        <v>共英名古屋:ナベ</v>
      </c>
      <c r="F3245" s="338" t="s">
        <v>119</v>
      </c>
      <c r="G3245" s="339" t="str">
        <f t="shared" si="2"/>
        <v>共英名古屋:ナベＨ３(1級)</v>
      </c>
      <c r="H3245" s="340">
        <f t="shared" si="3"/>
        <v>41</v>
      </c>
      <c r="I3245" s="341">
        <v>0.5</v>
      </c>
      <c r="J3245" s="332">
        <f>IFERROR(__xludf.DUMMYFUNCTION("IF(IF(COUNTIF(P$2:P3244, P3245)=0, """", INDEX(H$2:H3244,
MAX(FILTER(ROW(H$2:H3244) - ROW(H$2) + 1, P$2:P3244 = P3245))))=""単価"","""",
IF(COUNTIF(P$2:P3244, P3245)=0, """", INDEX(H$2:H3244,
MAX(FILTER(ROW(H$2:H3244) - ROW(H$2) + 1, P$2:P3244 = P3245)))))"),40.5)</f>
        <v>40.5</v>
      </c>
      <c r="N3245" s="335" t="str">
        <f>IF(MAXIFS('単価履歴'!$O:$O,'単価履歴'!$E:$E,E3245,'単価履歴'!$F:$F,F3245)=O3245,"●","")</f>
        <v/>
      </c>
      <c r="O3245" s="346">
        <v>45962.37976851852</v>
      </c>
      <c r="P3245" s="334" t="str">
        <f t="shared" si="4"/>
        <v>共英名古屋:ナベＨ３(1級)</v>
      </c>
    </row>
    <row r="3246" ht="15.75" customHeight="1">
      <c r="A3246" s="335" t="s">
        <v>4393</v>
      </c>
      <c r="B3246" s="336">
        <v>45962.0</v>
      </c>
      <c r="C3246" s="335" t="s">
        <v>37</v>
      </c>
      <c r="D3246" s="335" t="s">
        <v>48</v>
      </c>
      <c r="E3246" s="337" t="str">
        <f t="shared" si="1"/>
        <v>共英名古屋:ナベ</v>
      </c>
      <c r="F3246" s="338" t="s">
        <v>122</v>
      </c>
      <c r="G3246" s="339" t="str">
        <f t="shared" si="2"/>
        <v>共英名古屋:ナベＬ１(2級)</v>
      </c>
      <c r="H3246" s="340">
        <f t="shared" si="3"/>
        <v>38</v>
      </c>
      <c r="I3246" s="341">
        <v>0.5</v>
      </c>
      <c r="J3246" s="332">
        <f>IFERROR(__xludf.DUMMYFUNCTION("IF(IF(COUNTIF(P$2:P3245, P3246)=0, """", INDEX(H$2:H3245,
MAX(FILTER(ROW(H$2:H3245) - ROW(H$2) + 1, P$2:P3245 = P3246))))=""単価"","""",
IF(COUNTIF(P$2:P3245, P3246)=0, """", INDEX(H$2:H3245,
MAX(FILTER(ROW(H$2:H3245) - ROW(H$2) + 1, P$2:P3245 = P3246)))))"),37.5)</f>
        <v>37.5</v>
      </c>
      <c r="N3246" s="335" t="str">
        <f>IF(MAXIFS('単価履歴'!$O:$O,'単価履歴'!$E:$E,E3246,'単価履歴'!$F:$F,F3246)=O3246,"●","")</f>
        <v/>
      </c>
      <c r="O3246" s="346">
        <v>45962.37976851852</v>
      </c>
      <c r="P3246" s="334" t="str">
        <f t="shared" si="4"/>
        <v>共英名古屋:ナベＬ１(2級)</v>
      </c>
    </row>
    <row r="3247" ht="15.75" customHeight="1">
      <c r="A3247" s="335" t="s">
        <v>4394</v>
      </c>
      <c r="B3247" s="336">
        <v>45962.0</v>
      </c>
      <c r="C3247" s="335" t="s">
        <v>28</v>
      </c>
      <c r="D3247" s="335" t="s">
        <v>52</v>
      </c>
      <c r="E3247" s="337" t="str">
        <f t="shared" si="1"/>
        <v>ＪＦＥ条鋼:リバイブ</v>
      </c>
      <c r="F3247" s="338" t="s">
        <v>111</v>
      </c>
      <c r="G3247" s="339" t="str">
        <f t="shared" si="2"/>
        <v>ＪＦＥ条鋼:リバイブＨ１(特A)</v>
      </c>
      <c r="H3247" s="340">
        <f t="shared" si="3"/>
        <v>41.5</v>
      </c>
      <c r="I3247" s="341">
        <v>0.5</v>
      </c>
      <c r="J3247" s="332">
        <f>IFERROR(__xludf.DUMMYFUNCTION("IF(IF(COUNTIF(P$2:P3246, P3247)=0, """", INDEX(H$2:H3246,
MAX(FILTER(ROW(H$2:H3246) - ROW(H$2) + 1, P$2:P3246 = P3247))))=""単価"","""",
IF(COUNTIF(P$2:P3246, P3247)=0, """", INDEX(H$2:H3246,
MAX(FILTER(ROW(H$2:H3246) - ROW(H$2) + 1, P$2:P3246 = P3247)))))"),41.0)</f>
        <v>41</v>
      </c>
      <c r="N3247" s="335" t="str">
        <f>IF(MAXIFS('単価履歴'!$O:$O,'単価履歴'!$E:$E,E3247,'単価履歴'!$F:$F,F3247)=O3247,"●","")</f>
        <v/>
      </c>
      <c r="O3247" s="346">
        <v>45962.39004629629</v>
      </c>
      <c r="P3247" s="334" t="str">
        <f t="shared" si="4"/>
        <v>ＪＦＥ条鋼:リバイブＨ１(特A)</v>
      </c>
    </row>
    <row r="3248" ht="15.75" customHeight="1">
      <c r="A3248" s="335" t="s">
        <v>4395</v>
      </c>
      <c r="B3248" s="336">
        <v>45962.0</v>
      </c>
      <c r="C3248" s="335" t="s">
        <v>28</v>
      </c>
      <c r="D3248" s="335" t="s">
        <v>52</v>
      </c>
      <c r="E3248" s="337" t="str">
        <f t="shared" si="1"/>
        <v>ＪＦＥ条鋼:リバイブ</v>
      </c>
      <c r="F3248" s="338" t="s">
        <v>116</v>
      </c>
      <c r="G3248" s="339" t="str">
        <f t="shared" si="2"/>
        <v>ＪＦＥ条鋼:リバイブＨ２(特級)</v>
      </c>
      <c r="H3248" s="340">
        <f t="shared" si="3"/>
        <v>41.5</v>
      </c>
      <c r="I3248" s="341">
        <v>0.5</v>
      </c>
      <c r="J3248" s="332">
        <f>IFERROR(__xludf.DUMMYFUNCTION("IF(IF(COUNTIF(P$2:P3247, P3248)=0, """", INDEX(H$2:H3247,
MAX(FILTER(ROW(H$2:H3247) - ROW(H$2) + 1, P$2:P3247 = P3248))))=""単価"","""",
IF(COUNTIF(P$2:P3247, P3248)=0, """", INDEX(H$2:H3247,
MAX(FILTER(ROW(H$2:H3247) - ROW(H$2) + 1, P$2:P3247 = P3248)))))"),41.0)</f>
        <v>41</v>
      </c>
      <c r="N3248" s="335" t="str">
        <f>IF(MAXIFS('単価履歴'!$O:$O,'単価履歴'!$E:$E,E3248,'単価履歴'!$F:$F,F3248)=O3248,"●","")</f>
        <v/>
      </c>
      <c r="O3248" s="346">
        <v>45962.39004629629</v>
      </c>
      <c r="P3248" s="334" t="str">
        <f t="shared" si="4"/>
        <v>ＪＦＥ条鋼:リバイブＨ２(特級)</v>
      </c>
    </row>
    <row r="3249" ht="15.75" customHeight="1">
      <c r="A3249" s="335" t="s">
        <v>4396</v>
      </c>
      <c r="B3249" s="336">
        <v>45962.0</v>
      </c>
      <c r="C3249" s="335" t="s">
        <v>28</v>
      </c>
      <c r="D3249" s="335" t="s">
        <v>52</v>
      </c>
      <c r="E3249" s="337" t="str">
        <f t="shared" si="1"/>
        <v>ＪＦＥ条鋼:リバイブ</v>
      </c>
      <c r="F3249" s="338" t="s">
        <v>119</v>
      </c>
      <c r="G3249" s="339" t="str">
        <f t="shared" si="2"/>
        <v>ＪＦＥ条鋼:リバイブＨ３(1級)</v>
      </c>
      <c r="H3249" s="340">
        <f t="shared" si="3"/>
        <v>40.5</v>
      </c>
      <c r="I3249" s="341">
        <v>0.5</v>
      </c>
      <c r="J3249" s="332">
        <f>IFERROR(__xludf.DUMMYFUNCTION("IF(IF(COUNTIF(P$2:P3248, P3249)=0, """", INDEX(H$2:H3248,
MAX(FILTER(ROW(H$2:H3248) - ROW(H$2) + 1, P$2:P3248 = P3249))))=""単価"","""",
IF(COUNTIF(P$2:P3248, P3249)=0, """", INDEX(H$2:H3248,
MAX(FILTER(ROW(H$2:H3248) - ROW(H$2) + 1, P$2:P3248 = P3249)))))"),40.0)</f>
        <v>40</v>
      </c>
      <c r="N3249" s="335" t="str">
        <f>IF(MAXIFS('単価履歴'!$O:$O,'単価履歴'!$E:$E,E3249,'単価履歴'!$F:$F,F3249)=O3249,"●","")</f>
        <v/>
      </c>
      <c r="O3249" s="346">
        <v>45962.39004629629</v>
      </c>
      <c r="P3249" s="334" t="str">
        <f t="shared" si="4"/>
        <v>ＪＦＥ条鋼:リバイブＨ３(1級)</v>
      </c>
    </row>
    <row r="3250" ht="15.75" customHeight="1">
      <c r="A3250" s="335" t="s">
        <v>4397</v>
      </c>
      <c r="B3250" s="336">
        <v>45962.0</v>
      </c>
      <c r="C3250" s="335" t="s">
        <v>28</v>
      </c>
      <c r="D3250" s="335" t="s">
        <v>52</v>
      </c>
      <c r="E3250" s="337" t="str">
        <f t="shared" si="1"/>
        <v>ＪＦＥ条鋼:リバイブ</v>
      </c>
      <c r="F3250" s="338" t="s">
        <v>122</v>
      </c>
      <c r="G3250" s="339" t="str">
        <f t="shared" si="2"/>
        <v>ＪＦＥ条鋼:リバイブＬ１(2級)</v>
      </c>
      <c r="H3250" s="340">
        <f t="shared" si="3"/>
        <v>37.5</v>
      </c>
      <c r="I3250" s="341">
        <v>0.5</v>
      </c>
      <c r="J3250" s="332">
        <f>IFERROR(__xludf.DUMMYFUNCTION("IF(IF(COUNTIF(P$2:P3249, P3250)=0, """", INDEX(H$2:H3249,
MAX(FILTER(ROW(H$2:H3249) - ROW(H$2) + 1, P$2:P3249 = P3250))))=""単価"","""",
IF(COUNTIF(P$2:P3249, P3250)=0, """", INDEX(H$2:H3249,
MAX(FILTER(ROW(H$2:H3249) - ROW(H$2) + 1, P$2:P3249 = P3250)))))"),37.0)</f>
        <v>37</v>
      </c>
      <c r="N3250" s="335" t="str">
        <f>IF(MAXIFS('単価履歴'!$O:$O,'単価履歴'!$E:$E,E3250,'単価履歴'!$F:$F,F3250)=O3250,"●","")</f>
        <v/>
      </c>
      <c r="O3250" s="346">
        <v>45962.39004629629</v>
      </c>
      <c r="P3250" s="334" t="str">
        <f t="shared" si="4"/>
        <v>ＪＦＥ条鋼:リバイブＬ１(2級)</v>
      </c>
    </row>
    <row r="3251" ht="15.75" customHeight="1">
      <c r="A3251" s="335" t="s">
        <v>4398</v>
      </c>
      <c r="B3251" s="336">
        <v>45962.0</v>
      </c>
      <c r="C3251" s="335" t="s">
        <v>28</v>
      </c>
      <c r="D3251" s="335" t="s">
        <v>52</v>
      </c>
      <c r="E3251" s="337" t="str">
        <f t="shared" si="1"/>
        <v>ＪＦＥ条鋼:リバイブ</v>
      </c>
      <c r="F3251" s="338" t="s">
        <v>573</v>
      </c>
      <c r="G3251" s="339" t="str">
        <f t="shared" si="2"/>
        <v>ＪＦＥ条鋼:リバイブＬ２(H4･級外･L1ﾊﾞﾗ)</v>
      </c>
      <c r="H3251" s="340">
        <f t="shared" si="3"/>
        <v>32.5</v>
      </c>
      <c r="I3251" s="341">
        <v>0.5</v>
      </c>
      <c r="J3251" s="332">
        <f>IFERROR(__xludf.DUMMYFUNCTION("IF(IF(COUNTIF(P$2:P3250, P3251)=0, """", INDEX(H$2:H3250,
MAX(FILTER(ROW(H$2:H3250) - ROW(H$2) + 1, P$2:P3250 = P3251))))=""単価"","""",
IF(COUNTIF(P$2:P3250, P3251)=0, """", INDEX(H$2:H3250,
MAX(FILTER(ROW(H$2:H3250) - ROW(H$2) + 1, P$2:P3250 = P3251)))))"),32.0)</f>
        <v>32</v>
      </c>
      <c r="N3251" s="335" t="str">
        <f>IF(MAXIFS('単価履歴'!$O:$O,'単価履歴'!$E:$E,E3251,'単価履歴'!$F:$F,F3251)=O3251,"●","")</f>
        <v/>
      </c>
      <c r="O3251" s="346">
        <v>45962.39004629629</v>
      </c>
      <c r="P3251" s="334" t="str">
        <f t="shared" si="4"/>
        <v>ＪＦＥ条鋼:リバイブＬ２(H4･級外･L1ﾊﾞﾗ)</v>
      </c>
    </row>
    <row r="3252" ht="15.75" customHeight="1">
      <c r="A3252" s="335" t="s">
        <v>4399</v>
      </c>
      <c r="B3252" s="336">
        <v>45962.0</v>
      </c>
      <c r="C3252" s="335" t="s">
        <v>28</v>
      </c>
      <c r="D3252" s="335" t="s">
        <v>52</v>
      </c>
      <c r="E3252" s="337" t="str">
        <f t="shared" si="1"/>
        <v>ＪＦＥ条鋼:リバイブ</v>
      </c>
      <c r="F3252" s="338" t="s">
        <v>130</v>
      </c>
      <c r="G3252" s="339" t="str">
        <f t="shared" si="2"/>
        <v>ＪＦＥ条鋼:リバイブ新断Ａ</v>
      </c>
      <c r="H3252" s="340">
        <f t="shared" si="3"/>
        <v>47</v>
      </c>
      <c r="I3252" s="341">
        <v>0.5</v>
      </c>
      <c r="J3252" s="332">
        <f>IFERROR(__xludf.DUMMYFUNCTION("IF(IF(COUNTIF(P$2:P3251, P3252)=0, """", INDEX(H$2:H3251,
MAX(FILTER(ROW(H$2:H3251) - ROW(H$2) + 1, P$2:P3251 = P3252))))=""単価"","""",
IF(COUNTIF(P$2:P3251, P3252)=0, """", INDEX(H$2:H3251,
MAX(FILTER(ROW(H$2:H3251) - ROW(H$2) + 1, P$2:P3251 = P3252)))))"),46.5)</f>
        <v>46.5</v>
      </c>
      <c r="N3252" s="335" t="str">
        <f>IF(MAXIFS('単価履歴'!$O:$O,'単価履歴'!$E:$E,E3252,'単価履歴'!$F:$F,F3252)=O3252,"●","")</f>
        <v/>
      </c>
      <c r="O3252" s="346">
        <v>45962.39004629629</v>
      </c>
      <c r="P3252" s="334" t="str">
        <f t="shared" si="4"/>
        <v>ＪＦＥ条鋼:リバイブ新断Ａ</v>
      </c>
    </row>
    <row r="3253" ht="15.75" customHeight="1">
      <c r="A3253" s="335" t="s">
        <v>4400</v>
      </c>
      <c r="B3253" s="336">
        <v>45962.0</v>
      </c>
      <c r="C3253" s="335" t="s">
        <v>28</v>
      </c>
      <c r="D3253" s="335" t="s">
        <v>52</v>
      </c>
      <c r="E3253" s="337" t="str">
        <f t="shared" si="1"/>
        <v>ＪＦＥ条鋼:リバイブ</v>
      </c>
      <c r="F3253" s="338" t="s">
        <v>131</v>
      </c>
      <c r="G3253" s="339" t="str">
        <f t="shared" si="2"/>
        <v>ＪＦＥ条鋼:リバイブ新断Ｂ</v>
      </c>
      <c r="H3253" s="340">
        <f t="shared" si="3"/>
        <v>46</v>
      </c>
      <c r="I3253" s="341">
        <v>0.5</v>
      </c>
      <c r="J3253" s="332">
        <f>IFERROR(__xludf.DUMMYFUNCTION("IF(IF(COUNTIF(P$2:P3252, P3253)=0, """", INDEX(H$2:H3252,
MAX(FILTER(ROW(H$2:H3252) - ROW(H$2) + 1, P$2:P3252 = P3253))))=""単価"","""",
IF(COUNTIF(P$2:P3252, P3253)=0, """", INDEX(H$2:H3252,
MAX(FILTER(ROW(H$2:H3252) - ROW(H$2) + 1, P$2:P3252 = P3253)))))"),45.5)</f>
        <v>45.5</v>
      </c>
      <c r="N3253" s="335" t="str">
        <f>IF(MAXIFS('単価履歴'!$O:$O,'単価履歴'!$E:$E,E3253,'単価履歴'!$F:$F,F3253)=O3253,"●","")</f>
        <v/>
      </c>
      <c r="O3253" s="346">
        <v>45962.39004629629</v>
      </c>
      <c r="P3253" s="334" t="str">
        <f t="shared" si="4"/>
        <v>ＪＦＥ条鋼:リバイブ新断Ｂ</v>
      </c>
    </row>
    <row r="3254" ht="15.75" customHeight="1">
      <c r="A3254" s="335" t="s">
        <v>4401</v>
      </c>
      <c r="B3254" s="336">
        <v>45962.0</v>
      </c>
      <c r="C3254" s="335" t="s">
        <v>28</v>
      </c>
      <c r="D3254" s="335" t="s">
        <v>52</v>
      </c>
      <c r="E3254" s="337" t="str">
        <f t="shared" si="1"/>
        <v>ＪＦＥ条鋼:リバイブ</v>
      </c>
      <c r="F3254" s="338" t="s">
        <v>575</v>
      </c>
      <c r="G3254" s="339" t="str">
        <f t="shared" si="2"/>
        <v>ＪＦＥ条鋼:リバイブ鋼ダライＡ</v>
      </c>
      <c r="H3254" s="340">
        <f t="shared" si="3"/>
        <v>39.5</v>
      </c>
      <c r="I3254" s="341">
        <v>0.5</v>
      </c>
      <c r="J3254" s="332">
        <f>IFERROR(__xludf.DUMMYFUNCTION("IF(IF(COUNTIF(P$2:P3253, P3254)=0, """", INDEX(H$2:H3253,
MAX(FILTER(ROW(H$2:H3253) - ROW(H$2) + 1, P$2:P3253 = P3254))))=""単価"","""",
IF(COUNTIF(P$2:P3253, P3254)=0, """", INDEX(H$2:H3253,
MAX(FILTER(ROW(H$2:H3253) - ROW(H$2) + 1, P$2:P3253 = P3254)))))"),39.0)</f>
        <v>39</v>
      </c>
      <c r="N3254" s="335" t="str">
        <f>IF(MAXIFS('単価履歴'!$O:$O,'単価履歴'!$E:$E,E3254,'単価履歴'!$F:$F,F3254)=O3254,"●","")</f>
        <v/>
      </c>
      <c r="O3254" s="346">
        <v>45962.39004629629</v>
      </c>
      <c r="P3254" s="334" t="str">
        <f t="shared" si="4"/>
        <v>ＪＦＥ条鋼:リバイブ鋼ダライＡ</v>
      </c>
    </row>
    <row r="3255" ht="15.75" customHeight="1">
      <c r="A3255" s="335" t="s">
        <v>4402</v>
      </c>
      <c r="B3255" s="336">
        <v>45962.0</v>
      </c>
      <c r="C3255" s="335" t="s">
        <v>28</v>
      </c>
      <c r="D3255" s="335" t="s">
        <v>52</v>
      </c>
      <c r="E3255" s="337" t="str">
        <f t="shared" si="1"/>
        <v>ＪＦＥ条鋼:リバイブ</v>
      </c>
      <c r="F3255" s="338" t="s">
        <v>154</v>
      </c>
      <c r="G3255" s="339" t="str">
        <f t="shared" si="2"/>
        <v>ＪＦＥ条鋼:リバイブＣＰ Ａ</v>
      </c>
      <c r="H3255" s="340">
        <f t="shared" si="3"/>
        <v>46</v>
      </c>
      <c r="I3255" s="341">
        <v>0.5</v>
      </c>
      <c r="J3255" s="332">
        <f>IFERROR(__xludf.DUMMYFUNCTION("IF(IF(COUNTIF(P$2:P3254, P3255)=0, """", INDEX(H$2:H3254,
MAX(FILTER(ROW(H$2:H3254) - ROW(H$2) + 1, P$2:P3254 = P3255))))=""単価"","""",
IF(COUNTIF(P$2:P3254, P3255)=0, """", INDEX(H$2:H3254,
MAX(FILTER(ROW(H$2:H3254) - ROW(H$2) + 1, P$2:P3254 = P3255)))))"),45.5)</f>
        <v>45.5</v>
      </c>
      <c r="N3255" s="335" t="str">
        <f>IF(MAXIFS('単価履歴'!$O:$O,'単価履歴'!$E:$E,E3255,'単価履歴'!$F:$F,F3255)=O3255,"●","")</f>
        <v/>
      </c>
      <c r="O3255" s="346">
        <v>45962.39004629629</v>
      </c>
      <c r="P3255" s="334" t="str">
        <f t="shared" si="4"/>
        <v>ＪＦＥ条鋼:リバイブＣＰ Ａ</v>
      </c>
    </row>
    <row r="3256" ht="15.75" customHeight="1">
      <c r="A3256" s="335" t="s">
        <v>4403</v>
      </c>
      <c r="B3256" s="336">
        <v>45962.0</v>
      </c>
      <c r="C3256" s="335" t="s">
        <v>14</v>
      </c>
      <c r="D3256" s="335" t="s">
        <v>48</v>
      </c>
      <c r="E3256" s="337" t="str">
        <f t="shared" si="1"/>
        <v>愛知:ナベ</v>
      </c>
      <c r="F3256" s="338" t="s">
        <v>1199</v>
      </c>
      <c r="G3256" s="339" t="str">
        <f t="shared" si="2"/>
        <v>愛知:ナベＨＳ１(単体H1/電特A/HS))</v>
      </c>
      <c r="H3256" s="340">
        <f t="shared" si="3"/>
        <v>43.5</v>
      </c>
      <c r="I3256" s="341">
        <v>0.5</v>
      </c>
      <c r="J3256" s="332">
        <f>IFERROR(__xludf.DUMMYFUNCTION("IF(IF(COUNTIF(P$2:P3255, P3256)=0, """", INDEX(H$2:H3255,
MAX(FILTER(ROW(H$2:H3255) - ROW(H$2) + 1, P$2:P3255 = P3256))))=""単価"","""",
IF(COUNTIF(P$2:P3255, P3256)=0, """", INDEX(H$2:H3255,
MAX(FILTER(ROW(H$2:H3255) - ROW(H$2) + 1, P$2:P3255 = P3256)))))"),43.0)</f>
        <v>43</v>
      </c>
      <c r="N3256" s="335" t="str">
        <f>IF(MAXIFS('単価履歴'!$O:$O,'単価履歴'!$E:$E,E3256,'単価履歴'!$F:$F,F3256)=O3256,"●","")</f>
        <v/>
      </c>
      <c r="O3256" s="346">
        <v>45962.392905092594</v>
      </c>
      <c r="P3256" s="334" t="str">
        <f t="shared" si="4"/>
        <v>愛知:ナベＨＳ１(単体H1/電特A/HS))</v>
      </c>
    </row>
    <row r="3257" ht="15.75" customHeight="1">
      <c r="A3257" s="335" t="s">
        <v>4404</v>
      </c>
      <c r="B3257" s="336">
        <v>45962.0</v>
      </c>
      <c r="C3257" s="335" t="s">
        <v>14</v>
      </c>
      <c r="D3257" s="335" t="s">
        <v>48</v>
      </c>
      <c r="E3257" s="337" t="str">
        <f t="shared" si="1"/>
        <v>愛知:ナベ</v>
      </c>
      <c r="F3257" s="338" t="s">
        <v>101</v>
      </c>
      <c r="G3257" s="339" t="str">
        <f t="shared" si="2"/>
        <v>愛知:ナベＨＳ２</v>
      </c>
      <c r="H3257" s="340">
        <f t="shared" si="3"/>
        <v>43</v>
      </c>
      <c r="I3257" s="341">
        <v>0.5</v>
      </c>
      <c r="J3257" s="332">
        <f>IFERROR(__xludf.DUMMYFUNCTION("IF(IF(COUNTIF(P$2:P3256, P3257)=0, """", INDEX(H$2:H3256,
MAX(FILTER(ROW(H$2:H3256) - ROW(H$2) + 1, P$2:P3256 = P3257))))=""単価"","""",
IF(COUNTIF(P$2:P3256, P3257)=0, """", INDEX(H$2:H3256,
MAX(FILTER(ROW(H$2:H3256) - ROW(H$2) + 1, P$2:P3256 = P3257)))))"),42.5)</f>
        <v>42.5</v>
      </c>
      <c r="N3257" s="335" t="str">
        <f>IF(MAXIFS('単価履歴'!$O:$O,'単価履歴'!$E:$E,E3257,'単価履歴'!$F:$F,F3257)=O3257,"●","")</f>
        <v/>
      </c>
      <c r="O3257" s="346">
        <v>45962.392905092594</v>
      </c>
      <c r="P3257" s="334" t="str">
        <f t="shared" si="4"/>
        <v>愛知:ナベＨＳ２</v>
      </c>
    </row>
    <row r="3258" ht="15.75" customHeight="1">
      <c r="A3258" s="335" t="s">
        <v>4405</v>
      </c>
      <c r="B3258" s="336">
        <v>45962.0</v>
      </c>
      <c r="C3258" s="335" t="s">
        <v>14</v>
      </c>
      <c r="D3258" s="335" t="s">
        <v>48</v>
      </c>
      <c r="E3258" s="337" t="str">
        <f t="shared" si="1"/>
        <v>愛知:ナベ</v>
      </c>
      <c r="F3258" s="338" t="s">
        <v>111</v>
      </c>
      <c r="G3258" s="339" t="str">
        <f t="shared" si="2"/>
        <v>愛知:ナベＨ１(特A)</v>
      </c>
      <c r="H3258" s="340">
        <f t="shared" si="3"/>
        <v>42.5</v>
      </c>
      <c r="I3258" s="341">
        <v>0.5</v>
      </c>
      <c r="J3258" s="332">
        <f>IFERROR(__xludf.DUMMYFUNCTION("IF(IF(COUNTIF(P$2:P3257, P3258)=0, """", INDEX(H$2:H3257,
MAX(FILTER(ROW(H$2:H3257) - ROW(H$2) + 1, P$2:P3257 = P3258))))=""単価"","""",
IF(COUNTIF(P$2:P3257, P3258)=0, """", INDEX(H$2:H3257,
MAX(FILTER(ROW(H$2:H3257) - ROW(H$2) + 1, P$2:P3257 = P3258)))))"),42.0)</f>
        <v>42</v>
      </c>
      <c r="N3258" s="335" t="str">
        <f>IF(MAXIFS('単価履歴'!$O:$O,'単価履歴'!$E:$E,E3258,'単価履歴'!$F:$F,F3258)=O3258,"●","")</f>
        <v/>
      </c>
      <c r="O3258" s="346">
        <v>45962.392905092594</v>
      </c>
      <c r="P3258" s="334" t="str">
        <f t="shared" si="4"/>
        <v>愛知:ナベＨ１(特A)</v>
      </c>
    </row>
    <row r="3259" ht="15.75" customHeight="1">
      <c r="A3259" s="335" t="s">
        <v>4406</v>
      </c>
      <c r="B3259" s="336">
        <v>45962.0</v>
      </c>
      <c r="C3259" s="335" t="s">
        <v>14</v>
      </c>
      <c r="D3259" s="335" t="s">
        <v>48</v>
      </c>
      <c r="E3259" s="337" t="str">
        <f t="shared" si="1"/>
        <v>愛知:ナベ</v>
      </c>
      <c r="F3259" s="338" t="s">
        <v>116</v>
      </c>
      <c r="G3259" s="339" t="str">
        <f t="shared" si="2"/>
        <v>愛知:ナベＨ２(特級)</v>
      </c>
      <c r="H3259" s="340">
        <f t="shared" si="3"/>
        <v>40.9</v>
      </c>
      <c r="I3259" s="341">
        <v>0.5</v>
      </c>
      <c r="J3259" s="332">
        <f>IFERROR(__xludf.DUMMYFUNCTION("IF(IF(COUNTIF(P$2:P3258, P3259)=0, """", INDEX(H$2:H3258,
MAX(FILTER(ROW(H$2:H3258) - ROW(H$2) + 1, P$2:P3258 = P3259))))=""単価"","""",
IF(COUNTIF(P$2:P3258, P3259)=0, """", INDEX(H$2:H3258,
MAX(FILTER(ROW(H$2:H3258) - ROW(H$2) + 1, P$2:P3258 = P3259)))))"),40.4)</f>
        <v>40.4</v>
      </c>
      <c r="N3259" s="335" t="str">
        <f>IF(MAXIFS('単価履歴'!$O:$O,'単価履歴'!$E:$E,E3259,'単価履歴'!$F:$F,F3259)=O3259,"●","")</f>
        <v/>
      </c>
      <c r="O3259" s="346">
        <v>45962.392905092594</v>
      </c>
      <c r="P3259" s="334" t="str">
        <f t="shared" si="4"/>
        <v>愛知:ナベＨ２(特級)</v>
      </c>
    </row>
    <row r="3260" ht="15.75" customHeight="1">
      <c r="A3260" s="335" t="s">
        <v>4407</v>
      </c>
      <c r="B3260" s="336">
        <v>45962.0</v>
      </c>
      <c r="C3260" s="335" t="s">
        <v>14</v>
      </c>
      <c r="D3260" s="335" t="s">
        <v>48</v>
      </c>
      <c r="E3260" s="337" t="str">
        <f t="shared" si="1"/>
        <v>愛知:ナベ</v>
      </c>
      <c r="F3260" s="338" t="s">
        <v>119</v>
      </c>
      <c r="G3260" s="339" t="str">
        <f t="shared" si="2"/>
        <v>愛知:ナベＨ３(1級)</v>
      </c>
      <c r="H3260" s="340">
        <f t="shared" si="3"/>
        <v>39.9</v>
      </c>
      <c r="I3260" s="341">
        <v>0.5</v>
      </c>
      <c r="J3260" s="332">
        <f>IFERROR(__xludf.DUMMYFUNCTION("IF(IF(COUNTIF(P$2:P3259, P3260)=0, """", INDEX(H$2:H3259,
MAX(FILTER(ROW(H$2:H3259) - ROW(H$2) + 1, P$2:P3259 = P3260))))=""単価"","""",
IF(COUNTIF(P$2:P3259, P3260)=0, """", INDEX(H$2:H3259,
MAX(FILTER(ROW(H$2:H3259) - ROW(H$2) + 1, P$2:P3259 = P3260)))))"),39.4)</f>
        <v>39.4</v>
      </c>
      <c r="N3260" s="335" t="str">
        <f>IF(MAXIFS('単価履歴'!$O:$O,'単価履歴'!$E:$E,E3260,'単価履歴'!$F:$F,F3260)=O3260,"●","")</f>
        <v/>
      </c>
      <c r="O3260" s="346">
        <v>45962.392905092594</v>
      </c>
      <c r="P3260" s="334" t="str">
        <f t="shared" si="4"/>
        <v>愛知:ナベＨ３(1級)</v>
      </c>
    </row>
    <row r="3261" ht="15.75" customHeight="1">
      <c r="A3261" s="335" t="s">
        <v>4408</v>
      </c>
      <c r="B3261" s="336">
        <v>45962.0</v>
      </c>
      <c r="C3261" s="335" t="s">
        <v>14</v>
      </c>
      <c r="D3261" s="335" t="s">
        <v>48</v>
      </c>
      <c r="E3261" s="337" t="str">
        <f t="shared" si="1"/>
        <v>愛知:ナベ</v>
      </c>
      <c r="F3261" s="338" t="s">
        <v>573</v>
      </c>
      <c r="G3261" s="339" t="str">
        <f t="shared" si="2"/>
        <v>愛知:ナベＬ２(H4･級外･L1ﾊﾞﾗ)</v>
      </c>
      <c r="H3261" s="340">
        <f t="shared" si="3"/>
        <v>35.9</v>
      </c>
      <c r="I3261" s="341">
        <v>0.5</v>
      </c>
      <c r="J3261" s="332">
        <f>IFERROR(__xludf.DUMMYFUNCTION("IF(IF(COUNTIF(P$2:P3260, P3261)=0, """", INDEX(H$2:H3260,
MAX(FILTER(ROW(H$2:H3260) - ROW(H$2) + 1, P$2:P3260 = P3261))))=""単価"","""",
IF(COUNTIF(P$2:P3260, P3261)=0, """", INDEX(H$2:H3260,
MAX(FILTER(ROW(H$2:H3260) - ROW(H$2) + 1, P$2:P3260 = P3261)))))"),35.4)</f>
        <v>35.4</v>
      </c>
      <c r="N3261" s="335" t="str">
        <f>IF(MAXIFS('単価履歴'!$O:$O,'単価履歴'!$E:$E,E3261,'単価履歴'!$F:$F,F3261)=O3261,"●","")</f>
        <v/>
      </c>
      <c r="O3261" s="346">
        <v>45962.392905092594</v>
      </c>
      <c r="P3261" s="334" t="str">
        <f t="shared" si="4"/>
        <v>愛知:ナベＬ２(H4･級外･L1ﾊﾞﾗ)</v>
      </c>
    </row>
    <row r="3262" ht="15.75" customHeight="1">
      <c r="A3262" s="335" t="s">
        <v>4409</v>
      </c>
      <c r="B3262" s="336">
        <v>45962.0</v>
      </c>
      <c r="C3262" s="335" t="s">
        <v>14</v>
      </c>
      <c r="D3262" s="335" t="s">
        <v>48</v>
      </c>
      <c r="E3262" s="337" t="str">
        <f t="shared" si="1"/>
        <v>愛知:ナベ</v>
      </c>
      <c r="F3262" s="338" t="s">
        <v>575</v>
      </c>
      <c r="G3262" s="339" t="str">
        <f t="shared" si="2"/>
        <v>愛知:ナベ鋼ダライＡ</v>
      </c>
      <c r="H3262" s="340">
        <f t="shared" si="3"/>
        <v>2</v>
      </c>
      <c r="I3262" s="341">
        <v>0.5</v>
      </c>
      <c r="J3262" s="332">
        <f>IFERROR(__xludf.DUMMYFUNCTION("IF(IF(COUNTIF(P$2:P3261, P3262)=0, """", INDEX(H$2:H3261,
MAX(FILTER(ROW(H$2:H3261) - ROW(H$2) + 1, P$2:P3261 = P3262))))=""単価"","""",
IF(COUNTIF(P$2:P3261, P3262)=0, """", INDEX(H$2:H3261,
MAX(FILTER(ROW(H$2:H3261) - ROW(H$2) + 1, P$2:P3261 = P3262)))))"),1.5)</f>
        <v>1.5</v>
      </c>
      <c r="N3262" s="335" t="str">
        <f>IF(MAXIFS('単価履歴'!$O:$O,'単価履歴'!$E:$E,E3262,'単価履歴'!$F:$F,F3262)=O3262,"●","")</f>
        <v/>
      </c>
      <c r="O3262" s="346">
        <v>45962.392905092594</v>
      </c>
      <c r="P3262" s="334" t="str">
        <f t="shared" si="4"/>
        <v>愛知:ナベ鋼ダライＡ</v>
      </c>
    </row>
    <row r="3263" ht="15.75" customHeight="1">
      <c r="A3263" s="335" t="s">
        <v>4410</v>
      </c>
      <c r="B3263" s="336">
        <v>45966.0</v>
      </c>
      <c r="C3263" s="335" t="s">
        <v>534</v>
      </c>
      <c r="D3263" s="335" t="s">
        <v>46</v>
      </c>
      <c r="E3263" s="337" t="str">
        <f t="shared" si="1"/>
        <v>合同姫路:阪和</v>
      </c>
      <c r="F3263" s="338" t="s">
        <v>130</v>
      </c>
      <c r="G3263" s="339" t="str">
        <f t="shared" si="2"/>
        <v>合同姫路:阪和新断Ａ</v>
      </c>
      <c r="H3263" s="340">
        <f t="shared" si="3"/>
        <v>48.8</v>
      </c>
      <c r="I3263" s="341">
        <v>0.5</v>
      </c>
      <c r="J3263" s="332">
        <f>IFERROR(__xludf.DUMMYFUNCTION("IF(IF(COUNTIF(P$2:P3262, P3263)=0, """", INDEX(H$2:H3262,
MAX(FILTER(ROW(H$2:H3262) - ROW(H$2) + 1, P$2:P3262 = P3263))))=""単価"","""",
IF(COUNTIF(P$2:P3262, P3263)=0, """", INDEX(H$2:H3262,
MAX(FILTER(ROW(H$2:H3262) - ROW(H$2) + 1, P$2:P3262 = P3263)))))"),48.3)</f>
        <v>48.3</v>
      </c>
      <c r="N3263" s="335" t="str">
        <f>IF(MAXIFS('単価履歴'!$O:$O,'単価履歴'!$E:$E,E3263,'単価履歴'!$F:$F,F3263)=O3263,"●","")</f>
        <v/>
      </c>
      <c r="O3263" s="346">
        <v>45965.73428240741</v>
      </c>
      <c r="P3263" s="334" t="str">
        <f t="shared" si="4"/>
        <v>合同姫路:阪和新断Ａ</v>
      </c>
    </row>
    <row r="3264" ht="15.75" customHeight="1">
      <c r="A3264" s="335" t="s">
        <v>4411</v>
      </c>
      <c r="B3264" s="336">
        <v>45966.0</v>
      </c>
      <c r="C3264" s="335" t="s">
        <v>534</v>
      </c>
      <c r="D3264" s="335" t="s">
        <v>46</v>
      </c>
      <c r="E3264" s="337" t="str">
        <f t="shared" si="1"/>
        <v>合同姫路:阪和</v>
      </c>
      <c r="F3264" s="338" t="s">
        <v>131</v>
      </c>
      <c r="G3264" s="339" t="str">
        <f t="shared" si="2"/>
        <v>合同姫路:阪和新断Ｂ</v>
      </c>
      <c r="H3264" s="340">
        <f t="shared" si="3"/>
        <v>47.8</v>
      </c>
      <c r="I3264" s="341">
        <v>0.5</v>
      </c>
      <c r="J3264" s="332">
        <f>IFERROR(__xludf.DUMMYFUNCTION("IF(IF(COUNTIF(P$2:P3263, P3264)=0, """", INDEX(H$2:H3263,
MAX(FILTER(ROW(H$2:H3263) - ROW(H$2) + 1, P$2:P3263 = P3264))))=""単価"","""",
IF(COUNTIF(P$2:P3263, P3264)=0, """", INDEX(H$2:H3263,
MAX(FILTER(ROW(H$2:H3263) - ROW(H$2) + 1, P$2:P3263 = P3264)))))"),47.3)</f>
        <v>47.3</v>
      </c>
      <c r="N3264" s="335" t="str">
        <f>IF(MAXIFS('単価履歴'!$O:$O,'単価履歴'!$E:$E,E3264,'単価履歴'!$F:$F,F3264)=O3264,"●","")</f>
        <v/>
      </c>
      <c r="O3264" s="346">
        <v>45965.73428240741</v>
      </c>
      <c r="P3264" s="334" t="str">
        <f t="shared" si="4"/>
        <v>合同姫路:阪和新断Ｂ</v>
      </c>
    </row>
    <row r="3265" ht="15.75" customHeight="1">
      <c r="A3265" s="335" t="s">
        <v>4412</v>
      </c>
      <c r="B3265" s="336">
        <v>45966.0</v>
      </c>
      <c r="C3265" s="335" t="s">
        <v>12</v>
      </c>
      <c r="D3265" s="335" t="s">
        <v>53</v>
      </c>
      <c r="E3265" s="337" t="str">
        <f t="shared" si="1"/>
        <v>山陽特殊:MM</v>
      </c>
      <c r="F3265" s="338" t="s">
        <v>1199</v>
      </c>
      <c r="G3265" s="339" t="str">
        <f t="shared" si="2"/>
        <v>山陽特殊:MMＨＳ１(単体H1/電特A/HS))</v>
      </c>
      <c r="H3265" s="340">
        <f t="shared" si="3"/>
        <v>49</v>
      </c>
      <c r="I3265" s="341">
        <v>0.5</v>
      </c>
      <c r="J3265" s="332">
        <f>IFERROR(__xludf.DUMMYFUNCTION("IF(IF(COUNTIF(P$2:P3264, P3265)=0, """", INDEX(H$2:H3264,
MAX(FILTER(ROW(H$2:H3264) - ROW(H$2) + 1, P$2:P3264 = P3265))))=""単価"","""",
IF(COUNTIF(P$2:P3264, P3265)=0, """", INDEX(H$2:H3264,
MAX(FILTER(ROW(H$2:H3264) - ROW(H$2) + 1, P$2:P3264 = P3265)))))"),48.5)</f>
        <v>48.5</v>
      </c>
      <c r="N3265" s="335" t="str">
        <f>IF(MAXIFS('単価履歴'!$O:$O,'単価履歴'!$E:$E,E3265,'単価履歴'!$F:$F,F3265)=O3265,"●","")</f>
        <v/>
      </c>
      <c r="O3265" s="346">
        <v>45965.735127314816</v>
      </c>
      <c r="P3265" s="334" t="str">
        <f t="shared" si="4"/>
        <v>山陽特殊:MMＨＳ１(単体H1/電特A/HS))</v>
      </c>
    </row>
    <row r="3266" ht="15.75" customHeight="1">
      <c r="A3266" s="335" t="s">
        <v>4413</v>
      </c>
      <c r="B3266" s="336">
        <v>45966.0</v>
      </c>
      <c r="C3266" s="335" t="s">
        <v>12</v>
      </c>
      <c r="D3266" s="335" t="s">
        <v>53</v>
      </c>
      <c r="E3266" s="337" t="str">
        <f t="shared" si="1"/>
        <v>山陽特殊:MM</v>
      </c>
      <c r="F3266" s="338" t="s">
        <v>101</v>
      </c>
      <c r="G3266" s="339" t="str">
        <f t="shared" si="2"/>
        <v>山陽特殊:MMＨＳ２</v>
      </c>
      <c r="H3266" s="340">
        <f t="shared" si="3"/>
        <v>48.8</v>
      </c>
      <c r="I3266" s="341">
        <v>0.5</v>
      </c>
      <c r="J3266" s="332">
        <f>IFERROR(__xludf.DUMMYFUNCTION("IF(IF(COUNTIF(P$2:P3265, P3266)=0, """", INDEX(H$2:H3265,
MAX(FILTER(ROW(H$2:H3265) - ROW(H$2) + 1, P$2:P3265 = P3266))))=""単価"","""",
IF(COUNTIF(P$2:P3265, P3266)=0, """", INDEX(H$2:H3265,
MAX(FILTER(ROW(H$2:H3265) - ROW(H$2) + 1, P$2:P3265 = P3266)))))"),48.3)</f>
        <v>48.3</v>
      </c>
      <c r="N3266" s="335" t="str">
        <f>IF(MAXIFS('単価履歴'!$O:$O,'単価履歴'!$E:$E,E3266,'単価履歴'!$F:$F,F3266)=O3266,"●","")</f>
        <v/>
      </c>
      <c r="O3266" s="346">
        <v>45965.735127314816</v>
      </c>
      <c r="P3266" s="334" t="str">
        <f t="shared" si="4"/>
        <v>山陽特殊:MMＨＳ２</v>
      </c>
    </row>
    <row r="3267" ht="15.75" customHeight="1">
      <c r="A3267" s="335" t="s">
        <v>4414</v>
      </c>
      <c r="B3267" s="336">
        <v>45966.0</v>
      </c>
      <c r="C3267" s="335" t="s">
        <v>12</v>
      </c>
      <c r="D3267" s="335" t="s">
        <v>53</v>
      </c>
      <c r="E3267" s="337" t="str">
        <f t="shared" si="1"/>
        <v>山陽特殊:MM</v>
      </c>
      <c r="F3267" s="338" t="s">
        <v>105</v>
      </c>
      <c r="G3267" s="339" t="str">
        <f t="shared" si="2"/>
        <v>山陽特殊:MMＨＳ３</v>
      </c>
      <c r="H3267" s="340">
        <f t="shared" si="3"/>
        <v>46.8</v>
      </c>
      <c r="I3267" s="341">
        <v>0.5</v>
      </c>
      <c r="J3267" s="332">
        <f>IFERROR(__xludf.DUMMYFUNCTION("IF(IF(COUNTIF(P$2:P3266, P3267)=0, """", INDEX(H$2:H3266,
MAX(FILTER(ROW(H$2:H3266) - ROW(H$2) + 1, P$2:P3266 = P3267))))=""単価"","""",
IF(COUNTIF(P$2:P3266, P3267)=0, """", INDEX(H$2:H3266,
MAX(FILTER(ROW(H$2:H3266) - ROW(H$2) + 1, P$2:P3266 = P3267)))))"),46.3)</f>
        <v>46.3</v>
      </c>
      <c r="N3267" s="335" t="str">
        <f>IF(MAXIFS('単価履歴'!$O:$O,'単価履歴'!$E:$E,E3267,'単価履歴'!$F:$F,F3267)=O3267,"●","")</f>
        <v/>
      </c>
      <c r="O3267" s="346">
        <v>45965.735127314816</v>
      </c>
      <c r="P3267" s="334" t="str">
        <f t="shared" si="4"/>
        <v>山陽特殊:MMＨＳ３</v>
      </c>
    </row>
    <row r="3268" ht="15.75" customHeight="1">
      <c r="A3268" s="335" t="s">
        <v>4415</v>
      </c>
      <c r="B3268" s="336">
        <v>45966.0</v>
      </c>
      <c r="C3268" s="335" t="s">
        <v>12</v>
      </c>
      <c r="D3268" s="335" t="s">
        <v>53</v>
      </c>
      <c r="E3268" s="337" t="str">
        <f t="shared" si="1"/>
        <v>山陽特殊:MM</v>
      </c>
      <c r="F3268" s="338" t="s">
        <v>122</v>
      </c>
      <c r="G3268" s="339" t="str">
        <f t="shared" si="2"/>
        <v>山陽特殊:MMＬ１(2級)</v>
      </c>
      <c r="H3268" s="340">
        <f t="shared" si="3"/>
        <v>4.5</v>
      </c>
      <c r="I3268" s="341">
        <v>0.5</v>
      </c>
      <c r="J3268" s="332">
        <f>IFERROR(__xludf.DUMMYFUNCTION("IF(IF(COUNTIF(P$2:P3267, P3268)=0, """", INDEX(H$2:H3267,
MAX(FILTER(ROW(H$2:H3267) - ROW(H$2) + 1, P$2:P3267 = P3268))))=""単価"","""",
IF(COUNTIF(P$2:P3267, P3268)=0, """", INDEX(H$2:H3267,
MAX(FILTER(ROW(H$2:H3267) - ROW(H$2) + 1, P$2:P3267 = P3268)))))"),4.0)</f>
        <v>4</v>
      </c>
      <c r="N3268" s="335" t="str">
        <f>IF(MAXIFS('単価履歴'!$O:$O,'単価履歴'!$E:$E,E3268,'単価履歴'!$F:$F,F3268)=O3268,"●","")</f>
        <v/>
      </c>
      <c r="O3268" s="346">
        <v>45965.735127314816</v>
      </c>
      <c r="P3268" s="334" t="str">
        <f t="shared" si="4"/>
        <v>山陽特殊:MMＬ１(2級)</v>
      </c>
    </row>
    <row r="3269" ht="15.75" customHeight="1">
      <c r="A3269" s="335" t="s">
        <v>4416</v>
      </c>
      <c r="B3269" s="336">
        <v>45966.0</v>
      </c>
      <c r="C3269" s="335" t="s">
        <v>12</v>
      </c>
      <c r="D3269" s="335" t="s">
        <v>53</v>
      </c>
      <c r="E3269" s="337" t="str">
        <f t="shared" si="1"/>
        <v>山陽特殊:MM</v>
      </c>
      <c r="F3269" s="338" t="s">
        <v>130</v>
      </c>
      <c r="G3269" s="339" t="str">
        <f t="shared" si="2"/>
        <v>山陽特殊:MM新断Ａ</v>
      </c>
      <c r="H3269" s="340">
        <f t="shared" si="3"/>
        <v>47.5</v>
      </c>
      <c r="I3269" s="341">
        <v>0.5</v>
      </c>
      <c r="J3269" s="332">
        <f>IFERROR(__xludf.DUMMYFUNCTION("IF(IF(COUNTIF(P$2:P3268, P3269)=0, """", INDEX(H$2:H3268,
MAX(FILTER(ROW(H$2:H3268) - ROW(H$2) + 1, P$2:P3268 = P3269))))=""単価"","""",
IF(COUNTIF(P$2:P3268, P3269)=0, """", INDEX(H$2:H3268,
MAX(FILTER(ROW(H$2:H3268) - ROW(H$2) + 1, P$2:P3268 = P3269)))))"),47.0)</f>
        <v>47</v>
      </c>
      <c r="N3269" s="335" t="str">
        <f>IF(MAXIFS('単価履歴'!$O:$O,'単価履歴'!$E:$E,E3269,'単価履歴'!$F:$F,F3269)=O3269,"●","")</f>
        <v/>
      </c>
      <c r="O3269" s="346">
        <v>45965.735127314816</v>
      </c>
      <c r="P3269" s="334" t="str">
        <f t="shared" si="4"/>
        <v>山陽特殊:MM新断Ａ</v>
      </c>
    </row>
    <row r="3270" ht="15.75" customHeight="1">
      <c r="A3270" s="335" t="s">
        <v>4417</v>
      </c>
      <c r="B3270" s="336">
        <v>45966.0</v>
      </c>
      <c r="C3270" s="335" t="s">
        <v>12</v>
      </c>
      <c r="D3270" s="335" t="s">
        <v>53</v>
      </c>
      <c r="E3270" s="337" t="str">
        <f t="shared" si="1"/>
        <v>山陽特殊:MM</v>
      </c>
      <c r="F3270" s="338" t="s">
        <v>131</v>
      </c>
      <c r="G3270" s="339" t="str">
        <f t="shared" si="2"/>
        <v>山陽特殊:MM新断Ｂ</v>
      </c>
      <c r="H3270" s="340">
        <f t="shared" si="3"/>
        <v>46.5</v>
      </c>
      <c r="I3270" s="341">
        <v>0.5</v>
      </c>
      <c r="J3270" s="332">
        <f>IFERROR(__xludf.DUMMYFUNCTION("IF(IF(COUNTIF(P$2:P3269, P3270)=0, """", INDEX(H$2:H3269,
MAX(FILTER(ROW(H$2:H3269) - ROW(H$2) + 1, P$2:P3269 = P3270))))=""単価"","""",
IF(COUNTIF(P$2:P3269, P3270)=0, """", INDEX(H$2:H3269,
MAX(FILTER(ROW(H$2:H3269) - ROW(H$2) + 1, P$2:P3269 = P3270)))))"),46.0)</f>
        <v>46</v>
      </c>
      <c r="N3270" s="335" t="str">
        <f>IF(MAXIFS('単価履歴'!$O:$O,'単価履歴'!$E:$E,E3270,'単価履歴'!$F:$F,F3270)=O3270,"●","")</f>
        <v/>
      </c>
      <c r="O3270" s="346">
        <v>45965.735127314816</v>
      </c>
      <c r="P3270" s="334" t="str">
        <f t="shared" si="4"/>
        <v>山陽特殊:MM新断Ｂ</v>
      </c>
    </row>
    <row r="3271" ht="15.75" customHeight="1">
      <c r="A3271" s="335" t="s">
        <v>4418</v>
      </c>
      <c r="B3271" s="336">
        <v>45966.0</v>
      </c>
      <c r="C3271" s="335" t="s">
        <v>12</v>
      </c>
      <c r="D3271" s="335" t="s">
        <v>53</v>
      </c>
      <c r="E3271" s="337" t="str">
        <f t="shared" si="1"/>
        <v>山陽特殊:MM</v>
      </c>
      <c r="F3271" s="338" t="s">
        <v>574</v>
      </c>
      <c r="G3271" s="339" t="str">
        <f t="shared" si="2"/>
        <v>山陽特殊:MM新断Ｃ</v>
      </c>
      <c r="H3271" s="340">
        <f t="shared" si="3"/>
        <v>45.2</v>
      </c>
      <c r="I3271" s="341">
        <v>0.5</v>
      </c>
      <c r="J3271" s="332">
        <f>IFERROR(__xludf.DUMMYFUNCTION("IF(IF(COUNTIF(P$2:P3270, P3271)=0, """", INDEX(H$2:H3270,
MAX(FILTER(ROW(H$2:H3270) - ROW(H$2) + 1, P$2:P3270 = P3271))))=""単価"","""",
IF(COUNTIF(P$2:P3270, P3271)=0, """", INDEX(H$2:H3270,
MAX(FILTER(ROW(H$2:H3270) - ROW(H$2) + 1, P$2:P3270 = P3271)))))"),44.699999999999996)</f>
        <v>44.7</v>
      </c>
      <c r="N3271" s="335" t="str">
        <f>IF(MAXIFS('単価履歴'!$O:$O,'単価履歴'!$E:$E,E3271,'単価履歴'!$F:$F,F3271)=O3271,"●","")</f>
        <v/>
      </c>
      <c r="O3271" s="346">
        <v>45965.735127314816</v>
      </c>
      <c r="P3271" s="334" t="str">
        <f t="shared" si="4"/>
        <v>山陽特殊:MM新断Ｃ</v>
      </c>
    </row>
    <row r="3272" ht="15.75" customHeight="1">
      <c r="A3272" s="335" t="s">
        <v>4419</v>
      </c>
      <c r="B3272" s="336">
        <v>45966.0</v>
      </c>
      <c r="C3272" s="335" t="s">
        <v>14</v>
      </c>
      <c r="D3272" s="335" t="s">
        <v>46</v>
      </c>
      <c r="E3272" s="337" t="str">
        <f t="shared" si="1"/>
        <v>愛知:阪和</v>
      </c>
      <c r="F3272" s="338" t="s">
        <v>1199</v>
      </c>
      <c r="G3272" s="339" t="str">
        <f t="shared" si="2"/>
        <v>愛知:阪和ＨＳ１(単体H1/電特A/HS))</v>
      </c>
      <c r="H3272" s="340">
        <f t="shared" si="3"/>
        <v>45.7</v>
      </c>
      <c r="I3272" s="341">
        <v>0.5</v>
      </c>
      <c r="J3272" s="332">
        <f>IFERROR(__xludf.DUMMYFUNCTION("IF(IF(COUNTIF(P$2:P3271, P3272)=0, """", INDEX(H$2:H3271,
MAX(FILTER(ROW(H$2:H3271) - ROW(H$2) + 1, P$2:P3271 = P3272))))=""単価"","""",
IF(COUNTIF(P$2:P3271, P3272)=0, """", INDEX(H$2:H3271,
MAX(FILTER(ROW(H$2:H3271) - ROW(H$2) + 1, P$2:P3271 = P3272)))))"),45.2)</f>
        <v>45.2</v>
      </c>
      <c r="N3272" s="335" t="str">
        <f>IF(MAXIFS('単価履歴'!$O:$O,'単価履歴'!$E:$E,E3272,'単価履歴'!$F:$F,F3272)=O3272,"●","")</f>
        <v/>
      </c>
      <c r="O3272" s="346">
        <v>45965.73559027778</v>
      </c>
      <c r="P3272" s="334" t="str">
        <f t="shared" si="4"/>
        <v>愛知:阪和ＨＳ１(単体H1/電特A/HS))</v>
      </c>
    </row>
    <row r="3273" ht="15.75" customHeight="1">
      <c r="A3273" s="335" t="s">
        <v>4420</v>
      </c>
      <c r="B3273" s="336">
        <v>45966.0</v>
      </c>
      <c r="C3273" s="335" t="s">
        <v>14</v>
      </c>
      <c r="D3273" s="335" t="s">
        <v>46</v>
      </c>
      <c r="E3273" s="337" t="str">
        <f t="shared" si="1"/>
        <v>愛知:阪和</v>
      </c>
      <c r="F3273" s="338" t="s">
        <v>101</v>
      </c>
      <c r="G3273" s="339" t="str">
        <f t="shared" si="2"/>
        <v>愛知:阪和ＨＳ２</v>
      </c>
      <c r="H3273" s="340">
        <f t="shared" si="3"/>
        <v>45.2</v>
      </c>
      <c r="I3273" s="341">
        <v>0.5</v>
      </c>
      <c r="J3273" s="332">
        <f>IFERROR(__xludf.DUMMYFUNCTION("IF(IF(COUNTIF(P$2:P3272, P3273)=0, """", INDEX(H$2:H3272,
MAX(FILTER(ROW(H$2:H3272) - ROW(H$2) + 1, P$2:P3272 = P3273))))=""単価"","""",
IF(COUNTIF(P$2:P3272, P3273)=0, """", INDEX(H$2:H3272,
MAX(FILTER(ROW(H$2:H3272) - ROW(H$2) + 1, P$2:P3272 = P3273)))))"),44.7)</f>
        <v>44.7</v>
      </c>
      <c r="N3273" s="335" t="str">
        <f>IF(MAXIFS('単価履歴'!$O:$O,'単価履歴'!$E:$E,E3273,'単価履歴'!$F:$F,F3273)=O3273,"●","")</f>
        <v/>
      </c>
      <c r="O3273" s="346">
        <v>45965.73559027778</v>
      </c>
      <c r="P3273" s="334" t="str">
        <f t="shared" si="4"/>
        <v>愛知:阪和ＨＳ２</v>
      </c>
    </row>
    <row r="3274" ht="15.75" customHeight="1">
      <c r="A3274" s="335" t="s">
        <v>4421</v>
      </c>
      <c r="B3274" s="336">
        <v>45966.0</v>
      </c>
      <c r="C3274" s="335" t="s">
        <v>14</v>
      </c>
      <c r="D3274" s="335" t="s">
        <v>46</v>
      </c>
      <c r="E3274" s="337" t="str">
        <f t="shared" si="1"/>
        <v>愛知:阪和</v>
      </c>
      <c r="F3274" s="338" t="s">
        <v>111</v>
      </c>
      <c r="G3274" s="339" t="str">
        <f t="shared" si="2"/>
        <v>愛知:阪和Ｈ１(特A)</v>
      </c>
      <c r="H3274" s="340">
        <f t="shared" si="3"/>
        <v>40.7</v>
      </c>
      <c r="I3274" s="341">
        <v>0.5</v>
      </c>
      <c r="J3274" s="332">
        <f>IFERROR(__xludf.DUMMYFUNCTION("IF(IF(COUNTIF(P$2:P3273, P3274)=0, """", INDEX(H$2:H3273,
MAX(FILTER(ROW(H$2:H3273) - ROW(H$2) + 1, P$2:P3273 = P3274))))=""単価"","""",
IF(COUNTIF(P$2:P3273, P3274)=0, """", INDEX(H$2:H3273,
MAX(FILTER(ROW(H$2:H3273) - ROW(H$2) + 1, P$2:P3273 = P3274)))))"),40.2)</f>
        <v>40.2</v>
      </c>
      <c r="N3274" s="335" t="str">
        <f>IF(MAXIFS('単価履歴'!$O:$O,'単価履歴'!$E:$E,E3274,'単価履歴'!$F:$F,F3274)=O3274,"●","")</f>
        <v/>
      </c>
      <c r="O3274" s="346">
        <v>45965.73559027778</v>
      </c>
      <c r="P3274" s="334" t="str">
        <f t="shared" si="4"/>
        <v>愛知:阪和Ｈ１(特A)</v>
      </c>
    </row>
    <row r="3275" ht="15.75" customHeight="1">
      <c r="A3275" s="335" t="s">
        <v>4422</v>
      </c>
      <c r="B3275" s="336">
        <v>45966.0</v>
      </c>
      <c r="C3275" s="335" t="s">
        <v>14</v>
      </c>
      <c r="D3275" s="335" t="s">
        <v>46</v>
      </c>
      <c r="E3275" s="337" t="str">
        <f t="shared" si="1"/>
        <v>愛知:阪和</v>
      </c>
      <c r="F3275" s="338" t="s">
        <v>116</v>
      </c>
      <c r="G3275" s="339" t="str">
        <f t="shared" si="2"/>
        <v>愛知:阪和Ｈ２(特級)</v>
      </c>
      <c r="H3275" s="340">
        <f t="shared" si="3"/>
        <v>40.2</v>
      </c>
      <c r="I3275" s="341">
        <v>0.5</v>
      </c>
      <c r="J3275" s="332">
        <f>IFERROR(__xludf.DUMMYFUNCTION("IF(IF(COUNTIF(P$2:P3274, P3275)=0, """", INDEX(H$2:H3274,
MAX(FILTER(ROW(H$2:H3274) - ROW(H$2) + 1, P$2:P3274 = P3275))))=""単価"","""",
IF(COUNTIF(P$2:P3274, P3275)=0, """", INDEX(H$2:H3274,
MAX(FILTER(ROW(H$2:H3274) - ROW(H$2) + 1, P$2:P3274 = P3275)))))"),39.7)</f>
        <v>39.7</v>
      </c>
      <c r="N3275" s="335" t="str">
        <f>IF(MAXIFS('単価履歴'!$O:$O,'単価履歴'!$E:$E,E3275,'単価履歴'!$F:$F,F3275)=O3275,"●","")</f>
        <v/>
      </c>
      <c r="O3275" s="346">
        <v>45965.73559027778</v>
      </c>
      <c r="P3275" s="334" t="str">
        <f t="shared" si="4"/>
        <v>愛知:阪和Ｈ２(特級)</v>
      </c>
    </row>
    <row r="3276" ht="15.75" customHeight="1">
      <c r="A3276" s="335" t="s">
        <v>4423</v>
      </c>
      <c r="B3276" s="336">
        <v>45966.0</v>
      </c>
      <c r="C3276" s="335" t="s">
        <v>14</v>
      </c>
      <c r="D3276" s="335" t="s">
        <v>46</v>
      </c>
      <c r="E3276" s="337" t="str">
        <f t="shared" si="1"/>
        <v>愛知:阪和</v>
      </c>
      <c r="F3276" s="338" t="s">
        <v>119</v>
      </c>
      <c r="G3276" s="339" t="str">
        <f t="shared" si="2"/>
        <v>愛知:阪和Ｈ３(1級)</v>
      </c>
      <c r="H3276" s="340">
        <f t="shared" si="3"/>
        <v>39.2</v>
      </c>
      <c r="I3276" s="341">
        <v>0.5</v>
      </c>
      <c r="J3276" s="332">
        <f>IFERROR(__xludf.DUMMYFUNCTION("IF(IF(COUNTIF(P$2:P3275, P3276)=0, """", INDEX(H$2:H3275,
MAX(FILTER(ROW(H$2:H3275) - ROW(H$2) + 1, P$2:P3275 = P3276))))=""単価"","""",
IF(COUNTIF(P$2:P3275, P3276)=0, """", INDEX(H$2:H3275,
MAX(FILTER(ROW(H$2:H3275) - ROW(H$2) + 1, P$2:P3275 = P3276)))))"),38.7)</f>
        <v>38.7</v>
      </c>
      <c r="N3276" s="335" t="str">
        <f>IF(MAXIFS('単価履歴'!$O:$O,'単価履歴'!$E:$E,E3276,'単価履歴'!$F:$F,F3276)=O3276,"●","")</f>
        <v/>
      </c>
      <c r="O3276" s="346">
        <v>45965.73559027778</v>
      </c>
      <c r="P3276" s="334" t="str">
        <f t="shared" si="4"/>
        <v>愛知:阪和Ｈ３(1級)</v>
      </c>
    </row>
    <row r="3277" ht="15.75" customHeight="1">
      <c r="A3277" s="335" t="s">
        <v>4424</v>
      </c>
      <c r="B3277" s="336">
        <v>45966.0</v>
      </c>
      <c r="C3277" s="335" t="s">
        <v>14</v>
      </c>
      <c r="D3277" s="335" t="s">
        <v>46</v>
      </c>
      <c r="E3277" s="337" t="str">
        <f t="shared" si="1"/>
        <v>愛知:阪和</v>
      </c>
      <c r="F3277" s="338" t="s">
        <v>573</v>
      </c>
      <c r="G3277" s="339" t="str">
        <f t="shared" si="2"/>
        <v>愛知:阪和Ｌ２(H4･級外･L1ﾊﾞﾗ)</v>
      </c>
      <c r="H3277" s="340">
        <f t="shared" si="3"/>
        <v>35.8</v>
      </c>
      <c r="I3277" s="341">
        <v>0.5</v>
      </c>
      <c r="J3277" s="332">
        <f>IFERROR(__xludf.DUMMYFUNCTION("IF(IF(COUNTIF(P$2:P3276, P3277)=0, """", INDEX(H$2:H3276,
MAX(FILTER(ROW(H$2:H3276) - ROW(H$2) + 1, P$2:P3276 = P3277))))=""単価"","""",
IF(COUNTIF(P$2:P3276, P3277)=0, """", INDEX(H$2:H3276,
MAX(FILTER(ROW(H$2:H3276) - ROW(H$2) + 1, P$2:P3276 = P3277)))))"),35.3)</f>
        <v>35.3</v>
      </c>
      <c r="N3277" s="335" t="str">
        <f>IF(MAXIFS('単価履歴'!$O:$O,'単価履歴'!$E:$E,E3277,'単価履歴'!$F:$F,F3277)=O3277,"●","")</f>
        <v/>
      </c>
      <c r="O3277" s="346">
        <v>45965.73559027778</v>
      </c>
      <c r="P3277" s="334" t="str">
        <f t="shared" si="4"/>
        <v>愛知:阪和Ｌ２(H4･級外･L1ﾊﾞﾗ)</v>
      </c>
    </row>
    <row r="3278" ht="15.75" customHeight="1">
      <c r="A3278" s="335" t="s">
        <v>4425</v>
      </c>
      <c r="B3278" s="336">
        <v>45966.0</v>
      </c>
      <c r="C3278" s="335" t="s">
        <v>14</v>
      </c>
      <c r="D3278" s="335" t="s">
        <v>46</v>
      </c>
      <c r="E3278" s="337" t="str">
        <f t="shared" si="1"/>
        <v>愛知:阪和</v>
      </c>
      <c r="F3278" s="338" t="s">
        <v>130</v>
      </c>
      <c r="G3278" s="339" t="str">
        <f t="shared" si="2"/>
        <v>愛知:阪和新断Ａ</v>
      </c>
      <c r="H3278" s="340">
        <f t="shared" si="3"/>
        <v>45.5</v>
      </c>
      <c r="I3278" s="341">
        <v>0.5</v>
      </c>
      <c r="J3278" s="332">
        <f>IFERROR(__xludf.DUMMYFUNCTION("IF(IF(COUNTIF(P$2:P3277, P3278)=0, """", INDEX(H$2:H3277,
MAX(FILTER(ROW(H$2:H3277) - ROW(H$2) + 1, P$2:P3277 = P3278))))=""単価"","""",
IF(COUNTIF(P$2:P3277, P3278)=0, """", INDEX(H$2:H3277,
MAX(FILTER(ROW(H$2:H3277) - ROW(H$2) + 1, P$2:P3277 = P3278)))))"),45.0)</f>
        <v>45</v>
      </c>
      <c r="N3278" s="335" t="str">
        <f>IF(MAXIFS('単価履歴'!$O:$O,'単価履歴'!$E:$E,E3278,'単価履歴'!$F:$F,F3278)=O3278,"●","")</f>
        <v/>
      </c>
      <c r="O3278" s="346">
        <v>45965.73559027778</v>
      </c>
      <c r="P3278" s="334" t="str">
        <f t="shared" si="4"/>
        <v>愛知:阪和新断Ａ</v>
      </c>
    </row>
    <row r="3279" ht="15.75" customHeight="1">
      <c r="A3279" s="335" t="s">
        <v>4426</v>
      </c>
      <c r="B3279" s="336">
        <v>45966.0</v>
      </c>
      <c r="C3279" s="335" t="s">
        <v>14</v>
      </c>
      <c r="D3279" s="335" t="s">
        <v>46</v>
      </c>
      <c r="E3279" s="337" t="str">
        <f t="shared" si="1"/>
        <v>愛知:阪和</v>
      </c>
      <c r="F3279" s="338" t="s">
        <v>131</v>
      </c>
      <c r="G3279" s="339" t="str">
        <f t="shared" si="2"/>
        <v>愛知:阪和新断Ｂ</v>
      </c>
      <c r="H3279" s="340">
        <f t="shared" si="3"/>
        <v>44.5</v>
      </c>
      <c r="I3279" s="341">
        <v>0.5</v>
      </c>
      <c r="J3279" s="332">
        <f>IFERROR(__xludf.DUMMYFUNCTION("IF(IF(COUNTIF(P$2:P3278, P3279)=0, """", INDEX(H$2:H3278,
MAX(FILTER(ROW(H$2:H3278) - ROW(H$2) + 1, P$2:P3278 = P3279))))=""単価"","""",
IF(COUNTIF(P$2:P3278, P3279)=0, """", INDEX(H$2:H3278,
MAX(FILTER(ROW(H$2:H3278) - ROW(H$2) + 1, P$2:P3278 = P3279)))))"),44.0)</f>
        <v>44</v>
      </c>
      <c r="N3279" s="335" t="str">
        <f>IF(MAXIFS('単価履歴'!$O:$O,'単価履歴'!$E:$E,E3279,'単価履歴'!$F:$F,F3279)=O3279,"●","")</f>
        <v/>
      </c>
      <c r="O3279" s="346">
        <v>45965.73559027778</v>
      </c>
      <c r="P3279" s="334" t="str">
        <f t="shared" si="4"/>
        <v>愛知:阪和新断Ｂ</v>
      </c>
    </row>
    <row r="3280" ht="15.75" customHeight="1">
      <c r="A3280" s="335" t="s">
        <v>4427</v>
      </c>
      <c r="B3280" s="336">
        <v>45966.0</v>
      </c>
      <c r="C3280" s="335" t="s">
        <v>14</v>
      </c>
      <c r="D3280" s="335" t="s">
        <v>46</v>
      </c>
      <c r="E3280" s="337" t="str">
        <f t="shared" si="1"/>
        <v>愛知:阪和</v>
      </c>
      <c r="F3280" s="338" t="s">
        <v>145</v>
      </c>
      <c r="G3280" s="339" t="str">
        <f t="shared" si="2"/>
        <v>愛知:阪和シュレＡ</v>
      </c>
      <c r="H3280" s="340">
        <f t="shared" si="3"/>
        <v>45.5</v>
      </c>
      <c r="I3280" s="341">
        <v>0.5</v>
      </c>
      <c r="J3280" s="332">
        <f>IFERROR(__xludf.DUMMYFUNCTION("IF(IF(COUNTIF(P$2:P3279, P3280)=0, """", INDEX(H$2:H3279,
MAX(FILTER(ROW(H$2:H3279) - ROW(H$2) + 1, P$2:P3279 = P3280))))=""単価"","""",
IF(COUNTIF(P$2:P3279, P3280)=0, """", INDEX(H$2:H3279,
MAX(FILTER(ROW(H$2:H3279) - ROW(H$2) + 1, P$2:P3279 = P3280)))))"),45.0)</f>
        <v>45</v>
      </c>
      <c r="N3280" s="335" t="str">
        <f>IF(MAXIFS('単価履歴'!$O:$O,'単価履歴'!$E:$E,E3280,'単価履歴'!$F:$F,F3280)=O3280,"●","")</f>
        <v/>
      </c>
      <c r="O3280" s="346">
        <v>45965.73559027778</v>
      </c>
      <c r="P3280" s="334" t="str">
        <f t="shared" si="4"/>
        <v>愛知:阪和シュレＡ</v>
      </c>
    </row>
    <row r="3281" ht="15.75" customHeight="1">
      <c r="A3281" s="335" t="s">
        <v>4428</v>
      </c>
      <c r="B3281" s="336">
        <v>45966.0</v>
      </c>
      <c r="C3281" s="335" t="s">
        <v>537</v>
      </c>
      <c r="D3281" s="335" t="s">
        <v>59</v>
      </c>
      <c r="E3281" s="337" t="str">
        <f t="shared" si="1"/>
        <v>大同特殊鋼:大同興業</v>
      </c>
      <c r="F3281" s="338" t="s">
        <v>1199</v>
      </c>
      <c r="G3281" s="339" t="str">
        <f t="shared" si="2"/>
        <v>大同特殊鋼:大同興業ＨＳ１(単体H1/電特A/HS))</v>
      </c>
      <c r="H3281" s="340">
        <f t="shared" si="3"/>
        <v>46</v>
      </c>
      <c r="I3281" s="341">
        <v>0.5</v>
      </c>
      <c r="J3281" s="332">
        <f>IFERROR(__xludf.DUMMYFUNCTION("IF(IF(COUNTIF(P$2:P3280, P3281)=0, """", INDEX(H$2:H3280,
MAX(FILTER(ROW(H$2:H3280) - ROW(H$2) + 1, P$2:P3280 = P3281))))=""単価"","""",
IF(COUNTIF(P$2:P3280, P3281)=0, """", INDEX(H$2:H3280,
MAX(FILTER(ROW(H$2:H3280) - ROW(H$2) + 1, P$2:P3280 = P3281)))))"),45.5)</f>
        <v>45.5</v>
      </c>
      <c r="N3281" s="335" t="str">
        <f>IF(MAXIFS('単価履歴'!$O:$O,'単価履歴'!$E:$E,E3281,'単価履歴'!$F:$F,F3281)=O3281,"●","")</f>
        <v/>
      </c>
      <c r="O3281" s="346">
        <v>45965.736655092594</v>
      </c>
      <c r="P3281" s="334" t="str">
        <f t="shared" si="4"/>
        <v>大同特殊鋼:大同興業ＨＳ１(単体H1/電特A/HS))</v>
      </c>
    </row>
    <row r="3282" ht="15.75" customHeight="1">
      <c r="A3282" s="335" t="s">
        <v>4429</v>
      </c>
      <c r="B3282" s="336">
        <v>45966.0</v>
      </c>
      <c r="C3282" s="335" t="s">
        <v>537</v>
      </c>
      <c r="D3282" s="335" t="s">
        <v>59</v>
      </c>
      <c r="E3282" s="337" t="str">
        <f t="shared" si="1"/>
        <v>大同特殊鋼:大同興業</v>
      </c>
      <c r="F3282" s="338" t="s">
        <v>575</v>
      </c>
      <c r="G3282" s="339" t="str">
        <f t="shared" si="2"/>
        <v>大同特殊鋼:大同興業鋼ダライＡ</v>
      </c>
      <c r="H3282" s="340">
        <f t="shared" si="3"/>
        <v>38.9</v>
      </c>
      <c r="I3282" s="341">
        <v>0.5</v>
      </c>
      <c r="J3282" s="332">
        <f>IFERROR(__xludf.DUMMYFUNCTION("IF(IF(COUNTIF(P$2:P3281, P3282)=0, """", INDEX(H$2:H3281,
MAX(FILTER(ROW(H$2:H3281) - ROW(H$2) + 1, P$2:P3281 = P3282))))=""単価"","""",
IF(COUNTIF(P$2:P3281, P3282)=0, """", INDEX(H$2:H3281,
MAX(FILTER(ROW(H$2:H3281) - ROW(H$2) + 1, P$2:P3281 = P3282)))))"),38.4)</f>
        <v>38.4</v>
      </c>
      <c r="N3282" s="335" t="str">
        <f>IF(MAXIFS('単価履歴'!$O:$O,'単価履歴'!$E:$E,E3282,'単価履歴'!$F:$F,F3282)=O3282,"●","")</f>
        <v/>
      </c>
      <c r="O3282" s="346">
        <v>45965.736655092594</v>
      </c>
      <c r="P3282" s="334" t="str">
        <f t="shared" si="4"/>
        <v>大同特殊鋼:大同興業鋼ダライＡ</v>
      </c>
    </row>
    <row r="3283" ht="15.75" customHeight="1">
      <c r="A3283" s="335" t="s">
        <v>4430</v>
      </c>
      <c r="B3283" s="336">
        <v>45965.0</v>
      </c>
      <c r="C3283" s="335" t="s">
        <v>537</v>
      </c>
      <c r="D3283" s="335" t="s">
        <v>1404</v>
      </c>
      <c r="E3283" s="337" t="str">
        <f t="shared" si="1"/>
        <v>大同特殊鋼:JSE/大和ﾘﾃｯｸ</v>
      </c>
      <c r="F3283" s="338" t="s">
        <v>1199</v>
      </c>
      <c r="G3283" s="339" t="str">
        <f t="shared" si="2"/>
        <v>大同特殊鋼:JSE/大和ﾘﾃｯｸＨＳ１(単体H1/電特A/HS))</v>
      </c>
      <c r="H3283" s="340">
        <f t="shared" si="3"/>
        <v>45.3</v>
      </c>
      <c r="I3283" s="341">
        <v>0.5</v>
      </c>
      <c r="J3283" s="332">
        <f>IFERROR(__xludf.DUMMYFUNCTION("IF(IF(COUNTIF(P$2:P3282, P3283)=0, """", INDEX(H$2:H3282,
MAX(FILTER(ROW(H$2:H3282) - ROW(H$2) + 1, P$2:P3282 = P3283))))=""単価"","""",
IF(COUNTIF(P$2:P3282, P3283)=0, """", INDEX(H$2:H3282,
MAX(FILTER(ROW(H$2:H3282) - ROW(H$2) + 1, P$2:P3282 = P3283)))))"),44.8)</f>
        <v>44.8</v>
      </c>
      <c r="N3283" s="335" t="str">
        <f>IF(MAXIFS('単価履歴'!$O:$O,'単価履歴'!$E:$E,E3283,'単価履歴'!$F:$F,F3283)=O3283,"●","")</f>
        <v/>
      </c>
      <c r="O3283" s="346">
        <v>45965.73694444445</v>
      </c>
      <c r="P3283" s="334" t="str">
        <f t="shared" si="4"/>
        <v>大同特殊鋼:JSE/大和ﾘﾃｯｸＨＳ１(単体H1/電特A/HS))</v>
      </c>
    </row>
    <row r="3284" ht="15.75" customHeight="1">
      <c r="A3284" s="335" t="s">
        <v>4431</v>
      </c>
      <c r="B3284" s="336">
        <v>45965.0</v>
      </c>
      <c r="C3284" s="335" t="s">
        <v>537</v>
      </c>
      <c r="D3284" s="335" t="s">
        <v>1404</v>
      </c>
      <c r="E3284" s="337" t="str">
        <f t="shared" si="1"/>
        <v>大同特殊鋼:JSE/大和ﾘﾃｯｸ</v>
      </c>
      <c r="F3284" s="338" t="s">
        <v>116</v>
      </c>
      <c r="G3284" s="339" t="str">
        <f t="shared" si="2"/>
        <v>大同特殊鋼:JSE/大和ﾘﾃｯｸＨ２(特級)</v>
      </c>
      <c r="H3284" s="340">
        <f t="shared" si="3"/>
        <v>42.2</v>
      </c>
      <c r="I3284" s="341">
        <v>0.5</v>
      </c>
      <c r="J3284" s="332">
        <f>IFERROR(__xludf.DUMMYFUNCTION("IF(IF(COUNTIF(P$2:P3283, P3284)=0, """", INDEX(H$2:H3283,
MAX(FILTER(ROW(H$2:H3283) - ROW(H$2) + 1, P$2:P3283 = P3284))))=""単価"","""",
IF(COUNTIF(P$2:P3283, P3284)=0, """", INDEX(H$2:H3283,
MAX(FILTER(ROW(H$2:H3283) - ROW(H$2) + 1, P$2:P3283 = P3284)))))"),41.7)</f>
        <v>41.7</v>
      </c>
      <c r="N3284" s="335" t="str">
        <f>IF(MAXIFS('単価履歴'!$O:$O,'単価履歴'!$E:$E,E3284,'単価履歴'!$F:$F,F3284)=O3284,"●","")</f>
        <v/>
      </c>
      <c r="O3284" s="346">
        <v>45965.73694444445</v>
      </c>
      <c r="P3284" s="334" t="str">
        <f t="shared" si="4"/>
        <v>大同特殊鋼:JSE/大和ﾘﾃｯｸＨ２(特級)</v>
      </c>
    </row>
    <row r="3285" ht="15.75" customHeight="1">
      <c r="A3285" s="335" t="s">
        <v>4432</v>
      </c>
      <c r="B3285" s="336">
        <v>45965.0</v>
      </c>
      <c r="C3285" s="335" t="s">
        <v>537</v>
      </c>
      <c r="D3285" s="335" t="s">
        <v>1404</v>
      </c>
      <c r="E3285" s="337" t="str">
        <f t="shared" si="1"/>
        <v>大同特殊鋼:JSE/大和ﾘﾃｯｸ</v>
      </c>
      <c r="F3285" s="338" t="s">
        <v>575</v>
      </c>
      <c r="G3285" s="339" t="str">
        <f t="shared" si="2"/>
        <v>大同特殊鋼:JSE/大和ﾘﾃｯｸ鋼ダライＡ</v>
      </c>
      <c r="H3285" s="340">
        <f t="shared" si="3"/>
        <v>41</v>
      </c>
      <c r="I3285" s="341">
        <v>0.5</v>
      </c>
      <c r="J3285" s="332">
        <f>IFERROR(__xludf.DUMMYFUNCTION("IF(IF(COUNTIF(P$2:P3284, P3285)=0, """", INDEX(H$2:H3284,
MAX(FILTER(ROW(H$2:H3284) - ROW(H$2) + 1, P$2:P3284 = P3285))))=""単価"","""",
IF(COUNTIF(P$2:P3284, P3285)=0, """", INDEX(H$2:H3284,
MAX(FILTER(ROW(H$2:H3284) - ROW(H$2) + 1, P$2:P3284 = P3285)))))"),40.5)</f>
        <v>40.5</v>
      </c>
      <c r="N3285" s="335" t="str">
        <f>IF(MAXIFS('単価履歴'!$O:$O,'単価履歴'!$E:$E,E3285,'単価履歴'!$F:$F,F3285)=O3285,"●","")</f>
        <v/>
      </c>
      <c r="O3285" s="346">
        <v>45965.73694444445</v>
      </c>
      <c r="P3285" s="334" t="str">
        <f t="shared" si="4"/>
        <v>大同特殊鋼:JSE/大和ﾘﾃｯｸ鋼ダライＡ</v>
      </c>
    </row>
    <row r="3286" ht="15.75" customHeight="1">
      <c r="A3286" s="335" t="s">
        <v>4433</v>
      </c>
      <c r="B3286" s="336">
        <v>45966.0</v>
      </c>
      <c r="C3286" s="335" t="s">
        <v>537</v>
      </c>
      <c r="D3286" s="335" t="s">
        <v>1407</v>
      </c>
      <c r="E3286" s="337" t="str">
        <f t="shared" si="1"/>
        <v>大同特殊鋼:JSE/第二＠2.3</v>
      </c>
      <c r="F3286" s="338" t="s">
        <v>1199</v>
      </c>
      <c r="G3286" s="339" t="str">
        <f t="shared" si="2"/>
        <v>大同特殊鋼:JSE/第二＠2.3ＨＳ１(単体H1/電特A/HS))</v>
      </c>
      <c r="H3286" s="340">
        <f t="shared" si="3"/>
        <v>43</v>
      </c>
      <c r="I3286" s="341">
        <v>0.5</v>
      </c>
      <c r="J3286" s="332">
        <f>IFERROR(__xludf.DUMMYFUNCTION("IF(IF(COUNTIF(P$2:P3285, P3286)=0, """", INDEX(H$2:H3285,
MAX(FILTER(ROW(H$2:H3285) - ROW(H$2) + 1, P$2:P3285 = P3286))))=""単価"","""",
IF(COUNTIF(P$2:P3285, P3286)=0, """", INDEX(H$2:H3285,
MAX(FILTER(ROW(H$2:H3285) - ROW(H$2) + 1, P$2:P3285 = P3286)))))"),42.5)</f>
        <v>42.5</v>
      </c>
      <c r="N3286" s="335" t="str">
        <f>IF(MAXIFS('単価履歴'!$O:$O,'単価履歴'!$E:$E,E3286,'単価履歴'!$F:$F,F3286)=O3286,"●","")</f>
        <v/>
      </c>
      <c r="O3286" s="346">
        <v>45965.7371412037</v>
      </c>
      <c r="P3286" s="334" t="str">
        <f t="shared" si="4"/>
        <v>大同特殊鋼:JSE/第二＠2.3ＨＳ１(単体H1/電特A/HS))</v>
      </c>
    </row>
    <row r="3287" ht="15.75" customHeight="1">
      <c r="A3287" s="335" t="s">
        <v>4434</v>
      </c>
      <c r="B3287" s="336">
        <v>45966.0</v>
      </c>
      <c r="C3287" s="335" t="s">
        <v>537</v>
      </c>
      <c r="D3287" s="335" t="s">
        <v>1407</v>
      </c>
      <c r="E3287" s="337" t="str">
        <f t="shared" si="1"/>
        <v>大同特殊鋼:JSE/第二＠2.3</v>
      </c>
      <c r="F3287" s="338" t="s">
        <v>116</v>
      </c>
      <c r="G3287" s="339" t="str">
        <f t="shared" si="2"/>
        <v>大同特殊鋼:JSE/第二＠2.3Ｈ２(特級)</v>
      </c>
      <c r="H3287" s="340">
        <f t="shared" si="3"/>
        <v>39.9</v>
      </c>
      <c r="I3287" s="341">
        <v>0.5</v>
      </c>
      <c r="J3287" s="332">
        <f>IFERROR(__xludf.DUMMYFUNCTION("IF(IF(COUNTIF(P$2:P3286, P3287)=0, """", INDEX(H$2:H3286,
MAX(FILTER(ROW(H$2:H3286) - ROW(H$2) + 1, P$2:P3286 = P3287))))=""単価"","""",
IF(COUNTIF(P$2:P3286, P3287)=0, """", INDEX(H$2:H3286,
MAX(FILTER(ROW(H$2:H3286) - ROW(H$2) + 1, P$2:P3286 = P3287)))))"),39.400000000000006)</f>
        <v>39.4</v>
      </c>
      <c r="N3287" s="335" t="str">
        <f>IF(MAXIFS('単価履歴'!$O:$O,'単価履歴'!$E:$E,E3287,'単価履歴'!$F:$F,F3287)=O3287,"●","")</f>
        <v/>
      </c>
      <c r="O3287" s="346">
        <v>45965.7371412037</v>
      </c>
      <c r="P3287" s="334" t="str">
        <f t="shared" si="4"/>
        <v>大同特殊鋼:JSE/第二＠2.3Ｈ２(特級)</v>
      </c>
    </row>
    <row r="3288" ht="15.75" customHeight="1">
      <c r="A3288" s="335" t="s">
        <v>4435</v>
      </c>
      <c r="B3288" s="336">
        <v>45966.0</v>
      </c>
      <c r="C3288" s="335" t="s">
        <v>537</v>
      </c>
      <c r="D3288" s="335" t="s">
        <v>1407</v>
      </c>
      <c r="E3288" s="337" t="str">
        <f t="shared" si="1"/>
        <v>大同特殊鋼:JSE/第二＠2.3</v>
      </c>
      <c r="F3288" s="338" t="s">
        <v>575</v>
      </c>
      <c r="G3288" s="339" t="str">
        <f t="shared" si="2"/>
        <v>大同特殊鋼:JSE/第二＠2.3鋼ダライＡ</v>
      </c>
      <c r="H3288" s="340">
        <f t="shared" si="3"/>
        <v>38.7</v>
      </c>
      <c r="I3288" s="341">
        <v>0.5</v>
      </c>
      <c r="J3288" s="332">
        <f>IFERROR(__xludf.DUMMYFUNCTION("IF(IF(COUNTIF(P$2:P3287, P3288)=0, """", INDEX(H$2:H3287,
MAX(FILTER(ROW(H$2:H3287) - ROW(H$2) + 1, P$2:P3287 = P3288))))=""単価"","""",
IF(COUNTIF(P$2:P3287, P3288)=0, """", INDEX(H$2:H3287,
MAX(FILTER(ROW(H$2:H3287) - ROW(H$2) + 1, P$2:P3287 = P3288)))))"),38.2)</f>
        <v>38.2</v>
      </c>
      <c r="N3288" s="335" t="str">
        <f>IF(MAXIFS('単価履歴'!$O:$O,'単価履歴'!$E:$E,E3288,'単価履歴'!$F:$F,F3288)=O3288,"●","")</f>
        <v/>
      </c>
      <c r="O3288" s="346">
        <v>45965.7371412037</v>
      </c>
      <c r="P3288" s="334" t="str">
        <f t="shared" si="4"/>
        <v>大同特殊鋼:JSE/第二＠2.3鋼ダライＡ</v>
      </c>
    </row>
    <row r="3289" ht="15.75" customHeight="1">
      <c r="A3289" s="335" t="s">
        <v>4436</v>
      </c>
      <c r="B3289" s="336">
        <v>45966.0</v>
      </c>
      <c r="C3289" s="335" t="s">
        <v>537</v>
      </c>
      <c r="D3289" s="335" t="s">
        <v>1410</v>
      </c>
      <c r="E3289" s="337" t="str">
        <f t="shared" si="1"/>
        <v>大同特殊鋼:JSE/岐阜＠1.5</v>
      </c>
      <c r="F3289" s="338" t="s">
        <v>1199</v>
      </c>
      <c r="G3289" s="339" t="str">
        <f t="shared" si="2"/>
        <v>大同特殊鋼:JSE/岐阜＠1.5ＨＳ１(単体H1/電特A/HS))</v>
      </c>
      <c r="H3289" s="340">
        <f t="shared" si="3"/>
        <v>43.8</v>
      </c>
      <c r="I3289" s="341">
        <v>0.5</v>
      </c>
      <c r="J3289" s="332">
        <f>IFERROR(__xludf.DUMMYFUNCTION("IF(IF(COUNTIF(P$2:P3288, P3289)=0, """", INDEX(H$2:H3288,
MAX(FILTER(ROW(H$2:H3288) - ROW(H$2) + 1, P$2:P3288 = P3289))))=""単価"","""",
IF(COUNTIF(P$2:P3288, P3289)=0, """", INDEX(H$2:H3288,
MAX(FILTER(ROW(H$2:H3288) - ROW(H$2) + 1, P$2:P3288 = P3289)))))"),43.3)</f>
        <v>43.3</v>
      </c>
      <c r="N3289" s="335" t="str">
        <f>IF(MAXIFS('単価履歴'!$O:$O,'単価履歴'!$E:$E,E3289,'単価履歴'!$F:$F,F3289)=O3289,"●","")</f>
        <v/>
      </c>
      <c r="O3289" s="346">
        <v>45965.73734953704</v>
      </c>
      <c r="P3289" s="334" t="str">
        <f t="shared" si="4"/>
        <v>大同特殊鋼:JSE/岐阜＠1.5ＨＳ１(単体H1/電特A/HS))</v>
      </c>
    </row>
    <row r="3290" ht="15.75" customHeight="1">
      <c r="A3290" s="335" t="s">
        <v>4437</v>
      </c>
      <c r="B3290" s="336">
        <v>45966.0</v>
      </c>
      <c r="C3290" s="335" t="s">
        <v>537</v>
      </c>
      <c r="D3290" s="335" t="s">
        <v>1410</v>
      </c>
      <c r="E3290" s="337" t="str">
        <f t="shared" si="1"/>
        <v>大同特殊鋼:JSE/岐阜＠1.5</v>
      </c>
      <c r="F3290" s="338" t="s">
        <v>116</v>
      </c>
      <c r="G3290" s="339" t="str">
        <f t="shared" si="2"/>
        <v>大同特殊鋼:JSE/岐阜＠1.5Ｈ２(特級)</v>
      </c>
      <c r="H3290" s="340">
        <f t="shared" si="3"/>
        <v>40.7</v>
      </c>
      <c r="I3290" s="341">
        <v>0.5</v>
      </c>
      <c r="J3290" s="332">
        <f>IFERROR(__xludf.DUMMYFUNCTION("IF(IF(COUNTIF(P$2:P3289, P3290)=0, """", INDEX(H$2:H3289,
MAX(FILTER(ROW(H$2:H3289) - ROW(H$2) + 1, P$2:P3289 = P3290))))=""単価"","""",
IF(COUNTIF(P$2:P3289, P3290)=0, """", INDEX(H$2:H3289,
MAX(FILTER(ROW(H$2:H3289) - ROW(H$2) + 1, P$2:P3289 = P3290)))))"),40.2)</f>
        <v>40.2</v>
      </c>
      <c r="N3290" s="335" t="str">
        <f>IF(MAXIFS('単価履歴'!$O:$O,'単価履歴'!$E:$E,E3290,'単価履歴'!$F:$F,F3290)=O3290,"●","")</f>
        <v/>
      </c>
      <c r="O3290" s="346">
        <v>45965.73734953704</v>
      </c>
      <c r="P3290" s="334" t="str">
        <f t="shared" si="4"/>
        <v>大同特殊鋼:JSE/岐阜＠1.5Ｈ２(特級)</v>
      </c>
    </row>
    <row r="3291" ht="15.75" customHeight="1">
      <c r="A3291" s="335" t="s">
        <v>4438</v>
      </c>
      <c r="B3291" s="336">
        <v>45966.0</v>
      </c>
      <c r="C3291" s="335" t="s">
        <v>537</v>
      </c>
      <c r="D3291" s="335" t="s">
        <v>1410</v>
      </c>
      <c r="E3291" s="337" t="str">
        <f t="shared" si="1"/>
        <v>大同特殊鋼:JSE/岐阜＠1.5</v>
      </c>
      <c r="F3291" s="338" t="s">
        <v>575</v>
      </c>
      <c r="G3291" s="339" t="str">
        <f t="shared" si="2"/>
        <v>大同特殊鋼:JSE/岐阜＠1.5鋼ダライＡ</v>
      </c>
      <c r="H3291" s="340">
        <f t="shared" si="3"/>
        <v>39.5</v>
      </c>
      <c r="I3291" s="341">
        <v>0.5</v>
      </c>
      <c r="J3291" s="332">
        <f>IFERROR(__xludf.DUMMYFUNCTION("IF(IF(COUNTIF(P$2:P3290, P3291)=0, """", INDEX(H$2:H3290,
MAX(FILTER(ROW(H$2:H3290) - ROW(H$2) + 1, P$2:P3290 = P3291))))=""単価"","""",
IF(COUNTIF(P$2:P3290, P3291)=0, """", INDEX(H$2:H3290,
MAX(FILTER(ROW(H$2:H3290) - ROW(H$2) + 1, P$2:P3290 = P3291)))))"),39.0)</f>
        <v>39</v>
      </c>
      <c r="N3291" s="335" t="str">
        <f>IF(MAXIFS('単価履歴'!$O:$O,'単価履歴'!$E:$E,E3291,'単価履歴'!$F:$F,F3291)=O3291,"●","")</f>
        <v/>
      </c>
      <c r="O3291" s="346">
        <v>45965.73734953704</v>
      </c>
      <c r="P3291" s="334" t="str">
        <f t="shared" si="4"/>
        <v>大同特殊鋼:JSE/岐阜＠1.5鋼ダライＡ</v>
      </c>
    </row>
    <row r="3292" ht="15.75" customHeight="1">
      <c r="A3292" s="335" t="s">
        <v>4439</v>
      </c>
      <c r="B3292" s="336">
        <v>45967.0</v>
      </c>
      <c r="C3292" s="335" t="s">
        <v>7</v>
      </c>
      <c r="D3292" s="335" t="s">
        <v>49</v>
      </c>
      <c r="E3292" s="337" t="str">
        <f t="shared" si="1"/>
        <v>合同大阪:伊藤忠</v>
      </c>
      <c r="F3292" s="338" t="s">
        <v>1199</v>
      </c>
      <c r="G3292" s="339" t="str">
        <f t="shared" si="2"/>
        <v>合同大阪:伊藤忠ＨＳ１(単体H1/電特A/HS))</v>
      </c>
      <c r="H3292" s="340">
        <f t="shared" si="3"/>
        <v>45.8</v>
      </c>
      <c r="I3292" s="341">
        <v>0.5</v>
      </c>
      <c r="J3292" s="332">
        <f>IFERROR(__xludf.DUMMYFUNCTION("IF(IF(COUNTIF(P$2:P3291, P3292)=0, """", INDEX(H$2:H3291,
MAX(FILTER(ROW(H$2:H3291) - ROW(H$2) + 1, P$2:P3291 = P3292))))=""単価"","""",
IF(COUNTIF(P$2:P3291, P3292)=0, """", INDEX(H$2:H3291,
MAX(FILTER(ROW(H$2:H3291) - ROW(H$2) + 1, P$2:P3291 = P3292)))))"),45.3)</f>
        <v>45.3</v>
      </c>
      <c r="N3292" s="335" t="str">
        <f>IF(MAXIFS('単価履歴'!$O:$O,'単価履歴'!$E:$E,E3292,'単価履歴'!$F:$F,F3292)=O3292,"●","")</f>
        <v/>
      </c>
      <c r="O3292" s="346">
        <v>45967.28077546296</v>
      </c>
      <c r="P3292" s="334" t="str">
        <f t="shared" si="4"/>
        <v>合同大阪:伊藤忠ＨＳ１(単体H1/電特A/HS))</v>
      </c>
    </row>
    <row r="3293" ht="15.75" customHeight="1">
      <c r="A3293" s="335" t="s">
        <v>4440</v>
      </c>
      <c r="B3293" s="336">
        <v>45967.0</v>
      </c>
      <c r="C3293" s="335" t="s">
        <v>7</v>
      </c>
      <c r="D3293" s="335" t="s">
        <v>49</v>
      </c>
      <c r="E3293" s="337" t="str">
        <f t="shared" si="1"/>
        <v>合同大阪:伊藤忠</v>
      </c>
      <c r="F3293" s="338" t="s">
        <v>101</v>
      </c>
      <c r="G3293" s="339" t="str">
        <f t="shared" si="2"/>
        <v>合同大阪:伊藤忠ＨＳ２</v>
      </c>
      <c r="H3293" s="340">
        <f t="shared" si="3"/>
        <v>45.3</v>
      </c>
      <c r="I3293" s="341">
        <v>0.5</v>
      </c>
      <c r="J3293" s="332">
        <f>IFERROR(__xludf.DUMMYFUNCTION("IF(IF(COUNTIF(P$2:P3292, P3293)=0, """", INDEX(H$2:H3292,
MAX(FILTER(ROW(H$2:H3292) - ROW(H$2) + 1, P$2:P3292 = P3293))))=""単価"","""",
IF(COUNTIF(P$2:P3292, P3293)=0, """", INDEX(H$2:H3292,
MAX(FILTER(ROW(H$2:H3292) - ROW(H$2) + 1, P$2:P3292 = P3293)))))"),44.8)</f>
        <v>44.8</v>
      </c>
      <c r="N3293" s="335" t="str">
        <f>IF(MAXIFS('単価履歴'!$O:$O,'単価履歴'!$E:$E,E3293,'単価履歴'!$F:$F,F3293)=O3293,"●","")</f>
        <v/>
      </c>
      <c r="O3293" s="346">
        <v>45967.28077546296</v>
      </c>
      <c r="P3293" s="334" t="str">
        <f t="shared" si="4"/>
        <v>合同大阪:伊藤忠ＨＳ２</v>
      </c>
    </row>
    <row r="3294" ht="15.75" customHeight="1">
      <c r="A3294" s="335" t="s">
        <v>4441</v>
      </c>
      <c r="B3294" s="336">
        <v>45967.0</v>
      </c>
      <c r="C3294" s="335" t="s">
        <v>7</v>
      </c>
      <c r="D3294" s="335" t="s">
        <v>49</v>
      </c>
      <c r="E3294" s="337" t="str">
        <f t="shared" si="1"/>
        <v>合同大阪:伊藤忠</v>
      </c>
      <c r="F3294" s="338" t="s">
        <v>111</v>
      </c>
      <c r="G3294" s="339" t="str">
        <f t="shared" si="2"/>
        <v>合同大阪:伊藤忠Ｈ１(特A)</v>
      </c>
      <c r="H3294" s="340">
        <f t="shared" si="3"/>
        <v>45.8</v>
      </c>
      <c r="I3294" s="341">
        <v>0.5</v>
      </c>
      <c r="J3294" s="332">
        <f>IFERROR(__xludf.DUMMYFUNCTION("IF(IF(COUNTIF(P$2:P3293, P3294)=0, """", INDEX(H$2:H3293,
MAX(FILTER(ROW(H$2:H3293) - ROW(H$2) + 1, P$2:P3293 = P3294))))=""単価"","""",
IF(COUNTIF(P$2:P3293, P3294)=0, """", INDEX(H$2:H3293,
MAX(FILTER(ROW(H$2:H3293) - ROW(H$2) + 1, P$2:P3293 = P3294)))))"),45.3)</f>
        <v>45.3</v>
      </c>
      <c r="N3294" s="335" t="str">
        <f>IF(MAXIFS('単価履歴'!$O:$O,'単価履歴'!$E:$E,E3294,'単価履歴'!$F:$F,F3294)=O3294,"●","")</f>
        <v/>
      </c>
      <c r="O3294" s="346">
        <v>45967.28077546296</v>
      </c>
      <c r="P3294" s="334" t="str">
        <f t="shared" si="4"/>
        <v>合同大阪:伊藤忠Ｈ１(特A)</v>
      </c>
    </row>
    <row r="3295" ht="15.75" customHeight="1">
      <c r="A3295" s="335" t="s">
        <v>4442</v>
      </c>
      <c r="B3295" s="336">
        <v>45967.0</v>
      </c>
      <c r="C3295" s="335" t="s">
        <v>7</v>
      </c>
      <c r="D3295" s="335" t="s">
        <v>49</v>
      </c>
      <c r="E3295" s="337" t="str">
        <f t="shared" si="1"/>
        <v>合同大阪:伊藤忠</v>
      </c>
      <c r="F3295" s="338" t="s">
        <v>116</v>
      </c>
      <c r="G3295" s="339" t="str">
        <f t="shared" si="2"/>
        <v>合同大阪:伊藤忠Ｈ２(特級)</v>
      </c>
      <c r="H3295" s="340">
        <f t="shared" si="3"/>
        <v>44.3</v>
      </c>
      <c r="I3295" s="341">
        <v>0.5</v>
      </c>
      <c r="J3295" s="332">
        <f>IFERROR(__xludf.DUMMYFUNCTION("IF(IF(COUNTIF(P$2:P3294, P3295)=0, """", INDEX(H$2:H3294,
MAX(FILTER(ROW(H$2:H3294) - ROW(H$2) + 1, P$2:P3294 = P3295))))=""単価"","""",
IF(COUNTIF(P$2:P3294, P3295)=0, """", INDEX(H$2:H3294,
MAX(FILTER(ROW(H$2:H3294) - ROW(H$2) + 1, P$2:P3294 = P3295)))))"),43.8)</f>
        <v>43.8</v>
      </c>
      <c r="N3295" s="335" t="str">
        <f>IF(MAXIFS('単価履歴'!$O:$O,'単価履歴'!$E:$E,E3295,'単価履歴'!$F:$F,F3295)=O3295,"●","")</f>
        <v/>
      </c>
      <c r="O3295" s="346">
        <v>45967.28077546296</v>
      </c>
      <c r="P3295" s="334" t="str">
        <f t="shared" si="4"/>
        <v>合同大阪:伊藤忠Ｈ２(特級)</v>
      </c>
    </row>
    <row r="3296" ht="15.75" customHeight="1">
      <c r="A3296" s="335" t="s">
        <v>4443</v>
      </c>
      <c r="B3296" s="336">
        <v>45967.0</v>
      </c>
      <c r="C3296" s="335" t="s">
        <v>7</v>
      </c>
      <c r="D3296" s="335" t="s">
        <v>49</v>
      </c>
      <c r="E3296" s="337" t="str">
        <f t="shared" si="1"/>
        <v>合同大阪:伊藤忠</v>
      </c>
      <c r="F3296" s="338" t="s">
        <v>119</v>
      </c>
      <c r="G3296" s="339" t="str">
        <f t="shared" si="2"/>
        <v>合同大阪:伊藤忠Ｈ３(1級)</v>
      </c>
      <c r="H3296" s="340">
        <f t="shared" si="3"/>
        <v>43.8</v>
      </c>
      <c r="I3296" s="341">
        <v>0.5</v>
      </c>
      <c r="J3296" s="332">
        <f>IFERROR(__xludf.DUMMYFUNCTION("IF(IF(COUNTIF(P$2:P3295, P3296)=0, """", INDEX(H$2:H3295,
MAX(FILTER(ROW(H$2:H3295) - ROW(H$2) + 1, P$2:P3295 = P3296))))=""単価"","""",
IF(COUNTIF(P$2:P3295, P3296)=0, """", INDEX(H$2:H3295,
MAX(FILTER(ROW(H$2:H3295) - ROW(H$2) + 1, P$2:P3295 = P3296)))))"),43.3)</f>
        <v>43.3</v>
      </c>
      <c r="N3296" s="335" t="str">
        <f>IF(MAXIFS('単価履歴'!$O:$O,'単価履歴'!$E:$E,E3296,'単価履歴'!$F:$F,F3296)=O3296,"●","")</f>
        <v/>
      </c>
      <c r="O3296" s="346">
        <v>45967.28077546296</v>
      </c>
      <c r="P3296" s="334" t="str">
        <f t="shared" si="4"/>
        <v>合同大阪:伊藤忠Ｈ３(1級)</v>
      </c>
    </row>
    <row r="3297" ht="15.75" customHeight="1">
      <c r="A3297" s="335" t="s">
        <v>4444</v>
      </c>
      <c r="B3297" s="336">
        <v>45967.0</v>
      </c>
      <c r="C3297" s="335" t="s">
        <v>7</v>
      </c>
      <c r="D3297" s="335" t="s">
        <v>49</v>
      </c>
      <c r="E3297" s="337" t="str">
        <f t="shared" si="1"/>
        <v>合同大阪:伊藤忠</v>
      </c>
      <c r="F3297" s="338" t="s">
        <v>122</v>
      </c>
      <c r="G3297" s="339" t="str">
        <f t="shared" si="2"/>
        <v>合同大阪:伊藤忠Ｌ１(2級)</v>
      </c>
      <c r="H3297" s="340">
        <f t="shared" si="3"/>
        <v>42.8</v>
      </c>
      <c r="I3297" s="341">
        <v>0.5</v>
      </c>
      <c r="J3297" s="332">
        <f>IFERROR(__xludf.DUMMYFUNCTION("IF(IF(COUNTIF(P$2:P3296, P3297)=0, """", INDEX(H$2:H3296,
MAX(FILTER(ROW(H$2:H3296) - ROW(H$2) + 1, P$2:P3296 = P3297))))=""単価"","""",
IF(COUNTIF(P$2:P3296, P3297)=0, """", INDEX(H$2:H3296,
MAX(FILTER(ROW(H$2:H3296) - ROW(H$2) + 1, P$2:P3296 = P3297)))))"),42.3)</f>
        <v>42.3</v>
      </c>
      <c r="N3297" s="335" t="str">
        <f>IF(MAXIFS('単価履歴'!$O:$O,'単価履歴'!$E:$E,E3297,'単価履歴'!$F:$F,F3297)=O3297,"●","")</f>
        <v/>
      </c>
      <c r="O3297" s="346">
        <v>45967.28077546296</v>
      </c>
      <c r="P3297" s="334" t="str">
        <f t="shared" si="4"/>
        <v>合同大阪:伊藤忠Ｌ１(2級)</v>
      </c>
    </row>
    <row r="3298" ht="15.75" customHeight="1">
      <c r="A3298" s="335" t="s">
        <v>4445</v>
      </c>
      <c r="B3298" s="336">
        <v>45968.0</v>
      </c>
      <c r="C3298" s="335" t="s">
        <v>31</v>
      </c>
      <c r="D3298" s="335" t="s">
        <v>64</v>
      </c>
      <c r="E3298" s="337" t="str">
        <f t="shared" si="1"/>
        <v>泉北中谷:ナベ双葉</v>
      </c>
      <c r="F3298" s="338" t="s">
        <v>1199</v>
      </c>
      <c r="G3298" s="339" t="str">
        <f t="shared" si="2"/>
        <v>泉北中谷:ナベ双葉ＨＳ１(単体H1/電特A/HS))</v>
      </c>
      <c r="H3298" s="340">
        <f t="shared" si="3"/>
        <v>45.7</v>
      </c>
      <c r="I3298" s="341">
        <v>0.9</v>
      </c>
      <c r="J3298" s="332">
        <f>IFERROR(__xludf.DUMMYFUNCTION("IF(IF(COUNTIF(P$2:P3297, P3298)=0, """", INDEX(H$2:H3297,
MAX(FILTER(ROW(H$2:H3297) - ROW(H$2) + 1, P$2:P3297 = P3298))))=""単価"","""",
IF(COUNTIF(P$2:P3297, P3298)=0, """", INDEX(H$2:H3297,
MAX(FILTER(ROW(H$2:H3297) - ROW(H$2) + 1, P$2:P3297 = P3298)))))"),44.8)</f>
        <v>44.8</v>
      </c>
      <c r="N3298" s="335" t="str">
        <f>IF(MAXIFS('単価履歴'!$O:$O,'単価履歴'!$E:$E,E3298,'単価履歴'!$F:$F,F3298)=O3298,"●","")</f>
        <v/>
      </c>
      <c r="O3298" s="346">
        <v>45968.68583333334</v>
      </c>
      <c r="P3298" s="334" t="str">
        <f t="shared" si="4"/>
        <v>泉北中谷:ナベ双葉ＨＳ１(単体H1/電特A/HS))</v>
      </c>
    </row>
    <row r="3299" ht="15.75" customHeight="1">
      <c r="A3299" s="335" t="s">
        <v>4446</v>
      </c>
      <c r="B3299" s="336">
        <v>45968.0</v>
      </c>
      <c r="C3299" s="335" t="s">
        <v>31</v>
      </c>
      <c r="D3299" s="335" t="s">
        <v>64</v>
      </c>
      <c r="E3299" s="337" t="str">
        <f t="shared" si="1"/>
        <v>泉北中谷:ナベ双葉</v>
      </c>
      <c r="F3299" s="338" t="s">
        <v>116</v>
      </c>
      <c r="G3299" s="339" t="str">
        <f t="shared" si="2"/>
        <v>泉北中谷:ナベ双葉Ｈ２(特級)</v>
      </c>
      <c r="H3299" s="340">
        <f t="shared" si="3"/>
        <v>42.2</v>
      </c>
      <c r="I3299" s="341">
        <v>0.7</v>
      </c>
      <c r="J3299" s="332">
        <f>IFERROR(__xludf.DUMMYFUNCTION("IF(IF(COUNTIF(P$2:P3298, P3299)=0, """", INDEX(H$2:H3298,
MAX(FILTER(ROW(H$2:H3298) - ROW(H$2) + 1, P$2:P3298 = P3299))))=""単価"","""",
IF(COUNTIF(P$2:P3298, P3299)=0, """", INDEX(H$2:H3298,
MAX(FILTER(ROW(H$2:H3298) - ROW(H$2) + 1, P$2:P3298 = P3299)))))"),41.5)</f>
        <v>41.5</v>
      </c>
      <c r="N3299" s="335" t="str">
        <f>IF(MAXIFS('単価履歴'!$O:$O,'単価履歴'!$E:$E,E3299,'単価履歴'!$F:$F,F3299)=O3299,"●","")</f>
        <v/>
      </c>
      <c r="O3299" s="346">
        <v>45968.68607638888</v>
      </c>
      <c r="P3299" s="334" t="str">
        <f t="shared" si="4"/>
        <v>泉北中谷:ナベ双葉Ｈ２(特級)</v>
      </c>
    </row>
    <row r="3300" ht="15.75" customHeight="1">
      <c r="A3300" s="335" t="s">
        <v>4447</v>
      </c>
      <c r="B3300" s="336">
        <v>45968.0</v>
      </c>
      <c r="C3300" s="335" t="s">
        <v>31</v>
      </c>
      <c r="D3300" s="335" t="s">
        <v>64</v>
      </c>
      <c r="E3300" s="337" t="str">
        <f t="shared" si="1"/>
        <v>泉北中谷:ナベ双葉</v>
      </c>
      <c r="F3300" s="338" t="s">
        <v>130</v>
      </c>
      <c r="G3300" s="339" t="str">
        <f t="shared" si="2"/>
        <v>泉北中谷:ナベ双葉新断Ａ</v>
      </c>
      <c r="H3300" s="340">
        <f t="shared" si="3"/>
        <v>42.5</v>
      </c>
      <c r="I3300" s="341">
        <v>0.5</v>
      </c>
      <c r="J3300" s="332">
        <f>IFERROR(__xludf.DUMMYFUNCTION("IF(IF(COUNTIF(P$2:P3299, P3300)=0, """", INDEX(H$2:H3299,
MAX(FILTER(ROW(H$2:H3299) - ROW(H$2) + 1, P$2:P3299 = P3300))))=""単価"","""",
IF(COUNTIF(P$2:P3299, P3300)=0, """", INDEX(H$2:H3299,
MAX(FILTER(ROW(H$2:H3299) - ROW(H$2) + 1, P$2:P3299 = P3300)))))"),42.0)</f>
        <v>42</v>
      </c>
      <c r="N3300" s="335" t="str">
        <f>IF(MAXIFS('単価履歴'!$O:$O,'単価履歴'!$E:$E,E3300,'単価履歴'!$F:$F,F3300)=O3300,"●","")</f>
        <v/>
      </c>
      <c r="O3300" s="346">
        <v>45968.686307870375</v>
      </c>
      <c r="P3300" s="334" t="str">
        <f t="shared" si="4"/>
        <v>泉北中谷:ナベ双葉新断Ａ</v>
      </c>
    </row>
    <row r="3301" ht="15.75" customHeight="1">
      <c r="A3301" s="335" t="s">
        <v>4448</v>
      </c>
      <c r="B3301" s="336">
        <v>45973.0</v>
      </c>
      <c r="C3301" s="335" t="s">
        <v>531</v>
      </c>
      <c r="D3301" s="335" t="s">
        <v>77</v>
      </c>
      <c r="E3301" s="337" t="str">
        <f t="shared" si="1"/>
        <v>東鐵関西:直納</v>
      </c>
      <c r="F3301" s="338" t="s">
        <v>1199</v>
      </c>
      <c r="G3301" s="339" t="str">
        <f t="shared" si="2"/>
        <v>東鐵関西:直納ＨＳ１(単体H1/電特A/HS))</v>
      </c>
      <c r="H3301" s="340">
        <f t="shared" si="3"/>
        <v>46</v>
      </c>
      <c r="I3301" s="341">
        <v>0.5</v>
      </c>
      <c r="J3301" s="332">
        <f>IFERROR(__xludf.DUMMYFUNCTION("IF(IF(COUNTIF(P$2:P3300, P3301)=0, """", INDEX(H$2:H3300,
MAX(FILTER(ROW(H$2:H3300) - ROW(H$2) + 1, P$2:P3300 = P3301))))=""単価"","""",
IF(COUNTIF(P$2:P3300, P3301)=0, """", INDEX(H$2:H3300,
MAX(FILTER(ROW(H$2:H3300) - ROW(H$2) + 1, P$2:P3300 = P3301)))))"),45.5)</f>
        <v>45.5</v>
      </c>
      <c r="N3301" s="335" t="str">
        <f>IF(MAXIFS('単価履歴'!$O:$O,'単価履歴'!$E:$E,E3301,'単価履歴'!$F:$F,F3301)=O3301,"●","")</f>
        <v/>
      </c>
      <c r="O3301" s="346">
        <v>45973.270266203705</v>
      </c>
      <c r="P3301" s="334" t="str">
        <f t="shared" si="4"/>
        <v>東鐵関西:直納ＨＳ１(単体H1/電特A/HS))</v>
      </c>
    </row>
    <row r="3302" ht="15.75" customHeight="1">
      <c r="A3302" s="335" t="s">
        <v>4449</v>
      </c>
      <c r="B3302" s="336">
        <v>45973.0</v>
      </c>
      <c r="C3302" s="335" t="s">
        <v>531</v>
      </c>
      <c r="D3302" s="335" t="s">
        <v>77</v>
      </c>
      <c r="E3302" s="337" t="str">
        <f t="shared" si="1"/>
        <v>東鐵関西:直納</v>
      </c>
      <c r="F3302" s="338" t="s">
        <v>111</v>
      </c>
      <c r="G3302" s="339" t="str">
        <f t="shared" si="2"/>
        <v>東鐵関西:直納Ｈ１(特A)</v>
      </c>
      <c r="H3302" s="340">
        <f t="shared" si="3"/>
        <v>45.5</v>
      </c>
      <c r="I3302" s="341">
        <v>0.5</v>
      </c>
      <c r="J3302" s="332">
        <f>IFERROR(__xludf.DUMMYFUNCTION("IF(IF(COUNTIF(P$2:P3301, P3302)=0, """", INDEX(H$2:H3301,
MAX(FILTER(ROW(H$2:H3301) - ROW(H$2) + 1, P$2:P3301 = P3302))))=""単価"","""",
IF(COUNTIF(P$2:P3301, P3302)=0, """", INDEX(H$2:H3301,
MAX(FILTER(ROW(H$2:H3301) - ROW(H$2) + 1, P$2:P3301 = P3302)))))"),45.0)</f>
        <v>45</v>
      </c>
      <c r="N3302" s="335" t="str">
        <f>IF(MAXIFS('単価履歴'!$O:$O,'単価履歴'!$E:$E,E3302,'単価履歴'!$F:$F,F3302)=O3302,"●","")</f>
        <v/>
      </c>
      <c r="O3302" s="346">
        <v>45973.270266203705</v>
      </c>
      <c r="P3302" s="334" t="str">
        <f t="shared" si="4"/>
        <v>東鐵関西:直納Ｈ１(特A)</v>
      </c>
    </row>
    <row r="3303" ht="15.75" customHeight="1">
      <c r="A3303" s="335" t="s">
        <v>4450</v>
      </c>
      <c r="B3303" s="336">
        <v>45973.0</v>
      </c>
      <c r="C3303" s="335" t="s">
        <v>531</v>
      </c>
      <c r="D3303" s="335" t="s">
        <v>77</v>
      </c>
      <c r="E3303" s="337" t="str">
        <f t="shared" si="1"/>
        <v>東鐵関西:直納</v>
      </c>
      <c r="F3303" s="338" t="s">
        <v>116</v>
      </c>
      <c r="G3303" s="339" t="str">
        <f t="shared" si="2"/>
        <v>東鐵関西:直納Ｈ２(特級)</v>
      </c>
      <c r="H3303" s="340">
        <f t="shared" si="3"/>
        <v>43.5</v>
      </c>
      <c r="I3303" s="341">
        <v>0.5</v>
      </c>
      <c r="J3303" s="332">
        <f>IFERROR(__xludf.DUMMYFUNCTION("IF(IF(COUNTIF(P$2:P3302, P3303)=0, """", INDEX(H$2:H3302,
MAX(FILTER(ROW(H$2:H3302) - ROW(H$2) + 1, P$2:P3302 = P3303))))=""単価"","""",
IF(COUNTIF(P$2:P3302, P3303)=0, """", INDEX(H$2:H3302,
MAX(FILTER(ROW(H$2:H3302) - ROW(H$2) + 1, P$2:P3302 = P3303)))))"),43.0)</f>
        <v>43</v>
      </c>
      <c r="N3303" s="335" t="str">
        <f>IF(MAXIFS('単価履歴'!$O:$O,'単価履歴'!$E:$E,E3303,'単価履歴'!$F:$F,F3303)=O3303,"●","")</f>
        <v/>
      </c>
      <c r="O3303" s="346">
        <v>45973.270266203705</v>
      </c>
      <c r="P3303" s="334" t="str">
        <f t="shared" si="4"/>
        <v>東鐵関西:直納Ｈ２(特級)</v>
      </c>
    </row>
    <row r="3304" ht="15.75" customHeight="1">
      <c r="A3304" s="335" t="s">
        <v>4451</v>
      </c>
      <c r="B3304" s="336">
        <v>45973.0</v>
      </c>
      <c r="C3304" s="335" t="s">
        <v>531</v>
      </c>
      <c r="D3304" s="335" t="s">
        <v>77</v>
      </c>
      <c r="E3304" s="337" t="str">
        <f t="shared" si="1"/>
        <v>東鐵関西:直納</v>
      </c>
      <c r="F3304" s="338" t="s">
        <v>119</v>
      </c>
      <c r="G3304" s="339" t="str">
        <f t="shared" si="2"/>
        <v>東鐵関西:直納Ｈ３(1級)</v>
      </c>
      <c r="H3304" s="340">
        <f t="shared" si="3"/>
        <v>43.5</v>
      </c>
      <c r="I3304" s="341">
        <v>0.5</v>
      </c>
      <c r="J3304" s="332">
        <f>IFERROR(__xludf.DUMMYFUNCTION("IF(IF(COUNTIF(P$2:P3303, P3304)=0, """", INDEX(H$2:H3303,
MAX(FILTER(ROW(H$2:H3303) - ROW(H$2) + 1, P$2:P3303 = P3304))))=""単価"","""",
IF(COUNTIF(P$2:P3303, P3304)=0, """", INDEX(H$2:H3303,
MAX(FILTER(ROW(H$2:H3303) - ROW(H$2) + 1, P$2:P3303 = P3304)))))"),43.0)</f>
        <v>43</v>
      </c>
      <c r="N3304" s="335" t="str">
        <f>IF(MAXIFS('単価履歴'!$O:$O,'単価履歴'!$E:$E,E3304,'単価履歴'!$F:$F,F3304)=O3304,"●","")</f>
        <v/>
      </c>
      <c r="O3304" s="346">
        <v>45973.270266203705</v>
      </c>
      <c r="P3304" s="334" t="str">
        <f t="shared" si="4"/>
        <v>東鐵関西:直納Ｈ３(1級)</v>
      </c>
    </row>
    <row r="3305" ht="15.75" customHeight="1">
      <c r="A3305" s="335" t="s">
        <v>4452</v>
      </c>
      <c r="B3305" s="336">
        <v>45973.0</v>
      </c>
      <c r="C3305" s="335" t="s">
        <v>531</v>
      </c>
      <c r="D3305" s="335" t="s">
        <v>77</v>
      </c>
      <c r="E3305" s="337" t="str">
        <f t="shared" si="1"/>
        <v>東鐵関西:直納</v>
      </c>
      <c r="F3305" s="338" t="s">
        <v>122</v>
      </c>
      <c r="G3305" s="339" t="str">
        <f t="shared" si="2"/>
        <v>東鐵関西:直納Ｌ１(2級)</v>
      </c>
      <c r="H3305" s="340">
        <f t="shared" si="3"/>
        <v>41.5</v>
      </c>
      <c r="I3305" s="341">
        <v>0.5</v>
      </c>
      <c r="J3305" s="332">
        <f>IFERROR(__xludf.DUMMYFUNCTION("IF(IF(COUNTIF(P$2:P3304, P3305)=0, """", INDEX(H$2:H3304,
MAX(FILTER(ROW(H$2:H3304) - ROW(H$2) + 1, P$2:P3304 = P3305))))=""単価"","""",
IF(COUNTIF(P$2:P3304, P3305)=0, """", INDEX(H$2:H3304,
MAX(FILTER(ROW(H$2:H3304) - ROW(H$2) + 1, P$2:P3304 = P3305)))))"),41.0)</f>
        <v>41</v>
      </c>
      <c r="N3305" s="335" t="str">
        <f>IF(MAXIFS('単価履歴'!$O:$O,'単価履歴'!$E:$E,E3305,'単価履歴'!$F:$F,F3305)=O3305,"●","")</f>
        <v/>
      </c>
      <c r="O3305" s="346">
        <v>45973.270266203705</v>
      </c>
      <c r="P3305" s="334" t="str">
        <f t="shared" si="4"/>
        <v>東鐵関西:直納Ｌ１(2級)</v>
      </c>
    </row>
    <row r="3306" ht="15.75" customHeight="1">
      <c r="A3306" s="335" t="s">
        <v>4453</v>
      </c>
      <c r="B3306" s="336">
        <v>45973.0</v>
      </c>
      <c r="C3306" s="335" t="s">
        <v>531</v>
      </c>
      <c r="D3306" s="335" t="s">
        <v>77</v>
      </c>
      <c r="E3306" s="337" t="str">
        <f t="shared" si="1"/>
        <v>東鐵関西:直納</v>
      </c>
      <c r="F3306" s="338" t="s">
        <v>573</v>
      </c>
      <c r="G3306" s="339" t="str">
        <f t="shared" si="2"/>
        <v>東鐵関西:直納Ｌ２(H4･級外･L1ﾊﾞﾗ)</v>
      </c>
      <c r="H3306" s="340">
        <f t="shared" si="3"/>
        <v>38.5</v>
      </c>
      <c r="I3306" s="341">
        <v>0.5</v>
      </c>
      <c r="J3306" s="332">
        <f>IFERROR(__xludf.DUMMYFUNCTION("IF(IF(COUNTIF(P$2:P3305, P3306)=0, """", INDEX(H$2:H3305,
MAX(FILTER(ROW(H$2:H3305) - ROW(H$2) + 1, P$2:P3305 = P3306))))=""単価"","""",
IF(COUNTIF(P$2:P3305, P3306)=0, """", INDEX(H$2:H3305,
MAX(FILTER(ROW(H$2:H3305) - ROW(H$2) + 1, P$2:P3305 = P3306)))))"),38.0)</f>
        <v>38</v>
      </c>
      <c r="N3306" s="335" t="str">
        <f>IF(MAXIFS('単価履歴'!$O:$O,'単価履歴'!$E:$E,E3306,'単価履歴'!$F:$F,F3306)=O3306,"●","")</f>
        <v/>
      </c>
      <c r="O3306" s="346">
        <v>45973.270266203705</v>
      </c>
      <c r="P3306" s="334" t="str">
        <f t="shared" si="4"/>
        <v>東鐵関西:直納Ｌ２(H4･級外･L1ﾊﾞﾗ)</v>
      </c>
    </row>
    <row r="3307" ht="15.75" customHeight="1">
      <c r="A3307" s="335" t="s">
        <v>4454</v>
      </c>
      <c r="B3307" s="336">
        <v>45973.0</v>
      </c>
      <c r="C3307" s="335" t="s">
        <v>531</v>
      </c>
      <c r="D3307" s="335" t="s">
        <v>77</v>
      </c>
      <c r="E3307" s="337" t="str">
        <f t="shared" si="1"/>
        <v>東鐵関西:直納</v>
      </c>
      <c r="F3307" s="338" t="s">
        <v>145</v>
      </c>
      <c r="G3307" s="339" t="str">
        <f t="shared" si="2"/>
        <v>東鐵関西:直納シュレＡ</v>
      </c>
      <c r="H3307" s="340">
        <f t="shared" si="3"/>
        <v>45.5</v>
      </c>
      <c r="I3307" s="341">
        <v>0.5</v>
      </c>
      <c r="J3307" s="332">
        <f>IFERROR(__xludf.DUMMYFUNCTION("IF(IF(COUNTIF(P$2:P3306, P3307)=0, """", INDEX(H$2:H3306,
MAX(FILTER(ROW(H$2:H3306) - ROW(H$2) + 1, P$2:P3306 = P3307))))=""単価"","""",
IF(COUNTIF(P$2:P3306, P3307)=0, """", INDEX(H$2:H3306,
MAX(FILTER(ROW(H$2:H3306) - ROW(H$2) + 1, P$2:P3306 = P3307)))))"),45.0)</f>
        <v>45</v>
      </c>
      <c r="N3307" s="335" t="str">
        <f>IF(MAXIFS('単価履歴'!$O:$O,'単価履歴'!$E:$E,E3307,'単価履歴'!$F:$F,F3307)=O3307,"●","")</f>
        <v/>
      </c>
      <c r="O3307" s="346">
        <v>45973.270266203705</v>
      </c>
      <c r="P3307" s="334" t="str">
        <f t="shared" si="4"/>
        <v>東鐵関西:直納シュレＡ</v>
      </c>
    </row>
    <row r="3308" ht="15.75" customHeight="1">
      <c r="A3308" s="335" t="s">
        <v>4455</v>
      </c>
      <c r="B3308" s="336">
        <v>45973.0</v>
      </c>
      <c r="C3308" s="335" t="s">
        <v>531</v>
      </c>
      <c r="D3308" s="335" t="s">
        <v>77</v>
      </c>
      <c r="E3308" s="337" t="str">
        <f t="shared" si="1"/>
        <v>東鐵関西:直納</v>
      </c>
      <c r="F3308" s="338" t="s">
        <v>151</v>
      </c>
      <c r="G3308" s="339" t="str">
        <f t="shared" si="2"/>
        <v>東鐵関西:直納シュレＣ</v>
      </c>
      <c r="H3308" s="340">
        <f t="shared" si="3"/>
        <v>44.5</v>
      </c>
      <c r="I3308" s="341">
        <v>0.5</v>
      </c>
      <c r="J3308" s="332">
        <f>IFERROR(__xludf.DUMMYFUNCTION("IF(IF(COUNTIF(P$2:P3307, P3308)=0, """", INDEX(H$2:H3307,
MAX(FILTER(ROW(H$2:H3307) - ROW(H$2) + 1, P$2:P3307 = P3308))))=""単価"","""",
IF(COUNTIF(P$2:P3307, P3308)=0, """", INDEX(H$2:H3307,
MAX(FILTER(ROW(H$2:H3307) - ROW(H$2) + 1, P$2:P3307 = P3308)))))"),44.0)</f>
        <v>44</v>
      </c>
      <c r="N3308" s="335" t="str">
        <f>IF(MAXIFS('単価履歴'!$O:$O,'単価履歴'!$E:$E,E3308,'単価履歴'!$F:$F,F3308)=O3308,"●","")</f>
        <v/>
      </c>
      <c r="O3308" s="346">
        <v>45973.270266203705</v>
      </c>
      <c r="P3308" s="334" t="str">
        <f t="shared" si="4"/>
        <v>東鐵関西:直納シュレＣ</v>
      </c>
    </row>
    <row r="3309" ht="15.75" customHeight="1">
      <c r="A3309" s="335" t="s">
        <v>4456</v>
      </c>
      <c r="B3309" s="336">
        <v>45973.0</v>
      </c>
      <c r="C3309" s="335" t="s">
        <v>532</v>
      </c>
      <c r="D3309" s="335" t="s">
        <v>77</v>
      </c>
      <c r="E3309" s="337" t="str">
        <f t="shared" si="1"/>
        <v>東鐵岡山:直納</v>
      </c>
      <c r="F3309" s="338" t="s">
        <v>1199</v>
      </c>
      <c r="G3309" s="339" t="str">
        <f t="shared" si="2"/>
        <v>東鐵岡山:直納ＨＳ１(単体H1/電特A/HS))</v>
      </c>
      <c r="H3309" s="340">
        <f t="shared" si="3"/>
        <v>46</v>
      </c>
      <c r="I3309" s="341">
        <v>0.5</v>
      </c>
      <c r="J3309" s="332">
        <f>IFERROR(__xludf.DUMMYFUNCTION("IF(IF(COUNTIF(P$2:P3308, P3309)=0, """", INDEX(H$2:H3308,
MAX(FILTER(ROW(H$2:H3308) - ROW(H$2) + 1, P$2:P3308 = P3309))))=""単価"","""",
IF(COUNTIF(P$2:P3308, P3309)=0, """", INDEX(H$2:H3308,
MAX(FILTER(ROW(H$2:H3308) - ROW(H$2) + 1, P$2:P3308 = P3309)))))"),45.5)</f>
        <v>45.5</v>
      </c>
      <c r="N3309" s="335" t="str">
        <f>IF(MAXIFS('単価履歴'!$O:$O,'単価履歴'!$E:$E,E3309,'単価履歴'!$F:$F,F3309)=O3309,"●","")</f>
        <v/>
      </c>
      <c r="O3309" s="346">
        <v>45973.27056712963</v>
      </c>
      <c r="P3309" s="334" t="str">
        <f t="shared" si="4"/>
        <v>東鐵岡山:直納ＨＳ１(単体H1/電特A/HS))</v>
      </c>
    </row>
    <row r="3310" ht="15.75" customHeight="1">
      <c r="A3310" s="335" t="s">
        <v>4457</v>
      </c>
      <c r="B3310" s="336">
        <v>45973.0</v>
      </c>
      <c r="C3310" s="335" t="s">
        <v>532</v>
      </c>
      <c r="D3310" s="335" t="s">
        <v>77</v>
      </c>
      <c r="E3310" s="337" t="str">
        <f t="shared" si="1"/>
        <v>東鐵岡山:直納</v>
      </c>
      <c r="F3310" s="338" t="s">
        <v>111</v>
      </c>
      <c r="G3310" s="339" t="str">
        <f t="shared" si="2"/>
        <v>東鐵岡山:直納Ｈ１(特A)</v>
      </c>
      <c r="H3310" s="340">
        <f t="shared" si="3"/>
        <v>44.7</v>
      </c>
      <c r="I3310" s="341">
        <v>0.5</v>
      </c>
      <c r="J3310" s="332">
        <f>IFERROR(__xludf.DUMMYFUNCTION("IF(IF(COUNTIF(P$2:P3309, P3310)=0, """", INDEX(H$2:H3309,
MAX(FILTER(ROW(H$2:H3309) - ROW(H$2) + 1, P$2:P3309 = P3310))))=""単価"","""",
IF(COUNTIF(P$2:P3309, P3310)=0, """", INDEX(H$2:H3309,
MAX(FILTER(ROW(H$2:H3309) - ROW(H$2) + 1, P$2:P3309 = P3310)))))"),44.2)</f>
        <v>44.2</v>
      </c>
      <c r="N3310" s="335" t="str">
        <f>IF(MAXIFS('単価履歴'!$O:$O,'単価履歴'!$E:$E,E3310,'単価履歴'!$F:$F,F3310)=O3310,"●","")</f>
        <v/>
      </c>
      <c r="O3310" s="346">
        <v>45973.27056712963</v>
      </c>
      <c r="P3310" s="334" t="str">
        <f t="shared" si="4"/>
        <v>東鐵岡山:直納Ｈ１(特A)</v>
      </c>
    </row>
    <row r="3311" ht="15.75" customHeight="1">
      <c r="A3311" s="335" t="s">
        <v>4458</v>
      </c>
      <c r="B3311" s="336">
        <v>45973.0</v>
      </c>
      <c r="C3311" s="335" t="s">
        <v>532</v>
      </c>
      <c r="D3311" s="335" t="s">
        <v>77</v>
      </c>
      <c r="E3311" s="337" t="str">
        <f t="shared" si="1"/>
        <v>東鐵岡山:直納</v>
      </c>
      <c r="F3311" s="338" t="s">
        <v>116</v>
      </c>
      <c r="G3311" s="339" t="str">
        <f t="shared" si="2"/>
        <v>東鐵岡山:直納Ｈ２(特級)</v>
      </c>
      <c r="H3311" s="340">
        <f t="shared" si="3"/>
        <v>44</v>
      </c>
      <c r="I3311" s="341">
        <v>0.5</v>
      </c>
      <c r="J3311" s="332">
        <f>IFERROR(__xludf.DUMMYFUNCTION("IF(IF(COUNTIF(P$2:P3310, P3311)=0, """", INDEX(H$2:H3310,
MAX(FILTER(ROW(H$2:H3310) - ROW(H$2) + 1, P$2:P3310 = P3311))))=""単価"","""",
IF(COUNTIF(P$2:P3310, P3311)=0, """", INDEX(H$2:H3310,
MAX(FILTER(ROW(H$2:H3310) - ROW(H$2) + 1, P$2:P3310 = P3311)))))"),43.5)</f>
        <v>43.5</v>
      </c>
      <c r="N3311" s="335" t="str">
        <f>IF(MAXIFS('単価履歴'!$O:$O,'単価履歴'!$E:$E,E3311,'単価履歴'!$F:$F,F3311)=O3311,"●","")</f>
        <v/>
      </c>
      <c r="O3311" s="346">
        <v>45973.27056712963</v>
      </c>
      <c r="P3311" s="334" t="str">
        <f t="shared" si="4"/>
        <v>東鐵岡山:直納Ｈ２(特級)</v>
      </c>
    </row>
    <row r="3312" ht="15.75" customHeight="1">
      <c r="A3312" s="335" t="s">
        <v>4459</v>
      </c>
      <c r="B3312" s="336">
        <v>45973.0</v>
      </c>
      <c r="C3312" s="335" t="s">
        <v>532</v>
      </c>
      <c r="D3312" s="335" t="s">
        <v>77</v>
      </c>
      <c r="E3312" s="337" t="str">
        <f t="shared" si="1"/>
        <v>東鐵岡山:直納</v>
      </c>
      <c r="F3312" s="338" t="s">
        <v>119</v>
      </c>
      <c r="G3312" s="339" t="str">
        <f t="shared" si="2"/>
        <v>東鐵岡山:直納Ｈ３(1級)</v>
      </c>
      <c r="H3312" s="340">
        <f t="shared" si="3"/>
        <v>43.5</v>
      </c>
      <c r="I3312" s="341">
        <v>0.5</v>
      </c>
      <c r="J3312" s="332">
        <f>IFERROR(__xludf.DUMMYFUNCTION("IF(IF(COUNTIF(P$2:P3311, P3312)=0, """", INDEX(H$2:H3311,
MAX(FILTER(ROW(H$2:H3311) - ROW(H$2) + 1, P$2:P3311 = P3312))))=""単価"","""",
IF(COUNTIF(P$2:P3311, P3312)=0, """", INDEX(H$2:H3311,
MAX(FILTER(ROW(H$2:H3311) - ROW(H$2) + 1, P$2:P3311 = P3312)))))"),43.0)</f>
        <v>43</v>
      </c>
      <c r="N3312" s="335" t="str">
        <f>IF(MAXIFS('単価履歴'!$O:$O,'単価履歴'!$E:$E,E3312,'単価履歴'!$F:$F,F3312)=O3312,"●","")</f>
        <v/>
      </c>
      <c r="O3312" s="346">
        <v>45973.27056712963</v>
      </c>
      <c r="P3312" s="334" t="str">
        <f t="shared" si="4"/>
        <v>東鐵岡山:直納Ｈ３(1級)</v>
      </c>
    </row>
    <row r="3313" ht="15.75" customHeight="1">
      <c r="A3313" s="335" t="s">
        <v>4460</v>
      </c>
      <c r="B3313" s="336">
        <v>45973.0</v>
      </c>
      <c r="C3313" s="335" t="s">
        <v>532</v>
      </c>
      <c r="D3313" s="335" t="s">
        <v>77</v>
      </c>
      <c r="E3313" s="337" t="str">
        <f t="shared" si="1"/>
        <v>東鐵岡山:直納</v>
      </c>
      <c r="F3313" s="338" t="s">
        <v>122</v>
      </c>
      <c r="G3313" s="339" t="str">
        <f t="shared" si="2"/>
        <v>東鐵岡山:直納Ｌ１(2級)</v>
      </c>
      <c r="H3313" s="340">
        <f t="shared" si="3"/>
        <v>42</v>
      </c>
      <c r="I3313" s="341">
        <v>0.5</v>
      </c>
      <c r="J3313" s="332">
        <f>IFERROR(__xludf.DUMMYFUNCTION("IF(IF(COUNTIF(P$2:P3312, P3313)=0, """", INDEX(H$2:H3312,
MAX(FILTER(ROW(H$2:H3312) - ROW(H$2) + 1, P$2:P3312 = P3313))))=""単価"","""",
IF(COUNTIF(P$2:P3312, P3313)=0, """", INDEX(H$2:H3312,
MAX(FILTER(ROW(H$2:H3312) - ROW(H$2) + 1, P$2:P3312 = P3313)))))"),41.5)</f>
        <v>41.5</v>
      </c>
      <c r="N3313" s="335" t="str">
        <f>IF(MAXIFS('単価履歴'!$O:$O,'単価履歴'!$E:$E,E3313,'単価履歴'!$F:$F,F3313)=O3313,"●","")</f>
        <v/>
      </c>
      <c r="O3313" s="346">
        <v>45973.27056712963</v>
      </c>
      <c r="P3313" s="334" t="str">
        <f t="shared" si="4"/>
        <v>東鐵岡山:直納Ｌ１(2級)</v>
      </c>
    </row>
    <row r="3314" ht="15.75" customHeight="1">
      <c r="A3314" s="335" t="s">
        <v>4461</v>
      </c>
      <c r="B3314" s="336">
        <v>45973.0</v>
      </c>
      <c r="C3314" s="335" t="s">
        <v>532</v>
      </c>
      <c r="D3314" s="335" t="s">
        <v>77</v>
      </c>
      <c r="E3314" s="337" t="str">
        <f t="shared" si="1"/>
        <v>東鐵岡山:直納</v>
      </c>
      <c r="F3314" s="338" t="s">
        <v>573</v>
      </c>
      <c r="G3314" s="339" t="str">
        <f t="shared" si="2"/>
        <v>東鐵岡山:直納Ｌ２(H4･級外･L1ﾊﾞﾗ)</v>
      </c>
      <c r="H3314" s="340">
        <f t="shared" si="3"/>
        <v>39</v>
      </c>
      <c r="I3314" s="341">
        <v>0.5</v>
      </c>
      <c r="J3314" s="332">
        <f>IFERROR(__xludf.DUMMYFUNCTION("IF(IF(COUNTIF(P$2:P3313, P3314)=0, """", INDEX(H$2:H3313,
MAX(FILTER(ROW(H$2:H3313) - ROW(H$2) + 1, P$2:P3313 = P3314))))=""単価"","""",
IF(COUNTIF(P$2:P3313, P3314)=0, """", INDEX(H$2:H3313,
MAX(FILTER(ROW(H$2:H3313) - ROW(H$2) + 1, P$2:P3313 = P3314)))))"),38.5)</f>
        <v>38.5</v>
      </c>
      <c r="N3314" s="335" t="str">
        <f>IF(MAXIFS('単価履歴'!$O:$O,'単価履歴'!$E:$E,E3314,'単価履歴'!$F:$F,F3314)=O3314,"●","")</f>
        <v/>
      </c>
      <c r="O3314" s="346">
        <v>45973.27056712963</v>
      </c>
      <c r="P3314" s="334" t="str">
        <f t="shared" si="4"/>
        <v>東鐵岡山:直納Ｌ２(H4･級外･L1ﾊﾞﾗ)</v>
      </c>
    </row>
    <row r="3315" ht="15.75" customHeight="1">
      <c r="A3315" s="335" t="s">
        <v>4462</v>
      </c>
      <c r="B3315" s="336">
        <v>45973.0</v>
      </c>
      <c r="C3315" s="335" t="s">
        <v>532</v>
      </c>
      <c r="D3315" s="335" t="s">
        <v>77</v>
      </c>
      <c r="E3315" s="337" t="str">
        <f t="shared" si="1"/>
        <v>東鐵岡山:直納</v>
      </c>
      <c r="F3315" s="338" t="s">
        <v>145</v>
      </c>
      <c r="G3315" s="339" t="str">
        <f t="shared" si="2"/>
        <v>東鐵岡山:直納シュレＡ</v>
      </c>
      <c r="H3315" s="340">
        <f t="shared" si="3"/>
        <v>44.5</v>
      </c>
      <c r="I3315" s="341">
        <v>0.5</v>
      </c>
      <c r="J3315" s="332">
        <f>IFERROR(__xludf.DUMMYFUNCTION("IF(IF(COUNTIF(P$2:P3314, P3315)=0, """", INDEX(H$2:H3314,
MAX(FILTER(ROW(H$2:H3314) - ROW(H$2) + 1, P$2:P3314 = P3315))))=""単価"","""",
IF(COUNTIF(P$2:P3314, P3315)=0, """", INDEX(H$2:H3314,
MAX(FILTER(ROW(H$2:H3314) - ROW(H$2) + 1, P$2:P3314 = P3315)))))"),44.0)</f>
        <v>44</v>
      </c>
      <c r="N3315" s="335" t="str">
        <f>IF(MAXIFS('単価履歴'!$O:$O,'単価履歴'!$E:$E,E3315,'単価履歴'!$F:$F,F3315)=O3315,"●","")</f>
        <v/>
      </c>
      <c r="O3315" s="346">
        <v>45973.27056712963</v>
      </c>
      <c r="P3315" s="334" t="str">
        <f t="shared" si="4"/>
        <v>東鐵岡山:直納シュレＡ</v>
      </c>
    </row>
    <row r="3316" ht="15.75" customHeight="1">
      <c r="A3316" s="335" t="s">
        <v>4463</v>
      </c>
      <c r="B3316" s="336">
        <v>45973.0</v>
      </c>
      <c r="C3316" s="335" t="s">
        <v>532</v>
      </c>
      <c r="D3316" s="335" t="s">
        <v>77</v>
      </c>
      <c r="E3316" s="337" t="str">
        <f t="shared" si="1"/>
        <v>東鐵岡山:直納</v>
      </c>
      <c r="F3316" s="338" t="s">
        <v>151</v>
      </c>
      <c r="G3316" s="339" t="str">
        <f t="shared" si="2"/>
        <v>東鐵岡山:直納シュレＣ</v>
      </c>
      <c r="H3316" s="340">
        <f t="shared" si="3"/>
        <v>44</v>
      </c>
      <c r="I3316" s="341">
        <v>0.5</v>
      </c>
      <c r="J3316" s="332">
        <f>IFERROR(__xludf.DUMMYFUNCTION("IF(IF(COUNTIF(P$2:P3315, P3316)=0, """", INDEX(H$2:H3315,
MAX(FILTER(ROW(H$2:H3315) - ROW(H$2) + 1, P$2:P3315 = P3316))))=""単価"","""",
IF(COUNTIF(P$2:P3315, P3316)=0, """", INDEX(H$2:H3315,
MAX(FILTER(ROW(H$2:H3315) - ROW(H$2) + 1, P$2:P3315 = P3316)))))"),43.5)</f>
        <v>43.5</v>
      </c>
      <c r="N3316" s="335" t="str">
        <f>IF(MAXIFS('単価履歴'!$O:$O,'単価履歴'!$E:$E,E3316,'単価履歴'!$F:$F,F3316)=O3316,"●","")</f>
        <v/>
      </c>
      <c r="O3316" s="346">
        <v>45973.27056712963</v>
      </c>
      <c r="P3316" s="334" t="str">
        <f t="shared" si="4"/>
        <v>東鐵岡山:直納シュレＣ</v>
      </c>
    </row>
    <row r="3317" ht="15.75" customHeight="1">
      <c r="A3317" s="335" t="s">
        <v>4464</v>
      </c>
      <c r="B3317" s="336">
        <v>45973.0</v>
      </c>
      <c r="C3317" s="335" t="s">
        <v>532</v>
      </c>
      <c r="D3317" s="335" t="s">
        <v>77</v>
      </c>
      <c r="E3317" s="337" t="str">
        <f t="shared" si="1"/>
        <v>東鐵岡山:直納</v>
      </c>
      <c r="F3317" s="338" t="s">
        <v>130</v>
      </c>
      <c r="G3317" s="339" t="str">
        <f t="shared" si="2"/>
        <v>東鐵岡山:直納新断Ａ</v>
      </c>
      <c r="H3317" s="340">
        <f t="shared" si="3"/>
        <v>45</v>
      </c>
      <c r="I3317" s="341">
        <v>0.5</v>
      </c>
      <c r="J3317" s="332">
        <f>IFERROR(__xludf.DUMMYFUNCTION("IF(IF(COUNTIF(P$2:P3316, P3317)=0, """", INDEX(H$2:H3316,
MAX(FILTER(ROW(H$2:H3316) - ROW(H$2) + 1, P$2:P3316 = P3317))))=""単価"","""",
IF(COUNTIF(P$2:P3316, P3317)=0, """", INDEX(H$2:H3316,
MAX(FILTER(ROW(H$2:H3316) - ROW(H$2) + 1, P$2:P3316 = P3317)))))"),44.5)</f>
        <v>44.5</v>
      </c>
      <c r="N3317" s="335" t="str">
        <f>IF(MAXIFS('単価履歴'!$O:$O,'単価履歴'!$E:$E,E3317,'単価履歴'!$F:$F,F3317)=O3317,"●","")</f>
        <v/>
      </c>
      <c r="O3317" s="346">
        <v>45973.27056712963</v>
      </c>
      <c r="P3317" s="334" t="str">
        <f t="shared" si="4"/>
        <v>東鐵岡山:直納新断Ａ</v>
      </c>
    </row>
    <row r="3318" ht="15.75" customHeight="1">
      <c r="A3318" s="335" t="s">
        <v>4465</v>
      </c>
      <c r="B3318" s="336">
        <v>45973.0</v>
      </c>
      <c r="C3318" s="335" t="s">
        <v>532</v>
      </c>
      <c r="D3318" s="335" t="s">
        <v>77</v>
      </c>
      <c r="E3318" s="337" t="str">
        <f t="shared" si="1"/>
        <v>東鐵岡山:直納</v>
      </c>
      <c r="F3318" s="338" t="s">
        <v>131</v>
      </c>
      <c r="G3318" s="339" t="str">
        <f t="shared" si="2"/>
        <v>東鐵岡山:直納新断Ｂ</v>
      </c>
      <c r="H3318" s="340">
        <f t="shared" si="3"/>
        <v>45</v>
      </c>
      <c r="I3318" s="341">
        <v>0.5</v>
      </c>
      <c r="J3318" s="332">
        <f>IFERROR(__xludf.DUMMYFUNCTION("IF(IF(COUNTIF(P$2:P3317, P3318)=0, """", INDEX(H$2:H3317,
MAX(FILTER(ROW(H$2:H3317) - ROW(H$2) + 1, P$2:P3317 = P3318))))=""単価"","""",
IF(COUNTIF(P$2:P3317, P3318)=0, """", INDEX(H$2:H3317,
MAX(FILTER(ROW(H$2:H3317) - ROW(H$2) + 1, P$2:P3317 = P3318)))))"),44.5)</f>
        <v>44.5</v>
      </c>
      <c r="N3318" s="335" t="str">
        <f>IF(MAXIFS('単価履歴'!$O:$O,'単価履歴'!$E:$E,E3318,'単価履歴'!$F:$F,F3318)=O3318,"●","")</f>
        <v/>
      </c>
      <c r="O3318" s="346">
        <v>45973.27056712963</v>
      </c>
      <c r="P3318" s="334" t="str">
        <f t="shared" si="4"/>
        <v>東鐵岡山:直納新断Ｂ</v>
      </c>
    </row>
    <row r="3319" ht="15.75" customHeight="1">
      <c r="A3319" s="335" t="s">
        <v>4466</v>
      </c>
      <c r="B3319" s="336">
        <v>45973.0</v>
      </c>
      <c r="C3319" s="335" t="s">
        <v>532</v>
      </c>
      <c r="D3319" s="335" t="s">
        <v>77</v>
      </c>
      <c r="E3319" s="337" t="str">
        <f t="shared" si="1"/>
        <v>東鐵岡山:直納</v>
      </c>
      <c r="F3319" s="338" t="s">
        <v>575</v>
      </c>
      <c r="G3319" s="339" t="str">
        <f t="shared" si="2"/>
        <v>東鐵岡山:直納鋼ダライＡ</v>
      </c>
      <c r="H3319" s="340">
        <f t="shared" si="3"/>
        <v>40</v>
      </c>
      <c r="I3319" s="341">
        <v>0.5</v>
      </c>
      <c r="J3319" s="332">
        <f>IFERROR(__xludf.DUMMYFUNCTION("IF(IF(COUNTIF(P$2:P3318, P3319)=0, """", INDEX(H$2:H3318,
MAX(FILTER(ROW(H$2:H3318) - ROW(H$2) + 1, P$2:P3318 = P3319))))=""単価"","""",
IF(COUNTIF(P$2:P3318, P3319)=0, """", INDEX(H$2:H3318,
MAX(FILTER(ROW(H$2:H3318) - ROW(H$2) + 1, P$2:P3318 = P3319)))))"),39.5)</f>
        <v>39.5</v>
      </c>
      <c r="N3319" s="335" t="str">
        <f>IF(MAXIFS('単価履歴'!$O:$O,'単価履歴'!$E:$E,E3319,'単価履歴'!$F:$F,F3319)=O3319,"●","")</f>
        <v/>
      </c>
      <c r="O3319" s="346">
        <v>45973.27056712963</v>
      </c>
      <c r="P3319" s="334" t="str">
        <f t="shared" si="4"/>
        <v>東鐵岡山:直納鋼ダライＡ</v>
      </c>
    </row>
    <row r="3320" ht="15.75" customHeight="1">
      <c r="A3320" s="335" t="s">
        <v>4467</v>
      </c>
      <c r="B3320" s="336">
        <v>45973.0</v>
      </c>
      <c r="C3320" s="335" t="s">
        <v>532</v>
      </c>
      <c r="D3320" s="335" t="s">
        <v>77</v>
      </c>
      <c r="E3320" s="337" t="str">
        <f t="shared" si="1"/>
        <v>東鐵岡山:直納</v>
      </c>
      <c r="F3320" s="338" t="s">
        <v>25</v>
      </c>
      <c r="G3320" s="339" t="str">
        <f t="shared" si="2"/>
        <v>東鐵岡山:直納銑ダライ</v>
      </c>
      <c r="H3320" s="340">
        <f t="shared" si="3"/>
        <v>36.5</v>
      </c>
      <c r="I3320" s="341">
        <v>0.5</v>
      </c>
      <c r="J3320" s="332">
        <f>IFERROR(__xludf.DUMMYFUNCTION("IF(IF(COUNTIF(P$2:P3319, P3320)=0, """", INDEX(H$2:H3319,
MAX(FILTER(ROW(H$2:H3319) - ROW(H$2) + 1, P$2:P3319 = P3320))))=""単価"","""",
IF(COUNTIF(P$2:P3319, P3320)=0, """", INDEX(H$2:H3319,
MAX(FILTER(ROW(H$2:H3319) - ROW(H$2) + 1, P$2:P3319 = P3320)))))"),36.0)</f>
        <v>36</v>
      </c>
      <c r="N3320" s="335" t="str">
        <f>IF(MAXIFS('単価履歴'!$O:$O,'単価履歴'!$E:$E,E3320,'単価履歴'!$F:$F,F3320)=O3320,"●","")</f>
        <v/>
      </c>
      <c r="O3320" s="346">
        <v>45973.27056712963</v>
      </c>
      <c r="P3320" s="334" t="str">
        <f t="shared" si="4"/>
        <v>東鐵岡山:直納銑ダライ</v>
      </c>
    </row>
    <row r="3321" ht="15.75" customHeight="1">
      <c r="A3321" s="335" t="s">
        <v>4468</v>
      </c>
      <c r="B3321" s="336">
        <v>45973.0</v>
      </c>
      <c r="C3321" s="335" t="s">
        <v>532</v>
      </c>
      <c r="D3321" s="335" t="s">
        <v>77</v>
      </c>
      <c r="E3321" s="337" t="str">
        <f t="shared" si="1"/>
        <v>東鐵岡山:直納</v>
      </c>
      <c r="F3321" s="338" t="s">
        <v>154</v>
      </c>
      <c r="G3321" s="339" t="str">
        <f t="shared" si="2"/>
        <v>東鐵岡山:直納ＣＰ Ａ</v>
      </c>
      <c r="H3321" s="340">
        <f t="shared" si="3"/>
        <v>42.5</v>
      </c>
      <c r="I3321" s="341">
        <v>0.5</v>
      </c>
      <c r="J3321" s="332">
        <f>IFERROR(__xludf.DUMMYFUNCTION("IF(IF(COUNTIF(P$2:P3320, P3321)=0, """", INDEX(H$2:H3320,
MAX(FILTER(ROW(H$2:H3320) - ROW(H$2) + 1, P$2:P3320 = P3321))))=""単価"","""",
IF(COUNTIF(P$2:P3320, P3321)=0, """", INDEX(H$2:H3320,
MAX(FILTER(ROW(H$2:H3320) - ROW(H$2) + 1, P$2:P3320 = P3321)))))"),42.0)</f>
        <v>42</v>
      </c>
      <c r="N3321" s="335" t="str">
        <f>IF(MAXIFS('単価履歴'!$O:$O,'単価履歴'!$E:$E,E3321,'単価履歴'!$F:$F,F3321)=O3321,"●","")</f>
        <v/>
      </c>
      <c r="O3321" s="346">
        <v>45973.27056712963</v>
      </c>
      <c r="P3321" s="334" t="str">
        <f t="shared" si="4"/>
        <v>東鐵岡山:直納ＣＰ Ａ</v>
      </c>
    </row>
    <row r="3322" ht="15.75" customHeight="1">
      <c r="A3322" s="335" t="s">
        <v>4469</v>
      </c>
      <c r="B3322" s="336">
        <v>45973.0</v>
      </c>
      <c r="C3322" s="335" t="s">
        <v>535</v>
      </c>
      <c r="D3322" s="335" t="s">
        <v>77</v>
      </c>
      <c r="E3322" s="337" t="str">
        <f t="shared" si="1"/>
        <v>東鐵名古屋:直納</v>
      </c>
      <c r="F3322" s="338" t="s">
        <v>1199</v>
      </c>
      <c r="G3322" s="339" t="str">
        <f t="shared" si="2"/>
        <v>東鐵名古屋:直納ＨＳ１(単体H1/電特A/HS))</v>
      </c>
      <c r="H3322" s="340">
        <f t="shared" si="3"/>
        <v>46</v>
      </c>
      <c r="I3322" s="341">
        <v>0.5</v>
      </c>
      <c r="J3322" s="332">
        <f>IFERROR(__xludf.DUMMYFUNCTION("IF(IF(COUNTIF(P$2:P3321, P3322)=0, """", INDEX(H$2:H3321,
MAX(FILTER(ROW(H$2:H3321) - ROW(H$2) + 1, P$2:P3321 = P3322))))=""単価"","""",
IF(COUNTIF(P$2:P3321, P3322)=0, """", INDEX(H$2:H3321,
MAX(FILTER(ROW(H$2:H3321) - ROW(H$2) + 1, P$2:P3321 = P3322)))))"),45.5)</f>
        <v>45.5</v>
      </c>
      <c r="N3322" s="335" t="str">
        <f>IF(MAXIFS('単価履歴'!$O:$O,'単価履歴'!$E:$E,E3322,'単価履歴'!$F:$F,F3322)=O3322,"●","")</f>
        <v/>
      </c>
      <c r="O3322" s="346">
        <v>45973.270787037036</v>
      </c>
      <c r="P3322" s="334" t="str">
        <f t="shared" si="4"/>
        <v>東鐵名古屋:直納ＨＳ１(単体H1/電特A/HS))</v>
      </c>
    </row>
    <row r="3323" ht="15.75" customHeight="1">
      <c r="A3323" s="335" t="s">
        <v>4470</v>
      </c>
      <c r="B3323" s="336">
        <v>45973.0</v>
      </c>
      <c r="C3323" s="335" t="s">
        <v>535</v>
      </c>
      <c r="D3323" s="335" t="s">
        <v>77</v>
      </c>
      <c r="E3323" s="337" t="str">
        <f t="shared" si="1"/>
        <v>東鐵名古屋:直納</v>
      </c>
      <c r="F3323" s="338" t="s">
        <v>111</v>
      </c>
      <c r="G3323" s="339" t="str">
        <f t="shared" si="2"/>
        <v>東鐵名古屋:直納Ｈ１(特A)</v>
      </c>
      <c r="H3323" s="340">
        <f t="shared" si="3"/>
        <v>44.2</v>
      </c>
      <c r="I3323" s="341">
        <v>0.5</v>
      </c>
      <c r="J3323" s="332">
        <f>IFERROR(__xludf.DUMMYFUNCTION("IF(IF(COUNTIF(P$2:P3322, P3323)=0, """", INDEX(H$2:H3322,
MAX(FILTER(ROW(H$2:H3322) - ROW(H$2) + 1, P$2:P3322 = P3323))))=""単価"","""",
IF(COUNTIF(P$2:P3322, P3323)=0, """", INDEX(H$2:H3322,
MAX(FILTER(ROW(H$2:H3322) - ROW(H$2) + 1, P$2:P3322 = P3323)))))"),43.7)</f>
        <v>43.7</v>
      </c>
      <c r="N3323" s="335" t="str">
        <f>IF(MAXIFS('単価履歴'!$O:$O,'単価履歴'!$E:$E,E3323,'単価履歴'!$F:$F,F3323)=O3323,"●","")</f>
        <v/>
      </c>
      <c r="O3323" s="346">
        <v>45973.270787037036</v>
      </c>
      <c r="P3323" s="334" t="str">
        <f t="shared" si="4"/>
        <v>東鐵名古屋:直納Ｈ１(特A)</v>
      </c>
    </row>
    <row r="3324" ht="15.75" customHeight="1">
      <c r="A3324" s="335" t="s">
        <v>4471</v>
      </c>
      <c r="B3324" s="336">
        <v>45973.0</v>
      </c>
      <c r="C3324" s="335" t="s">
        <v>535</v>
      </c>
      <c r="D3324" s="335" t="s">
        <v>77</v>
      </c>
      <c r="E3324" s="337" t="str">
        <f t="shared" si="1"/>
        <v>東鐵名古屋:直納</v>
      </c>
      <c r="F3324" s="338" t="s">
        <v>116</v>
      </c>
      <c r="G3324" s="339" t="str">
        <f t="shared" si="2"/>
        <v>東鐵名古屋:直納Ｈ２(特級)</v>
      </c>
      <c r="H3324" s="340">
        <f t="shared" si="3"/>
        <v>43.5</v>
      </c>
      <c r="I3324" s="341">
        <v>0.5</v>
      </c>
      <c r="J3324" s="332">
        <f>IFERROR(__xludf.DUMMYFUNCTION("IF(IF(COUNTIF(P$2:P3323, P3324)=0, """", INDEX(H$2:H3323,
MAX(FILTER(ROW(H$2:H3323) - ROW(H$2) + 1, P$2:P3323 = P3324))))=""単価"","""",
IF(COUNTIF(P$2:P3323, P3324)=0, """", INDEX(H$2:H3323,
MAX(FILTER(ROW(H$2:H3323) - ROW(H$2) + 1, P$2:P3323 = P3324)))))"),43.0)</f>
        <v>43</v>
      </c>
      <c r="N3324" s="335" t="str">
        <f>IF(MAXIFS('単価履歴'!$O:$O,'単価履歴'!$E:$E,E3324,'単価履歴'!$F:$F,F3324)=O3324,"●","")</f>
        <v/>
      </c>
      <c r="O3324" s="346">
        <v>45973.270787037036</v>
      </c>
      <c r="P3324" s="334" t="str">
        <f t="shared" si="4"/>
        <v>東鐵名古屋:直納Ｈ２(特級)</v>
      </c>
    </row>
    <row r="3325" ht="15.75" customHeight="1">
      <c r="A3325" s="335" t="s">
        <v>4472</v>
      </c>
      <c r="B3325" s="336">
        <v>45973.0</v>
      </c>
      <c r="C3325" s="335" t="s">
        <v>535</v>
      </c>
      <c r="D3325" s="335" t="s">
        <v>77</v>
      </c>
      <c r="E3325" s="337" t="str">
        <f t="shared" si="1"/>
        <v>東鐵名古屋:直納</v>
      </c>
      <c r="F3325" s="338" t="s">
        <v>119</v>
      </c>
      <c r="G3325" s="339" t="str">
        <f t="shared" si="2"/>
        <v>東鐵名古屋:直納Ｈ３(1級)</v>
      </c>
      <c r="H3325" s="340">
        <f t="shared" si="3"/>
        <v>43</v>
      </c>
      <c r="I3325" s="341">
        <v>0.5</v>
      </c>
      <c r="J3325" s="332">
        <f>IFERROR(__xludf.DUMMYFUNCTION("IF(IF(COUNTIF(P$2:P3324, P3325)=0, """", INDEX(H$2:H3324,
MAX(FILTER(ROW(H$2:H3324) - ROW(H$2) + 1, P$2:P3324 = P3325))))=""単価"","""",
IF(COUNTIF(P$2:P3324, P3325)=0, """", INDEX(H$2:H3324,
MAX(FILTER(ROW(H$2:H3324) - ROW(H$2) + 1, P$2:P3324 = P3325)))))"),42.5)</f>
        <v>42.5</v>
      </c>
      <c r="N3325" s="335" t="str">
        <f>IF(MAXIFS('単価履歴'!$O:$O,'単価履歴'!$E:$E,E3325,'単価履歴'!$F:$F,F3325)=O3325,"●","")</f>
        <v/>
      </c>
      <c r="O3325" s="346">
        <v>45973.270787037036</v>
      </c>
      <c r="P3325" s="334" t="str">
        <f t="shared" si="4"/>
        <v>東鐵名古屋:直納Ｈ３(1級)</v>
      </c>
    </row>
    <row r="3326" ht="15.75" customHeight="1">
      <c r="A3326" s="335" t="s">
        <v>4473</v>
      </c>
      <c r="B3326" s="336">
        <v>45973.0</v>
      </c>
      <c r="C3326" s="335" t="s">
        <v>535</v>
      </c>
      <c r="D3326" s="335" t="s">
        <v>77</v>
      </c>
      <c r="E3326" s="337" t="str">
        <f t="shared" si="1"/>
        <v>東鐵名古屋:直納</v>
      </c>
      <c r="F3326" s="338" t="s">
        <v>122</v>
      </c>
      <c r="G3326" s="339" t="str">
        <f t="shared" si="2"/>
        <v>東鐵名古屋:直納Ｌ１(2級)</v>
      </c>
      <c r="H3326" s="340">
        <f t="shared" si="3"/>
        <v>41.5</v>
      </c>
      <c r="I3326" s="341">
        <v>0.5</v>
      </c>
      <c r="J3326" s="332">
        <f>IFERROR(__xludf.DUMMYFUNCTION("IF(IF(COUNTIF(P$2:P3325, P3326)=0, """", INDEX(H$2:H3325,
MAX(FILTER(ROW(H$2:H3325) - ROW(H$2) + 1, P$2:P3325 = P3326))))=""単価"","""",
IF(COUNTIF(P$2:P3325, P3326)=0, """", INDEX(H$2:H3325,
MAX(FILTER(ROW(H$2:H3325) - ROW(H$2) + 1, P$2:P3325 = P3326)))))"),41.0)</f>
        <v>41</v>
      </c>
      <c r="N3326" s="335" t="str">
        <f>IF(MAXIFS('単価履歴'!$O:$O,'単価履歴'!$E:$E,E3326,'単価履歴'!$F:$F,F3326)=O3326,"●","")</f>
        <v/>
      </c>
      <c r="O3326" s="346">
        <v>45973.270787037036</v>
      </c>
      <c r="P3326" s="334" t="str">
        <f t="shared" si="4"/>
        <v>東鐵名古屋:直納Ｌ１(2級)</v>
      </c>
    </row>
    <row r="3327" ht="15.75" customHeight="1">
      <c r="A3327" s="335" t="s">
        <v>4474</v>
      </c>
      <c r="B3327" s="336">
        <v>45973.0</v>
      </c>
      <c r="C3327" s="335" t="s">
        <v>535</v>
      </c>
      <c r="D3327" s="335" t="s">
        <v>77</v>
      </c>
      <c r="E3327" s="337" t="str">
        <f t="shared" si="1"/>
        <v>東鐵名古屋:直納</v>
      </c>
      <c r="F3327" s="338" t="s">
        <v>573</v>
      </c>
      <c r="G3327" s="339" t="str">
        <f t="shared" si="2"/>
        <v>東鐵名古屋:直納Ｌ２(H4･級外･L1ﾊﾞﾗ)</v>
      </c>
      <c r="H3327" s="340">
        <f t="shared" si="3"/>
        <v>38.5</v>
      </c>
      <c r="I3327" s="341">
        <v>0.5</v>
      </c>
      <c r="J3327" s="332">
        <f>IFERROR(__xludf.DUMMYFUNCTION("IF(IF(COUNTIF(P$2:P3326, P3327)=0, """", INDEX(H$2:H3326,
MAX(FILTER(ROW(H$2:H3326) - ROW(H$2) + 1, P$2:P3326 = P3327))))=""単価"","""",
IF(COUNTIF(P$2:P3326, P3327)=0, """", INDEX(H$2:H3326,
MAX(FILTER(ROW(H$2:H3326) - ROW(H$2) + 1, P$2:P3326 = P3327)))))"),38.0)</f>
        <v>38</v>
      </c>
      <c r="N3327" s="335" t="str">
        <f>IF(MAXIFS('単価履歴'!$O:$O,'単価履歴'!$E:$E,E3327,'単価履歴'!$F:$F,F3327)=O3327,"●","")</f>
        <v/>
      </c>
      <c r="O3327" s="346">
        <v>45973.270787037036</v>
      </c>
      <c r="P3327" s="334" t="str">
        <f t="shared" si="4"/>
        <v>東鐵名古屋:直納Ｌ２(H4･級外･L1ﾊﾞﾗ)</v>
      </c>
    </row>
    <row r="3328" ht="15.75" customHeight="1">
      <c r="A3328" s="335" t="s">
        <v>4475</v>
      </c>
      <c r="B3328" s="336">
        <v>45973.0</v>
      </c>
      <c r="C3328" s="335" t="s">
        <v>535</v>
      </c>
      <c r="D3328" s="335" t="s">
        <v>77</v>
      </c>
      <c r="E3328" s="337" t="str">
        <f t="shared" si="1"/>
        <v>東鐵名古屋:直納</v>
      </c>
      <c r="F3328" s="338" t="s">
        <v>145</v>
      </c>
      <c r="G3328" s="339" t="str">
        <f t="shared" si="2"/>
        <v>東鐵名古屋:直納シュレＡ</v>
      </c>
      <c r="H3328" s="340">
        <f t="shared" si="3"/>
        <v>44.5</v>
      </c>
      <c r="I3328" s="341">
        <v>0.5</v>
      </c>
      <c r="J3328" s="332">
        <f>IFERROR(__xludf.DUMMYFUNCTION("IF(IF(COUNTIF(P$2:P3327, P3328)=0, """", INDEX(H$2:H3327,
MAX(FILTER(ROW(H$2:H3327) - ROW(H$2) + 1, P$2:P3327 = P3328))))=""単価"","""",
IF(COUNTIF(P$2:P3327, P3328)=0, """", INDEX(H$2:H3327,
MAX(FILTER(ROW(H$2:H3327) - ROW(H$2) + 1, P$2:P3327 = P3328)))))"),44.0)</f>
        <v>44</v>
      </c>
      <c r="N3328" s="335" t="str">
        <f>IF(MAXIFS('単価履歴'!$O:$O,'単価履歴'!$E:$E,E3328,'単価履歴'!$F:$F,F3328)=O3328,"●","")</f>
        <v/>
      </c>
      <c r="O3328" s="346">
        <v>45973.270787037036</v>
      </c>
      <c r="P3328" s="334" t="str">
        <f t="shared" si="4"/>
        <v>東鐵名古屋:直納シュレＡ</v>
      </c>
    </row>
    <row r="3329" ht="15.75" customHeight="1">
      <c r="A3329" s="335" t="s">
        <v>4476</v>
      </c>
      <c r="B3329" s="336">
        <v>45973.0</v>
      </c>
      <c r="C3329" s="335" t="s">
        <v>535</v>
      </c>
      <c r="D3329" s="335" t="s">
        <v>77</v>
      </c>
      <c r="E3329" s="337" t="str">
        <f t="shared" si="1"/>
        <v>東鐵名古屋:直納</v>
      </c>
      <c r="F3329" s="338" t="s">
        <v>151</v>
      </c>
      <c r="G3329" s="339" t="str">
        <f t="shared" si="2"/>
        <v>東鐵名古屋:直納シュレＣ</v>
      </c>
      <c r="H3329" s="340">
        <f t="shared" si="3"/>
        <v>44</v>
      </c>
      <c r="I3329" s="341">
        <v>0.5</v>
      </c>
      <c r="J3329" s="332">
        <f>IFERROR(__xludf.DUMMYFUNCTION("IF(IF(COUNTIF(P$2:P3328, P3329)=0, """", INDEX(H$2:H3328,
MAX(FILTER(ROW(H$2:H3328) - ROW(H$2) + 1, P$2:P3328 = P3329))))=""単価"","""",
IF(COUNTIF(P$2:P3328, P3329)=0, """", INDEX(H$2:H3328,
MAX(FILTER(ROW(H$2:H3328) - ROW(H$2) + 1, P$2:P3328 = P3329)))))"),43.5)</f>
        <v>43.5</v>
      </c>
      <c r="N3329" s="335" t="str">
        <f>IF(MAXIFS('単価履歴'!$O:$O,'単価履歴'!$E:$E,E3329,'単価履歴'!$F:$F,F3329)=O3329,"●","")</f>
        <v/>
      </c>
      <c r="O3329" s="346">
        <v>45973.270787037036</v>
      </c>
      <c r="P3329" s="334" t="str">
        <f t="shared" si="4"/>
        <v>東鐵名古屋:直納シュレＣ</v>
      </c>
    </row>
    <row r="3330" ht="15.75" customHeight="1">
      <c r="A3330" s="335" t="s">
        <v>4477</v>
      </c>
      <c r="B3330" s="336">
        <v>45973.0</v>
      </c>
      <c r="C3330" s="335" t="s">
        <v>536</v>
      </c>
      <c r="D3330" s="335" t="s">
        <v>77</v>
      </c>
      <c r="E3330" s="337" t="str">
        <f t="shared" si="1"/>
        <v>東鐵田原:直納</v>
      </c>
      <c r="F3330" s="338" t="s">
        <v>1199</v>
      </c>
      <c r="G3330" s="339" t="str">
        <f t="shared" si="2"/>
        <v>東鐵田原:直納ＨＳ１(単体H1/電特A/HS))</v>
      </c>
      <c r="H3330" s="340">
        <f t="shared" si="3"/>
        <v>46.5</v>
      </c>
      <c r="I3330" s="341">
        <v>0.5</v>
      </c>
      <c r="J3330" s="332">
        <f>IFERROR(__xludf.DUMMYFUNCTION("IF(IF(COUNTIF(P$2:P3329, P3330)=0, """", INDEX(H$2:H3329,
MAX(FILTER(ROW(H$2:H3329) - ROW(H$2) + 1, P$2:P3329 = P3330))))=""単価"","""",
IF(COUNTIF(P$2:P3329, P3330)=0, """", INDEX(H$2:H3329,
MAX(FILTER(ROW(H$2:H3329) - ROW(H$2) + 1, P$2:P3329 = P3330)))))"),46.0)</f>
        <v>46</v>
      </c>
      <c r="N3330" s="335" t="str">
        <f>IF(MAXIFS('単価履歴'!$O:$O,'単価履歴'!$E:$E,E3330,'単価履歴'!$F:$F,F3330)=O3330,"●","")</f>
        <v/>
      </c>
      <c r="O3330" s="346">
        <v>45973.27104166667</v>
      </c>
      <c r="P3330" s="334" t="str">
        <f t="shared" si="4"/>
        <v>東鐵田原:直納ＨＳ１(単体H1/電特A/HS))</v>
      </c>
    </row>
    <row r="3331" ht="15.75" customHeight="1">
      <c r="A3331" s="335" t="s">
        <v>4478</v>
      </c>
      <c r="B3331" s="336">
        <v>45973.0</v>
      </c>
      <c r="C3331" s="335" t="s">
        <v>536</v>
      </c>
      <c r="D3331" s="335" t="s">
        <v>77</v>
      </c>
      <c r="E3331" s="337" t="str">
        <f t="shared" si="1"/>
        <v>東鐵田原:直納</v>
      </c>
      <c r="F3331" s="338" t="s">
        <v>111</v>
      </c>
      <c r="G3331" s="339" t="str">
        <f t="shared" si="2"/>
        <v>東鐵田原:直納Ｈ１(特A)</v>
      </c>
      <c r="H3331" s="340">
        <f t="shared" si="3"/>
        <v>45.7</v>
      </c>
      <c r="I3331" s="341">
        <v>0.5</v>
      </c>
      <c r="J3331" s="332">
        <f>IFERROR(__xludf.DUMMYFUNCTION("IF(IF(COUNTIF(P$2:P3330, P3331)=0, """", INDEX(H$2:H3330,
MAX(FILTER(ROW(H$2:H3330) - ROW(H$2) + 1, P$2:P3330 = P3331))))=""単価"","""",
IF(COUNTIF(P$2:P3330, P3331)=0, """", INDEX(H$2:H3330,
MAX(FILTER(ROW(H$2:H3330) - ROW(H$2) + 1, P$2:P3330 = P3331)))))"),45.2)</f>
        <v>45.2</v>
      </c>
      <c r="N3331" s="335" t="str">
        <f>IF(MAXIFS('単価履歴'!$O:$O,'単価履歴'!$E:$E,E3331,'単価履歴'!$F:$F,F3331)=O3331,"●","")</f>
        <v/>
      </c>
      <c r="O3331" s="346">
        <v>45973.27104166667</v>
      </c>
      <c r="P3331" s="334" t="str">
        <f t="shared" si="4"/>
        <v>東鐵田原:直納Ｈ１(特A)</v>
      </c>
    </row>
    <row r="3332" ht="15.75" customHeight="1">
      <c r="A3332" s="335" t="s">
        <v>4479</v>
      </c>
      <c r="B3332" s="336">
        <v>45973.0</v>
      </c>
      <c r="C3332" s="335" t="s">
        <v>536</v>
      </c>
      <c r="D3332" s="335" t="s">
        <v>77</v>
      </c>
      <c r="E3332" s="337" t="str">
        <f t="shared" si="1"/>
        <v>東鐵田原:直納</v>
      </c>
      <c r="F3332" s="338" t="s">
        <v>116</v>
      </c>
      <c r="G3332" s="339" t="str">
        <f t="shared" si="2"/>
        <v>東鐵田原:直納Ｈ２(特級)</v>
      </c>
      <c r="H3332" s="340">
        <f t="shared" si="3"/>
        <v>44</v>
      </c>
      <c r="I3332" s="341">
        <v>0.5</v>
      </c>
      <c r="J3332" s="332">
        <f>IFERROR(__xludf.DUMMYFUNCTION("IF(IF(COUNTIF(P$2:P3331, P3332)=0, """", INDEX(H$2:H3331,
MAX(FILTER(ROW(H$2:H3331) - ROW(H$2) + 1, P$2:P3331 = P3332))))=""単価"","""",
IF(COUNTIF(P$2:P3331, P3332)=0, """", INDEX(H$2:H3331,
MAX(FILTER(ROW(H$2:H3331) - ROW(H$2) + 1, P$2:P3331 = P3332)))))"),43.5)</f>
        <v>43.5</v>
      </c>
      <c r="N3332" s="335" t="str">
        <f>IF(MAXIFS('単価履歴'!$O:$O,'単価履歴'!$E:$E,E3332,'単価履歴'!$F:$F,F3332)=O3332,"●","")</f>
        <v/>
      </c>
      <c r="O3332" s="346">
        <v>45973.27104166667</v>
      </c>
      <c r="P3332" s="334" t="str">
        <f t="shared" si="4"/>
        <v>東鐵田原:直納Ｈ２(特級)</v>
      </c>
    </row>
    <row r="3333" ht="15.75" customHeight="1">
      <c r="A3333" s="335" t="s">
        <v>4480</v>
      </c>
      <c r="B3333" s="336">
        <v>45973.0</v>
      </c>
      <c r="C3333" s="335" t="s">
        <v>536</v>
      </c>
      <c r="D3333" s="335" t="s">
        <v>77</v>
      </c>
      <c r="E3333" s="337" t="str">
        <f t="shared" si="1"/>
        <v>東鐵田原:直納</v>
      </c>
      <c r="F3333" s="338" t="s">
        <v>119</v>
      </c>
      <c r="G3333" s="339" t="str">
        <f t="shared" si="2"/>
        <v>東鐵田原:直納Ｈ３(1級)</v>
      </c>
      <c r="H3333" s="340">
        <f t="shared" si="3"/>
        <v>43.5</v>
      </c>
      <c r="I3333" s="341">
        <v>0.5</v>
      </c>
      <c r="J3333" s="332">
        <f>IFERROR(__xludf.DUMMYFUNCTION("IF(IF(COUNTIF(P$2:P3332, P3333)=0, """", INDEX(H$2:H3332,
MAX(FILTER(ROW(H$2:H3332) - ROW(H$2) + 1, P$2:P3332 = P3333))))=""単価"","""",
IF(COUNTIF(P$2:P3332, P3333)=0, """", INDEX(H$2:H3332,
MAX(FILTER(ROW(H$2:H3332) - ROW(H$2) + 1, P$2:P3332 = P3333)))))"),43.0)</f>
        <v>43</v>
      </c>
      <c r="N3333" s="335" t="str">
        <f>IF(MAXIFS('単価履歴'!$O:$O,'単価履歴'!$E:$E,E3333,'単価履歴'!$F:$F,F3333)=O3333,"●","")</f>
        <v/>
      </c>
      <c r="O3333" s="346">
        <v>45973.27104166667</v>
      </c>
      <c r="P3333" s="334" t="str">
        <f t="shared" si="4"/>
        <v>東鐵田原:直納Ｈ３(1級)</v>
      </c>
    </row>
    <row r="3334" ht="15.75" customHeight="1">
      <c r="A3334" s="335" t="s">
        <v>4481</v>
      </c>
      <c r="B3334" s="336">
        <v>45973.0</v>
      </c>
      <c r="C3334" s="335" t="s">
        <v>536</v>
      </c>
      <c r="D3334" s="335" t="s">
        <v>77</v>
      </c>
      <c r="E3334" s="337" t="str">
        <f t="shared" si="1"/>
        <v>東鐵田原:直納</v>
      </c>
      <c r="F3334" s="338" t="s">
        <v>122</v>
      </c>
      <c r="G3334" s="339" t="str">
        <f t="shared" si="2"/>
        <v>東鐵田原:直納Ｌ１(2級)</v>
      </c>
      <c r="H3334" s="340">
        <f t="shared" si="3"/>
        <v>42</v>
      </c>
      <c r="I3334" s="341">
        <v>0.5</v>
      </c>
      <c r="J3334" s="332">
        <f>IFERROR(__xludf.DUMMYFUNCTION("IF(IF(COUNTIF(P$2:P3333, P3334)=0, """", INDEX(H$2:H3333,
MAX(FILTER(ROW(H$2:H3333) - ROW(H$2) + 1, P$2:P3333 = P3334))))=""単価"","""",
IF(COUNTIF(P$2:P3333, P3334)=0, """", INDEX(H$2:H3333,
MAX(FILTER(ROW(H$2:H3333) - ROW(H$2) + 1, P$2:P3333 = P3334)))))"),41.5)</f>
        <v>41.5</v>
      </c>
      <c r="N3334" s="335" t="str">
        <f>IF(MAXIFS('単価履歴'!$O:$O,'単価履歴'!$E:$E,E3334,'単価履歴'!$F:$F,F3334)=O3334,"●","")</f>
        <v/>
      </c>
      <c r="O3334" s="346">
        <v>45973.27104166667</v>
      </c>
      <c r="P3334" s="334" t="str">
        <f t="shared" si="4"/>
        <v>東鐵田原:直納Ｌ１(2級)</v>
      </c>
    </row>
    <row r="3335" ht="15.75" customHeight="1">
      <c r="A3335" s="335" t="s">
        <v>4482</v>
      </c>
      <c r="B3335" s="336">
        <v>45973.0</v>
      </c>
      <c r="C3335" s="335" t="s">
        <v>536</v>
      </c>
      <c r="D3335" s="335" t="s">
        <v>77</v>
      </c>
      <c r="E3335" s="337" t="str">
        <f t="shared" si="1"/>
        <v>東鐵田原:直納</v>
      </c>
      <c r="F3335" s="338" t="s">
        <v>573</v>
      </c>
      <c r="G3335" s="339" t="str">
        <f t="shared" si="2"/>
        <v>東鐵田原:直納Ｌ２(H4･級外･L1ﾊﾞﾗ)</v>
      </c>
      <c r="H3335" s="340">
        <f t="shared" si="3"/>
        <v>39</v>
      </c>
      <c r="I3335" s="341">
        <v>0.5</v>
      </c>
      <c r="J3335" s="332">
        <f>IFERROR(__xludf.DUMMYFUNCTION("IF(IF(COUNTIF(P$2:P3334, P3335)=0, """", INDEX(H$2:H3334,
MAX(FILTER(ROW(H$2:H3334) - ROW(H$2) + 1, P$2:P3334 = P3335))))=""単価"","""",
IF(COUNTIF(P$2:P3334, P3335)=0, """", INDEX(H$2:H3334,
MAX(FILTER(ROW(H$2:H3334) - ROW(H$2) + 1, P$2:P3334 = P3335)))))"),38.5)</f>
        <v>38.5</v>
      </c>
      <c r="N3335" s="335" t="str">
        <f>IF(MAXIFS('単価履歴'!$O:$O,'単価履歴'!$E:$E,E3335,'単価履歴'!$F:$F,F3335)=O3335,"●","")</f>
        <v/>
      </c>
      <c r="O3335" s="346">
        <v>45973.27104166667</v>
      </c>
      <c r="P3335" s="334" t="str">
        <f t="shared" si="4"/>
        <v>東鐵田原:直納Ｌ２(H4･級外･L1ﾊﾞﾗ)</v>
      </c>
    </row>
    <row r="3336" ht="15.75" customHeight="1">
      <c r="A3336" s="335" t="s">
        <v>4483</v>
      </c>
      <c r="B3336" s="336">
        <v>45973.0</v>
      </c>
      <c r="C3336" s="335" t="s">
        <v>536</v>
      </c>
      <c r="D3336" s="335" t="s">
        <v>77</v>
      </c>
      <c r="E3336" s="337" t="str">
        <f t="shared" si="1"/>
        <v>東鐵田原:直納</v>
      </c>
      <c r="F3336" s="338" t="s">
        <v>130</v>
      </c>
      <c r="G3336" s="339" t="str">
        <f t="shared" si="2"/>
        <v>東鐵田原:直納新断Ａ</v>
      </c>
      <c r="H3336" s="340">
        <f t="shared" si="3"/>
        <v>46</v>
      </c>
      <c r="I3336" s="341">
        <v>0.5</v>
      </c>
      <c r="J3336" s="332">
        <f>IFERROR(__xludf.DUMMYFUNCTION("IF(IF(COUNTIF(P$2:P3335, P3336)=0, """", INDEX(H$2:H3335,
MAX(FILTER(ROW(H$2:H3335) - ROW(H$2) + 1, P$2:P3335 = P3336))))=""単価"","""",
IF(COUNTIF(P$2:P3335, P3336)=0, """", INDEX(H$2:H3335,
MAX(FILTER(ROW(H$2:H3335) - ROW(H$2) + 1, P$2:P3335 = P3336)))))"),45.5)</f>
        <v>45.5</v>
      </c>
      <c r="N3336" s="335" t="str">
        <f>IF(MAXIFS('単価履歴'!$O:$O,'単価履歴'!$E:$E,E3336,'単価履歴'!$F:$F,F3336)=O3336,"●","")</f>
        <v/>
      </c>
      <c r="O3336" s="346">
        <v>45973.27104166667</v>
      </c>
      <c r="P3336" s="334" t="str">
        <f t="shared" si="4"/>
        <v>東鐵田原:直納新断Ａ</v>
      </c>
    </row>
    <row r="3337" ht="15.75" customHeight="1">
      <c r="A3337" s="335" t="s">
        <v>4484</v>
      </c>
      <c r="B3337" s="336">
        <v>45973.0</v>
      </c>
      <c r="C3337" s="335" t="s">
        <v>536</v>
      </c>
      <c r="D3337" s="335" t="s">
        <v>77</v>
      </c>
      <c r="E3337" s="337" t="str">
        <f t="shared" si="1"/>
        <v>東鐵田原:直納</v>
      </c>
      <c r="F3337" s="338" t="s">
        <v>131</v>
      </c>
      <c r="G3337" s="339" t="str">
        <f t="shared" si="2"/>
        <v>東鐵田原:直納新断Ｂ</v>
      </c>
      <c r="H3337" s="340">
        <f t="shared" si="3"/>
        <v>46</v>
      </c>
      <c r="I3337" s="341">
        <v>0.5</v>
      </c>
      <c r="J3337" s="332">
        <f>IFERROR(__xludf.DUMMYFUNCTION("IF(IF(COUNTIF(P$2:P3336, P3337)=0, """", INDEX(H$2:H3336,
MAX(FILTER(ROW(H$2:H3336) - ROW(H$2) + 1, P$2:P3336 = P3337))))=""単価"","""",
IF(COUNTIF(P$2:P3336, P3337)=0, """", INDEX(H$2:H3336,
MAX(FILTER(ROW(H$2:H3336) - ROW(H$2) + 1, P$2:P3336 = P3337)))))"),45.5)</f>
        <v>45.5</v>
      </c>
      <c r="N3337" s="335" t="str">
        <f>IF(MAXIFS('単価履歴'!$O:$O,'単価履歴'!$E:$E,E3337,'単価履歴'!$F:$F,F3337)=O3337,"●","")</f>
        <v/>
      </c>
      <c r="O3337" s="346">
        <v>45973.27104166667</v>
      </c>
      <c r="P3337" s="334" t="str">
        <f t="shared" si="4"/>
        <v>東鐵田原:直納新断Ｂ</v>
      </c>
    </row>
    <row r="3338" ht="15.75" customHeight="1">
      <c r="A3338" s="335" t="s">
        <v>4485</v>
      </c>
      <c r="B3338" s="336">
        <v>45973.0</v>
      </c>
      <c r="C3338" s="335" t="s">
        <v>536</v>
      </c>
      <c r="D3338" s="335" t="s">
        <v>77</v>
      </c>
      <c r="E3338" s="337" t="str">
        <f t="shared" si="1"/>
        <v>東鐵田原:直納</v>
      </c>
      <c r="F3338" s="338" t="s">
        <v>575</v>
      </c>
      <c r="G3338" s="339" t="str">
        <f t="shared" si="2"/>
        <v>東鐵田原:直納鋼ダライＡ</v>
      </c>
      <c r="H3338" s="340">
        <f t="shared" si="3"/>
        <v>42.5</v>
      </c>
      <c r="I3338" s="341">
        <v>0.5</v>
      </c>
      <c r="J3338" s="332">
        <f>IFERROR(__xludf.DUMMYFUNCTION("IF(IF(COUNTIF(P$2:P3337, P3338)=0, """", INDEX(H$2:H3337,
MAX(FILTER(ROW(H$2:H3337) - ROW(H$2) + 1, P$2:P3337 = P3338))))=""単価"","""",
IF(COUNTIF(P$2:P3337, P3338)=0, """", INDEX(H$2:H3337,
MAX(FILTER(ROW(H$2:H3337) - ROW(H$2) + 1, P$2:P3337 = P3338)))))"),42.0)</f>
        <v>42</v>
      </c>
      <c r="N3338" s="335" t="str">
        <f>IF(MAXIFS('単価履歴'!$O:$O,'単価履歴'!$E:$E,E3338,'単価履歴'!$F:$F,F3338)=O3338,"●","")</f>
        <v/>
      </c>
      <c r="O3338" s="346">
        <v>45973.27104166667</v>
      </c>
      <c r="P3338" s="334" t="str">
        <f t="shared" si="4"/>
        <v>東鐵田原:直納鋼ダライＡ</v>
      </c>
    </row>
    <row r="3339" ht="15.75" customHeight="1">
      <c r="A3339" s="335" t="s">
        <v>4486</v>
      </c>
      <c r="B3339" s="336">
        <v>45973.0</v>
      </c>
      <c r="C3339" s="335" t="s">
        <v>536</v>
      </c>
      <c r="D3339" s="335" t="s">
        <v>77</v>
      </c>
      <c r="E3339" s="337" t="str">
        <f t="shared" si="1"/>
        <v>東鐵田原:直納</v>
      </c>
      <c r="F3339" s="338" t="s">
        <v>145</v>
      </c>
      <c r="G3339" s="339" t="str">
        <f t="shared" si="2"/>
        <v>東鐵田原:直納シュレＡ</v>
      </c>
      <c r="H3339" s="340">
        <f t="shared" si="3"/>
        <v>45</v>
      </c>
      <c r="I3339" s="341">
        <v>0.5</v>
      </c>
      <c r="J3339" s="332">
        <f>IFERROR(__xludf.DUMMYFUNCTION("IF(IF(COUNTIF(P$2:P3338, P3339)=0, """", INDEX(H$2:H3338,
MAX(FILTER(ROW(H$2:H3338) - ROW(H$2) + 1, P$2:P3338 = P3339))))=""単価"","""",
IF(COUNTIF(P$2:P3338, P3339)=0, """", INDEX(H$2:H3338,
MAX(FILTER(ROW(H$2:H3338) - ROW(H$2) + 1, P$2:P3338 = P3339)))))"),44.5)</f>
        <v>44.5</v>
      </c>
      <c r="N3339" s="335" t="str">
        <f>IF(MAXIFS('単価履歴'!$O:$O,'単価履歴'!$E:$E,E3339,'単価履歴'!$F:$F,F3339)=O3339,"●","")</f>
        <v/>
      </c>
      <c r="O3339" s="346">
        <v>45973.27104166667</v>
      </c>
      <c r="P3339" s="334" t="str">
        <f t="shared" si="4"/>
        <v>東鐵田原:直納シュレＡ</v>
      </c>
    </row>
    <row r="3340" ht="15.75" customHeight="1">
      <c r="A3340" s="335" t="s">
        <v>4487</v>
      </c>
      <c r="B3340" s="336">
        <v>45973.0</v>
      </c>
      <c r="C3340" s="335" t="s">
        <v>536</v>
      </c>
      <c r="D3340" s="335" t="s">
        <v>77</v>
      </c>
      <c r="E3340" s="337" t="str">
        <f t="shared" si="1"/>
        <v>東鐵田原:直納</v>
      </c>
      <c r="F3340" s="338" t="s">
        <v>151</v>
      </c>
      <c r="G3340" s="339" t="str">
        <f t="shared" si="2"/>
        <v>東鐵田原:直納シュレＣ</v>
      </c>
      <c r="H3340" s="340">
        <f t="shared" si="3"/>
        <v>44.5</v>
      </c>
      <c r="I3340" s="341">
        <v>0.5</v>
      </c>
      <c r="J3340" s="332">
        <f>IFERROR(__xludf.DUMMYFUNCTION("IF(IF(COUNTIF(P$2:P3339, P3340)=0, """", INDEX(H$2:H3339,
MAX(FILTER(ROW(H$2:H3339) - ROW(H$2) + 1, P$2:P3339 = P3340))))=""単価"","""",
IF(COUNTIF(P$2:P3339, P3340)=0, """", INDEX(H$2:H3339,
MAX(FILTER(ROW(H$2:H3339) - ROW(H$2) + 1, P$2:P3339 = P3340)))))"),44.0)</f>
        <v>44</v>
      </c>
      <c r="N3340" s="335" t="str">
        <f>IF(MAXIFS('単価履歴'!$O:$O,'単価履歴'!$E:$E,E3340,'単価履歴'!$F:$F,F3340)=O3340,"●","")</f>
        <v/>
      </c>
      <c r="O3340" s="346">
        <v>45973.27104166667</v>
      </c>
      <c r="P3340" s="334" t="str">
        <f t="shared" si="4"/>
        <v>東鐵田原:直納シュレＣ</v>
      </c>
    </row>
    <row r="3341" ht="15.75" customHeight="1">
      <c r="A3341" s="335" t="s">
        <v>4488</v>
      </c>
      <c r="B3341" s="336">
        <v>45973.0</v>
      </c>
      <c r="C3341" s="335" t="s">
        <v>536</v>
      </c>
      <c r="D3341" s="335" t="s">
        <v>77</v>
      </c>
      <c r="E3341" s="337" t="str">
        <f t="shared" si="1"/>
        <v>東鐵田原:直納</v>
      </c>
      <c r="F3341" s="338" t="s">
        <v>154</v>
      </c>
      <c r="G3341" s="339" t="str">
        <f t="shared" si="2"/>
        <v>東鐵田原:直納ＣＰ Ａ</v>
      </c>
      <c r="H3341" s="340">
        <f t="shared" si="3"/>
        <v>42.5</v>
      </c>
      <c r="I3341" s="341">
        <v>0.5</v>
      </c>
      <c r="J3341" s="332">
        <f>IFERROR(__xludf.DUMMYFUNCTION("IF(IF(COUNTIF(P$2:P3340, P3341)=0, """", INDEX(H$2:H3340,
MAX(FILTER(ROW(H$2:H3340) - ROW(H$2) + 1, P$2:P3340 = P3341))))=""単価"","""",
IF(COUNTIF(P$2:P3340, P3341)=0, """", INDEX(H$2:H3340,
MAX(FILTER(ROW(H$2:H3340) - ROW(H$2) + 1, P$2:P3340 = P3341)))))"),42.0)</f>
        <v>42</v>
      </c>
      <c r="N3341" s="335" t="str">
        <f>IF(MAXIFS('単価履歴'!$O:$O,'単価履歴'!$E:$E,E3341,'単価履歴'!$F:$F,F3341)=O3341,"●","")</f>
        <v/>
      </c>
      <c r="O3341" s="346">
        <v>45973.27104166667</v>
      </c>
      <c r="P3341" s="334" t="str">
        <f t="shared" si="4"/>
        <v>東鐵田原:直納ＣＰ Ａ</v>
      </c>
    </row>
    <row r="3342" ht="15.75" customHeight="1">
      <c r="A3342" s="335" t="s">
        <v>4489</v>
      </c>
      <c r="B3342" s="336">
        <v>45973.0</v>
      </c>
      <c r="C3342" s="335" t="s">
        <v>6</v>
      </c>
      <c r="D3342" s="335" t="s">
        <v>48</v>
      </c>
      <c r="E3342" s="337" t="str">
        <f t="shared" si="1"/>
        <v>中山鋼業:ナベ</v>
      </c>
      <c r="F3342" s="338" t="s">
        <v>111</v>
      </c>
      <c r="G3342" s="339" t="str">
        <f t="shared" si="2"/>
        <v>中山鋼業:ナベＨ１(特A)</v>
      </c>
      <c r="H3342" s="340">
        <f t="shared" si="3"/>
        <v>45.5</v>
      </c>
      <c r="I3342" s="341">
        <v>0.5</v>
      </c>
      <c r="J3342" s="332">
        <f>IFERROR(__xludf.DUMMYFUNCTION("IF(IF(COUNTIF(P$2:P3341, P3342)=0, """", INDEX(H$2:H3341,
MAX(FILTER(ROW(H$2:H3341) - ROW(H$2) + 1, P$2:P3341 = P3342))))=""単価"","""",
IF(COUNTIF(P$2:P3341, P3342)=0, """", INDEX(H$2:H3341,
MAX(FILTER(ROW(H$2:H3341) - ROW(H$2) + 1, P$2:P3341 = P3342)))))"),45.0)</f>
        <v>45</v>
      </c>
      <c r="N3342" s="335" t="str">
        <f>IF(MAXIFS('単価履歴'!$O:$O,'単価履歴'!$E:$E,E3342,'単価履歴'!$F:$F,F3342)=O3342,"●","")</f>
        <v/>
      </c>
      <c r="O3342" s="346">
        <v>45973.271273148144</v>
      </c>
      <c r="P3342" s="334" t="str">
        <f t="shared" si="4"/>
        <v>中山鋼業:ナベＨ１(特A)</v>
      </c>
    </row>
    <row r="3343" ht="15.75" customHeight="1">
      <c r="A3343" s="335" t="s">
        <v>4490</v>
      </c>
      <c r="B3343" s="336">
        <v>45973.0</v>
      </c>
      <c r="C3343" s="335" t="s">
        <v>6</v>
      </c>
      <c r="D3343" s="335" t="s">
        <v>48</v>
      </c>
      <c r="E3343" s="337" t="str">
        <f t="shared" si="1"/>
        <v>中山鋼業:ナベ</v>
      </c>
      <c r="F3343" s="338" t="s">
        <v>1237</v>
      </c>
      <c r="G3343" s="339" t="str">
        <f t="shared" si="2"/>
        <v>中山鋼業:ナベＪＨ１(H2T山口)鍛造ﾊﾞﾘ</v>
      </c>
      <c r="H3343" s="340">
        <f t="shared" si="3"/>
        <v>44.7</v>
      </c>
      <c r="I3343" s="341">
        <v>0.5</v>
      </c>
      <c r="J3343" s="332">
        <f>IFERROR(__xludf.DUMMYFUNCTION("IF(IF(COUNTIF(P$2:P3342, P3343)=0, """", INDEX(H$2:H3342,
MAX(FILTER(ROW(H$2:H3342) - ROW(H$2) + 1, P$2:P3342 = P3343))))=""単価"","""",
IF(COUNTIF(P$2:P3342, P3343)=0, """", INDEX(H$2:H3342,
MAX(FILTER(ROW(H$2:H3342) - ROW(H$2) + 1, P$2:P3342 = P3343)))))"),44.2)</f>
        <v>44.2</v>
      </c>
      <c r="N3343" s="335" t="str">
        <f>IF(MAXIFS('単価履歴'!$O:$O,'単価履歴'!$E:$E,E3343,'単価履歴'!$F:$F,F3343)=O3343,"●","")</f>
        <v/>
      </c>
      <c r="O3343" s="346">
        <v>45973.271273148144</v>
      </c>
      <c r="P3343" s="334" t="str">
        <f t="shared" si="4"/>
        <v>中山鋼業:ナベＪＨ１(H2T山口)鍛造ﾊﾞﾘ</v>
      </c>
    </row>
    <row r="3344" ht="15.75" customHeight="1">
      <c r="A3344" s="335" t="s">
        <v>4491</v>
      </c>
      <c r="B3344" s="336">
        <v>45973.0</v>
      </c>
      <c r="C3344" s="335" t="s">
        <v>6</v>
      </c>
      <c r="D3344" s="335" t="s">
        <v>48</v>
      </c>
      <c r="E3344" s="337" t="str">
        <f t="shared" si="1"/>
        <v>中山鋼業:ナベ</v>
      </c>
      <c r="F3344" s="338" t="s">
        <v>116</v>
      </c>
      <c r="G3344" s="339" t="str">
        <f t="shared" si="2"/>
        <v>中山鋼業:ナベＨ２(特級)</v>
      </c>
      <c r="H3344" s="340">
        <f t="shared" si="3"/>
        <v>43.5</v>
      </c>
      <c r="I3344" s="341">
        <v>0.5</v>
      </c>
      <c r="J3344" s="332">
        <f>IFERROR(__xludf.DUMMYFUNCTION("IF(IF(COUNTIF(P$2:P3343, P3344)=0, """", INDEX(H$2:H3343,
MAX(FILTER(ROW(H$2:H3343) - ROW(H$2) + 1, P$2:P3343 = P3344))))=""単価"","""",
IF(COUNTIF(P$2:P3343, P3344)=0, """", INDEX(H$2:H3343,
MAX(FILTER(ROW(H$2:H3343) - ROW(H$2) + 1, P$2:P3343 = P3344)))))"),43.0)</f>
        <v>43</v>
      </c>
      <c r="N3344" s="335" t="str">
        <f>IF(MAXIFS('単価履歴'!$O:$O,'単価履歴'!$E:$E,E3344,'単価履歴'!$F:$F,F3344)=O3344,"●","")</f>
        <v/>
      </c>
      <c r="O3344" s="346">
        <v>45973.271273148144</v>
      </c>
      <c r="P3344" s="334" t="str">
        <f t="shared" si="4"/>
        <v>中山鋼業:ナベＨ２(特級)</v>
      </c>
    </row>
    <row r="3345" ht="15.75" customHeight="1">
      <c r="A3345" s="335" t="s">
        <v>4492</v>
      </c>
      <c r="B3345" s="336">
        <v>45973.0</v>
      </c>
      <c r="C3345" s="335" t="s">
        <v>6</v>
      </c>
      <c r="D3345" s="335" t="s">
        <v>48</v>
      </c>
      <c r="E3345" s="337" t="str">
        <f t="shared" si="1"/>
        <v>中山鋼業:ナベ</v>
      </c>
      <c r="F3345" s="338" t="s">
        <v>119</v>
      </c>
      <c r="G3345" s="339" t="str">
        <f t="shared" si="2"/>
        <v>中山鋼業:ナベＨ３(1級)</v>
      </c>
      <c r="H3345" s="340">
        <f t="shared" si="3"/>
        <v>42</v>
      </c>
      <c r="I3345" s="341">
        <v>0.5</v>
      </c>
      <c r="J3345" s="332">
        <f>IFERROR(__xludf.DUMMYFUNCTION("IF(IF(COUNTIF(P$2:P3344, P3345)=0, """", INDEX(H$2:H3344,
MAX(FILTER(ROW(H$2:H3344) - ROW(H$2) + 1, P$2:P3344 = P3345))))=""単価"","""",
IF(COUNTIF(P$2:P3344, P3345)=0, """", INDEX(H$2:H3344,
MAX(FILTER(ROW(H$2:H3344) - ROW(H$2) + 1, P$2:P3344 = P3345)))))"),41.5)</f>
        <v>41.5</v>
      </c>
      <c r="N3345" s="335" t="str">
        <f>IF(MAXIFS('単価履歴'!$O:$O,'単価履歴'!$E:$E,E3345,'単価履歴'!$F:$F,F3345)=O3345,"●","")</f>
        <v/>
      </c>
      <c r="O3345" s="346">
        <v>45973.271273148144</v>
      </c>
      <c r="P3345" s="334" t="str">
        <f t="shared" si="4"/>
        <v>中山鋼業:ナベＨ３(1級)</v>
      </c>
    </row>
    <row r="3346" ht="15.75" customHeight="1">
      <c r="A3346" s="335" t="s">
        <v>4493</v>
      </c>
      <c r="B3346" s="336">
        <v>45973.0</v>
      </c>
      <c r="C3346" s="335" t="s">
        <v>6</v>
      </c>
      <c r="D3346" s="335" t="s">
        <v>48</v>
      </c>
      <c r="E3346" s="337" t="str">
        <f t="shared" si="1"/>
        <v>中山鋼業:ナベ</v>
      </c>
      <c r="F3346" s="338" t="s">
        <v>122</v>
      </c>
      <c r="G3346" s="339" t="str">
        <f t="shared" si="2"/>
        <v>中山鋼業:ナベＬ１(2級)</v>
      </c>
      <c r="H3346" s="340">
        <f t="shared" si="3"/>
        <v>41.5</v>
      </c>
      <c r="I3346" s="341">
        <v>0.5</v>
      </c>
      <c r="J3346" s="332">
        <f>IFERROR(__xludf.DUMMYFUNCTION("IF(IF(COUNTIF(P$2:P3345, P3346)=0, """", INDEX(H$2:H3345,
MAX(FILTER(ROW(H$2:H3345) - ROW(H$2) + 1, P$2:P3345 = P3346))))=""単価"","""",
IF(COUNTIF(P$2:P3345, P3346)=0, """", INDEX(H$2:H3345,
MAX(FILTER(ROW(H$2:H3345) - ROW(H$2) + 1, P$2:P3345 = P3346)))))"),41.0)</f>
        <v>41</v>
      </c>
      <c r="N3346" s="335" t="str">
        <f>IF(MAXIFS('単価履歴'!$O:$O,'単価履歴'!$E:$E,E3346,'単価履歴'!$F:$F,F3346)=O3346,"●","")</f>
        <v/>
      </c>
      <c r="O3346" s="346">
        <v>45973.271273148144</v>
      </c>
      <c r="P3346" s="334" t="str">
        <f t="shared" si="4"/>
        <v>中山鋼業:ナベＬ１(2級)</v>
      </c>
    </row>
    <row r="3347" ht="15.75" customHeight="1">
      <c r="A3347" s="335" t="s">
        <v>4494</v>
      </c>
      <c r="B3347" s="336">
        <v>45973.0</v>
      </c>
      <c r="C3347" s="335" t="s">
        <v>6</v>
      </c>
      <c r="D3347" s="335" t="s">
        <v>48</v>
      </c>
      <c r="E3347" s="337" t="str">
        <f t="shared" si="1"/>
        <v>中山鋼業:ナベ</v>
      </c>
      <c r="F3347" s="338" t="s">
        <v>573</v>
      </c>
      <c r="G3347" s="339" t="str">
        <f t="shared" si="2"/>
        <v>中山鋼業:ナベＬ２(H4･級外･L1ﾊﾞﾗ)</v>
      </c>
      <c r="H3347" s="340">
        <f t="shared" si="3"/>
        <v>38</v>
      </c>
      <c r="I3347" s="341">
        <v>0.5</v>
      </c>
      <c r="J3347" s="332">
        <f>IFERROR(__xludf.DUMMYFUNCTION("IF(IF(COUNTIF(P$2:P3346, P3347)=0, """", INDEX(H$2:H3346,
MAX(FILTER(ROW(H$2:H3346) - ROW(H$2) + 1, P$2:P3346 = P3347))))=""単価"","""",
IF(COUNTIF(P$2:P3346, P3347)=0, """", INDEX(H$2:H3346,
MAX(FILTER(ROW(H$2:H3346) - ROW(H$2) + 1, P$2:P3346 = P3347)))))"),37.5)</f>
        <v>37.5</v>
      </c>
      <c r="N3347" s="335" t="str">
        <f>IF(MAXIFS('単価履歴'!$O:$O,'単価履歴'!$E:$E,E3347,'単価履歴'!$F:$F,F3347)=O3347,"●","")</f>
        <v/>
      </c>
      <c r="O3347" s="346">
        <v>45973.271273148144</v>
      </c>
      <c r="P3347" s="334" t="str">
        <f t="shared" si="4"/>
        <v>中山鋼業:ナベＬ２(H4･級外･L1ﾊﾞﾗ)</v>
      </c>
    </row>
    <row r="3348" ht="15.75" customHeight="1">
      <c r="A3348" s="335" t="s">
        <v>4495</v>
      </c>
      <c r="B3348" s="336">
        <v>45973.0</v>
      </c>
      <c r="C3348" s="335" t="s">
        <v>6</v>
      </c>
      <c r="D3348" s="335" t="s">
        <v>48</v>
      </c>
      <c r="E3348" s="337" t="str">
        <f t="shared" si="1"/>
        <v>中山鋼業:ナベ</v>
      </c>
      <c r="F3348" s="338" t="s">
        <v>130</v>
      </c>
      <c r="G3348" s="339" t="str">
        <f t="shared" si="2"/>
        <v>中山鋼業:ナベ新断Ａ</v>
      </c>
      <c r="H3348" s="340">
        <f t="shared" si="3"/>
        <v>1.5</v>
      </c>
      <c r="I3348" s="341">
        <v>0.5</v>
      </c>
      <c r="J3348" s="332">
        <f>IFERROR(__xludf.DUMMYFUNCTION("IF(IF(COUNTIF(P$2:P3347, P3348)=0, """", INDEX(H$2:H3347,
MAX(FILTER(ROW(H$2:H3347) - ROW(H$2) + 1, P$2:P3347 = P3348))))=""単価"","""",
IF(COUNTIF(P$2:P3347, P3348)=0, """", INDEX(H$2:H3347,
MAX(FILTER(ROW(H$2:H3347) - ROW(H$2) + 1, P$2:P3347 = P3348)))))"),1.0)</f>
        <v>1</v>
      </c>
      <c r="N3348" s="335" t="str">
        <f>IF(MAXIFS('単価履歴'!$O:$O,'単価履歴'!$E:$E,E3348,'単価履歴'!$F:$F,F3348)=O3348,"●","")</f>
        <v/>
      </c>
      <c r="O3348" s="346">
        <v>45973.271273148144</v>
      </c>
      <c r="P3348" s="334" t="str">
        <f t="shared" si="4"/>
        <v>中山鋼業:ナベ新断Ａ</v>
      </c>
    </row>
    <row r="3349" ht="15.75" customHeight="1">
      <c r="A3349" s="335" t="s">
        <v>4496</v>
      </c>
      <c r="B3349" s="336">
        <v>45973.0</v>
      </c>
      <c r="C3349" s="335" t="s">
        <v>6</v>
      </c>
      <c r="D3349" s="335" t="s">
        <v>48</v>
      </c>
      <c r="E3349" s="337" t="str">
        <f t="shared" si="1"/>
        <v>中山鋼業:ナベ</v>
      </c>
      <c r="F3349" s="338" t="s">
        <v>575</v>
      </c>
      <c r="G3349" s="339" t="str">
        <f t="shared" si="2"/>
        <v>中山鋼業:ナベ鋼ダライＡ</v>
      </c>
      <c r="H3349" s="340">
        <f t="shared" si="3"/>
        <v>34.7</v>
      </c>
      <c r="I3349" s="341">
        <v>0.5</v>
      </c>
      <c r="J3349" s="332">
        <f>IFERROR(__xludf.DUMMYFUNCTION("IF(IF(COUNTIF(P$2:P3348, P3349)=0, """", INDEX(H$2:H3348,
MAX(FILTER(ROW(H$2:H3348) - ROW(H$2) + 1, P$2:P3348 = P3349))))=""単価"","""",
IF(COUNTIF(P$2:P3348, P3349)=0, """", INDEX(H$2:H3348,
MAX(FILTER(ROW(H$2:H3348) - ROW(H$2) + 1, P$2:P3348 = P3349)))))"),34.2)</f>
        <v>34.2</v>
      </c>
      <c r="N3349" s="335" t="str">
        <f>IF(MAXIFS('単価履歴'!$O:$O,'単価履歴'!$E:$E,E3349,'単価履歴'!$F:$F,F3349)=O3349,"●","")</f>
        <v/>
      </c>
      <c r="O3349" s="346">
        <v>45973.271273148144</v>
      </c>
      <c r="P3349" s="334" t="str">
        <f t="shared" si="4"/>
        <v>中山鋼業:ナベ鋼ダライＡ</v>
      </c>
    </row>
    <row r="3350" ht="15.75" customHeight="1">
      <c r="A3350" s="335" t="s">
        <v>4497</v>
      </c>
      <c r="B3350" s="336">
        <v>45973.0</v>
      </c>
      <c r="C3350" s="335" t="s">
        <v>9</v>
      </c>
      <c r="D3350" s="335" t="s">
        <v>51</v>
      </c>
      <c r="E3350" s="337" t="str">
        <f t="shared" si="1"/>
        <v>大鉄　堺:大鉄堺</v>
      </c>
      <c r="F3350" s="338" t="s">
        <v>575</v>
      </c>
      <c r="G3350" s="339" t="str">
        <f t="shared" si="2"/>
        <v>大鉄　堺:大鉄堺鋼ダライＡ</v>
      </c>
      <c r="H3350" s="340">
        <f t="shared" si="3"/>
        <v>28.5</v>
      </c>
      <c r="I3350" s="341">
        <v>1.0</v>
      </c>
      <c r="J3350" s="332">
        <f>IFERROR(__xludf.DUMMYFUNCTION("IF(IF(COUNTIF(P$2:P3349, P3350)=0, """", INDEX(H$2:H3349,
MAX(FILTER(ROW(H$2:H3349) - ROW(H$2) + 1, P$2:P3349 = P3350))))=""単価"","""",
IF(COUNTIF(P$2:P3349, P3350)=0, """", INDEX(H$2:H3349,
MAX(FILTER(ROW(H$2:H3349) - ROW(H$2) + 1, P$2:P3349 = P3350)))))"),27.5)</f>
        <v>27.5</v>
      </c>
      <c r="N3350" s="335" t="str">
        <f>IF(MAXIFS('単価履歴'!$O:$O,'単価履歴'!$E:$E,E3350,'単価履歴'!$F:$F,F3350)=O3350,"●","")</f>
        <v/>
      </c>
      <c r="O3350" s="346">
        <v>45973.27222222222</v>
      </c>
      <c r="P3350" s="334" t="str">
        <f t="shared" si="4"/>
        <v>大鉄　堺:大鉄堺鋼ダライＡ</v>
      </c>
    </row>
    <row r="3351" ht="15.75" customHeight="1">
      <c r="A3351" s="335" t="s">
        <v>4498</v>
      </c>
      <c r="B3351" s="336">
        <v>45973.0</v>
      </c>
      <c r="C3351" s="335" t="s">
        <v>9</v>
      </c>
      <c r="D3351" s="335" t="s">
        <v>51</v>
      </c>
      <c r="E3351" s="337" t="str">
        <f t="shared" si="1"/>
        <v>大鉄　堺:大鉄堺</v>
      </c>
      <c r="F3351" s="338" t="s">
        <v>576</v>
      </c>
      <c r="G3351" s="339" t="str">
        <f t="shared" si="2"/>
        <v>大鉄　堺:大鉄堺鋼ダライＢ</v>
      </c>
      <c r="H3351" s="340">
        <f t="shared" si="3"/>
        <v>28.5</v>
      </c>
      <c r="I3351" s="341">
        <v>1.0</v>
      </c>
      <c r="J3351" s="332">
        <f>IFERROR(__xludf.DUMMYFUNCTION("IF(IF(COUNTIF(P$2:P3350, P3351)=0, """", INDEX(H$2:H3350,
MAX(FILTER(ROW(H$2:H3350) - ROW(H$2) + 1, P$2:P3350 = P3351))))=""単価"","""",
IF(COUNTIF(P$2:P3350, P3351)=0, """", INDEX(H$2:H3350,
MAX(FILTER(ROW(H$2:H3350) - ROW(H$2) + 1, P$2:P3350 = P3351)))))"),27.5)</f>
        <v>27.5</v>
      </c>
      <c r="N3351" s="335" t="str">
        <f>IF(MAXIFS('単価履歴'!$O:$O,'単価履歴'!$E:$E,E3351,'単価履歴'!$F:$F,F3351)=O3351,"●","")</f>
        <v/>
      </c>
      <c r="O3351" s="346">
        <v>45973.27222222222</v>
      </c>
      <c r="P3351" s="334" t="str">
        <f t="shared" si="4"/>
        <v>大鉄　堺:大鉄堺鋼ダライＢ</v>
      </c>
    </row>
    <row r="3352" ht="15.75" customHeight="1">
      <c r="A3352" s="335" t="s">
        <v>4499</v>
      </c>
      <c r="B3352" s="336">
        <v>45973.0</v>
      </c>
      <c r="C3352" s="335" t="s">
        <v>9</v>
      </c>
      <c r="D3352" s="335" t="s">
        <v>47</v>
      </c>
      <c r="E3352" s="337" t="str">
        <f t="shared" si="1"/>
        <v>大鉄　堺:豊通</v>
      </c>
      <c r="F3352" s="338" t="s">
        <v>575</v>
      </c>
      <c r="G3352" s="339" t="str">
        <f t="shared" si="2"/>
        <v>大鉄　堺:豊通鋼ダライＡ</v>
      </c>
      <c r="H3352" s="340">
        <f t="shared" si="3"/>
        <v>28.2</v>
      </c>
      <c r="I3352" s="341">
        <v>1.0</v>
      </c>
      <c r="J3352" s="332">
        <f>IFERROR(__xludf.DUMMYFUNCTION("IF(IF(COUNTIF(P$2:P3351, P3352)=0, """", INDEX(H$2:H3351,
MAX(FILTER(ROW(H$2:H3351) - ROW(H$2) + 1, P$2:P3351 = P3352))))=""単価"","""",
IF(COUNTIF(P$2:P3351, P3352)=0, """", INDEX(H$2:H3351,
MAX(FILTER(ROW(H$2:H3351) - ROW(H$2) + 1, P$2:P3351 = P3352)))))"),27.2)</f>
        <v>27.2</v>
      </c>
      <c r="N3352" s="335" t="str">
        <f>IF(MAXIFS('単価履歴'!$O:$O,'単価履歴'!$E:$E,E3352,'単価履歴'!$F:$F,F3352)=O3352,"●","")</f>
        <v/>
      </c>
      <c r="O3352" s="346">
        <v>45973.27222222222</v>
      </c>
      <c r="P3352" s="334" t="str">
        <f t="shared" si="4"/>
        <v>大鉄　堺:豊通鋼ダライＡ</v>
      </c>
    </row>
    <row r="3353" ht="15.75" customHeight="1">
      <c r="A3353" s="335" t="s">
        <v>4500</v>
      </c>
      <c r="B3353" s="336">
        <v>45973.0</v>
      </c>
      <c r="C3353" s="335" t="s">
        <v>9</v>
      </c>
      <c r="D3353" s="335" t="s">
        <v>47</v>
      </c>
      <c r="E3353" s="337" t="str">
        <f t="shared" si="1"/>
        <v>大鉄　堺:豊通</v>
      </c>
      <c r="F3353" s="338" t="s">
        <v>576</v>
      </c>
      <c r="G3353" s="339" t="str">
        <f t="shared" si="2"/>
        <v>大鉄　堺:豊通鋼ダライＢ</v>
      </c>
      <c r="H3353" s="340">
        <f t="shared" si="3"/>
        <v>28.2</v>
      </c>
      <c r="I3353" s="341">
        <v>1.0</v>
      </c>
      <c r="J3353" s="332">
        <f>IFERROR(__xludf.DUMMYFUNCTION("IF(IF(COUNTIF(P$2:P3352, P3353)=0, """", INDEX(H$2:H3352,
MAX(FILTER(ROW(H$2:H3352) - ROW(H$2) + 1, P$2:P3352 = P3353))))=""単価"","""",
IF(COUNTIF(P$2:P3352, P3353)=0, """", INDEX(H$2:H3352,
MAX(FILTER(ROW(H$2:H3352) - ROW(H$2) + 1, P$2:P3352 = P3353)))))"),27.2)</f>
        <v>27.2</v>
      </c>
      <c r="N3353" s="335" t="str">
        <f>IF(MAXIFS('単価履歴'!$O:$O,'単価履歴'!$E:$E,E3353,'単価履歴'!$F:$F,F3353)=O3353,"●","")</f>
        <v/>
      </c>
      <c r="O3353" s="346">
        <v>45973.27222222222</v>
      </c>
      <c r="P3353" s="334" t="str">
        <f t="shared" si="4"/>
        <v>大鉄　堺:豊通鋼ダライＢ</v>
      </c>
    </row>
    <row r="3354" ht="15.75" customHeight="1">
      <c r="A3354" s="335" t="s">
        <v>4501</v>
      </c>
      <c r="B3354" s="336">
        <v>45973.0</v>
      </c>
      <c r="C3354" s="335" t="s">
        <v>9</v>
      </c>
      <c r="D3354" s="335" t="s">
        <v>50</v>
      </c>
      <c r="E3354" s="337" t="str">
        <f t="shared" si="1"/>
        <v>大鉄　堺:産振</v>
      </c>
      <c r="F3354" s="338" t="s">
        <v>575</v>
      </c>
      <c r="G3354" s="339" t="str">
        <f t="shared" si="2"/>
        <v>大鉄　堺:産振鋼ダライＡ</v>
      </c>
      <c r="H3354" s="340">
        <f t="shared" si="3"/>
        <v>38.2</v>
      </c>
      <c r="I3354" s="341">
        <v>1.0</v>
      </c>
      <c r="J3354" s="332">
        <f>IFERROR(__xludf.DUMMYFUNCTION("IF(IF(COUNTIF(P$2:P3353, P3354)=0, """", INDEX(H$2:H3353,
MAX(FILTER(ROW(H$2:H3353) - ROW(H$2) + 1, P$2:P3353 = P3354))))=""単価"","""",
IF(COUNTIF(P$2:P3353, P3354)=0, """", INDEX(H$2:H3353,
MAX(FILTER(ROW(H$2:H3353) - ROW(H$2) + 1, P$2:P3353 = P3354)))))"),37.2)</f>
        <v>37.2</v>
      </c>
      <c r="N3354" s="335" t="str">
        <f>IF(MAXIFS('単価履歴'!$O:$O,'単価履歴'!$E:$E,E3354,'単価履歴'!$F:$F,F3354)=O3354,"●","")</f>
        <v/>
      </c>
      <c r="O3354" s="346">
        <v>45973.27222222222</v>
      </c>
      <c r="P3354" s="334" t="str">
        <f t="shared" si="4"/>
        <v>大鉄　堺:産振鋼ダライＡ</v>
      </c>
    </row>
    <row r="3355" ht="15.75" customHeight="1">
      <c r="A3355" s="335" t="s">
        <v>4502</v>
      </c>
      <c r="B3355" s="336">
        <v>45973.0</v>
      </c>
      <c r="C3355" s="335" t="s">
        <v>9</v>
      </c>
      <c r="D3355" s="335" t="s">
        <v>50</v>
      </c>
      <c r="E3355" s="337" t="str">
        <f t="shared" si="1"/>
        <v>大鉄　堺:産振</v>
      </c>
      <c r="F3355" s="338" t="s">
        <v>576</v>
      </c>
      <c r="G3355" s="339" t="str">
        <f t="shared" si="2"/>
        <v>大鉄　堺:産振鋼ダライＢ</v>
      </c>
      <c r="H3355" s="340">
        <f t="shared" si="3"/>
        <v>-2</v>
      </c>
      <c r="I3355" s="341">
        <v>1.0</v>
      </c>
      <c r="J3355" s="332">
        <f>IFERROR(__xludf.DUMMYFUNCTION("IF(IF(COUNTIF(P$2:P3354, P3355)=0, """", INDEX(H$2:H3354,
MAX(FILTER(ROW(H$2:H3354) - ROW(H$2) + 1, P$2:P3354 = P3355))))=""単価"","""",
IF(COUNTIF(P$2:P3354, P3355)=0, """", INDEX(H$2:H3354,
MAX(FILTER(ROW(H$2:H3354) - ROW(H$2) + 1, P$2:P3354 = P3355)))))"),-3.0)</f>
        <v>-3</v>
      </c>
      <c r="N3355" s="335" t="str">
        <f>IF(MAXIFS('単価履歴'!$O:$O,'単価履歴'!$E:$E,E3355,'単価履歴'!$F:$F,F3355)=O3355,"●","")</f>
        <v>●</v>
      </c>
      <c r="O3355" s="346">
        <v>45973.27222222222</v>
      </c>
      <c r="P3355" s="334" t="str">
        <f t="shared" si="4"/>
        <v>大鉄　堺:産振鋼ダライＢ</v>
      </c>
    </row>
    <row r="3356" ht="15.75" customHeight="1">
      <c r="A3356" s="335" t="s">
        <v>4503</v>
      </c>
      <c r="B3356" s="336">
        <v>45973.0</v>
      </c>
      <c r="C3356" s="335" t="s">
        <v>9</v>
      </c>
      <c r="D3356" s="335" t="s">
        <v>51</v>
      </c>
      <c r="E3356" s="337" t="str">
        <f t="shared" si="1"/>
        <v>大鉄　堺:大鉄堺</v>
      </c>
      <c r="F3356" s="338" t="s">
        <v>111</v>
      </c>
      <c r="G3356" s="339" t="str">
        <f t="shared" si="2"/>
        <v>大鉄　堺:大鉄堺Ｈ１(特A)</v>
      </c>
      <c r="H3356" s="340">
        <f t="shared" si="3"/>
        <v>45.5</v>
      </c>
      <c r="I3356" s="341">
        <v>0.5</v>
      </c>
      <c r="J3356" s="332">
        <f>IFERROR(__xludf.DUMMYFUNCTION("IF(IF(COUNTIF(P$2:P3355, P3356)=0, """", INDEX(H$2:H3355,
MAX(FILTER(ROW(H$2:H3355) - ROW(H$2) + 1, P$2:P3355 = P3356))))=""単価"","""",
IF(COUNTIF(P$2:P3355, P3356)=0, """", INDEX(H$2:H3355,
MAX(FILTER(ROW(H$2:H3355) - ROW(H$2) + 1, P$2:P3355 = P3356)))))"),45.0)</f>
        <v>45</v>
      </c>
      <c r="N3356" s="335" t="str">
        <f>IF(MAXIFS('単価履歴'!$O:$O,'単価履歴'!$E:$E,E3356,'単価履歴'!$F:$F,F3356)=O3356,"●","")</f>
        <v/>
      </c>
      <c r="O3356" s="346">
        <v>45973.27283564815</v>
      </c>
      <c r="P3356" s="334" t="str">
        <f t="shared" si="4"/>
        <v>大鉄　堺:大鉄堺Ｈ１(特A)</v>
      </c>
    </row>
    <row r="3357" ht="15.75" customHeight="1">
      <c r="A3357" s="335" t="s">
        <v>4504</v>
      </c>
      <c r="B3357" s="336">
        <v>45973.0</v>
      </c>
      <c r="C3357" s="335" t="s">
        <v>9</v>
      </c>
      <c r="D3357" s="335" t="s">
        <v>51</v>
      </c>
      <c r="E3357" s="337" t="str">
        <f t="shared" si="1"/>
        <v>大鉄　堺:大鉄堺</v>
      </c>
      <c r="F3357" s="338" t="s">
        <v>116</v>
      </c>
      <c r="G3357" s="339" t="str">
        <f t="shared" si="2"/>
        <v>大鉄　堺:大鉄堺Ｈ２(特級)</v>
      </c>
      <c r="H3357" s="340">
        <f t="shared" si="3"/>
        <v>42.5</v>
      </c>
      <c r="I3357" s="341">
        <v>0.5</v>
      </c>
      <c r="J3357" s="332">
        <f>IFERROR(__xludf.DUMMYFUNCTION("IF(IF(COUNTIF(P$2:P3356, P3357)=0, """", INDEX(H$2:H3356,
MAX(FILTER(ROW(H$2:H3356) - ROW(H$2) + 1, P$2:P3356 = P3357))))=""単価"","""",
IF(COUNTIF(P$2:P3356, P3357)=0, """", INDEX(H$2:H3356,
MAX(FILTER(ROW(H$2:H3356) - ROW(H$2) + 1, P$2:P3356 = P3357)))))"),42.0)</f>
        <v>42</v>
      </c>
      <c r="N3357" s="335" t="str">
        <f>IF(MAXIFS('単価履歴'!$O:$O,'単価履歴'!$E:$E,E3357,'単価履歴'!$F:$F,F3357)=O3357,"●","")</f>
        <v/>
      </c>
      <c r="O3357" s="346">
        <v>45973.27283564815</v>
      </c>
      <c r="P3357" s="334" t="str">
        <f t="shared" si="4"/>
        <v>大鉄　堺:大鉄堺Ｈ２(特級)</v>
      </c>
    </row>
    <row r="3358" ht="15.75" customHeight="1">
      <c r="A3358" s="335" t="s">
        <v>4505</v>
      </c>
      <c r="B3358" s="336">
        <v>45973.0</v>
      </c>
      <c r="C3358" s="335" t="s">
        <v>9</v>
      </c>
      <c r="D3358" s="335" t="s">
        <v>51</v>
      </c>
      <c r="E3358" s="337" t="str">
        <f t="shared" si="1"/>
        <v>大鉄　堺:大鉄堺</v>
      </c>
      <c r="F3358" s="338" t="s">
        <v>1237</v>
      </c>
      <c r="G3358" s="339" t="str">
        <f t="shared" si="2"/>
        <v>大鉄　堺:大鉄堺ＪＨ１(H2T山口)鍛造ﾊﾞﾘ</v>
      </c>
      <c r="H3358" s="340">
        <f t="shared" si="3"/>
        <v>44.5</v>
      </c>
      <c r="I3358" s="341">
        <v>0.5</v>
      </c>
      <c r="J3358" s="332">
        <f>IFERROR(__xludf.DUMMYFUNCTION("IF(IF(COUNTIF(P$2:P3357, P3358)=0, """", INDEX(H$2:H3357,
MAX(FILTER(ROW(H$2:H3357) - ROW(H$2) + 1, P$2:P3357 = P3358))))=""単価"","""",
IF(COUNTIF(P$2:P3357, P3358)=0, """", INDEX(H$2:H3357,
MAX(FILTER(ROW(H$2:H3357) - ROW(H$2) + 1, P$2:P3357 = P3358)))))"),44.0)</f>
        <v>44</v>
      </c>
      <c r="N3358" s="335" t="str">
        <f>IF(MAXIFS('単価履歴'!$O:$O,'単価履歴'!$E:$E,E3358,'単価履歴'!$F:$F,F3358)=O3358,"●","")</f>
        <v/>
      </c>
      <c r="O3358" s="346">
        <v>45973.27283564815</v>
      </c>
      <c r="P3358" s="334" t="str">
        <f t="shared" si="4"/>
        <v>大鉄　堺:大鉄堺ＪＨ１(H2T山口)鍛造ﾊﾞﾘ</v>
      </c>
    </row>
    <row r="3359" ht="15.75" customHeight="1">
      <c r="A3359" s="335" t="s">
        <v>4506</v>
      </c>
      <c r="B3359" s="336">
        <v>45973.0</v>
      </c>
      <c r="C3359" s="335" t="s">
        <v>9</v>
      </c>
      <c r="D3359" s="335" t="s">
        <v>51</v>
      </c>
      <c r="E3359" s="337" t="str">
        <f t="shared" si="1"/>
        <v>大鉄　堺:大鉄堺</v>
      </c>
      <c r="F3359" s="338" t="s">
        <v>119</v>
      </c>
      <c r="G3359" s="339" t="str">
        <f t="shared" si="2"/>
        <v>大鉄　堺:大鉄堺Ｈ３(1級)</v>
      </c>
      <c r="H3359" s="340">
        <f t="shared" si="3"/>
        <v>42</v>
      </c>
      <c r="I3359" s="341">
        <v>0.5</v>
      </c>
      <c r="J3359" s="332">
        <f>IFERROR(__xludf.DUMMYFUNCTION("IF(IF(COUNTIF(P$2:P3358, P3359)=0, """", INDEX(H$2:H3358,
MAX(FILTER(ROW(H$2:H3358) - ROW(H$2) + 1, P$2:P3358 = P3359))))=""単価"","""",
IF(COUNTIF(P$2:P3358, P3359)=0, """", INDEX(H$2:H3358,
MAX(FILTER(ROW(H$2:H3358) - ROW(H$2) + 1, P$2:P3358 = P3359)))))"),41.5)</f>
        <v>41.5</v>
      </c>
      <c r="N3359" s="335" t="str">
        <f>IF(MAXIFS('単価履歴'!$O:$O,'単価履歴'!$E:$E,E3359,'単価履歴'!$F:$F,F3359)=O3359,"●","")</f>
        <v/>
      </c>
      <c r="O3359" s="346">
        <v>45973.27283564815</v>
      </c>
      <c r="P3359" s="334" t="str">
        <f t="shared" si="4"/>
        <v>大鉄　堺:大鉄堺Ｈ３(1級)</v>
      </c>
    </row>
    <row r="3360" ht="15.75" customHeight="1">
      <c r="A3360" s="335" t="s">
        <v>4507</v>
      </c>
      <c r="B3360" s="336">
        <v>45973.0</v>
      </c>
      <c r="C3360" s="335" t="s">
        <v>9</v>
      </c>
      <c r="D3360" s="335" t="s">
        <v>51</v>
      </c>
      <c r="E3360" s="337" t="str">
        <f t="shared" si="1"/>
        <v>大鉄　堺:大鉄堺</v>
      </c>
      <c r="F3360" s="338" t="s">
        <v>122</v>
      </c>
      <c r="G3360" s="339" t="str">
        <f t="shared" si="2"/>
        <v>大鉄　堺:大鉄堺Ｌ１(2級)</v>
      </c>
      <c r="H3360" s="340">
        <f t="shared" si="3"/>
        <v>41.5</v>
      </c>
      <c r="I3360" s="341">
        <v>0.5</v>
      </c>
      <c r="J3360" s="332">
        <f>IFERROR(__xludf.DUMMYFUNCTION("IF(IF(COUNTIF(P$2:P3359, P3360)=0, """", INDEX(H$2:H3359,
MAX(FILTER(ROW(H$2:H3359) - ROW(H$2) + 1, P$2:P3359 = P3360))))=""単価"","""",
IF(COUNTIF(P$2:P3359, P3360)=0, """", INDEX(H$2:H3359,
MAX(FILTER(ROW(H$2:H3359) - ROW(H$2) + 1, P$2:P3359 = P3360)))))"),41.0)</f>
        <v>41</v>
      </c>
      <c r="N3360" s="335" t="str">
        <f>IF(MAXIFS('単価履歴'!$O:$O,'単価履歴'!$E:$E,E3360,'単価履歴'!$F:$F,F3360)=O3360,"●","")</f>
        <v/>
      </c>
      <c r="O3360" s="346">
        <v>45973.27283564815</v>
      </c>
      <c r="P3360" s="334" t="str">
        <f t="shared" si="4"/>
        <v>大鉄　堺:大鉄堺Ｌ１(2級)</v>
      </c>
    </row>
    <row r="3361" ht="15.75" customHeight="1">
      <c r="A3361" s="335" t="s">
        <v>4508</v>
      </c>
      <c r="B3361" s="336">
        <v>45973.0</v>
      </c>
      <c r="C3361" s="335" t="s">
        <v>9</v>
      </c>
      <c r="D3361" s="335" t="s">
        <v>51</v>
      </c>
      <c r="E3361" s="337" t="str">
        <f t="shared" si="1"/>
        <v>大鉄　堺:大鉄堺</v>
      </c>
      <c r="F3361" s="338" t="s">
        <v>130</v>
      </c>
      <c r="G3361" s="339" t="str">
        <f t="shared" si="2"/>
        <v>大鉄　堺:大鉄堺新断Ａ</v>
      </c>
      <c r="H3361" s="340">
        <f t="shared" si="3"/>
        <v>29</v>
      </c>
      <c r="I3361" s="341">
        <v>0.5</v>
      </c>
      <c r="J3361" s="332">
        <f>IFERROR(__xludf.DUMMYFUNCTION("IF(IF(COUNTIF(P$2:P3360, P3361)=0, """", INDEX(H$2:H3360,
MAX(FILTER(ROW(H$2:H3360) - ROW(H$2) + 1, P$2:P3360 = P3361))))=""単価"","""",
IF(COUNTIF(P$2:P3360, P3361)=0, """", INDEX(H$2:H3360,
MAX(FILTER(ROW(H$2:H3360) - ROW(H$2) + 1, P$2:P3360 = P3361)))))"),28.5)</f>
        <v>28.5</v>
      </c>
      <c r="N3361" s="335" t="str">
        <f>IF(MAXIFS('単価履歴'!$O:$O,'単価履歴'!$E:$E,E3361,'単価履歴'!$F:$F,F3361)=O3361,"●","")</f>
        <v/>
      </c>
      <c r="O3361" s="346">
        <v>45973.27283564815</v>
      </c>
      <c r="P3361" s="334" t="str">
        <f t="shared" si="4"/>
        <v>大鉄　堺:大鉄堺新断Ａ</v>
      </c>
    </row>
    <row r="3362" ht="15.75" customHeight="1">
      <c r="A3362" s="335" t="s">
        <v>4509</v>
      </c>
      <c r="B3362" s="336">
        <v>45973.0</v>
      </c>
      <c r="C3362" s="335" t="s">
        <v>9</v>
      </c>
      <c r="D3362" s="335" t="s">
        <v>51</v>
      </c>
      <c r="E3362" s="337" t="str">
        <f t="shared" si="1"/>
        <v>大鉄　堺:大鉄堺</v>
      </c>
      <c r="F3362" s="338" t="s">
        <v>131</v>
      </c>
      <c r="G3362" s="339" t="str">
        <f t="shared" si="2"/>
        <v>大鉄　堺:大鉄堺新断Ｂ</v>
      </c>
      <c r="H3362" s="340">
        <f t="shared" si="3"/>
        <v>28.5</v>
      </c>
      <c r="I3362" s="341">
        <v>0.5</v>
      </c>
      <c r="J3362" s="332">
        <f>IFERROR(__xludf.DUMMYFUNCTION("IF(IF(COUNTIF(P$2:P3361, P3362)=0, """", INDEX(H$2:H3361,
MAX(FILTER(ROW(H$2:H3361) - ROW(H$2) + 1, P$2:P3361 = P3362))))=""単価"","""",
IF(COUNTIF(P$2:P3361, P3362)=0, """", INDEX(H$2:H3361,
MAX(FILTER(ROW(H$2:H3361) - ROW(H$2) + 1, P$2:P3361 = P3362)))))"),28.0)</f>
        <v>28</v>
      </c>
      <c r="N3362" s="335" t="str">
        <f>IF(MAXIFS('単価履歴'!$O:$O,'単価履歴'!$E:$E,E3362,'単価履歴'!$F:$F,F3362)=O3362,"●","")</f>
        <v/>
      </c>
      <c r="O3362" s="346">
        <v>45973.27283564815</v>
      </c>
      <c r="P3362" s="334" t="str">
        <f t="shared" si="4"/>
        <v>大鉄　堺:大鉄堺新断Ｂ</v>
      </c>
    </row>
    <row r="3363" ht="15.75" customHeight="1">
      <c r="A3363" s="335" t="s">
        <v>4510</v>
      </c>
      <c r="B3363" s="336">
        <v>45973.0</v>
      </c>
      <c r="C3363" s="335" t="s">
        <v>9</v>
      </c>
      <c r="D3363" s="335" t="s">
        <v>51</v>
      </c>
      <c r="E3363" s="337" t="str">
        <f t="shared" si="1"/>
        <v>大鉄　堺:大鉄堺</v>
      </c>
      <c r="F3363" s="338" t="s">
        <v>145</v>
      </c>
      <c r="G3363" s="339" t="str">
        <f t="shared" si="2"/>
        <v>大鉄　堺:大鉄堺シュレＡ</v>
      </c>
      <c r="H3363" s="340">
        <f t="shared" si="3"/>
        <v>31.5</v>
      </c>
      <c r="I3363" s="341">
        <v>0.5</v>
      </c>
      <c r="J3363" s="332">
        <f>IFERROR(__xludf.DUMMYFUNCTION("IF(IF(COUNTIF(P$2:P3362, P3363)=0, """", INDEX(H$2:H3362,
MAX(FILTER(ROW(H$2:H3362) - ROW(H$2) + 1, P$2:P3362 = P3363))))=""単価"","""",
IF(COUNTIF(P$2:P3362, P3363)=0, """", INDEX(H$2:H3362,
MAX(FILTER(ROW(H$2:H3362) - ROW(H$2) + 1, P$2:P3362 = P3363)))))"),31.0)</f>
        <v>31</v>
      </c>
      <c r="N3363" s="335" t="str">
        <f>IF(MAXIFS('単価履歴'!$O:$O,'単価履歴'!$E:$E,E3363,'単価履歴'!$F:$F,F3363)=O3363,"●","")</f>
        <v/>
      </c>
      <c r="O3363" s="346">
        <v>45973.27283564815</v>
      </c>
      <c r="P3363" s="334" t="str">
        <f t="shared" si="4"/>
        <v>大鉄　堺:大鉄堺シュレＡ</v>
      </c>
    </row>
    <row r="3364" ht="15.75" customHeight="1">
      <c r="A3364" s="335" t="s">
        <v>4511</v>
      </c>
      <c r="B3364" s="336">
        <v>45973.0</v>
      </c>
      <c r="C3364" s="335" t="s">
        <v>9</v>
      </c>
      <c r="D3364" s="335" t="s">
        <v>51</v>
      </c>
      <c r="E3364" s="337" t="str">
        <f t="shared" si="1"/>
        <v>大鉄　堺:大鉄堺</v>
      </c>
      <c r="F3364" s="338" t="s">
        <v>149</v>
      </c>
      <c r="G3364" s="339" t="str">
        <f t="shared" si="2"/>
        <v>大鉄　堺:大鉄堺シュレＢ</v>
      </c>
      <c r="H3364" s="340">
        <f t="shared" si="3"/>
        <v>30.8</v>
      </c>
      <c r="I3364" s="341">
        <v>0.5</v>
      </c>
      <c r="J3364" s="332">
        <f>IFERROR(__xludf.DUMMYFUNCTION("IF(IF(COUNTIF(P$2:P3363, P3364)=0, """", INDEX(H$2:H3363,
MAX(FILTER(ROW(H$2:H3363) - ROW(H$2) + 1, P$2:P3363 = P3364))))=""単価"","""",
IF(COUNTIF(P$2:P3363, P3364)=0, """", INDEX(H$2:H3363,
MAX(FILTER(ROW(H$2:H3363) - ROW(H$2) + 1, P$2:P3363 = P3364)))))"),30.3)</f>
        <v>30.3</v>
      </c>
      <c r="N3364" s="335" t="str">
        <f>IF(MAXIFS('単価履歴'!$O:$O,'単価履歴'!$E:$E,E3364,'単価履歴'!$F:$F,F3364)=O3364,"●","")</f>
        <v/>
      </c>
      <c r="O3364" s="346">
        <v>45973.27283564815</v>
      </c>
      <c r="P3364" s="334" t="str">
        <f t="shared" si="4"/>
        <v>大鉄　堺:大鉄堺シュレＢ</v>
      </c>
    </row>
    <row r="3365" ht="15.75" customHeight="1">
      <c r="A3365" s="335" t="s">
        <v>4512</v>
      </c>
      <c r="B3365" s="336">
        <v>45973.0</v>
      </c>
      <c r="C3365" s="335" t="s">
        <v>9</v>
      </c>
      <c r="D3365" s="335" t="s">
        <v>51</v>
      </c>
      <c r="E3365" s="337" t="str">
        <f t="shared" si="1"/>
        <v>大鉄　堺:大鉄堺</v>
      </c>
      <c r="F3365" s="338" t="s">
        <v>151</v>
      </c>
      <c r="G3365" s="339" t="str">
        <f t="shared" si="2"/>
        <v>大鉄　堺:大鉄堺シュレＣ</v>
      </c>
      <c r="H3365" s="340">
        <f t="shared" si="3"/>
        <v>29.4</v>
      </c>
      <c r="I3365" s="341">
        <v>0.5</v>
      </c>
      <c r="J3365" s="332">
        <f>IFERROR(__xludf.DUMMYFUNCTION("IF(IF(COUNTIF(P$2:P3364, P3365)=0, """", INDEX(H$2:H3364,
MAX(FILTER(ROW(H$2:H3364) - ROW(H$2) + 1, P$2:P3364 = P3365))))=""単価"","""",
IF(COUNTIF(P$2:P3364, P3365)=0, """", INDEX(H$2:H3364,
MAX(FILTER(ROW(H$2:H3364) - ROW(H$2) + 1, P$2:P3364 = P3365)))))"),28.9)</f>
        <v>28.9</v>
      </c>
      <c r="N3365" s="335" t="str">
        <f>IF(MAXIFS('単価履歴'!$O:$O,'単価履歴'!$E:$E,E3365,'単価履歴'!$F:$F,F3365)=O3365,"●","")</f>
        <v/>
      </c>
      <c r="O3365" s="346">
        <v>45973.27283564815</v>
      </c>
      <c r="P3365" s="334" t="str">
        <f t="shared" si="4"/>
        <v>大鉄　堺:大鉄堺シュレＣ</v>
      </c>
    </row>
    <row r="3366" ht="15.75" customHeight="1">
      <c r="A3366" s="335" t="s">
        <v>4513</v>
      </c>
      <c r="B3366" s="336">
        <v>45973.0</v>
      </c>
      <c r="C3366" s="335" t="s">
        <v>9</v>
      </c>
      <c r="D3366" s="335" t="s">
        <v>51</v>
      </c>
      <c r="E3366" s="337" t="str">
        <f t="shared" si="1"/>
        <v>大鉄　堺:大鉄堺</v>
      </c>
      <c r="F3366" s="338" t="s">
        <v>154</v>
      </c>
      <c r="G3366" s="339" t="str">
        <f t="shared" si="2"/>
        <v>大鉄　堺:大鉄堺ＣＰ Ａ</v>
      </c>
      <c r="H3366" s="340">
        <f t="shared" si="3"/>
        <v>37</v>
      </c>
      <c r="I3366" s="341">
        <v>0.5</v>
      </c>
      <c r="J3366" s="332">
        <f>IFERROR(__xludf.DUMMYFUNCTION("IF(IF(COUNTIF(P$2:P3365, P3366)=0, """", INDEX(H$2:H3365,
MAX(FILTER(ROW(H$2:H3365) - ROW(H$2) + 1, P$2:P3365 = P3366))))=""単価"","""",
IF(COUNTIF(P$2:P3365, P3366)=0, """", INDEX(H$2:H3365,
MAX(FILTER(ROW(H$2:H3365) - ROW(H$2) + 1, P$2:P3365 = P3366)))))"),36.5)</f>
        <v>36.5</v>
      </c>
      <c r="N3366" s="335" t="str">
        <f>IF(MAXIFS('単価履歴'!$O:$O,'単価履歴'!$E:$E,E3366,'単価履歴'!$F:$F,F3366)=O3366,"●","")</f>
        <v/>
      </c>
      <c r="O3366" s="346">
        <v>45973.27283564815</v>
      </c>
      <c r="P3366" s="334" t="str">
        <f t="shared" si="4"/>
        <v>大鉄　堺:大鉄堺ＣＰ Ａ</v>
      </c>
    </row>
    <row r="3367" ht="15.75" customHeight="1">
      <c r="A3367" s="335" t="s">
        <v>4514</v>
      </c>
      <c r="B3367" s="336">
        <v>45973.0</v>
      </c>
      <c r="C3367" s="335" t="s">
        <v>9</v>
      </c>
      <c r="D3367" s="335" t="s">
        <v>51</v>
      </c>
      <c r="E3367" s="337" t="str">
        <f t="shared" si="1"/>
        <v>大鉄　堺:大鉄堺</v>
      </c>
      <c r="F3367" s="338" t="s">
        <v>156</v>
      </c>
      <c r="G3367" s="339" t="str">
        <f t="shared" si="2"/>
        <v>大鉄　堺:大鉄堺ＣＰ Ｂ一斗缶</v>
      </c>
      <c r="H3367" s="340">
        <f t="shared" si="3"/>
        <v>30.5</v>
      </c>
      <c r="I3367" s="341">
        <v>0.5</v>
      </c>
      <c r="J3367" s="332">
        <f>IFERROR(__xludf.DUMMYFUNCTION("IF(IF(COUNTIF(P$2:P3366, P3367)=0, """", INDEX(H$2:H3366,
MAX(FILTER(ROW(H$2:H3366) - ROW(H$2) + 1, P$2:P3366 = P3367))))=""単価"","""",
IF(COUNTIF(P$2:P3366, P3367)=0, """", INDEX(H$2:H3366,
MAX(FILTER(ROW(H$2:H3366) - ROW(H$2) + 1, P$2:P3366 = P3367)))))"),30.0)</f>
        <v>30</v>
      </c>
      <c r="N3367" s="335" t="str">
        <f>IF(MAXIFS('単価履歴'!$O:$O,'単価履歴'!$E:$E,E3367,'単価履歴'!$F:$F,F3367)=O3367,"●","")</f>
        <v/>
      </c>
      <c r="O3367" s="346">
        <v>45973.27283564815</v>
      </c>
      <c r="P3367" s="334" t="str">
        <f t="shared" si="4"/>
        <v>大鉄　堺:大鉄堺ＣＰ Ｂ一斗缶</v>
      </c>
    </row>
    <row r="3368" ht="15.75" customHeight="1">
      <c r="A3368" s="335" t="s">
        <v>4515</v>
      </c>
      <c r="B3368" s="336">
        <v>45973.0</v>
      </c>
      <c r="C3368" s="335" t="s">
        <v>9</v>
      </c>
      <c r="D3368" s="335" t="s">
        <v>50</v>
      </c>
      <c r="E3368" s="337" t="str">
        <f t="shared" si="1"/>
        <v>大鉄　堺:産振</v>
      </c>
      <c r="F3368" s="338" t="s">
        <v>111</v>
      </c>
      <c r="G3368" s="339" t="str">
        <f t="shared" si="2"/>
        <v>大鉄　堺:産振Ｈ１(特A)</v>
      </c>
      <c r="H3368" s="340">
        <f t="shared" si="3"/>
        <v>46.2</v>
      </c>
      <c r="I3368" s="341">
        <v>0.5</v>
      </c>
      <c r="J3368" s="332">
        <f>IFERROR(__xludf.DUMMYFUNCTION("IF(IF(COUNTIF(P$2:P3367, P3368)=0, """", INDEX(H$2:H3367,
MAX(FILTER(ROW(H$2:H3367) - ROW(H$2) + 1, P$2:P3367 = P3368))))=""単価"","""",
IF(COUNTIF(P$2:P3367, P3368)=0, """", INDEX(H$2:H3367,
MAX(FILTER(ROW(H$2:H3367) - ROW(H$2) + 1, P$2:P3367 = P3368)))))"),45.7)</f>
        <v>45.7</v>
      </c>
      <c r="N3368" s="335" t="str">
        <f>IF(MAXIFS('単価履歴'!$O:$O,'単価履歴'!$E:$E,E3368,'単価履歴'!$F:$F,F3368)=O3368,"●","")</f>
        <v/>
      </c>
      <c r="O3368" s="346">
        <v>45973.273368055554</v>
      </c>
      <c r="P3368" s="334" t="str">
        <f t="shared" si="4"/>
        <v>大鉄　堺:産振Ｈ１(特A)</v>
      </c>
    </row>
    <row r="3369" ht="15.75" customHeight="1">
      <c r="A3369" s="335" t="s">
        <v>4516</v>
      </c>
      <c r="B3369" s="336">
        <v>45973.0</v>
      </c>
      <c r="C3369" s="335" t="s">
        <v>9</v>
      </c>
      <c r="D3369" s="335" t="s">
        <v>50</v>
      </c>
      <c r="E3369" s="337" t="str">
        <f t="shared" si="1"/>
        <v>大鉄　堺:産振</v>
      </c>
      <c r="F3369" s="338" t="s">
        <v>116</v>
      </c>
      <c r="G3369" s="339" t="str">
        <f t="shared" si="2"/>
        <v>大鉄　堺:産振Ｈ２(特級)</v>
      </c>
      <c r="H3369" s="340">
        <f t="shared" si="3"/>
        <v>43.7</v>
      </c>
      <c r="I3369" s="341">
        <v>0.5</v>
      </c>
      <c r="J3369" s="332">
        <f>IFERROR(__xludf.DUMMYFUNCTION("IF(IF(COUNTIF(P$2:P3368, P3369)=0, """", INDEX(H$2:H3368,
MAX(FILTER(ROW(H$2:H3368) - ROW(H$2) + 1, P$2:P3368 = P3369))))=""単価"","""",
IF(COUNTIF(P$2:P3368, P3369)=0, """", INDEX(H$2:H3368,
MAX(FILTER(ROW(H$2:H3368) - ROW(H$2) + 1, P$2:P3368 = P3369)))))"),43.2)</f>
        <v>43.2</v>
      </c>
      <c r="N3369" s="335" t="str">
        <f>IF(MAXIFS('単価履歴'!$O:$O,'単価履歴'!$E:$E,E3369,'単価履歴'!$F:$F,F3369)=O3369,"●","")</f>
        <v/>
      </c>
      <c r="O3369" s="346">
        <v>45973.273368055554</v>
      </c>
      <c r="P3369" s="334" t="str">
        <f t="shared" si="4"/>
        <v>大鉄　堺:産振Ｈ２(特級)</v>
      </c>
    </row>
    <row r="3370" ht="15.75" customHeight="1">
      <c r="A3370" s="335" t="s">
        <v>4517</v>
      </c>
      <c r="B3370" s="336">
        <v>45973.0</v>
      </c>
      <c r="C3370" s="335" t="s">
        <v>9</v>
      </c>
      <c r="D3370" s="335" t="s">
        <v>50</v>
      </c>
      <c r="E3370" s="337" t="str">
        <f t="shared" si="1"/>
        <v>大鉄　堺:産振</v>
      </c>
      <c r="F3370" s="338" t="s">
        <v>119</v>
      </c>
      <c r="G3370" s="339" t="str">
        <f t="shared" si="2"/>
        <v>大鉄　堺:産振Ｈ３(1級)</v>
      </c>
      <c r="H3370" s="340">
        <f t="shared" si="3"/>
        <v>25.2</v>
      </c>
      <c r="I3370" s="341">
        <v>0.5</v>
      </c>
      <c r="J3370" s="332">
        <f>IFERROR(__xludf.DUMMYFUNCTION("IF(IF(COUNTIF(P$2:P3369, P3370)=0, """", INDEX(H$2:H3369,
MAX(FILTER(ROW(H$2:H3369) - ROW(H$2) + 1, P$2:P3369 = P3370))))=""単価"","""",
IF(COUNTIF(P$2:P3369, P3370)=0, """", INDEX(H$2:H3369,
MAX(FILTER(ROW(H$2:H3369) - ROW(H$2) + 1, P$2:P3369 = P3370)))))"),24.700000000000003)</f>
        <v>24.7</v>
      </c>
      <c r="N3370" s="335" t="str">
        <f>IF(MAXIFS('単価履歴'!$O:$O,'単価履歴'!$E:$E,E3370,'単価履歴'!$F:$F,F3370)=O3370,"●","")</f>
        <v/>
      </c>
      <c r="O3370" s="346">
        <v>45973.273368055554</v>
      </c>
      <c r="P3370" s="334" t="str">
        <f t="shared" si="4"/>
        <v>大鉄　堺:産振Ｈ３(1級)</v>
      </c>
    </row>
    <row r="3371" ht="15.75" customHeight="1">
      <c r="A3371" s="335" t="s">
        <v>4518</v>
      </c>
      <c r="B3371" s="336">
        <v>45973.0</v>
      </c>
      <c r="C3371" s="335" t="s">
        <v>9</v>
      </c>
      <c r="D3371" s="335" t="s">
        <v>50</v>
      </c>
      <c r="E3371" s="337" t="str">
        <f t="shared" si="1"/>
        <v>大鉄　堺:産振</v>
      </c>
      <c r="F3371" s="338" t="s">
        <v>154</v>
      </c>
      <c r="G3371" s="339" t="str">
        <f t="shared" si="2"/>
        <v>大鉄　堺:産振ＣＰ Ａ</v>
      </c>
      <c r="H3371" s="340">
        <f t="shared" si="3"/>
        <v>46.7</v>
      </c>
      <c r="I3371" s="341">
        <v>0.5</v>
      </c>
      <c r="J3371" s="332">
        <f>IFERROR(__xludf.DUMMYFUNCTION("IF(IF(COUNTIF(P$2:P3370, P3371)=0, """", INDEX(H$2:H3370,
MAX(FILTER(ROW(H$2:H3370) - ROW(H$2) + 1, P$2:P3370 = P3371))))=""単価"","""",
IF(COUNTIF(P$2:P3370, P3371)=0, """", INDEX(H$2:H3370,
MAX(FILTER(ROW(H$2:H3370) - ROW(H$2) + 1, P$2:P3370 = P3371)))))"),46.2)</f>
        <v>46.2</v>
      </c>
      <c r="N3371" s="335" t="str">
        <f>IF(MAXIFS('単価履歴'!$O:$O,'単価履歴'!$E:$E,E3371,'単価履歴'!$F:$F,F3371)=O3371,"●","")</f>
        <v/>
      </c>
      <c r="O3371" s="346">
        <v>45973.273368055554</v>
      </c>
      <c r="P3371" s="334" t="str">
        <f t="shared" si="4"/>
        <v>大鉄　堺:産振ＣＰ Ａ</v>
      </c>
    </row>
    <row r="3372" ht="15.75" customHeight="1">
      <c r="A3372" s="335" t="s">
        <v>4519</v>
      </c>
      <c r="B3372" s="336">
        <v>45973.0</v>
      </c>
      <c r="C3372" s="335" t="s">
        <v>9</v>
      </c>
      <c r="D3372" s="335" t="s">
        <v>50</v>
      </c>
      <c r="E3372" s="337" t="str">
        <f t="shared" si="1"/>
        <v>大鉄　堺:産振</v>
      </c>
      <c r="F3372" s="338" t="s">
        <v>156</v>
      </c>
      <c r="G3372" s="339" t="str">
        <f t="shared" si="2"/>
        <v>大鉄　堺:産振ＣＰ Ｂ一斗缶</v>
      </c>
      <c r="H3372" s="340">
        <f t="shared" si="3"/>
        <v>36.5</v>
      </c>
      <c r="I3372" s="341">
        <v>0.5</v>
      </c>
      <c r="J3372" s="332">
        <f>IFERROR(__xludf.DUMMYFUNCTION("IF(IF(COUNTIF(P$2:P3371, P3372)=0, """", INDEX(H$2:H3371,
MAX(FILTER(ROW(H$2:H3371) - ROW(H$2) + 1, P$2:P3371 = P3372))))=""単価"","""",
IF(COUNTIF(P$2:P3371, P3372)=0, """", INDEX(H$2:H3371,
MAX(FILTER(ROW(H$2:H3371) - ROW(H$2) + 1, P$2:P3371 = P3372)))))"),36.0)</f>
        <v>36</v>
      </c>
      <c r="N3372" s="335" t="str">
        <f>IF(MAXIFS('単価履歴'!$O:$O,'単価履歴'!$E:$E,E3372,'単価履歴'!$F:$F,F3372)=O3372,"●","")</f>
        <v/>
      </c>
      <c r="O3372" s="346">
        <v>45973.273368055554</v>
      </c>
      <c r="P3372" s="334" t="str">
        <f t="shared" si="4"/>
        <v>大鉄　堺:産振ＣＰ Ｂ一斗缶</v>
      </c>
    </row>
    <row r="3373" ht="15.75" customHeight="1">
      <c r="A3373" s="335" t="s">
        <v>4520</v>
      </c>
      <c r="B3373" s="336">
        <v>45973.0</v>
      </c>
      <c r="C3373" s="335" t="s">
        <v>9</v>
      </c>
      <c r="D3373" s="335" t="s">
        <v>50</v>
      </c>
      <c r="E3373" s="337" t="str">
        <f t="shared" si="1"/>
        <v>大鉄　堺:産振</v>
      </c>
      <c r="F3373" s="338" t="s">
        <v>122</v>
      </c>
      <c r="G3373" s="339" t="str">
        <f t="shared" si="2"/>
        <v>大鉄　堺:産振Ｌ１(2級)</v>
      </c>
      <c r="H3373" s="340">
        <f t="shared" si="3"/>
        <v>24.2</v>
      </c>
      <c r="I3373" s="341">
        <v>0.5</v>
      </c>
      <c r="J3373" s="332">
        <f>IFERROR(__xludf.DUMMYFUNCTION("IF(IF(COUNTIF(P$2:P3372, P3373)=0, """", INDEX(H$2:H3372,
MAX(FILTER(ROW(H$2:H3372) - ROW(H$2) + 1, P$2:P3372 = P3373))))=""単価"","""",
IF(COUNTIF(P$2:P3372, P3373)=0, """", INDEX(H$2:H3372,
MAX(FILTER(ROW(H$2:H3372) - ROW(H$2) + 1, P$2:P3372 = P3373)))))"),23.700000000000003)</f>
        <v>23.7</v>
      </c>
      <c r="N3373" s="335" t="str">
        <f>IF(MAXIFS('単価履歴'!$O:$O,'単価履歴'!$E:$E,E3373,'単価履歴'!$F:$F,F3373)=O3373,"●","")</f>
        <v/>
      </c>
      <c r="O3373" s="346">
        <v>45973.273368055554</v>
      </c>
      <c r="P3373" s="334" t="str">
        <f t="shared" si="4"/>
        <v>大鉄　堺:産振Ｌ１(2級)</v>
      </c>
    </row>
    <row r="3374" ht="15.75" customHeight="1">
      <c r="A3374" s="335" t="s">
        <v>4521</v>
      </c>
      <c r="B3374" s="336">
        <v>45973.0</v>
      </c>
      <c r="C3374" s="335" t="s">
        <v>9</v>
      </c>
      <c r="D3374" s="335" t="s">
        <v>50</v>
      </c>
      <c r="E3374" s="337" t="str">
        <f t="shared" si="1"/>
        <v>大鉄　堺:産振</v>
      </c>
      <c r="F3374" s="338" t="s">
        <v>130</v>
      </c>
      <c r="G3374" s="339" t="str">
        <f t="shared" si="2"/>
        <v>大鉄　堺:産振新断Ａ</v>
      </c>
      <c r="H3374" s="340">
        <f t="shared" si="3"/>
        <v>42.7</v>
      </c>
      <c r="I3374" s="341">
        <v>0.5</v>
      </c>
      <c r="J3374" s="332">
        <f>IFERROR(__xludf.DUMMYFUNCTION("IF(IF(COUNTIF(P$2:P3373, P3374)=0, """", INDEX(H$2:H3373,
MAX(FILTER(ROW(H$2:H3373) - ROW(H$2) + 1, P$2:P3373 = P3374))))=""単価"","""",
IF(COUNTIF(P$2:P3373, P3374)=0, """", INDEX(H$2:H3373,
MAX(FILTER(ROW(H$2:H3373) - ROW(H$2) + 1, P$2:P3373 = P3374)))))"),42.2)</f>
        <v>42.2</v>
      </c>
      <c r="N3374" s="335" t="str">
        <f>IF(MAXIFS('単価履歴'!$O:$O,'単価履歴'!$E:$E,E3374,'単価履歴'!$F:$F,F3374)=O3374,"●","")</f>
        <v/>
      </c>
      <c r="O3374" s="346">
        <v>45973.273368055554</v>
      </c>
      <c r="P3374" s="334" t="str">
        <f t="shared" si="4"/>
        <v>大鉄　堺:産振新断Ａ</v>
      </c>
    </row>
    <row r="3375" ht="15.75" customHeight="1">
      <c r="A3375" s="335" t="s">
        <v>4522</v>
      </c>
      <c r="B3375" s="336">
        <v>45973.0</v>
      </c>
      <c r="C3375" s="335" t="s">
        <v>9</v>
      </c>
      <c r="D3375" s="335" t="s">
        <v>50</v>
      </c>
      <c r="E3375" s="337" t="str">
        <f t="shared" si="1"/>
        <v>大鉄　堺:産振</v>
      </c>
      <c r="F3375" s="338" t="s">
        <v>131</v>
      </c>
      <c r="G3375" s="339" t="str">
        <f t="shared" si="2"/>
        <v>大鉄　堺:産振新断Ｂ</v>
      </c>
      <c r="H3375" s="340">
        <f t="shared" si="3"/>
        <v>42.2</v>
      </c>
      <c r="I3375" s="341">
        <v>0.5</v>
      </c>
      <c r="J3375" s="332">
        <f>IFERROR(__xludf.DUMMYFUNCTION("IF(IF(COUNTIF(P$2:P3374, P3375)=0, """", INDEX(H$2:H3374,
MAX(FILTER(ROW(H$2:H3374) - ROW(H$2) + 1, P$2:P3374 = P3375))))=""単価"","""",
IF(COUNTIF(P$2:P3374, P3375)=0, """", INDEX(H$2:H3374,
MAX(FILTER(ROW(H$2:H3374) - ROW(H$2) + 1, P$2:P3374 = P3375)))))"),41.7)</f>
        <v>41.7</v>
      </c>
      <c r="N3375" s="335" t="str">
        <f>IF(MAXIFS('単価履歴'!$O:$O,'単価履歴'!$E:$E,E3375,'単価履歴'!$F:$F,F3375)=O3375,"●","")</f>
        <v/>
      </c>
      <c r="O3375" s="346">
        <v>45973.273368055554</v>
      </c>
      <c r="P3375" s="334" t="str">
        <f t="shared" si="4"/>
        <v>大鉄　堺:産振新断Ｂ</v>
      </c>
    </row>
    <row r="3376" ht="15.75" customHeight="1">
      <c r="A3376" s="335" t="s">
        <v>4523</v>
      </c>
      <c r="B3376" s="336">
        <v>45973.0</v>
      </c>
      <c r="C3376" s="335" t="s">
        <v>9</v>
      </c>
      <c r="D3376" s="335" t="s">
        <v>49</v>
      </c>
      <c r="E3376" s="337" t="str">
        <f t="shared" si="1"/>
        <v>大鉄　堺:伊藤忠</v>
      </c>
      <c r="F3376" s="338" t="s">
        <v>111</v>
      </c>
      <c r="G3376" s="339" t="str">
        <f t="shared" si="2"/>
        <v>大鉄　堺:伊藤忠Ｈ１(特A)</v>
      </c>
      <c r="H3376" s="340">
        <f t="shared" si="3"/>
        <v>29.3</v>
      </c>
      <c r="I3376" s="341">
        <v>0.5</v>
      </c>
      <c r="J3376" s="332">
        <f>IFERROR(__xludf.DUMMYFUNCTION("IF(IF(COUNTIF(P$2:P3375, P3376)=0, """", INDEX(H$2:H3375,
MAX(FILTER(ROW(H$2:H3375) - ROW(H$2) + 1, P$2:P3375 = P3376))))=""単価"","""",
IF(COUNTIF(P$2:P3375, P3376)=0, """", INDEX(H$2:H3375,
MAX(FILTER(ROW(H$2:H3375) - ROW(H$2) + 1, P$2:P3375 = P3376)))))"),28.8)</f>
        <v>28.8</v>
      </c>
      <c r="N3376" s="335" t="str">
        <f>IF(MAXIFS('単価履歴'!$O:$O,'単価履歴'!$E:$E,E3376,'単価履歴'!$F:$F,F3376)=O3376,"●","")</f>
        <v/>
      </c>
      <c r="O3376" s="346">
        <v>45973.27358796296</v>
      </c>
      <c r="P3376" s="334" t="str">
        <f t="shared" si="4"/>
        <v>大鉄　堺:伊藤忠Ｈ１(特A)</v>
      </c>
    </row>
    <row r="3377" ht="15.75" customHeight="1">
      <c r="A3377" s="335" t="s">
        <v>4524</v>
      </c>
      <c r="B3377" s="336">
        <v>45973.0</v>
      </c>
      <c r="C3377" s="335" t="s">
        <v>9</v>
      </c>
      <c r="D3377" s="335" t="s">
        <v>49</v>
      </c>
      <c r="E3377" s="337" t="str">
        <f t="shared" si="1"/>
        <v>大鉄　堺:伊藤忠</v>
      </c>
      <c r="F3377" s="338" t="s">
        <v>1237</v>
      </c>
      <c r="G3377" s="339" t="str">
        <f t="shared" si="2"/>
        <v>大鉄　堺:伊藤忠ＪＨ１(H2T山口)鍛造ﾊﾞﾘ</v>
      </c>
      <c r="H3377" s="340">
        <f t="shared" si="3"/>
        <v>36.7</v>
      </c>
      <c r="I3377" s="341">
        <v>0.5</v>
      </c>
      <c r="J3377" s="332">
        <f>IFERROR(__xludf.DUMMYFUNCTION("IF(IF(COUNTIF(P$2:P3376, P3377)=0, """", INDEX(H$2:H3376,
MAX(FILTER(ROW(H$2:H3376) - ROW(H$2) + 1, P$2:P3376 = P3377))))=""単価"","""",
IF(COUNTIF(P$2:P3376, P3377)=0, """", INDEX(H$2:H3376,
MAX(FILTER(ROW(H$2:H3376) - ROW(H$2) + 1, P$2:P3376 = P3377)))))"),36.2)</f>
        <v>36.2</v>
      </c>
      <c r="N3377" s="335" t="str">
        <f>IF(MAXIFS('単価履歴'!$O:$O,'単価履歴'!$E:$E,E3377,'単価履歴'!$F:$F,F3377)=O3377,"●","")</f>
        <v/>
      </c>
      <c r="O3377" s="346">
        <v>45973.27358796296</v>
      </c>
      <c r="P3377" s="334" t="str">
        <f t="shared" si="4"/>
        <v>大鉄　堺:伊藤忠ＪＨ１(H2T山口)鍛造ﾊﾞﾘ</v>
      </c>
    </row>
    <row r="3378" ht="15.75" customHeight="1">
      <c r="A3378" s="335" t="s">
        <v>4525</v>
      </c>
      <c r="B3378" s="336">
        <v>45973.0</v>
      </c>
      <c r="C3378" s="335" t="s">
        <v>9</v>
      </c>
      <c r="D3378" s="335" t="s">
        <v>49</v>
      </c>
      <c r="E3378" s="337" t="str">
        <f t="shared" si="1"/>
        <v>大鉄　堺:伊藤忠</v>
      </c>
      <c r="F3378" s="338" t="s">
        <v>116</v>
      </c>
      <c r="G3378" s="339" t="str">
        <f t="shared" si="2"/>
        <v>大鉄　堺:伊藤忠Ｈ２(特級)</v>
      </c>
      <c r="H3378" s="340">
        <f t="shared" si="3"/>
        <v>34.5</v>
      </c>
      <c r="I3378" s="341">
        <v>0.5</v>
      </c>
      <c r="J3378" s="332">
        <f>IFERROR(__xludf.DUMMYFUNCTION("IF(IF(COUNTIF(P$2:P3377, P3378)=0, """", INDEX(H$2:H3377,
MAX(FILTER(ROW(H$2:H3377) - ROW(H$2) + 1, P$2:P3377 = P3378))))=""単価"","""",
IF(COUNTIF(P$2:P3377, P3378)=0, """", INDEX(H$2:H3377,
MAX(FILTER(ROW(H$2:H3377) - ROW(H$2) + 1, P$2:P3377 = P3378)))))"),34.0)</f>
        <v>34</v>
      </c>
      <c r="N3378" s="335" t="str">
        <f>IF(MAXIFS('単価履歴'!$O:$O,'単価履歴'!$E:$E,E3378,'単価履歴'!$F:$F,F3378)=O3378,"●","")</f>
        <v/>
      </c>
      <c r="O3378" s="346">
        <v>45973.27358796296</v>
      </c>
      <c r="P3378" s="334" t="str">
        <f t="shared" si="4"/>
        <v>大鉄　堺:伊藤忠Ｈ２(特級)</v>
      </c>
    </row>
    <row r="3379" ht="15.75" customHeight="1">
      <c r="A3379" s="335" t="s">
        <v>4526</v>
      </c>
      <c r="B3379" s="336">
        <v>45973.0</v>
      </c>
      <c r="C3379" s="335" t="s">
        <v>9</v>
      </c>
      <c r="D3379" s="335" t="s">
        <v>49</v>
      </c>
      <c r="E3379" s="337" t="str">
        <f t="shared" si="1"/>
        <v>大鉄　堺:伊藤忠</v>
      </c>
      <c r="F3379" s="338" t="s">
        <v>119</v>
      </c>
      <c r="G3379" s="339" t="str">
        <f t="shared" si="2"/>
        <v>大鉄　堺:伊藤忠Ｈ３(1級)</v>
      </c>
      <c r="H3379" s="340">
        <f t="shared" si="3"/>
        <v>33.5</v>
      </c>
      <c r="I3379" s="341">
        <v>0.5</v>
      </c>
      <c r="J3379" s="332">
        <f>IFERROR(__xludf.DUMMYFUNCTION("IF(IF(COUNTIF(P$2:P3378, P3379)=0, """", INDEX(H$2:H3378,
MAX(FILTER(ROW(H$2:H3378) - ROW(H$2) + 1, P$2:P3378 = P3379))))=""単価"","""",
IF(COUNTIF(P$2:P3378, P3379)=0, """", INDEX(H$2:H3378,
MAX(FILTER(ROW(H$2:H3378) - ROW(H$2) + 1, P$2:P3378 = P3379)))))"),33.0)</f>
        <v>33</v>
      </c>
      <c r="N3379" s="335" t="str">
        <f>IF(MAXIFS('単価履歴'!$O:$O,'単価履歴'!$E:$E,E3379,'単価履歴'!$F:$F,F3379)=O3379,"●","")</f>
        <v/>
      </c>
      <c r="O3379" s="346">
        <v>45973.27358796296</v>
      </c>
      <c r="P3379" s="334" t="str">
        <f t="shared" si="4"/>
        <v>大鉄　堺:伊藤忠Ｈ３(1級)</v>
      </c>
    </row>
    <row r="3380" ht="15.75" customHeight="1">
      <c r="A3380" s="335" t="s">
        <v>4527</v>
      </c>
      <c r="B3380" s="336">
        <v>45973.0</v>
      </c>
      <c r="C3380" s="335" t="s">
        <v>9</v>
      </c>
      <c r="D3380" s="335" t="s">
        <v>49</v>
      </c>
      <c r="E3380" s="337" t="str">
        <f t="shared" si="1"/>
        <v>大鉄　堺:伊藤忠</v>
      </c>
      <c r="F3380" s="338" t="s">
        <v>122</v>
      </c>
      <c r="G3380" s="339" t="str">
        <f t="shared" si="2"/>
        <v>大鉄　堺:伊藤忠Ｌ１(2級)</v>
      </c>
      <c r="H3380" s="340">
        <f t="shared" si="3"/>
        <v>32.5</v>
      </c>
      <c r="I3380" s="341">
        <v>0.5</v>
      </c>
      <c r="J3380" s="332">
        <f>IFERROR(__xludf.DUMMYFUNCTION("IF(IF(COUNTIF(P$2:P3379, P3380)=0, """", INDEX(H$2:H3379,
MAX(FILTER(ROW(H$2:H3379) - ROW(H$2) + 1, P$2:P3379 = P3380))))=""単価"","""",
IF(COUNTIF(P$2:P3379, P3380)=0, """", INDEX(H$2:H3379,
MAX(FILTER(ROW(H$2:H3379) - ROW(H$2) + 1, P$2:P3379 = P3380)))))"),32.0)</f>
        <v>32</v>
      </c>
      <c r="N3380" s="335" t="str">
        <f>IF(MAXIFS('単価履歴'!$O:$O,'単価履歴'!$E:$E,E3380,'単価履歴'!$F:$F,F3380)=O3380,"●","")</f>
        <v/>
      </c>
      <c r="O3380" s="346">
        <v>45973.27358796296</v>
      </c>
      <c r="P3380" s="334" t="str">
        <f t="shared" si="4"/>
        <v>大鉄　堺:伊藤忠Ｌ１(2級)</v>
      </c>
    </row>
    <row r="3381" ht="15.75" customHeight="1">
      <c r="A3381" s="335" t="s">
        <v>4528</v>
      </c>
      <c r="B3381" s="336">
        <v>45973.0</v>
      </c>
      <c r="C3381" s="335" t="s">
        <v>9</v>
      </c>
      <c r="D3381" s="335" t="s">
        <v>49</v>
      </c>
      <c r="E3381" s="337" t="str">
        <f t="shared" si="1"/>
        <v>大鉄　堺:伊藤忠</v>
      </c>
      <c r="F3381" s="338" t="s">
        <v>130</v>
      </c>
      <c r="G3381" s="339" t="str">
        <f t="shared" si="2"/>
        <v>大鉄　堺:伊藤忠新断Ａ</v>
      </c>
      <c r="H3381" s="340">
        <f t="shared" si="3"/>
        <v>28.8</v>
      </c>
      <c r="I3381" s="341">
        <v>0.5</v>
      </c>
      <c r="J3381" s="332">
        <f>IFERROR(__xludf.DUMMYFUNCTION("IF(IF(COUNTIF(P$2:P3380, P3381)=0, """", INDEX(H$2:H3380,
MAX(FILTER(ROW(H$2:H3380) - ROW(H$2) + 1, P$2:P3380 = P3381))))=""単価"","""",
IF(COUNTIF(P$2:P3380, P3381)=0, """", INDEX(H$2:H3380,
MAX(FILTER(ROW(H$2:H3380) - ROW(H$2) + 1, P$2:P3380 = P3381)))))"),28.3)</f>
        <v>28.3</v>
      </c>
      <c r="N3381" s="335" t="str">
        <f>IF(MAXIFS('単価履歴'!$O:$O,'単価履歴'!$E:$E,E3381,'単価履歴'!$F:$F,F3381)=O3381,"●","")</f>
        <v/>
      </c>
      <c r="O3381" s="346">
        <v>45973.27358796296</v>
      </c>
      <c r="P3381" s="334" t="str">
        <f t="shared" si="4"/>
        <v>大鉄　堺:伊藤忠新断Ａ</v>
      </c>
    </row>
    <row r="3382" ht="15.75" customHeight="1">
      <c r="A3382" s="335" t="s">
        <v>4529</v>
      </c>
      <c r="B3382" s="336">
        <v>45973.0</v>
      </c>
      <c r="C3382" s="335" t="s">
        <v>9</v>
      </c>
      <c r="D3382" s="335" t="s">
        <v>49</v>
      </c>
      <c r="E3382" s="337" t="str">
        <f t="shared" si="1"/>
        <v>大鉄　堺:伊藤忠</v>
      </c>
      <c r="F3382" s="338" t="s">
        <v>131</v>
      </c>
      <c r="G3382" s="339" t="str">
        <f t="shared" si="2"/>
        <v>大鉄　堺:伊藤忠新断Ｂ</v>
      </c>
      <c r="H3382" s="340">
        <f t="shared" si="3"/>
        <v>28.3</v>
      </c>
      <c r="I3382" s="341">
        <v>0.5</v>
      </c>
      <c r="J3382" s="332">
        <f>IFERROR(__xludf.DUMMYFUNCTION("IF(IF(COUNTIF(P$2:P3381, P3382)=0, """", INDEX(H$2:H3381,
MAX(FILTER(ROW(H$2:H3381) - ROW(H$2) + 1, P$2:P3381 = P3382))))=""単価"","""",
IF(COUNTIF(P$2:P3381, P3382)=0, """", INDEX(H$2:H3381,
MAX(FILTER(ROW(H$2:H3381) - ROW(H$2) + 1, P$2:P3381 = P3382)))))"),27.8)</f>
        <v>27.8</v>
      </c>
      <c r="N3382" s="335" t="str">
        <f>IF(MAXIFS('単価履歴'!$O:$O,'単価履歴'!$E:$E,E3382,'単価履歴'!$F:$F,F3382)=O3382,"●","")</f>
        <v/>
      </c>
      <c r="O3382" s="346">
        <v>45973.27358796296</v>
      </c>
      <c r="P3382" s="334" t="str">
        <f t="shared" si="4"/>
        <v>大鉄　堺:伊藤忠新断Ｂ</v>
      </c>
    </row>
    <row r="3383" ht="15.75" customHeight="1">
      <c r="A3383" s="335" t="s">
        <v>4530</v>
      </c>
      <c r="B3383" s="336">
        <v>45973.0</v>
      </c>
      <c r="C3383" s="335" t="s">
        <v>10</v>
      </c>
      <c r="D3383" s="335" t="s">
        <v>47</v>
      </c>
      <c r="E3383" s="337" t="str">
        <f t="shared" si="1"/>
        <v>岸和田:豊通</v>
      </c>
      <c r="F3383" s="338" t="s">
        <v>111</v>
      </c>
      <c r="G3383" s="339" t="str">
        <f t="shared" si="2"/>
        <v>岸和田:豊通Ｈ１(特A)</v>
      </c>
      <c r="H3383" s="340">
        <f t="shared" si="3"/>
        <v>44.5</v>
      </c>
      <c r="I3383" s="341">
        <v>0.5</v>
      </c>
      <c r="J3383" s="332">
        <f>IFERROR(__xludf.DUMMYFUNCTION("IF(IF(COUNTIF(P$2:P3382, P3383)=0, """", INDEX(H$2:H3382,
MAX(FILTER(ROW(H$2:H3382) - ROW(H$2) + 1, P$2:P3382 = P3383))))=""単価"","""",
IF(COUNTIF(P$2:P3382, P3383)=0, """", INDEX(H$2:H3382,
MAX(FILTER(ROW(H$2:H3382) - ROW(H$2) + 1, P$2:P3382 = P3383)))))"),44.0)</f>
        <v>44</v>
      </c>
      <c r="N3383" s="335" t="str">
        <f>IF(MAXIFS('単価履歴'!$O:$O,'単価履歴'!$E:$E,E3383,'単価履歴'!$F:$F,F3383)=O3383,"●","")</f>
        <v/>
      </c>
      <c r="O3383" s="346">
        <v>45973.273888888885</v>
      </c>
      <c r="P3383" s="334" t="str">
        <f t="shared" si="4"/>
        <v>岸和田:豊通Ｈ１(特A)</v>
      </c>
    </row>
    <row r="3384" ht="15.75" customHeight="1">
      <c r="A3384" s="335" t="s">
        <v>4531</v>
      </c>
      <c r="B3384" s="336">
        <v>45973.0</v>
      </c>
      <c r="C3384" s="335" t="s">
        <v>10</v>
      </c>
      <c r="D3384" s="335" t="s">
        <v>47</v>
      </c>
      <c r="E3384" s="337" t="str">
        <f t="shared" si="1"/>
        <v>岸和田:豊通</v>
      </c>
      <c r="F3384" s="338" t="s">
        <v>116</v>
      </c>
      <c r="G3384" s="339" t="str">
        <f t="shared" si="2"/>
        <v>岸和田:豊通Ｈ２(特級)</v>
      </c>
      <c r="H3384" s="340">
        <f t="shared" si="3"/>
        <v>42</v>
      </c>
      <c r="I3384" s="341">
        <v>0.5</v>
      </c>
      <c r="J3384" s="332">
        <f>IFERROR(__xludf.DUMMYFUNCTION("IF(IF(COUNTIF(P$2:P3383, P3384)=0, """", INDEX(H$2:H3383,
MAX(FILTER(ROW(H$2:H3383) - ROW(H$2) + 1, P$2:P3383 = P3384))))=""単価"","""",
IF(COUNTIF(P$2:P3383, P3384)=0, """", INDEX(H$2:H3383,
MAX(FILTER(ROW(H$2:H3383) - ROW(H$2) + 1, P$2:P3383 = P3384)))))"),41.5)</f>
        <v>41.5</v>
      </c>
      <c r="N3384" s="335" t="str">
        <f>IF(MAXIFS('単価履歴'!$O:$O,'単価履歴'!$E:$E,E3384,'単価履歴'!$F:$F,F3384)=O3384,"●","")</f>
        <v/>
      </c>
      <c r="O3384" s="346">
        <v>45973.273888888885</v>
      </c>
      <c r="P3384" s="334" t="str">
        <f t="shared" si="4"/>
        <v>岸和田:豊通Ｈ２(特級)</v>
      </c>
    </row>
    <row r="3385" ht="15.75" customHeight="1">
      <c r="A3385" s="335" t="s">
        <v>4532</v>
      </c>
      <c r="B3385" s="336">
        <v>45973.0</v>
      </c>
      <c r="C3385" s="335" t="s">
        <v>10</v>
      </c>
      <c r="D3385" s="335" t="s">
        <v>47</v>
      </c>
      <c r="E3385" s="337" t="str">
        <f t="shared" si="1"/>
        <v>岸和田:豊通</v>
      </c>
      <c r="F3385" s="338" t="s">
        <v>119</v>
      </c>
      <c r="G3385" s="339" t="str">
        <f t="shared" si="2"/>
        <v>岸和田:豊通Ｈ３(1級)</v>
      </c>
      <c r="H3385" s="340">
        <f t="shared" si="3"/>
        <v>41.5</v>
      </c>
      <c r="I3385" s="341">
        <v>0.5</v>
      </c>
      <c r="J3385" s="332">
        <f>IFERROR(__xludf.DUMMYFUNCTION("IF(IF(COUNTIF(P$2:P3384, P3385)=0, """", INDEX(H$2:H3384,
MAX(FILTER(ROW(H$2:H3384) - ROW(H$2) + 1, P$2:P3384 = P3385))))=""単価"","""",
IF(COUNTIF(P$2:P3384, P3385)=0, """", INDEX(H$2:H3384,
MAX(FILTER(ROW(H$2:H3384) - ROW(H$2) + 1, P$2:P3384 = P3385)))))"),41.0)</f>
        <v>41</v>
      </c>
      <c r="N3385" s="335" t="str">
        <f>IF(MAXIFS('単価履歴'!$O:$O,'単価履歴'!$E:$E,E3385,'単価履歴'!$F:$F,F3385)=O3385,"●","")</f>
        <v/>
      </c>
      <c r="O3385" s="346">
        <v>45973.273888888885</v>
      </c>
      <c r="P3385" s="334" t="str">
        <f t="shared" si="4"/>
        <v>岸和田:豊通Ｈ３(1級)</v>
      </c>
    </row>
    <row r="3386" ht="15.75" customHeight="1">
      <c r="A3386" s="335" t="s">
        <v>4533</v>
      </c>
      <c r="B3386" s="336">
        <v>45973.0</v>
      </c>
      <c r="C3386" s="335" t="s">
        <v>10</v>
      </c>
      <c r="D3386" s="335" t="s">
        <v>47</v>
      </c>
      <c r="E3386" s="337" t="str">
        <f t="shared" si="1"/>
        <v>岸和田:豊通</v>
      </c>
      <c r="F3386" s="338" t="s">
        <v>122</v>
      </c>
      <c r="G3386" s="339" t="str">
        <f t="shared" si="2"/>
        <v>岸和田:豊通Ｌ１(2級)</v>
      </c>
      <c r="H3386" s="340">
        <f t="shared" si="3"/>
        <v>41</v>
      </c>
      <c r="I3386" s="341">
        <v>0.5</v>
      </c>
      <c r="J3386" s="332">
        <f>IFERROR(__xludf.DUMMYFUNCTION("IF(IF(COUNTIF(P$2:P3385, P3386)=0, """", INDEX(H$2:H3385,
MAX(FILTER(ROW(H$2:H3385) - ROW(H$2) + 1, P$2:P3385 = P3386))))=""単価"","""",
IF(COUNTIF(P$2:P3385, P3386)=0, """", INDEX(H$2:H3385,
MAX(FILTER(ROW(H$2:H3385) - ROW(H$2) + 1, P$2:P3385 = P3386)))))"),40.5)</f>
        <v>40.5</v>
      </c>
      <c r="N3386" s="335" t="str">
        <f>IF(MAXIFS('単価履歴'!$O:$O,'単価履歴'!$E:$E,E3386,'単価履歴'!$F:$F,F3386)=O3386,"●","")</f>
        <v/>
      </c>
      <c r="O3386" s="346">
        <v>45973.273888888885</v>
      </c>
      <c r="P3386" s="334" t="str">
        <f t="shared" si="4"/>
        <v>岸和田:豊通Ｌ１(2級)</v>
      </c>
    </row>
    <row r="3387" ht="15.75" customHeight="1">
      <c r="A3387" s="335" t="s">
        <v>4534</v>
      </c>
      <c r="B3387" s="336">
        <v>45973.0</v>
      </c>
      <c r="C3387" s="335" t="s">
        <v>10</v>
      </c>
      <c r="D3387" s="335" t="s">
        <v>47</v>
      </c>
      <c r="E3387" s="337" t="str">
        <f t="shared" si="1"/>
        <v>岸和田:豊通</v>
      </c>
      <c r="F3387" s="338" t="s">
        <v>154</v>
      </c>
      <c r="G3387" s="339" t="str">
        <f t="shared" si="2"/>
        <v>岸和田:豊通ＣＰ Ａ</v>
      </c>
      <c r="H3387" s="340">
        <f t="shared" si="3"/>
        <v>44.2</v>
      </c>
      <c r="I3387" s="341">
        <v>0.5</v>
      </c>
      <c r="J3387" s="332">
        <f>IFERROR(__xludf.DUMMYFUNCTION("IF(IF(COUNTIF(P$2:P3386, P3387)=0, """", INDEX(H$2:H3386,
MAX(FILTER(ROW(H$2:H3386) - ROW(H$2) + 1, P$2:P3386 = P3387))))=""単価"","""",
IF(COUNTIF(P$2:P3386, P3387)=0, """", INDEX(H$2:H3386,
MAX(FILTER(ROW(H$2:H3386) - ROW(H$2) + 1, P$2:P3386 = P3387)))))"),43.7)</f>
        <v>43.7</v>
      </c>
      <c r="N3387" s="335" t="str">
        <f>IF(MAXIFS('単価履歴'!$O:$O,'単価履歴'!$E:$E,E3387,'単価履歴'!$F:$F,F3387)=O3387,"●","")</f>
        <v/>
      </c>
      <c r="O3387" s="346">
        <v>45973.273888888885</v>
      </c>
      <c r="P3387" s="334" t="str">
        <f t="shared" si="4"/>
        <v>岸和田:豊通ＣＰ Ａ</v>
      </c>
    </row>
    <row r="3388" ht="15.75" customHeight="1">
      <c r="A3388" s="335" t="s">
        <v>4535</v>
      </c>
      <c r="B3388" s="336">
        <v>45973.0</v>
      </c>
      <c r="C3388" s="335" t="s">
        <v>10</v>
      </c>
      <c r="D3388" s="335" t="s">
        <v>46</v>
      </c>
      <c r="E3388" s="337" t="str">
        <f t="shared" si="1"/>
        <v>岸和田:阪和</v>
      </c>
      <c r="F3388" s="338" t="s">
        <v>149</v>
      </c>
      <c r="G3388" s="339" t="str">
        <f t="shared" si="2"/>
        <v>岸和田:阪和シュレＢ</v>
      </c>
      <c r="H3388" s="340">
        <f t="shared" si="3"/>
        <v>43.8</v>
      </c>
      <c r="I3388" s="341">
        <v>0.5</v>
      </c>
      <c r="J3388" s="332">
        <f>IFERROR(__xludf.DUMMYFUNCTION("IF(IF(COUNTIF(P$2:P3387, P3388)=0, """", INDEX(H$2:H3387,
MAX(FILTER(ROW(H$2:H3387) - ROW(H$2) + 1, P$2:P3387 = P3388))))=""単価"","""",
IF(COUNTIF(P$2:P3387, P3388)=0, """", INDEX(H$2:H3387,
MAX(FILTER(ROW(H$2:H3387) - ROW(H$2) + 1, P$2:P3387 = P3388)))))"),43.3)</f>
        <v>43.3</v>
      </c>
      <c r="N3388" s="335" t="str">
        <f>IF(MAXIFS('単価履歴'!$O:$O,'単価履歴'!$E:$E,E3388,'単価履歴'!$F:$F,F3388)=O3388,"●","")</f>
        <v/>
      </c>
      <c r="O3388" s="346">
        <v>45973.274259259255</v>
      </c>
      <c r="P3388" s="334" t="str">
        <f t="shared" si="4"/>
        <v>岸和田:阪和シュレＢ</v>
      </c>
    </row>
    <row r="3389" ht="15.75" customHeight="1">
      <c r="A3389" s="335" t="s">
        <v>4536</v>
      </c>
      <c r="B3389" s="336">
        <v>45973.0</v>
      </c>
      <c r="C3389" s="335" t="s">
        <v>7</v>
      </c>
      <c r="D3389" s="335" t="s">
        <v>49</v>
      </c>
      <c r="E3389" s="337" t="str">
        <f t="shared" si="1"/>
        <v>合同大阪:伊藤忠</v>
      </c>
      <c r="F3389" s="338" t="s">
        <v>1199</v>
      </c>
      <c r="G3389" s="339" t="str">
        <f t="shared" si="2"/>
        <v>合同大阪:伊藤忠ＨＳ１(単体H1/電特A/HS))</v>
      </c>
      <c r="H3389" s="340">
        <f t="shared" si="3"/>
        <v>46.3</v>
      </c>
      <c r="I3389" s="341">
        <v>0.5</v>
      </c>
      <c r="J3389" s="332">
        <f>IFERROR(__xludf.DUMMYFUNCTION("IF(IF(COUNTIF(P$2:P3388, P3389)=0, """", INDEX(H$2:H3388,
MAX(FILTER(ROW(H$2:H3388) - ROW(H$2) + 1, P$2:P3388 = P3389))))=""単価"","""",
IF(COUNTIF(P$2:P3388, P3389)=0, """", INDEX(H$2:H3388,
MAX(FILTER(ROW(H$2:H3388) - ROW(H$2) + 1, P$2:P3388 = P3389)))))"),45.8)</f>
        <v>45.8</v>
      </c>
      <c r="N3389" s="335" t="str">
        <f>IF(MAXIFS('単価履歴'!$O:$O,'単価履歴'!$E:$E,E3389,'単価履歴'!$F:$F,F3389)=O3389,"●","")</f>
        <v/>
      </c>
      <c r="O3389" s="346">
        <v>45973.2749537037</v>
      </c>
      <c r="P3389" s="334" t="str">
        <f t="shared" si="4"/>
        <v>合同大阪:伊藤忠ＨＳ１(単体H1/電特A/HS))</v>
      </c>
    </row>
    <row r="3390" ht="15.75" customHeight="1">
      <c r="A3390" s="335" t="s">
        <v>4537</v>
      </c>
      <c r="B3390" s="336">
        <v>45973.0</v>
      </c>
      <c r="C3390" s="335" t="s">
        <v>7</v>
      </c>
      <c r="D3390" s="335" t="s">
        <v>49</v>
      </c>
      <c r="E3390" s="337" t="str">
        <f t="shared" si="1"/>
        <v>合同大阪:伊藤忠</v>
      </c>
      <c r="F3390" s="338" t="s">
        <v>101</v>
      </c>
      <c r="G3390" s="339" t="str">
        <f t="shared" si="2"/>
        <v>合同大阪:伊藤忠ＨＳ２</v>
      </c>
      <c r="H3390" s="340">
        <f t="shared" si="3"/>
        <v>45.8</v>
      </c>
      <c r="I3390" s="341">
        <v>0.5</v>
      </c>
      <c r="J3390" s="332">
        <f>IFERROR(__xludf.DUMMYFUNCTION("IF(IF(COUNTIF(P$2:P3389, P3390)=0, """", INDEX(H$2:H3389,
MAX(FILTER(ROW(H$2:H3389) - ROW(H$2) + 1, P$2:P3389 = P3390))))=""単価"","""",
IF(COUNTIF(P$2:P3389, P3390)=0, """", INDEX(H$2:H3389,
MAX(FILTER(ROW(H$2:H3389) - ROW(H$2) + 1, P$2:P3389 = P3390)))))"),45.3)</f>
        <v>45.3</v>
      </c>
      <c r="N3390" s="335" t="str">
        <f>IF(MAXIFS('単価履歴'!$O:$O,'単価履歴'!$E:$E,E3390,'単価履歴'!$F:$F,F3390)=O3390,"●","")</f>
        <v/>
      </c>
      <c r="O3390" s="346">
        <v>45973.2749537037</v>
      </c>
      <c r="P3390" s="334" t="str">
        <f t="shared" si="4"/>
        <v>合同大阪:伊藤忠ＨＳ２</v>
      </c>
    </row>
    <row r="3391" ht="15.75" customHeight="1">
      <c r="A3391" s="335" t="s">
        <v>4538</v>
      </c>
      <c r="B3391" s="336">
        <v>45973.0</v>
      </c>
      <c r="C3391" s="335" t="s">
        <v>7</v>
      </c>
      <c r="D3391" s="335" t="s">
        <v>49</v>
      </c>
      <c r="E3391" s="337" t="str">
        <f t="shared" si="1"/>
        <v>合同大阪:伊藤忠</v>
      </c>
      <c r="F3391" s="338" t="s">
        <v>111</v>
      </c>
      <c r="G3391" s="339" t="str">
        <f t="shared" si="2"/>
        <v>合同大阪:伊藤忠Ｈ１(特A)</v>
      </c>
      <c r="H3391" s="340">
        <f t="shared" si="3"/>
        <v>46.3</v>
      </c>
      <c r="I3391" s="341">
        <v>0.5</v>
      </c>
      <c r="J3391" s="332">
        <f>IFERROR(__xludf.DUMMYFUNCTION("IF(IF(COUNTIF(P$2:P3390, P3391)=0, """", INDEX(H$2:H3390,
MAX(FILTER(ROW(H$2:H3390) - ROW(H$2) + 1, P$2:P3390 = P3391))))=""単価"","""",
IF(COUNTIF(P$2:P3390, P3391)=0, """", INDEX(H$2:H3390,
MAX(FILTER(ROW(H$2:H3390) - ROW(H$2) + 1, P$2:P3390 = P3391)))))"),45.8)</f>
        <v>45.8</v>
      </c>
      <c r="N3391" s="335" t="str">
        <f>IF(MAXIFS('単価履歴'!$O:$O,'単価履歴'!$E:$E,E3391,'単価履歴'!$F:$F,F3391)=O3391,"●","")</f>
        <v/>
      </c>
      <c r="O3391" s="346">
        <v>45973.2749537037</v>
      </c>
      <c r="P3391" s="334" t="str">
        <f t="shared" si="4"/>
        <v>合同大阪:伊藤忠Ｈ１(特A)</v>
      </c>
    </row>
    <row r="3392" ht="15.75" customHeight="1">
      <c r="A3392" s="335" t="s">
        <v>4539</v>
      </c>
      <c r="B3392" s="336">
        <v>45973.0</v>
      </c>
      <c r="C3392" s="335" t="s">
        <v>7</v>
      </c>
      <c r="D3392" s="335" t="s">
        <v>49</v>
      </c>
      <c r="E3392" s="337" t="str">
        <f t="shared" si="1"/>
        <v>合同大阪:伊藤忠</v>
      </c>
      <c r="F3392" s="338" t="s">
        <v>116</v>
      </c>
      <c r="G3392" s="339" t="str">
        <f t="shared" si="2"/>
        <v>合同大阪:伊藤忠Ｈ２(特級)</v>
      </c>
      <c r="H3392" s="340">
        <f t="shared" si="3"/>
        <v>44.8</v>
      </c>
      <c r="I3392" s="341">
        <v>0.5</v>
      </c>
      <c r="J3392" s="332">
        <f>IFERROR(__xludf.DUMMYFUNCTION("IF(IF(COUNTIF(P$2:P3391, P3392)=0, """", INDEX(H$2:H3391,
MAX(FILTER(ROW(H$2:H3391) - ROW(H$2) + 1, P$2:P3391 = P3392))))=""単価"","""",
IF(COUNTIF(P$2:P3391, P3392)=0, """", INDEX(H$2:H3391,
MAX(FILTER(ROW(H$2:H3391) - ROW(H$2) + 1, P$2:P3391 = P3392)))))"),44.3)</f>
        <v>44.3</v>
      </c>
      <c r="N3392" s="335" t="str">
        <f>IF(MAXIFS('単価履歴'!$O:$O,'単価履歴'!$E:$E,E3392,'単価履歴'!$F:$F,F3392)=O3392,"●","")</f>
        <v/>
      </c>
      <c r="O3392" s="346">
        <v>45973.2749537037</v>
      </c>
      <c r="P3392" s="334" t="str">
        <f t="shared" si="4"/>
        <v>合同大阪:伊藤忠Ｈ２(特級)</v>
      </c>
    </row>
    <row r="3393" ht="15.75" customHeight="1">
      <c r="A3393" s="335" t="s">
        <v>4540</v>
      </c>
      <c r="B3393" s="336">
        <v>45973.0</v>
      </c>
      <c r="C3393" s="335" t="s">
        <v>7</v>
      </c>
      <c r="D3393" s="335" t="s">
        <v>49</v>
      </c>
      <c r="E3393" s="337" t="str">
        <f t="shared" si="1"/>
        <v>合同大阪:伊藤忠</v>
      </c>
      <c r="F3393" s="338" t="s">
        <v>119</v>
      </c>
      <c r="G3393" s="339" t="str">
        <f t="shared" si="2"/>
        <v>合同大阪:伊藤忠Ｈ３(1級)</v>
      </c>
      <c r="H3393" s="340">
        <f t="shared" si="3"/>
        <v>44.3</v>
      </c>
      <c r="I3393" s="341">
        <v>0.5</v>
      </c>
      <c r="J3393" s="332">
        <f>IFERROR(__xludf.DUMMYFUNCTION("IF(IF(COUNTIF(P$2:P3392, P3393)=0, """", INDEX(H$2:H3392,
MAX(FILTER(ROW(H$2:H3392) - ROW(H$2) + 1, P$2:P3392 = P3393))))=""単価"","""",
IF(COUNTIF(P$2:P3392, P3393)=0, """", INDEX(H$2:H3392,
MAX(FILTER(ROW(H$2:H3392) - ROW(H$2) + 1, P$2:P3392 = P3393)))))"),43.8)</f>
        <v>43.8</v>
      </c>
      <c r="N3393" s="335" t="str">
        <f>IF(MAXIFS('単価履歴'!$O:$O,'単価履歴'!$E:$E,E3393,'単価履歴'!$F:$F,F3393)=O3393,"●","")</f>
        <v/>
      </c>
      <c r="O3393" s="346">
        <v>45973.2749537037</v>
      </c>
      <c r="P3393" s="334" t="str">
        <f t="shared" si="4"/>
        <v>合同大阪:伊藤忠Ｈ３(1級)</v>
      </c>
    </row>
    <row r="3394" ht="15.75" customHeight="1">
      <c r="A3394" s="335" t="s">
        <v>4541</v>
      </c>
      <c r="B3394" s="336">
        <v>45973.0</v>
      </c>
      <c r="C3394" s="335" t="s">
        <v>7</v>
      </c>
      <c r="D3394" s="335" t="s">
        <v>49</v>
      </c>
      <c r="E3394" s="337" t="str">
        <f t="shared" si="1"/>
        <v>合同大阪:伊藤忠</v>
      </c>
      <c r="F3394" s="338" t="s">
        <v>122</v>
      </c>
      <c r="G3394" s="339" t="str">
        <f t="shared" si="2"/>
        <v>合同大阪:伊藤忠Ｌ１(2級)</v>
      </c>
      <c r="H3394" s="340">
        <f t="shared" si="3"/>
        <v>43.3</v>
      </c>
      <c r="I3394" s="341">
        <v>0.5</v>
      </c>
      <c r="J3394" s="332">
        <f>IFERROR(__xludf.DUMMYFUNCTION("IF(IF(COUNTIF(P$2:P3393, P3394)=0, """", INDEX(H$2:H3393,
MAX(FILTER(ROW(H$2:H3393) - ROW(H$2) + 1, P$2:P3393 = P3394))))=""単価"","""",
IF(COUNTIF(P$2:P3393, P3394)=0, """", INDEX(H$2:H3393,
MAX(FILTER(ROW(H$2:H3393) - ROW(H$2) + 1, P$2:P3393 = P3394)))))"),42.8)</f>
        <v>42.8</v>
      </c>
      <c r="N3394" s="335" t="str">
        <f>IF(MAXIFS('単価履歴'!$O:$O,'単価履歴'!$E:$E,E3394,'単価履歴'!$F:$F,F3394)=O3394,"●","")</f>
        <v/>
      </c>
      <c r="O3394" s="346">
        <v>45973.2749537037</v>
      </c>
      <c r="P3394" s="334" t="str">
        <f t="shared" si="4"/>
        <v>合同大阪:伊藤忠Ｌ１(2級)</v>
      </c>
    </row>
    <row r="3395" ht="15.75" customHeight="1">
      <c r="A3395" s="335" t="s">
        <v>4542</v>
      </c>
      <c r="B3395" s="336">
        <v>45973.0</v>
      </c>
      <c r="C3395" s="335" t="s">
        <v>7</v>
      </c>
      <c r="D3395" s="335" t="s">
        <v>49</v>
      </c>
      <c r="E3395" s="337" t="str">
        <f t="shared" si="1"/>
        <v>合同大阪:伊藤忠</v>
      </c>
      <c r="F3395" s="338" t="s">
        <v>130</v>
      </c>
      <c r="G3395" s="339" t="str">
        <f t="shared" si="2"/>
        <v>合同大阪:伊藤忠新断Ａ</v>
      </c>
      <c r="H3395" s="340">
        <f t="shared" si="3"/>
        <v>45.8</v>
      </c>
      <c r="I3395" s="341">
        <v>0.5</v>
      </c>
      <c r="J3395" s="332">
        <f>IFERROR(__xludf.DUMMYFUNCTION("IF(IF(COUNTIF(P$2:P3394, P3395)=0, """", INDEX(H$2:H3394,
MAX(FILTER(ROW(H$2:H3394) - ROW(H$2) + 1, P$2:P3394 = P3395))))=""単価"","""",
IF(COUNTIF(P$2:P3394, P3395)=0, """", INDEX(H$2:H3394,
MAX(FILTER(ROW(H$2:H3394) - ROW(H$2) + 1, P$2:P3394 = P3395)))))"),45.3)</f>
        <v>45.3</v>
      </c>
      <c r="N3395" s="335" t="str">
        <f>IF(MAXIFS('単価履歴'!$O:$O,'単価履歴'!$E:$E,E3395,'単価履歴'!$F:$F,F3395)=O3395,"●","")</f>
        <v/>
      </c>
      <c r="O3395" s="346">
        <v>45973.2749537037</v>
      </c>
      <c r="P3395" s="334" t="str">
        <f t="shared" si="4"/>
        <v>合同大阪:伊藤忠新断Ａ</v>
      </c>
    </row>
    <row r="3396" ht="15.75" customHeight="1">
      <c r="A3396" s="335" t="s">
        <v>4543</v>
      </c>
      <c r="B3396" s="336">
        <v>45973.0</v>
      </c>
      <c r="C3396" s="335" t="s">
        <v>7</v>
      </c>
      <c r="D3396" s="335" t="s">
        <v>49</v>
      </c>
      <c r="E3396" s="337" t="str">
        <f t="shared" si="1"/>
        <v>合同大阪:伊藤忠</v>
      </c>
      <c r="F3396" s="338" t="s">
        <v>131</v>
      </c>
      <c r="G3396" s="339" t="str">
        <f t="shared" si="2"/>
        <v>合同大阪:伊藤忠新断Ｂ</v>
      </c>
      <c r="H3396" s="340">
        <f t="shared" si="3"/>
        <v>45.3</v>
      </c>
      <c r="I3396" s="341">
        <v>0.5</v>
      </c>
      <c r="J3396" s="332">
        <f>IFERROR(__xludf.DUMMYFUNCTION("IF(IF(COUNTIF(P$2:P3395, P3396)=0, """", INDEX(H$2:H3395,
MAX(FILTER(ROW(H$2:H3395) - ROW(H$2) + 1, P$2:P3395 = P3396))))=""単価"","""",
IF(COUNTIF(P$2:P3395, P3396)=0, """", INDEX(H$2:H3395,
MAX(FILTER(ROW(H$2:H3395) - ROW(H$2) + 1, P$2:P3395 = P3396)))))"),44.8)</f>
        <v>44.8</v>
      </c>
      <c r="N3396" s="335" t="str">
        <f>IF(MAXIFS('単価履歴'!$O:$O,'単価履歴'!$E:$E,E3396,'単価履歴'!$F:$F,F3396)=O3396,"●","")</f>
        <v/>
      </c>
      <c r="O3396" s="346">
        <v>45973.2749537037</v>
      </c>
      <c r="P3396" s="334" t="str">
        <f t="shared" si="4"/>
        <v>合同大阪:伊藤忠新断Ｂ</v>
      </c>
    </row>
    <row r="3397" ht="15.75" customHeight="1">
      <c r="A3397" s="335" t="s">
        <v>4544</v>
      </c>
      <c r="B3397" s="336">
        <v>45973.0</v>
      </c>
      <c r="C3397" s="335" t="s">
        <v>7</v>
      </c>
      <c r="D3397" s="335" t="s">
        <v>49</v>
      </c>
      <c r="E3397" s="337" t="str">
        <f t="shared" si="1"/>
        <v>合同大阪:伊藤忠</v>
      </c>
      <c r="F3397" s="338" t="s">
        <v>575</v>
      </c>
      <c r="G3397" s="339" t="str">
        <f t="shared" si="2"/>
        <v>合同大阪:伊藤忠鋼ダライＡ</v>
      </c>
      <c r="H3397" s="340">
        <f t="shared" si="3"/>
        <v>34.3</v>
      </c>
      <c r="I3397" s="341">
        <v>0.5</v>
      </c>
      <c r="J3397" s="332">
        <f>IFERROR(__xludf.DUMMYFUNCTION("IF(IF(COUNTIF(P$2:P3396, P3397)=0, """", INDEX(H$2:H3396,
MAX(FILTER(ROW(H$2:H3396) - ROW(H$2) + 1, P$2:P3396 = P3397))))=""単価"","""",
IF(COUNTIF(P$2:P3396, P3397)=0, """", INDEX(H$2:H3396,
MAX(FILTER(ROW(H$2:H3396) - ROW(H$2) + 1, P$2:P3396 = P3397)))))"),33.8)</f>
        <v>33.8</v>
      </c>
      <c r="N3397" s="335" t="str">
        <f>IF(MAXIFS('単価履歴'!$O:$O,'単価履歴'!$E:$E,E3397,'単価履歴'!$F:$F,F3397)=O3397,"●","")</f>
        <v/>
      </c>
      <c r="O3397" s="346">
        <v>45973.2749537037</v>
      </c>
      <c r="P3397" s="334" t="str">
        <f t="shared" si="4"/>
        <v>合同大阪:伊藤忠鋼ダライＡ</v>
      </c>
    </row>
    <row r="3398" ht="15.75" customHeight="1">
      <c r="A3398" s="335" t="s">
        <v>4545</v>
      </c>
      <c r="B3398" s="336">
        <v>45973.0</v>
      </c>
      <c r="C3398" s="335" t="s">
        <v>7</v>
      </c>
      <c r="D3398" s="335" t="s">
        <v>49</v>
      </c>
      <c r="E3398" s="337" t="str">
        <f t="shared" si="1"/>
        <v>合同大阪:伊藤忠</v>
      </c>
      <c r="F3398" s="338" t="s">
        <v>576</v>
      </c>
      <c r="G3398" s="339" t="str">
        <f t="shared" si="2"/>
        <v>合同大阪:伊藤忠鋼ダライＢ</v>
      </c>
      <c r="H3398" s="340">
        <f t="shared" si="3"/>
        <v>33.8</v>
      </c>
      <c r="I3398" s="341">
        <v>0.5</v>
      </c>
      <c r="J3398" s="332">
        <f>IFERROR(__xludf.DUMMYFUNCTION("IF(IF(COUNTIF(P$2:P3397, P3398)=0, """", INDEX(H$2:H3397,
MAX(FILTER(ROW(H$2:H3397) - ROW(H$2) + 1, P$2:P3397 = P3398))))=""単価"","""",
IF(COUNTIF(P$2:P3397, P3398)=0, """", INDEX(H$2:H3397,
MAX(FILTER(ROW(H$2:H3397) - ROW(H$2) + 1, P$2:P3397 = P3398)))))"),33.3)</f>
        <v>33.3</v>
      </c>
      <c r="N3398" s="335" t="str">
        <f>IF(MAXIFS('単価履歴'!$O:$O,'単価履歴'!$E:$E,E3398,'単価履歴'!$F:$F,F3398)=O3398,"●","")</f>
        <v/>
      </c>
      <c r="O3398" s="346">
        <v>45973.2749537037</v>
      </c>
      <c r="P3398" s="334" t="str">
        <f t="shared" si="4"/>
        <v>合同大阪:伊藤忠鋼ダライＢ</v>
      </c>
    </row>
    <row r="3399" ht="15.75" customHeight="1">
      <c r="A3399" s="335" t="s">
        <v>4546</v>
      </c>
      <c r="B3399" s="336">
        <v>45973.0</v>
      </c>
      <c r="C3399" s="335" t="s">
        <v>22</v>
      </c>
      <c r="D3399" s="335" t="s">
        <v>47</v>
      </c>
      <c r="E3399" s="337" t="str">
        <f t="shared" si="1"/>
        <v>栗本鐵工:豊通</v>
      </c>
      <c r="F3399" s="338" t="s">
        <v>1199</v>
      </c>
      <c r="G3399" s="339" t="str">
        <f t="shared" si="2"/>
        <v>栗本鐵工:豊通ＨＳ１(単体H1/電特A/HS))</v>
      </c>
      <c r="H3399" s="340">
        <f t="shared" si="3"/>
        <v>49.3</v>
      </c>
      <c r="I3399" s="341">
        <v>0.5</v>
      </c>
      <c r="J3399" s="332">
        <f>IFERROR(__xludf.DUMMYFUNCTION("IF(IF(COUNTIF(P$2:P3398, P3399)=0, """", INDEX(H$2:H3398,
MAX(FILTER(ROW(H$2:H3398) - ROW(H$2) + 1, P$2:P3398 = P3399))))=""単価"","""",
IF(COUNTIF(P$2:P3398, P3399)=0, """", INDEX(H$2:H3398,
MAX(FILTER(ROW(H$2:H3398) - ROW(H$2) + 1, P$2:P3398 = P3399)))))"),48.8)</f>
        <v>48.8</v>
      </c>
      <c r="N3399" s="335" t="str">
        <f>IF(MAXIFS('単価履歴'!$O:$O,'単価履歴'!$E:$E,E3399,'単価履歴'!$F:$F,F3399)=O3399,"●","")</f>
        <v/>
      </c>
      <c r="O3399" s="346">
        <v>45973.27528935185</v>
      </c>
      <c r="P3399" s="334" t="str">
        <f t="shared" si="4"/>
        <v>栗本鐵工:豊通ＨＳ１(単体H1/電特A/HS))</v>
      </c>
    </row>
    <row r="3400" ht="15.75" customHeight="1">
      <c r="A3400" s="335" t="s">
        <v>4547</v>
      </c>
      <c r="B3400" s="336">
        <v>45973.0</v>
      </c>
      <c r="C3400" s="335" t="s">
        <v>22</v>
      </c>
      <c r="D3400" s="335" t="s">
        <v>47</v>
      </c>
      <c r="E3400" s="337" t="str">
        <f t="shared" si="1"/>
        <v>栗本鐵工:豊通</v>
      </c>
      <c r="F3400" s="338" t="s">
        <v>101</v>
      </c>
      <c r="G3400" s="339" t="str">
        <f t="shared" si="2"/>
        <v>栗本鐵工:豊通ＨＳ２</v>
      </c>
      <c r="H3400" s="340">
        <f t="shared" si="3"/>
        <v>49</v>
      </c>
      <c r="I3400" s="341">
        <v>0.5</v>
      </c>
      <c r="J3400" s="332">
        <f>IFERROR(__xludf.DUMMYFUNCTION("IF(IF(COUNTIF(P$2:P3399, P3400)=0, """", INDEX(H$2:H3399,
MAX(FILTER(ROW(H$2:H3399) - ROW(H$2) + 1, P$2:P3399 = P3400))))=""単価"","""",
IF(COUNTIF(P$2:P3399, P3400)=0, """", INDEX(H$2:H3399,
MAX(FILTER(ROW(H$2:H3399) - ROW(H$2) + 1, P$2:P3399 = P3400)))))"),48.5)</f>
        <v>48.5</v>
      </c>
      <c r="N3400" s="335" t="str">
        <f>IF(MAXIFS('単価履歴'!$O:$O,'単価履歴'!$E:$E,E3400,'単価履歴'!$F:$F,F3400)=O3400,"●","")</f>
        <v/>
      </c>
      <c r="O3400" s="346">
        <v>45973.27528935185</v>
      </c>
      <c r="P3400" s="334" t="str">
        <f t="shared" si="4"/>
        <v>栗本鐵工:豊通ＨＳ２</v>
      </c>
    </row>
    <row r="3401" ht="15.75" customHeight="1">
      <c r="A3401" s="335" t="s">
        <v>4548</v>
      </c>
      <c r="B3401" s="336">
        <v>45973.0</v>
      </c>
      <c r="C3401" s="335" t="s">
        <v>22</v>
      </c>
      <c r="D3401" s="335" t="s">
        <v>47</v>
      </c>
      <c r="E3401" s="337" t="str">
        <f t="shared" si="1"/>
        <v>栗本鐵工:豊通</v>
      </c>
      <c r="F3401" s="338" t="s">
        <v>105</v>
      </c>
      <c r="G3401" s="339" t="str">
        <f t="shared" si="2"/>
        <v>栗本鐵工:豊通ＨＳ３</v>
      </c>
      <c r="H3401" s="340">
        <f t="shared" si="3"/>
        <v>48.1</v>
      </c>
      <c r="I3401" s="341">
        <v>0.5</v>
      </c>
      <c r="J3401" s="332">
        <f>IFERROR(__xludf.DUMMYFUNCTION("IF(IF(COUNTIF(P$2:P3400, P3401)=0, """", INDEX(H$2:H3400,
MAX(FILTER(ROW(H$2:H3400) - ROW(H$2) + 1, P$2:P3400 = P3401))))=""単価"","""",
IF(COUNTIF(P$2:P3400, P3401)=0, """", INDEX(H$2:H3400,
MAX(FILTER(ROW(H$2:H3400) - ROW(H$2) + 1, P$2:P3400 = P3401)))))"),47.6)</f>
        <v>47.6</v>
      </c>
      <c r="N3401" s="335" t="str">
        <f>IF(MAXIFS('単価履歴'!$O:$O,'単価履歴'!$E:$E,E3401,'単価履歴'!$F:$F,F3401)=O3401,"●","")</f>
        <v/>
      </c>
      <c r="O3401" s="346">
        <v>45973.27528935185</v>
      </c>
      <c r="P3401" s="334" t="str">
        <f t="shared" si="4"/>
        <v>栗本鐵工:豊通ＨＳ３</v>
      </c>
    </row>
    <row r="3402" ht="15.75" customHeight="1">
      <c r="A3402" s="335" t="s">
        <v>4549</v>
      </c>
      <c r="B3402" s="336">
        <v>45973.0</v>
      </c>
      <c r="C3402" s="335" t="s">
        <v>22</v>
      </c>
      <c r="D3402" s="335" t="s">
        <v>47</v>
      </c>
      <c r="E3402" s="337" t="str">
        <f t="shared" si="1"/>
        <v>栗本鐵工:豊通</v>
      </c>
      <c r="F3402" s="338" t="s">
        <v>577</v>
      </c>
      <c r="G3402" s="339" t="str">
        <f t="shared" si="2"/>
        <v>栗本鐵工:豊通鋳物・ﾀﾞｸﾀｲﾙ</v>
      </c>
      <c r="H3402" s="340">
        <f t="shared" si="3"/>
        <v>47.9</v>
      </c>
      <c r="I3402" s="341">
        <v>0.5</v>
      </c>
      <c r="J3402" s="332">
        <f>IFERROR(__xludf.DUMMYFUNCTION("IF(IF(COUNTIF(P$2:P3401, P3402)=0, """", INDEX(H$2:H3401,
MAX(FILTER(ROW(H$2:H3401) - ROW(H$2) + 1, P$2:P3401 = P3402))))=""単価"","""",
IF(COUNTIF(P$2:P3401, P3402)=0, """", INDEX(H$2:H3401,
MAX(FILTER(ROW(H$2:H3401) - ROW(H$2) + 1, P$2:P3401 = P3402)))))"),47.4)</f>
        <v>47.4</v>
      </c>
      <c r="N3402" s="335" t="str">
        <f>IF(MAXIFS('単価履歴'!$O:$O,'単価履歴'!$E:$E,E3402,'単価履歴'!$F:$F,F3402)=O3402,"●","")</f>
        <v/>
      </c>
      <c r="O3402" s="346">
        <v>45973.27528935185</v>
      </c>
      <c r="P3402" s="334" t="str">
        <f t="shared" si="4"/>
        <v>栗本鐵工:豊通鋳物・ﾀﾞｸﾀｲﾙ</v>
      </c>
    </row>
    <row r="3403" ht="15.75" customHeight="1">
      <c r="A3403" s="335" t="s">
        <v>4550</v>
      </c>
      <c r="B3403" s="336">
        <v>45973.0</v>
      </c>
      <c r="C3403" s="335" t="s">
        <v>36</v>
      </c>
      <c r="D3403" s="335" t="s">
        <v>1303</v>
      </c>
      <c r="E3403" s="337" t="str">
        <f t="shared" si="1"/>
        <v>共英枚方:ナベ/置場単価</v>
      </c>
      <c r="F3403" s="338" t="s">
        <v>111</v>
      </c>
      <c r="G3403" s="339" t="str">
        <f t="shared" si="2"/>
        <v>共英枚方:ナベ/置場単価Ｈ１(特A)</v>
      </c>
      <c r="H3403" s="340">
        <f t="shared" si="3"/>
        <v>42.5</v>
      </c>
      <c r="I3403" s="341">
        <v>0.5</v>
      </c>
      <c r="J3403" s="332">
        <f>IFERROR(__xludf.DUMMYFUNCTION("IF(IF(COUNTIF(P$2:P3402, P3403)=0, """", INDEX(H$2:H3402,
MAX(FILTER(ROW(H$2:H3402) - ROW(H$2) + 1, P$2:P3402 = P3403))))=""単価"","""",
IF(COUNTIF(P$2:P3402, P3403)=0, """", INDEX(H$2:H3402,
MAX(FILTER(ROW(H$2:H3402) - ROW(H$2) + 1, P$2:P3402 = P3403)))))"),42.0)</f>
        <v>42</v>
      </c>
      <c r="N3403" s="335" t="str">
        <f>IF(MAXIFS('単価履歴'!$O:$O,'単価履歴'!$E:$E,E3403,'単価履歴'!$F:$F,F3403)=O3403,"●","")</f>
        <v/>
      </c>
      <c r="O3403" s="346">
        <v>45973.27585648149</v>
      </c>
      <c r="P3403" s="334" t="str">
        <f t="shared" si="4"/>
        <v>共英枚方:ナベ/置場単価Ｈ１(特A)</v>
      </c>
    </row>
    <row r="3404" ht="15.75" customHeight="1">
      <c r="A3404" s="335" t="s">
        <v>4551</v>
      </c>
      <c r="B3404" s="336">
        <v>45973.0</v>
      </c>
      <c r="C3404" s="335" t="s">
        <v>36</v>
      </c>
      <c r="D3404" s="335" t="s">
        <v>1303</v>
      </c>
      <c r="E3404" s="337" t="str">
        <f t="shared" si="1"/>
        <v>共英枚方:ナベ/置場単価</v>
      </c>
      <c r="F3404" s="338" t="s">
        <v>116</v>
      </c>
      <c r="G3404" s="339" t="str">
        <f t="shared" si="2"/>
        <v>共英枚方:ナベ/置場単価Ｈ２(特級)</v>
      </c>
      <c r="H3404" s="340">
        <f t="shared" si="3"/>
        <v>40.5</v>
      </c>
      <c r="I3404" s="341">
        <v>0.5</v>
      </c>
      <c r="J3404" s="332">
        <f>IFERROR(__xludf.DUMMYFUNCTION("IF(IF(COUNTIF(P$2:P3403, P3404)=0, """", INDEX(H$2:H3403,
MAX(FILTER(ROW(H$2:H3403) - ROW(H$2) + 1, P$2:P3403 = P3404))))=""単価"","""",
IF(COUNTIF(P$2:P3403, P3404)=0, """", INDEX(H$2:H3403,
MAX(FILTER(ROW(H$2:H3403) - ROW(H$2) + 1, P$2:P3403 = P3404)))))"),40.0)</f>
        <v>40</v>
      </c>
      <c r="N3404" s="335" t="str">
        <f>IF(MAXIFS('単価履歴'!$O:$O,'単価履歴'!$E:$E,E3404,'単価履歴'!$F:$F,F3404)=O3404,"●","")</f>
        <v/>
      </c>
      <c r="O3404" s="346">
        <v>45973.27585648149</v>
      </c>
      <c r="P3404" s="334" t="str">
        <f t="shared" si="4"/>
        <v>共英枚方:ナベ/置場単価Ｈ２(特級)</v>
      </c>
    </row>
    <row r="3405" ht="15.75" customHeight="1">
      <c r="A3405" s="335" t="s">
        <v>4552</v>
      </c>
      <c r="B3405" s="336">
        <v>45973.0</v>
      </c>
      <c r="C3405" s="335" t="s">
        <v>36</v>
      </c>
      <c r="D3405" s="335" t="s">
        <v>1303</v>
      </c>
      <c r="E3405" s="337" t="str">
        <f t="shared" si="1"/>
        <v>共英枚方:ナベ/置場単価</v>
      </c>
      <c r="F3405" s="338" t="s">
        <v>119</v>
      </c>
      <c r="G3405" s="339" t="str">
        <f t="shared" si="2"/>
        <v>共英枚方:ナベ/置場単価Ｈ３(1級)</v>
      </c>
      <c r="H3405" s="340">
        <f t="shared" si="3"/>
        <v>40</v>
      </c>
      <c r="I3405" s="341">
        <v>0.5</v>
      </c>
      <c r="J3405" s="332">
        <f>IFERROR(__xludf.DUMMYFUNCTION("IF(IF(COUNTIF(P$2:P3404, P3405)=0, """", INDEX(H$2:H3404,
MAX(FILTER(ROW(H$2:H3404) - ROW(H$2) + 1, P$2:P3404 = P3405))))=""単価"","""",
IF(COUNTIF(P$2:P3404, P3405)=0, """", INDEX(H$2:H3404,
MAX(FILTER(ROW(H$2:H3404) - ROW(H$2) + 1, P$2:P3404 = P3405)))))"),39.5)</f>
        <v>39.5</v>
      </c>
      <c r="N3405" s="335" t="str">
        <f>IF(MAXIFS('単価履歴'!$O:$O,'単価履歴'!$E:$E,E3405,'単価履歴'!$F:$F,F3405)=O3405,"●","")</f>
        <v/>
      </c>
      <c r="O3405" s="346">
        <v>45973.27585648149</v>
      </c>
      <c r="P3405" s="334" t="str">
        <f t="shared" si="4"/>
        <v>共英枚方:ナベ/置場単価Ｈ３(1級)</v>
      </c>
    </row>
    <row r="3406" ht="15.75" customHeight="1">
      <c r="A3406" s="335" t="s">
        <v>4553</v>
      </c>
      <c r="B3406" s="336">
        <v>45973.0</v>
      </c>
      <c r="C3406" s="335" t="s">
        <v>36</v>
      </c>
      <c r="D3406" s="335" t="s">
        <v>1303</v>
      </c>
      <c r="E3406" s="337" t="str">
        <f t="shared" si="1"/>
        <v>共英枚方:ナベ/置場単価</v>
      </c>
      <c r="F3406" s="338" t="s">
        <v>122</v>
      </c>
      <c r="G3406" s="339" t="str">
        <f t="shared" si="2"/>
        <v>共英枚方:ナベ/置場単価Ｌ１(2級)</v>
      </c>
      <c r="H3406" s="340">
        <f t="shared" si="3"/>
        <v>39.5</v>
      </c>
      <c r="I3406" s="341">
        <v>0.5</v>
      </c>
      <c r="J3406" s="332">
        <f>IFERROR(__xludf.DUMMYFUNCTION("IF(IF(COUNTIF(P$2:P3405, P3406)=0, """", INDEX(H$2:H3405,
MAX(FILTER(ROW(H$2:H3405) - ROW(H$2) + 1, P$2:P3405 = P3406))))=""単価"","""",
IF(COUNTIF(P$2:P3405, P3406)=0, """", INDEX(H$2:H3405,
MAX(FILTER(ROW(H$2:H3405) - ROW(H$2) + 1, P$2:P3405 = P3406)))))"),39.0)</f>
        <v>39</v>
      </c>
      <c r="N3406" s="335" t="str">
        <f>IF(MAXIFS('単価履歴'!$O:$O,'単価履歴'!$E:$E,E3406,'単価履歴'!$F:$F,F3406)=O3406,"●","")</f>
        <v/>
      </c>
      <c r="O3406" s="346">
        <v>45973.27585648149</v>
      </c>
      <c r="P3406" s="334" t="str">
        <f t="shared" si="4"/>
        <v>共英枚方:ナベ/置場単価Ｌ１(2級)</v>
      </c>
    </row>
    <row r="3407" ht="15.75" customHeight="1">
      <c r="A3407" s="335" t="s">
        <v>4554</v>
      </c>
      <c r="B3407" s="336">
        <v>45973.0</v>
      </c>
      <c r="C3407" s="335" t="s">
        <v>36</v>
      </c>
      <c r="D3407" s="335" t="s">
        <v>1303</v>
      </c>
      <c r="E3407" s="337" t="str">
        <f t="shared" si="1"/>
        <v>共英枚方:ナベ/置場単価</v>
      </c>
      <c r="F3407" s="338" t="s">
        <v>154</v>
      </c>
      <c r="G3407" s="339" t="str">
        <f t="shared" si="2"/>
        <v>共英枚方:ナベ/置場単価ＣＰ Ａ</v>
      </c>
      <c r="H3407" s="340">
        <f t="shared" si="3"/>
        <v>46</v>
      </c>
      <c r="I3407" s="341">
        <v>0.5</v>
      </c>
      <c r="J3407" s="332">
        <f>IFERROR(__xludf.DUMMYFUNCTION("IF(IF(COUNTIF(P$2:P3406, P3407)=0, """", INDEX(H$2:H3406,
MAX(FILTER(ROW(H$2:H3406) - ROW(H$2) + 1, P$2:P3406 = P3407))))=""単価"","""",
IF(COUNTIF(P$2:P3406, P3407)=0, """", INDEX(H$2:H3406,
MAX(FILTER(ROW(H$2:H3406) - ROW(H$2) + 1, P$2:P3406 = P3407)))))"),45.5)</f>
        <v>45.5</v>
      </c>
      <c r="N3407" s="335" t="str">
        <f>IF(MAXIFS('単価履歴'!$O:$O,'単価履歴'!$E:$E,E3407,'単価履歴'!$F:$F,F3407)=O3407,"●","")</f>
        <v/>
      </c>
      <c r="O3407" s="346">
        <v>45973.27585648149</v>
      </c>
      <c r="P3407" s="334" t="str">
        <f t="shared" si="4"/>
        <v>共英枚方:ナベ/置場単価ＣＰ Ａ</v>
      </c>
    </row>
    <row r="3408" ht="15.75" customHeight="1">
      <c r="A3408" s="335" t="s">
        <v>4555</v>
      </c>
      <c r="B3408" s="336">
        <v>45968.0</v>
      </c>
      <c r="C3408" s="335" t="s">
        <v>11</v>
      </c>
      <c r="D3408" s="335" t="s">
        <v>46</v>
      </c>
      <c r="E3408" s="337" t="str">
        <f t="shared" si="1"/>
        <v>ﾔﾏﾄ:阪和</v>
      </c>
      <c r="F3408" s="338" t="s">
        <v>116</v>
      </c>
      <c r="G3408" s="339" t="str">
        <f t="shared" si="2"/>
        <v>ﾔﾏﾄ:阪和Ｈ２(特級)</v>
      </c>
      <c r="H3408" s="340">
        <f t="shared" si="3"/>
        <v>44.6</v>
      </c>
      <c r="I3408" s="341">
        <v>0.5</v>
      </c>
      <c r="J3408" s="332">
        <f>IFERROR(__xludf.DUMMYFUNCTION("IF(IF(COUNTIF(P$2:P3407, P3408)=0, """", INDEX(H$2:H3407,
MAX(FILTER(ROW(H$2:H3407) - ROW(H$2) + 1, P$2:P3407 = P3408))))=""単価"","""",
IF(COUNTIF(P$2:P3407, P3408)=0, """", INDEX(H$2:H3407,
MAX(FILTER(ROW(H$2:H3407) - ROW(H$2) + 1, P$2:P3407 = P3408)))))"),44.1)</f>
        <v>44.1</v>
      </c>
      <c r="N3408" s="335" t="str">
        <f>IF(MAXIFS('単価履歴'!$O:$O,'単価履歴'!$E:$E,E3408,'単価履歴'!$F:$F,F3408)=O3408,"●","")</f>
        <v/>
      </c>
      <c r="O3408" s="346">
        <v>45973.276400462964</v>
      </c>
      <c r="P3408" s="334" t="str">
        <f t="shared" si="4"/>
        <v>ﾔﾏﾄ:阪和Ｈ２(特級)</v>
      </c>
    </row>
    <row r="3409" ht="15.75" customHeight="1">
      <c r="A3409" s="335" t="s">
        <v>4556</v>
      </c>
      <c r="B3409" s="336">
        <v>45968.0</v>
      </c>
      <c r="C3409" s="335" t="s">
        <v>11</v>
      </c>
      <c r="D3409" s="335" t="s">
        <v>46</v>
      </c>
      <c r="E3409" s="337" t="str">
        <f t="shared" si="1"/>
        <v>ﾔﾏﾄ:阪和</v>
      </c>
      <c r="F3409" s="338" t="s">
        <v>119</v>
      </c>
      <c r="G3409" s="339" t="str">
        <f t="shared" si="2"/>
        <v>ﾔﾏﾄ:阪和Ｈ３(1級)</v>
      </c>
      <c r="H3409" s="340">
        <f t="shared" si="3"/>
        <v>43.6</v>
      </c>
      <c r="I3409" s="341">
        <v>0.5</v>
      </c>
      <c r="J3409" s="332">
        <f>IFERROR(__xludf.DUMMYFUNCTION("IF(IF(COUNTIF(P$2:P3408, P3409)=0, """", INDEX(H$2:H3408,
MAX(FILTER(ROW(H$2:H3408) - ROW(H$2) + 1, P$2:P3408 = P3409))))=""単価"","""",
IF(COUNTIF(P$2:P3408, P3409)=0, """", INDEX(H$2:H3408,
MAX(FILTER(ROW(H$2:H3408) - ROW(H$2) + 1, P$2:P3408 = P3409)))))"),43.1)</f>
        <v>43.1</v>
      </c>
      <c r="N3409" s="335" t="str">
        <f>IF(MAXIFS('単価履歴'!$O:$O,'単価履歴'!$E:$E,E3409,'単価履歴'!$F:$F,F3409)=O3409,"●","")</f>
        <v/>
      </c>
      <c r="O3409" s="346">
        <v>45973.276400462964</v>
      </c>
      <c r="P3409" s="334" t="str">
        <f t="shared" si="4"/>
        <v>ﾔﾏﾄ:阪和Ｈ３(1級)</v>
      </c>
    </row>
    <row r="3410" ht="15.75" customHeight="1">
      <c r="A3410" s="335" t="s">
        <v>4557</v>
      </c>
      <c r="B3410" s="336">
        <v>45968.0</v>
      </c>
      <c r="C3410" s="335" t="s">
        <v>11</v>
      </c>
      <c r="D3410" s="335" t="s">
        <v>46</v>
      </c>
      <c r="E3410" s="337" t="str">
        <f t="shared" si="1"/>
        <v>ﾔﾏﾄ:阪和</v>
      </c>
      <c r="F3410" s="338" t="s">
        <v>122</v>
      </c>
      <c r="G3410" s="339" t="str">
        <f t="shared" si="2"/>
        <v>ﾔﾏﾄ:阪和Ｌ１(2級)</v>
      </c>
      <c r="H3410" s="340">
        <f t="shared" si="3"/>
        <v>41.6</v>
      </c>
      <c r="I3410" s="341">
        <v>0.5</v>
      </c>
      <c r="J3410" s="332">
        <f>IFERROR(__xludf.DUMMYFUNCTION("IF(IF(COUNTIF(P$2:P3409, P3410)=0, """", INDEX(H$2:H3409,
MAX(FILTER(ROW(H$2:H3409) - ROW(H$2) + 1, P$2:P3409 = P3410))))=""単価"","""",
IF(COUNTIF(P$2:P3409, P3410)=0, """", INDEX(H$2:H3409,
MAX(FILTER(ROW(H$2:H3409) - ROW(H$2) + 1, P$2:P3409 = P3410)))))"),41.1)</f>
        <v>41.1</v>
      </c>
      <c r="N3410" s="335" t="str">
        <f>IF(MAXIFS('単価履歴'!$O:$O,'単価履歴'!$E:$E,E3410,'単価履歴'!$F:$F,F3410)=O3410,"●","")</f>
        <v/>
      </c>
      <c r="O3410" s="346">
        <v>45973.276400462964</v>
      </c>
      <c r="P3410" s="334" t="str">
        <f t="shared" si="4"/>
        <v>ﾔﾏﾄ:阪和Ｌ１(2級)</v>
      </c>
    </row>
    <row r="3411" ht="15.75" customHeight="1">
      <c r="A3411" s="335" t="s">
        <v>4558</v>
      </c>
      <c r="B3411" s="336">
        <v>45968.0</v>
      </c>
      <c r="C3411" s="335" t="s">
        <v>11</v>
      </c>
      <c r="D3411" s="335" t="s">
        <v>46</v>
      </c>
      <c r="E3411" s="337" t="str">
        <f t="shared" si="1"/>
        <v>ﾔﾏﾄ:阪和</v>
      </c>
      <c r="F3411" s="338" t="s">
        <v>111</v>
      </c>
      <c r="G3411" s="339" t="str">
        <f t="shared" si="2"/>
        <v>ﾔﾏﾄ:阪和Ｈ１(特A)</v>
      </c>
      <c r="H3411" s="340">
        <f t="shared" si="3"/>
        <v>45.6</v>
      </c>
      <c r="I3411" s="341">
        <v>0.5</v>
      </c>
      <c r="J3411" s="332">
        <f>IFERROR(__xludf.DUMMYFUNCTION("IF(IF(COUNTIF(P$2:P3410, P3411)=0, """", INDEX(H$2:H3410,
MAX(FILTER(ROW(H$2:H3410) - ROW(H$2) + 1, P$2:P3410 = P3411))))=""単価"","""",
IF(COUNTIF(P$2:P3410, P3411)=0, """", INDEX(H$2:H3410,
MAX(FILTER(ROW(H$2:H3410) - ROW(H$2) + 1, P$2:P3410 = P3411)))))"),45.1)</f>
        <v>45.1</v>
      </c>
      <c r="N3411" s="335" t="str">
        <f>IF(MAXIFS('単価履歴'!$O:$O,'単価履歴'!$E:$E,E3411,'単価履歴'!$F:$F,F3411)=O3411,"●","")</f>
        <v/>
      </c>
      <c r="O3411" s="346">
        <v>45973.276400462964</v>
      </c>
      <c r="P3411" s="334" t="str">
        <f t="shared" si="4"/>
        <v>ﾔﾏﾄ:阪和Ｈ１(特A)</v>
      </c>
    </row>
    <row r="3412" ht="15.75" customHeight="1">
      <c r="A3412" s="335" t="s">
        <v>4559</v>
      </c>
      <c r="B3412" s="336">
        <v>45968.0</v>
      </c>
      <c r="C3412" s="335" t="s">
        <v>11</v>
      </c>
      <c r="D3412" s="335" t="s">
        <v>46</v>
      </c>
      <c r="E3412" s="337" t="str">
        <f t="shared" si="1"/>
        <v>ﾔﾏﾄ:阪和</v>
      </c>
      <c r="F3412" s="338" t="s">
        <v>573</v>
      </c>
      <c r="G3412" s="339" t="str">
        <f t="shared" si="2"/>
        <v>ﾔﾏﾄ:阪和Ｌ２(H4･級外･L1ﾊﾞﾗ)</v>
      </c>
      <c r="H3412" s="340">
        <f t="shared" si="3"/>
        <v>39.1</v>
      </c>
      <c r="I3412" s="341">
        <v>0.5</v>
      </c>
      <c r="J3412" s="332">
        <f>IFERROR(__xludf.DUMMYFUNCTION("IF(IF(COUNTIF(P$2:P3411, P3412)=0, """", INDEX(H$2:H3411,
MAX(FILTER(ROW(H$2:H3411) - ROW(H$2) + 1, P$2:P3411 = P3412))))=""単価"","""",
IF(COUNTIF(P$2:P3411, P3412)=0, """", INDEX(H$2:H3411,
MAX(FILTER(ROW(H$2:H3411) - ROW(H$2) + 1, P$2:P3411 = P3412)))))"),38.6)</f>
        <v>38.6</v>
      </c>
      <c r="N3412" s="335" t="str">
        <f>IF(MAXIFS('単価履歴'!$O:$O,'単価履歴'!$E:$E,E3412,'単価履歴'!$F:$F,F3412)=O3412,"●","")</f>
        <v/>
      </c>
      <c r="O3412" s="346">
        <v>45973.276400462964</v>
      </c>
      <c r="P3412" s="334" t="str">
        <f t="shared" si="4"/>
        <v>ﾔﾏﾄ:阪和Ｌ２(H4･級外･L1ﾊﾞﾗ)</v>
      </c>
    </row>
    <row r="3413" ht="15.75" customHeight="1">
      <c r="A3413" s="335" t="s">
        <v>4560</v>
      </c>
      <c r="B3413" s="336">
        <v>45973.0</v>
      </c>
      <c r="C3413" s="335" t="s">
        <v>19</v>
      </c>
      <c r="D3413" s="335" t="s">
        <v>61</v>
      </c>
      <c r="E3413" s="337" t="str">
        <f t="shared" si="1"/>
        <v>トピー工業:ＭＭ</v>
      </c>
      <c r="F3413" s="338" t="s">
        <v>116</v>
      </c>
      <c r="G3413" s="339" t="str">
        <f t="shared" si="2"/>
        <v>トピー工業:ＭＭＨ２(特級)</v>
      </c>
      <c r="H3413" s="340">
        <f t="shared" si="3"/>
        <v>37.5</v>
      </c>
      <c r="I3413" s="341">
        <v>0.5</v>
      </c>
      <c r="J3413" s="332">
        <f>IFERROR(__xludf.DUMMYFUNCTION("IF(IF(COUNTIF(P$2:P3412, P3413)=0, """", INDEX(H$2:H3412,
MAX(FILTER(ROW(H$2:H3412) - ROW(H$2) + 1, P$2:P3412 = P3413))))=""単価"","""",
IF(COUNTIF(P$2:P3412, P3413)=0, """", INDEX(H$2:H3412,
MAX(FILTER(ROW(H$2:H3412) - ROW(H$2) + 1, P$2:P3412 = P3413)))))"),37.0)</f>
        <v>37</v>
      </c>
      <c r="N3413" s="335" t="str">
        <f>IF(MAXIFS('単価履歴'!$O:$O,'単価履歴'!$E:$E,E3413,'単価履歴'!$F:$F,F3413)=O3413,"●","")</f>
        <v/>
      </c>
      <c r="O3413" s="346">
        <v>45973.276979166665</v>
      </c>
      <c r="P3413" s="334" t="str">
        <f t="shared" si="4"/>
        <v>トピー工業:ＭＭＨ２(特級)</v>
      </c>
    </row>
    <row r="3414" ht="15.75" customHeight="1">
      <c r="A3414" s="335" t="s">
        <v>4561</v>
      </c>
      <c r="B3414" s="336">
        <v>45973.0</v>
      </c>
      <c r="C3414" s="335" t="s">
        <v>37</v>
      </c>
      <c r="D3414" s="335" t="s">
        <v>48</v>
      </c>
      <c r="E3414" s="337" t="str">
        <f t="shared" si="1"/>
        <v>共英名古屋:ナベ</v>
      </c>
      <c r="F3414" s="338" t="s">
        <v>111</v>
      </c>
      <c r="G3414" s="339" t="str">
        <f t="shared" si="2"/>
        <v>共英名古屋:ナベＨ１(特A)</v>
      </c>
      <c r="H3414" s="340">
        <f t="shared" si="3"/>
        <v>45.2</v>
      </c>
      <c r="I3414" s="341">
        <v>0.5</v>
      </c>
      <c r="J3414" s="332">
        <f>IFERROR(__xludf.DUMMYFUNCTION("IF(IF(COUNTIF(P$2:P3413, P3414)=0, """", INDEX(H$2:H3413,
MAX(FILTER(ROW(H$2:H3413) - ROW(H$2) + 1, P$2:P3413 = P3414))))=""単価"","""",
IF(COUNTIF(P$2:P3413, P3414)=0, """", INDEX(H$2:H3413,
MAX(FILTER(ROW(H$2:H3413) - ROW(H$2) + 1, P$2:P3413 = P3414)))))"),44.7)</f>
        <v>44.7</v>
      </c>
      <c r="N3414" s="335" t="str">
        <f>IF(MAXIFS('単価履歴'!$O:$O,'単価履歴'!$E:$E,E3414,'単価履歴'!$F:$F,F3414)=O3414,"●","")</f>
        <v/>
      </c>
      <c r="O3414" s="346">
        <v>45973.27722222223</v>
      </c>
      <c r="P3414" s="334" t="str">
        <f t="shared" si="4"/>
        <v>共英名古屋:ナベＨ１(特A)</v>
      </c>
    </row>
    <row r="3415" ht="15.75" customHeight="1">
      <c r="A3415" s="335" t="s">
        <v>4562</v>
      </c>
      <c r="B3415" s="336">
        <v>45973.0</v>
      </c>
      <c r="C3415" s="335" t="s">
        <v>37</v>
      </c>
      <c r="D3415" s="335" t="s">
        <v>48</v>
      </c>
      <c r="E3415" s="337" t="str">
        <f t="shared" si="1"/>
        <v>共英名古屋:ナベ</v>
      </c>
      <c r="F3415" s="338" t="s">
        <v>116</v>
      </c>
      <c r="G3415" s="339" t="str">
        <f t="shared" si="2"/>
        <v>共英名古屋:ナベＨ２(特級)</v>
      </c>
      <c r="H3415" s="340">
        <f t="shared" si="3"/>
        <v>42.5</v>
      </c>
      <c r="I3415" s="341">
        <v>0.5</v>
      </c>
      <c r="J3415" s="332">
        <f>IFERROR(__xludf.DUMMYFUNCTION("IF(IF(COUNTIF(P$2:P3414, P3415)=0, """", INDEX(H$2:H3414,
MAX(FILTER(ROW(H$2:H3414) - ROW(H$2) + 1, P$2:P3414 = P3415))))=""単価"","""",
IF(COUNTIF(P$2:P3414, P3415)=0, """", INDEX(H$2:H3414,
MAX(FILTER(ROW(H$2:H3414) - ROW(H$2) + 1, P$2:P3414 = P3415)))))"),42.0)</f>
        <v>42</v>
      </c>
      <c r="N3415" s="335" t="str">
        <f>IF(MAXIFS('単価履歴'!$O:$O,'単価履歴'!$E:$E,E3415,'単価履歴'!$F:$F,F3415)=O3415,"●","")</f>
        <v/>
      </c>
      <c r="O3415" s="346">
        <v>45973.27722222223</v>
      </c>
      <c r="P3415" s="334" t="str">
        <f t="shared" si="4"/>
        <v>共英名古屋:ナベＨ２(特級)</v>
      </c>
    </row>
    <row r="3416" ht="15.75" customHeight="1">
      <c r="A3416" s="335" t="s">
        <v>4563</v>
      </c>
      <c r="B3416" s="336">
        <v>45973.0</v>
      </c>
      <c r="C3416" s="335" t="s">
        <v>37</v>
      </c>
      <c r="D3416" s="335" t="s">
        <v>48</v>
      </c>
      <c r="E3416" s="337" t="str">
        <f t="shared" si="1"/>
        <v>共英名古屋:ナベ</v>
      </c>
      <c r="F3416" s="338" t="s">
        <v>119</v>
      </c>
      <c r="G3416" s="339" t="str">
        <f t="shared" si="2"/>
        <v>共英名古屋:ナベＨ３(1級)</v>
      </c>
      <c r="H3416" s="340">
        <f t="shared" si="3"/>
        <v>41.5</v>
      </c>
      <c r="I3416" s="341">
        <v>0.5</v>
      </c>
      <c r="J3416" s="332">
        <f>IFERROR(__xludf.DUMMYFUNCTION("IF(IF(COUNTIF(P$2:P3415, P3416)=0, """", INDEX(H$2:H3415,
MAX(FILTER(ROW(H$2:H3415) - ROW(H$2) + 1, P$2:P3415 = P3416))))=""単価"","""",
IF(COUNTIF(P$2:P3415, P3416)=0, """", INDEX(H$2:H3415,
MAX(FILTER(ROW(H$2:H3415) - ROW(H$2) + 1, P$2:P3415 = P3416)))))"),41.0)</f>
        <v>41</v>
      </c>
      <c r="N3416" s="335" t="str">
        <f>IF(MAXIFS('単価履歴'!$O:$O,'単価履歴'!$E:$E,E3416,'単価履歴'!$F:$F,F3416)=O3416,"●","")</f>
        <v/>
      </c>
      <c r="O3416" s="346">
        <v>45973.27722222223</v>
      </c>
      <c r="P3416" s="334" t="str">
        <f t="shared" si="4"/>
        <v>共英名古屋:ナベＨ３(1級)</v>
      </c>
    </row>
    <row r="3417" ht="15.75" customHeight="1">
      <c r="A3417" s="335" t="s">
        <v>4564</v>
      </c>
      <c r="B3417" s="336">
        <v>45973.0</v>
      </c>
      <c r="C3417" s="335" t="s">
        <v>37</v>
      </c>
      <c r="D3417" s="335" t="s">
        <v>48</v>
      </c>
      <c r="E3417" s="337" t="str">
        <f t="shared" si="1"/>
        <v>共英名古屋:ナベ</v>
      </c>
      <c r="F3417" s="338" t="s">
        <v>122</v>
      </c>
      <c r="G3417" s="339" t="str">
        <f t="shared" si="2"/>
        <v>共英名古屋:ナベＬ１(2級)</v>
      </c>
      <c r="H3417" s="340">
        <f t="shared" si="3"/>
        <v>38.5</v>
      </c>
      <c r="I3417" s="341">
        <v>0.5</v>
      </c>
      <c r="J3417" s="332">
        <f>IFERROR(__xludf.DUMMYFUNCTION("IF(IF(COUNTIF(P$2:P3416, P3417)=0, """", INDEX(H$2:H3416,
MAX(FILTER(ROW(H$2:H3416) - ROW(H$2) + 1, P$2:P3416 = P3417))))=""単価"","""",
IF(COUNTIF(P$2:P3416, P3417)=0, """", INDEX(H$2:H3416,
MAX(FILTER(ROW(H$2:H3416) - ROW(H$2) + 1, P$2:P3416 = P3417)))))"),38.0)</f>
        <v>38</v>
      </c>
      <c r="N3417" s="335" t="str">
        <f>IF(MAXIFS('単価履歴'!$O:$O,'単価履歴'!$E:$E,E3417,'単価履歴'!$F:$F,F3417)=O3417,"●","")</f>
        <v/>
      </c>
      <c r="O3417" s="346">
        <v>45973.27722222223</v>
      </c>
      <c r="P3417" s="334" t="str">
        <f t="shared" si="4"/>
        <v>共英名古屋:ナベＬ１(2級)</v>
      </c>
    </row>
    <row r="3418" ht="15.75" customHeight="1">
      <c r="A3418" s="335" t="s">
        <v>4565</v>
      </c>
      <c r="B3418" s="336">
        <v>45973.0</v>
      </c>
      <c r="C3418" s="335" t="s">
        <v>14</v>
      </c>
      <c r="D3418" s="335" t="s">
        <v>48</v>
      </c>
      <c r="E3418" s="337" t="str">
        <f t="shared" si="1"/>
        <v>愛知:ナベ</v>
      </c>
      <c r="F3418" s="338" t="s">
        <v>1199</v>
      </c>
      <c r="G3418" s="339" t="str">
        <f t="shared" si="2"/>
        <v>愛知:ナベＨＳ１(単体H1/電特A/HS))</v>
      </c>
      <c r="H3418" s="340">
        <f t="shared" si="3"/>
        <v>44</v>
      </c>
      <c r="I3418" s="341">
        <v>0.5</v>
      </c>
      <c r="J3418" s="332">
        <f>IFERROR(__xludf.DUMMYFUNCTION("IF(IF(COUNTIF(P$2:P3417, P3418)=0, """", INDEX(H$2:H3417,
MAX(FILTER(ROW(H$2:H3417) - ROW(H$2) + 1, P$2:P3417 = P3418))))=""単価"","""",
IF(COUNTIF(P$2:P3417, P3418)=0, """", INDEX(H$2:H3417,
MAX(FILTER(ROW(H$2:H3417) - ROW(H$2) + 1, P$2:P3417 = P3418)))))"),43.5)</f>
        <v>43.5</v>
      </c>
      <c r="N3418" s="335" t="str">
        <f>IF(MAXIFS('単価履歴'!$O:$O,'単価履歴'!$E:$E,E3418,'単価履歴'!$F:$F,F3418)=O3418,"●","")</f>
        <v/>
      </c>
      <c r="O3418" s="346">
        <v>45973.27768518518</v>
      </c>
      <c r="P3418" s="334" t="str">
        <f t="shared" si="4"/>
        <v>愛知:ナベＨＳ１(単体H1/電特A/HS))</v>
      </c>
    </row>
    <row r="3419" ht="15.75" customHeight="1">
      <c r="A3419" s="335" t="s">
        <v>4566</v>
      </c>
      <c r="B3419" s="336">
        <v>45973.0</v>
      </c>
      <c r="C3419" s="335" t="s">
        <v>14</v>
      </c>
      <c r="D3419" s="335" t="s">
        <v>48</v>
      </c>
      <c r="E3419" s="337" t="str">
        <f t="shared" si="1"/>
        <v>愛知:ナベ</v>
      </c>
      <c r="F3419" s="338" t="s">
        <v>101</v>
      </c>
      <c r="G3419" s="339" t="str">
        <f t="shared" si="2"/>
        <v>愛知:ナベＨＳ２</v>
      </c>
      <c r="H3419" s="340">
        <f t="shared" si="3"/>
        <v>43.5</v>
      </c>
      <c r="I3419" s="341">
        <v>0.5</v>
      </c>
      <c r="J3419" s="332">
        <f>IFERROR(__xludf.DUMMYFUNCTION("IF(IF(COUNTIF(P$2:P3418, P3419)=0, """", INDEX(H$2:H3418,
MAX(FILTER(ROW(H$2:H3418) - ROW(H$2) + 1, P$2:P3418 = P3419))))=""単価"","""",
IF(COUNTIF(P$2:P3418, P3419)=0, """", INDEX(H$2:H3418,
MAX(FILTER(ROW(H$2:H3418) - ROW(H$2) + 1, P$2:P3418 = P3419)))))"),43.0)</f>
        <v>43</v>
      </c>
      <c r="N3419" s="335" t="str">
        <f>IF(MAXIFS('単価履歴'!$O:$O,'単価履歴'!$E:$E,E3419,'単価履歴'!$F:$F,F3419)=O3419,"●","")</f>
        <v/>
      </c>
      <c r="O3419" s="346">
        <v>45973.27768518518</v>
      </c>
      <c r="P3419" s="334" t="str">
        <f t="shared" si="4"/>
        <v>愛知:ナベＨＳ２</v>
      </c>
    </row>
    <row r="3420" ht="15.75" customHeight="1">
      <c r="A3420" s="335" t="s">
        <v>4567</v>
      </c>
      <c r="B3420" s="336">
        <v>45973.0</v>
      </c>
      <c r="C3420" s="335" t="s">
        <v>14</v>
      </c>
      <c r="D3420" s="335" t="s">
        <v>48</v>
      </c>
      <c r="E3420" s="337" t="str">
        <f t="shared" si="1"/>
        <v>愛知:ナベ</v>
      </c>
      <c r="F3420" s="338" t="s">
        <v>111</v>
      </c>
      <c r="G3420" s="339" t="str">
        <f t="shared" si="2"/>
        <v>愛知:ナベＨ１(特A)</v>
      </c>
      <c r="H3420" s="340">
        <f t="shared" si="3"/>
        <v>43</v>
      </c>
      <c r="I3420" s="341">
        <v>0.5</v>
      </c>
      <c r="J3420" s="332">
        <f>IFERROR(__xludf.DUMMYFUNCTION("IF(IF(COUNTIF(P$2:P3419, P3420)=0, """", INDEX(H$2:H3419,
MAX(FILTER(ROW(H$2:H3419) - ROW(H$2) + 1, P$2:P3419 = P3420))))=""単価"","""",
IF(COUNTIF(P$2:P3419, P3420)=0, """", INDEX(H$2:H3419,
MAX(FILTER(ROW(H$2:H3419) - ROW(H$2) + 1, P$2:P3419 = P3420)))))"),42.5)</f>
        <v>42.5</v>
      </c>
      <c r="N3420" s="335" t="str">
        <f>IF(MAXIFS('単価履歴'!$O:$O,'単価履歴'!$E:$E,E3420,'単価履歴'!$F:$F,F3420)=O3420,"●","")</f>
        <v/>
      </c>
      <c r="O3420" s="346">
        <v>45973.27768518518</v>
      </c>
      <c r="P3420" s="334" t="str">
        <f t="shared" si="4"/>
        <v>愛知:ナベＨ１(特A)</v>
      </c>
    </row>
    <row r="3421" ht="15.75" customHeight="1">
      <c r="A3421" s="335" t="s">
        <v>4568</v>
      </c>
      <c r="B3421" s="336">
        <v>45973.0</v>
      </c>
      <c r="C3421" s="335" t="s">
        <v>14</v>
      </c>
      <c r="D3421" s="335" t="s">
        <v>48</v>
      </c>
      <c r="E3421" s="337" t="str">
        <f t="shared" si="1"/>
        <v>愛知:ナベ</v>
      </c>
      <c r="F3421" s="338" t="s">
        <v>116</v>
      </c>
      <c r="G3421" s="339" t="str">
        <f t="shared" si="2"/>
        <v>愛知:ナベＨ２(特級)</v>
      </c>
      <c r="H3421" s="340">
        <f t="shared" si="3"/>
        <v>41.4</v>
      </c>
      <c r="I3421" s="341">
        <v>0.5</v>
      </c>
      <c r="J3421" s="332">
        <f>IFERROR(__xludf.DUMMYFUNCTION("IF(IF(COUNTIF(P$2:P3420, P3421)=0, """", INDEX(H$2:H3420,
MAX(FILTER(ROW(H$2:H3420) - ROW(H$2) + 1, P$2:P3420 = P3421))))=""単価"","""",
IF(COUNTIF(P$2:P3420, P3421)=0, """", INDEX(H$2:H3420,
MAX(FILTER(ROW(H$2:H3420) - ROW(H$2) + 1, P$2:P3420 = P3421)))))"),40.9)</f>
        <v>40.9</v>
      </c>
      <c r="N3421" s="335" t="str">
        <f>IF(MAXIFS('単価履歴'!$O:$O,'単価履歴'!$E:$E,E3421,'単価履歴'!$F:$F,F3421)=O3421,"●","")</f>
        <v/>
      </c>
      <c r="O3421" s="346">
        <v>45973.27768518518</v>
      </c>
      <c r="P3421" s="334" t="str">
        <f t="shared" si="4"/>
        <v>愛知:ナベＨ２(特級)</v>
      </c>
    </row>
    <row r="3422" ht="15.75" customHeight="1">
      <c r="A3422" s="335" t="s">
        <v>4569</v>
      </c>
      <c r="B3422" s="336">
        <v>45973.0</v>
      </c>
      <c r="C3422" s="335" t="s">
        <v>14</v>
      </c>
      <c r="D3422" s="335" t="s">
        <v>48</v>
      </c>
      <c r="E3422" s="337" t="str">
        <f t="shared" si="1"/>
        <v>愛知:ナベ</v>
      </c>
      <c r="F3422" s="338" t="s">
        <v>119</v>
      </c>
      <c r="G3422" s="339" t="str">
        <f t="shared" si="2"/>
        <v>愛知:ナベＨ３(1級)</v>
      </c>
      <c r="H3422" s="340">
        <f t="shared" si="3"/>
        <v>40.4</v>
      </c>
      <c r="I3422" s="341">
        <v>0.5</v>
      </c>
      <c r="J3422" s="332">
        <f>IFERROR(__xludf.DUMMYFUNCTION("IF(IF(COUNTIF(P$2:P3421, P3422)=0, """", INDEX(H$2:H3421,
MAX(FILTER(ROW(H$2:H3421) - ROW(H$2) + 1, P$2:P3421 = P3422))))=""単価"","""",
IF(COUNTIF(P$2:P3421, P3422)=0, """", INDEX(H$2:H3421,
MAX(FILTER(ROW(H$2:H3421) - ROW(H$2) + 1, P$2:P3421 = P3422)))))"),39.9)</f>
        <v>39.9</v>
      </c>
      <c r="N3422" s="335" t="str">
        <f>IF(MAXIFS('単価履歴'!$O:$O,'単価履歴'!$E:$E,E3422,'単価履歴'!$F:$F,F3422)=O3422,"●","")</f>
        <v/>
      </c>
      <c r="O3422" s="346">
        <v>45973.27768518518</v>
      </c>
      <c r="P3422" s="334" t="str">
        <f t="shared" si="4"/>
        <v>愛知:ナベＨ３(1級)</v>
      </c>
    </row>
    <row r="3423" ht="15.75" customHeight="1">
      <c r="A3423" s="335" t="s">
        <v>4570</v>
      </c>
      <c r="B3423" s="336">
        <v>45973.0</v>
      </c>
      <c r="C3423" s="335" t="s">
        <v>14</v>
      </c>
      <c r="D3423" s="335" t="s">
        <v>48</v>
      </c>
      <c r="E3423" s="337" t="str">
        <f t="shared" si="1"/>
        <v>愛知:ナベ</v>
      </c>
      <c r="F3423" s="338" t="s">
        <v>573</v>
      </c>
      <c r="G3423" s="339" t="str">
        <f t="shared" si="2"/>
        <v>愛知:ナベＬ２(H4･級外･L1ﾊﾞﾗ)</v>
      </c>
      <c r="H3423" s="340">
        <f t="shared" si="3"/>
        <v>36.4</v>
      </c>
      <c r="I3423" s="341">
        <v>0.5</v>
      </c>
      <c r="J3423" s="332">
        <f>IFERROR(__xludf.DUMMYFUNCTION("IF(IF(COUNTIF(P$2:P3422, P3423)=0, """", INDEX(H$2:H3422,
MAX(FILTER(ROW(H$2:H3422) - ROW(H$2) + 1, P$2:P3422 = P3423))))=""単価"","""",
IF(COUNTIF(P$2:P3422, P3423)=0, """", INDEX(H$2:H3422,
MAX(FILTER(ROW(H$2:H3422) - ROW(H$2) + 1, P$2:P3422 = P3423)))))"),35.9)</f>
        <v>35.9</v>
      </c>
      <c r="N3423" s="335" t="str">
        <f>IF(MAXIFS('単価履歴'!$O:$O,'単価履歴'!$E:$E,E3423,'単価履歴'!$F:$F,F3423)=O3423,"●","")</f>
        <v/>
      </c>
      <c r="O3423" s="346">
        <v>45973.27768518518</v>
      </c>
      <c r="P3423" s="334" t="str">
        <f t="shared" si="4"/>
        <v>愛知:ナベＬ２(H4･級外･L1ﾊﾞﾗ)</v>
      </c>
    </row>
    <row r="3424" ht="15.75" customHeight="1">
      <c r="A3424" s="335" t="s">
        <v>4571</v>
      </c>
      <c r="B3424" s="336">
        <v>45973.0</v>
      </c>
      <c r="C3424" s="335" t="s">
        <v>14</v>
      </c>
      <c r="D3424" s="335" t="s">
        <v>48</v>
      </c>
      <c r="E3424" s="337" t="str">
        <f t="shared" si="1"/>
        <v>愛知:ナベ</v>
      </c>
      <c r="F3424" s="338" t="s">
        <v>575</v>
      </c>
      <c r="G3424" s="339" t="str">
        <f t="shared" si="2"/>
        <v>愛知:ナベ鋼ダライＡ</v>
      </c>
      <c r="H3424" s="340">
        <f t="shared" si="3"/>
        <v>2.5</v>
      </c>
      <c r="I3424" s="341">
        <v>0.5</v>
      </c>
      <c r="J3424" s="332">
        <f>IFERROR(__xludf.DUMMYFUNCTION("IF(IF(COUNTIF(P$2:P3423, P3424)=0, """", INDEX(H$2:H3423,
MAX(FILTER(ROW(H$2:H3423) - ROW(H$2) + 1, P$2:P3423 = P3424))))=""単価"","""",
IF(COUNTIF(P$2:P3423, P3424)=0, """", INDEX(H$2:H3423,
MAX(FILTER(ROW(H$2:H3423) - ROW(H$2) + 1, P$2:P3423 = P3424)))))"),2.0)</f>
        <v>2</v>
      </c>
      <c r="N3424" s="335" t="str">
        <f>IF(MAXIFS('単価履歴'!$O:$O,'単価履歴'!$E:$E,E3424,'単価履歴'!$F:$F,F3424)=O3424,"●","")</f>
        <v/>
      </c>
      <c r="O3424" s="346">
        <v>45973.27768518518</v>
      </c>
      <c r="P3424" s="334" t="str">
        <f t="shared" si="4"/>
        <v>愛知:ナベ鋼ダライＡ</v>
      </c>
    </row>
    <row r="3425" ht="15.75" customHeight="1">
      <c r="A3425" s="335" t="s">
        <v>4572</v>
      </c>
      <c r="B3425" s="336">
        <v>45973.0</v>
      </c>
      <c r="C3425" s="335" t="s">
        <v>31</v>
      </c>
      <c r="D3425" s="335" t="s">
        <v>64</v>
      </c>
      <c r="E3425" s="337" t="str">
        <f t="shared" si="1"/>
        <v>泉北中谷:ナベ双葉</v>
      </c>
      <c r="F3425" s="338" t="s">
        <v>1199</v>
      </c>
      <c r="G3425" s="339" t="str">
        <f t="shared" si="2"/>
        <v>泉北中谷:ナベ双葉ＨＳ１(単体H1/電特A/HS))</v>
      </c>
      <c r="H3425" s="340">
        <f t="shared" si="3"/>
        <v>46.2</v>
      </c>
      <c r="I3425" s="341">
        <v>0.5</v>
      </c>
      <c r="J3425" s="332">
        <f>IFERROR(__xludf.DUMMYFUNCTION("IF(IF(COUNTIF(P$2:P3424, P3425)=0, """", INDEX(H$2:H3424,
MAX(FILTER(ROW(H$2:H3424) - ROW(H$2) + 1, P$2:P3424 = P3425))))=""単価"","""",
IF(COUNTIF(P$2:P3424, P3425)=0, """", INDEX(H$2:H3424,
MAX(FILTER(ROW(H$2:H3424) - ROW(H$2) + 1, P$2:P3424 = P3425)))))"),45.699999999999996)</f>
        <v>45.7</v>
      </c>
      <c r="N3425" s="335" t="str">
        <f>IF(MAXIFS('単価履歴'!$O:$O,'単価履歴'!$E:$E,E3425,'単価履歴'!$F:$F,F3425)=O3425,"●","")</f>
        <v/>
      </c>
      <c r="O3425" s="346">
        <v>45973.27831018518</v>
      </c>
      <c r="P3425" s="334" t="str">
        <f t="shared" si="4"/>
        <v>泉北中谷:ナベ双葉ＨＳ１(単体H1/電特A/HS))</v>
      </c>
    </row>
    <row r="3426" ht="15.75" customHeight="1">
      <c r="A3426" s="335" t="s">
        <v>4573</v>
      </c>
      <c r="B3426" s="336">
        <v>45973.0</v>
      </c>
      <c r="C3426" s="335" t="s">
        <v>31</v>
      </c>
      <c r="D3426" s="335" t="s">
        <v>64</v>
      </c>
      <c r="E3426" s="337" t="str">
        <f t="shared" si="1"/>
        <v>泉北中谷:ナベ双葉</v>
      </c>
      <c r="F3426" s="338" t="s">
        <v>116</v>
      </c>
      <c r="G3426" s="339" t="str">
        <f t="shared" si="2"/>
        <v>泉北中谷:ナベ双葉Ｈ２(特級)</v>
      </c>
      <c r="H3426" s="340">
        <f t="shared" si="3"/>
        <v>42.7</v>
      </c>
      <c r="I3426" s="341">
        <v>0.5</v>
      </c>
      <c r="J3426" s="332">
        <f>IFERROR(__xludf.DUMMYFUNCTION("IF(IF(COUNTIF(P$2:P3425, P3426)=0, """", INDEX(H$2:H3425,
MAX(FILTER(ROW(H$2:H3425) - ROW(H$2) + 1, P$2:P3425 = P3426))))=""単価"","""",
IF(COUNTIF(P$2:P3425, P3426)=0, """", INDEX(H$2:H3425,
MAX(FILTER(ROW(H$2:H3425) - ROW(H$2) + 1, P$2:P3425 = P3426)))))"),42.2)</f>
        <v>42.2</v>
      </c>
      <c r="N3426" s="335" t="str">
        <f>IF(MAXIFS('単価履歴'!$O:$O,'単価履歴'!$E:$E,E3426,'単価履歴'!$F:$F,F3426)=O3426,"●","")</f>
        <v/>
      </c>
      <c r="O3426" s="346">
        <v>45973.27831018518</v>
      </c>
      <c r="P3426" s="334" t="str">
        <f t="shared" si="4"/>
        <v>泉北中谷:ナベ双葉Ｈ２(特級)</v>
      </c>
    </row>
    <row r="3427" ht="15.75" customHeight="1">
      <c r="A3427" s="335" t="s">
        <v>4574</v>
      </c>
      <c r="B3427" s="336">
        <v>45973.0</v>
      </c>
      <c r="C3427" s="335" t="s">
        <v>31</v>
      </c>
      <c r="D3427" s="335" t="s">
        <v>64</v>
      </c>
      <c r="E3427" s="337" t="str">
        <f t="shared" si="1"/>
        <v>泉北中谷:ナベ双葉</v>
      </c>
      <c r="F3427" s="338" t="s">
        <v>130</v>
      </c>
      <c r="G3427" s="339" t="str">
        <f t="shared" si="2"/>
        <v>泉北中谷:ナベ双葉新断Ａ</v>
      </c>
      <c r="H3427" s="340">
        <f t="shared" si="3"/>
        <v>43</v>
      </c>
      <c r="I3427" s="341">
        <v>0.5</v>
      </c>
      <c r="J3427" s="332">
        <f>IFERROR(__xludf.DUMMYFUNCTION("IF(IF(COUNTIF(P$2:P3426, P3427)=0, """", INDEX(H$2:H3426,
MAX(FILTER(ROW(H$2:H3426) - ROW(H$2) + 1, P$2:P3426 = P3427))))=""単価"","""",
IF(COUNTIF(P$2:P3426, P3427)=0, """", INDEX(H$2:H3426,
MAX(FILTER(ROW(H$2:H3426) - ROW(H$2) + 1, P$2:P3426 = P3427)))))"),42.5)</f>
        <v>42.5</v>
      </c>
      <c r="N3427" s="335" t="str">
        <f>IF(MAXIFS('単価履歴'!$O:$O,'単価履歴'!$E:$E,E3427,'単価履歴'!$F:$F,F3427)=O3427,"●","")</f>
        <v/>
      </c>
      <c r="O3427" s="346">
        <v>45973.27831018518</v>
      </c>
      <c r="P3427" s="334" t="str">
        <f t="shared" si="4"/>
        <v>泉北中谷:ナベ双葉新断Ａ</v>
      </c>
    </row>
    <row r="3428" ht="15.75" customHeight="1">
      <c r="A3428" s="335" t="s">
        <v>4575</v>
      </c>
      <c r="B3428" s="336">
        <v>45973.0</v>
      </c>
      <c r="C3428" s="335" t="s">
        <v>12</v>
      </c>
      <c r="D3428" s="335" t="s">
        <v>50</v>
      </c>
      <c r="E3428" s="337" t="str">
        <f t="shared" si="1"/>
        <v>山陽特殊:産振</v>
      </c>
      <c r="F3428" s="338" t="s">
        <v>1199</v>
      </c>
      <c r="G3428" s="339" t="str">
        <f t="shared" si="2"/>
        <v>山陽特殊:産振ＨＳ１(単体H1/電特A/HS))</v>
      </c>
      <c r="H3428" s="340">
        <f t="shared" si="3"/>
        <v>46.6</v>
      </c>
      <c r="I3428" s="341">
        <v>0.5</v>
      </c>
      <c r="J3428" s="332">
        <f>IFERROR(__xludf.DUMMYFUNCTION("IF(IF(COUNTIF(P$2:P3427, P3428)=0, """", INDEX(H$2:H3427,
MAX(FILTER(ROW(H$2:H3427) - ROW(H$2) + 1, P$2:P3427 = P3428))))=""単価"","""",
IF(COUNTIF(P$2:P3427, P3428)=0, """", INDEX(H$2:H3427,
MAX(FILTER(ROW(H$2:H3427) - ROW(H$2) + 1, P$2:P3427 = P3428)))))"),46.1)</f>
        <v>46.1</v>
      </c>
      <c r="N3428" s="335" t="str">
        <f>IF(MAXIFS('単価履歴'!$O:$O,'単価履歴'!$E:$E,E3428,'単価履歴'!$F:$F,F3428)=O3428,"●","")</f>
        <v/>
      </c>
      <c r="O3428" s="346">
        <v>45973.3608912037</v>
      </c>
      <c r="P3428" s="334" t="str">
        <f t="shared" si="4"/>
        <v>山陽特殊:産振ＨＳ１(単体H1/電特A/HS))</v>
      </c>
    </row>
    <row r="3429" ht="15.75" customHeight="1">
      <c r="A3429" s="335" t="s">
        <v>4576</v>
      </c>
      <c r="B3429" s="336">
        <v>45973.0</v>
      </c>
      <c r="C3429" s="335" t="s">
        <v>12</v>
      </c>
      <c r="D3429" s="335" t="s">
        <v>50</v>
      </c>
      <c r="E3429" s="337" t="str">
        <f t="shared" si="1"/>
        <v>山陽特殊:産振</v>
      </c>
      <c r="F3429" s="338" t="s">
        <v>101</v>
      </c>
      <c r="G3429" s="339" t="str">
        <f t="shared" si="2"/>
        <v>山陽特殊:産振ＨＳ２</v>
      </c>
      <c r="H3429" s="340">
        <f t="shared" si="3"/>
        <v>46.4</v>
      </c>
      <c r="I3429" s="341">
        <v>0.5</v>
      </c>
      <c r="J3429" s="332">
        <f>IFERROR(__xludf.DUMMYFUNCTION("IF(IF(COUNTIF(P$2:P3428, P3429)=0, """", INDEX(H$2:H3428,
MAX(FILTER(ROW(H$2:H3428) - ROW(H$2) + 1, P$2:P3428 = P3429))))=""単価"","""",
IF(COUNTIF(P$2:P3428, P3429)=0, """", INDEX(H$2:H3428,
MAX(FILTER(ROW(H$2:H3428) - ROW(H$2) + 1, P$2:P3428 = P3429)))))"),45.9)</f>
        <v>45.9</v>
      </c>
      <c r="N3429" s="335" t="str">
        <f>IF(MAXIFS('単価履歴'!$O:$O,'単価履歴'!$E:$E,E3429,'単価履歴'!$F:$F,F3429)=O3429,"●","")</f>
        <v/>
      </c>
      <c r="O3429" s="346">
        <v>45973.3608912037</v>
      </c>
      <c r="P3429" s="334" t="str">
        <f t="shared" si="4"/>
        <v>山陽特殊:産振ＨＳ２</v>
      </c>
    </row>
    <row r="3430" ht="15.75" customHeight="1">
      <c r="A3430" s="335" t="s">
        <v>4577</v>
      </c>
      <c r="B3430" s="336">
        <v>45973.0</v>
      </c>
      <c r="C3430" s="335" t="s">
        <v>12</v>
      </c>
      <c r="D3430" s="335" t="s">
        <v>50</v>
      </c>
      <c r="E3430" s="337" t="str">
        <f t="shared" si="1"/>
        <v>山陽特殊:産振</v>
      </c>
      <c r="F3430" s="338" t="s">
        <v>105</v>
      </c>
      <c r="G3430" s="339" t="str">
        <f t="shared" si="2"/>
        <v>山陽特殊:産振ＨＳ３</v>
      </c>
      <c r="H3430" s="340">
        <f t="shared" si="3"/>
        <v>44.4</v>
      </c>
      <c r="I3430" s="341">
        <v>0.5</v>
      </c>
      <c r="J3430" s="332">
        <f>IFERROR(__xludf.DUMMYFUNCTION("IF(IF(COUNTIF(P$2:P3429, P3430)=0, """", INDEX(H$2:H3429,
MAX(FILTER(ROW(H$2:H3429) - ROW(H$2) + 1, P$2:P3429 = P3430))))=""単価"","""",
IF(COUNTIF(P$2:P3429, P3430)=0, """", INDEX(H$2:H3429,
MAX(FILTER(ROW(H$2:H3429) - ROW(H$2) + 1, P$2:P3429 = P3430)))))"),43.9)</f>
        <v>43.9</v>
      </c>
      <c r="N3430" s="335" t="str">
        <f>IF(MAXIFS('単価履歴'!$O:$O,'単価履歴'!$E:$E,E3430,'単価履歴'!$F:$F,F3430)=O3430,"●","")</f>
        <v/>
      </c>
      <c r="O3430" s="346">
        <v>45973.3608912037</v>
      </c>
      <c r="P3430" s="334" t="str">
        <f t="shared" si="4"/>
        <v>山陽特殊:産振ＨＳ３</v>
      </c>
    </row>
    <row r="3431" ht="15.75" customHeight="1">
      <c r="A3431" s="335" t="s">
        <v>4578</v>
      </c>
      <c r="B3431" s="336">
        <v>45973.0</v>
      </c>
      <c r="C3431" s="335" t="s">
        <v>28</v>
      </c>
      <c r="D3431" s="335" t="s">
        <v>52</v>
      </c>
      <c r="E3431" s="337" t="str">
        <f t="shared" si="1"/>
        <v>ＪＦＥ条鋼:リバイブ</v>
      </c>
      <c r="F3431" s="338" t="s">
        <v>111</v>
      </c>
      <c r="G3431" s="339" t="str">
        <f t="shared" si="2"/>
        <v>ＪＦＥ条鋼:リバイブＨ１(特A)</v>
      </c>
      <c r="H3431" s="340">
        <f t="shared" si="3"/>
        <v>42</v>
      </c>
      <c r="I3431" s="341">
        <v>0.5</v>
      </c>
      <c r="J3431" s="332">
        <f>IFERROR(__xludf.DUMMYFUNCTION("IF(IF(COUNTIF(P$2:P3430, P3431)=0, """", INDEX(H$2:H3430,
MAX(FILTER(ROW(H$2:H3430) - ROW(H$2) + 1, P$2:P3430 = P3431))))=""単価"","""",
IF(COUNTIF(P$2:P3430, P3431)=0, """", INDEX(H$2:H3430,
MAX(FILTER(ROW(H$2:H3430) - ROW(H$2) + 1, P$2:P3430 = P3431)))))"),41.5)</f>
        <v>41.5</v>
      </c>
      <c r="N3431" s="335" t="str">
        <f>IF(MAXIFS('単価履歴'!$O:$O,'単価履歴'!$E:$E,E3431,'単価履歴'!$F:$F,F3431)=O3431,"●","")</f>
        <v/>
      </c>
      <c r="O3431" s="346">
        <v>45973.36429398148</v>
      </c>
      <c r="P3431" s="334" t="str">
        <f t="shared" si="4"/>
        <v>ＪＦＥ条鋼:リバイブＨ１(特A)</v>
      </c>
    </row>
    <row r="3432" ht="15.75" customHeight="1">
      <c r="A3432" s="335" t="s">
        <v>4579</v>
      </c>
      <c r="B3432" s="336">
        <v>45973.0</v>
      </c>
      <c r="C3432" s="335" t="s">
        <v>28</v>
      </c>
      <c r="D3432" s="335" t="s">
        <v>52</v>
      </c>
      <c r="E3432" s="337" t="str">
        <f t="shared" si="1"/>
        <v>ＪＦＥ条鋼:リバイブ</v>
      </c>
      <c r="F3432" s="338" t="s">
        <v>116</v>
      </c>
      <c r="G3432" s="339" t="str">
        <f t="shared" si="2"/>
        <v>ＪＦＥ条鋼:リバイブＨ２(特級)</v>
      </c>
      <c r="H3432" s="340">
        <f t="shared" si="3"/>
        <v>42</v>
      </c>
      <c r="I3432" s="341">
        <v>0.5</v>
      </c>
      <c r="J3432" s="332">
        <f>IFERROR(__xludf.DUMMYFUNCTION("IF(IF(COUNTIF(P$2:P3431, P3432)=0, """", INDEX(H$2:H3431,
MAX(FILTER(ROW(H$2:H3431) - ROW(H$2) + 1, P$2:P3431 = P3432))))=""単価"","""",
IF(COUNTIF(P$2:P3431, P3432)=0, """", INDEX(H$2:H3431,
MAX(FILTER(ROW(H$2:H3431) - ROW(H$2) + 1, P$2:P3431 = P3432)))))"),41.5)</f>
        <v>41.5</v>
      </c>
      <c r="N3432" s="335" t="str">
        <f>IF(MAXIFS('単価履歴'!$O:$O,'単価履歴'!$E:$E,E3432,'単価履歴'!$F:$F,F3432)=O3432,"●","")</f>
        <v/>
      </c>
      <c r="O3432" s="346">
        <v>45973.36429398148</v>
      </c>
      <c r="P3432" s="334" t="str">
        <f t="shared" si="4"/>
        <v>ＪＦＥ条鋼:リバイブＨ２(特級)</v>
      </c>
    </row>
    <row r="3433" ht="15.75" customHeight="1">
      <c r="A3433" s="335" t="s">
        <v>4580</v>
      </c>
      <c r="B3433" s="336">
        <v>45973.0</v>
      </c>
      <c r="C3433" s="335" t="s">
        <v>28</v>
      </c>
      <c r="D3433" s="335" t="s">
        <v>52</v>
      </c>
      <c r="E3433" s="337" t="str">
        <f t="shared" si="1"/>
        <v>ＪＦＥ条鋼:リバイブ</v>
      </c>
      <c r="F3433" s="338" t="s">
        <v>119</v>
      </c>
      <c r="G3433" s="339" t="str">
        <f t="shared" si="2"/>
        <v>ＪＦＥ条鋼:リバイブＨ３(1級)</v>
      </c>
      <c r="H3433" s="340">
        <f t="shared" si="3"/>
        <v>41</v>
      </c>
      <c r="I3433" s="341">
        <v>0.5</v>
      </c>
      <c r="J3433" s="332">
        <f>IFERROR(__xludf.DUMMYFUNCTION("IF(IF(COUNTIF(P$2:P3432, P3433)=0, """", INDEX(H$2:H3432,
MAX(FILTER(ROW(H$2:H3432) - ROW(H$2) + 1, P$2:P3432 = P3433))))=""単価"","""",
IF(COUNTIF(P$2:P3432, P3433)=0, """", INDEX(H$2:H3432,
MAX(FILTER(ROW(H$2:H3432) - ROW(H$2) + 1, P$2:P3432 = P3433)))))"),40.5)</f>
        <v>40.5</v>
      </c>
      <c r="N3433" s="335" t="str">
        <f>IF(MAXIFS('単価履歴'!$O:$O,'単価履歴'!$E:$E,E3433,'単価履歴'!$F:$F,F3433)=O3433,"●","")</f>
        <v/>
      </c>
      <c r="O3433" s="346">
        <v>45973.36429398148</v>
      </c>
      <c r="P3433" s="334" t="str">
        <f t="shared" si="4"/>
        <v>ＪＦＥ条鋼:リバイブＨ３(1級)</v>
      </c>
    </row>
    <row r="3434" ht="15.75" customHeight="1">
      <c r="A3434" s="335" t="s">
        <v>4581</v>
      </c>
      <c r="B3434" s="336">
        <v>45973.0</v>
      </c>
      <c r="C3434" s="335" t="s">
        <v>28</v>
      </c>
      <c r="D3434" s="335" t="s">
        <v>52</v>
      </c>
      <c r="E3434" s="337" t="str">
        <f t="shared" si="1"/>
        <v>ＪＦＥ条鋼:リバイブ</v>
      </c>
      <c r="F3434" s="338" t="s">
        <v>122</v>
      </c>
      <c r="G3434" s="339" t="str">
        <f t="shared" si="2"/>
        <v>ＪＦＥ条鋼:リバイブＬ１(2級)</v>
      </c>
      <c r="H3434" s="340">
        <f t="shared" si="3"/>
        <v>38</v>
      </c>
      <c r="I3434" s="341">
        <v>0.5</v>
      </c>
      <c r="J3434" s="332">
        <f>IFERROR(__xludf.DUMMYFUNCTION("IF(IF(COUNTIF(P$2:P3433, P3434)=0, """", INDEX(H$2:H3433,
MAX(FILTER(ROW(H$2:H3433) - ROW(H$2) + 1, P$2:P3433 = P3434))))=""単価"","""",
IF(COUNTIF(P$2:P3433, P3434)=0, """", INDEX(H$2:H3433,
MAX(FILTER(ROW(H$2:H3433) - ROW(H$2) + 1, P$2:P3433 = P3434)))))"),37.5)</f>
        <v>37.5</v>
      </c>
      <c r="N3434" s="335" t="str">
        <f>IF(MAXIFS('単価履歴'!$O:$O,'単価履歴'!$E:$E,E3434,'単価履歴'!$F:$F,F3434)=O3434,"●","")</f>
        <v/>
      </c>
      <c r="O3434" s="346">
        <v>45973.36429398148</v>
      </c>
      <c r="P3434" s="334" t="str">
        <f t="shared" si="4"/>
        <v>ＪＦＥ条鋼:リバイブＬ１(2級)</v>
      </c>
    </row>
    <row r="3435" ht="15.75" customHeight="1">
      <c r="A3435" s="335" t="s">
        <v>4582</v>
      </c>
      <c r="B3435" s="336">
        <v>45973.0</v>
      </c>
      <c r="C3435" s="335" t="s">
        <v>28</v>
      </c>
      <c r="D3435" s="335" t="s">
        <v>52</v>
      </c>
      <c r="E3435" s="337" t="str">
        <f t="shared" si="1"/>
        <v>ＪＦＥ条鋼:リバイブ</v>
      </c>
      <c r="F3435" s="338" t="s">
        <v>573</v>
      </c>
      <c r="G3435" s="339" t="str">
        <f t="shared" si="2"/>
        <v>ＪＦＥ条鋼:リバイブＬ２(H4･級外･L1ﾊﾞﾗ)</v>
      </c>
      <c r="H3435" s="340">
        <f t="shared" si="3"/>
        <v>33</v>
      </c>
      <c r="I3435" s="341">
        <v>0.5</v>
      </c>
      <c r="J3435" s="332">
        <f>IFERROR(__xludf.DUMMYFUNCTION("IF(IF(COUNTIF(P$2:P3434, P3435)=0, """", INDEX(H$2:H3434,
MAX(FILTER(ROW(H$2:H3434) - ROW(H$2) + 1, P$2:P3434 = P3435))))=""単価"","""",
IF(COUNTIF(P$2:P3434, P3435)=0, """", INDEX(H$2:H3434,
MAX(FILTER(ROW(H$2:H3434) - ROW(H$2) + 1, P$2:P3434 = P3435)))))"),32.5)</f>
        <v>32.5</v>
      </c>
      <c r="N3435" s="335" t="str">
        <f>IF(MAXIFS('単価履歴'!$O:$O,'単価履歴'!$E:$E,E3435,'単価履歴'!$F:$F,F3435)=O3435,"●","")</f>
        <v/>
      </c>
      <c r="O3435" s="346">
        <v>45973.36429398148</v>
      </c>
      <c r="P3435" s="334" t="str">
        <f t="shared" si="4"/>
        <v>ＪＦＥ条鋼:リバイブＬ２(H4･級外･L1ﾊﾞﾗ)</v>
      </c>
    </row>
    <row r="3436" ht="15.75" customHeight="1">
      <c r="A3436" s="335" t="s">
        <v>4583</v>
      </c>
      <c r="B3436" s="336">
        <v>45973.0</v>
      </c>
      <c r="C3436" s="335" t="s">
        <v>28</v>
      </c>
      <c r="D3436" s="335" t="s">
        <v>52</v>
      </c>
      <c r="E3436" s="337" t="str">
        <f t="shared" si="1"/>
        <v>ＪＦＥ条鋼:リバイブ</v>
      </c>
      <c r="F3436" s="338" t="s">
        <v>130</v>
      </c>
      <c r="G3436" s="339" t="str">
        <f t="shared" si="2"/>
        <v>ＪＦＥ条鋼:リバイブ新断Ａ</v>
      </c>
      <c r="H3436" s="340">
        <f t="shared" si="3"/>
        <v>47.5</v>
      </c>
      <c r="I3436" s="341">
        <v>0.5</v>
      </c>
      <c r="J3436" s="332">
        <f>IFERROR(__xludf.DUMMYFUNCTION("IF(IF(COUNTIF(P$2:P3435, P3436)=0, """", INDEX(H$2:H3435,
MAX(FILTER(ROW(H$2:H3435) - ROW(H$2) + 1, P$2:P3435 = P3436))))=""単価"","""",
IF(COUNTIF(P$2:P3435, P3436)=0, """", INDEX(H$2:H3435,
MAX(FILTER(ROW(H$2:H3435) - ROW(H$2) + 1, P$2:P3435 = P3436)))))"),47.0)</f>
        <v>47</v>
      </c>
      <c r="N3436" s="335" t="str">
        <f>IF(MAXIFS('単価履歴'!$O:$O,'単価履歴'!$E:$E,E3436,'単価履歴'!$F:$F,F3436)=O3436,"●","")</f>
        <v/>
      </c>
      <c r="O3436" s="346">
        <v>45973.36429398148</v>
      </c>
      <c r="P3436" s="334" t="str">
        <f t="shared" si="4"/>
        <v>ＪＦＥ条鋼:リバイブ新断Ａ</v>
      </c>
    </row>
    <row r="3437" ht="15.75" customHeight="1">
      <c r="A3437" s="335" t="s">
        <v>4584</v>
      </c>
      <c r="B3437" s="336">
        <v>45973.0</v>
      </c>
      <c r="C3437" s="335" t="s">
        <v>28</v>
      </c>
      <c r="D3437" s="335" t="s">
        <v>52</v>
      </c>
      <c r="E3437" s="337" t="str">
        <f t="shared" si="1"/>
        <v>ＪＦＥ条鋼:リバイブ</v>
      </c>
      <c r="F3437" s="338" t="s">
        <v>131</v>
      </c>
      <c r="G3437" s="339" t="str">
        <f t="shared" si="2"/>
        <v>ＪＦＥ条鋼:リバイブ新断Ｂ</v>
      </c>
      <c r="H3437" s="340">
        <f t="shared" si="3"/>
        <v>46.5</v>
      </c>
      <c r="I3437" s="341">
        <v>0.5</v>
      </c>
      <c r="J3437" s="332">
        <f>IFERROR(__xludf.DUMMYFUNCTION("IF(IF(COUNTIF(P$2:P3436, P3437)=0, """", INDEX(H$2:H3436,
MAX(FILTER(ROW(H$2:H3436) - ROW(H$2) + 1, P$2:P3436 = P3437))))=""単価"","""",
IF(COUNTIF(P$2:P3436, P3437)=0, """", INDEX(H$2:H3436,
MAX(FILTER(ROW(H$2:H3436) - ROW(H$2) + 1, P$2:P3436 = P3437)))))"),46.0)</f>
        <v>46</v>
      </c>
      <c r="N3437" s="335" t="str">
        <f>IF(MAXIFS('単価履歴'!$O:$O,'単価履歴'!$E:$E,E3437,'単価履歴'!$F:$F,F3437)=O3437,"●","")</f>
        <v/>
      </c>
      <c r="O3437" s="346">
        <v>45973.36429398148</v>
      </c>
      <c r="P3437" s="334" t="str">
        <f t="shared" si="4"/>
        <v>ＪＦＥ条鋼:リバイブ新断Ｂ</v>
      </c>
    </row>
    <row r="3438" ht="15.75" customHeight="1">
      <c r="A3438" s="335" t="s">
        <v>4585</v>
      </c>
      <c r="B3438" s="336">
        <v>45973.0</v>
      </c>
      <c r="C3438" s="335" t="s">
        <v>28</v>
      </c>
      <c r="D3438" s="335" t="s">
        <v>52</v>
      </c>
      <c r="E3438" s="337" t="str">
        <f t="shared" si="1"/>
        <v>ＪＦＥ条鋼:リバイブ</v>
      </c>
      <c r="F3438" s="338" t="s">
        <v>575</v>
      </c>
      <c r="G3438" s="339" t="str">
        <f t="shared" si="2"/>
        <v>ＪＦＥ条鋼:リバイブ鋼ダライＡ</v>
      </c>
      <c r="H3438" s="340">
        <f t="shared" si="3"/>
        <v>40</v>
      </c>
      <c r="I3438" s="341">
        <v>0.5</v>
      </c>
      <c r="J3438" s="332">
        <f>IFERROR(__xludf.DUMMYFUNCTION("IF(IF(COUNTIF(P$2:P3437, P3438)=0, """", INDEX(H$2:H3437,
MAX(FILTER(ROW(H$2:H3437) - ROW(H$2) + 1, P$2:P3437 = P3438))))=""単価"","""",
IF(COUNTIF(P$2:P3437, P3438)=0, """", INDEX(H$2:H3437,
MAX(FILTER(ROW(H$2:H3437) - ROW(H$2) + 1, P$2:P3437 = P3438)))))"),39.5)</f>
        <v>39.5</v>
      </c>
      <c r="N3438" s="335" t="str">
        <f>IF(MAXIFS('単価履歴'!$O:$O,'単価履歴'!$E:$E,E3438,'単価履歴'!$F:$F,F3438)=O3438,"●","")</f>
        <v/>
      </c>
      <c r="O3438" s="346">
        <v>45973.36429398148</v>
      </c>
      <c r="P3438" s="334" t="str">
        <f t="shared" si="4"/>
        <v>ＪＦＥ条鋼:リバイブ鋼ダライＡ</v>
      </c>
    </row>
    <row r="3439" ht="15.75" customHeight="1">
      <c r="A3439" s="335" t="s">
        <v>4586</v>
      </c>
      <c r="B3439" s="336">
        <v>45973.0</v>
      </c>
      <c r="C3439" s="335" t="s">
        <v>28</v>
      </c>
      <c r="D3439" s="335" t="s">
        <v>52</v>
      </c>
      <c r="E3439" s="337" t="str">
        <f t="shared" si="1"/>
        <v>ＪＦＥ条鋼:リバイブ</v>
      </c>
      <c r="F3439" s="338" t="s">
        <v>154</v>
      </c>
      <c r="G3439" s="339" t="str">
        <f t="shared" si="2"/>
        <v>ＪＦＥ条鋼:リバイブＣＰ Ａ</v>
      </c>
      <c r="H3439" s="340">
        <f t="shared" si="3"/>
        <v>46.5</v>
      </c>
      <c r="I3439" s="341">
        <v>0.5</v>
      </c>
      <c r="J3439" s="332">
        <f>IFERROR(__xludf.DUMMYFUNCTION("IF(IF(COUNTIF(P$2:P3438, P3439)=0, """", INDEX(H$2:H3438,
MAX(FILTER(ROW(H$2:H3438) - ROW(H$2) + 1, P$2:P3438 = P3439))))=""単価"","""",
IF(COUNTIF(P$2:P3438, P3439)=0, """", INDEX(H$2:H3438,
MAX(FILTER(ROW(H$2:H3438) - ROW(H$2) + 1, P$2:P3438 = P3439)))))"),46.0)</f>
        <v>46</v>
      </c>
      <c r="N3439" s="335" t="str">
        <f>IF(MAXIFS('単価履歴'!$O:$O,'単価履歴'!$E:$E,E3439,'単価履歴'!$F:$F,F3439)=O3439,"●","")</f>
        <v/>
      </c>
      <c r="O3439" s="346">
        <v>45973.36429398148</v>
      </c>
      <c r="P3439" s="334" t="str">
        <f t="shared" si="4"/>
        <v>ＪＦＥ条鋼:リバイブＣＰ Ａ</v>
      </c>
    </row>
    <row r="3440" ht="15.75" customHeight="1">
      <c r="A3440" s="335" t="s">
        <v>4587</v>
      </c>
      <c r="B3440" s="336">
        <v>45974.0</v>
      </c>
      <c r="C3440" s="335" t="s">
        <v>14</v>
      </c>
      <c r="D3440" s="335" t="s">
        <v>46</v>
      </c>
      <c r="E3440" s="337" t="str">
        <f t="shared" si="1"/>
        <v>愛知:阪和</v>
      </c>
      <c r="F3440" s="338" t="s">
        <v>1199</v>
      </c>
      <c r="G3440" s="339" t="str">
        <f t="shared" si="2"/>
        <v>愛知:阪和ＨＳ１(単体H1/電特A/HS))</v>
      </c>
      <c r="H3440" s="340">
        <f t="shared" si="3"/>
        <v>46.2</v>
      </c>
      <c r="I3440" s="341">
        <v>0.5</v>
      </c>
      <c r="J3440" s="332">
        <f>IFERROR(__xludf.DUMMYFUNCTION("IF(IF(COUNTIF(P$2:P3439, P3440)=0, """", INDEX(H$2:H3439,
MAX(FILTER(ROW(H$2:H3439) - ROW(H$2) + 1, P$2:P3439 = P3440))))=""単価"","""",
IF(COUNTIF(P$2:P3439, P3440)=0, """", INDEX(H$2:H3439,
MAX(FILTER(ROW(H$2:H3439) - ROW(H$2) + 1, P$2:P3439 = P3440)))))"),45.7)</f>
        <v>45.7</v>
      </c>
      <c r="N3440" s="335" t="str">
        <f>IF(MAXIFS('単価履歴'!$O:$O,'単価履歴'!$E:$E,E3440,'単価履歴'!$F:$F,F3440)=O3440,"●","")</f>
        <v/>
      </c>
      <c r="O3440" s="346">
        <v>45974.27008101852</v>
      </c>
      <c r="P3440" s="334" t="str">
        <f t="shared" si="4"/>
        <v>愛知:阪和ＨＳ１(単体H1/電特A/HS))</v>
      </c>
    </row>
    <row r="3441" ht="15.75" customHeight="1">
      <c r="A3441" s="335" t="s">
        <v>4588</v>
      </c>
      <c r="B3441" s="336">
        <v>45974.0</v>
      </c>
      <c r="C3441" s="335" t="s">
        <v>14</v>
      </c>
      <c r="D3441" s="335" t="s">
        <v>46</v>
      </c>
      <c r="E3441" s="337" t="str">
        <f t="shared" si="1"/>
        <v>愛知:阪和</v>
      </c>
      <c r="F3441" s="338" t="s">
        <v>101</v>
      </c>
      <c r="G3441" s="339" t="str">
        <f t="shared" si="2"/>
        <v>愛知:阪和ＨＳ２</v>
      </c>
      <c r="H3441" s="340">
        <f t="shared" si="3"/>
        <v>45.7</v>
      </c>
      <c r="I3441" s="341">
        <v>0.5</v>
      </c>
      <c r="J3441" s="332">
        <f>IFERROR(__xludf.DUMMYFUNCTION("IF(IF(COUNTIF(P$2:P3440, P3441)=0, """", INDEX(H$2:H3440,
MAX(FILTER(ROW(H$2:H3440) - ROW(H$2) + 1, P$2:P3440 = P3441))))=""単価"","""",
IF(COUNTIF(P$2:P3440, P3441)=0, """", INDEX(H$2:H3440,
MAX(FILTER(ROW(H$2:H3440) - ROW(H$2) + 1, P$2:P3440 = P3441)))))"),45.2)</f>
        <v>45.2</v>
      </c>
      <c r="N3441" s="335" t="str">
        <f>IF(MAXIFS('単価履歴'!$O:$O,'単価履歴'!$E:$E,E3441,'単価履歴'!$F:$F,F3441)=O3441,"●","")</f>
        <v/>
      </c>
      <c r="O3441" s="346">
        <v>45974.27008101852</v>
      </c>
      <c r="P3441" s="334" t="str">
        <f t="shared" si="4"/>
        <v>愛知:阪和ＨＳ２</v>
      </c>
    </row>
    <row r="3442" ht="15.75" customHeight="1">
      <c r="A3442" s="335" t="s">
        <v>4589</v>
      </c>
      <c r="B3442" s="336">
        <v>45974.0</v>
      </c>
      <c r="C3442" s="335" t="s">
        <v>14</v>
      </c>
      <c r="D3442" s="335" t="s">
        <v>46</v>
      </c>
      <c r="E3442" s="337" t="str">
        <f t="shared" si="1"/>
        <v>愛知:阪和</v>
      </c>
      <c r="F3442" s="338" t="s">
        <v>111</v>
      </c>
      <c r="G3442" s="339" t="str">
        <f t="shared" si="2"/>
        <v>愛知:阪和Ｈ１(特A)</v>
      </c>
      <c r="H3442" s="340">
        <f t="shared" si="3"/>
        <v>41.2</v>
      </c>
      <c r="I3442" s="341">
        <v>0.5</v>
      </c>
      <c r="J3442" s="332">
        <f>IFERROR(__xludf.DUMMYFUNCTION("IF(IF(COUNTIF(P$2:P3441, P3442)=0, """", INDEX(H$2:H3441,
MAX(FILTER(ROW(H$2:H3441) - ROW(H$2) + 1, P$2:P3441 = P3442))))=""単価"","""",
IF(COUNTIF(P$2:P3441, P3442)=0, """", INDEX(H$2:H3441,
MAX(FILTER(ROW(H$2:H3441) - ROW(H$2) + 1, P$2:P3441 = P3442)))))"),40.7)</f>
        <v>40.7</v>
      </c>
      <c r="N3442" s="335" t="str">
        <f>IF(MAXIFS('単価履歴'!$O:$O,'単価履歴'!$E:$E,E3442,'単価履歴'!$F:$F,F3442)=O3442,"●","")</f>
        <v/>
      </c>
      <c r="O3442" s="346">
        <v>45974.27008101852</v>
      </c>
      <c r="P3442" s="334" t="str">
        <f t="shared" si="4"/>
        <v>愛知:阪和Ｈ１(特A)</v>
      </c>
    </row>
    <row r="3443" ht="15.75" customHeight="1">
      <c r="A3443" s="335" t="s">
        <v>4590</v>
      </c>
      <c r="B3443" s="336">
        <v>45974.0</v>
      </c>
      <c r="C3443" s="335" t="s">
        <v>14</v>
      </c>
      <c r="D3443" s="335" t="s">
        <v>46</v>
      </c>
      <c r="E3443" s="337" t="str">
        <f t="shared" si="1"/>
        <v>愛知:阪和</v>
      </c>
      <c r="F3443" s="338" t="s">
        <v>116</v>
      </c>
      <c r="G3443" s="339" t="str">
        <f t="shared" si="2"/>
        <v>愛知:阪和Ｈ２(特級)</v>
      </c>
      <c r="H3443" s="340">
        <f t="shared" si="3"/>
        <v>40.7</v>
      </c>
      <c r="I3443" s="341">
        <v>0.5</v>
      </c>
      <c r="J3443" s="332">
        <f>IFERROR(__xludf.DUMMYFUNCTION("IF(IF(COUNTIF(P$2:P3442, P3443)=0, """", INDEX(H$2:H3442,
MAX(FILTER(ROW(H$2:H3442) - ROW(H$2) + 1, P$2:P3442 = P3443))))=""単価"","""",
IF(COUNTIF(P$2:P3442, P3443)=0, """", INDEX(H$2:H3442,
MAX(FILTER(ROW(H$2:H3442) - ROW(H$2) + 1, P$2:P3442 = P3443)))))"),40.2)</f>
        <v>40.2</v>
      </c>
      <c r="N3443" s="335" t="str">
        <f>IF(MAXIFS('単価履歴'!$O:$O,'単価履歴'!$E:$E,E3443,'単価履歴'!$F:$F,F3443)=O3443,"●","")</f>
        <v/>
      </c>
      <c r="O3443" s="346">
        <v>45974.27008101852</v>
      </c>
      <c r="P3443" s="334" t="str">
        <f t="shared" si="4"/>
        <v>愛知:阪和Ｈ２(特級)</v>
      </c>
    </row>
    <row r="3444" ht="15.75" customHeight="1">
      <c r="A3444" s="335" t="s">
        <v>4591</v>
      </c>
      <c r="B3444" s="336">
        <v>45974.0</v>
      </c>
      <c r="C3444" s="335" t="s">
        <v>14</v>
      </c>
      <c r="D3444" s="335" t="s">
        <v>46</v>
      </c>
      <c r="E3444" s="337" t="str">
        <f t="shared" si="1"/>
        <v>愛知:阪和</v>
      </c>
      <c r="F3444" s="338" t="s">
        <v>119</v>
      </c>
      <c r="G3444" s="339" t="str">
        <f t="shared" si="2"/>
        <v>愛知:阪和Ｈ３(1級)</v>
      </c>
      <c r="H3444" s="340">
        <f t="shared" si="3"/>
        <v>39.7</v>
      </c>
      <c r="I3444" s="341">
        <v>0.5</v>
      </c>
      <c r="J3444" s="332">
        <f>IFERROR(__xludf.DUMMYFUNCTION("IF(IF(COUNTIF(P$2:P3443, P3444)=0, """", INDEX(H$2:H3443,
MAX(FILTER(ROW(H$2:H3443) - ROW(H$2) + 1, P$2:P3443 = P3444))))=""単価"","""",
IF(COUNTIF(P$2:P3443, P3444)=0, """", INDEX(H$2:H3443,
MAX(FILTER(ROW(H$2:H3443) - ROW(H$2) + 1, P$2:P3443 = P3444)))))"),39.2)</f>
        <v>39.2</v>
      </c>
      <c r="N3444" s="335" t="str">
        <f>IF(MAXIFS('単価履歴'!$O:$O,'単価履歴'!$E:$E,E3444,'単価履歴'!$F:$F,F3444)=O3444,"●","")</f>
        <v/>
      </c>
      <c r="O3444" s="346">
        <v>45974.27008101852</v>
      </c>
      <c r="P3444" s="334" t="str">
        <f t="shared" si="4"/>
        <v>愛知:阪和Ｈ３(1級)</v>
      </c>
    </row>
    <row r="3445" ht="15.75" customHeight="1">
      <c r="A3445" s="335" t="s">
        <v>4592</v>
      </c>
      <c r="B3445" s="336">
        <v>45974.0</v>
      </c>
      <c r="C3445" s="335" t="s">
        <v>14</v>
      </c>
      <c r="D3445" s="335" t="s">
        <v>46</v>
      </c>
      <c r="E3445" s="337" t="str">
        <f t="shared" si="1"/>
        <v>愛知:阪和</v>
      </c>
      <c r="F3445" s="338" t="s">
        <v>573</v>
      </c>
      <c r="G3445" s="339" t="str">
        <f t="shared" si="2"/>
        <v>愛知:阪和Ｌ２(H4･級外･L1ﾊﾞﾗ)</v>
      </c>
      <c r="H3445" s="340">
        <f t="shared" si="3"/>
        <v>36.3</v>
      </c>
      <c r="I3445" s="341">
        <v>0.5</v>
      </c>
      <c r="J3445" s="332">
        <f>IFERROR(__xludf.DUMMYFUNCTION("IF(IF(COUNTIF(P$2:P3444, P3445)=0, """", INDEX(H$2:H3444,
MAX(FILTER(ROW(H$2:H3444) - ROW(H$2) + 1, P$2:P3444 = P3445))))=""単価"","""",
IF(COUNTIF(P$2:P3444, P3445)=0, """", INDEX(H$2:H3444,
MAX(FILTER(ROW(H$2:H3444) - ROW(H$2) + 1, P$2:P3444 = P3445)))))"),35.8)</f>
        <v>35.8</v>
      </c>
      <c r="N3445" s="335" t="str">
        <f>IF(MAXIFS('単価履歴'!$O:$O,'単価履歴'!$E:$E,E3445,'単価履歴'!$F:$F,F3445)=O3445,"●","")</f>
        <v/>
      </c>
      <c r="O3445" s="346">
        <v>45974.27008101852</v>
      </c>
      <c r="P3445" s="334" t="str">
        <f t="shared" si="4"/>
        <v>愛知:阪和Ｌ２(H4･級外･L1ﾊﾞﾗ)</v>
      </c>
    </row>
    <row r="3446" ht="15.75" customHeight="1">
      <c r="A3446" s="335" t="s">
        <v>4593</v>
      </c>
      <c r="B3446" s="336">
        <v>45974.0</v>
      </c>
      <c r="C3446" s="335" t="s">
        <v>15</v>
      </c>
      <c r="D3446" s="335" t="s">
        <v>58</v>
      </c>
      <c r="E3446" s="337" t="str">
        <f t="shared" si="1"/>
        <v>山口鋼業:MM建材</v>
      </c>
      <c r="F3446" s="338" t="s">
        <v>1199</v>
      </c>
      <c r="G3446" s="339" t="str">
        <f t="shared" si="2"/>
        <v>山口鋼業:MM建材ＨＳ１(単体H1/電特A/HS))</v>
      </c>
      <c r="H3446" s="340">
        <f t="shared" si="3"/>
        <v>43</v>
      </c>
      <c r="I3446" s="341">
        <v>0.5</v>
      </c>
      <c r="J3446" s="332">
        <f>IFERROR(__xludf.DUMMYFUNCTION("IF(IF(COUNTIF(P$2:P3445, P3446)=0, """", INDEX(H$2:H3445,
MAX(FILTER(ROW(H$2:H3445) - ROW(H$2) + 1, P$2:P3445 = P3446))))=""単価"","""",
IF(COUNTIF(P$2:P3445, P3446)=0, """", INDEX(H$2:H3445,
MAX(FILTER(ROW(H$2:H3445) - ROW(H$2) + 1, P$2:P3445 = P3446)))))"),42.5)</f>
        <v>42.5</v>
      </c>
      <c r="N3446" s="335" t="str">
        <f>IF(MAXIFS('単価履歴'!$O:$O,'単価履歴'!$E:$E,E3446,'単価履歴'!$F:$F,F3446)=O3446,"●","")</f>
        <v/>
      </c>
      <c r="O3446" s="346">
        <v>45974.27086805555</v>
      </c>
      <c r="P3446" s="334" t="str">
        <f t="shared" si="4"/>
        <v>山口鋼業:MM建材ＨＳ１(単体H1/電特A/HS))</v>
      </c>
    </row>
    <row r="3447" ht="15.75" customHeight="1">
      <c r="A3447" s="335" t="s">
        <v>4594</v>
      </c>
      <c r="B3447" s="336">
        <v>45974.0</v>
      </c>
      <c r="C3447" s="335" t="s">
        <v>15</v>
      </c>
      <c r="D3447" s="335" t="s">
        <v>58</v>
      </c>
      <c r="E3447" s="337" t="str">
        <f t="shared" si="1"/>
        <v>山口鋼業:MM建材</v>
      </c>
      <c r="F3447" s="338" t="s">
        <v>1237</v>
      </c>
      <c r="G3447" s="339" t="str">
        <f t="shared" si="2"/>
        <v>山口鋼業:MM建材ＪＨ１(H2T山口)鍛造ﾊﾞﾘ</v>
      </c>
      <c r="H3447" s="340">
        <f t="shared" si="3"/>
        <v>42.5</v>
      </c>
      <c r="I3447" s="341">
        <v>0.5</v>
      </c>
      <c r="J3447" s="332">
        <f>IFERROR(__xludf.DUMMYFUNCTION("IF(IF(COUNTIF(P$2:P3446, P3447)=0, """", INDEX(H$2:H3446,
MAX(FILTER(ROW(H$2:H3446) - ROW(H$2) + 1, P$2:P3446 = P3447))))=""単価"","""",
IF(COUNTIF(P$2:P3446, P3447)=0, """", INDEX(H$2:H3446,
MAX(FILTER(ROW(H$2:H3446) - ROW(H$2) + 1, P$2:P3446 = P3447)))))"),42.0)</f>
        <v>42</v>
      </c>
      <c r="N3447" s="335" t="str">
        <f>IF(MAXIFS('単価履歴'!$O:$O,'単価履歴'!$E:$E,E3447,'単価履歴'!$F:$F,F3447)=O3447,"●","")</f>
        <v/>
      </c>
      <c r="O3447" s="346">
        <v>45974.27086805555</v>
      </c>
      <c r="P3447" s="334" t="str">
        <f t="shared" si="4"/>
        <v>山口鋼業:MM建材ＪＨ１(H2T山口)鍛造ﾊﾞﾘ</v>
      </c>
    </row>
    <row r="3448" ht="15.75" customHeight="1">
      <c r="A3448" s="335" t="s">
        <v>4595</v>
      </c>
      <c r="B3448" s="336">
        <v>45974.0</v>
      </c>
      <c r="C3448" s="335" t="s">
        <v>15</v>
      </c>
      <c r="D3448" s="335" t="s">
        <v>58</v>
      </c>
      <c r="E3448" s="337" t="str">
        <f t="shared" si="1"/>
        <v>山口鋼業:MM建材</v>
      </c>
      <c r="F3448" s="338" t="s">
        <v>116</v>
      </c>
      <c r="G3448" s="339" t="str">
        <f t="shared" si="2"/>
        <v>山口鋼業:MM建材Ｈ２(特級)</v>
      </c>
      <c r="H3448" s="340">
        <f t="shared" si="3"/>
        <v>41.5</v>
      </c>
      <c r="I3448" s="341">
        <v>0.5</v>
      </c>
      <c r="J3448" s="332">
        <f>IFERROR(__xludf.DUMMYFUNCTION("IF(IF(COUNTIF(P$2:P3447, P3448)=0, """", INDEX(H$2:H3447,
MAX(FILTER(ROW(H$2:H3447) - ROW(H$2) + 1, P$2:P3447 = P3448))))=""単価"","""",
IF(COUNTIF(P$2:P3447, P3448)=0, """", INDEX(H$2:H3447,
MAX(FILTER(ROW(H$2:H3447) - ROW(H$2) + 1, P$2:P3447 = P3448)))))"),41.0)</f>
        <v>41</v>
      </c>
      <c r="N3448" s="335" t="str">
        <f>IF(MAXIFS('単価履歴'!$O:$O,'単価履歴'!$E:$E,E3448,'単価履歴'!$F:$F,F3448)=O3448,"●","")</f>
        <v/>
      </c>
      <c r="O3448" s="346">
        <v>45974.27086805555</v>
      </c>
      <c r="P3448" s="334" t="str">
        <f t="shared" si="4"/>
        <v>山口鋼業:MM建材Ｈ２(特級)</v>
      </c>
    </row>
    <row r="3449" ht="15.75" customHeight="1">
      <c r="A3449" s="335" t="s">
        <v>4596</v>
      </c>
      <c r="B3449" s="336">
        <v>45974.0</v>
      </c>
      <c r="C3449" s="335" t="s">
        <v>15</v>
      </c>
      <c r="D3449" s="335" t="s">
        <v>58</v>
      </c>
      <c r="E3449" s="337" t="str">
        <f t="shared" si="1"/>
        <v>山口鋼業:MM建材</v>
      </c>
      <c r="F3449" s="338" t="s">
        <v>119</v>
      </c>
      <c r="G3449" s="339" t="str">
        <f t="shared" si="2"/>
        <v>山口鋼業:MM建材Ｈ３(1級)</v>
      </c>
      <c r="H3449" s="340">
        <f t="shared" si="3"/>
        <v>40.5</v>
      </c>
      <c r="I3449" s="341">
        <v>0.5</v>
      </c>
      <c r="J3449" s="332">
        <f>IFERROR(__xludf.DUMMYFUNCTION("IF(IF(COUNTIF(P$2:P3448, P3449)=0, """", INDEX(H$2:H3448,
MAX(FILTER(ROW(H$2:H3448) - ROW(H$2) + 1, P$2:P3448 = P3449))))=""単価"","""",
IF(COUNTIF(P$2:P3448, P3449)=0, """", INDEX(H$2:H3448,
MAX(FILTER(ROW(H$2:H3448) - ROW(H$2) + 1, P$2:P3448 = P3449)))))"),40.0)</f>
        <v>40</v>
      </c>
      <c r="N3449" s="335" t="str">
        <f>IF(MAXIFS('単価履歴'!$O:$O,'単価履歴'!$E:$E,E3449,'単価履歴'!$F:$F,F3449)=O3449,"●","")</f>
        <v/>
      </c>
      <c r="O3449" s="346">
        <v>45974.27086805555</v>
      </c>
      <c r="P3449" s="334" t="str">
        <f t="shared" si="4"/>
        <v>山口鋼業:MM建材Ｈ３(1級)</v>
      </c>
    </row>
    <row r="3450" ht="15.75" customHeight="1">
      <c r="A3450" s="335" t="s">
        <v>4597</v>
      </c>
      <c r="B3450" s="336">
        <v>45974.0</v>
      </c>
      <c r="C3450" s="335" t="s">
        <v>15</v>
      </c>
      <c r="D3450" s="335" t="s">
        <v>58</v>
      </c>
      <c r="E3450" s="337" t="str">
        <f t="shared" si="1"/>
        <v>山口鋼業:MM建材</v>
      </c>
      <c r="F3450" s="338" t="s">
        <v>573</v>
      </c>
      <c r="G3450" s="339" t="str">
        <f t="shared" si="2"/>
        <v>山口鋼業:MM建材Ｌ２(H4･級外･L1ﾊﾞﾗ)</v>
      </c>
      <c r="H3450" s="340">
        <f t="shared" si="3"/>
        <v>39</v>
      </c>
      <c r="I3450" s="341">
        <v>0.5</v>
      </c>
      <c r="J3450" s="332">
        <f>IFERROR(__xludf.DUMMYFUNCTION("IF(IF(COUNTIF(P$2:P3449, P3450)=0, """", INDEX(H$2:H3449,
MAX(FILTER(ROW(H$2:H3449) - ROW(H$2) + 1, P$2:P3449 = P3450))))=""単価"","""",
IF(COUNTIF(P$2:P3449, P3450)=0, """", INDEX(H$2:H3449,
MAX(FILTER(ROW(H$2:H3449) - ROW(H$2) + 1, P$2:P3449 = P3450)))))"),38.5)</f>
        <v>38.5</v>
      </c>
      <c r="N3450" s="335" t="str">
        <f>IF(MAXIFS('単価履歴'!$O:$O,'単価履歴'!$E:$E,E3450,'単価履歴'!$F:$F,F3450)=O3450,"●","")</f>
        <v/>
      </c>
      <c r="O3450" s="346">
        <v>45974.27086805555</v>
      </c>
      <c r="P3450" s="334" t="str">
        <f t="shared" si="4"/>
        <v>山口鋼業:MM建材Ｌ２(H4･級外･L1ﾊﾞﾗ)</v>
      </c>
    </row>
    <row r="3451" ht="15.75" customHeight="1">
      <c r="A3451" s="335" t="s">
        <v>4598</v>
      </c>
      <c r="B3451" s="336">
        <v>45974.0</v>
      </c>
      <c r="C3451" s="335" t="s">
        <v>15</v>
      </c>
      <c r="D3451" s="335" t="s">
        <v>46</v>
      </c>
      <c r="E3451" s="337" t="str">
        <f t="shared" si="1"/>
        <v>山口鋼業:阪和</v>
      </c>
      <c r="F3451" s="338" t="s">
        <v>1199</v>
      </c>
      <c r="G3451" s="339" t="str">
        <f t="shared" si="2"/>
        <v>山口鋼業:阪和ＨＳ１(単体H1/電特A/HS))</v>
      </c>
      <c r="H3451" s="340">
        <f t="shared" si="3"/>
        <v>44.5</v>
      </c>
      <c r="I3451" s="341">
        <v>0.5</v>
      </c>
      <c r="J3451" s="332">
        <f>IFERROR(__xludf.DUMMYFUNCTION("IF(IF(COUNTIF(P$2:P3450, P3451)=0, """", INDEX(H$2:H3450,
MAX(FILTER(ROW(H$2:H3450) - ROW(H$2) + 1, P$2:P3450 = P3451))))=""単価"","""",
IF(COUNTIF(P$2:P3450, P3451)=0, """", INDEX(H$2:H3450,
MAX(FILTER(ROW(H$2:H3450) - ROW(H$2) + 1, P$2:P3450 = P3451)))))"),44.0)</f>
        <v>44</v>
      </c>
      <c r="N3451" s="335" t="str">
        <f>IF(MAXIFS('単価履歴'!$O:$O,'単価履歴'!$E:$E,E3451,'単価履歴'!$F:$F,F3451)=O3451,"●","")</f>
        <v/>
      </c>
      <c r="O3451" s="346">
        <v>45974.27145833333</v>
      </c>
      <c r="P3451" s="334" t="str">
        <f t="shared" si="4"/>
        <v>山口鋼業:阪和ＨＳ１(単体H1/電特A/HS))</v>
      </c>
    </row>
    <row r="3452" ht="15.75" customHeight="1">
      <c r="A3452" s="335" t="s">
        <v>4599</v>
      </c>
      <c r="B3452" s="336">
        <v>45974.0</v>
      </c>
      <c r="C3452" s="335" t="s">
        <v>15</v>
      </c>
      <c r="D3452" s="335" t="s">
        <v>46</v>
      </c>
      <c r="E3452" s="337" t="str">
        <f t="shared" si="1"/>
        <v>山口鋼業:阪和</v>
      </c>
      <c r="F3452" s="338" t="s">
        <v>111</v>
      </c>
      <c r="G3452" s="339" t="str">
        <f t="shared" si="2"/>
        <v>山口鋼業:阪和Ｈ１(特A)</v>
      </c>
      <c r="H3452" s="340">
        <f t="shared" si="3"/>
        <v>43</v>
      </c>
      <c r="I3452" s="341">
        <v>0.5</v>
      </c>
      <c r="J3452" s="332">
        <f>IFERROR(__xludf.DUMMYFUNCTION("IF(IF(COUNTIF(P$2:P3451, P3452)=0, """", INDEX(H$2:H3451,
MAX(FILTER(ROW(H$2:H3451) - ROW(H$2) + 1, P$2:P3451 = P3452))))=""単価"","""",
IF(COUNTIF(P$2:P3451, P3452)=0, """", INDEX(H$2:H3451,
MAX(FILTER(ROW(H$2:H3451) - ROW(H$2) + 1, P$2:P3451 = P3452)))))"),42.5)</f>
        <v>42.5</v>
      </c>
      <c r="N3452" s="335" t="str">
        <f>IF(MAXIFS('単価履歴'!$O:$O,'単価履歴'!$E:$E,E3452,'単価履歴'!$F:$F,F3452)=O3452,"●","")</f>
        <v/>
      </c>
      <c r="O3452" s="346">
        <v>45974.27145833333</v>
      </c>
      <c r="P3452" s="334" t="str">
        <f t="shared" si="4"/>
        <v>山口鋼業:阪和Ｈ１(特A)</v>
      </c>
    </row>
    <row r="3453" ht="15.75" customHeight="1">
      <c r="A3453" s="335" t="s">
        <v>4600</v>
      </c>
      <c r="B3453" s="336">
        <v>45974.0</v>
      </c>
      <c r="C3453" s="335" t="s">
        <v>15</v>
      </c>
      <c r="D3453" s="335" t="s">
        <v>46</v>
      </c>
      <c r="E3453" s="337" t="str">
        <f t="shared" si="1"/>
        <v>山口鋼業:阪和</v>
      </c>
      <c r="F3453" s="338" t="s">
        <v>116</v>
      </c>
      <c r="G3453" s="339" t="str">
        <f t="shared" si="2"/>
        <v>山口鋼業:阪和Ｈ２(特級)</v>
      </c>
      <c r="H3453" s="340">
        <f t="shared" si="3"/>
        <v>42.5</v>
      </c>
      <c r="I3453" s="341">
        <v>0.5</v>
      </c>
      <c r="J3453" s="332">
        <f>IFERROR(__xludf.DUMMYFUNCTION("IF(IF(COUNTIF(P$2:P3452, P3453)=0, """", INDEX(H$2:H3452,
MAX(FILTER(ROW(H$2:H3452) - ROW(H$2) + 1, P$2:P3452 = P3453))))=""単価"","""",
IF(COUNTIF(P$2:P3452, P3453)=0, """", INDEX(H$2:H3452,
MAX(FILTER(ROW(H$2:H3452) - ROW(H$2) + 1, P$2:P3452 = P3453)))))"),42.0)</f>
        <v>42</v>
      </c>
      <c r="N3453" s="335" t="str">
        <f>IF(MAXIFS('単価履歴'!$O:$O,'単価履歴'!$E:$E,E3453,'単価履歴'!$F:$F,F3453)=O3453,"●","")</f>
        <v/>
      </c>
      <c r="O3453" s="346">
        <v>45974.27145833333</v>
      </c>
      <c r="P3453" s="334" t="str">
        <f t="shared" si="4"/>
        <v>山口鋼業:阪和Ｈ２(特級)</v>
      </c>
    </row>
    <row r="3454" ht="15.75" customHeight="1">
      <c r="A3454" s="335" t="s">
        <v>4601</v>
      </c>
      <c r="B3454" s="336">
        <v>45974.0</v>
      </c>
      <c r="C3454" s="335" t="s">
        <v>15</v>
      </c>
      <c r="D3454" s="335" t="s">
        <v>46</v>
      </c>
      <c r="E3454" s="337" t="str">
        <f t="shared" si="1"/>
        <v>山口鋼業:阪和</v>
      </c>
      <c r="F3454" s="338" t="s">
        <v>119</v>
      </c>
      <c r="G3454" s="339" t="str">
        <f t="shared" si="2"/>
        <v>山口鋼業:阪和Ｈ３(1級)</v>
      </c>
      <c r="H3454" s="340">
        <f t="shared" si="3"/>
        <v>41.5</v>
      </c>
      <c r="I3454" s="341">
        <v>0.5</v>
      </c>
      <c r="J3454" s="332">
        <f>IFERROR(__xludf.DUMMYFUNCTION("IF(IF(COUNTIF(P$2:P3453, P3454)=0, """", INDEX(H$2:H3453,
MAX(FILTER(ROW(H$2:H3453) - ROW(H$2) + 1, P$2:P3453 = P3454))))=""単価"","""",
IF(COUNTIF(P$2:P3453, P3454)=0, """", INDEX(H$2:H3453,
MAX(FILTER(ROW(H$2:H3453) - ROW(H$2) + 1, P$2:P3453 = P3454)))))"),41.0)</f>
        <v>41</v>
      </c>
      <c r="N3454" s="335" t="str">
        <f>IF(MAXIFS('単価履歴'!$O:$O,'単価履歴'!$E:$E,E3454,'単価履歴'!$F:$F,F3454)=O3454,"●","")</f>
        <v/>
      </c>
      <c r="O3454" s="346">
        <v>45974.27145833333</v>
      </c>
      <c r="P3454" s="334" t="str">
        <f t="shared" si="4"/>
        <v>山口鋼業:阪和Ｈ３(1級)</v>
      </c>
    </row>
    <row r="3455" ht="15.75" customHeight="1">
      <c r="A3455" s="335" t="s">
        <v>4602</v>
      </c>
      <c r="B3455" s="336">
        <v>45974.0</v>
      </c>
      <c r="C3455" s="335" t="s">
        <v>15</v>
      </c>
      <c r="D3455" s="335" t="s">
        <v>46</v>
      </c>
      <c r="E3455" s="337" t="str">
        <f t="shared" si="1"/>
        <v>山口鋼業:阪和</v>
      </c>
      <c r="F3455" s="338" t="s">
        <v>573</v>
      </c>
      <c r="G3455" s="339" t="str">
        <f t="shared" si="2"/>
        <v>山口鋼業:阪和Ｌ２(H4･級外･L1ﾊﾞﾗ)</v>
      </c>
      <c r="H3455" s="340">
        <f t="shared" si="3"/>
        <v>40</v>
      </c>
      <c r="I3455" s="341">
        <v>0.5</v>
      </c>
      <c r="J3455" s="332">
        <f>IFERROR(__xludf.DUMMYFUNCTION("IF(IF(COUNTIF(P$2:P3454, P3455)=0, """", INDEX(H$2:H3454,
MAX(FILTER(ROW(H$2:H3454) - ROW(H$2) + 1, P$2:P3454 = P3455))))=""単価"","""",
IF(COUNTIF(P$2:P3454, P3455)=0, """", INDEX(H$2:H3454,
MAX(FILTER(ROW(H$2:H3454) - ROW(H$2) + 1, P$2:P3454 = P3455)))))"),39.5)</f>
        <v>39.5</v>
      </c>
      <c r="N3455" s="335" t="str">
        <f>IF(MAXIFS('単価履歴'!$O:$O,'単価履歴'!$E:$E,E3455,'単価履歴'!$F:$F,F3455)=O3455,"●","")</f>
        <v/>
      </c>
      <c r="O3455" s="346">
        <v>45974.27145833333</v>
      </c>
      <c r="P3455" s="334" t="str">
        <f t="shared" si="4"/>
        <v>山口鋼業:阪和Ｌ２(H4･級外･L1ﾊﾞﾗ)</v>
      </c>
    </row>
    <row r="3456" ht="15.75" customHeight="1">
      <c r="A3456" s="335" t="s">
        <v>4603</v>
      </c>
      <c r="B3456" s="336">
        <v>45974.0</v>
      </c>
      <c r="C3456" s="335" t="s">
        <v>537</v>
      </c>
      <c r="D3456" s="335" t="s">
        <v>59</v>
      </c>
      <c r="E3456" s="337" t="str">
        <f t="shared" si="1"/>
        <v>大同特殊鋼:大同興業</v>
      </c>
      <c r="F3456" s="338" t="s">
        <v>1199</v>
      </c>
      <c r="G3456" s="339" t="str">
        <f t="shared" si="2"/>
        <v>大同特殊鋼:大同興業ＨＳ１(単体H1/電特A/HS))</v>
      </c>
      <c r="H3456" s="340">
        <f t="shared" si="3"/>
        <v>46.5</v>
      </c>
      <c r="I3456" s="341">
        <v>0.5</v>
      </c>
      <c r="J3456" s="332">
        <f>IFERROR(__xludf.DUMMYFUNCTION("IF(IF(COUNTIF(P$2:P3455, P3456)=0, """", INDEX(H$2:H3455,
MAX(FILTER(ROW(H$2:H3455) - ROW(H$2) + 1, P$2:P3455 = P3456))))=""単価"","""",
IF(COUNTIF(P$2:P3455, P3456)=0, """", INDEX(H$2:H3455,
MAX(FILTER(ROW(H$2:H3455) - ROW(H$2) + 1, P$2:P3455 = P3456)))))"),46.0)</f>
        <v>46</v>
      </c>
      <c r="N3456" s="335" t="str">
        <f>IF(MAXIFS('単価履歴'!$O:$O,'単価履歴'!$E:$E,E3456,'単価履歴'!$F:$F,F3456)=O3456,"●","")</f>
        <v/>
      </c>
      <c r="O3456" s="346">
        <v>45974.27171296296</v>
      </c>
      <c r="P3456" s="334" t="str">
        <f t="shared" si="4"/>
        <v>大同特殊鋼:大同興業ＨＳ１(単体H1/電特A/HS))</v>
      </c>
    </row>
    <row r="3457" ht="15.75" customHeight="1">
      <c r="A3457" s="335" t="s">
        <v>4604</v>
      </c>
      <c r="B3457" s="336">
        <v>45974.0</v>
      </c>
      <c r="C3457" s="335" t="s">
        <v>537</v>
      </c>
      <c r="D3457" s="335" t="s">
        <v>1404</v>
      </c>
      <c r="E3457" s="337" t="str">
        <f t="shared" si="1"/>
        <v>大同特殊鋼:JSE/大和ﾘﾃｯｸ</v>
      </c>
      <c r="F3457" s="338" t="s">
        <v>1199</v>
      </c>
      <c r="G3457" s="339" t="str">
        <f t="shared" si="2"/>
        <v>大同特殊鋼:JSE/大和ﾘﾃｯｸＨＳ１(単体H1/電特A/HS))</v>
      </c>
      <c r="H3457" s="340">
        <f t="shared" si="3"/>
        <v>45.8</v>
      </c>
      <c r="I3457" s="341">
        <v>0.5</v>
      </c>
      <c r="J3457" s="332">
        <f>IFERROR(__xludf.DUMMYFUNCTION("IF(IF(COUNTIF(P$2:P3456, P3457)=0, """", INDEX(H$2:H3456,
MAX(FILTER(ROW(H$2:H3456) - ROW(H$2) + 1, P$2:P3456 = P3457))))=""単価"","""",
IF(COUNTIF(P$2:P3456, P3457)=0, """", INDEX(H$2:H3456,
MAX(FILTER(ROW(H$2:H3456) - ROW(H$2) + 1, P$2:P3456 = P3457)))))"),45.3)</f>
        <v>45.3</v>
      </c>
      <c r="N3457" s="335" t="str">
        <f>IF(MAXIFS('単価履歴'!$O:$O,'単価履歴'!$E:$E,E3457,'単価履歴'!$F:$F,F3457)=O3457,"●","")</f>
        <v/>
      </c>
      <c r="O3457" s="346">
        <v>45974.27209490741</v>
      </c>
      <c r="P3457" s="334" t="str">
        <f t="shared" si="4"/>
        <v>大同特殊鋼:JSE/大和ﾘﾃｯｸＨＳ１(単体H1/電特A/HS))</v>
      </c>
    </row>
    <row r="3458" ht="15.75" customHeight="1">
      <c r="A3458" s="335" t="s">
        <v>4605</v>
      </c>
      <c r="B3458" s="336">
        <v>45974.0</v>
      </c>
      <c r="C3458" s="335" t="s">
        <v>537</v>
      </c>
      <c r="D3458" s="335" t="s">
        <v>1404</v>
      </c>
      <c r="E3458" s="337" t="str">
        <f t="shared" si="1"/>
        <v>大同特殊鋼:JSE/大和ﾘﾃｯｸ</v>
      </c>
      <c r="F3458" s="338" t="s">
        <v>116</v>
      </c>
      <c r="G3458" s="339" t="str">
        <f t="shared" si="2"/>
        <v>大同特殊鋼:JSE/大和ﾘﾃｯｸＨ２(特級)</v>
      </c>
      <c r="H3458" s="340">
        <f t="shared" si="3"/>
        <v>42.7</v>
      </c>
      <c r="I3458" s="341">
        <v>0.5</v>
      </c>
      <c r="J3458" s="332">
        <f>IFERROR(__xludf.DUMMYFUNCTION("IF(IF(COUNTIF(P$2:P3457, P3458)=0, """", INDEX(H$2:H3457,
MAX(FILTER(ROW(H$2:H3457) - ROW(H$2) + 1, P$2:P3457 = P3458))))=""単価"","""",
IF(COUNTIF(P$2:P3457, P3458)=0, """", INDEX(H$2:H3457,
MAX(FILTER(ROW(H$2:H3457) - ROW(H$2) + 1, P$2:P3457 = P3458)))))"),42.2)</f>
        <v>42.2</v>
      </c>
      <c r="N3458" s="335" t="str">
        <f>IF(MAXIFS('単価履歴'!$O:$O,'単価履歴'!$E:$E,E3458,'単価履歴'!$F:$F,F3458)=O3458,"●","")</f>
        <v/>
      </c>
      <c r="O3458" s="346">
        <v>45974.27209490741</v>
      </c>
      <c r="P3458" s="334" t="str">
        <f t="shared" si="4"/>
        <v>大同特殊鋼:JSE/大和ﾘﾃｯｸＨ２(特級)</v>
      </c>
    </row>
    <row r="3459" ht="15.75" customHeight="1">
      <c r="A3459" s="335" t="s">
        <v>4606</v>
      </c>
      <c r="B3459" s="336">
        <v>45974.0</v>
      </c>
      <c r="C3459" s="335" t="s">
        <v>537</v>
      </c>
      <c r="D3459" s="335" t="s">
        <v>1407</v>
      </c>
      <c r="E3459" s="337" t="str">
        <f t="shared" si="1"/>
        <v>大同特殊鋼:JSE/第二＠2.3</v>
      </c>
      <c r="F3459" s="338" t="s">
        <v>1199</v>
      </c>
      <c r="G3459" s="339" t="str">
        <f t="shared" si="2"/>
        <v>大同特殊鋼:JSE/第二＠2.3ＨＳ１(単体H1/電特A/HS))</v>
      </c>
      <c r="H3459" s="340">
        <f t="shared" si="3"/>
        <v>43.5</v>
      </c>
      <c r="I3459" s="341">
        <v>0.5</v>
      </c>
      <c r="J3459" s="332">
        <f>IFERROR(__xludf.DUMMYFUNCTION("IF(IF(COUNTIF(P$2:P3458, P3459)=0, """", INDEX(H$2:H3458,
MAX(FILTER(ROW(H$2:H3458) - ROW(H$2) + 1, P$2:P3458 = P3459))))=""単価"","""",
IF(COUNTIF(P$2:P3458, P3459)=0, """", INDEX(H$2:H3458,
MAX(FILTER(ROW(H$2:H3458) - ROW(H$2) + 1, P$2:P3458 = P3459)))))"),43.0)</f>
        <v>43</v>
      </c>
      <c r="N3459" s="335" t="str">
        <f>IF(MAXIFS('単価履歴'!$O:$O,'単価履歴'!$E:$E,E3459,'単価履歴'!$F:$F,F3459)=O3459,"●","")</f>
        <v/>
      </c>
      <c r="O3459" s="346">
        <v>45974.27209490741</v>
      </c>
      <c r="P3459" s="334" t="str">
        <f t="shared" si="4"/>
        <v>大同特殊鋼:JSE/第二＠2.3ＨＳ１(単体H1/電特A/HS))</v>
      </c>
    </row>
    <row r="3460" ht="15.75" customHeight="1">
      <c r="A3460" s="335" t="s">
        <v>4607</v>
      </c>
      <c r="B3460" s="336">
        <v>45974.0</v>
      </c>
      <c r="C3460" s="335" t="s">
        <v>537</v>
      </c>
      <c r="D3460" s="335" t="s">
        <v>1407</v>
      </c>
      <c r="E3460" s="337" t="str">
        <f t="shared" si="1"/>
        <v>大同特殊鋼:JSE/第二＠2.3</v>
      </c>
      <c r="F3460" s="338" t="s">
        <v>116</v>
      </c>
      <c r="G3460" s="339" t="str">
        <f t="shared" si="2"/>
        <v>大同特殊鋼:JSE/第二＠2.3Ｈ２(特級)</v>
      </c>
      <c r="H3460" s="340">
        <f t="shared" si="3"/>
        <v>40.4</v>
      </c>
      <c r="I3460" s="341">
        <v>0.5</v>
      </c>
      <c r="J3460" s="332">
        <f>IFERROR(__xludf.DUMMYFUNCTION("IF(IF(COUNTIF(P$2:P3459, P3460)=0, """", INDEX(H$2:H3459,
MAX(FILTER(ROW(H$2:H3459) - ROW(H$2) + 1, P$2:P3459 = P3460))))=""単価"","""",
IF(COUNTIF(P$2:P3459, P3460)=0, """", INDEX(H$2:H3459,
MAX(FILTER(ROW(H$2:H3459) - ROW(H$2) + 1, P$2:P3459 = P3460)))))"),39.900000000000006)</f>
        <v>39.9</v>
      </c>
      <c r="N3460" s="335" t="str">
        <f>IF(MAXIFS('単価履歴'!$O:$O,'単価履歴'!$E:$E,E3460,'単価履歴'!$F:$F,F3460)=O3460,"●","")</f>
        <v/>
      </c>
      <c r="O3460" s="346">
        <v>45974.27209490741</v>
      </c>
      <c r="P3460" s="334" t="str">
        <f t="shared" si="4"/>
        <v>大同特殊鋼:JSE/第二＠2.3Ｈ２(特級)</v>
      </c>
    </row>
    <row r="3461" ht="15.75" customHeight="1">
      <c r="A3461" s="335" t="s">
        <v>4608</v>
      </c>
      <c r="B3461" s="336">
        <v>45974.0</v>
      </c>
      <c r="C3461" s="335" t="s">
        <v>537</v>
      </c>
      <c r="D3461" s="335" t="s">
        <v>1410</v>
      </c>
      <c r="E3461" s="337" t="str">
        <f t="shared" si="1"/>
        <v>大同特殊鋼:JSE/岐阜＠1.5</v>
      </c>
      <c r="F3461" s="338" t="s">
        <v>1199</v>
      </c>
      <c r="G3461" s="339" t="str">
        <f t="shared" si="2"/>
        <v>大同特殊鋼:JSE/岐阜＠1.5ＨＳ１(単体H1/電特A/HS))</v>
      </c>
      <c r="H3461" s="340">
        <f t="shared" si="3"/>
        <v>44.3</v>
      </c>
      <c r="I3461" s="341">
        <v>0.5</v>
      </c>
      <c r="J3461" s="332">
        <f>IFERROR(__xludf.DUMMYFUNCTION("IF(IF(COUNTIF(P$2:P3460, P3461)=0, """", INDEX(H$2:H3460,
MAX(FILTER(ROW(H$2:H3460) - ROW(H$2) + 1, P$2:P3460 = P3461))))=""単価"","""",
IF(COUNTIF(P$2:P3460, P3461)=0, """", INDEX(H$2:H3460,
MAX(FILTER(ROW(H$2:H3460) - ROW(H$2) + 1, P$2:P3460 = P3461)))))"),43.8)</f>
        <v>43.8</v>
      </c>
      <c r="N3461" s="335" t="str">
        <f>IF(MAXIFS('単価履歴'!$O:$O,'単価履歴'!$E:$E,E3461,'単価履歴'!$F:$F,F3461)=O3461,"●","")</f>
        <v/>
      </c>
      <c r="O3461" s="346">
        <v>45974.27209490741</v>
      </c>
      <c r="P3461" s="334" t="str">
        <f t="shared" si="4"/>
        <v>大同特殊鋼:JSE/岐阜＠1.5ＨＳ１(単体H1/電特A/HS))</v>
      </c>
    </row>
    <row r="3462" ht="15.75" customHeight="1">
      <c r="A3462" s="335" t="s">
        <v>4609</v>
      </c>
      <c r="B3462" s="336">
        <v>45974.0</v>
      </c>
      <c r="C3462" s="335" t="s">
        <v>537</v>
      </c>
      <c r="D3462" s="335" t="s">
        <v>1410</v>
      </c>
      <c r="E3462" s="337" t="str">
        <f t="shared" si="1"/>
        <v>大同特殊鋼:JSE/岐阜＠1.5</v>
      </c>
      <c r="F3462" s="338" t="s">
        <v>116</v>
      </c>
      <c r="G3462" s="339" t="str">
        <f t="shared" si="2"/>
        <v>大同特殊鋼:JSE/岐阜＠1.5Ｈ２(特級)</v>
      </c>
      <c r="H3462" s="340">
        <f t="shared" si="3"/>
        <v>41.2</v>
      </c>
      <c r="I3462" s="341">
        <v>0.5</v>
      </c>
      <c r="J3462" s="332">
        <f>IFERROR(__xludf.DUMMYFUNCTION("IF(IF(COUNTIF(P$2:P3461, P3462)=0, """", INDEX(H$2:H3461,
MAX(FILTER(ROW(H$2:H3461) - ROW(H$2) + 1, P$2:P3461 = P3462))))=""単価"","""",
IF(COUNTIF(P$2:P3461, P3462)=0, """", INDEX(H$2:H3461,
MAX(FILTER(ROW(H$2:H3461) - ROW(H$2) + 1, P$2:P3461 = P3462)))))"),40.7)</f>
        <v>40.7</v>
      </c>
      <c r="N3462" s="335" t="str">
        <f>IF(MAXIFS('単価履歴'!$O:$O,'単価履歴'!$E:$E,E3462,'単価履歴'!$F:$F,F3462)=O3462,"●","")</f>
        <v/>
      </c>
      <c r="O3462" s="346">
        <v>45974.27209490741</v>
      </c>
      <c r="P3462" s="334" t="str">
        <f t="shared" si="4"/>
        <v>大同特殊鋼:JSE/岐阜＠1.5Ｈ２(特級)</v>
      </c>
    </row>
    <row r="3463" ht="15.75" customHeight="1">
      <c r="A3463" s="335" t="s">
        <v>4610</v>
      </c>
      <c r="B3463" s="336">
        <v>45973.0</v>
      </c>
      <c r="C3463" s="335" t="s">
        <v>9</v>
      </c>
      <c r="D3463" s="335" t="s">
        <v>47</v>
      </c>
      <c r="E3463" s="337" t="str">
        <f t="shared" si="1"/>
        <v>大鉄　堺:豊通</v>
      </c>
      <c r="F3463" s="338" t="s">
        <v>111</v>
      </c>
      <c r="G3463" s="339" t="str">
        <f t="shared" si="2"/>
        <v>大鉄　堺:豊通Ｈ１(特A)</v>
      </c>
      <c r="H3463" s="340">
        <f t="shared" si="3"/>
        <v>30.4</v>
      </c>
      <c r="I3463" s="341">
        <v>0.5</v>
      </c>
      <c r="J3463" s="332">
        <f>IFERROR(__xludf.DUMMYFUNCTION("IF(IF(COUNTIF(P$2:P3462, P3463)=0, """", INDEX(H$2:H3462,
MAX(FILTER(ROW(H$2:H3462) - ROW(H$2) + 1, P$2:P3462 = P3463))))=""単価"","""",
IF(COUNTIF(P$2:P3462, P3463)=0, """", INDEX(H$2:H3462,
MAX(FILTER(ROW(H$2:H3462) - ROW(H$2) + 1, P$2:P3462 = P3463)))))"),29.9)</f>
        <v>29.9</v>
      </c>
      <c r="N3463" s="335" t="str">
        <f>IF(MAXIFS('単価履歴'!$O:$O,'単価履歴'!$E:$E,E3463,'単価履歴'!$F:$F,F3463)=O3463,"●","")</f>
        <v/>
      </c>
      <c r="O3463" s="346">
        <v>45976.65519675926</v>
      </c>
      <c r="P3463" s="334" t="str">
        <f t="shared" si="4"/>
        <v>大鉄　堺:豊通Ｈ１(特A)</v>
      </c>
    </row>
    <row r="3464" ht="15.75" customHeight="1">
      <c r="A3464" s="335" t="s">
        <v>4611</v>
      </c>
      <c r="B3464" s="336">
        <v>45973.0</v>
      </c>
      <c r="C3464" s="335" t="s">
        <v>9</v>
      </c>
      <c r="D3464" s="335" t="s">
        <v>47</v>
      </c>
      <c r="E3464" s="337" t="str">
        <f t="shared" si="1"/>
        <v>大鉄　堺:豊通</v>
      </c>
      <c r="F3464" s="338" t="s">
        <v>1237</v>
      </c>
      <c r="G3464" s="339" t="str">
        <f t="shared" si="2"/>
        <v>大鉄　堺:豊通ＪＨ１(H2T山口)鍛造ﾊﾞﾘ</v>
      </c>
      <c r="H3464" s="340">
        <f t="shared" si="3"/>
        <v>29.4</v>
      </c>
      <c r="I3464" s="341">
        <v>0.5</v>
      </c>
      <c r="J3464" s="332">
        <f>IFERROR(__xludf.DUMMYFUNCTION("IF(IF(COUNTIF(P$2:P3463, P3464)=0, """", INDEX(H$2:H3463,
MAX(FILTER(ROW(H$2:H3463) - ROW(H$2) + 1, P$2:P3463 = P3464))))=""単価"","""",
IF(COUNTIF(P$2:P3463, P3464)=0, """", INDEX(H$2:H3463,
MAX(FILTER(ROW(H$2:H3463) - ROW(H$2) + 1, P$2:P3463 = P3464)))))"),28.9)</f>
        <v>28.9</v>
      </c>
      <c r="N3464" s="335" t="str">
        <f>IF(MAXIFS('単価履歴'!$O:$O,'単価履歴'!$E:$E,E3464,'単価履歴'!$F:$F,F3464)=O3464,"●","")</f>
        <v/>
      </c>
      <c r="O3464" s="346">
        <v>45976.65519675926</v>
      </c>
      <c r="P3464" s="334" t="str">
        <f t="shared" si="4"/>
        <v>大鉄　堺:豊通ＪＨ１(H2T山口)鍛造ﾊﾞﾘ</v>
      </c>
    </row>
    <row r="3465" ht="15.75" customHeight="1">
      <c r="A3465" s="335" t="s">
        <v>4612</v>
      </c>
      <c r="B3465" s="336">
        <v>45973.0</v>
      </c>
      <c r="C3465" s="335" t="s">
        <v>9</v>
      </c>
      <c r="D3465" s="335" t="s">
        <v>47</v>
      </c>
      <c r="E3465" s="337" t="str">
        <f t="shared" si="1"/>
        <v>大鉄　堺:豊通</v>
      </c>
      <c r="F3465" s="338" t="s">
        <v>116</v>
      </c>
      <c r="G3465" s="339" t="str">
        <f t="shared" si="2"/>
        <v>大鉄　堺:豊通Ｈ２(特級)</v>
      </c>
      <c r="H3465" s="340">
        <f t="shared" si="3"/>
        <v>26.2</v>
      </c>
      <c r="I3465" s="341">
        <v>0.5</v>
      </c>
      <c r="J3465" s="332">
        <f>IFERROR(__xludf.DUMMYFUNCTION("IF(IF(COUNTIF(P$2:P3464, P3465)=0, """", INDEX(H$2:H3464,
MAX(FILTER(ROW(H$2:H3464) - ROW(H$2) + 1, P$2:P3464 = P3465))))=""単価"","""",
IF(COUNTIF(P$2:P3464, P3465)=0, """", INDEX(H$2:H3464,
MAX(FILTER(ROW(H$2:H3464) - ROW(H$2) + 1, P$2:P3464 = P3465)))))"),25.7)</f>
        <v>25.7</v>
      </c>
      <c r="N3465" s="335" t="str">
        <f>IF(MAXIFS('単価履歴'!$O:$O,'単価履歴'!$E:$E,E3465,'単価履歴'!$F:$F,F3465)=O3465,"●","")</f>
        <v/>
      </c>
      <c r="O3465" s="346">
        <v>45976.65519675926</v>
      </c>
      <c r="P3465" s="334" t="str">
        <f t="shared" si="4"/>
        <v>大鉄　堺:豊通Ｈ２(特級)</v>
      </c>
    </row>
    <row r="3466" ht="15.75" customHeight="1">
      <c r="A3466" s="335" t="s">
        <v>4613</v>
      </c>
      <c r="B3466" s="336">
        <v>45973.0</v>
      </c>
      <c r="C3466" s="335" t="s">
        <v>9</v>
      </c>
      <c r="D3466" s="335" t="s">
        <v>47</v>
      </c>
      <c r="E3466" s="337" t="str">
        <f t="shared" si="1"/>
        <v>大鉄　堺:豊通</v>
      </c>
      <c r="F3466" s="338" t="s">
        <v>119</v>
      </c>
      <c r="G3466" s="339" t="str">
        <f t="shared" si="2"/>
        <v>大鉄　堺:豊通Ｈ３(1級)</v>
      </c>
      <c r="H3466" s="340">
        <f t="shared" si="3"/>
        <v>25.2</v>
      </c>
      <c r="I3466" s="341">
        <v>0.5</v>
      </c>
      <c r="J3466" s="332">
        <f>IFERROR(__xludf.DUMMYFUNCTION("IF(IF(COUNTIF(P$2:P3465, P3466)=0, """", INDEX(H$2:H3465,
MAX(FILTER(ROW(H$2:H3465) - ROW(H$2) + 1, P$2:P3465 = P3466))))=""単価"","""",
IF(COUNTIF(P$2:P3465, P3466)=0, """", INDEX(H$2:H3465,
MAX(FILTER(ROW(H$2:H3465) - ROW(H$2) + 1, P$2:P3465 = P3466)))))"),24.7)</f>
        <v>24.7</v>
      </c>
      <c r="N3466" s="335" t="str">
        <f>IF(MAXIFS('単価履歴'!$O:$O,'単価履歴'!$E:$E,E3466,'単価履歴'!$F:$F,F3466)=O3466,"●","")</f>
        <v/>
      </c>
      <c r="O3466" s="346">
        <v>45976.65519675926</v>
      </c>
      <c r="P3466" s="334" t="str">
        <f t="shared" si="4"/>
        <v>大鉄　堺:豊通Ｈ３(1級)</v>
      </c>
    </row>
    <row r="3467" ht="15.75" customHeight="1">
      <c r="A3467" s="335" t="s">
        <v>4614</v>
      </c>
      <c r="B3467" s="336">
        <v>45973.0</v>
      </c>
      <c r="C3467" s="335" t="s">
        <v>9</v>
      </c>
      <c r="D3467" s="335" t="s">
        <v>47</v>
      </c>
      <c r="E3467" s="337" t="str">
        <f t="shared" si="1"/>
        <v>大鉄　堺:豊通</v>
      </c>
      <c r="F3467" s="338" t="s">
        <v>122</v>
      </c>
      <c r="G3467" s="339" t="str">
        <f t="shared" si="2"/>
        <v>大鉄　堺:豊通Ｌ１(2級)</v>
      </c>
      <c r="H3467" s="340">
        <f t="shared" si="3"/>
        <v>23.7</v>
      </c>
      <c r="I3467" s="341">
        <v>0.5</v>
      </c>
      <c r="J3467" s="332">
        <f>IFERROR(__xludf.DUMMYFUNCTION("IF(IF(COUNTIF(P$2:P3466, P3467)=0, """", INDEX(H$2:H3466,
MAX(FILTER(ROW(H$2:H3466) - ROW(H$2) + 1, P$2:P3466 = P3467))))=""単価"","""",
IF(COUNTIF(P$2:P3466, P3467)=0, """", INDEX(H$2:H3466,
MAX(FILTER(ROW(H$2:H3466) - ROW(H$2) + 1, P$2:P3466 = P3467)))))"),23.2)</f>
        <v>23.2</v>
      </c>
      <c r="N3467" s="335" t="str">
        <f>IF(MAXIFS('単価履歴'!$O:$O,'単価履歴'!$E:$E,E3467,'単価履歴'!$F:$F,F3467)=O3467,"●","")</f>
        <v/>
      </c>
      <c r="O3467" s="346">
        <v>45976.65519675926</v>
      </c>
      <c r="P3467" s="334" t="str">
        <f t="shared" si="4"/>
        <v>大鉄　堺:豊通Ｌ１(2級)</v>
      </c>
    </row>
    <row r="3468" ht="15.75" customHeight="1">
      <c r="A3468" s="335" t="s">
        <v>4615</v>
      </c>
      <c r="B3468" s="336">
        <v>45973.0</v>
      </c>
      <c r="C3468" s="335" t="s">
        <v>9</v>
      </c>
      <c r="D3468" s="335" t="s">
        <v>47</v>
      </c>
      <c r="E3468" s="337" t="str">
        <f t="shared" si="1"/>
        <v>大鉄　堺:豊通</v>
      </c>
      <c r="F3468" s="338" t="s">
        <v>130</v>
      </c>
      <c r="G3468" s="339" t="str">
        <f t="shared" si="2"/>
        <v>大鉄　堺:豊通新断Ａ</v>
      </c>
      <c r="H3468" s="340">
        <f t="shared" si="3"/>
        <v>27.2</v>
      </c>
      <c r="I3468" s="341">
        <v>0.5</v>
      </c>
      <c r="J3468" s="332">
        <f>IFERROR(__xludf.DUMMYFUNCTION("IF(IF(COUNTIF(P$2:P3467, P3468)=0, """", INDEX(H$2:H3467,
MAX(FILTER(ROW(H$2:H3467) - ROW(H$2) + 1, P$2:P3467 = P3468))))=""単価"","""",
IF(COUNTIF(P$2:P3467, P3468)=0, """", INDEX(H$2:H3467,
MAX(FILTER(ROW(H$2:H3467) - ROW(H$2) + 1, P$2:P3467 = P3468)))))"),26.7)</f>
        <v>26.7</v>
      </c>
      <c r="N3468" s="335" t="str">
        <f>IF(MAXIFS('単価履歴'!$O:$O,'単価履歴'!$E:$E,E3468,'単価履歴'!$F:$F,F3468)=O3468,"●","")</f>
        <v/>
      </c>
      <c r="O3468" s="346">
        <v>45976.65519675926</v>
      </c>
      <c r="P3468" s="334" t="str">
        <f t="shared" si="4"/>
        <v>大鉄　堺:豊通新断Ａ</v>
      </c>
    </row>
    <row r="3469" ht="15.75" customHeight="1">
      <c r="A3469" s="335" t="s">
        <v>4616</v>
      </c>
      <c r="B3469" s="336">
        <v>45973.0</v>
      </c>
      <c r="C3469" s="335" t="s">
        <v>9</v>
      </c>
      <c r="D3469" s="335" t="s">
        <v>47</v>
      </c>
      <c r="E3469" s="337" t="str">
        <f t="shared" si="1"/>
        <v>大鉄　堺:豊通</v>
      </c>
      <c r="F3469" s="338" t="s">
        <v>131</v>
      </c>
      <c r="G3469" s="339" t="str">
        <f t="shared" si="2"/>
        <v>大鉄　堺:豊通新断Ｂ</v>
      </c>
      <c r="H3469" s="340">
        <f t="shared" si="3"/>
        <v>26.7</v>
      </c>
      <c r="I3469" s="341">
        <v>0.5</v>
      </c>
      <c r="J3469" s="332">
        <f>IFERROR(__xludf.DUMMYFUNCTION("IF(IF(COUNTIF(P$2:P3468, P3469)=0, """", INDEX(H$2:H3468,
MAX(FILTER(ROW(H$2:H3468) - ROW(H$2) + 1, P$2:P3468 = P3469))))=""単価"","""",
IF(COUNTIF(P$2:P3468, P3469)=0, """", INDEX(H$2:H3468,
MAX(FILTER(ROW(H$2:H3468) - ROW(H$2) + 1, P$2:P3468 = P3469)))))"),26.2)</f>
        <v>26.2</v>
      </c>
      <c r="N3469" s="335" t="str">
        <f>IF(MAXIFS('単価履歴'!$O:$O,'単価履歴'!$E:$E,E3469,'単価履歴'!$F:$F,F3469)=O3469,"●","")</f>
        <v/>
      </c>
      <c r="O3469" s="346">
        <v>45976.65519675926</v>
      </c>
      <c r="P3469" s="334" t="str">
        <f t="shared" si="4"/>
        <v>大鉄　堺:豊通新断Ｂ</v>
      </c>
    </row>
    <row r="3470" ht="15.75" customHeight="1">
      <c r="A3470" s="335" t="s">
        <v>4617</v>
      </c>
      <c r="B3470" s="336">
        <v>45973.0</v>
      </c>
      <c r="C3470" s="335" t="s">
        <v>9</v>
      </c>
      <c r="D3470" s="335" t="s">
        <v>47</v>
      </c>
      <c r="E3470" s="337" t="str">
        <f t="shared" si="1"/>
        <v>大鉄　堺:豊通</v>
      </c>
      <c r="F3470" s="338" t="s">
        <v>145</v>
      </c>
      <c r="G3470" s="339" t="str">
        <f t="shared" si="2"/>
        <v>大鉄　堺:豊通シュレＡ</v>
      </c>
      <c r="H3470" s="340">
        <f t="shared" si="3"/>
        <v>30.7</v>
      </c>
      <c r="I3470" s="341">
        <v>0.5</v>
      </c>
      <c r="J3470" s="332">
        <f>IFERROR(__xludf.DUMMYFUNCTION("IF(IF(COUNTIF(P$2:P3469, P3470)=0, """", INDEX(H$2:H3469,
MAX(FILTER(ROW(H$2:H3469) - ROW(H$2) + 1, P$2:P3469 = P3470))))=""単価"","""",
IF(COUNTIF(P$2:P3469, P3470)=0, """", INDEX(H$2:H3469,
MAX(FILTER(ROW(H$2:H3469) - ROW(H$2) + 1, P$2:P3469 = P3470)))))"),30.2)</f>
        <v>30.2</v>
      </c>
      <c r="N3470" s="335" t="str">
        <f>IF(MAXIFS('単価履歴'!$O:$O,'単価履歴'!$E:$E,E3470,'単価履歴'!$F:$F,F3470)=O3470,"●","")</f>
        <v/>
      </c>
      <c r="O3470" s="346">
        <v>45976.65519675926</v>
      </c>
      <c r="P3470" s="334" t="str">
        <f t="shared" si="4"/>
        <v>大鉄　堺:豊通シュレＡ</v>
      </c>
    </row>
    <row r="3471" ht="15.75" customHeight="1">
      <c r="A3471" s="335" t="s">
        <v>4618</v>
      </c>
      <c r="B3471" s="336">
        <v>45973.0</v>
      </c>
      <c r="C3471" s="335" t="s">
        <v>9</v>
      </c>
      <c r="D3471" s="335" t="s">
        <v>47</v>
      </c>
      <c r="E3471" s="337" t="str">
        <f t="shared" si="1"/>
        <v>大鉄　堺:豊通</v>
      </c>
      <c r="F3471" s="338" t="s">
        <v>149</v>
      </c>
      <c r="G3471" s="339" t="str">
        <f t="shared" si="2"/>
        <v>大鉄　堺:豊通シュレＢ</v>
      </c>
      <c r="H3471" s="340">
        <f t="shared" si="3"/>
        <v>30</v>
      </c>
      <c r="I3471" s="341">
        <v>0.5</v>
      </c>
      <c r="J3471" s="332">
        <f>IFERROR(__xludf.DUMMYFUNCTION("IF(IF(COUNTIF(P$2:P3470, P3471)=0, """", INDEX(H$2:H3470,
MAX(FILTER(ROW(H$2:H3470) - ROW(H$2) + 1, P$2:P3470 = P3471))))=""単価"","""",
IF(COUNTIF(P$2:P3470, P3471)=0, """", INDEX(H$2:H3470,
MAX(FILTER(ROW(H$2:H3470) - ROW(H$2) + 1, P$2:P3470 = P3471)))))"),29.5)</f>
        <v>29.5</v>
      </c>
      <c r="N3471" s="335" t="str">
        <f>IF(MAXIFS('単価履歴'!$O:$O,'単価履歴'!$E:$E,E3471,'単価履歴'!$F:$F,F3471)=O3471,"●","")</f>
        <v/>
      </c>
      <c r="O3471" s="346">
        <v>45976.65519675926</v>
      </c>
      <c r="P3471" s="334" t="str">
        <f t="shared" si="4"/>
        <v>大鉄　堺:豊通シュレＢ</v>
      </c>
    </row>
    <row r="3472" ht="15.75" customHeight="1">
      <c r="A3472" s="335" t="s">
        <v>4619</v>
      </c>
      <c r="B3472" s="336">
        <v>45973.0</v>
      </c>
      <c r="C3472" s="335" t="s">
        <v>9</v>
      </c>
      <c r="D3472" s="335" t="s">
        <v>47</v>
      </c>
      <c r="E3472" s="337" t="str">
        <f t="shared" si="1"/>
        <v>大鉄　堺:豊通</v>
      </c>
      <c r="F3472" s="338" t="s">
        <v>151</v>
      </c>
      <c r="G3472" s="339" t="str">
        <f t="shared" si="2"/>
        <v>大鉄　堺:豊通シュレＣ</v>
      </c>
      <c r="H3472" s="340">
        <f t="shared" si="3"/>
        <v>28.6</v>
      </c>
      <c r="I3472" s="341">
        <v>0.5</v>
      </c>
      <c r="J3472" s="332">
        <f>IFERROR(__xludf.DUMMYFUNCTION("IF(IF(COUNTIF(P$2:P3471, P3472)=0, """", INDEX(H$2:H3471,
MAX(FILTER(ROW(H$2:H3471) - ROW(H$2) + 1, P$2:P3471 = P3472))))=""単価"","""",
IF(COUNTIF(P$2:P3471, P3472)=0, """", INDEX(H$2:H3471,
MAX(FILTER(ROW(H$2:H3471) - ROW(H$2) + 1, P$2:P3471 = P3472)))))"),28.1)</f>
        <v>28.1</v>
      </c>
      <c r="N3472" s="335" t="str">
        <f>IF(MAXIFS('単価履歴'!$O:$O,'単価履歴'!$E:$E,E3472,'単価履歴'!$F:$F,F3472)=O3472,"●","")</f>
        <v/>
      </c>
      <c r="O3472" s="346">
        <v>45976.65519675926</v>
      </c>
      <c r="P3472" s="334" t="str">
        <f t="shared" si="4"/>
        <v>大鉄　堺:豊通シュレＣ</v>
      </c>
    </row>
    <row r="3473" ht="15.75" customHeight="1">
      <c r="A3473" s="335" t="s">
        <v>4620</v>
      </c>
      <c r="B3473" s="336">
        <v>45973.0</v>
      </c>
      <c r="C3473" s="335" t="s">
        <v>9</v>
      </c>
      <c r="D3473" s="335" t="s">
        <v>47</v>
      </c>
      <c r="E3473" s="337" t="str">
        <f t="shared" si="1"/>
        <v>大鉄　堺:豊通</v>
      </c>
      <c r="F3473" s="338" t="s">
        <v>154</v>
      </c>
      <c r="G3473" s="339" t="str">
        <f t="shared" si="2"/>
        <v>大鉄　堺:豊通ＣＰ Ａ</v>
      </c>
      <c r="H3473" s="340">
        <f t="shared" si="3"/>
        <v>41.2</v>
      </c>
      <c r="I3473" s="341">
        <v>0.5</v>
      </c>
      <c r="J3473" s="332">
        <f>IFERROR(__xludf.DUMMYFUNCTION("IF(IF(COUNTIF(P$2:P3472, P3473)=0, """", INDEX(H$2:H3472,
MAX(FILTER(ROW(H$2:H3472) - ROW(H$2) + 1, P$2:P3472 = P3473))))=""単価"","""",
IF(COUNTIF(P$2:P3472, P3473)=0, """", INDEX(H$2:H3472,
MAX(FILTER(ROW(H$2:H3472) - ROW(H$2) + 1, P$2:P3472 = P3473)))))"),40.7)</f>
        <v>40.7</v>
      </c>
      <c r="N3473" s="335" t="str">
        <f>IF(MAXIFS('単価履歴'!$O:$O,'単価履歴'!$E:$E,E3473,'単価履歴'!$F:$F,F3473)=O3473,"●","")</f>
        <v/>
      </c>
      <c r="O3473" s="346">
        <v>45976.65519675926</v>
      </c>
      <c r="P3473" s="334" t="str">
        <f t="shared" si="4"/>
        <v>大鉄　堺:豊通ＣＰ Ａ</v>
      </c>
    </row>
    <row r="3474" ht="15.75" customHeight="1">
      <c r="A3474" s="335" t="s">
        <v>4621</v>
      </c>
      <c r="B3474" s="336">
        <v>45973.0</v>
      </c>
      <c r="C3474" s="335" t="s">
        <v>9</v>
      </c>
      <c r="D3474" s="335" t="s">
        <v>47</v>
      </c>
      <c r="E3474" s="337" t="str">
        <f t="shared" si="1"/>
        <v>大鉄　堺:豊通</v>
      </c>
      <c r="F3474" s="338" t="s">
        <v>156</v>
      </c>
      <c r="G3474" s="339" t="str">
        <f t="shared" si="2"/>
        <v>大鉄　堺:豊通ＣＰ Ｂ一斗缶</v>
      </c>
      <c r="H3474" s="340">
        <f t="shared" si="3"/>
        <v>34.7</v>
      </c>
      <c r="I3474" s="341">
        <v>0.5</v>
      </c>
      <c r="J3474" s="332">
        <f>IFERROR(__xludf.DUMMYFUNCTION("IF(IF(COUNTIF(P$2:P3473, P3474)=0, """", INDEX(H$2:H3473,
MAX(FILTER(ROW(H$2:H3473) - ROW(H$2) + 1, P$2:P3473 = P3474))))=""単価"","""",
IF(COUNTIF(P$2:P3473, P3474)=0, """", INDEX(H$2:H3473,
MAX(FILTER(ROW(H$2:H3473) - ROW(H$2) + 1, P$2:P3473 = P3474)))))"),34.2)</f>
        <v>34.2</v>
      </c>
      <c r="N3474" s="335" t="str">
        <f>IF(MAXIFS('単価履歴'!$O:$O,'単価履歴'!$E:$E,E3474,'単価履歴'!$F:$F,F3474)=O3474,"●","")</f>
        <v/>
      </c>
      <c r="O3474" s="346">
        <v>45976.65519675926</v>
      </c>
      <c r="P3474" s="334" t="str">
        <f t="shared" si="4"/>
        <v>大鉄　堺:豊通ＣＰ Ｂ一斗缶</v>
      </c>
    </row>
    <row r="3475" ht="15.75" customHeight="1">
      <c r="A3475" s="335" t="s">
        <v>4622</v>
      </c>
      <c r="B3475" s="336">
        <v>45979.0</v>
      </c>
      <c r="C3475" s="335"/>
      <c r="D3475" s="335"/>
      <c r="E3475" s="337" t="str">
        <f t="shared" si="1"/>
        <v>:</v>
      </c>
      <c r="F3475" s="338"/>
      <c r="G3475" s="339" t="str">
        <f t="shared" si="2"/>
        <v>:</v>
      </c>
      <c r="H3475" s="340">
        <f t="shared" si="3"/>
        <v>0</v>
      </c>
      <c r="I3475" s="341"/>
      <c r="J3475" s="332">
        <f>IFERROR(__xludf.DUMMYFUNCTION("IF(IF(COUNTIF(P$2:P3474, P3475)=0, """", INDEX(H$2:H3474,
MAX(FILTER(ROW(H$2:H3474) - ROW(H$2) + 1, P$2:P3474 = P3475))))=""単価"","""",
IF(COUNTIF(P$2:P3474, P3475)=0, """", INDEX(H$2:H3474,
MAX(FILTER(ROW(H$2:H3474) - ROW(H$2) + 1, P$2:P3474 = P3475)))))"),0.0)</f>
        <v>0</v>
      </c>
      <c r="N3475" s="335" t="str">
        <f>IF(MAXIFS('単価履歴'!$O:$O,'単価履歴'!$E:$E,E3475,'単価履歴'!$F:$F,F3475)=O3475,"●","")</f>
        <v>●</v>
      </c>
      <c r="O3475" s="346"/>
      <c r="P3475" s="334" t="str">
        <f t="shared" si="4"/>
        <v>:</v>
      </c>
    </row>
    <row r="3476" ht="15.75" customHeight="1">
      <c r="A3476" s="335" t="s">
        <v>4623</v>
      </c>
      <c r="B3476" s="336">
        <v>45973.0</v>
      </c>
      <c r="C3476" s="335" t="s">
        <v>6</v>
      </c>
      <c r="D3476" s="335" t="s">
        <v>48</v>
      </c>
      <c r="E3476" s="337" t="str">
        <f t="shared" si="1"/>
        <v>中山鋼業:ナベ</v>
      </c>
      <c r="F3476" s="338" t="s">
        <v>1237</v>
      </c>
      <c r="G3476" s="339" t="str">
        <f t="shared" si="2"/>
        <v>中山鋼業:ナベＪＨ１(H2T山口)鍛造ﾊﾞﾘ</v>
      </c>
      <c r="H3476" s="340">
        <f t="shared" si="3"/>
        <v>44.2</v>
      </c>
      <c r="I3476" s="341">
        <v>-0.5</v>
      </c>
      <c r="J3476" s="332">
        <f>IFERROR(__xludf.DUMMYFUNCTION("IF(IF(COUNTIF(P$2:P3475, P3476)=0, """", INDEX(H$2:H3475,
MAX(FILTER(ROW(H$2:H3475) - ROW(H$2) + 1, P$2:P3475 = P3476))))=""単価"","""",
IF(COUNTIF(P$2:P3475, P3476)=0, """", INDEX(H$2:H3475,
MAX(FILTER(ROW(H$2:H3475) - ROW(H$2) + 1, P$2:P3475 = P3476)))))"),44.7)</f>
        <v>44.7</v>
      </c>
      <c r="N3476" s="335" t="str">
        <f>IF(MAXIFS('単価履歴'!$O:$O,'単価履歴'!$E:$E,E3476,'単価履歴'!$F:$F,F3476)=O3476,"●","")</f>
        <v/>
      </c>
      <c r="O3476" s="346">
        <v>45979.593668981484</v>
      </c>
      <c r="P3476" s="334" t="str">
        <f t="shared" si="4"/>
        <v>中山鋼業:ナベＪＨ１(H2T山口)鍛造ﾊﾞﾘ</v>
      </c>
    </row>
    <row r="3477" ht="15.75" customHeight="1">
      <c r="A3477" s="335" t="s">
        <v>4624</v>
      </c>
      <c r="B3477" s="336">
        <v>45975.0</v>
      </c>
      <c r="C3477" s="335" t="s">
        <v>534</v>
      </c>
      <c r="D3477" s="335" t="s">
        <v>46</v>
      </c>
      <c r="E3477" s="337" t="str">
        <f t="shared" si="1"/>
        <v>合同姫路:阪和</v>
      </c>
      <c r="F3477" s="338" t="s">
        <v>130</v>
      </c>
      <c r="G3477" s="339" t="str">
        <f t="shared" si="2"/>
        <v>合同姫路:阪和新断Ａ</v>
      </c>
      <c r="H3477" s="340">
        <f t="shared" si="3"/>
        <v>48.3</v>
      </c>
      <c r="I3477" s="341">
        <v>-0.5</v>
      </c>
      <c r="J3477" s="332">
        <f>IFERROR(__xludf.DUMMYFUNCTION("IF(IF(COUNTIF(P$2:P3476, P3477)=0, """", INDEX(H$2:H3476,
MAX(FILTER(ROW(H$2:H3476) - ROW(H$2) + 1, P$2:P3476 = P3477))))=""単価"","""",
IF(COUNTIF(P$2:P3476, P3477)=0, """", INDEX(H$2:H3476,
MAX(FILTER(ROW(H$2:H3476) - ROW(H$2) + 1, P$2:P3476 = P3477)))))"),48.8)</f>
        <v>48.8</v>
      </c>
      <c r="N3477" s="335" t="str">
        <f>IF(MAXIFS('単価履歴'!$O:$O,'単価履歴'!$E:$E,E3477,'単価履歴'!$F:$F,F3477)=O3477,"●","")</f>
        <v/>
      </c>
      <c r="O3477" s="346">
        <v>45979.59667824074</v>
      </c>
      <c r="P3477" s="334" t="str">
        <f t="shared" si="4"/>
        <v>合同姫路:阪和新断Ａ</v>
      </c>
    </row>
    <row r="3478" ht="15.75" customHeight="1">
      <c r="A3478" s="335" t="s">
        <v>4625</v>
      </c>
      <c r="B3478" s="336">
        <v>45975.0</v>
      </c>
      <c r="C3478" s="335" t="s">
        <v>534</v>
      </c>
      <c r="D3478" s="335" t="s">
        <v>46</v>
      </c>
      <c r="E3478" s="337" t="str">
        <f t="shared" si="1"/>
        <v>合同姫路:阪和</v>
      </c>
      <c r="F3478" s="338" t="s">
        <v>131</v>
      </c>
      <c r="G3478" s="339" t="str">
        <f t="shared" si="2"/>
        <v>合同姫路:阪和新断Ｂ</v>
      </c>
      <c r="H3478" s="340">
        <f t="shared" si="3"/>
        <v>47.3</v>
      </c>
      <c r="I3478" s="341">
        <v>-0.5</v>
      </c>
      <c r="J3478" s="332">
        <f>IFERROR(__xludf.DUMMYFUNCTION("IF(IF(COUNTIF(P$2:P3477, P3478)=0, """", INDEX(H$2:H3477,
MAX(FILTER(ROW(H$2:H3477) - ROW(H$2) + 1, P$2:P3477 = P3478))))=""単価"","""",
IF(COUNTIF(P$2:P3477, P3478)=0, """", INDEX(H$2:H3477,
MAX(FILTER(ROW(H$2:H3477) - ROW(H$2) + 1, P$2:P3477 = P3478)))))"),47.8)</f>
        <v>47.8</v>
      </c>
      <c r="N3478" s="335" t="str">
        <f>IF(MAXIFS('単価履歴'!$O:$O,'単価履歴'!$E:$E,E3478,'単価履歴'!$F:$F,F3478)=O3478,"●","")</f>
        <v/>
      </c>
      <c r="O3478" s="346">
        <v>45979.59667824074</v>
      </c>
      <c r="P3478" s="334" t="str">
        <f t="shared" si="4"/>
        <v>合同姫路:阪和新断Ｂ</v>
      </c>
    </row>
    <row r="3479" ht="15.75" customHeight="1">
      <c r="A3479" s="335" t="s">
        <v>4626</v>
      </c>
      <c r="B3479" s="336">
        <v>45976.0</v>
      </c>
      <c r="C3479" s="335" t="s">
        <v>13</v>
      </c>
      <c r="D3479" s="335" t="s">
        <v>49</v>
      </c>
      <c r="E3479" s="337" t="str">
        <f t="shared" si="1"/>
        <v>ｸﾎﾞﾀ:伊藤忠</v>
      </c>
      <c r="F3479" s="338" t="s">
        <v>130</v>
      </c>
      <c r="G3479" s="339" t="str">
        <f t="shared" si="2"/>
        <v>ｸﾎﾞﾀ:伊藤忠新断Ａ</v>
      </c>
      <c r="H3479" s="340">
        <f t="shared" si="3"/>
        <v>49.7</v>
      </c>
      <c r="I3479" s="341">
        <v>0.5</v>
      </c>
      <c r="J3479" s="332">
        <f>IFERROR(__xludf.DUMMYFUNCTION("IF(IF(COUNTIF(P$2:P3478, P3479)=0, """", INDEX(H$2:H3478,
MAX(FILTER(ROW(H$2:H3478) - ROW(H$2) + 1, P$2:P3478 = P3479))))=""単価"","""",
IF(COUNTIF(P$2:P3478, P3479)=0, """", INDEX(H$2:H3478,
MAX(FILTER(ROW(H$2:H3478) - ROW(H$2) + 1, P$2:P3478 = P3479)))))"),49.2)</f>
        <v>49.2</v>
      </c>
      <c r="N3479" s="335" t="str">
        <f>IF(MAXIFS('単価履歴'!$O:$O,'単価履歴'!$E:$E,E3479,'単価履歴'!$F:$F,F3479)=O3479,"●","")</f>
        <v/>
      </c>
      <c r="O3479" s="346">
        <v>45979.59962962963</v>
      </c>
      <c r="P3479" s="334" t="str">
        <f t="shared" si="4"/>
        <v>ｸﾎﾞﾀ:伊藤忠新断Ａ</v>
      </c>
    </row>
    <row r="3480" ht="15.75" customHeight="1">
      <c r="A3480" s="335" t="s">
        <v>4627</v>
      </c>
      <c r="B3480" s="336">
        <v>45974.0</v>
      </c>
      <c r="C3480" s="335" t="s">
        <v>12</v>
      </c>
      <c r="D3480" s="335" t="s">
        <v>53</v>
      </c>
      <c r="E3480" s="337" t="str">
        <f t="shared" si="1"/>
        <v>山陽特殊:MM</v>
      </c>
      <c r="F3480" s="338" t="s">
        <v>1199</v>
      </c>
      <c r="G3480" s="339" t="str">
        <f t="shared" si="2"/>
        <v>山陽特殊:MMＨＳ１(単体H1/電特A/HS))</v>
      </c>
      <c r="H3480" s="340">
        <f t="shared" si="3"/>
        <v>49.5</v>
      </c>
      <c r="I3480" s="341">
        <v>0.5</v>
      </c>
      <c r="J3480" s="332">
        <f>IFERROR(__xludf.DUMMYFUNCTION("IF(IF(COUNTIF(P$2:P3479, P3480)=0, """", INDEX(H$2:H3479,
MAX(FILTER(ROW(H$2:H3479) - ROW(H$2) + 1, P$2:P3479 = P3480))))=""単価"","""",
IF(COUNTIF(P$2:P3479, P3480)=0, """", INDEX(H$2:H3479,
MAX(FILTER(ROW(H$2:H3479) - ROW(H$2) + 1, P$2:P3479 = P3480)))))"),49.0)</f>
        <v>49</v>
      </c>
      <c r="N3480" s="335" t="str">
        <f>IF(MAXIFS('単価履歴'!$O:$O,'単価履歴'!$E:$E,E3480,'単価履歴'!$F:$F,F3480)=O3480,"●","")</f>
        <v/>
      </c>
      <c r="O3480" s="346">
        <v>45979.60596064814</v>
      </c>
      <c r="P3480" s="334" t="str">
        <f t="shared" si="4"/>
        <v>山陽特殊:MMＨＳ１(単体H1/電特A/HS))</v>
      </c>
    </row>
    <row r="3481" ht="15.75" customHeight="1">
      <c r="A3481" s="335" t="s">
        <v>4628</v>
      </c>
      <c r="B3481" s="336">
        <v>45974.0</v>
      </c>
      <c r="C3481" s="335" t="s">
        <v>12</v>
      </c>
      <c r="D3481" s="335" t="s">
        <v>53</v>
      </c>
      <c r="E3481" s="337" t="str">
        <f t="shared" si="1"/>
        <v>山陽特殊:MM</v>
      </c>
      <c r="F3481" s="338" t="s">
        <v>122</v>
      </c>
      <c r="G3481" s="339" t="str">
        <f t="shared" si="2"/>
        <v>山陽特殊:MMＬ１(2級)</v>
      </c>
      <c r="H3481" s="340">
        <f t="shared" si="3"/>
        <v>5</v>
      </c>
      <c r="I3481" s="341">
        <v>0.5</v>
      </c>
      <c r="J3481" s="332">
        <f>IFERROR(__xludf.DUMMYFUNCTION("IF(IF(COUNTIF(P$2:P3480, P3481)=0, """", INDEX(H$2:H3480,
MAX(FILTER(ROW(H$2:H3480) - ROW(H$2) + 1, P$2:P3480 = P3481))))=""単価"","""",
IF(COUNTIF(P$2:P3480, P3481)=0, """", INDEX(H$2:H3480,
MAX(FILTER(ROW(H$2:H3480) - ROW(H$2) + 1, P$2:P3480 = P3481)))))"),4.5)</f>
        <v>4.5</v>
      </c>
      <c r="N3481" s="335" t="str">
        <f>IF(MAXIFS('単価履歴'!$O:$O,'単価履歴'!$E:$E,E3481,'単価履歴'!$F:$F,F3481)=O3481,"●","")</f>
        <v/>
      </c>
      <c r="O3481" s="346">
        <v>45979.60596064814</v>
      </c>
      <c r="P3481" s="334" t="str">
        <f t="shared" si="4"/>
        <v>山陽特殊:MMＬ１(2級)</v>
      </c>
    </row>
    <row r="3482" ht="15.75" customHeight="1">
      <c r="A3482" s="335" t="s">
        <v>4629</v>
      </c>
      <c r="B3482" s="336">
        <v>45974.0</v>
      </c>
      <c r="C3482" s="335" t="s">
        <v>12</v>
      </c>
      <c r="D3482" s="335" t="s">
        <v>53</v>
      </c>
      <c r="E3482" s="337" t="str">
        <f t="shared" si="1"/>
        <v>山陽特殊:MM</v>
      </c>
      <c r="F3482" s="338" t="s">
        <v>101</v>
      </c>
      <c r="G3482" s="339" t="str">
        <f t="shared" si="2"/>
        <v>山陽特殊:MMＨＳ２</v>
      </c>
      <c r="H3482" s="340">
        <f t="shared" si="3"/>
        <v>49.3</v>
      </c>
      <c r="I3482" s="341">
        <v>0.5</v>
      </c>
      <c r="J3482" s="332">
        <f>IFERROR(__xludf.DUMMYFUNCTION("IF(IF(COUNTIF(P$2:P3481, P3482)=0, """", INDEX(H$2:H3481,
MAX(FILTER(ROW(H$2:H3481) - ROW(H$2) + 1, P$2:P3481 = P3482))))=""単価"","""",
IF(COUNTIF(P$2:P3481, P3482)=0, """", INDEX(H$2:H3481,
MAX(FILTER(ROW(H$2:H3481) - ROW(H$2) + 1, P$2:P3481 = P3482)))))"),48.8)</f>
        <v>48.8</v>
      </c>
      <c r="N3482" s="335" t="str">
        <f>IF(MAXIFS('単価履歴'!$O:$O,'単価履歴'!$E:$E,E3482,'単価履歴'!$F:$F,F3482)=O3482,"●","")</f>
        <v/>
      </c>
      <c r="O3482" s="346">
        <v>45979.60596064814</v>
      </c>
      <c r="P3482" s="334" t="str">
        <f t="shared" si="4"/>
        <v>山陽特殊:MMＨＳ２</v>
      </c>
    </row>
    <row r="3483" ht="15.75" customHeight="1">
      <c r="A3483" s="335" t="s">
        <v>4630</v>
      </c>
      <c r="B3483" s="336">
        <v>45974.0</v>
      </c>
      <c r="C3483" s="335" t="s">
        <v>12</v>
      </c>
      <c r="D3483" s="335" t="s">
        <v>53</v>
      </c>
      <c r="E3483" s="337" t="str">
        <f t="shared" si="1"/>
        <v>山陽特殊:MM</v>
      </c>
      <c r="F3483" s="338" t="s">
        <v>105</v>
      </c>
      <c r="G3483" s="339" t="str">
        <f t="shared" si="2"/>
        <v>山陽特殊:MMＨＳ３</v>
      </c>
      <c r="H3483" s="340">
        <f t="shared" si="3"/>
        <v>47.3</v>
      </c>
      <c r="I3483" s="341">
        <v>0.5</v>
      </c>
      <c r="J3483" s="332">
        <f>IFERROR(__xludf.DUMMYFUNCTION("IF(IF(COUNTIF(P$2:P3482, P3483)=0, """", INDEX(H$2:H3482,
MAX(FILTER(ROW(H$2:H3482) - ROW(H$2) + 1, P$2:P3482 = P3483))))=""単価"","""",
IF(COUNTIF(P$2:P3482, P3483)=0, """", INDEX(H$2:H3482,
MAX(FILTER(ROW(H$2:H3482) - ROW(H$2) + 1, P$2:P3482 = P3483)))))"),46.8)</f>
        <v>46.8</v>
      </c>
      <c r="N3483" s="335" t="str">
        <f>IF(MAXIFS('単価履歴'!$O:$O,'単価履歴'!$E:$E,E3483,'単価履歴'!$F:$F,F3483)=O3483,"●","")</f>
        <v/>
      </c>
      <c r="O3483" s="346">
        <v>45979.60596064814</v>
      </c>
      <c r="P3483" s="334" t="str">
        <f t="shared" si="4"/>
        <v>山陽特殊:MMＨＳ３</v>
      </c>
    </row>
    <row r="3484" ht="15.75" customHeight="1">
      <c r="A3484" s="335" t="s">
        <v>4631</v>
      </c>
      <c r="B3484" s="336">
        <v>45975.0</v>
      </c>
      <c r="C3484" s="335" t="s">
        <v>12</v>
      </c>
      <c r="D3484" s="335" t="s">
        <v>53</v>
      </c>
      <c r="E3484" s="337" t="str">
        <f t="shared" si="1"/>
        <v>山陽特殊:MM</v>
      </c>
      <c r="F3484" s="338" t="s">
        <v>130</v>
      </c>
      <c r="G3484" s="339" t="str">
        <f t="shared" si="2"/>
        <v>山陽特殊:MM新断Ａ</v>
      </c>
      <c r="H3484" s="340">
        <f t="shared" si="3"/>
        <v>48</v>
      </c>
      <c r="I3484" s="341">
        <v>0.5</v>
      </c>
      <c r="J3484" s="332">
        <f>IFERROR(__xludf.DUMMYFUNCTION("IF(IF(COUNTIF(P$2:P3483, P3484)=0, """", INDEX(H$2:H3483,
MAX(FILTER(ROW(H$2:H3483) - ROW(H$2) + 1, P$2:P3483 = P3484))))=""単価"","""",
IF(COUNTIF(P$2:P3483, P3484)=0, """", INDEX(H$2:H3483,
MAX(FILTER(ROW(H$2:H3483) - ROW(H$2) + 1, P$2:P3483 = P3484)))))"),47.5)</f>
        <v>47.5</v>
      </c>
      <c r="N3484" s="335" t="str">
        <f>IF(MAXIFS('単価履歴'!$O:$O,'単価履歴'!$E:$E,E3484,'単価履歴'!$F:$F,F3484)=O3484,"●","")</f>
        <v/>
      </c>
      <c r="O3484" s="346">
        <v>45979.608460648145</v>
      </c>
      <c r="P3484" s="334" t="str">
        <f t="shared" si="4"/>
        <v>山陽特殊:MM新断Ａ</v>
      </c>
    </row>
    <row r="3485" ht="15.75" customHeight="1">
      <c r="A3485" s="335" t="s">
        <v>4632</v>
      </c>
      <c r="B3485" s="336">
        <v>45975.0</v>
      </c>
      <c r="C3485" s="335" t="s">
        <v>12</v>
      </c>
      <c r="D3485" s="335" t="s">
        <v>53</v>
      </c>
      <c r="E3485" s="337" t="str">
        <f t="shared" si="1"/>
        <v>山陽特殊:MM</v>
      </c>
      <c r="F3485" s="338" t="s">
        <v>131</v>
      </c>
      <c r="G3485" s="339" t="str">
        <f t="shared" si="2"/>
        <v>山陽特殊:MM新断Ｂ</v>
      </c>
      <c r="H3485" s="340">
        <f t="shared" si="3"/>
        <v>47</v>
      </c>
      <c r="I3485" s="341">
        <v>0.5</v>
      </c>
      <c r="J3485" s="332">
        <f>IFERROR(__xludf.DUMMYFUNCTION("IF(IF(COUNTIF(P$2:P3484, P3485)=0, """", INDEX(H$2:H3484,
MAX(FILTER(ROW(H$2:H3484) - ROW(H$2) + 1, P$2:P3484 = P3485))))=""単価"","""",
IF(COUNTIF(P$2:P3484, P3485)=0, """", INDEX(H$2:H3484,
MAX(FILTER(ROW(H$2:H3484) - ROW(H$2) + 1, P$2:P3484 = P3485)))))"),46.5)</f>
        <v>46.5</v>
      </c>
      <c r="N3485" s="335" t="str">
        <f>IF(MAXIFS('単価履歴'!$O:$O,'単価履歴'!$E:$E,E3485,'単価履歴'!$F:$F,F3485)=O3485,"●","")</f>
        <v/>
      </c>
      <c r="O3485" s="346">
        <v>45979.608460648145</v>
      </c>
      <c r="P3485" s="334" t="str">
        <f t="shared" si="4"/>
        <v>山陽特殊:MM新断Ｂ</v>
      </c>
    </row>
    <row r="3486" ht="15.75" customHeight="1">
      <c r="A3486" s="335" t="s">
        <v>4633</v>
      </c>
      <c r="B3486" s="336">
        <v>45975.0</v>
      </c>
      <c r="C3486" s="335" t="s">
        <v>12</v>
      </c>
      <c r="D3486" s="335" t="s">
        <v>53</v>
      </c>
      <c r="E3486" s="337" t="str">
        <f t="shared" si="1"/>
        <v>山陽特殊:MM</v>
      </c>
      <c r="F3486" s="338" t="s">
        <v>574</v>
      </c>
      <c r="G3486" s="339" t="str">
        <f t="shared" si="2"/>
        <v>山陽特殊:MM新断Ｃ</v>
      </c>
      <c r="H3486" s="340">
        <f t="shared" si="3"/>
        <v>45.7</v>
      </c>
      <c r="I3486" s="341">
        <v>0.5</v>
      </c>
      <c r="J3486" s="332">
        <f>IFERROR(__xludf.DUMMYFUNCTION("IF(IF(COUNTIF(P$2:P3485, P3486)=0, """", INDEX(H$2:H3485,
MAX(FILTER(ROW(H$2:H3485) - ROW(H$2) + 1, P$2:P3485 = P3486))))=""単価"","""",
IF(COUNTIF(P$2:P3485, P3486)=0, """", INDEX(H$2:H3485,
MAX(FILTER(ROW(H$2:H3485) - ROW(H$2) + 1, P$2:P3485 = P3486)))))"),45.199999999999996)</f>
        <v>45.2</v>
      </c>
      <c r="N3486" s="335" t="str">
        <f>IF(MAXIFS('単価履歴'!$O:$O,'単価履歴'!$E:$E,E3486,'単価履歴'!$F:$F,F3486)=O3486,"●","")</f>
        <v/>
      </c>
      <c r="O3486" s="346">
        <v>45979.608460648145</v>
      </c>
      <c r="P3486" s="334" t="str">
        <f t="shared" si="4"/>
        <v>山陽特殊:MM新断Ｃ</v>
      </c>
    </row>
    <row r="3487" ht="15.75" customHeight="1">
      <c r="A3487" s="335" t="s">
        <v>4634</v>
      </c>
      <c r="B3487" s="336">
        <v>45975.0</v>
      </c>
      <c r="C3487" s="335" t="s">
        <v>14</v>
      </c>
      <c r="D3487" s="335" t="s">
        <v>46</v>
      </c>
      <c r="E3487" s="337" t="str">
        <f t="shared" si="1"/>
        <v>愛知:阪和</v>
      </c>
      <c r="F3487" s="338" t="s">
        <v>145</v>
      </c>
      <c r="G3487" s="339" t="str">
        <f t="shared" si="2"/>
        <v>愛知:阪和シュレＡ</v>
      </c>
      <c r="H3487" s="340">
        <f t="shared" si="3"/>
        <v>46</v>
      </c>
      <c r="I3487" s="341">
        <v>0.5</v>
      </c>
      <c r="J3487" s="332">
        <f>IFERROR(__xludf.DUMMYFUNCTION("IF(IF(COUNTIF(P$2:P3486, P3487)=0, """", INDEX(H$2:H3486,
MAX(FILTER(ROW(H$2:H3486) - ROW(H$2) + 1, P$2:P3486 = P3487))))=""単価"","""",
IF(COUNTIF(P$2:P3486, P3487)=0, """", INDEX(H$2:H3486,
MAX(FILTER(ROW(H$2:H3486) - ROW(H$2) + 1, P$2:P3486 = P3487)))))"),45.5)</f>
        <v>45.5</v>
      </c>
      <c r="N3487" s="335" t="str">
        <f>IF(MAXIFS('単価履歴'!$O:$O,'単価履歴'!$E:$E,E3487,'単価履歴'!$F:$F,F3487)=O3487,"●","")</f>
        <v/>
      </c>
      <c r="O3487" s="346">
        <v>45979.60899305556</v>
      </c>
      <c r="P3487" s="334" t="str">
        <f t="shared" si="4"/>
        <v>愛知:阪和シュレＡ</v>
      </c>
    </row>
    <row r="3488" ht="15.75" customHeight="1">
      <c r="A3488" s="335" t="s">
        <v>4635</v>
      </c>
      <c r="B3488" s="336">
        <v>45975.0</v>
      </c>
      <c r="C3488" s="335" t="s">
        <v>14</v>
      </c>
      <c r="D3488" s="335" t="s">
        <v>46</v>
      </c>
      <c r="E3488" s="337" t="str">
        <f t="shared" si="1"/>
        <v>愛知:阪和</v>
      </c>
      <c r="F3488" s="338" t="s">
        <v>130</v>
      </c>
      <c r="G3488" s="339" t="str">
        <f t="shared" si="2"/>
        <v>愛知:阪和新断Ａ</v>
      </c>
      <c r="H3488" s="340">
        <f t="shared" si="3"/>
        <v>46</v>
      </c>
      <c r="I3488" s="341">
        <v>0.5</v>
      </c>
      <c r="J3488" s="332">
        <f>IFERROR(__xludf.DUMMYFUNCTION("IF(IF(COUNTIF(P$2:P3487, P3488)=0, """", INDEX(H$2:H3487,
MAX(FILTER(ROW(H$2:H3487) - ROW(H$2) + 1, P$2:P3487 = P3488))))=""単価"","""",
IF(COUNTIF(P$2:P3487, P3488)=0, """", INDEX(H$2:H3487,
MAX(FILTER(ROW(H$2:H3487) - ROW(H$2) + 1, P$2:P3487 = P3488)))))"),45.5)</f>
        <v>45.5</v>
      </c>
      <c r="N3488" s="335" t="str">
        <f>IF(MAXIFS('単価履歴'!$O:$O,'単価履歴'!$E:$E,E3488,'単価履歴'!$F:$F,F3488)=O3488,"●","")</f>
        <v/>
      </c>
      <c r="O3488" s="346">
        <v>45979.60899305556</v>
      </c>
      <c r="P3488" s="334" t="str">
        <f t="shared" si="4"/>
        <v>愛知:阪和新断Ａ</v>
      </c>
    </row>
    <row r="3489" ht="15.75" customHeight="1">
      <c r="A3489" s="335" t="s">
        <v>4636</v>
      </c>
      <c r="B3489" s="336">
        <v>45975.0</v>
      </c>
      <c r="C3489" s="335" t="s">
        <v>14</v>
      </c>
      <c r="D3489" s="335" t="s">
        <v>46</v>
      </c>
      <c r="E3489" s="337" t="str">
        <f t="shared" si="1"/>
        <v>愛知:阪和</v>
      </c>
      <c r="F3489" s="338" t="s">
        <v>131</v>
      </c>
      <c r="G3489" s="339" t="str">
        <f t="shared" si="2"/>
        <v>愛知:阪和新断Ｂ</v>
      </c>
      <c r="H3489" s="340">
        <f t="shared" si="3"/>
        <v>45</v>
      </c>
      <c r="I3489" s="341">
        <v>0.5</v>
      </c>
      <c r="J3489" s="332">
        <f>IFERROR(__xludf.DUMMYFUNCTION("IF(IF(COUNTIF(P$2:P3488, P3489)=0, """", INDEX(H$2:H3488,
MAX(FILTER(ROW(H$2:H3488) - ROW(H$2) + 1, P$2:P3488 = P3489))))=""単価"","""",
IF(COUNTIF(P$2:P3488, P3489)=0, """", INDEX(H$2:H3488,
MAX(FILTER(ROW(H$2:H3488) - ROW(H$2) + 1, P$2:P3488 = P3489)))))"),44.5)</f>
        <v>44.5</v>
      </c>
      <c r="N3489" s="335" t="str">
        <f>IF(MAXIFS('単価履歴'!$O:$O,'単価履歴'!$E:$E,E3489,'単価履歴'!$F:$F,F3489)=O3489,"●","")</f>
        <v/>
      </c>
      <c r="O3489" s="346">
        <v>45979.60899305556</v>
      </c>
      <c r="P3489" s="334" t="str">
        <f t="shared" si="4"/>
        <v>愛知:阪和新断Ｂ</v>
      </c>
    </row>
    <row r="3490" ht="15.75" customHeight="1">
      <c r="A3490" s="335" t="s">
        <v>4637</v>
      </c>
      <c r="B3490" s="336">
        <v>45973.0</v>
      </c>
      <c r="C3490" s="335" t="s">
        <v>11</v>
      </c>
      <c r="D3490" s="335" t="s">
        <v>46</v>
      </c>
      <c r="E3490" s="337" t="str">
        <f t="shared" si="1"/>
        <v>ﾔﾏﾄ:阪和</v>
      </c>
      <c r="F3490" s="338" t="s">
        <v>111</v>
      </c>
      <c r="G3490" s="339" t="str">
        <f t="shared" si="2"/>
        <v>ﾔﾏﾄ:阪和Ｈ１(特A)</v>
      </c>
      <c r="H3490" s="340">
        <f t="shared" si="3"/>
        <v>46.1</v>
      </c>
      <c r="I3490" s="341">
        <v>0.5</v>
      </c>
      <c r="J3490" s="332">
        <f>IFERROR(__xludf.DUMMYFUNCTION("IF(IF(COUNTIF(P$2:P3489, P3490)=0, """", INDEX(H$2:H3489,
MAX(FILTER(ROW(H$2:H3489) - ROW(H$2) + 1, P$2:P3489 = P3490))))=""単価"","""",
IF(COUNTIF(P$2:P3489, P3490)=0, """", INDEX(H$2:H3489,
MAX(FILTER(ROW(H$2:H3489) - ROW(H$2) + 1, P$2:P3489 = P3490)))))"),45.6)</f>
        <v>45.6</v>
      </c>
      <c r="N3490" s="335" t="str">
        <f>IF(MAXIFS('単価履歴'!$O:$O,'単価履歴'!$E:$E,E3490,'単価履歴'!$F:$F,F3490)=O3490,"●","")</f>
        <v/>
      </c>
      <c r="O3490" s="346">
        <v>45979.686053240745</v>
      </c>
      <c r="P3490" s="334" t="str">
        <f t="shared" si="4"/>
        <v>ﾔﾏﾄ:阪和Ｈ１(特A)</v>
      </c>
    </row>
    <row r="3491" ht="15.75" customHeight="1">
      <c r="A3491" s="335" t="s">
        <v>4638</v>
      </c>
      <c r="B3491" s="336">
        <v>45973.0</v>
      </c>
      <c r="C3491" s="335" t="s">
        <v>11</v>
      </c>
      <c r="D3491" s="335" t="s">
        <v>46</v>
      </c>
      <c r="E3491" s="337" t="str">
        <f t="shared" si="1"/>
        <v>ﾔﾏﾄ:阪和</v>
      </c>
      <c r="F3491" s="338" t="s">
        <v>116</v>
      </c>
      <c r="G3491" s="339" t="str">
        <f t="shared" si="2"/>
        <v>ﾔﾏﾄ:阪和Ｈ２(特級)</v>
      </c>
      <c r="H3491" s="340">
        <f t="shared" si="3"/>
        <v>45.1</v>
      </c>
      <c r="I3491" s="341">
        <v>0.5</v>
      </c>
      <c r="J3491" s="332">
        <f>IFERROR(__xludf.DUMMYFUNCTION("IF(IF(COUNTIF(P$2:P3490, P3491)=0, """", INDEX(H$2:H3490,
MAX(FILTER(ROW(H$2:H3490) - ROW(H$2) + 1, P$2:P3490 = P3491))))=""単価"","""",
IF(COUNTIF(P$2:P3490, P3491)=0, """", INDEX(H$2:H3490,
MAX(FILTER(ROW(H$2:H3490) - ROW(H$2) + 1, P$2:P3490 = P3491)))))"),44.6)</f>
        <v>44.6</v>
      </c>
      <c r="N3491" s="335" t="str">
        <f>IF(MAXIFS('単価履歴'!$O:$O,'単価履歴'!$E:$E,E3491,'単価履歴'!$F:$F,F3491)=O3491,"●","")</f>
        <v/>
      </c>
      <c r="O3491" s="346">
        <v>45979.686053240745</v>
      </c>
      <c r="P3491" s="334" t="str">
        <f t="shared" si="4"/>
        <v>ﾔﾏﾄ:阪和Ｈ２(特級)</v>
      </c>
    </row>
    <row r="3492" ht="15.75" customHeight="1">
      <c r="A3492" s="335" t="s">
        <v>4639</v>
      </c>
      <c r="B3492" s="336">
        <v>45973.0</v>
      </c>
      <c r="C3492" s="335" t="s">
        <v>11</v>
      </c>
      <c r="D3492" s="335" t="s">
        <v>46</v>
      </c>
      <c r="E3492" s="337" t="str">
        <f t="shared" si="1"/>
        <v>ﾔﾏﾄ:阪和</v>
      </c>
      <c r="F3492" s="338" t="s">
        <v>119</v>
      </c>
      <c r="G3492" s="339" t="str">
        <f t="shared" si="2"/>
        <v>ﾔﾏﾄ:阪和Ｈ３(1級)</v>
      </c>
      <c r="H3492" s="340">
        <f t="shared" si="3"/>
        <v>44.1</v>
      </c>
      <c r="I3492" s="341">
        <v>0.5</v>
      </c>
      <c r="J3492" s="332">
        <f>IFERROR(__xludf.DUMMYFUNCTION("IF(IF(COUNTIF(P$2:P3491, P3492)=0, """", INDEX(H$2:H3491,
MAX(FILTER(ROW(H$2:H3491) - ROW(H$2) + 1, P$2:P3491 = P3492))))=""単価"","""",
IF(COUNTIF(P$2:P3491, P3492)=0, """", INDEX(H$2:H3491,
MAX(FILTER(ROW(H$2:H3491) - ROW(H$2) + 1, P$2:P3491 = P3492)))))"),43.6)</f>
        <v>43.6</v>
      </c>
      <c r="N3492" s="335" t="str">
        <f>IF(MAXIFS('単価履歴'!$O:$O,'単価履歴'!$E:$E,E3492,'単価履歴'!$F:$F,F3492)=O3492,"●","")</f>
        <v/>
      </c>
      <c r="O3492" s="346">
        <v>45979.686053240745</v>
      </c>
      <c r="P3492" s="334" t="str">
        <f t="shared" si="4"/>
        <v>ﾔﾏﾄ:阪和Ｈ３(1級)</v>
      </c>
    </row>
    <row r="3493" ht="15.75" customHeight="1">
      <c r="A3493" s="335" t="s">
        <v>4640</v>
      </c>
      <c r="B3493" s="336">
        <v>45973.0</v>
      </c>
      <c r="C3493" s="335" t="s">
        <v>11</v>
      </c>
      <c r="D3493" s="335" t="s">
        <v>46</v>
      </c>
      <c r="E3493" s="337" t="str">
        <f t="shared" si="1"/>
        <v>ﾔﾏﾄ:阪和</v>
      </c>
      <c r="F3493" s="338" t="s">
        <v>122</v>
      </c>
      <c r="G3493" s="339" t="str">
        <f t="shared" si="2"/>
        <v>ﾔﾏﾄ:阪和Ｌ１(2級)</v>
      </c>
      <c r="H3493" s="340">
        <f t="shared" si="3"/>
        <v>42.1</v>
      </c>
      <c r="I3493" s="341">
        <v>0.5</v>
      </c>
      <c r="J3493" s="332">
        <f>IFERROR(__xludf.DUMMYFUNCTION("IF(IF(COUNTIF(P$2:P3492, P3493)=0, """", INDEX(H$2:H3492,
MAX(FILTER(ROW(H$2:H3492) - ROW(H$2) + 1, P$2:P3492 = P3493))))=""単価"","""",
IF(COUNTIF(P$2:P3492, P3493)=0, """", INDEX(H$2:H3492,
MAX(FILTER(ROW(H$2:H3492) - ROW(H$2) + 1, P$2:P3492 = P3493)))))"),41.6)</f>
        <v>41.6</v>
      </c>
      <c r="N3493" s="335" t="str">
        <f>IF(MAXIFS('単価履歴'!$O:$O,'単価履歴'!$E:$E,E3493,'単価履歴'!$F:$F,F3493)=O3493,"●","")</f>
        <v/>
      </c>
      <c r="O3493" s="346">
        <v>45979.686053240745</v>
      </c>
      <c r="P3493" s="334" t="str">
        <f t="shared" si="4"/>
        <v>ﾔﾏﾄ:阪和Ｌ１(2級)</v>
      </c>
    </row>
    <row r="3494" ht="15.75" customHeight="1">
      <c r="A3494" s="335" t="s">
        <v>4641</v>
      </c>
      <c r="B3494" s="336">
        <v>45973.0</v>
      </c>
      <c r="C3494" s="335" t="s">
        <v>11</v>
      </c>
      <c r="D3494" s="335" t="s">
        <v>46</v>
      </c>
      <c r="E3494" s="337" t="str">
        <f t="shared" si="1"/>
        <v>ﾔﾏﾄ:阪和</v>
      </c>
      <c r="F3494" s="338" t="s">
        <v>573</v>
      </c>
      <c r="G3494" s="339" t="str">
        <f t="shared" si="2"/>
        <v>ﾔﾏﾄ:阪和Ｌ２(H4･級外･L1ﾊﾞﾗ)</v>
      </c>
      <c r="H3494" s="340">
        <f t="shared" si="3"/>
        <v>39.6</v>
      </c>
      <c r="I3494" s="341">
        <v>0.5</v>
      </c>
      <c r="J3494" s="332">
        <f>IFERROR(__xludf.DUMMYFUNCTION("IF(IF(COUNTIF(P$2:P3493, P3494)=0, """", INDEX(H$2:H3493,
MAX(FILTER(ROW(H$2:H3493) - ROW(H$2) + 1, P$2:P3493 = P3494))))=""単価"","""",
IF(COUNTIF(P$2:P3493, P3494)=0, """", INDEX(H$2:H3493,
MAX(FILTER(ROW(H$2:H3493) - ROW(H$2) + 1, P$2:P3493 = P3494)))))"),39.1)</f>
        <v>39.1</v>
      </c>
      <c r="N3494" s="335" t="str">
        <f>IF(MAXIFS('単価履歴'!$O:$O,'単価履歴'!$E:$E,E3494,'単価履歴'!$F:$F,F3494)=O3494,"●","")</f>
        <v/>
      </c>
      <c r="O3494" s="346">
        <v>45979.686053240745</v>
      </c>
      <c r="P3494" s="334" t="str">
        <f t="shared" si="4"/>
        <v>ﾔﾏﾄ:阪和Ｌ２(H4･級外･L1ﾊﾞﾗ)</v>
      </c>
    </row>
    <row r="3495" ht="15.75" customHeight="1">
      <c r="A3495" s="335" t="s">
        <v>4642</v>
      </c>
      <c r="B3495" s="336">
        <v>45981.0</v>
      </c>
      <c r="C3495" s="335" t="s">
        <v>531</v>
      </c>
      <c r="D3495" s="335" t="s">
        <v>77</v>
      </c>
      <c r="E3495" s="337" t="str">
        <f t="shared" si="1"/>
        <v>東鐵関西:直納</v>
      </c>
      <c r="F3495" s="338" t="s">
        <v>1199</v>
      </c>
      <c r="G3495" s="339" t="str">
        <f t="shared" si="2"/>
        <v>東鐵関西:直納ＨＳ１(単体H1/電特A/HS))</v>
      </c>
      <c r="H3495" s="340">
        <f t="shared" si="3"/>
        <v>46.5</v>
      </c>
      <c r="I3495" s="341">
        <v>0.5</v>
      </c>
      <c r="J3495" s="332">
        <f>IFERROR(__xludf.DUMMYFUNCTION("IF(IF(COUNTIF(P$2:P3494, P3495)=0, """", INDEX(H$2:H3494,
MAX(FILTER(ROW(H$2:H3494) - ROW(H$2) + 1, P$2:P3494 = P3495))))=""単価"","""",
IF(COUNTIF(P$2:P3494, P3495)=0, """", INDEX(H$2:H3494,
MAX(FILTER(ROW(H$2:H3494) - ROW(H$2) + 1, P$2:P3494 = P3495)))))"),46.0)</f>
        <v>46</v>
      </c>
      <c r="N3495" s="335" t="str">
        <f>IF(MAXIFS('単価履歴'!$O:$O,'単価履歴'!$E:$E,E3495,'単価履歴'!$F:$F,F3495)=O3495,"●","")</f>
        <v/>
      </c>
      <c r="O3495" s="346">
        <v>45980.78334490741</v>
      </c>
      <c r="P3495" s="334" t="str">
        <f t="shared" si="4"/>
        <v>東鐵関西:直納ＨＳ１(単体H1/電特A/HS))</v>
      </c>
    </row>
    <row r="3496" ht="15.75" customHeight="1">
      <c r="A3496" s="335" t="s">
        <v>4643</v>
      </c>
      <c r="B3496" s="336">
        <v>45981.0</v>
      </c>
      <c r="C3496" s="335" t="s">
        <v>531</v>
      </c>
      <c r="D3496" s="335" t="s">
        <v>77</v>
      </c>
      <c r="E3496" s="337" t="str">
        <f t="shared" si="1"/>
        <v>東鐵関西:直納</v>
      </c>
      <c r="F3496" s="338" t="s">
        <v>111</v>
      </c>
      <c r="G3496" s="339" t="str">
        <f t="shared" si="2"/>
        <v>東鐵関西:直納Ｈ１(特A)</v>
      </c>
      <c r="H3496" s="340">
        <f t="shared" si="3"/>
        <v>46</v>
      </c>
      <c r="I3496" s="341">
        <v>0.5</v>
      </c>
      <c r="J3496" s="332">
        <f>IFERROR(__xludf.DUMMYFUNCTION("IF(IF(COUNTIF(P$2:P3495, P3496)=0, """", INDEX(H$2:H3495,
MAX(FILTER(ROW(H$2:H3495) - ROW(H$2) + 1, P$2:P3495 = P3496))))=""単価"","""",
IF(COUNTIF(P$2:P3495, P3496)=0, """", INDEX(H$2:H3495,
MAX(FILTER(ROW(H$2:H3495) - ROW(H$2) + 1, P$2:P3495 = P3496)))))"),45.5)</f>
        <v>45.5</v>
      </c>
      <c r="N3496" s="335" t="str">
        <f>IF(MAXIFS('単価履歴'!$O:$O,'単価履歴'!$E:$E,E3496,'単価履歴'!$F:$F,F3496)=O3496,"●","")</f>
        <v/>
      </c>
      <c r="O3496" s="346">
        <v>45980.78334490741</v>
      </c>
      <c r="P3496" s="334" t="str">
        <f t="shared" si="4"/>
        <v>東鐵関西:直納Ｈ１(特A)</v>
      </c>
    </row>
    <row r="3497" ht="15.75" customHeight="1">
      <c r="A3497" s="335" t="s">
        <v>4644</v>
      </c>
      <c r="B3497" s="336">
        <v>45981.0</v>
      </c>
      <c r="C3497" s="335" t="s">
        <v>531</v>
      </c>
      <c r="D3497" s="335" t="s">
        <v>77</v>
      </c>
      <c r="E3497" s="337" t="str">
        <f t="shared" si="1"/>
        <v>東鐵関西:直納</v>
      </c>
      <c r="F3497" s="338" t="s">
        <v>116</v>
      </c>
      <c r="G3497" s="339" t="str">
        <f t="shared" si="2"/>
        <v>東鐵関西:直納Ｈ２(特級)</v>
      </c>
      <c r="H3497" s="340">
        <f t="shared" si="3"/>
        <v>44</v>
      </c>
      <c r="I3497" s="341">
        <v>0.5</v>
      </c>
      <c r="J3497" s="332">
        <f>IFERROR(__xludf.DUMMYFUNCTION("IF(IF(COUNTIF(P$2:P3496, P3497)=0, """", INDEX(H$2:H3496,
MAX(FILTER(ROW(H$2:H3496) - ROW(H$2) + 1, P$2:P3496 = P3497))))=""単価"","""",
IF(COUNTIF(P$2:P3496, P3497)=0, """", INDEX(H$2:H3496,
MAX(FILTER(ROW(H$2:H3496) - ROW(H$2) + 1, P$2:P3496 = P3497)))))"),43.5)</f>
        <v>43.5</v>
      </c>
      <c r="N3497" s="335" t="str">
        <f>IF(MAXIFS('単価履歴'!$O:$O,'単価履歴'!$E:$E,E3497,'単価履歴'!$F:$F,F3497)=O3497,"●","")</f>
        <v/>
      </c>
      <c r="O3497" s="346">
        <v>45980.78334490741</v>
      </c>
      <c r="P3497" s="334" t="str">
        <f t="shared" si="4"/>
        <v>東鐵関西:直納Ｈ２(特級)</v>
      </c>
    </row>
    <row r="3498" ht="15.75" customHeight="1">
      <c r="A3498" s="335" t="s">
        <v>4645</v>
      </c>
      <c r="B3498" s="336">
        <v>45981.0</v>
      </c>
      <c r="C3498" s="335" t="s">
        <v>531</v>
      </c>
      <c r="D3498" s="335" t="s">
        <v>77</v>
      </c>
      <c r="E3498" s="337" t="str">
        <f t="shared" si="1"/>
        <v>東鐵関西:直納</v>
      </c>
      <c r="F3498" s="338" t="s">
        <v>119</v>
      </c>
      <c r="G3498" s="339" t="str">
        <f t="shared" si="2"/>
        <v>東鐵関西:直納Ｈ３(1級)</v>
      </c>
      <c r="H3498" s="340">
        <f t="shared" si="3"/>
        <v>44</v>
      </c>
      <c r="I3498" s="341">
        <v>0.5</v>
      </c>
      <c r="J3498" s="332">
        <f>IFERROR(__xludf.DUMMYFUNCTION("IF(IF(COUNTIF(P$2:P3497, P3498)=0, """", INDEX(H$2:H3497,
MAX(FILTER(ROW(H$2:H3497) - ROW(H$2) + 1, P$2:P3497 = P3498))))=""単価"","""",
IF(COUNTIF(P$2:P3497, P3498)=0, """", INDEX(H$2:H3497,
MAX(FILTER(ROW(H$2:H3497) - ROW(H$2) + 1, P$2:P3497 = P3498)))))"),43.5)</f>
        <v>43.5</v>
      </c>
      <c r="N3498" s="335" t="str">
        <f>IF(MAXIFS('単価履歴'!$O:$O,'単価履歴'!$E:$E,E3498,'単価履歴'!$F:$F,F3498)=O3498,"●","")</f>
        <v/>
      </c>
      <c r="O3498" s="346">
        <v>45980.78334490741</v>
      </c>
      <c r="P3498" s="334" t="str">
        <f t="shared" si="4"/>
        <v>東鐵関西:直納Ｈ３(1級)</v>
      </c>
    </row>
    <row r="3499" ht="15.75" customHeight="1">
      <c r="A3499" s="335" t="s">
        <v>4646</v>
      </c>
      <c r="B3499" s="336">
        <v>45981.0</v>
      </c>
      <c r="C3499" s="335" t="s">
        <v>531</v>
      </c>
      <c r="D3499" s="335" t="s">
        <v>77</v>
      </c>
      <c r="E3499" s="337" t="str">
        <f t="shared" si="1"/>
        <v>東鐵関西:直納</v>
      </c>
      <c r="F3499" s="338" t="s">
        <v>122</v>
      </c>
      <c r="G3499" s="339" t="str">
        <f t="shared" si="2"/>
        <v>東鐵関西:直納Ｌ１(2級)</v>
      </c>
      <c r="H3499" s="340">
        <f t="shared" si="3"/>
        <v>42</v>
      </c>
      <c r="I3499" s="341">
        <v>0.5</v>
      </c>
      <c r="J3499" s="332">
        <f>IFERROR(__xludf.DUMMYFUNCTION("IF(IF(COUNTIF(P$2:P3498, P3499)=0, """", INDEX(H$2:H3498,
MAX(FILTER(ROW(H$2:H3498) - ROW(H$2) + 1, P$2:P3498 = P3499))))=""単価"","""",
IF(COUNTIF(P$2:P3498, P3499)=0, """", INDEX(H$2:H3498,
MAX(FILTER(ROW(H$2:H3498) - ROW(H$2) + 1, P$2:P3498 = P3499)))))"),41.5)</f>
        <v>41.5</v>
      </c>
      <c r="N3499" s="335" t="str">
        <f>IF(MAXIFS('単価履歴'!$O:$O,'単価履歴'!$E:$E,E3499,'単価履歴'!$F:$F,F3499)=O3499,"●","")</f>
        <v/>
      </c>
      <c r="O3499" s="346">
        <v>45980.78334490741</v>
      </c>
      <c r="P3499" s="334" t="str">
        <f t="shared" si="4"/>
        <v>東鐵関西:直納Ｌ１(2級)</v>
      </c>
    </row>
    <row r="3500" ht="15.75" customHeight="1">
      <c r="A3500" s="335" t="s">
        <v>4647</v>
      </c>
      <c r="B3500" s="336">
        <v>45981.0</v>
      </c>
      <c r="C3500" s="335" t="s">
        <v>531</v>
      </c>
      <c r="D3500" s="335" t="s">
        <v>77</v>
      </c>
      <c r="E3500" s="337" t="str">
        <f t="shared" si="1"/>
        <v>東鐵関西:直納</v>
      </c>
      <c r="F3500" s="338" t="s">
        <v>573</v>
      </c>
      <c r="G3500" s="339" t="str">
        <f t="shared" si="2"/>
        <v>東鐵関西:直納Ｌ２(H4･級外･L1ﾊﾞﾗ)</v>
      </c>
      <c r="H3500" s="340">
        <f t="shared" si="3"/>
        <v>39</v>
      </c>
      <c r="I3500" s="341">
        <v>0.5</v>
      </c>
      <c r="J3500" s="332">
        <f>IFERROR(__xludf.DUMMYFUNCTION("IF(IF(COUNTIF(P$2:P3499, P3500)=0, """", INDEX(H$2:H3499,
MAX(FILTER(ROW(H$2:H3499) - ROW(H$2) + 1, P$2:P3499 = P3500))))=""単価"","""",
IF(COUNTIF(P$2:P3499, P3500)=0, """", INDEX(H$2:H3499,
MAX(FILTER(ROW(H$2:H3499) - ROW(H$2) + 1, P$2:P3499 = P3500)))))"),38.5)</f>
        <v>38.5</v>
      </c>
      <c r="N3500" s="335" t="str">
        <f>IF(MAXIFS('単価履歴'!$O:$O,'単価履歴'!$E:$E,E3500,'単価履歴'!$F:$F,F3500)=O3500,"●","")</f>
        <v/>
      </c>
      <c r="O3500" s="346">
        <v>45980.78334490741</v>
      </c>
      <c r="P3500" s="334" t="str">
        <f t="shared" si="4"/>
        <v>東鐵関西:直納Ｌ２(H4･級外･L1ﾊﾞﾗ)</v>
      </c>
    </row>
    <row r="3501" ht="15.75" customHeight="1">
      <c r="A3501" s="335" t="s">
        <v>4648</v>
      </c>
      <c r="B3501" s="336">
        <v>45981.0</v>
      </c>
      <c r="C3501" s="335" t="s">
        <v>531</v>
      </c>
      <c r="D3501" s="335" t="s">
        <v>77</v>
      </c>
      <c r="E3501" s="337" t="str">
        <f t="shared" si="1"/>
        <v>東鐵関西:直納</v>
      </c>
      <c r="F3501" s="338" t="s">
        <v>145</v>
      </c>
      <c r="G3501" s="339" t="str">
        <f t="shared" si="2"/>
        <v>東鐵関西:直納シュレＡ</v>
      </c>
      <c r="H3501" s="340">
        <f t="shared" si="3"/>
        <v>46</v>
      </c>
      <c r="I3501" s="341">
        <v>0.5</v>
      </c>
      <c r="J3501" s="332">
        <f>IFERROR(__xludf.DUMMYFUNCTION("IF(IF(COUNTIF(P$2:P3500, P3501)=0, """", INDEX(H$2:H3500,
MAX(FILTER(ROW(H$2:H3500) - ROW(H$2) + 1, P$2:P3500 = P3501))))=""単価"","""",
IF(COUNTIF(P$2:P3500, P3501)=0, """", INDEX(H$2:H3500,
MAX(FILTER(ROW(H$2:H3500) - ROW(H$2) + 1, P$2:P3500 = P3501)))))"),45.5)</f>
        <v>45.5</v>
      </c>
      <c r="N3501" s="335" t="str">
        <f>IF(MAXIFS('単価履歴'!$O:$O,'単価履歴'!$E:$E,E3501,'単価履歴'!$F:$F,F3501)=O3501,"●","")</f>
        <v/>
      </c>
      <c r="O3501" s="346">
        <v>45980.78334490741</v>
      </c>
      <c r="P3501" s="334" t="str">
        <f t="shared" si="4"/>
        <v>東鐵関西:直納シュレＡ</v>
      </c>
    </row>
    <row r="3502" ht="15.75" customHeight="1">
      <c r="A3502" s="335" t="s">
        <v>4649</v>
      </c>
      <c r="B3502" s="336">
        <v>45981.0</v>
      </c>
      <c r="C3502" s="335" t="s">
        <v>531</v>
      </c>
      <c r="D3502" s="335" t="s">
        <v>77</v>
      </c>
      <c r="E3502" s="337" t="str">
        <f t="shared" si="1"/>
        <v>東鐵関西:直納</v>
      </c>
      <c r="F3502" s="338" t="s">
        <v>151</v>
      </c>
      <c r="G3502" s="339" t="str">
        <f t="shared" si="2"/>
        <v>東鐵関西:直納シュレＣ</v>
      </c>
      <c r="H3502" s="340">
        <f t="shared" si="3"/>
        <v>45</v>
      </c>
      <c r="I3502" s="341">
        <v>0.5</v>
      </c>
      <c r="J3502" s="332">
        <f>IFERROR(__xludf.DUMMYFUNCTION("IF(IF(COUNTIF(P$2:P3501, P3502)=0, """", INDEX(H$2:H3501,
MAX(FILTER(ROW(H$2:H3501) - ROW(H$2) + 1, P$2:P3501 = P3502))))=""単価"","""",
IF(COUNTIF(P$2:P3501, P3502)=0, """", INDEX(H$2:H3501,
MAX(FILTER(ROW(H$2:H3501) - ROW(H$2) + 1, P$2:P3501 = P3502)))))"),44.5)</f>
        <v>44.5</v>
      </c>
      <c r="N3502" s="335" t="str">
        <f>IF(MAXIFS('単価履歴'!$O:$O,'単価履歴'!$E:$E,E3502,'単価履歴'!$F:$F,F3502)=O3502,"●","")</f>
        <v/>
      </c>
      <c r="O3502" s="346">
        <v>45980.78334490741</v>
      </c>
      <c r="P3502" s="334" t="str">
        <f t="shared" si="4"/>
        <v>東鐵関西:直納シュレＣ</v>
      </c>
    </row>
    <row r="3503" ht="15.75" customHeight="1">
      <c r="A3503" s="335" t="s">
        <v>4650</v>
      </c>
      <c r="B3503" s="336">
        <v>45981.0</v>
      </c>
      <c r="C3503" s="335" t="s">
        <v>532</v>
      </c>
      <c r="D3503" s="335" t="s">
        <v>77</v>
      </c>
      <c r="E3503" s="337" t="str">
        <f t="shared" si="1"/>
        <v>東鐵岡山:直納</v>
      </c>
      <c r="F3503" s="338" t="s">
        <v>1199</v>
      </c>
      <c r="G3503" s="339" t="str">
        <f t="shared" si="2"/>
        <v>東鐵岡山:直納ＨＳ１(単体H1/電特A/HS))</v>
      </c>
      <c r="H3503" s="340">
        <f t="shared" si="3"/>
        <v>46.5</v>
      </c>
      <c r="I3503" s="341">
        <v>0.5</v>
      </c>
      <c r="J3503" s="332">
        <f>IFERROR(__xludf.DUMMYFUNCTION("IF(IF(COUNTIF(P$2:P3502, P3503)=0, """", INDEX(H$2:H3502,
MAX(FILTER(ROW(H$2:H3502) - ROW(H$2) + 1, P$2:P3502 = P3503))))=""単価"","""",
IF(COUNTIF(P$2:P3502, P3503)=0, """", INDEX(H$2:H3502,
MAX(FILTER(ROW(H$2:H3502) - ROW(H$2) + 1, P$2:P3502 = P3503)))))"),46.0)</f>
        <v>46</v>
      </c>
      <c r="N3503" s="335" t="str">
        <f>IF(MAXIFS('単価履歴'!$O:$O,'単価履歴'!$E:$E,E3503,'単価履歴'!$F:$F,F3503)=O3503,"●","")</f>
        <v/>
      </c>
      <c r="O3503" s="346">
        <v>45980.78356481482</v>
      </c>
      <c r="P3503" s="334" t="str">
        <f t="shared" si="4"/>
        <v>東鐵岡山:直納ＨＳ１(単体H1/電特A/HS))</v>
      </c>
    </row>
    <row r="3504" ht="15.75" customHeight="1">
      <c r="A3504" s="335" t="s">
        <v>4651</v>
      </c>
      <c r="B3504" s="336">
        <v>45981.0</v>
      </c>
      <c r="C3504" s="335" t="s">
        <v>532</v>
      </c>
      <c r="D3504" s="335" t="s">
        <v>77</v>
      </c>
      <c r="E3504" s="337" t="str">
        <f t="shared" si="1"/>
        <v>東鐵岡山:直納</v>
      </c>
      <c r="F3504" s="338" t="s">
        <v>111</v>
      </c>
      <c r="G3504" s="339" t="str">
        <f t="shared" si="2"/>
        <v>東鐵岡山:直納Ｈ１(特A)</v>
      </c>
      <c r="H3504" s="340">
        <f t="shared" si="3"/>
        <v>45.2</v>
      </c>
      <c r="I3504" s="341">
        <v>0.5</v>
      </c>
      <c r="J3504" s="332">
        <f>IFERROR(__xludf.DUMMYFUNCTION("IF(IF(COUNTIF(P$2:P3503, P3504)=0, """", INDEX(H$2:H3503,
MAX(FILTER(ROW(H$2:H3503) - ROW(H$2) + 1, P$2:P3503 = P3504))))=""単価"","""",
IF(COUNTIF(P$2:P3503, P3504)=0, """", INDEX(H$2:H3503,
MAX(FILTER(ROW(H$2:H3503) - ROW(H$2) + 1, P$2:P3503 = P3504)))))"),44.7)</f>
        <v>44.7</v>
      </c>
      <c r="N3504" s="335" t="str">
        <f>IF(MAXIFS('単価履歴'!$O:$O,'単価履歴'!$E:$E,E3504,'単価履歴'!$F:$F,F3504)=O3504,"●","")</f>
        <v/>
      </c>
      <c r="O3504" s="346">
        <v>45980.78356481482</v>
      </c>
      <c r="P3504" s="334" t="str">
        <f t="shared" si="4"/>
        <v>東鐵岡山:直納Ｈ１(特A)</v>
      </c>
    </row>
    <row r="3505" ht="15.75" customHeight="1">
      <c r="A3505" s="335" t="s">
        <v>4652</v>
      </c>
      <c r="B3505" s="336">
        <v>45981.0</v>
      </c>
      <c r="C3505" s="335" t="s">
        <v>532</v>
      </c>
      <c r="D3505" s="335" t="s">
        <v>77</v>
      </c>
      <c r="E3505" s="337" t="str">
        <f t="shared" si="1"/>
        <v>東鐵岡山:直納</v>
      </c>
      <c r="F3505" s="338" t="s">
        <v>116</v>
      </c>
      <c r="G3505" s="339" t="str">
        <f t="shared" si="2"/>
        <v>東鐵岡山:直納Ｈ２(特級)</v>
      </c>
      <c r="H3505" s="340">
        <f t="shared" si="3"/>
        <v>44.5</v>
      </c>
      <c r="I3505" s="341">
        <v>0.5</v>
      </c>
      <c r="J3505" s="332">
        <f>IFERROR(__xludf.DUMMYFUNCTION("IF(IF(COUNTIF(P$2:P3504, P3505)=0, """", INDEX(H$2:H3504,
MAX(FILTER(ROW(H$2:H3504) - ROW(H$2) + 1, P$2:P3504 = P3505))))=""単価"","""",
IF(COUNTIF(P$2:P3504, P3505)=0, """", INDEX(H$2:H3504,
MAX(FILTER(ROW(H$2:H3504) - ROW(H$2) + 1, P$2:P3504 = P3505)))))"),44.0)</f>
        <v>44</v>
      </c>
      <c r="N3505" s="335" t="str">
        <f>IF(MAXIFS('単価履歴'!$O:$O,'単価履歴'!$E:$E,E3505,'単価履歴'!$F:$F,F3505)=O3505,"●","")</f>
        <v/>
      </c>
      <c r="O3505" s="346">
        <v>45980.78356481482</v>
      </c>
      <c r="P3505" s="334" t="str">
        <f t="shared" si="4"/>
        <v>東鐵岡山:直納Ｈ２(特級)</v>
      </c>
    </row>
    <row r="3506" ht="15.75" customHeight="1">
      <c r="A3506" s="335" t="s">
        <v>4653</v>
      </c>
      <c r="B3506" s="336">
        <v>45981.0</v>
      </c>
      <c r="C3506" s="335" t="s">
        <v>532</v>
      </c>
      <c r="D3506" s="335" t="s">
        <v>77</v>
      </c>
      <c r="E3506" s="337" t="str">
        <f t="shared" si="1"/>
        <v>東鐵岡山:直納</v>
      </c>
      <c r="F3506" s="338" t="s">
        <v>119</v>
      </c>
      <c r="G3506" s="339" t="str">
        <f t="shared" si="2"/>
        <v>東鐵岡山:直納Ｈ３(1級)</v>
      </c>
      <c r="H3506" s="340">
        <f t="shared" si="3"/>
        <v>44</v>
      </c>
      <c r="I3506" s="341">
        <v>0.5</v>
      </c>
      <c r="J3506" s="332">
        <f>IFERROR(__xludf.DUMMYFUNCTION("IF(IF(COUNTIF(P$2:P3505, P3506)=0, """", INDEX(H$2:H3505,
MAX(FILTER(ROW(H$2:H3505) - ROW(H$2) + 1, P$2:P3505 = P3506))))=""単価"","""",
IF(COUNTIF(P$2:P3505, P3506)=0, """", INDEX(H$2:H3505,
MAX(FILTER(ROW(H$2:H3505) - ROW(H$2) + 1, P$2:P3505 = P3506)))))"),43.5)</f>
        <v>43.5</v>
      </c>
      <c r="N3506" s="335" t="str">
        <f>IF(MAXIFS('単価履歴'!$O:$O,'単価履歴'!$E:$E,E3506,'単価履歴'!$F:$F,F3506)=O3506,"●","")</f>
        <v/>
      </c>
      <c r="O3506" s="346">
        <v>45980.78356481482</v>
      </c>
      <c r="P3506" s="334" t="str">
        <f t="shared" si="4"/>
        <v>東鐵岡山:直納Ｈ３(1級)</v>
      </c>
    </row>
    <row r="3507" ht="15.75" customHeight="1">
      <c r="A3507" s="335" t="s">
        <v>4654</v>
      </c>
      <c r="B3507" s="336">
        <v>45981.0</v>
      </c>
      <c r="C3507" s="335" t="s">
        <v>532</v>
      </c>
      <c r="D3507" s="335" t="s">
        <v>77</v>
      </c>
      <c r="E3507" s="337" t="str">
        <f t="shared" si="1"/>
        <v>東鐵岡山:直納</v>
      </c>
      <c r="F3507" s="338" t="s">
        <v>122</v>
      </c>
      <c r="G3507" s="339" t="str">
        <f t="shared" si="2"/>
        <v>東鐵岡山:直納Ｌ１(2級)</v>
      </c>
      <c r="H3507" s="340">
        <f t="shared" si="3"/>
        <v>42.5</v>
      </c>
      <c r="I3507" s="341">
        <v>0.5</v>
      </c>
      <c r="J3507" s="332">
        <f>IFERROR(__xludf.DUMMYFUNCTION("IF(IF(COUNTIF(P$2:P3506, P3507)=0, """", INDEX(H$2:H3506,
MAX(FILTER(ROW(H$2:H3506) - ROW(H$2) + 1, P$2:P3506 = P3507))))=""単価"","""",
IF(COUNTIF(P$2:P3506, P3507)=0, """", INDEX(H$2:H3506,
MAX(FILTER(ROW(H$2:H3506) - ROW(H$2) + 1, P$2:P3506 = P3507)))))"),42.0)</f>
        <v>42</v>
      </c>
      <c r="N3507" s="335" t="str">
        <f>IF(MAXIFS('単価履歴'!$O:$O,'単価履歴'!$E:$E,E3507,'単価履歴'!$F:$F,F3507)=O3507,"●","")</f>
        <v/>
      </c>
      <c r="O3507" s="346">
        <v>45980.78356481482</v>
      </c>
      <c r="P3507" s="334" t="str">
        <f t="shared" si="4"/>
        <v>東鐵岡山:直納Ｌ１(2級)</v>
      </c>
    </row>
    <row r="3508" ht="15.75" customHeight="1">
      <c r="A3508" s="335" t="s">
        <v>4655</v>
      </c>
      <c r="B3508" s="336">
        <v>45981.0</v>
      </c>
      <c r="C3508" s="335" t="s">
        <v>532</v>
      </c>
      <c r="D3508" s="335" t="s">
        <v>77</v>
      </c>
      <c r="E3508" s="337" t="str">
        <f t="shared" si="1"/>
        <v>東鐵岡山:直納</v>
      </c>
      <c r="F3508" s="338" t="s">
        <v>573</v>
      </c>
      <c r="G3508" s="339" t="str">
        <f t="shared" si="2"/>
        <v>東鐵岡山:直納Ｌ２(H4･級外･L1ﾊﾞﾗ)</v>
      </c>
      <c r="H3508" s="340">
        <f t="shared" si="3"/>
        <v>39.5</v>
      </c>
      <c r="I3508" s="341">
        <v>0.5</v>
      </c>
      <c r="J3508" s="332">
        <f>IFERROR(__xludf.DUMMYFUNCTION("IF(IF(COUNTIF(P$2:P3507, P3508)=0, """", INDEX(H$2:H3507,
MAX(FILTER(ROW(H$2:H3507) - ROW(H$2) + 1, P$2:P3507 = P3508))))=""単価"","""",
IF(COUNTIF(P$2:P3507, P3508)=0, """", INDEX(H$2:H3507,
MAX(FILTER(ROW(H$2:H3507) - ROW(H$2) + 1, P$2:P3507 = P3508)))))"),39.0)</f>
        <v>39</v>
      </c>
      <c r="N3508" s="335" t="str">
        <f>IF(MAXIFS('単価履歴'!$O:$O,'単価履歴'!$E:$E,E3508,'単価履歴'!$F:$F,F3508)=O3508,"●","")</f>
        <v/>
      </c>
      <c r="O3508" s="346">
        <v>45980.78356481482</v>
      </c>
      <c r="P3508" s="334" t="str">
        <f t="shared" si="4"/>
        <v>東鐵岡山:直納Ｌ２(H4･級外･L1ﾊﾞﾗ)</v>
      </c>
    </row>
    <row r="3509" ht="15.75" customHeight="1">
      <c r="A3509" s="335" t="s">
        <v>4656</v>
      </c>
      <c r="B3509" s="336">
        <v>45981.0</v>
      </c>
      <c r="C3509" s="335" t="s">
        <v>532</v>
      </c>
      <c r="D3509" s="335" t="s">
        <v>77</v>
      </c>
      <c r="E3509" s="337" t="str">
        <f t="shared" si="1"/>
        <v>東鐵岡山:直納</v>
      </c>
      <c r="F3509" s="338" t="s">
        <v>145</v>
      </c>
      <c r="G3509" s="339" t="str">
        <f t="shared" si="2"/>
        <v>東鐵岡山:直納シュレＡ</v>
      </c>
      <c r="H3509" s="340">
        <f t="shared" si="3"/>
        <v>45</v>
      </c>
      <c r="I3509" s="341">
        <v>0.5</v>
      </c>
      <c r="J3509" s="332">
        <f>IFERROR(__xludf.DUMMYFUNCTION("IF(IF(COUNTIF(P$2:P3508, P3509)=0, """", INDEX(H$2:H3508,
MAX(FILTER(ROW(H$2:H3508) - ROW(H$2) + 1, P$2:P3508 = P3509))))=""単価"","""",
IF(COUNTIF(P$2:P3508, P3509)=0, """", INDEX(H$2:H3508,
MAX(FILTER(ROW(H$2:H3508) - ROW(H$2) + 1, P$2:P3508 = P3509)))))"),44.5)</f>
        <v>44.5</v>
      </c>
      <c r="N3509" s="335" t="str">
        <f>IF(MAXIFS('単価履歴'!$O:$O,'単価履歴'!$E:$E,E3509,'単価履歴'!$F:$F,F3509)=O3509,"●","")</f>
        <v/>
      </c>
      <c r="O3509" s="346">
        <v>45980.78356481482</v>
      </c>
      <c r="P3509" s="334" t="str">
        <f t="shared" si="4"/>
        <v>東鐵岡山:直納シュレＡ</v>
      </c>
    </row>
    <row r="3510" ht="15.75" customHeight="1">
      <c r="A3510" s="335" t="s">
        <v>4657</v>
      </c>
      <c r="B3510" s="336">
        <v>45981.0</v>
      </c>
      <c r="C3510" s="335" t="s">
        <v>532</v>
      </c>
      <c r="D3510" s="335" t="s">
        <v>77</v>
      </c>
      <c r="E3510" s="337" t="str">
        <f t="shared" si="1"/>
        <v>東鐵岡山:直納</v>
      </c>
      <c r="F3510" s="338" t="s">
        <v>151</v>
      </c>
      <c r="G3510" s="339" t="str">
        <f t="shared" si="2"/>
        <v>東鐵岡山:直納シュレＣ</v>
      </c>
      <c r="H3510" s="340">
        <f t="shared" si="3"/>
        <v>44.5</v>
      </c>
      <c r="I3510" s="341">
        <v>0.5</v>
      </c>
      <c r="J3510" s="332">
        <f>IFERROR(__xludf.DUMMYFUNCTION("IF(IF(COUNTIF(P$2:P3509, P3510)=0, """", INDEX(H$2:H3509,
MAX(FILTER(ROW(H$2:H3509) - ROW(H$2) + 1, P$2:P3509 = P3510))))=""単価"","""",
IF(COUNTIF(P$2:P3509, P3510)=0, """", INDEX(H$2:H3509,
MAX(FILTER(ROW(H$2:H3509) - ROW(H$2) + 1, P$2:P3509 = P3510)))))"),44.0)</f>
        <v>44</v>
      </c>
      <c r="N3510" s="335" t="str">
        <f>IF(MAXIFS('単価履歴'!$O:$O,'単価履歴'!$E:$E,E3510,'単価履歴'!$F:$F,F3510)=O3510,"●","")</f>
        <v/>
      </c>
      <c r="O3510" s="346">
        <v>45980.78356481482</v>
      </c>
      <c r="P3510" s="334" t="str">
        <f t="shared" si="4"/>
        <v>東鐵岡山:直納シュレＣ</v>
      </c>
    </row>
    <row r="3511" ht="15.75" customHeight="1">
      <c r="A3511" s="335" t="s">
        <v>4658</v>
      </c>
      <c r="B3511" s="336">
        <v>45981.0</v>
      </c>
      <c r="C3511" s="335" t="s">
        <v>532</v>
      </c>
      <c r="D3511" s="335" t="s">
        <v>77</v>
      </c>
      <c r="E3511" s="337" t="str">
        <f t="shared" si="1"/>
        <v>東鐵岡山:直納</v>
      </c>
      <c r="F3511" s="338" t="s">
        <v>130</v>
      </c>
      <c r="G3511" s="339" t="str">
        <f t="shared" si="2"/>
        <v>東鐵岡山:直納新断Ａ</v>
      </c>
      <c r="H3511" s="340">
        <f t="shared" si="3"/>
        <v>45.5</v>
      </c>
      <c r="I3511" s="341">
        <v>0.5</v>
      </c>
      <c r="J3511" s="332">
        <f>IFERROR(__xludf.DUMMYFUNCTION("IF(IF(COUNTIF(P$2:P3510, P3511)=0, """", INDEX(H$2:H3510,
MAX(FILTER(ROW(H$2:H3510) - ROW(H$2) + 1, P$2:P3510 = P3511))))=""単価"","""",
IF(COUNTIF(P$2:P3510, P3511)=0, """", INDEX(H$2:H3510,
MAX(FILTER(ROW(H$2:H3510) - ROW(H$2) + 1, P$2:P3510 = P3511)))))"),45.0)</f>
        <v>45</v>
      </c>
      <c r="N3511" s="335" t="str">
        <f>IF(MAXIFS('単価履歴'!$O:$O,'単価履歴'!$E:$E,E3511,'単価履歴'!$F:$F,F3511)=O3511,"●","")</f>
        <v/>
      </c>
      <c r="O3511" s="346">
        <v>45980.78356481482</v>
      </c>
      <c r="P3511" s="334" t="str">
        <f t="shared" si="4"/>
        <v>東鐵岡山:直納新断Ａ</v>
      </c>
    </row>
    <row r="3512" ht="15.75" customHeight="1">
      <c r="A3512" s="335" t="s">
        <v>4659</v>
      </c>
      <c r="B3512" s="336">
        <v>45981.0</v>
      </c>
      <c r="C3512" s="335" t="s">
        <v>532</v>
      </c>
      <c r="D3512" s="335" t="s">
        <v>77</v>
      </c>
      <c r="E3512" s="337" t="str">
        <f t="shared" si="1"/>
        <v>東鐵岡山:直納</v>
      </c>
      <c r="F3512" s="338" t="s">
        <v>131</v>
      </c>
      <c r="G3512" s="339" t="str">
        <f t="shared" si="2"/>
        <v>東鐵岡山:直納新断Ｂ</v>
      </c>
      <c r="H3512" s="340">
        <f t="shared" si="3"/>
        <v>45.5</v>
      </c>
      <c r="I3512" s="341">
        <v>0.5</v>
      </c>
      <c r="J3512" s="332">
        <f>IFERROR(__xludf.DUMMYFUNCTION("IF(IF(COUNTIF(P$2:P3511, P3512)=0, """", INDEX(H$2:H3511,
MAX(FILTER(ROW(H$2:H3511) - ROW(H$2) + 1, P$2:P3511 = P3512))))=""単価"","""",
IF(COUNTIF(P$2:P3511, P3512)=0, """", INDEX(H$2:H3511,
MAX(FILTER(ROW(H$2:H3511) - ROW(H$2) + 1, P$2:P3511 = P3512)))))"),45.0)</f>
        <v>45</v>
      </c>
      <c r="N3512" s="335" t="str">
        <f>IF(MAXIFS('単価履歴'!$O:$O,'単価履歴'!$E:$E,E3512,'単価履歴'!$F:$F,F3512)=O3512,"●","")</f>
        <v/>
      </c>
      <c r="O3512" s="346">
        <v>45980.78356481482</v>
      </c>
      <c r="P3512" s="334" t="str">
        <f t="shared" si="4"/>
        <v>東鐵岡山:直納新断Ｂ</v>
      </c>
    </row>
    <row r="3513" ht="15.75" customHeight="1">
      <c r="A3513" s="335" t="s">
        <v>4660</v>
      </c>
      <c r="B3513" s="336">
        <v>45981.0</v>
      </c>
      <c r="C3513" s="335" t="s">
        <v>532</v>
      </c>
      <c r="D3513" s="335" t="s">
        <v>77</v>
      </c>
      <c r="E3513" s="337" t="str">
        <f t="shared" si="1"/>
        <v>東鐵岡山:直納</v>
      </c>
      <c r="F3513" s="338" t="s">
        <v>575</v>
      </c>
      <c r="G3513" s="339" t="str">
        <f t="shared" si="2"/>
        <v>東鐵岡山:直納鋼ダライＡ</v>
      </c>
      <c r="H3513" s="340">
        <f t="shared" si="3"/>
        <v>40.5</v>
      </c>
      <c r="I3513" s="341">
        <v>0.5</v>
      </c>
      <c r="J3513" s="332">
        <f>IFERROR(__xludf.DUMMYFUNCTION("IF(IF(COUNTIF(P$2:P3512, P3513)=0, """", INDEX(H$2:H3512,
MAX(FILTER(ROW(H$2:H3512) - ROW(H$2) + 1, P$2:P3512 = P3513))))=""単価"","""",
IF(COUNTIF(P$2:P3512, P3513)=0, """", INDEX(H$2:H3512,
MAX(FILTER(ROW(H$2:H3512) - ROW(H$2) + 1, P$2:P3512 = P3513)))))"),40.0)</f>
        <v>40</v>
      </c>
      <c r="N3513" s="335" t="str">
        <f>IF(MAXIFS('単価履歴'!$O:$O,'単価履歴'!$E:$E,E3513,'単価履歴'!$F:$F,F3513)=O3513,"●","")</f>
        <v/>
      </c>
      <c r="O3513" s="346">
        <v>45980.78356481482</v>
      </c>
      <c r="P3513" s="334" t="str">
        <f t="shared" si="4"/>
        <v>東鐵岡山:直納鋼ダライＡ</v>
      </c>
    </row>
    <row r="3514" ht="15.75" customHeight="1">
      <c r="A3514" s="335" t="s">
        <v>4661</v>
      </c>
      <c r="B3514" s="336">
        <v>45981.0</v>
      </c>
      <c r="C3514" s="335" t="s">
        <v>532</v>
      </c>
      <c r="D3514" s="335" t="s">
        <v>77</v>
      </c>
      <c r="E3514" s="337" t="str">
        <f t="shared" si="1"/>
        <v>東鐵岡山:直納</v>
      </c>
      <c r="F3514" s="338" t="s">
        <v>25</v>
      </c>
      <c r="G3514" s="339" t="str">
        <f t="shared" si="2"/>
        <v>東鐵岡山:直納銑ダライ</v>
      </c>
      <c r="H3514" s="340">
        <f t="shared" si="3"/>
        <v>37</v>
      </c>
      <c r="I3514" s="341">
        <v>0.5</v>
      </c>
      <c r="J3514" s="332">
        <f>IFERROR(__xludf.DUMMYFUNCTION("IF(IF(COUNTIF(P$2:P3513, P3514)=0, """", INDEX(H$2:H3513,
MAX(FILTER(ROW(H$2:H3513) - ROW(H$2) + 1, P$2:P3513 = P3514))))=""単価"","""",
IF(COUNTIF(P$2:P3513, P3514)=0, """", INDEX(H$2:H3513,
MAX(FILTER(ROW(H$2:H3513) - ROW(H$2) + 1, P$2:P3513 = P3514)))))"),36.5)</f>
        <v>36.5</v>
      </c>
      <c r="N3514" s="335" t="str">
        <f>IF(MAXIFS('単価履歴'!$O:$O,'単価履歴'!$E:$E,E3514,'単価履歴'!$F:$F,F3514)=O3514,"●","")</f>
        <v/>
      </c>
      <c r="O3514" s="346">
        <v>45980.78356481482</v>
      </c>
      <c r="P3514" s="334" t="str">
        <f t="shared" si="4"/>
        <v>東鐵岡山:直納銑ダライ</v>
      </c>
    </row>
    <row r="3515" ht="15.75" customHeight="1">
      <c r="A3515" s="335" t="s">
        <v>4662</v>
      </c>
      <c r="B3515" s="336">
        <v>45981.0</v>
      </c>
      <c r="C3515" s="335" t="s">
        <v>532</v>
      </c>
      <c r="D3515" s="335" t="s">
        <v>77</v>
      </c>
      <c r="E3515" s="337" t="str">
        <f t="shared" si="1"/>
        <v>東鐵岡山:直納</v>
      </c>
      <c r="F3515" s="338" t="s">
        <v>154</v>
      </c>
      <c r="G3515" s="339" t="str">
        <f t="shared" si="2"/>
        <v>東鐵岡山:直納ＣＰ Ａ</v>
      </c>
      <c r="H3515" s="340">
        <f t="shared" si="3"/>
        <v>43</v>
      </c>
      <c r="I3515" s="341">
        <v>0.5</v>
      </c>
      <c r="J3515" s="332">
        <f>IFERROR(__xludf.DUMMYFUNCTION("IF(IF(COUNTIF(P$2:P3514, P3515)=0, """", INDEX(H$2:H3514,
MAX(FILTER(ROW(H$2:H3514) - ROW(H$2) + 1, P$2:P3514 = P3515))))=""単価"","""",
IF(COUNTIF(P$2:P3514, P3515)=0, """", INDEX(H$2:H3514,
MAX(FILTER(ROW(H$2:H3514) - ROW(H$2) + 1, P$2:P3514 = P3515)))))"),42.5)</f>
        <v>42.5</v>
      </c>
      <c r="N3515" s="335" t="str">
        <f>IF(MAXIFS('単価履歴'!$O:$O,'単価履歴'!$E:$E,E3515,'単価履歴'!$F:$F,F3515)=O3515,"●","")</f>
        <v/>
      </c>
      <c r="O3515" s="346">
        <v>45980.78356481482</v>
      </c>
      <c r="P3515" s="334" t="str">
        <f t="shared" si="4"/>
        <v>東鐵岡山:直納ＣＰ Ａ</v>
      </c>
    </row>
    <row r="3516" ht="15.75" customHeight="1">
      <c r="A3516" s="335" t="s">
        <v>4663</v>
      </c>
      <c r="B3516" s="336">
        <v>45981.0</v>
      </c>
      <c r="C3516" s="335" t="s">
        <v>535</v>
      </c>
      <c r="D3516" s="335" t="s">
        <v>77</v>
      </c>
      <c r="E3516" s="337" t="str">
        <f t="shared" si="1"/>
        <v>東鐵名古屋:直納</v>
      </c>
      <c r="F3516" s="338" t="s">
        <v>1199</v>
      </c>
      <c r="G3516" s="339" t="str">
        <f t="shared" si="2"/>
        <v>東鐵名古屋:直納ＨＳ１(単体H1/電特A/HS))</v>
      </c>
      <c r="H3516" s="340">
        <f t="shared" si="3"/>
        <v>46.5</v>
      </c>
      <c r="I3516" s="341">
        <v>0.5</v>
      </c>
      <c r="J3516" s="332">
        <f>IFERROR(__xludf.DUMMYFUNCTION("IF(IF(COUNTIF(P$2:P3515, P3516)=0, """", INDEX(H$2:H3515,
MAX(FILTER(ROW(H$2:H3515) - ROW(H$2) + 1, P$2:P3515 = P3516))))=""単価"","""",
IF(COUNTIF(P$2:P3515, P3516)=0, """", INDEX(H$2:H3515,
MAX(FILTER(ROW(H$2:H3515) - ROW(H$2) + 1, P$2:P3515 = P3516)))))"),46.0)</f>
        <v>46</v>
      </c>
      <c r="N3516" s="335" t="str">
        <f>IF(MAXIFS('単価履歴'!$O:$O,'単価履歴'!$E:$E,E3516,'単価履歴'!$F:$F,F3516)=O3516,"●","")</f>
        <v/>
      </c>
      <c r="O3516" s="346">
        <v>45980.78381944445</v>
      </c>
      <c r="P3516" s="334" t="str">
        <f t="shared" si="4"/>
        <v>東鐵名古屋:直納ＨＳ１(単体H1/電特A/HS))</v>
      </c>
    </row>
    <row r="3517" ht="15.75" customHeight="1">
      <c r="A3517" s="335" t="s">
        <v>4664</v>
      </c>
      <c r="B3517" s="336">
        <v>45981.0</v>
      </c>
      <c r="C3517" s="335" t="s">
        <v>535</v>
      </c>
      <c r="D3517" s="335" t="s">
        <v>77</v>
      </c>
      <c r="E3517" s="337" t="str">
        <f t="shared" si="1"/>
        <v>東鐵名古屋:直納</v>
      </c>
      <c r="F3517" s="338" t="s">
        <v>111</v>
      </c>
      <c r="G3517" s="339" t="str">
        <f t="shared" si="2"/>
        <v>東鐵名古屋:直納Ｈ１(特A)</v>
      </c>
      <c r="H3517" s="340">
        <f t="shared" si="3"/>
        <v>44.7</v>
      </c>
      <c r="I3517" s="341">
        <v>0.5</v>
      </c>
      <c r="J3517" s="332">
        <f>IFERROR(__xludf.DUMMYFUNCTION("IF(IF(COUNTIF(P$2:P3516, P3517)=0, """", INDEX(H$2:H3516,
MAX(FILTER(ROW(H$2:H3516) - ROW(H$2) + 1, P$2:P3516 = P3517))))=""単価"","""",
IF(COUNTIF(P$2:P3516, P3517)=0, """", INDEX(H$2:H3516,
MAX(FILTER(ROW(H$2:H3516) - ROW(H$2) + 1, P$2:P3516 = P3517)))))"),44.2)</f>
        <v>44.2</v>
      </c>
      <c r="N3517" s="335" t="str">
        <f>IF(MAXIFS('単価履歴'!$O:$O,'単価履歴'!$E:$E,E3517,'単価履歴'!$F:$F,F3517)=O3517,"●","")</f>
        <v/>
      </c>
      <c r="O3517" s="346">
        <v>45980.78381944445</v>
      </c>
      <c r="P3517" s="334" t="str">
        <f t="shared" si="4"/>
        <v>東鐵名古屋:直納Ｈ１(特A)</v>
      </c>
    </row>
    <row r="3518" ht="15.75" customHeight="1">
      <c r="A3518" s="335" t="s">
        <v>4665</v>
      </c>
      <c r="B3518" s="336">
        <v>45981.0</v>
      </c>
      <c r="C3518" s="335" t="s">
        <v>535</v>
      </c>
      <c r="D3518" s="335" t="s">
        <v>77</v>
      </c>
      <c r="E3518" s="337" t="str">
        <f t="shared" si="1"/>
        <v>東鐵名古屋:直納</v>
      </c>
      <c r="F3518" s="338" t="s">
        <v>116</v>
      </c>
      <c r="G3518" s="339" t="str">
        <f t="shared" si="2"/>
        <v>東鐵名古屋:直納Ｈ２(特級)</v>
      </c>
      <c r="H3518" s="340">
        <f t="shared" si="3"/>
        <v>44</v>
      </c>
      <c r="I3518" s="341">
        <v>0.5</v>
      </c>
      <c r="J3518" s="332">
        <f>IFERROR(__xludf.DUMMYFUNCTION("IF(IF(COUNTIF(P$2:P3517, P3518)=0, """", INDEX(H$2:H3517,
MAX(FILTER(ROW(H$2:H3517) - ROW(H$2) + 1, P$2:P3517 = P3518))))=""単価"","""",
IF(COUNTIF(P$2:P3517, P3518)=0, """", INDEX(H$2:H3517,
MAX(FILTER(ROW(H$2:H3517) - ROW(H$2) + 1, P$2:P3517 = P3518)))))"),43.5)</f>
        <v>43.5</v>
      </c>
      <c r="N3518" s="335" t="str">
        <f>IF(MAXIFS('単価履歴'!$O:$O,'単価履歴'!$E:$E,E3518,'単価履歴'!$F:$F,F3518)=O3518,"●","")</f>
        <v/>
      </c>
      <c r="O3518" s="346">
        <v>45980.78381944445</v>
      </c>
      <c r="P3518" s="334" t="str">
        <f t="shared" si="4"/>
        <v>東鐵名古屋:直納Ｈ２(特級)</v>
      </c>
    </row>
    <row r="3519" ht="15.75" customHeight="1">
      <c r="A3519" s="335" t="s">
        <v>4666</v>
      </c>
      <c r="B3519" s="336">
        <v>45981.0</v>
      </c>
      <c r="C3519" s="335" t="s">
        <v>535</v>
      </c>
      <c r="D3519" s="335" t="s">
        <v>77</v>
      </c>
      <c r="E3519" s="337" t="str">
        <f t="shared" si="1"/>
        <v>東鐵名古屋:直納</v>
      </c>
      <c r="F3519" s="338" t="s">
        <v>119</v>
      </c>
      <c r="G3519" s="339" t="str">
        <f t="shared" si="2"/>
        <v>東鐵名古屋:直納Ｈ３(1級)</v>
      </c>
      <c r="H3519" s="340">
        <f t="shared" si="3"/>
        <v>43.5</v>
      </c>
      <c r="I3519" s="341">
        <v>0.5</v>
      </c>
      <c r="J3519" s="332">
        <f>IFERROR(__xludf.DUMMYFUNCTION("IF(IF(COUNTIF(P$2:P3518, P3519)=0, """", INDEX(H$2:H3518,
MAX(FILTER(ROW(H$2:H3518) - ROW(H$2) + 1, P$2:P3518 = P3519))))=""単価"","""",
IF(COUNTIF(P$2:P3518, P3519)=0, """", INDEX(H$2:H3518,
MAX(FILTER(ROW(H$2:H3518) - ROW(H$2) + 1, P$2:P3518 = P3519)))))"),43.0)</f>
        <v>43</v>
      </c>
      <c r="N3519" s="335" t="str">
        <f>IF(MAXIFS('単価履歴'!$O:$O,'単価履歴'!$E:$E,E3519,'単価履歴'!$F:$F,F3519)=O3519,"●","")</f>
        <v/>
      </c>
      <c r="O3519" s="346">
        <v>45980.78381944445</v>
      </c>
      <c r="P3519" s="334" t="str">
        <f t="shared" si="4"/>
        <v>東鐵名古屋:直納Ｈ３(1級)</v>
      </c>
    </row>
    <row r="3520" ht="15.75" customHeight="1">
      <c r="A3520" s="335" t="s">
        <v>4667</v>
      </c>
      <c r="B3520" s="336">
        <v>45981.0</v>
      </c>
      <c r="C3520" s="335" t="s">
        <v>535</v>
      </c>
      <c r="D3520" s="335" t="s">
        <v>77</v>
      </c>
      <c r="E3520" s="337" t="str">
        <f t="shared" si="1"/>
        <v>東鐵名古屋:直納</v>
      </c>
      <c r="F3520" s="338" t="s">
        <v>122</v>
      </c>
      <c r="G3520" s="339" t="str">
        <f t="shared" si="2"/>
        <v>東鐵名古屋:直納Ｌ１(2級)</v>
      </c>
      <c r="H3520" s="340">
        <f t="shared" si="3"/>
        <v>42</v>
      </c>
      <c r="I3520" s="341">
        <v>0.5</v>
      </c>
      <c r="J3520" s="332">
        <f>IFERROR(__xludf.DUMMYFUNCTION("IF(IF(COUNTIF(P$2:P3519, P3520)=0, """", INDEX(H$2:H3519,
MAX(FILTER(ROW(H$2:H3519) - ROW(H$2) + 1, P$2:P3519 = P3520))))=""単価"","""",
IF(COUNTIF(P$2:P3519, P3520)=0, """", INDEX(H$2:H3519,
MAX(FILTER(ROW(H$2:H3519) - ROW(H$2) + 1, P$2:P3519 = P3520)))))"),41.5)</f>
        <v>41.5</v>
      </c>
      <c r="N3520" s="335" t="str">
        <f>IF(MAXIFS('単価履歴'!$O:$O,'単価履歴'!$E:$E,E3520,'単価履歴'!$F:$F,F3520)=O3520,"●","")</f>
        <v/>
      </c>
      <c r="O3520" s="346">
        <v>45980.78381944445</v>
      </c>
      <c r="P3520" s="334" t="str">
        <f t="shared" si="4"/>
        <v>東鐵名古屋:直納Ｌ１(2級)</v>
      </c>
    </row>
    <row r="3521" ht="15.75" customHeight="1">
      <c r="A3521" s="335" t="s">
        <v>4668</v>
      </c>
      <c r="B3521" s="336">
        <v>45981.0</v>
      </c>
      <c r="C3521" s="335" t="s">
        <v>535</v>
      </c>
      <c r="D3521" s="335" t="s">
        <v>77</v>
      </c>
      <c r="E3521" s="337" t="str">
        <f t="shared" si="1"/>
        <v>東鐵名古屋:直納</v>
      </c>
      <c r="F3521" s="338" t="s">
        <v>573</v>
      </c>
      <c r="G3521" s="339" t="str">
        <f t="shared" si="2"/>
        <v>東鐵名古屋:直納Ｌ２(H4･級外･L1ﾊﾞﾗ)</v>
      </c>
      <c r="H3521" s="340">
        <f t="shared" si="3"/>
        <v>39</v>
      </c>
      <c r="I3521" s="341">
        <v>0.5</v>
      </c>
      <c r="J3521" s="332">
        <f>IFERROR(__xludf.DUMMYFUNCTION("IF(IF(COUNTIF(P$2:P3520, P3521)=0, """", INDEX(H$2:H3520,
MAX(FILTER(ROW(H$2:H3520) - ROW(H$2) + 1, P$2:P3520 = P3521))))=""単価"","""",
IF(COUNTIF(P$2:P3520, P3521)=0, """", INDEX(H$2:H3520,
MAX(FILTER(ROW(H$2:H3520) - ROW(H$2) + 1, P$2:P3520 = P3521)))))"),38.5)</f>
        <v>38.5</v>
      </c>
      <c r="N3521" s="335" t="str">
        <f>IF(MAXIFS('単価履歴'!$O:$O,'単価履歴'!$E:$E,E3521,'単価履歴'!$F:$F,F3521)=O3521,"●","")</f>
        <v/>
      </c>
      <c r="O3521" s="346">
        <v>45980.78381944445</v>
      </c>
      <c r="P3521" s="334" t="str">
        <f t="shared" si="4"/>
        <v>東鐵名古屋:直納Ｌ２(H4･級外･L1ﾊﾞﾗ)</v>
      </c>
    </row>
    <row r="3522" ht="15.75" customHeight="1">
      <c r="A3522" s="335" t="s">
        <v>4669</v>
      </c>
      <c r="B3522" s="336">
        <v>45981.0</v>
      </c>
      <c r="C3522" s="335" t="s">
        <v>535</v>
      </c>
      <c r="D3522" s="335" t="s">
        <v>77</v>
      </c>
      <c r="E3522" s="337" t="str">
        <f t="shared" si="1"/>
        <v>東鐵名古屋:直納</v>
      </c>
      <c r="F3522" s="338" t="s">
        <v>145</v>
      </c>
      <c r="G3522" s="339" t="str">
        <f t="shared" si="2"/>
        <v>東鐵名古屋:直納シュレＡ</v>
      </c>
      <c r="H3522" s="340">
        <f t="shared" si="3"/>
        <v>45</v>
      </c>
      <c r="I3522" s="341">
        <v>0.5</v>
      </c>
      <c r="J3522" s="332">
        <f>IFERROR(__xludf.DUMMYFUNCTION("IF(IF(COUNTIF(P$2:P3521, P3522)=0, """", INDEX(H$2:H3521,
MAX(FILTER(ROW(H$2:H3521) - ROW(H$2) + 1, P$2:P3521 = P3522))))=""単価"","""",
IF(COUNTIF(P$2:P3521, P3522)=0, """", INDEX(H$2:H3521,
MAX(FILTER(ROW(H$2:H3521) - ROW(H$2) + 1, P$2:P3521 = P3522)))))"),44.5)</f>
        <v>44.5</v>
      </c>
      <c r="N3522" s="335" t="str">
        <f>IF(MAXIFS('単価履歴'!$O:$O,'単価履歴'!$E:$E,E3522,'単価履歴'!$F:$F,F3522)=O3522,"●","")</f>
        <v/>
      </c>
      <c r="O3522" s="346">
        <v>45980.78381944445</v>
      </c>
      <c r="P3522" s="334" t="str">
        <f t="shared" si="4"/>
        <v>東鐵名古屋:直納シュレＡ</v>
      </c>
    </row>
    <row r="3523" ht="15.75" customHeight="1">
      <c r="A3523" s="335" t="s">
        <v>4670</v>
      </c>
      <c r="B3523" s="336">
        <v>45981.0</v>
      </c>
      <c r="C3523" s="335" t="s">
        <v>535</v>
      </c>
      <c r="D3523" s="335" t="s">
        <v>77</v>
      </c>
      <c r="E3523" s="337" t="str">
        <f t="shared" si="1"/>
        <v>東鐵名古屋:直納</v>
      </c>
      <c r="F3523" s="338" t="s">
        <v>151</v>
      </c>
      <c r="G3523" s="339" t="str">
        <f t="shared" si="2"/>
        <v>東鐵名古屋:直納シュレＣ</v>
      </c>
      <c r="H3523" s="340">
        <f t="shared" si="3"/>
        <v>44.5</v>
      </c>
      <c r="I3523" s="341">
        <v>0.5</v>
      </c>
      <c r="J3523" s="332">
        <f>IFERROR(__xludf.DUMMYFUNCTION("IF(IF(COUNTIF(P$2:P3522, P3523)=0, """", INDEX(H$2:H3522,
MAX(FILTER(ROW(H$2:H3522) - ROW(H$2) + 1, P$2:P3522 = P3523))))=""単価"","""",
IF(COUNTIF(P$2:P3522, P3523)=0, """", INDEX(H$2:H3522,
MAX(FILTER(ROW(H$2:H3522) - ROW(H$2) + 1, P$2:P3522 = P3523)))))"),44.0)</f>
        <v>44</v>
      </c>
      <c r="N3523" s="335" t="str">
        <f>IF(MAXIFS('単価履歴'!$O:$O,'単価履歴'!$E:$E,E3523,'単価履歴'!$F:$F,F3523)=O3523,"●","")</f>
        <v/>
      </c>
      <c r="O3523" s="346">
        <v>45980.78381944445</v>
      </c>
      <c r="P3523" s="334" t="str">
        <f t="shared" si="4"/>
        <v>東鐵名古屋:直納シュレＣ</v>
      </c>
    </row>
    <row r="3524" ht="15.75" customHeight="1">
      <c r="A3524" s="335" t="s">
        <v>4671</v>
      </c>
      <c r="B3524" s="336">
        <v>45981.0</v>
      </c>
      <c r="C3524" s="335" t="s">
        <v>536</v>
      </c>
      <c r="D3524" s="335" t="s">
        <v>77</v>
      </c>
      <c r="E3524" s="337" t="str">
        <f t="shared" si="1"/>
        <v>東鐵田原:直納</v>
      </c>
      <c r="F3524" s="338" t="s">
        <v>1199</v>
      </c>
      <c r="G3524" s="339" t="str">
        <f t="shared" si="2"/>
        <v>東鐵田原:直納ＨＳ１(単体H1/電特A/HS))</v>
      </c>
      <c r="H3524" s="340">
        <f t="shared" si="3"/>
        <v>47</v>
      </c>
      <c r="I3524" s="341">
        <v>0.5</v>
      </c>
      <c r="J3524" s="332">
        <f>IFERROR(__xludf.DUMMYFUNCTION("IF(IF(COUNTIF(P$2:P3523, P3524)=0, """", INDEX(H$2:H3523,
MAX(FILTER(ROW(H$2:H3523) - ROW(H$2) + 1, P$2:P3523 = P3524))))=""単価"","""",
IF(COUNTIF(P$2:P3523, P3524)=0, """", INDEX(H$2:H3523,
MAX(FILTER(ROW(H$2:H3523) - ROW(H$2) + 1, P$2:P3523 = P3524)))))"),46.5)</f>
        <v>46.5</v>
      </c>
      <c r="N3524" s="335" t="str">
        <f>IF(MAXIFS('単価履歴'!$O:$O,'単価履歴'!$E:$E,E3524,'単価履歴'!$F:$F,F3524)=O3524,"●","")</f>
        <v/>
      </c>
      <c r="O3524" s="346">
        <v>45980.784039351856</v>
      </c>
      <c r="P3524" s="334" t="str">
        <f t="shared" si="4"/>
        <v>東鐵田原:直納ＨＳ１(単体H1/電特A/HS))</v>
      </c>
    </row>
    <row r="3525" ht="15.75" customHeight="1">
      <c r="A3525" s="335" t="s">
        <v>4672</v>
      </c>
      <c r="B3525" s="336">
        <v>45981.0</v>
      </c>
      <c r="C3525" s="335" t="s">
        <v>536</v>
      </c>
      <c r="D3525" s="335" t="s">
        <v>77</v>
      </c>
      <c r="E3525" s="337" t="str">
        <f t="shared" si="1"/>
        <v>東鐵田原:直納</v>
      </c>
      <c r="F3525" s="338" t="s">
        <v>111</v>
      </c>
      <c r="G3525" s="339" t="str">
        <f t="shared" si="2"/>
        <v>東鐵田原:直納Ｈ１(特A)</v>
      </c>
      <c r="H3525" s="340">
        <f t="shared" si="3"/>
        <v>46.2</v>
      </c>
      <c r="I3525" s="341">
        <v>0.5</v>
      </c>
      <c r="J3525" s="332">
        <f>IFERROR(__xludf.DUMMYFUNCTION("IF(IF(COUNTIF(P$2:P3524, P3525)=0, """", INDEX(H$2:H3524,
MAX(FILTER(ROW(H$2:H3524) - ROW(H$2) + 1, P$2:P3524 = P3525))))=""単価"","""",
IF(COUNTIF(P$2:P3524, P3525)=0, """", INDEX(H$2:H3524,
MAX(FILTER(ROW(H$2:H3524) - ROW(H$2) + 1, P$2:P3524 = P3525)))))"),45.7)</f>
        <v>45.7</v>
      </c>
      <c r="N3525" s="335" t="str">
        <f>IF(MAXIFS('単価履歴'!$O:$O,'単価履歴'!$E:$E,E3525,'単価履歴'!$F:$F,F3525)=O3525,"●","")</f>
        <v/>
      </c>
      <c r="O3525" s="346">
        <v>45980.784039351856</v>
      </c>
      <c r="P3525" s="334" t="str">
        <f t="shared" si="4"/>
        <v>東鐵田原:直納Ｈ１(特A)</v>
      </c>
    </row>
    <row r="3526" ht="15.75" customHeight="1">
      <c r="A3526" s="335" t="s">
        <v>4673</v>
      </c>
      <c r="B3526" s="336">
        <v>45981.0</v>
      </c>
      <c r="C3526" s="335" t="s">
        <v>536</v>
      </c>
      <c r="D3526" s="335" t="s">
        <v>77</v>
      </c>
      <c r="E3526" s="337" t="str">
        <f t="shared" si="1"/>
        <v>東鐵田原:直納</v>
      </c>
      <c r="F3526" s="338" t="s">
        <v>116</v>
      </c>
      <c r="G3526" s="339" t="str">
        <f t="shared" si="2"/>
        <v>東鐵田原:直納Ｈ２(特級)</v>
      </c>
      <c r="H3526" s="340">
        <f t="shared" si="3"/>
        <v>44.5</v>
      </c>
      <c r="I3526" s="341">
        <v>0.5</v>
      </c>
      <c r="J3526" s="332">
        <f>IFERROR(__xludf.DUMMYFUNCTION("IF(IF(COUNTIF(P$2:P3525, P3526)=0, """", INDEX(H$2:H3525,
MAX(FILTER(ROW(H$2:H3525) - ROW(H$2) + 1, P$2:P3525 = P3526))))=""単価"","""",
IF(COUNTIF(P$2:P3525, P3526)=0, """", INDEX(H$2:H3525,
MAX(FILTER(ROW(H$2:H3525) - ROW(H$2) + 1, P$2:P3525 = P3526)))))"),44.0)</f>
        <v>44</v>
      </c>
      <c r="N3526" s="335" t="str">
        <f>IF(MAXIFS('単価履歴'!$O:$O,'単価履歴'!$E:$E,E3526,'単価履歴'!$F:$F,F3526)=O3526,"●","")</f>
        <v/>
      </c>
      <c r="O3526" s="346">
        <v>45980.784039351856</v>
      </c>
      <c r="P3526" s="334" t="str">
        <f t="shared" si="4"/>
        <v>東鐵田原:直納Ｈ２(特級)</v>
      </c>
    </row>
    <row r="3527" ht="15.75" customHeight="1">
      <c r="A3527" s="335" t="s">
        <v>4674</v>
      </c>
      <c r="B3527" s="336">
        <v>45981.0</v>
      </c>
      <c r="C3527" s="335" t="s">
        <v>536</v>
      </c>
      <c r="D3527" s="335" t="s">
        <v>77</v>
      </c>
      <c r="E3527" s="337" t="str">
        <f t="shared" si="1"/>
        <v>東鐵田原:直納</v>
      </c>
      <c r="F3527" s="338" t="s">
        <v>119</v>
      </c>
      <c r="G3527" s="339" t="str">
        <f t="shared" si="2"/>
        <v>東鐵田原:直納Ｈ３(1級)</v>
      </c>
      <c r="H3527" s="340">
        <f t="shared" si="3"/>
        <v>44</v>
      </c>
      <c r="I3527" s="341">
        <v>0.5</v>
      </c>
      <c r="J3527" s="332">
        <f>IFERROR(__xludf.DUMMYFUNCTION("IF(IF(COUNTIF(P$2:P3526, P3527)=0, """", INDEX(H$2:H3526,
MAX(FILTER(ROW(H$2:H3526) - ROW(H$2) + 1, P$2:P3526 = P3527))))=""単価"","""",
IF(COUNTIF(P$2:P3526, P3527)=0, """", INDEX(H$2:H3526,
MAX(FILTER(ROW(H$2:H3526) - ROW(H$2) + 1, P$2:P3526 = P3527)))))"),43.5)</f>
        <v>43.5</v>
      </c>
      <c r="N3527" s="335" t="str">
        <f>IF(MAXIFS('単価履歴'!$O:$O,'単価履歴'!$E:$E,E3527,'単価履歴'!$F:$F,F3527)=O3527,"●","")</f>
        <v/>
      </c>
      <c r="O3527" s="346">
        <v>45980.784039351856</v>
      </c>
      <c r="P3527" s="334" t="str">
        <f t="shared" si="4"/>
        <v>東鐵田原:直納Ｈ３(1級)</v>
      </c>
    </row>
    <row r="3528" ht="15.75" customHeight="1">
      <c r="A3528" s="335" t="s">
        <v>4675</v>
      </c>
      <c r="B3528" s="336">
        <v>45981.0</v>
      </c>
      <c r="C3528" s="335" t="s">
        <v>536</v>
      </c>
      <c r="D3528" s="335" t="s">
        <v>77</v>
      </c>
      <c r="E3528" s="337" t="str">
        <f t="shared" si="1"/>
        <v>東鐵田原:直納</v>
      </c>
      <c r="F3528" s="338" t="s">
        <v>122</v>
      </c>
      <c r="G3528" s="339" t="str">
        <f t="shared" si="2"/>
        <v>東鐵田原:直納Ｌ１(2級)</v>
      </c>
      <c r="H3528" s="340">
        <f t="shared" si="3"/>
        <v>42.5</v>
      </c>
      <c r="I3528" s="341">
        <v>0.5</v>
      </c>
      <c r="J3528" s="332">
        <f>IFERROR(__xludf.DUMMYFUNCTION("IF(IF(COUNTIF(P$2:P3527, P3528)=0, """", INDEX(H$2:H3527,
MAX(FILTER(ROW(H$2:H3527) - ROW(H$2) + 1, P$2:P3527 = P3528))))=""単価"","""",
IF(COUNTIF(P$2:P3527, P3528)=0, """", INDEX(H$2:H3527,
MAX(FILTER(ROW(H$2:H3527) - ROW(H$2) + 1, P$2:P3527 = P3528)))))"),42.0)</f>
        <v>42</v>
      </c>
      <c r="N3528" s="335" t="str">
        <f>IF(MAXIFS('単価履歴'!$O:$O,'単価履歴'!$E:$E,E3528,'単価履歴'!$F:$F,F3528)=O3528,"●","")</f>
        <v/>
      </c>
      <c r="O3528" s="346">
        <v>45980.784039351856</v>
      </c>
      <c r="P3528" s="334" t="str">
        <f t="shared" si="4"/>
        <v>東鐵田原:直納Ｌ１(2級)</v>
      </c>
    </row>
    <row r="3529" ht="15.75" customHeight="1">
      <c r="A3529" s="335" t="s">
        <v>4676</v>
      </c>
      <c r="B3529" s="336">
        <v>45981.0</v>
      </c>
      <c r="C3529" s="335" t="s">
        <v>536</v>
      </c>
      <c r="D3529" s="335" t="s">
        <v>77</v>
      </c>
      <c r="E3529" s="337" t="str">
        <f t="shared" si="1"/>
        <v>東鐵田原:直納</v>
      </c>
      <c r="F3529" s="338" t="s">
        <v>573</v>
      </c>
      <c r="G3529" s="339" t="str">
        <f t="shared" si="2"/>
        <v>東鐵田原:直納Ｌ２(H4･級外･L1ﾊﾞﾗ)</v>
      </c>
      <c r="H3529" s="340">
        <f t="shared" si="3"/>
        <v>39.5</v>
      </c>
      <c r="I3529" s="341">
        <v>0.5</v>
      </c>
      <c r="J3529" s="332">
        <f>IFERROR(__xludf.DUMMYFUNCTION("IF(IF(COUNTIF(P$2:P3528, P3529)=0, """", INDEX(H$2:H3528,
MAX(FILTER(ROW(H$2:H3528) - ROW(H$2) + 1, P$2:P3528 = P3529))))=""単価"","""",
IF(COUNTIF(P$2:P3528, P3529)=0, """", INDEX(H$2:H3528,
MAX(FILTER(ROW(H$2:H3528) - ROW(H$2) + 1, P$2:P3528 = P3529)))))"),39.0)</f>
        <v>39</v>
      </c>
      <c r="N3529" s="335" t="str">
        <f>IF(MAXIFS('単価履歴'!$O:$O,'単価履歴'!$E:$E,E3529,'単価履歴'!$F:$F,F3529)=O3529,"●","")</f>
        <v/>
      </c>
      <c r="O3529" s="346">
        <v>45980.784039351856</v>
      </c>
      <c r="P3529" s="334" t="str">
        <f t="shared" si="4"/>
        <v>東鐵田原:直納Ｌ２(H4･級外･L1ﾊﾞﾗ)</v>
      </c>
    </row>
    <row r="3530" ht="15.75" customHeight="1">
      <c r="A3530" s="335" t="s">
        <v>4677</v>
      </c>
      <c r="B3530" s="336">
        <v>45981.0</v>
      </c>
      <c r="C3530" s="335" t="s">
        <v>536</v>
      </c>
      <c r="D3530" s="335" t="s">
        <v>77</v>
      </c>
      <c r="E3530" s="337" t="str">
        <f t="shared" si="1"/>
        <v>東鐵田原:直納</v>
      </c>
      <c r="F3530" s="338" t="s">
        <v>130</v>
      </c>
      <c r="G3530" s="339" t="str">
        <f t="shared" si="2"/>
        <v>東鐵田原:直納新断Ａ</v>
      </c>
      <c r="H3530" s="340">
        <f t="shared" si="3"/>
        <v>46.5</v>
      </c>
      <c r="I3530" s="341">
        <v>0.5</v>
      </c>
      <c r="J3530" s="332">
        <f>IFERROR(__xludf.DUMMYFUNCTION("IF(IF(COUNTIF(P$2:P3529, P3530)=0, """", INDEX(H$2:H3529,
MAX(FILTER(ROW(H$2:H3529) - ROW(H$2) + 1, P$2:P3529 = P3530))))=""単価"","""",
IF(COUNTIF(P$2:P3529, P3530)=0, """", INDEX(H$2:H3529,
MAX(FILTER(ROW(H$2:H3529) - ROW(H$2) + 1, P$2:P3529 = P3530)))))"),46.0)</f>
        <v>46</v>
      </c>
      <c r="N3530" s="335" t="str">
        <f>IF(MAXIFS('単価履歴'!$O:$O,'単価履歴'!$E:$E,E3530,'単価履歴'!$F:$F,F3530)=O3530,"●","")</f>
        <v/>
      </c>
      <c r="O3530" s="346">
        <v>45980.784039351856</v>
      </c>
      <c r="P3530" s="334" t="str">
        <f t="shared" si="4"/>
        <v>東鐵田原:直納新断Ａ</v>
      </c>
    </row>
    <row r="3531" ht="15.75" customHeight="1">
      <c r="A3531" s="335" t="s">
        <v>4678</v>
      </c>
      <c r="B3531" s="336">
        <v>45981.0</v>
      </c>
      <c r="C3531" s="335" t="s">
        <v>536</v>
      </c>
      <c r="D3531" s="335" t="s">
        <v>77</v>
      </c>
      <c r="E3531" s="337" t="str">
        <f t="shared" si="1"/>
        <v>東鐵田原:直納</v>
      </c>
      <c r="F3531" s="338" t="s">
        <v>131</v>
      </c>
      <c r="G3531" s="339" t="str">
        <f t="shared" si="2"/>
        <v>東鐵田原:直納新断Ｂ</v>
      </c>
      <c r="H3531" s="340">
        <f t="shared" si="3"/>
        <v>46.5</v>
      </c>
      <c r="I3531" s="341">
        <v>0.5</v>
      </c>
      <c r="J3531" s="332">
        <f>IFERROR(__xludf.DUMMYFUNCTION("IF(IF(COUNTIF(P$2:P3530, P3531)=0, """", INDEX(H$2:H3530,
MAX(FILTER(ROW(H$2:H3530) - ROW(H$2) + 1, P$2:P3530 = P3531))))=""単価"","""",
IF(COUNTIF(P$2:P3530, P3531)=0, """", INDEX(H$2:H3530,
MAX(FILTER(ROW(H$2:H3530) - ROW(H$2) + 1, P$2:P3530 = P3531)))))"),46.0)</f>
        <v>46</v>
      </c>
      <c r="N3531" s="335" t="str">
        <f>IF(MAXIFS('単価履歴'!$O:$O,'単価履歴'!$E:$E,E3531,'単価履歴'!$F:$F,F3531)=O3531,"●","")</f>
        <v/>
      </c>
      <c r="O3531" s="346">
        <v>45980.784039351856</v>
      </c>
      <c r="P3531" s="334" t="str">
        <f t="shared" si="4"/>
        <v>東鐵田原:直納新断Ｂ</v>
      </c>
    </row>
    <row r="3532" ht="15.75" customHeight="1">
      <c r="A3532" s="335" t="s">
        <v>4679</v>
      </c>
      <c r="B3532" s="336">
        <v>45981.0</v>
      </c>
      <c r="C3532" s="335" t="s">
        <v>536</v>
      </c>
      <c r="D3532" s="335" t="s">
        <v>77</v>
      </c>
      <c r="E3532" s="337" t="str">
        <f t="shared" si="1"/>
        <v>東鐵田原:直納</v>
      </c>
      <c r="F3532" s="338" t="s">
        <v>575</v>
      </c>
      <c r="G3532" s="339" t="str">
        <f t="shared" si="2"/>
        <v>東鐵田原:直納鋼ダライＡ</v>
      </c>
      <c r="H3532" s="340">
        <f t="shared" si="3"/>
        <v>43</v>
      </c>
      <c r="I3532" s="341">
        <v>0.5</v>
      </c>
      <c r="J3532" s="332">
        <f>IFERROR(__xludf.DUMMYFUNCTION("IF(IF(COUNTIF(P$2:P3531, P3532)=0, """", INDEX(H$2:H3531,
MAX(FILTER(ROW(H$2:H3531) - ROW(H$2) + 1, P$2:P3531 = P3532))))=""単価"","""",
IF(COUNTIF(P$2:P3531, P3532)=0, """", INDEX(H$2:H3531,
MAX(FILTER(ROW(H$2:H3531) - ROW(H$2) + 1, P$2:P3531 = P3532)))))"),42.5)</f>
        <v>42.5</v>
      </c>
      <c r="N3532" s="335" t="str">
        <f>IF(MAXIFS('単価履歴'!$O:$O,'単価履歴'!$E:$E,E3532,'単価履歴'!$F:$F,F3532)=O3532,"●","")</f>
        <v/>
      </c>
      <c r="O3532" s="346">
        <v>45980.784039351856</v>
      </c>
      <c r="P3532" s="334" t="str">
        <f t="shared" si="4"/>
        <v>東鐵田原:直納鋼ダライＡ</v>
      </c>
    </row>
    <row r="3533" ht="15.75" customHeight="1">
      <c r="A3533" s="335" t="s">
        <v>4680</v>
      </c>
      <c r="B3533" s="336">
        <v>45981.0</v>
      </c>
      <c r="C3533" s="335" t="s">
        <v>536</v>
      </c>
      <c r="D3533" s="335" t="s">
        <v>77</v>
      </c>
      <c r="E3533" s="337" t="str">
        <f t="shared" si="1"/>
        <v>東鐵田原:直納</v>
      </c>
      <c r="F3533" s="338" t="s">
        <v>145</v>
      </c>
      <c r="G3533" s="339" t="str">
        <f t="shared" si="2"/>
        <v>東鐵田原:直納シュレＡ</v>
      </c>
      <c r="H3533" s="340">
        <f t="shared" si="3"/>
        <v>45.5</v>
      </c>
      <c r="I3533" s="341">
        <v>0.5</v>
      </c>
      <c r="J3533" s="332">
        <f>IFERROR(__xludf.DUMMYFUNCTION("IF(IF(COUNTIF(P$2:P3532, P3533)=0, """", INDEX(H$2:H3532,
MAX(FILTER(ROW(H$2:H3532) - ROW(H$2) + 1, P$2:P3532 = P3533))))=""単価"","""",
IF(COUNTIF(P$2:P3532, P3533)=0, """", INDEX(H$2:H3532,
MAX(FILTER(ROW(H$2:H3532) - ROW(H$2) + 1, P$2:P3532 = P3533)))))"),45.0)</f>
        <v>45</v>
      </c>
      <c r="N3533" s="335" t="str">
        <f>IF(MAXIFS('単価履歴'!$O:$O,'単価履歴'!$E:$E,E3533,'単価履歴'!$F:$F,F3533)=O3533,"●","")</f>
        <v/>
      </c>
      <c r="O3533" s="346">
        <v>45980.784039351856</v>
      </c>
      <c r="P3533" s="334" t="str">
        <f t="shared" si="4"/>
        <v>東鐵田原:直納シュレＡ</v>
      </c>
    </row>
    <row r="3534" ht="15.75" customHeight="1">
      <c r="A3534" s="335" t="s">
        <v>4681</v>
      </c>
      <c r="B3534" s="336">
        <v>45981.0</v>
      </c>
      <c r="C3534" s="335" t="s">
        <v>536</v>
      </c>
      <c r="D3534" s="335" t="s">
        <v>77</v>
      </c>
      <c r="E3534" s="337" t="str">
        <f t="shared" si="1"/>
        <v>東鐵田原:直納</v>
      </c>
      <c r="F3534" s="338" t="s">
        <v>151</v>
      </c>
      <c r="G3534" s="339" t="str">
        <f t="shared" si="2"/>
        <v>東鐵田原:直納シュレＣ</v>
      </c>
      <c r="H3534" s="340">
        <f t="shared" si="3"/>
        <v>45</v>
      </c>
      <c r="I3534" s="341">
        <v>0.5</v>
      </c>
      <c r="J3534" s="332">
        <f>IFERROR(__xludf.DUMMYFUNCTION("IF(IF(COUNTIF(P$2:P3533, P3534)=0, """", INDEX(H$2:H3533,
MAX(FILTER(ROW(H$2:H3533) - ROW(H$2) + 1, P$2:P3533 = P3534))))=""単価"","""",
IF(COUNTIF(P$2:P3533, P3534)=0, """", INDEX(H$2:H3533,
MAX(FILTER(ROW(H$2:H3533) - ROW(H$2) + 1, P$2:P3533 = P3534)))))"),44.5)</f>
        <v>44.5</v>
      </c>
      <c r="N3534" s="335" t="str">
        <f>IF(MAXIFS('単価履歴'!$O:$O,'単価履歴'!$E:$E,E3534,'単価履歴'!$F:$F,F3534)=O3534,"●","")</f>
        <v/>
      </c>
      <c r="O3534" s="346">
        <v>45980.784039351856</v>
      </c>
      <c r="P3534" s="334" t="str">
        <f t="shared" si="4"/>
        <v>東鐵田原:直納シュレＣ</v>
      </c>
    </row>
    <row r="3535" ht="15.75" customHeight="1">
      <c r="A3535" s="335" t="s">
        <v>4682</v>
      </c>
      <c r="B3535" s="336">
        <v>45981.0</v>
      </c>
      <c r="C3535" s="335" t="s">
        <v>536</v>
      </c>
      <c r="D3535" s="335" t="s">
        <v>77</v>
      </c>
      <c r="E3535" s="337" t="str">
        <f t="shared" si="1"/>
        <v>東鐵田原:直納</v>
      </c>
      <c r="F3535" s="338" t="s">
        <v>154</v>
      </c>
      <c r="G3535" s="339" t="str">
        <f t="shared" si="2"/>
        <v>東鐵田原:直納ＣＰ Ａ</v>
      </c>
      <c r="H3535" s="340">
        <f t="shared" si="3"/>
        <v>43</v>
      </c>
      <c r="I3535" s="341">
        <v>0.5</v>
      </c>
      <c r="J3535" s="332">
        <f>IFERROR(__xludf.DUMMYFUNCTION("IF(IF(COUNTIF(P$2:P3534, P3535)=0, """", INDEX(H$2:H3534,
MAX(FILTER(ROW(H$2:H3534) - ROW(H$2) + 1, P$2:P3534 = P3535))))=""単価"","""",
IF(COUNTIF(P$2:P3534, P3535)=0, """", INDEX(H$2:H3534,
MAX(FILTER(ROW(H$2:H3534) - ROW(H$2) + 1, P$2:P3534 = P3535)))))"),42.5)</f>
        <v>42.5</v>
      </c>
      <c r="N3535" s="335" t="str">
        <f>IF(MAXIFS('単価履歴'!$O:$O,'単価履歴'!$E:$E,E3535,'単価履歴'!$F:$F,F3535)=O3535,"●","")</f>
        <v/>
      </c>
      <c r="O3535" s="346">
        <v>45980.784039351856</v>
      </c>
      <c r="P3535" s="334" t="str">
        <f t="shared" si="4"/>
        <v>東鐵田原:直納ＣＰ Ａ</v>
      </c>
    </row>
    <row r="3536" ht="15.75" customHeight="1">
      <c r="A3536" s="335" t="s">
        <v>4683</v>
      </c>
      <c r="B3536" s="336">
        <v>45981.0</v>
      </c>
      <c r="C3536" s="335" t="s">
        <v>5</v>
      </c>
      <c r="D3536" s="335" t="s">
        <v>47</v>
      </c>
      <c r="E3536" s="337" t="str">
        <f t="shared" si="1"/>
        <v>中山製鋼:豊通</v>
      </c>
      <c r="F3536" s="338" t="s">
        <v>1199</v>
      </c>
      <c r="G3536" s="339" t="str">
        <f t="shared" si="2"/>
        <v>中山製鋼:豊通ＨＳ１(単体H1/電特A/HS))</v>
      </c>
      <c r="H3536" s="340">
        <f t="shared" si="3"/>
        <v>47.3</v>
      </c>
      <c r="I3536" s="341">
        <v>4.5</v>
      </c>
      <c r="J3536" s="332">
        <f>IFERROR(__xludf.DUMMYFUNCTION("IF(IF(COUNTIF(P$2:P3535, P3536)=0, """", INDEX(H$2:H3535,
MAX(FILTER(ROW(H$2:H3535) - ROW(H$2) + 1, P$2:P3535 = P3536))))=""単価"","""",
IF(COUNTIF(P$2:P3535, P3536)=0, """", INDEX(H$2:H3535,
MAX(FILTER(ROW(H$2:H3535) - ROW(H$2) + 1, P$2:P3535 = P3536)))))"),42.8)</f>
        <v>42.8</v>
      </c>
      <c r="N3536" s="335" t="str">
        <f>IF(MAXIFS('単価履歴'!$O:$O,'単価履歴'!$E:$E,E3536,'単価履歴'!$F:$F,F3536)=O3536,"●","")</f>
        <v/>
      </c>
      <c r="O3536" s="346">
        <v>45980.78465277777</v>
      </c>
      <c r="P3536" s="334" t="str">
        <f t="shared" si="4"/>
        <v>中山製鋼:豊通ＨＳ１(単体H1/電特A/HS))</v>
      </c>
    </row>
    <row r="3537" ht="15.75" customHeight="1">
      <c r="A3537" s="335" t="s">
        <v>4684</v>
      </c>
      <c r="B3537" s="336">
        <v>45981.0</v>
      </c>
      <c r="C3537" s="335" t="s">
        <v>12</v>
      </c>
      <c r="D3537" s="335" t="s">
        <v>50</v>
      </c>
      <c r="E3537" s="337" t="str">
        <f t="shared" si="1"/>
        <v>山陽特殊:産振</v>
      </c>
      <c r="F3537" s="338" t="s">
        <v>1199</v>
      </c>
      <c r="G3537" s="339" t="str">
        <f t="shared" si="2"/>
        <v>山陽特殊:産振ＨＳ１(単体H1/電特A/HS))</v>
      </c>
      <c r="H3537" s="340">
        <f t="shared" si="3"/>
        <v>47.1</v>
      </c>
      <c r="I3537" s="341">
        <v>0.5</v>
      </c>
      <c r="J3537" s="332">
        <f>IFERROR(__xludf.DUMMYFUNCTION("IF(IF(COUNTIF(P$2:P3536, P3537)=0, """", INDEX(H$2:H3536,
MAX(FILTER(ROW(H$2:H3536) - ROW(H$2) + 1, P$2:P3536 = P3537))))=""単価"","""",
IF(COUNTIF(P$2:P3536, P3537)=0, """", INDEX(H$2:H3536,
MAX(FILTER(ROW(H$2:H3536) - ROW(H$2) + 1, P$2:P3536 = P3537)))))"),46.6)</f>
        <v>46.6</v>
      </c>
      <c r="N3537" s="335" t="str">
        <f>IF(MAXIFS('単価履歴'!$O:$O,'単価履歴'!$E:$E,E3537,'単価履歴'!$F:$F,F3537)=O3537,"●","")</f>
        <v/>
      </c>
      <c r="O3537" s="346">
        <v>45980.78564814814</v>
      </c>
      <c r="P3537" s="334" t="str">
        <f t="shared" si="4"/>
        <v>山陽特殊:産振ＨＳ１(単体H1/電特A/HS))</v>
      </c>
    </row>
    <row r="3538" ht="15.75" customHeight="1">
      <c r="A3538" s="335" t="s">
        <v>4685</v>
      </c>
      <c r="B3538" s="336">
        <v>45981.0</v>
      </c>
      <c r="C3538" s="335" t="s">
        <v>12</v>
      </c>
      <c r="D3538" s="335" t="s">
        <v>50</v>
      </c>
      <c r="E3538" s="337" t="str">
        <f t="shared" si="1"/>
        <v>山陽特殊:産振</v>
      </c>
      <c r="F3538" s="338" t="s">
        <v>101</v>
      </c>
      <c r="G3538" s="339" t="str">
        <f t="shared" si="2"/>
        <v>山陽特殊:産振ＨＳ２</v>
      </c>
      <c r="H3538" s="340">
        <f t="shared" si="3"/>
        <v>46.9</v>
      </c>
      <c r="I3538" s="341">
        <v>0.5</v>
      </c>
      <c r="J3538" s="332">
        <f>IFERROR(__xludf.DUMMYFUNCTION("IF(IF(COUNTIF(P$2:P3537, P3538)=0, """", INDEX(H$2:H3537,
MAX(FILTER(ROW(H$2:H3537) - ROW(H$2) + 1, P$2:P3537 = P3538))))=""単価"","""",
IF(COUNTIF(P$2:P3537, P3538)=0, """", INDEX(H$2:H3537,
MAX(FILTER(ROW(H$2:H3537) - ROW(H$2) + 1, P$2:P3537 = P3538)))))"),46.4)</f>
        <v>46.4</v>
      </c>
      <c r="N3538" s="335" t="str">
        <f>IF(MAXIFS('単価履歴'!$O:$O,'単価履歴'!$E:$E,E3538,'単価履歴'!$F:$F,F3538)=O3538,"●","")</f>
        <v/>
      </c>
      <c r="O3538" s="346">
        <v>45980.78564814814</v>
      </c>
      <c r="P3538" s="334" t="str">
        <f t="shared" si="4"/>
        <v>山陽特殊:産振ＨＳ２</v>
      </c>
    </row>
    <row r="3539" ht="15.75" customHeight="1">
      <c r="A3539" s="335" t="s">
        <v>4686</v>
      </c>
      <c r="B3539" s="336">
        <v>45981.0</v>
      </c>
      <c r="C3539" s="335" t="s">
        <v>12</v>
      </c>
      <c r="D3539" s="335" t="s">
        <v>50</v>
      </c>
      <c r="E3539" s="337" t="str">
        <f t="shared" si="1"/>
        <v>山陽特殊:産振</v>
      </c>
      <c r="F3539" s="338" t="s">
        <v>105</v>
      </c>
      <c r="G3539" s="339" t="str">
        <f t="shared" si="2"/>
        <v>山陽特殊:産振ＨＳ３</v>
      </c>
      <c r="H3539" s="340">
        <f t="shared" si="3"/>
        <v>44.9</v>
      </c>
      <c r="I3539" s="341">
        <v>0.5</v>
      </c>
      <c r="J3539" s="332">
        <f>IFERROR(__xludf.DUMMYFUNCTION("IF(IF(COUNTIF(P$2:P3538, P3539)=0, """", INDEX(H$2:H3538,
MAX(FILTER(ROW(H$2:H3538) - ROW(H$2) + 1, P$2:P3538 = P3539))))=""単価"","""",
IF(COUNTIF(P$2:P3538, P3539)=0, """", INDEX(H$2:H3538,
MAX(FILTER(ROW(H$2:H3538) - ROW(H$2) + 1, P$2:P3538 = P3539)))))"),44.4)</f>
        <v>44.4</v>
      </c>
      <c r="N3539" s="335" t="str">
        <f>IF(MAXIFS('単価履歴'!$O:$O,'単価履歴'!$E:$E,E3539,'単価履歴'!$F:$F,F3539)=O3539,"●","")</f>
        <v/>
      </c>
      <c r="O3539" s="346">
        <v>45980.78564814814</v>
      </c>
      <c r="P3539" s="334" t="str">
        <f t="shared" si="4"/>
        <v>山陽特殊:産振ＨＳ３</v>
      </c>
    </row>
    <row r="3540" ht="15.75" customHeight="1">
      <c r="A3540" s="335" t="s">
        <v>4687</v>
      </c>
      <c r="B3540" s="336">
        <v>45981.0</v>
      </c>
      <c r="C3540" s="335" t="s">
        <v>534</v>
      </c>
      <c r="D3540" s="335" t="s">
        <v>46</v>
      </c>
      <c r="E3540" s="337" t="str">
        <f t="shared" si="1"/>
        <v>合同姫路:阪和</v>
      </c>
      <c r="F3540" s="338" t="s">
        <v>130</v>
      </c>
      <c r="G3540" s="339" t="str">
        <f t="shared" si="2"/>
        <v>合同姫路:阪和新断Ａ</v>
      </c>
      <c r="H3540" s="340">
        <f t="shared" si="3"/>
        <v>48.8</v>
      </c>
      <c r="I3540" s="341">
        <v>0.5</v>
      </c>
      <c r="J3540" s="332">
        <f>IFERROR(__xludf.DUMMYFUNCTION("IF(IF(COUNTIF(P$2:P3539, P3540)=0, """", INDEX(H$2:H3539,
MAX(FILTER(ROW(H$2:H3539) - ROW(H$2) + 1, P$2:P3539 = P3540))))=""単価"","""",
IF(COUNTIF(P$2:P3539, P3540)=0, """", INDEX(H$2:H3539,
MAX(FILTER(ROW(H$2:H3539) - ROW(H$2) + 1, P$2:P3539 = P3540)))))"),48.3)</f>
        <v>48.3</v>
      </c>
      <c r="N3540" s="335" t="str">
        <f>IF(MAXIFS('単価履歴'!$O:$O,'単価履歴'!$E:$E,E3540,'単価履歴'!$F:$F,F3540)=O3540,"●","")</f>
        <v/>
      </c>
      <c r="O3540" s="346">
        <v>45980.78596064815</v>
      </c>
      <c r="P3540" s="334" t="str">
        <f t="shared" si="4"/>
        <v>合同姫路:阪和新断Ａ</v>
      </c>
    </row>
    <row r="3541" ht="15.75" customHeight="1">
      <c r="A3541" s="335" t="s">
        <v>4688</v>
      </c>
      <c r="B3541" s="336">
        <v>45981.0</v>
      </c>
      <c r="C3541" s="335" t="s">
        <v>534</v>
      </c>
      <c r="D3541" s="335" t="s">
        <v>46</v>
      </c>
      <c r="E3541" s="337" t="str">
        <f t="shared" si="1"/>
        <v>合同姫路:阪和</v>
      </c>
      <c r="F3541" s="338" t="s">
        <v>131</v>
      </c>
      <c r="G3541" s="339" t="str">
        <f t="shared" si="2"/>
        <v>合同姫路:阪和新断Ｂ</v>
      </c>
      <c r="H3541" s="340">
        <f t="shared" si="3"/>
        <v>47.8</v>
      </c>
      <c r="I3541" s="341">
        <v>0.5</v>
      </c>
      <c r="J3541" s="332">
        <f>IFERROR(__xludf.DUMMYFUNCTION("IF(IF(COUNTIF(P$2:P3540, P3541)=0, """", INDEX(H$2:H3540,
MAX(FILTER(ROW(H$2:H3540) - ROW(H$2) + 1, P$2:P3540 = P3541))))=""単価"","""",
IF(COUNTIF(P$2:P3540, P3541)=0, """", INDEX(H$2:H3540,
MAX(FILTER(ROW(H$2:H3540) - ROW(H$2) + 1, P$2:P3540 = P3541)))))"),47.3)</f>
        <v>47.3</v>
      </c>
      <c r="N3541" s="335" t="str">
        <f>IF(MAXIFS('単価履歴'!$O:$O,'単価履歴'!$E:$E,E3541,'単価履歴'!$F:$F,F3541)=O3541,"●","")</f>
        <v/>
      </c>
      <c r="O3541" s="346">
        <v>45980.78596064815</v>
      </c>
      <c r="P3541" s="334" t="str">
        <f t="shared" si="4"/>
        <v>合同姫路:阪和新断Ｂ</v>
      </c>
    </row>
    <row r="3542" ht="15.75" customHeight="1">
      <c r="A3542" s="335" t="s">
        <v>4689</v>
      </c>
      <c r="B3542" s="336">
        <v>45981.0</v>
      </c>
      <c r="C3542" s="335" t="s">
        <v>28</v>
      </c>
      <c r="D3542" s="335" t="s">
        <v>52</v>
      </c>
      <c r="E3542" s="337" t="str">
        <f t="shared" si="1"/>
        <v>ＪＦＥ条鋼:リバイブ</v>
      </c>
      <c r="F3542" s="338" t="s">
        <v>111</v>
      </c>
      <c r="G3542" s="339" t="str">
        <f t="shared" si="2"/>
        <v>ＪＦＥ条鋼:リバイブＨ１(特A)</v>
      </c>
      <c r="H3542" s="340">
        <f t="shared" si="3"/>
        <v>42.5</v>
      </c>
      <c r="I3542" s="341">
        <v>0.5</v>
      </c>
      <c r="J3542" s="332">
        <f>IFERROR(__xludf.DUMMYFUNCTION("IF(IF(COUNTIF(P$2:P3541, P3542)=0, """", INDEX(H$2:H3541,
MAX(FILTER(ROW(H$2:H3541) - ROW(H$2) + 1, P$2:P3541 = P3542))))=""単価"","""",
IF(COUNTIF(P$2:P3541, P3542)=0, """", INDEX(H$2:H3541,
MAX(FILTER(ROW(H$2:H3541) - ROW(H$2) + 1, P$2:P3541 = P3542)))))"),42.0)</f>
        <v>42</v>
      </c>
      <c r="N3542" s="335" t="str">
        <f>IF(MAXIFS('単価履歴'!$O:$O,'単価履歴'!$E:$E,E3542,'単価履歴'!$F:$F,F3542)=O3542,"●","")</f>
        <v/>
      </c>
      <c r="O3542" s="346">
        <v>45980.7869212963</v>
      </c>
      <c r="P3542" s="334" t="str">
        <f t="shared" si="4"/>
        <v>ＪＦＥ条鋼:リバイブＨ１(特A)</v>
      </c>
    </row>
    <row r="3543" ht="15.75" customHeight="1">
      <c r="A3543" s="335" t="s">
        <v>4690</v>
      </c>
      <c r="B3543" s="336">
        <v>45981.0</v>
      </c>
      <c r="C3543" s="335" t="s">
        <v>28</v>
      </c>
      <c r="D3543" s="335" t="s">
        <v>52</v>
      </c>
      <c r="E3543" s="337" t="str">
        <f t="shared" si="1"/>
        <v>ＪＦＥ条鋼:リバイブ</v>
      </c>
      <c r="F3543" s="338" t="s">
        <v>116</v>
      </c>
      <c r="G3543" s="339" t="str">
        <f t="shared" si="2"/>
        <v>ＪＦＥ条鋼:リバイブＨ２(特級)</v>
      </c>
      <c r="H3543" s="340">
        <f t="shared" si="3"/>
        <v>42.5</v>
      </c>
      <c r="I3543" s="341">
        <v>0.5</v>
      </c>
      <c r="J3543" s="332">
        <f>IFERROR(__xludf.DUMMYFUNCTION("IF(IF(COUNTIF(P$2:P3542, P3543)=0, """", INDEX(H$2:H3542,
MAX(FILTER(ROW(H$2:H3542) - ROW(H$2) + 1, P$2:P3542 = P3543))))=""単価"","""",
IF(COUNTIF(P$2:P3542, P3543)=0, """", INDEX(H$2:H3542,
MAX(FILTER(ROW(H$2:H3542) - ROW(H$2) + 1, P$2:P3542 = P3543)))))"),42.0)</f>
        <v>42</v>
      </c>
      <c r="N3543" s="335" t="str">
        <f>IF(MAXIFS('単価履歴'!$O:$O,'単価履歴'!$E:$E,E3543,'単価履歴'!$F:$F,F3543)=O3543,"●","")</f>
        <v/>
      </c>
      <c r="O3543" s="346">
        <v>45980.7869212963</v>
      </c>
      <c r="P3543" s="334" t="str">
        <f t="shared" si="4"/>
        <v>ＪＦＥ条鋼:リバイブＨ２(特級)</v>
      </c>
    </row>
    <row r="3544" ht="15.75" customHeight="1">
      <c r="A3544" s="335" t="s">
        <v>4691</v>
      </c>
      <c r="B3544" s="336">
        <v>45981.0</v>
      </c>
      <c r="C3544" s="335" t="s">
        <v>28</v>
      </c>
      <c r="D3544" s="335" t="s">
        <v>52</v>
      </c>
      <c r="E3544" s="337" t="str">
        <f t="shared" si="1"/>
        <v>ＪＦＥ条鋼:リバイブ</v>
      </c>
      <c r="F3544" s="338" t="s">
        <v>119</v>
      </c>
      <c r="G3544" s="339" t="str">
        <f t="shared" si="2"/>
        <v>ＪＦＥ条鋼:リバイブＨ３(1級)</v>
      </c>
      <c r="H3544" s="340">
        <f t="shared" si="3"/>
        <v>41.5</v>
      </c>
      <c r="I3544" s="341">
        <v>0.5</v>
      </c>
      <c r="J3544" s="332">
        <f>IFERROR(__xludf.DUMMYFUNCTION("IF(IF(COUNTIF(P$2:P3543, P3544)=0, """", INDEX(H$2:H3543,
MAX(FILTER(ROW(H$2:H3543) - ROW(H$2) + 1, P$2:P3543 = P3544))))=""単価"","""",
IF(COUNTIF(P$2:P3543, P3544)=0, """", INDEX(H$2:H3543,
MAX(FILTER(ROW(H$2:H3543) - ROW(H$2) + 1, P$2:P3543 = P3544)))))"),41.0)</f>
        <v>41</v>
      </c>
      <c r="N3544" s="335" t="str">
        <f>IF(MAXIFS('単価履歴'!$O:$O,'単価履歴'!$E:$E,E3544,'単価履歴'!$F:$F,F3544)=O3544,"●","")</f>
        <v/>
      </c>
      <c r="O3544" s="346">
        <v>45980.7869212963</v>
      </c>
      <c r="P3544" s="334" t="str">
        <f t="shared" si="4"/>
        <v>ＪＦＥ条鋼:リバイブＨ３(1級)</v>
      </c>
    </row>
    <row r="3545" ht="15.75" customHeight="1">
      <c r="A3545" s="335" t="s">
        <v>4692</v>
      </c>
      <c r="B3545" s="336">
        <v>45981.0</v>
      </c>
      <c r="C3545" s="335" t="s">
        <v>28</v>
      </c>
      <c r="D3545" s="335" t="s">
        <v>52</v>
      </c>
      <c r="E3545" s="337" t="str">
        <f t="shared" si="1"/>
        <v>ＪＦＥ条鋼:リバイブ</v>
      </c>
      <c r="F3545" s="338" t="s">
        <v>122</v>
      </c>
      <c r="G3545" s="339" t="str">
        <f t="shared" si="2"/>
        <v>ＪＦＥ条鋼:リバイブＬ１(2級)</v>
      </c>
      <c r="H3545" s="340">
        <f t="shared" si="3"/>
        <v>38.5</v>
      </c>
      <c r="I3545" s="341">
        <v>0.5</v>
      </c>
      <c r="J3545" s="332">
        <f>IFERROR(__xludf.DUMMYFUNCTION("IF(IF(COUNTIF(P$2:P3544, P3545)=0, """", INDEX(H$2:H3544,
MAX(FILTER(ROW(H$2:H3544) - ROW(H$2) + 1, P$2:P3544 = P3545))))=""単価"","""",
IF(COUNTIF(P$2:P3544, P3545)=0, """", INDEX(H$2:H3544,
MAX(FILTER(ROW(H$2:H3544) - ROW(H$2) + 1, P$2:P3544 = P3545)))))"),38.0)</f>
        <v>38</v>
      </c>
      <c r="N3545" s="335" t="str">
        <f>IF(MAXIFS('単価履歴'!$O:$O,'単価履歴'!$E:$E,E3545,'単価履歴'!$F:$F,F3545)=O3545,"●","")</f>
        <v/>
      </c>
      <c r="O3545" s="346">
        <v>45980.7869212963</v>
      </c>
      <c r="P3545" s="334" t="str">
        <f t="shared" si="4"/>
        <v>ＪＦＥ条鋼:リバイブＬ１(2級)</v>
      </c>
    </row>
    <row r="3546" ht="15.75" customHeight="1">
      <c r="A3546" s="335" t="s">
        <v>4693</v>
      </c>
      <c r="B3546" s="336">
        <v>45981.0</v>
      </c>
      <c r="C3546" s="335" t="s">
        <v>28</v>
      </c>
      <c r="D3546" s="335" t="s">
        <v>52</v>
      </c>
      <c r="E3546" s="337" t="str">
        <f t="shared" si="1"/>
        <v>ＪＦＥ条鋼:リバイブ</v>
      </c>
      <c r="F3546" s="338" t="s">
        <v>573</v>
      </c>
      <c r="G3546" s="339" t="str">
        <f t="shared" si="2"/>
        <v>ＪＦＥ条鋼:リバイブＬ２(H4･級外･L1ﾊﾞﾗ)</v>
      </c>
      <c r="H3546" s="340">
        <f t="shared" si="3"/>
        <v>33.5</v>
      </c>
      <c r="I3546" s="341">
        <v>0.5</v>
      </c>
      <c r="J3546" s="332">
        <f>IFERROR(__xludf.DUMMYFUNCTION("IF(IF(COUNTIF(P$2:P3545, P3546)=0, """", INDEX(H$2:H3545,
MAX(FILTER(ROW(H$2:H3545) - ROW(H$2) + 1, P$2:P3545 = P3546))))=""単価"","""",
IF(COUNTIF(P$2:P3545, P3546)=0, """", INDEX(H$2:H3545,
MAX(FILTER(ROW(H$2:H3545) - ROW(H$2) + 1, P$2:P3545 = P3546)))))"),33.0)</f>
        <v>33</v>
      </c>
      <c r="N3546" s="335" t="str">
        <f>IF(MAXIFS('単価履歴'!$O:$O,'単価履歴'!$E:$E,E3546,'単価履歴'!$F:$F,F3546)=O3546,"●","")</f>
        <v/>
      </c>
      <c r="O3546" s="346">
        <v>45980.7869212963</v>
      </c>
      <c r="P3546" s="334" t="str">
        <f t="shared" si="4"/>
        <v>ＪＦＥ条鋼:リバイブＬ２(H4･級外･L1ﾊﾞﾗ)</v>
      </c>
    </row>
    <row r="3547" ht="15.75" customHeight="1">
      <c r="A3547" s="335" t="s">
        <v>4694</v>
      </c>
      <c r="B3547" s="336">
        <v>45981.0</v>
      </c>
      <c r="C3547" s="335" t="s">
        <v>28</v>
      </c>
      <c r="D3547" s="335" t="s">
        <v>52</v>
      </c>
      <c r="E3547" s="337" t="str">
        <f t="shared" si="1"/>
        <v>ＪＦＥ条鋼:リバイブ</v>
      </c>
      <c r="F3547" s="338" t="s">
        <v>130</v>
      </c>
      <c r="G3547" s="339" t="str">
        <f t="shared" si="2"/>
        <v>ＪＦＥ条鋼:リバイブ新断Ａ</v>
      </c>
      <c r="H3547" s="340">
        <f t="shared" si="3"/>
        <v>48</v>
      </c>
      <c r="I3547" s="341">
        <v>0.5</v>
      </c>
      <c r="J3547" s="332">
        <f>IFERROR(__xludf.DUMMYFUNCTION("IF(IF(COUNTIF(P$2:P3546, P3547)=0, """", INDEX(H$2:H3546,
MAX(FILTER(ROW(H$2:H3546) - ROW(H$2) + 1, P$2:P3546 = P3547))))=""単価"","""",
IF(COUNTIF(P$2:P3546, P3547)=0, """", INDEX(H$2:H3546,
MAX(FILTER(ROW(H$2:H3546) - ROW(H$2) + 1, P$2:P3546 = P3547)))))"),47.5)</f>
        <v>47.5</v>
      </c>
      <c r="N3547" s="335" t="str">
        <f>IF(MAXIFS('単価履歴'!$O:$O,'単価履歴'!$E:$E,E3547,'単価履歴'!$F:$F,F3547)=O3547,"●","")</f>
        <v/>
      </c>
      <c r="O3547" s="346">
        <v>45980.7869212963</v>
      </c>
      <c r="P3547" s="334" t="str">
        <f t="shared" si="4"/>
        <v>ＪＦＥ条鋼:リバイブ新断Ａ</v>
      </c>
    </row>
    <row r="3548" ht="15.75" customHeight="1">
      <c r="A3548" s="335" t="s">
        <v>4695</v>
      </c>
      <c r="B3548" s="336">
        <v>45981.0</v>
      </c>
      <c r="C3548" s="335" t="s">
        <v>28</v>
      </c>
      <c r="D3548" s="335" t="s">
        <v>52</v>
      </c>
      <c r="E3548" s="337" t="str">
        <f t="shared" si="1"/>
        <v>ＪＦＥ条鋼:リバイブ</v>
      </c>
      <c r="F3548" s="338" t="s">
        <v>131</v>
      </c>
      <c r="G3548" s="339" t="str">
        <f t="shared" si="2"/>
        <v>ＪＦＥ条鋼:リバイブ新断Ｂ</v>
      </c>
      <c r="H3548" s="340">
        <f t="shared" si="3"/>
        <v>47</v>
      </c>
      <c r="I3548" s="341">
        <v>0.5</v>
      </c>
      <c r="J3548" s="332">
        <f>IFERROR(__xludf.DUMMYFUNCTION("IF(IF(COUNTIF(P$2:P3547, P3548)=0, """", INDEX(H$2:H3547,
MAX(FILTER(ROW(H$2:H3547) - ROW(H$2) + 1, P$2:P3547 = P3548))))=""単価"","""",
IF(COUNTIF(P$2:P3547, P3548)=0, """", INDEX(H$2:H3547,
MAX(FILTER(ROW(H$2:H3547) - ROW(H$2) + 1, P$2:P3547 = P3548)))))"),46.5)</f>
        <v>46.5</v>
      </c>
      <c r="N3548" s="335" t="str">
        <f>IF(MAXIFS('単価履歴'!$O:$O,'単価履歴'!$E:$E,E3548,'単価履歴'!$F:$F,F3548)=O3548,"●","")</f>
        <v/>
      </c>
      <c r="O3548" s="346">
        <v>45980.7869212963</v>
      </c>
      <c r="P3548" s="334" t="str">
        <f t="shared" si="4"/>
        <v>ＪＦＥ条鋼:リバイブ新断Ｂ</v>
      </c>
    </row>
    <row r="3549" ht="15.75" customHeight="1">
      <c r="A3549" s="335" t="s">
        <v>4696</v>
      </c>
      <c r="B3549" s="336">
        <v>45981.0</v>
      </c>
      <c r="C3549" s="335" t="s">
        <v>28</v>
      </c>
      <c r="D3549" s="335" t="s">
        <v>52</v>
      </c>
      <c r="E3549" s="337" t="str">
        <f t="shared" si="1"/>
        <v>ＪＦＥ条鋼:リバイブ</v>
      </c>
      <c r="F3549" s="338" t="s">
        <v>575</v>
      </c>
      <c r="G3549" s="339" t="str">
        <f t="shared" si="2"/>
        <v>ＪＦＥ条鋼:リバイブ鋼ダライＡ</v>
      </c>
      <c r="H3549" s="340">
        <f t="shared" si="3"/>
        <v>40.5</v>
      </c>
      <c r="I3549" s="341">
        <v>0.5</v>
      </c>
      <c r="J3549" s="332">
        <f>IFERROR(__xludf.DUMMYFUNCTION("IF(IF(COUNTIF(P$2:P3548, P3549)=0, """", INDEX(H$2:H3548,
MAX(FILTER(ROW(H$2:H3548) - ROW(H$2) + 1, P$2:P3548 = P3549))))=""単価"","""",
IF(COUNTIF(P$2:P3548, P3549)=0, """", INDEX(H$2:H3548,
MAX(FILTER(ROW(H$2:H3548) - ROW(H$2) + 1, P$2:P3548 = P3549)))))"),40.0)</f>
        <v>40</v>
      </c>
      <c r="N3549" s="335" t="str">
        <f>IF(MAXIFS('単価履歴'!$O:$O,'単価履歴'!$E:$E,E3549,'単価履歴'!$F:$F,F3549)=O3549,"●","")</f>
        <v/>
      </c>
      <c r="O3549" s="346">
        <v>45980.7869212963</v>
      </c>
      <c r="P3549" s="334" t="str">
        <f t="shared" si="4"/>
        <v>ＪＦＥ条鋼:リバイブ鋼ダライＡ</v>
      </c>
    </row>
    <row r="3550" ht="15.75" customHeight="1">
      <c r="A3550" s="335" t="s">
        <v>4697</v>
      </c>
      <c r="B3550" s="336">
        <v>45981.0</v>
      </c>
      <c r="C3550" s="335" t="s">
        <v>28</v>
      </c>
      <c r="D3550" s="335" t="s">
        <v>52</v>
      </c>
      <c r="E3550" s="337" t="str">
        <f t="shared" si="1"/>
        <v>ＪＦＥ条鋼:リバイブ</v>
      </c>
      <c r="F3550" s="338" t="s">
        <v>154</v>
      </c>
      <c r="G3550" s="339" t="str">
        <f t="shared" si="2"/>
        <v>ＪＦＥ条鋼:リバイブＣＰ Ａ</v>
      </c>
      <c r="H3550" s="340">
        <f t="shared" si="3"/>
        <v>47</v>
      </c>
      <c r="I3550" s="341">
        <v>0.5</v>
      </c>
      <c r="J3550" s="332">
        <f>IFERROR(__xludf.DUMMYFUNCTION("IF(IF(COUNTIF(P$2:P3549, P3550)=0, """", INDEX(H$2:H3549,
MAX(FILTER(ROW(H$2:H3549) - ROW(H$2) + 1, P$2:P3549 = P3550))))=""単価"","""",
IF(COUNTIF(P$2:P3549, P3550)=0, """", INDEX(H$2:H3549,
MAX(FILTER(ROW(H$2:H3549) - ROW(H$2) + 1, P$2:P3549 = P3550)))))"),46.5)</f>
        <v>46.5</v>
      </c>
      <c r="N3550" s="335" t="str">
        <f>IF(MAXIFS('単価履歴'!$O:$O,'単価履歴'!$E:$E,E3550,'単価履歴'!$F:$F,F3550)=O3550,"●","")</f>
        <v/>
      </c>
      <c r="O3550" s="346">
        <v>45980.7869212963</v>
      </c>
      <c r="P3550" s="334" t="str">
        <f t="shared" si="4"/>
        <v>ＪＦＥ条鋼:リバイブＣＰ Ａ</v>
      </c>
    </row>
    <row r="3551" ht="15.75" customHeight="1">
      <c r="A3551" s="335" t="s">
        <v>4698</v>
      </c>
      <c r="B3551" s="336">
        <v>45981.0</v>
      </c>
      <c r="C3551" s="335" t="s">
        <v>11</v>
      </c>
      <c r="D3551" s="335" t="s">
        <v>46</v>
      </c>
      <c r="E3551" s="337" t="str">
        <f t="shared" si="1"/>
        <v>ﾔﾏﾄ:阪和</v>
      </c>
      <c r="F3551" s="338" t="s">
        <v>116</v>
      </c>
      <c r="G3551" s="339" t="str">
        <f t="shared" si="2"/>
        <v>ﾔﾏﾄ:阪和Ｈ２(特級)</v>
      </c>
      <c r="H3551" s="340">
        <f t="shared" si="3"/>
        <v>45.6</v>
      </c>
      <c r="I3551" s="341">
        <v>0.5</v>
      </c>
      <c r="J3551" s="332">
        <f>IFERROR(__xludf.DUMMYFUNCTION("IF(IF(COUNTIF(P$2:P3550, P3551)=0, """", INDEX(H$2:H3550,
MAX(FILTER(ROW(H$2:H3550) - ROW(H$2) + 1, P$2:P3550 = P3551))))=""単価"","""",
IF(COUNTIF(P$2:P3550, P3551)=0, """", INDEX(H$2:H3550,
MAX(FILTER(ROW(H$2:H3550) - ROW(H$2) + 1, P$2:P3550 = P3551)))))"),45.1)</f>
        <v>45.1</v>
      </c>
      <c r="N3551" s="335" t="str">
        <f>IF(MAXIFS('単価履歴'!$O:$O,'単価履歴'!$E:$E,E3551,'単価履歴'!$F:$F,F3551)=O3551,"●","")</f>
        <v/>
      </c>
      <c r="O3551" s="346">
        <v>45980.787256944444</v>
      </c>
      <c r="P3551" s="334" t="str">
        <f t="shared" si="4"/>
        <v>ﾔﾏﾄ:阪和Ｈ２(特級)</v>
      </c>
    </row>
    <row r="3552" ht="15.75" customHeight="1">
      <c r="A3552" s="335" t="s">
        <v>4699</v>
      </c>
      <c r="B3552" s="336">
        <v>45981.0</v>
      </c>
      <c r="C3552" s="335" t="s">
        <v>11</v>
      </c>
      <c r="D3552" s="335" t="s">
        <v>46</v>
      </c>
      <c r="E3552" s="337" t="str">
        <f t="shared" si="1"/>
        <v>ﾔﾏﾄ:阪和</v>
      </c>
      <c r="F3552" s="338" t="s">
        <v>119</v>
      </c>
      <c r="G3552" s="339" t="str">
        <f t="shared" si="2"/>
        <v>ﾔﾏﾄ:阪和Ｈ３(1級)</v>
      </c>
      <c r="H3552" s="340">
        <f t="shared" si="3"/>
        <v>44.6</v>
      </c>
      <c r="I3552" s="341">
        <v>0.5</v>
      </c>
      <c r="J3552" s="332">
        <f>IFERROR(__xludf.DUMMYFUNCTION("IF(IF(COUNTIF(P$2:P3551, P3552)=0, """", INDEX(H$2:H3551,
MAX(FILTER(ROW(H$2:H3551) - ROW(H$2) + 1, P$2:P3551 = P3552))))=""単価"","""",
IF(COUNTIF(P$2:P3551, P3552)=0, """", INDEX(H$2:H3551,
MAX(FILTER(ROW(H$2:H3551) - ROW(H$2) + 1, P$2:P3551 = P3552)))))"),44.1)</f>
        <v>44.1</v>
      </c>
      <c r="N3552" s="335" t="str">
        <f>IF(MAXIFS('単価履歴'!$O:$O,'単価履歴'!$E:$E,E3552,'単価履歴'!$F:$F,F3552)=O3552,"●","")</f>
        <v/>
      </c>
      <c r="O3552" s="346">
        <v>45980.787256944444</v>
      </c>
      <c r="P3552" s="334" t="str">
        <f t="shared" si="4"/>
        <v>ﾔﾏﾄ:阪和Ｈ３(1級)</v>
      </c>
    </row>
    <row r="3553" ht="15.75" customHeight="1">
      <c r="A3553" s="335" t="s">
        <v>4700</v>
      </c>
      <c r="B3553" s="336">
        <v>45981.0</v>
      </c>
      <c r="C3553" s="335" t="s">
        <v>11</v>
      </c>
      <c r="D3553" s="335" t="s">
        <v>46</v>
      </c>
      <c r="E3553" s="337" t="str">
        <f t="shared" si="1"/>
        <v>ﾔﾏﾄ:阪和</v>
      </c>
      <c r="F3553" s="338" t="s">
        <v>122</v>
      </c>
      <c r="G3553" s="339" t="str">
        <f t="shared" si="2"/>
        <v>ﾔﾏﾄ:阪和Ｌ１(2級)</v>
      </c>
      <c r="H3553" s="340">
        <f t="shared" si="3"/>
        <v>42.6</v>
      </c>
      <c r="I3553" s="341">
        <v>0.5</v>
      </c>
      <c r="J3553" s="332">
        <f>IFERROR(__xludf.DUMMYFUNCTION("IF(IF(COUNTIF(P$2:P3552, P3553)=0, """", INDEX(H$2:H3552,
MAX(FILTER(ROW(H$2:H3552) - ROW(H$2) + 1, P$2:P3552 = P3553))))=""単価"","""",
IF(COUNTIF(P$2:P3552, P3553)=0, """", INDEX(H$2:H3552,
MAX(FILTER(ROW(H$2:H3552) - ROW(H$2) + 1, P$2:P3552 = P3553)))))"),42.1)</f>
        <v>42.1</v>
      </c>
      <c r="N3553" s="335" t="str">
        <f>IF(MAXIFS('単価履歴'!$O:$O,'単価履歴'!$E:$E,E3553,'単価履歴'!$F:$F,F3553)=O3553,"●","")</f>
        <v/>
      </c>
      <c r="O3553" s="346">
        <v>45980.787256944444</v>
      </c>
      <c r="P3553" s="334" t="str">
        <f t="shared" si="4"/>
        <v>ﾔﾏﾄ:阪和Ｌ１(2級)</v>
      </c>
    </row>
    <row r="3554" ht="15.75" customHeight="1">
      <c r="A3554" s="335" t="s">
        <v>4701</v>
      </c>
      <c r="B3554" s="336">
        <v>45981.0</v>
      </c>
      <c r="C3554" s="335" t="s">
        <v>11</v>
      </c>
      <c r="D3554" s="335" t="s">
        <v>46</v>
      </c>
      <c r="E3554" s="337" t="str">
        <f t="shared" si="1"/>
        <v>ﾔﾏﾄ:阪和</v>
      </c>
      <c r="F3554" s="338" t="s">
        <v>111</v>
      </c>
      <c r="G3554" s="339" t="str">
        <f t="shared" si="2"/>
        <v>ﾔﾏﾄ:阪和Ｈ１(特A)</v>
      </c>
      <c r="H3554" s="340">
        <f t="shared" si="3"/>
        <v>46.6</v>
      </c>
      <c r="I3554" s="341">
        <v>0.5</v>
      </c>
      <c r="J3554" s="332">
        <f>IFERROR(__xludf.DUMMYFUNCTION("IF(IF(COUNTIF(P$2:P3553, P3554)=0, """", INDEX(H$2:H3553,
MAX(FILTER(ROW(H$2:H3553) - ROW(H$2) + 1, P$2:P3553 = P3554))))=""単価"","""",
IF(COUNTIF(P$2:P3553, P3554)=0, """", INDEX(H$2:H3553,
MAX(FILTER(ROW(H$2:H3553) - ROW(H$2) + 1, P$2:P3553 = P3554)))))"),46.1)</f>
        <v>46.1</v>
      </c>
      <c r="N3554" s="335" t="str">
        <f>IF(MAXIFS('単価履歴'!$O:$O,'単価履歴'!$E:$E,E3554,'単価履歴'!$F:$F,F3554)=O3554,"●","")</f>
        <v/>
      </c>
      <c r="O3554" s="346">
        <v>45980.787256944444</v>
      </c>
      <c r="P3554" s="334" t="str">
        <f t="shared" si="4"/>
        <v>ﾔﾏﾄ:阪和Ｈ１(特A)</v>
      </c>
    </row>
    <row r="3555" ht="15.75" customHeight="1">
      <c r="A3555" s="335" t="s">
        <v>4702</v>
      </c>
      <c r="B3555" s="336">
        <v>45981.0</v>
      </c>
      <c r="C3555" s="335" t="s">
        <v>11</v>
      </c>
      <c r="D3555" s="335" t="s">
        <v>46</v>
      </c>
      <c r="E3555" s="337" t="str">
        <f t="shared" si="1"/>
        <v>ﾔﾏﾄ:阪和</v>
      </c>
      <c r="F3555" s="338" t="s">
        <v>573</v>
      </c>
      <c r="G3555" s="339" t="str">
        <f t="shared" si="2"/>
        <v>ﾔﾏﾄ:阪和Ｌ２(H4･級外･L1ﾊﾞﾗ)</v>
      </c>
      <c r="H3555" s="340">
        <f t="shared" si="3"/>
        <v>40.1</v>
      </c>
      <c r="I3555" s="341">
        <v>0.5</v>
      </c>
      <c r="J3555" s="332">
        <f>IFERROR(__xludf.DUMMYFUNCTION("IF(IF(COUNTIF(P$2:P3554, P3555)=0, """", INDEX(H$2:H3554,
MAX(FILTER(ROW(H$2:H3554) - ROW(H$2) + 1, P$2:P3554 = P3555))))=""単価"","""",
IF(COUNTIF(P$2:P3554, P3555)=0, """", INDEX(H$2:H3554,
MAX(FILTER(ROW(H$2:H3554) - ROW(H$2) + 1, P$2:P3554 = P3555)))))"),39.6)</f>
        <v>39.6</v>
      </c>
      <c r="N3555" s="335" t="str">
        <f>IF(MAXIFS('単価履歴'!$O:$O,'単価履歴'!$E:$E,E3555,'単価履歴'!$F:$F,F3555)=O3555,"●","")</f>
        <v/>
      </c>
      <c r="O3555" s="346">
        <v>45980.787256944444</v>
      </c>
      <c r="P3555" s="334" t="str">
        <f t="shared" si="4"/>
        <v>ﾔﾏﾄ:阪和Ｌ２(H4･級外･L1ﾊﾞﾗ)</v>
      </c>
    </row>
    <row r="3556" ht="15.75" customHeight="1">
      <c r="A3556" s="335" t="s">
        <v>4703</v>
      </c>
      <c r="B3556" s="336">
        <v>45981.0</v>
      </c>
      <c r="C3556" s="335" t="s">
        <v>19</v>
      </c>
      <c r="D3556" s="335" t="s">
        <v>61</v>
      </c>
      <c r="E3556" s="337" t="str">
        <f t="shared" si="1"/>
        <v>トピー工業:ＭＭ</v>
      </c>
      <c r="F3556" s="338" t="s">
        <v>116</v>
      </c>
      <c r="G3556" s="339" t="str">
        <f t="shared" si="2"/>
        <v>トピー工業:ＭＭＨ２(特級)</v>
      </c>
      <c r="H3556" s="340">
        <f t="shared" si="3"/>
        <v>38</v>
      </c>
      <c r="I3556" s="341">
        <v>0.5</v>
      </c>
      <c r="J3556" s="332">
        <f>IFERROR(__xludf.DUMMYFUNCTION("IF(IF(COUNTIF(P$2:P3555, P3556)=0, """", INDEX(H$2:H3555,
MAX(FILTER(ROW(H$2:H3555) - ROW(H$2) + 1, P$2:P3555 = P3556))))=""単価"","""",
IF(COUNTIF(P$2:P3555, P3556)=0, """", INDEX(H$2:H3555,
MAX(FILTER(ROW(H$2:H3555) - ROW(H$2) + 1, P$2:P3555 = P3556)))))"),37.5)</f>
        <v>37.5</v>
      </c>
      <c r="N3556" s="335" t="str">
        <f>IF(MAXIFS('単価履歴'!$O:$O,'単価履歴'!$E:$E,E3556,'単価履歴'!$F:$F,F3556)=O3556,"●","")</f>
        <v/>
      </c>
      <c r="O3556" s="346">
        <v>45980.78766203704</v>
      </c>
      <c r="P3556" s="334" t="str">
        <f t="shared" si="4"/>
        <v>トピー工業:ＭＭＨ２(特級)</v>
      </c>
    </row>
    <row r="3557" ht="15.75" customHeight="1">
      <c r="A3557" s="335" t="s">
        <v>4704</v>
      </c>
      <c r="B3557" s="336">
        <v>45981.0</v>
      </c>
      <c r="C3557" s="335" t="s">
        <v>14</v>
      </c>
      <c r="D3557" s="335" t="s">
        <v>48</v>
      </c>
      <c r="E3557" s="337" t="str">
        <f t="shared" si="1"/>
        <v>愛知:ナベ</v>
      </c>
      <c r="F3557" s="338" t="s">
        <v>1199</v>
      </c>
      <c r="G3557" s="339" t="str">
        <f t="shared" si="2"/>
        <v>愛知:ナベＨＳ１(単体H1/電特A/HS))</v>
      </c>
      <c r="H3557" s="340">
        <f t="shared" si="3"/>
        <v>44.5</v>
      </c>
      <c r="I3557" s="341">
        <v>0.5</v>
      </c>
      <c r="J3557" s="332">
        <f>IFERROR(__xludf.DUMMYFUNCTION("IF(IF(COUNTIF(P$2:P3556, P3557)=0, """", INDEX(H$2:H3556,
MAX(FILTER(ROW(H$2:H3556) - ROW(H$2) + 1, P$2:P3556 = P3557))))=""単価"","""",
IF(COUNTIF(P$2:P3556, P3557)=0, """", INDEX(H$2:H3556,
MAX(FILTER(ROW(H$2:H3556) - ROW(H$2) + 1, P$2:P3556 = P3557)))))"),44.0)</f>
        <v>44</v>
      </c>
      <c r="N3557" s="335" t="str">
        <f>IF(MAXIFS('単価履歴'!$O:$O,'単価履歴'!$E:$E,E3557,'単価履歴'!$F:$F,F3557)=O3557,"●","")</f>
        <v/>
      </c>
      <c r="O3557" s="346">
        <v>45980.788194444445</v>
      </c>
      <c r="P3557" s="334" t="str">
        <f t="shared" si="4"/>
        <v>愛知:ナベＨＳ１(単体H1/電特A/HS))</v>
      </c>
    </row>
    <row r="3558" ht="15.75" customHeight="1">
      <c r="A3558" s="335" t="s">
        <v>4705</v>
      </c>
      <c r="B3558" s="336">
        <v>45981.0</v>
      </c>
      <c r="C3558" s="335" t="s">
        <v>14</v>
      </c>
      <c r="D3558" s="335" t="s">
        <v>48</v>
      </c>
      <c r="E3558" s="337" t="str">
        <f t="shared" si="1"/>
        <v>愛知:ナベ</v>
      </c>
      <c r="F3558" s="338" t="s">
        <v>101</v>
      </c>
      <c r="G3558" s="339" t="str">
        <f t="shared" si="2"/>
        <v>愛知:ナベＨＳ２</v>
      </c>
      <c r="H3558" s="340">
        <f t="shared" si="3"/>
        <v>44</v>
      </c>
      <c r="I3558" s="341">
        <v>0.5</v>
      </c>
      <c r="J3558" s="332">
        <f>IFERROR(__xludf.DUMMYFUNCTION("IF(IF(COUNTIF(P$2:P3557, P3558)=0, """", INDEX(H$2:H3557,
MAX(FILTER(ROW(H$2:H3557) - ROW(H$2) + 1, P$2:P3557 = P3558))))=""単価"","""",
IF(COUNTIF(P$2:P3557, P3558)=0, """", INDEX(H$2:H3557,
MAX(FILTER(ROW(H$2:H3557) - ROW(H$2) + 1, P$2:P3557 = P3558)))))"),43.5)</f>
        <v>43.5</v>
      </c>
      <c r="N3558" s="335" t="str">
        <f>IF(MAXIFS('単価履歴'!$O:$O,'単価履歴'!$E:$E,E3558,'単価履歴'!$F:$F,F3558)=O3558,"●","")</f>
        <v/>
      </c>
      <c r="O3558" s="346">
        <v>45980.788194444445</v>
      </c>
      <c r="P3558" s="334" t="str">
        <f t="shared" si="4"/>
        <v>愛知:ナベＨＳ２</v>
      </c>
    </row>
    <row r="3559" ht="15.75" customHeight="1">
      <c r="A3559" s="335" t="s">
        <v>4706</v>
      </c>
      <c r="B3559" s="336">
        <v>45981.0</v>
      </c>
      <c r="C3559" s="335" t="s">
        <v>14</v>
      </c>
      <c r="D3559" s="335" t="s">
        <v>48</v>
      </c>
      <c r="E3559" s="337" t="str">
        <f t="shared" si="1"/>
        <v>愛知:ナベ</v>
      </c>
      <c r="F3559" s="338" t="s">
        <v>111</v>
      </c>
      <c r="G3559" s="339" t="str">
        <f t="shared" si="2"/>
        <v>愛知:ナベＨ１(特A)</v>
      </c>
      <c r="H3559" s="340">
        <f t="shared" si="3"/>
        <v>43.5</v>
      </c>
      <c r="I3559" s="341">
        <v>0.5</v>
      </c>
      <c r="J3559" s="332">
        <f>IFERROR(__xludf.DUMMYFUNCTION("IF(IF(COUNTIF(P$2:P3558, P3559)=0, """", INDEX(H$2:H3558,
MAX(FILTER(ROW(H$2:H3558) - ROW(H$2) + 1, P$2:P3558 = P3559))))=""単価"","""",
IF(COUNTIF(P$2:P3558, P3559)=0, """", INDEX(H$2:H3558,
MAX(FILTER(ROW(H$2:H3558) - ROW(H$2) + 1, P$2:P3558 = P3559)))))"),43.0)</f>
        <v>43</v>
      </c>
      <c r="N3559" s="335" t="str">
        <f>IF(MAXIFS('単価履歴'!$O:$O,'単価履歴'!$E:$E,E3559,'単価履歴'!$F:$F,F3559)=O3559,"●","")</f>
        <v/>
      </c>
      <c r="O3559" s="346">
        <v>45980.788194444445</v>
      </c>
      <c r="P3559" s="334" t="str">
        <f t="shared" si="4"/>
        <v>愛知:ナベＨ１(特A)</v>
      </c>
    </row>
    <row r="3560" ht="15.75" customHeight="1">
      <c r="A3560" s="335" t="s">
        <v>4707</v>
      </c>
      <c r="B3560" s="336">
        <v>45981.0</v>
      </c>
      <c r="C3560" s="335" t="s">
        <v>14</v>
      </c>
      <c r="D3560" s="335" t="s">
        <v>48</v>
      </c>
      <c r="E3560" s="337" t="str">
        <f t="shared" si="1"/>
        <v>愛知:ナベ</v>
      </c>
      <c r="F3560" s="338" t="s">
        <v>116</v>
      </c>
      <c r="G3560" s="339" t="str">
        <f t="shared" si="2"/>
        <v>愛知:ナベＨ２(特級)</v>
      </c>
      <c r="H3560" s="340">
        <f t="shared" si="3"/>
        <v>41.9</v>
      </c>
      <c r="I3560" s="341">
        <v>0.5</v>
      </c>
      <c r="J3560" s="332">
        <f>IFERROR(__xludf.DUMMYFUNCTION("IF(IF(COUNTIF(P$2:P3559, P3560)=0, """", INDEX(H$2:H3559,
MAX(FILTER(ROW(H$2:H3559) - ROW(H$2) + 1, P$2:P3559 = P3560))))=""単価"","""",
IF(COUNTIF(P$2:P3559, P3560)=0, """", INDEX(H$2:H3559,
MAX(FILTER(ROW(H$2:H3559) - ROW(H$2) + 1, P$2:P3559 = P3560)))))"),41.4)</f>
        <v>41.4</v>
      </c>
      <c r="N3560" s="335" t="str">
        <f>IF(MAXIFS('単価履歴'!$O:$O,'単価履歴'!$E:$E,E3560,'単価履歴'!$F:$F,F3560)=O3560,"●","")</f>
        <v/>
      </c>
      <c r="O3560" s="346">
        <v>45980.788194444445</v>
      </c>
      <c r="P3560" s="334" t="str">
        <f t="shared" si="4"/>
        <v>愛知:ナベＨ２(特級)</v>
      </c>
    </row>
    <row r="3561" ht="15.75" customHeight="1">
      <c r="A3561" s="335" t="s">
        <v>4708</v>
      </c>
      <c r="B3561" s="336">
        <v>45981.0</v>
      </c>
      <c r="C3561" s="335" t="s">
        <v>14</v>
      </c>
      <c r="D3561" s="335" t="s">
        <v>48</v>
      </c>
      <c r="E3561" s="337" t="str">
        <f t="shared" si="1"/>
        <v>愛知:ナベ</v>
      </c>
      <c r="F3561" s="338" t="s">
        <v>119</v>
      </c>
      <c r="G3561" s="339" t="str">
        <f t="shared" si="2"/>
        <v>愛知:ナベＨ３(1級)</v>
      </c>
      <c r="H3561" s="340">
        <f t="shared" si="3"/>
        <v>40.9</v>
      </c>
      <c r="I3561" s="341">
        <v>0.5</v>
      </c>
      <c r="J3561" s="332">
        <f>IFERROR(__xludf.DUMMYFUNCTION("IF(IF(COUNTIF(P$2:P3560, P3561)=0, """", INDEX(H$2:H3560,
MAX(FILTER(ROW(H$2:H3560) - ROW(H$2) + 1, P$2:P3560 = P3561))))=""単価"","""",
IF(COUNTIF(P$2:P3560, P3561)=0, """", INDEX(H$2:H3560,
MAX(FILTER(ROW(H$2:H3560) - ROW(H$2) + 1, P$2:P3560 = P3561)))))"),40.4)</f>
        <v>40.4</v>
      </c>
      <c r="N3561" s="335" t="str">
        <f>IF(MAXIFS('単価履歴'!$O:$O,'単価履歴'!$E:$E,E3561,'単価履歴'!$F:$F,F3561)=O3561,"●","")</f>
        <v/>
      </c>
      <c r="O3561" s="346">
        <v>45980.788194444445</v>
      </c>
      <c r="P3561" s="334" t="str">
        <f t="shared" si="4"/>
        <v>愛知:ナベＨ３(1級)</v>
      </c>
    </row>
    <row r="3562" ht="15.75" customHeight="1">
      <c r="A3562" s="335" t="s">
        <v>4709</v>
      </c>
      <c r="B3562" s="336">
        <v>45981.0</v>
      </c>
      <c r="C3562" s="335" t="s">
        <v>14</v>
      </c>
      <c r="D3562" s="335" t="s">
        <v>48</v>
      </c>
      <c r="E3562" s="337" t="str">
        <f t="shared" si="1"/>
        <v>愛知:ナベ</v>
      </c>
      <c r="F3562" s="338" t="s">
        <v>573</v>
      </c>
      <c r="G3562" s="339" t="str">
        <f t="shared" si="2"/>
        <v>愛知:ナベＬ２(H4･級外･L1ﾊﾞﾗ)</v>
      </c>
      <c r="H3562" s="340">
        <f t="shared" si="3"/>
        <v>36.9</v>
      </c>
      <c r="I3562" s="341">
        <v>0.5</v>
      </c>
      <c r="J3562" s="332">
        <f>IFERROR(__xludf.DUMMYFUNCTION("IF(IF(COUNTIF(P$2:P3561, P3562)=0, """", INDEX(H$2:H3561,
MAX(FILTER(ROW(H$2:H3561) - ROW(H$2) + 1, P$2:P3561 = P3562))))=""単価"","""",
IF(COUNTIF(P$2:P3561, P3562)=0, """", INDEX(H$2:H3561,
MAX(FILTER(ROW(H$2:H3561) - ROW(H$2) + 1, P$2:P3561 = P3562)))))"),36.4)</f>
        <v>36.4</v>
      </c>
      <c r="N3562" s="335" t="str">
        <f>IF(MAXIFS('単価履歴'!$O:$O,'単価履歴'!$E:$E,E3562,'単価履歴'!$F:$F,F3562)=O3562,"●","")</f>
        <v/>
      </c>
      <c r="O3562" s="346">
        <v>45980.788194444445</v>
      </c>
      <c r="P3562" s="334" t="str">
        <f t="shared" si="4"/>
        <v>愛知:ナベＬ２(H4･級外･L1ﾊﾞﾗ)</v>
      </c>
    </row>
    <row r="3563" ht="15.75" customHeight="1">
      <c r="A3563" s="335" t="s">
        <v>4710</v>
      </c>
      <c r="B3563" s="336">
        <v>45981.0</v>
      </c>
      <c r="C3563" s="335" t="s">
        <v>14</v>
      </c>
      <c r="D3563" s="335" t="s">
        <v>48</v>
      </c>
      <c r="E3563" s="337" t="str">
        <f t="shared" si="1"/>
        <v>愛知:ナベ</v>
      </c>
      <c r="F3563" s="338" t="s">
        <v>575</v>
      </c>
      <c r="G3563" s="339" t="str">
        <f t="shared" si="2"/>
        <v>愛知:ナベ鋼ダライＡ</v>
      </c>
      <c r="H3563" s="340">
        <f t="shared" si="3"/>
        <v>3</v>
      </c>
      <c r="I3563" s="341">
        <v>0.5</v>
      </c>
      <c r="J3563" s="332">
        <f>IFERROR(__xludf.DUMMYFUNCTION("IF(IF(COUNTIF(P$2:P3562, P3563)=0, """", INDEX(H$2:H3562,
MAX(FILTER(ROW(H$2:H3562) - ROW(H$2) + 1, P$2:P3562 = P3563))))=""単価"","""",
IF(COUNTIF(P$2:P3562, P3563)=0, """", INDEX(H$2:H3562,
MAX(FILTER(ROW(H$2:H3562) - ROW(H$2) + 1, P$2:P3562 = P3563)))))"),2.5)</f>
        <v>2.5</v>
      </c>
      <c r="N3563" s="335" t="str">
        <f>IF(MAXIFS('単価履歴'!$O:$O,'単価履歴'!$E:$E,E3563,'単価履歴'!$F:$F,F3563)=O3563,"●","")</f>
        <v/>
      </c>
      <c r="O3563" s="346">
        <v>45980.788194444445</v>
      </c>
      <c r="P3563" s="334" t="str">
        <f t="shared" si="4"/>
        <v>愛知:ナベ鋼ダライＡ</v>
      </c>
    </row>
    <row r="3564" ht="15.75" customHeight="1">
      <c r="A3564" s="335" t="s">
        <v>4711</v>
      </c>
      <c r="B3564" s="336">
        <v>45982.0</v>
      </c>
      <c r="C3564" s="335" t="s">
        <v>12</v>
      </c>
      <c r="D3564" s="335" t="s">
        <v>53</v>
      </c>
      <c r="E3564" s="337" t="str">
        <f t="shared" si="1"/>
        <v>山陽特殊:MM</v>
      </c>
      <c r="F3564" s="338" t="s">
        <v>1199</v>
      </c>
      <c r="G3564" s="339" t="str">
        <f t="shared" si="2"/>
        <v>山陽特殊:MMＨＳ１(単体H1/電特A/HS))</v>
      </c>
      <c r="H3564" s="340">
        <f t="shared" si="3"/>
        <v>50</v>
      </c>
      <c r="I3564" s="341">
        <v>0.5</v>
      </c>
      <c r="J3564" s="332">
        <f>IFERROR(__xludf.DUMMYFUNCTION("IF(IF(COUNTIF(P$2:P3563, P3564)=0, """", INDEX(H$2:H3563,
MAX(FILTER(ROW(H$2:H3563) - ROW(H$2) + 1, P$2:P3563 = P3564))))=""単価"","""",
IF(COUNTIF(P$2:P3563, P3564)=0, """", INDEX(H$2:H3563,
MAX(FILTER(ROW(H$2:H3563) - ROW(H$2) + 1, P$2:P3563 = P3564)))))"),49.5)</f>
        <v>49.5</v>
      </c>
      <c r="N3564" s="335" t="str">
        <f>IF(MAXIFS('単価履歴'!$O:$O,'単価履歴'!$E:$E,E3564,'単価履歴'!$F:$F,F3564)=O3564,"●","")</f>
        <v/>
      </c>
      <c r="O3564" s="346">
        <v>45982.267743055556</v>
      </c>
      <c r="P3564" s="334" t="str">
        <f t="shared" si="4"/>
        <v>山陽特殊:MMＨＳ１(単体H1/電特A/HS))</v>
      </c>
    </row>
    <row r="3565" ht="15.75" customHeight="1">
      <c r="A3565" s="335" t="s">
        <v>4712</v>
      </c>
      <c r="B3565" s="336">
        <v>45982.0</v>
      </c>
      <c r="C3565" s="335" t="s">
        <v>12</v>
      </c>
      <c r="D3565" s="335" t="s">
        <v>53</v>
      </c>
      <c r="E3565" s="337" t="str">
        <f t="shared" si="1"/>
        <v>山陽特殊:MM</v>
      </c>
      <c r="F3565" s="338" t="s">
        <v>122</v>
      </c>
      <c r="G3565" s="339" t="str">
        <f t="shared" si="2"/>
        <v>山陽特殊:MMＬ１(2級)</v>
      </c>
      <c r="H3565" s="340">
        <f t="shared" si="3"/>
        <v>5.5</v>
      </c>
      <c r="I3565" s="341">
        <v>0.5</v>
      </c>
      <c r="J3565" s="332">
        <f>IFERROR(__xludf.DUMMYFUNCTION("IF(IF(COUNTIF(P$2:P3564, P3565)=0, """", INDEX(H$2:H3564,
MAX(FILTER(ROW(H$2:H3564) - ROW(H$2) + 1, P$2:P3564 = P3565))))=""単価"","""",
IF(COUNTIF(P$2:P3564, P3565)=0, """", INDEX(H$2:H3564,
MAX(FILTER(ROW(H$2:H3564) - ROW(H$2) + 1, P$2:P3564 = P3565)))))"),5.0)</f>
        <v>5</v>
      </c>
      <c r="N3565" s="335" t="str">
        <f>IF(MAXIFS('単価履歴'!$O:$O,'単価履歴'!$E:$E,E3565,'単価履歴'!$F:$F,F3565)=O3565,"●","")</f>
        <v/>
      </c>
      <c r="O3565" s="346">
        <v>45982.267743055556</v>
      </c>
      <c r="P3565" s="334" t="str">
        <f t="shared" si="4"/>
        <v>山陽特殊:MMＬ１(2級)</v>
      </c>
    </row>
    <row r="3566" ht="15.75" customHeight="1">
      <c r="A3566" s="335" t="s">
        <v>4713</v>
      </c>
      <c r="B3566" s="336">
        <v>45982.0</v>
      </c>
      <c r="C3566" s="335" t="s">
        <v>12</v>
      </c>
      <c r="D3566" s="335" t="s">
        <v>53</v>
      </c>
      <c r="E3566" s="337" t="str">
        <f t="shared" si="1"/>
        <v>山陽特殊:MM</v>
      </c>
      <c r="F3566" s="338" t="s">
        <v>101</v>
      </c>
      <c r="G3566" s="339" t="str">
        <f t="shared" si="2"/>
        <v>山陽特殊:MMＨＳ２</v>
      </c>
      <c r="H3566" s="340">
        <f t="shared" si="3"/>
        <v>49.8</v>
      </c>
      <c r="I3566" s="341">
        <v>0.5</v>
      </c>
      <c r="J3566" s="332">
        <f>IFERROR(__xludf.DUMMYFUNCTION("IF(IF(COUNTIF(P$2:P3565, P3566)=0, """", INDEX(H$2:H3565,
MAX(FILTER(ROW(H$2:H3565) - ROW(H$2) + 1, P$2:P3565 = P3566))))=""単価"","""",
IF(COUNTIF(P$2:P3565, P3566)=0, """", INDEX(H$2:H3565,
MAX(FILTER(ROW(H$2:H3565) - ROW(H$2) + 1, P$2:P3565 = P3566)))))"),49.3)</f>
        <v>49.3</v>
      </c>
      <c r="N3566" s="335" t="str">
        <f>IF(MAXIFS('単価履歴'!$O:$O,'単価履歴'!$E:$E,E3566,'単価履歴'!$F:$F,F3566)=O3566,"●","")</f>
        <v/>
      </c>
      <c r="O3566" s="346">
        <v>45982.267743055556</v>
      </c>
      <c r="P3566" s="334" t="str">
        <f t="shared" si="4"/>
        <v>山陽特殊:MMＨＳ２</v>
      </c>
    </row>
    <row r="3567" ht="15.75" customHeight="1">
      <c r="A3567" s="335" t="s">
        <v>4714</v>
      </c>
      <c r="B3567" s="336">
        <v>45982.0</v>
      </c>
      <c r="C3567" s="335" t="s">
        <v>12</v>
      </c>
      <c r="D3567" s="335" t="s">
        <v>53</v>
      </c>
      <c r="E3567" s="337" t="str">
        <f t="shared" si="1"/>
        <v>山陽特殊:MM</v>
      </c>
      <c r="F3567" s="338" t="s">
        <v>130</v>
      </c>
      <c r="G3567" s="339" t="str">
        <f t="shared" si="2"/>
        <v>山陽特殊:MM新断Ａ</v>
      </c>
      <c r="H3567" s="340">
        <f t="shared" si="3"/>
        <v>48.5</v>
      </c>
      <c r="I3567" s="341">
        <v>0.5</v>
      </c>
      <c r="J3567" s="332">
        <f>IFERROR(__xludf.DUMMYFUNCTION("IF(IF(COUNTIF(P$2:P3566, P3567)=0, """", INDEX(H$2:H3566,
MAX(FILTER(ROW(H$2:H3566) - ROW(H$2) + 1, P$2:P3566 = P3567))))=""単価"","""",
IF(COUNTIF(P$2:P3566, P3567)=0, """", INDEX(H$2:H3566,
MAX(FILTER(ROW(H$2:H3566) - ROW(H$2) + 1, P$2:P3566 = P3567)))))"),48.0)</f>
        <v>48</v>
      </c>
      <c r="N3567" s="335" t="str">
        <f>IF(MAXIFS('単価履歴'!$O:$O,'単価履歴'!$E:$E,E3567,'単価履歴'!$F:$F,F3567)=O3567,"●","")</f>
        <v/>
      </c>
      <c r="O3567" s="346">
        <v>45982.267743055556</v>
      </c>
      <c r="P3567" s="334" t="str">
        <f t="shared" si="4"/>
        <v>山陽特殊:MM新断Ａ</v>
      </c>
    </row>
    <row r="3568" ht="15.75" customHeight="1">
      <c r="A3568" s="335" t="s">
        <v>4715</v>
      </c>
      <c r="B3568" s="336">
        <v>45982.0</v>
      </c>
      <c r="C3568" s="335" t="s">
        <v>12</v>
      </c>
      <c r="D3568" s="335" t="s">
        <v>53</v>
      </c>
      <c r="E3568" s="337" t="str">
        <f t="shared" si="1"/>
        <v>山陽特殊:MM</v>
      </c>
      <c r="F3568" s="338" t="s">
        <v>105</v>
      </c>
      <c r="G3568" s="339" t="str">
        <f t="shared" si="2"/>
        <v>山陽特殊:MMＨＳ３</v>
      </c>
      <c r="H3568" s="340">
        <f t="shared" si="3"/>
        <v>47.8</v>
      </c>
      <c r="I3568" s="341">
        <v>0.5</v>
      </c>
      <c r="J3568" s="332">
        <f>IFERROR(__xludf.DUMMYFUNCTION("IF(IF(COUNTIF(P$2:P3567, P3568)=0, """", INDEX(H$2:H3567,
MAX(FILTER(ROW(H$2:H3567) - ROW(H$2) + 1, P$2:P3567 = P3568))))=""単価"","""",
IF(COUNTIF(P$2:P3567, P3568)=0, """", INDEX(H$2:H3567,
MAX(FILTER(ROW(H$2:H3567) - ROW(H$2) + 1, P$2:P3567 = P3568)))))"),47.3)</f>
        <v>47.3</v>
      </c>
      <c r="N3568" s="335" t="str">
        <f>IF(MAXIFS('単価履歴'!$O:$O,'単価履歴'!$E:$E,E3568,'単価履歴'!$F:$F,F3568)=O3568,"●","")</f>
        <v/>
      </c>
      <c r="O3568" s="346">
        <v>45982.267743055556</v>
      </c>
      <c r="P3568" s="334" t="str">
        <f t="shared" si="4"/>
        <v>山陽特殊:MMＨＳ３</v>
      </c>
    </row>
    <row r="3569" ht="15.75" customHeight="1">
      <c r="A3569" s="335" t="s">
        <v>4716</v>
      </c>
      <c r="B3569" s="336">
        <v>45982.0</v>
      </c>
      <c r="C3569" s="335" t="s">
        <v>12</v>
      </c>
      <c r="D3569" s="335" t="s">
        <v>53</v>
      </c>
      <c r="E3569" s="337" t="str">
        <f t="shared" si="1"/>
        <v>山陽特殊:MM</v>
      </c>
      <c r="F3569" s="338" t="s">
        <v>131</v>
      </c>
      <c r="G3569" s="339" t="str">
        <f t="shared" si="2"/>
        <v>山陽特殊:MM新断Ｂ</v>
      </c>
      <c r="H3569" s="340">
        <f t="shared" si="3"/>
        <v>47.5</v>
      </c>
      <c r="I3569" s="341">
        <v>0.5</v>
      </c>
      <c r="J3569" s="332">
        <f>IFERROR(__xludf.DUMMYFUNCTION("IF(IF(COUNTIF(P$2:P3568, P3569)=0, """", INDEX(H$2:H3568,
MAX(FILTER(ROW(H$2:H3568) - ROW(H$2) + 1, P$2:P3568 = P3569))))=""単価"","""",
IF(COUNTIF(P$2:P3568, P3569)=0, """", INDEX(H$2:H3568,
MAX(FILTER(ROW(H$2:H3568) - ROW(H$2) + 1, P$2:P3568 = P3569)))))"),47.0)</f>
        <v>47</v>
      </c>
      <c r="N3569" s="335" t="str">
        <f>IF(MAXIFS('単価履歴'!$O:$O,'単価履歴'!$E:$E,E3569,'単価履歴'!$F:$F,F3569)=O3569,"●","")</f>
        <v/>
      </c>
      <c r="O3569" s="346">
        <v>45982.267743055556</v>
      </c>
      <c r="P3569" s="334" t="str">
        <f t="shared" si="4"/>
        <v>山陽特殊:MM新断Ｂ</v>
      </c>
    </row>
    <row r="3570" ht="15.75" customHeight="1">
      <c r="A3570" s="335" t="s">
        <v>4717</v>
      </c>
      <c r="B3570" s="336">
        <v>45982.0</v>
      </c>
      <c r="C3570" s="335" t="s">
        <v>12</v>
      </c>
      <c r="D3570" s="335" t="s">
        <v>53</v>
      </c>
      <c r="E3570" s="337" t="str">
        <f t="shared" si="1"/>
        <v>山陽特殊:MM</v>
      </c>
      <c r="F3570" s="338" t="s">
        <v>574</v>
      </c>
      <c r="G3570" s="339" t="str">
        <f t="shared" si="2"/>
        <v>山陽特殊:MM新断Ｃ</v>
      </c>
      <c r="H3570" s="340">
        <f t="shared" si="3"/>
        <v>46.2</v>
      </c>
      <c r="I3570" s="341">
        <v>0.5</v>
      </c>
      <c r="J3570" s="332">
        <f>IFERROR(__xludf.DUMMYFUNCTION("IF(IF(COUNTIF(P$2:P3569, P3570)=0, """", INDEX(H$2:H3569,
MAX(FILTER(ROW(H$2:H3569) - ROW(H$2) + 1, P$2:P3569 = P3570))))=""単価"","""",
IF(COUNTIF(P$2:P3569, P3570)=0, """", INDEX(H$2:H3569,
MAX(FILTER(ROW(H$2:H3569) - ROW(H$2) + 1, P$2:P3569 = P3570)))))"),45.699999999999996)</f>
        <v>45.7</v>
      </c>
      <c r="N3570" s="335" t="str">
        <f>IF(MAXIFS('単価履歴'!$O:$O,'単価履歴'!$E:$E,E3570,'単価履歴'!$F:$F,F3570)=O3570,"●","")</f>
        <v/>
      </c>
      <c r="O3570" s="346">
        <v>45982.267743055556</v>
      </c>
      <c r="P3570" s="334" t="str">
        <f t="shared" si="4"/>
        <v>山陽特殊:MM新断Ｃ</v>
      </c>
    </row>
    <row r="3571" ht="15.75" customHeight="1">
      <c r="A3571" s="335" t="s">
        <v>4718</v>
      </c>
      <c r="B3571" s="336">
        <v>45982.0</v>
      </c>
      <c r="C3571" s="335" t="s">
        <v>19</v>
      </c>
      <c r="D3571" s="335" t="s">
        <v>61</v>
      </c>
      <c r="E3571" s="337" t="str">
        <f t="shared" si="1"/>
        <v>トピー工業:ＭＭ</v>
      </c>
      <c r="F3571" s="338" t="s">
        <v>116</v>
      </c>
      <c r="G3571" s="339" t="str">
        <f t="shared" si="2"/>
        <v>トピー工業:ＭＭＨ２(特級)</v>
      </c>
      <c r="H3571" s="340">
        <f t="shared" si="3"/>
        <v>38.5</v>
      </c>
      <c r="I3571" s="341">
        <v>0.5</v>
      </c>
      <c r="J3571" s="332">
        <f>IFERROR(__xludf.DUMMYFUNCTION("IF(IF(COUNTIF(P$2:P3570, P3571)=0, """", INDEX(H$2:H3570,
MAX(FILTER(ROW(H$2:H3570) - ROW(H$2) + 1, P$2:P3570 = P3571))))=""単価"","""",
IF(COUNTIF(P$2:P3570, P3571)=0, """", INDEX(H$2:H3570,
MAX(FILTER(ROW(H$2:H3570) - ROW(H$2) + 1, P$2:P3570 = P3571)))))"),38.0)</f>
        <v>38</v>
      </c>
      <c r="N3571" s="335" t="str">
        <f>IF(MAXIFS('単価履歴'!$O:$O,'単価履歴'!$E:$E,E3571,'単価履歴'!$F:$F,F3571)=O3571,"●","")</f>
        <v/>
      </c>
      <c r="O3571" s="346">
        <v>45982.268159722225</v>
      </c>
      <c r="P3571" s="334" t="str">
        <f t="shared" si="4"/>
        <v>トピー工業:ＭＭＨ２(特級)</v>
      </c>
    </row>
    <row r="3572" ht="15.75" customHeight="1">
      <c r="A3572" s="335" t="s">
        <v>4719</v>
      </c>
      <c r="B3572" s="336">
        <v>45982.0</v>
      </c>
      <c r="C3572" s="335" t="s">
        <v>14</v>
      </c>
      <c r="D3572" s="335" t="s">
        <v>46</v>
      </c>
      <c r="E3572" s="337" t="str">
        <f t="shared" si="1"/>
        <v>愛知:阪和</v>
      </c>
      <c r="F3572" s="338" t="s">
        <v>111</v>
      </c>
      <c r="G3572" s="339" t="str">
        <f t="shared" si="2"/>
        <v>愛知:阪和Ｈ１(特A)</v>
      </c>
      <c r="H3572" s="340">
        <f t="shared" si="3"/>
        <v>41.7</v>
      </c>
      <c r="I3572" s="341">
        <v>0.5</v>
      </c>
      <c r="J3572" s="332">
        <f>IFERROR(__xludf.DUMMYFUNCTION("IF(IF(COUNTIF(P$2:P3571, P3572)=0, """", INDEX(H$2:H3571,
MAX(FILTER(ROW(H$2:H3571) - ROW(H$2) + 1, P$2:P3571 = P3572))))=""単価"","""",
IF(COUNTIF(P$2:P3571, P3572)=0, """", INDEX(H$2:H3571,
MAX(FILTER(ROW(H$2:H3571) - ROW(H$2) + 1, P$2:P3571 = P3572)))))"),41.2)</f>
        <v>41.2</v>
      </c>
      <c r="N3572" s="335" t="str">
        <f>IF(MAXIFS('単価履歴'!$O:$O,'単価履歴'!$E:$E,E3572,'単価履歴'!$F:$F,F3572)=O3572,"●","")</f>
        <v/>
      </c>
      <c r="O3572" s="346">
        <v>45982.268483796295</v>
      </c>
      <c r="P3572" s="334" t="str">
        <f t="shared" si="4"/>
        <v>愛知:阪和Ｈ１(特A)</v>
      </c>
    </row>
    <row r="3573" ht="15.75" customHeight="1">
      <c r="A3573" s="335" t="s">
        <v>4720</v>
      </c>
      <c r="B3573" s="336">
        <v>45982.0</v>
      </c>
      <c r="C3573" s="335" t="s">
        <v>14</v>
      </c>
      <c r="D3573" s="335" t="s">
        <v>46</v>
      </c>
      <c r="E3573" s="337" t="str">
        <f t="shared" si="1"/>
        <v>愛知:阪和</v>
      </c>
      <c r="F3573" s="338" t="s">
        <v>130</v>
      </c>
      <c r="G3573" s="339" t="str">
        <f t="shared" si="2"/>
        <v>愛知:阪和新断Ａ</v>
      </c>
      <c r="H3573" s="340">
        <f t="shared" si="3"/>
        <v>46.5</v>
      </c>
      <c r="I3573" s="341">
        <v>0.5</v>
      </c>
      <c r="J3573" s="332">
        <f>IFERROR(__xludf.DUMMYFUNCTION("IF(IF(COUNTIF(P$2:P3572, P3573)=0, """", INDEX(H$2:H3572,
MAX(FILTER(ROW(H$2:H3572) - ROW(H$2) + 1, P$2:P3572 = P3573))))=""単価"","""",
IF(COUNTIF(P$2:P3572, P3573)=0, """", INDEX(H$2:H3572,
MAX(FILTER(ROW(H$2:H3572) - ROW(H$2) + 1, P$2:P3572 = P3573)))))"),46.0)</f>
        <v>46</v>
      </c>
      <c r="N3573" s="335" t="str">
        <f>IF(MAXIFS('単価履歴'!$O:$O,'単価履歴'!$E:$E,E3573,'単価履歴'!$F:$F,F3573)=O3573,"●","")</f>
        <v/>
      </c>
      <c r="O3573" s="346">
        <v>45982.268483796295</v>
      </c>
      <c r="P3573" s="334" t="str">
        <f t="shared" si="4"/>
        <v>愛知:阪和新断Ａ</v>
      </c>
    </row>
    <row r="3574" ht="15.75" customHeight="1">
      <c r="A3574" s="335" t="s">
        <v>4721</v>
      </c>
      <c r="B3574" s="336">
        <v>45982.0</v>
      </c>
      <c r="C3574" s="335" t="s">
        <v>14</v>
      </c>
      <c r="D3574" s="335" t="s">
        <v>46</v>
      </c>
      <c r="E3574" s="337" t="str">
        <f t="shared" si="1"/>
        <v>愛知:阪和</v>
      </c>
      <c r="F3574" s="338" t="s">
        <v>116</v>
      </c>
      <c r="G3574" s="339" t="str">
        <f t="shared" si="2"/>
        <v>愛知:阪和Ｈ２(特級)</v>
      </c>
      <c r="H3574" s="340">
        <f t="shared" si="3"/>
        <v>41.2</v>
      </c>
      <c r="I3574" s="341">
        <v>0.5</v>
      </c>
      <c r="J3574" s="332">
        <f>IFERROR(__xludf.DUMMYFUNCTION("IF(IF(COUNTIF(P$2:P3573, P3574)=0, """", INDEX(H$2:H3573,
MAX(FILTER(ROW(H$2:H3573) - ROW(H$2) + 1, P$2:P3573 = P3574))))=""単価"","""",
IF(COUNTIF(P$2:P3573, P3574)=0, """", INDEX(H$2:H3573,
MAX(FILTER(ROW(H$2:H3573) - ROW(H$2) + 1, P$2:P3573 = P3574)))))"),40.7)</f>
        <v>40.7</v>
      </c>
      <c r="N3574" s="335" t="str">
        <f>IF(MAXIFS('単価履歴'!$O:$O,'単価履歴'!$E:$E,E3574,'単価履歴'!$F:$F,F3574)=O3574,"●","")</f>
        <v/>
      </c>
      <c r="O3574" s="346">
        <v>45982.268483796295</v>
      </c>
      <c r="P3574" s="334" t="str">
        <f t="shared" si="4"/>
        <v>愛知:阪和Ｈ２(特級)</v>
      </c>
    </row>
    <row r="3575" ht="15.75" customHeight="1">
      <c r="A3575" s="335" t="s">
        <v>4722</v>
      </c>
      <c r="B3575" s="336">
        <v>45982.0</v>
      </c>
      <c r="C3575" s="335" t="s">
        <v>14</v>
      </c>
      <c r="D3575" s="335" t="s">
        <v>46</v>
      </c>
      <c r="E3575" s="337" t="str">
        <f t="shared" si="1"/>
        <v>愛知:阪和</v>
      </c>
      <c r="F3575" s="338" t="s">
        <v>131</v>
      </c>
      <c r="G3575" s="339" t="str">
        <f t="shared" si="2"/>
        <v>愛知:阪和新断Ｂ</v>
      </c>
      <c r="H3575" s="340">
        <f t="shared" si="3"/>
        <v>45.5</v>
      </c>
      <c r="I3575" s="341">
        <v>0.5</v>
      </c>
      <c r="J3575" s="332">
        <f>IFERROR(__xludf.DUMMYFUNCTION("IF(IF(COUNTIF(P$2:P3574, P3575)=0, """", INDEX(H$2:H3574,
MAX(FILTER(ROW(H$2:H3574) - ROW(H$2) + 1, P$2:P3574 = P3575))))=""単価"","""",
IF(COUNTIF(P$2:P3574, P3575)=0, """", INDEX(H$2:H3574,
MAX(FILTER(ROW(H$2:H3574) - ROW(H$2) + 1, P$2:P3574 = P3575)))))"),45.0)</f>
        <v>45</v>
      </c>
      <c r="N3575" s="335" t="str">
        <f>IF(MAXIFS('単価履歴'!$O:$O,'単価履歴'!$E:$E,E3575,'単価履歴'!$F:$F,F3575)=O3575,"●","")</f>
        <v/>
      </c>
      <c r="O3575" s="346">
        <v>45982.268483796295</v>
      </c>
      <c r="P3575" s="334" t="str">
        <f t="shared" si="4"/>
        <v>愛知:阪和新断Ｂ</v>
      </c>
    </row>
    <row r="3576" ht="15.75" customHeight="1">
      <c r="A3576" s="335" t="s">
        <v>4723</v>
      </c>
      <c r="B3576" s="336">
        <v>45982.0</v>
      </c>
      <c r="C3576" s="335" t="s">
        <v>14</v>
      </c>
      <c r="D3576" s="335" t="s">
        <v>46</v>
      </c>
      <c r="E3576" s="337" t="str">
        <f t="shared" si="1"/>
        <v>愛知:阪和</v>
      </c>
      <c r="F3576" s="338" t="s">
        <v>1199</v>
      </c>
      <c r="G3576" s="339" t="str">
        <f t="shared" si="2"/>
        <v>愛知:阪和ＨＳ１(単体H1/電特A/HS))</v>
      </c>
      <c r="H3576" s="340">
        <f t="shared" si="3"/>
        <v>46.7</v>
      </c>
      <c r="I3576" s="341">
        <v>0.5</v>
      </c>
      <c r="J3576" s="332">
        <f>IFERROR(__xludf.DUMMYFUNCTION("IF(IF(COUNTIF(P$2:P3575, P3576)=0, """", INDEX(H$2:H3575,
MAX(FILTER(ROW(H$2:H3575) - ROW(H$2) + 1, P$2:P3575 = P3576))))=""単価"","""",
IF(COUNTIF(P$2:P3575, P3576)=0, """", INDEX(H$2:H3575,
MAX(FILTER(ROW(H$2:H3575) - ROW(H$2) + 1, P$2:P3575 = P3576)))))"),46.2)</f>
        <v>46.2</v>
      </c>
      <c r="N3576" s="335" t="str">
        <f>IF(MAXIFS('単価履歴'!$O:$O,'単価履歴'!$E:$E,E3576,'単価履歴'!$F:$F,F3576)=O3576,"●","")</f>
        <v/>
      </c>
      <c r="O3576" s="346">
        <v>45982.268483796295</v>
      </c>
      <c r="P3576" s="334" t="str">
        <f t="shared" si="4"/>
        <v>愛知:阪和ＨＳ１(単体H1/電特A/HS))</v>
      </c>
    </row>
    <row r="3577" ht="15.75" customHeight="1">
      <c r="A3577" s="335" t="s">
        <v>4724</v>
      </c>
      <c r="B3577" s="336">
        <v>45982.0</v>
      </c>
      <c r="C3577" s="335" t="s">
        <v>14</v>
      </c>
      <c r="D3577" s="335" t="s">
        <v>46</v>
      </c>
      <c r="E3577" s="337" t="str">
        <f t="shared" si="1"/>
        <v>愛知:阪和</v>
      </c>
      <c r="F3577" s="338" t="s">
        <v>119</v>
      </c>
      <c r="G3577" s="339" t="str">
        <f t="shared" si="2"/>
        <v>愛知:阪和Ｈ３(1級)</v>
      </c>
      <c r="H3577" s="340">
        <f t="shared" si="3"/>
        <v>40.2</v>
      </c>
      <c r="I3577" s="341">
        <v>0.5</v>
      </c>
      <c r="J3577" s="332">
        <f>IFERROR(__xludf.DUMMYFUNCTION("IF(IF(COUNTIF(P$2:P3576, P3577)=0, """", INDEX(H$2:H3576,
MAX(FILTER(ROW(H$2:H3576) - ROW(H$2) + 1, P$2:P3576 = P3577))))=""単価"","""",
IF(COUNTIF(P$2:P3576, P3577)=0, """", INDEX(H$2:H3576,
MAX(FILTER(ROW(H$2:H3576) - ROW(H$2) + 1, P$2:P3576 = P3577)))))"),39.7)</f>
        <v>39.7</v>
      </c>
      <c r="N3577" s="335" t="str">
        <f>IF(MAXIFS('単価履歴'!$O:$O,'単価履歴'!$E:$E,E3577,'単価履歴'!$F:$F,F3577)=O3577,"●","")</f>
        <v/>
      </c>
      <c r="O3577" s="346">
        <v>45982.268483796295</v>
      </c>
      <c r="P3577" s="334" t="str">
        <f t="shared" si="4"/>
        <v>愛知:阪和Ｈ３(1級)</v>
      </c>
    </row>
    <row r="3578" ht="15.75" customHeight="1">
      <c r="A3578" s="335" t="s">
        <v>4725</v>
      </c>
      <c r="B3578" s="336">
        <v>45982.0</v>
      </c>
      <c r="C3578" s="335" t="s">
        <v>14</v>
      </c>
      <c r="D3578" s="335" t="s">
        <v>46</v>
      </c>
      <c r="E3578" s="337" t="str">
        <f t="shared" si="1"/>
        <v>愛知:阪和</v>
      </c>
      <c r="F3578" s="338" t="s">
        <v>101</v>
      </c>
      <c r="G3578" s="339" t="str">
        <f t="shared" si="2"/>
        <v>愛知:阪和ＨＳ２</v>
      </c>
      <c r="H3578" s="340">
        <f t="shared" si="3"/>
        <v>46.2</v>
      </c>
      <c r="I3578" s="341">
        <v>0.5</v>
      </c>
      <c r="J3578" s="332">
        <f>IFERROR(__xludf.DUMMYFUNCTION("IF(IF(COUNTIF(P$2:P3577, P3578)=0, """", INDEX(H$2:H3577,
MAX(FILTER(ROW(H$2:H3577) - ROW(H$2) + 1, P$2:P3577 = P3578))))=""単価"","""",
IF(COUNTIF(P$2:P3577, P3578)=0, """", INDEX(H$2:H3577,
MAX(FILTER(ROW(H$2:H3577) - ROW(H$2) + 1, P$2:P3577 = P3578)))))"),45.7)</f>
        <v>45.7</v>
      </c>
      <c r="N3578" s="335" t="str">
        <f>IF(MAXIFS('単価履歴'!$O:$O,'単価履歴'!$E:$E,E3578,'単価履歴'!$F:$F,F3578)=O3578,"●","")</f>
        <v/>
      </c>
      <c r="O3578" s="346">
        <v>45982.268483796295</v>
      </c>
      <c r="P3578" s="334" t="str">
        <f t="shared" si="4"/>
        <v>愛知:阪和ＨＳ２</v>
      </c>
    </row>
    <row r="3579" ht="15.75" customHeight="1">
      <c r="A3579" s="335" t="s">
        <v>4726</v>
      </c>
      <c r="B3579" s="336">
        <v>45982.0</v>
      </c>
      <c r="C3579" s="335" t="s">
        <v>14</v>
      </c>
      <c r="D3579" s="335" t="s">
        <v>46</v>
      </c>
      <c r="E3579" s="337" t="str">
        <f t="shared" si="1"/>
        <v>愛知:阪和</v>
      </c>
      <c r="F3579" s="338" t="s">
        <v>573</v>
      </c>
      <c r="G3579" s="339" t="str">
        <f t="shared" si="2"/>
        <v>愛知:阪和Ｌ２(H4･級外･L1ﾊﾞﾗ)</v>
      </c>
      <c r="H3579" s="340">
        <f t="shared" si="3"/>
        <v>36.8</v>
      </c>
      <c r="I3579" s="341">
        <v>0.5</v>
      </c>
      <c r="J3579" s="332">
        <f>IFERROR(__xludf.DUMMYFUNCTION("IF(IF(COUNTIF(P$2:P3578, P3579)=0, """", INDEX(H$2:H3578,
MAX(FILTER(ROW(H$2:H3578) - ROW(H$2) + 1, P$2:P3578 = P3579))))=""単価"","""",
IF(COUNTIF(P$2:P3578, P3579)=0, """", INDEX(H$2:H3578,
MAX(FILTER(ROW(H$2:H3578) - ROW(H$2) + 1, P$2:P3578 = P3579)))))"),36.3)</f>
        <v>36.3</v>
      </c>
      <c r="N3579" s="335" t="str">
        <f>IF(MAXIFS('単価履歴'!$O:$O,'単価履歴'!$E:$E,E3579,'単価履歴'!$F:$F,F3579)=O3579,"●","")</f>
        <v/>
      </c>
      <c r="O3579" s="346">
        <v>45982.268483796295</v>
      </c>
      <c r="P3579" s="334" t="str">
        <f t="shared" si="4"/>
        <v>愛知:阪和Ｌ２(H4･級外･L1ﾊﾞﾗ)</v>
      </c>
    </row>
    <row r="3580" ht="15.75" customHeight="1">
      <c r="A3580" s="335" t="s">
        <v>4727</v>
      </c>
      <c r="B3580" s="336">
        <v>45982.0</v>
      </c>
      <c r="C3580" s="335" t="s">
        <v>14</v>
      </c>
      <c r="D3580" s="335" t="s">
        <v>46</v>
      </c>
      <c r="E3580" s="337" t="str">
        <f t="shared" si="1"/>
        <v>愛知:阪和</v>
      </c>
      <c r="F3580" s="338" t="s">
        <v>145</v>
      </c>
      <c r="G3580" s="339" t="str">
        <f t="shared" si="2"/>
        <v>愛知:阪和シュレＡ</v>
      </c>
      <c r="H3580" s="340">
        <f t="shared" si="3"/>
        <v>46.5</v>
      </c>
      <c r="I3580" s="341">
        <v>0.5</v>
      </c>
      <c r="J3580" s="332">
        <f>IFERROR(__xludf.DUMMYFUNCTION("IF(IF(COUNTIF(P$2:P3579, P3580)=0, """", INDEX(H$2:H3579,
MAX(FILTER(ROW(H$2:H3579) - ROW(H$2) + 1, P$2:P3579 = P3580))))=""単価"","""",
IF(COUNTIF(P$2:P3579, P3580)=0, """", INDEX(H$2:H3579,
MAX(FILTER(ROW(H$2:H3579) - ROW(H$2) + 1, P$2:P3579 = P3580)))))"),46.0)</f>
        <v>46</v>
      </c>
      <c r="N3580" s="335" t="str">
        <f>IF(MAXIFS('単価履歴'!$O:$O,'単価履歴'!$E:$E,E3580,'単価履歴'!$F:$F,F3580)=O3580,"●","")</f>
        <v/>
      </c>
      <c r="O3580" s="346">
        <v>45982.268483796295</v>
      </c>
      <c r="P3580" s="334" t="str">
        <f t="shared" si="4"/>
        <v>愛知:阪和シュレＡ</v>
      </c>
    </row>
    <row r="3581" ht="15.75" customHeight="1">
      <c r="A3581" s="335" t="s">
        <v>4728</v>
      </c>
      <c r="B3581" s="336">
        <v>45982.0</v>
      </c>
      <c r="C3581" s="335" t="s">
        <v>537</v>
      </c>
      <c r="D3581" s="335" t="s">
        <v>1404</v>
      </c>
      <c r="E3581" s="337" t="str">
        <f t="shared" si="1"/>
        <v>大同特殊鋼:JSE/大和ﾘﾃｯｸ</v>
      </c>
      <c r="F3581" s="338" t="s">
        <v>116</v>
      </c>
      <c r="G3581" s="339" t="str">
        <f t="shared" si="2"/>
        <v>大同特殊鋼:JSE/大和ﾘﾃｯｸＨ２(特級)</v>
      </c>
      <c r="H3581" s="340">
        <f t="shared" si="3"/>
        <v>43.2</v>
      </c>
      <c r="I3581" s="341">
        <v>0.5</v>
      </c>
      <c r="J3581" s="332">
        <f>IFERROR(__xludf.DUMMYFUNCTION("IF(IF(COUNTIF(P$2:P3580, P3581)=0, """", INDEX(H$2:H3580,
MAX(FILTER(ROW(H$2:H3580) - ROW(H$2) + 1, P$2:P3580 = P3581))))=""単価"","""",
IF(COUNTIF(P$2:P3580, P3581)=0, """", INDEX(H$2:H3580,
MAX(FILTER(ROW(H$2:H3580) - ROW(H$2) + 1, P$2:P3580 = P3581)))))"),42.7)</f>
        <v>42.7</v>
      </c>
      <c r="N3581" s="335" t="str">
        <f>IF(MAXIFS('単価履歴'!$O:$O,'単価履歴'!$E:$E,E3581,'単価履歴'!$F:$F,F3581)=O3581,"●","")</f>
        <v/>
      </c>
      <c r="O3581" s="346">
        <v>45982.268807870365</v>
      </c>
      <c r="P3581" s="334" t="str">
        <f t="shared" si="4"/>
        <v>大同特殊鋼:JSE/大和ﾘﾃｯｸＨ２(特級)</v>
      </c>
    </row>
    <row r="3582" ht="15.75" customHeight="1">
      <c r="A3582" s="335" t="s">
        <v>4729</v>
      </c>
      <c r="B3582" s="336">
        <v>45982.0</v>
      </c>
      <c r="C3582" s="335" t="s">
        <v>537</v>
      </c>
      <c r="D3582" s="335" t="s">
        <v>1404</v>
      </c>
      <c r="E3582" s="337" t="str">
        <f t="shared" si="1"/>
        <v>大同特殊鋼:JSE/大和ﾘﾃｯｸ</v>
      </c>
      <c r="F3582" s="338" t="s">
        <v>575</v>
      </c>
      <c r="G3582" s="339" t="str">
        <f t="shared" si="2"/>
        <v>大同特殊鋼:JSE/大和ﾘﾃｯｸ鋼ダライＡ</v>
      </c>
      <c r="H3582" s="340">
        <f t="shared" si="3"/>
        <v>41.5</v>
      </c>
      <c r="I3582" s="341">
        <v>0.5</v>
      </c>
      <c r="J3582" s="332">
        <f>IFERROR(__xludf.DUMMYFUNCTION("IF(IF(COUNTIF(P$2:P3581, P3582)=0, """", INDEX(H$2:H3581,
MAX(FILTER(ROW(H$2:H3581) - ROW(H$2) + 1, P$2:P3581 = P3582))))=""単価"","""",
IF(COUNTIF(P$2:P3581, P3582)=0, """", INDEX(H$2:H3581,
MAX(FILTER(ROW(H$2:H3581) - ROW(H$2) + 1, P$2:P3581 = P3582)))))"),41.0)</f>
        <v>41</v>
      </c>
      <c r="N3582" s="335" t="str">
        <f>IF(MAXIFS('単価履歴'!$O:$O,'単価履歴'!$E:$E,E3582,'単価履歴'!$F:$F,F3582)=O3582,"●","")</f>
        <v/>
      </c>
      <c r="O3582" s="346">
        <v>45982.268807870365</v>
      </c>
      <c r="P3582" s="334" t="str">
        <f t="shared" si="4"/>
        <v>大同特殊鋼:JSE/大和ﾘﾃｯｸ鋼ダライＡ</v>
      </c>
    </row>
    <row r="3583" ht="15.75" customHeight="1">
      <c r="A3583" s="335" t="s">
        <v>4730</v>
      </c>
      <c r="B3583" s="336">
        <v>45982.0</v>
      </c>
      <c r="C3583" s="335" t="s">
        <v>537</v>
      </c>
      <c r="D3583" s="335" t="s">
        <v>1404</v>
      </c>
      <c r="E3583" s="337" t="str">
        <f t="shared" si="1"/>
        <v>大同特殊鋼:JSE/大和ﾘﾃｯｸ</v>
      </c>
      <c r="F3583" s="338" t="s">
        <v>1199</v>
      </c>
      <c r="G3583" s="339" t="str">
        <f t="shared" si="2"/>
        <v>大同特殊鋼:JSE/大和ﾘﾃｯｸＨＳ１(単体H1/電特A/HS))</v>
      </c>
      <c r="H3583" s="340">
        <f t="shared" si="3"/>
        <v>46.3</v>
      </c>
      <c r="I3583" s="341">
        <v>0.5</v>
      </c>
      <c r="J3583" s="332">
        <f>IFERROR(__xludf.DUMMYFUNCTION("IF(IF(COUNTIF(P$2:P3582, P3583)=0, """", INDEX(H$2:H3582,
MAX(FILTER(ROW(H$2:H3582) - ROW(H$2) + 1, P$2:P3582 = P3583))))=""単価"","""",
IF(COUNTIF(P$2:P3582, P3583)=0, """", INDEX(H$2:H3582,
MAX(FILTER(ROW(H$2:H3582) - ROW(H$2) + 1, P$2:P3582 = P3583)))))"),45.8)</f>
        <v>45.8</v>
      </c>
      <c r="N3583" s="335" t="str">
        <f>IF(MAXIFS('単価履歴'!$O:$O,'単価履歴'!$E:$E,E3583,'単価履歴'!$F:$F,F3583)=O3583,"●","")</f>
        <v/>
      </c>
      <c r="O3583" s="346">
        <v>45982.268807870365</v>
      </c>
      <c r="P3583" s="334" t="str">
        <f t="shared" si="4"/>
        <v>大同特殊鋼:JSE/大和ﾘﾃｯｸＨＳ１(単体H1/電特A/HS))</v>
      </c>
    </row>
    <row r="3584" ht="15.75" customHeight="1">
      <c r="A3584" s="335" t="s">
        <v>4731</v>
      </c>
      <c r="B3584" s="336">
        <v>45982.0</v>
      </c>
      <c r="C3584" s="335" t="s">
        <v>537</v>
      </c>
      <c r="D3584" s="335" t="s">
        <v>1407</v>
      </c>
      <c r="E3584" s="337" t="str">
        <f t="shared" si="1"/>
        <v>大同特殊鋼:JSE/第二＠2.3</v>
      </c>
      <c r="F3584" s="338" t="s">
        <v>575</v>
      </c>
      <c r="G3584" s="339" t="str">
        <f t="shared" si="2"/>
        <v>大同特殊鋼:JSE/第二＠2.3鋼ダライＡ</v>
      </c>
      <c r="H3584" s="340">
        <f t="shared" si="3"/>
        <v>39.2</v>
      </c>
      <c r="I3584" s="341">
        <v>0.5</v>
      </c>
      <c r="J3584" s="332">
        <f>IFERROR(__xludf.DUMMYFUNCTION("IF(IF(COUNTIF(P$2:P3583, P3584)=0, """", INDEX(H$2:H3583,
MAX(FILTER(ROW(H$2:H3583) - ROW(H$2) + 1, P$2:P3583 = P3584))))=""単価"","""",
IF(COUNTIF(P$2:P3583, P3584)=0, """", INDEX(H$2:H3583,
MAX(FILTER(ROW(H$2:H3583) - ROW(H$2) + 1, P$2:P3583 = P3584)))))"),38.7)</f>
        <v>38.7</v>
      </c>
      <c r="N3584" s="335" t="str">
        <f>IF(MAXIFS('単価履歴'!$O:$O,'単価履歴'!$E:$E,E3584,'単価履歴'!$F:$F,F3584)=O3584,"●","")</f>
        <v/>
      </c>
      <c r="O3584" s="346">
        <v>45982.269270833334</v>
      </c>
      <c r="P3584" s="334" t="str">
        <f t="shared" si="4"/>
        <v>大同特殊鋼:JSE/第二＠2.3鋼ダライＡ</v>
      </c>
    </row>
    <row r="3585" ht="15.75" customHeight="1">
      <c r="A3585" s="335" t="s">
        <v>4732</v>
      </c>
      <c r="B3585" s="336">
        <v>45982.0</v>
      </c>
      <c r="C3585" s="335" t="s">
        <v>537</v>
      </c>
      <c r="D3585" s="335" t="s">
        <v>1407</v>
      </c>
      <c r="E3585" s="337" t="str">
        <f t="shared" si="1"/>
        <v>大同特殊鋼:JSE/第二＠2.3</v>
      </c>
      <c r="F3585" s="338" t="s">
        <v>1199</v>
      </c>
      <c r="G3585" s="339" t="str">
        <f t="shared" si="2"/>
        <v>大同特殊鋼:JSE/第二＠2.3ＨＳ１(単体H1/電特A/HS))</v>
      </c>
      <c r="H3585" s="340">
        <f t="shared" si="3"/>
        <v>44</v>
      </c>
      <c r="I3585" s="341">
        <v>0.5</v>
      </c>
      <c r="J3585" s="332">
        <f>IFERROR(__xludf.DUMMYFUNCTION("IF(IF(COUNTIF(P$2:P3584, P3585)=0, """", INDEX(H$2:H3584,
MAX(FILTER(ROW(H$2:H3584) - ROW(H$2) + 1, P$2:P3584 = P3585))))=""単価"","""",
IF(COUNTIF(P$2:P3584, P3585)=0, """", INDEX(H$2:H3584,
MAX(FILTER(ROW(H$2:H3584) - ROW(H$2) + 1, P$2:P3584 = P3585)))))"),43.5)</f>
        <v>43.5</v>
      </c>
      <c r="N3585" s="335" t="str">
        <f>IF(MAXIFS('単価履歴'!$O:$O,'単価履歴'!$E:$E,E3585,'単価履歴'!$F:$F,F3585)=O3585,"●","")</f>
        <v/>
      </c>
      <c r="O3585" s="346">
        <v>45982.269270833334</v>
      </c>
      <c r="P3585" s="334" t="str">
        <f t="shared" si="4"/>
        <v>大同特殊鋼:JSE/第二＠2.3ＨＳ１(単体H1/電特A/HS))</v>
      </c>
    </row>
    <row r="3586" ht="15.75" customHeight="1">
      <c r="A3586" s="335" t="s">
        <v>4733</v>
      </c>
      <c r="B3586" s="336">
        <v>45982.0</v>
      </c>
      <c r="C3586" s="335" t="s">
        <v>537</v>
      </c>
      <c r="D3586" s="335" t="s">
        <v>1407</v>
      </c>
      <c r="E3586" s="337" t="str">
        <f t="shared" si="1"/>
        <v>大同特殊鋼:JSE/第二＠2.3</v>
      </c>
      <c r="F3586" s="338" t="s">
        <v>116</v>
      </c>
      <c r="G3586" s="339" t="str">
        <f t="shared" si="2"/>
        <v>大同特殊鋼:JSE/第二＠2.3Ｈ２(特級)</v>
      </c>
      <c r="H3586" s="340">
        <f t="shared" si="3"/>
        <v>40.9</v>
      </c>
      <c r="I3586" s="341">
        <v>0.5</v>
      </c>
      <c r="J3586" s="332">
        <f>IFERROR(__xludf.DUMMYFUNCTION("IF(IF(COUNTIF(P$2:P3585, P3586)=0, """", INDEX(H$2:H3585,
MAX(FILTER(ROW(H$2:H3585) - ROW(H$2) + 1, P$2:P3585 = P3586))))=""単価"","""",
IF(COUNTIF(P$2:P3585, P3586)=0, """", INDEX(H$2:H3585,
MAX(FILTER(ROW(H$2:H3585) - ROW(H$2) + 1, P$2:P3585 = P3586)))))"),40.400000000000006)</f>
        <v>40.4</v>
      </c>
      <c r="N3586" s="335" t="str">
        <f>IF(MAXIFS('単価履歴'!$O:$O,'単価履歴'!$E:$E,E3586,'単価履歴'!$F:$F,F3586)=O3586,"●","")</f>
        <v/>
      </c>
      <c r="O3586" s="346">
        <v>45982.269270833334</v>
      </c>
      <c r="P3586" s="334" t="str">
        <f t="shared" si="4"/>
        <v>大同特殊鋼:JSE/第二＠2.3Ｈ２(特級)</v>
      </c>
    </row>
    <row r="3587" ht="15.75" customHeight="1">
      <c r="A3587" s="335" t="s">
        <v>4734</v>
      </c>
      <c r="B3587" s="336">
        <v>45982.0</v>
      </c>
      <c r="C3587" s="335" t="s">
        <v>537</v>
      </c>
      <c r="D3587" s="335" t="s">
        <v>1410</v>
      </c>
      <c r="E3587" s="337" t="str">
        <f t="shared" si="1"/>
        <v>大同特殊鋼:JSE/岐阜＠1.5</v>
      </c>
      <c r="F3587" s="338" t="s">
        <v>575</v>
      </c>
      <c r="G3587" s="339" t="str">
        <f t="shared" si="2"/>
        <v>大同特殊鋼:JSE/岐阜＠1.5鋼ダライＡ</v>
      </c>
      <c r="H3587" s="340">
        <f t="shared" si="3"/>
        <v>40</v>
      </c>
      <c r="I3587" s="341">
        <v>0.5</v>
      </c>
      <c r="J3587" s="332">
        <f>IFERROR(__xludf.DUMMYFUNCTION("IF(IF(COUNTIF(P$2:P3586, P3587)=0, """", INDEX(H$2:H3586,
MAX(FILTER(ROW(H$2:H3586) - ROW(H$2) + 1, P$2:P3586 = P3587))))=""単価"","""",
IF(COUNTIF(P$2:P3586, P3587)=0, """", INDEX(H$2:H3586,
MAX(FILTER(ROW(H$2:H3586) - ROW(H$2) + 1, P$2:P3586 = P3587)))))"),39.5)</f>
        <v>39.5</v>
      </c>
      <c r="N3587" s="335" t="str">
        <f>IF(MAXIFS('単価履歴'!$O:$O,'単価履歴'!$E:$E,E3587,'単価履歴'!$F:$F,F3587)=O3587,"●","")</f>
        <v/>
      </c>
      <c r="O3587" s="346">
        <v>45982.269270833334</v>
      </c>
      <c r="P3587" s="334" t="str">
        <f t="shared" si="4"/>
        <v>大同特殊鋼:JSE/岐阜＠1.5鋼ダライＡ</v>
      </c>
    </row>
    <row r="3588" ht="15.75" customHeight="1">
      <c r="A3588" s="335" t="s">
        <v>4735</v>
      </c>
      <c r="B3588" s="336">
        <v>45982.0</v>
      </c>
      <c r="C3588" s="335" t="s">
        <v>537</v>
      </c>
      <c r="D3588" s="335" t="s">
        <v>1410</v>
      </c>
      <c r="E3588" s="337" t="str">
        <f t="shared" si="1"/>
        <v>大同特殊鋼:JSE/岐阜＠1.5</v>
      </c>
      <c r="F3588" s="338" t="s">
        <v>1199</v>
      </c>
      <c r="G3588" s="339" t="str">
        <f t="shared" si="2"/>
        <v>大同特殊鋼:JSE/岐阜＠1.5ＨＳ１(単体H1/電特A/HS))</v>
      </c>
      <c r="H3588" s="340">
        <f t="shared" si="3"/>
        <v>44.8</v>
      </c>
      <c r="I3588" s="341">
        <v>0.5</v>
      </c>
      <c r="J3588" s="332">
        <f>IFERROR(__xludf.DUMMYFUNCTION("IF(IF(COUNTIF(P$2:P3587, P3588)=0, """", INDEX(H$2:H3587,
MAX(FILTER(ROW(H$2:H3587) - ROW(H$2) + 1, P$2:P3587 = P3588))))=""単価"","""",
IF(COUNTIF(P$2:P3587, P3588)=0, """", INDEX(H$2:H3587,
MAX(FILTER(ROW(H$2:H3587) - ROW(H$2) + 1, P$2:P3587 = P3588)))))"),44.3)</f>
        <v>44.3</v>
      </c>
      <c r="N3588" s="335" t="str">
        <f>IF(MAXIFS('単価履歴'!$O:$O,'単価履歴'!$E:$E,E3588,'単価履歴'!$F:$F,F3588)=O3588,"●","")</f>
        <v/>
      </c>
      <c r="O3588" s="346">
        <v>45982.269270833334</v>
      </c>
      <c r="P3588" s="334" t="str">
        <f t="shared" si="4"/>
        <v>大同特殊鋼:JSE/岐阜＠1.5ＨＳ１(単体H1/電特A/HS))</v>
      </c>
    </row>
    <row r="3589" ht="15.75" customHeight="1">
      <c r="A3589" s="335" t="s">
        <v>4736</v>
      </c>
      <c r="B3589" s="336">
        <v>45982.0</v>
      </c>
      <c r="C3589" s="335" t="s">
        <v>537</v>
      </c>
      <c r="D3589" s="335" t="s">
        <v>1410</v>
      </c>
      <c r="E3589" s="337" t="str">
        <f t="shared" si="1"/>
        <v>大同特殊鋼:JSE/岐阜＠1.5</v>
      </c>
      <c r="F3589" s="338" t="s">
        <v>116</v>
      </c>
      <c r="G3589" s="339" t="str">
        <f t="shared" si="2"/>
        <v>大同特殊鋼:JSE/岐阜＠1.5Ｈ２(特級)</v>
      </c>
      <c r="H3589" s="340">
        <f t="shared" si="3"/>
        <v>41.7</v>
      </c>
      <c r="I3589" s="341">
        <v>0.5</v>
      </c>
      <c r="J3589" s="332">
        <f>IFERROR(__xludf.DUMMYFUNCTION("IF(IF(COUNTIF(P$2:P3588, P3589)=0, """", INDEX(H$2:H3588,
MAX(FILTER(ROW(H$2:H3588) - ROW(H$2) + 1, P$2:P3588 = P3589))))=""単価"","""",
IF(COUNTIF(P$2:P3588, P3589)=0, """", INDEX(H$2:H3588,
MAX(FILTER(ROW(H$2:H3588) - ROW(H$2) + 1, P$2:P3588 = P3589)))))"),41.2)</f>
        <v>41.2</v>
      </c>
      <c r="N3589" s="335" t="str">
        <f>IF(MAXIFS('単価履歴'!$O:$O,'単価履歴'!$E:$E,E3589,'単価履歴'!$F:$F,F3589)=O3589,"●","")</f>
        <v/>
      </c>
      <c r="O3589" s="346">
        <v>45982.269270833334</v>
      </c>
      <c r="P3589" s="334" t="str">
        <f t="shared" si="4"/>
        <v>大同特殊鋼:JSE/岐阜＠1.5Ｈ２(特級)</v>
      </c>
    </row>
    <row r="3590" ht="15.75" customHeight="1">
      <c r="A3590" s="335" t="s">
        <v>4737</v>
      </c>
      <c r="B3590" s="336">
        <v>45982.0</v>
      </c>
      <c r="C3590" s="335" t="s">
        <v>537</v>
      </c>
      <c r="D3590" s="335" t="s">
        <v>59</v>
      </c>
      <c r="E3590" s="337" t="str">
        <f t="shared" si="1"/>
        <v>大同特殊鋼:大同興業</v>
      </c>
      <c r="F3590" s="338" t="s">
        <v>575</v>
      </c>
      <c r="G3590" s="339" t="str">
        <f t="shared" si="2"/>
        <v>大同特殊鋼:大同興業鋼ダライＡ</v>
      </c>
      <c r="H3590" s="340">
        <f t="shared" si="3"/>
        <v>39.4</v>
      </c>
      <c r="I3590" s="341">
        <v>0.5</v>
      </c>
      <c r="J3590" s="332">
        <f>IFERROR(__xludf.DUMMYFUNCTION("IF(IF(COUNTIF(P$2:P3589, P3590)=0, """", INDEX(H$2:H3589,
MAX(FILTER(ROW(H$2:H3589) - ROW(H$2) + 1, P$2:P3589 = P3590))))=""単価"","""",
IF(COUNTIF(P$2:P3589, P3590)=0, """", INDEX(H$2:H3589,
MAX(FILTER(ROW(H$2:H3589) - ROW(H$2) + 1, P$2:P3589 = P3590)))))"),38.9)</f>
        <v>38.9</v>
      </c>
      <c r="N3590" s="335" t="str">
        <f>IF(MAXIFS('単価履歴'!$O:$O,'単価履歴'!$E:$E,E3590,'単価履歴'!$F:$F,F3590)=O3590,"●","")</f>
        <v/>
      </c>
      <c r="O3590" s="346">
        <v>45982.269270833334</v>
      </c>
      <c r="P3590" s="334" t="str">
        <f t="shared" si="4"/>
        <v>大同特殊鋼:大同興業鋼ダライＡ</v>
      </c>
    </row>
    <row r="3591" ht="15.75" customHeight="1">
      <c r="A3591" s="335" t="s">
        <v>4738</v>
      </c>
      <c r="B3591" s="336">
        <v>45982.0</v>
      </c>
      <c r="C3591" s="335" t="s">
        <v>537</v>
      </c>
      <c r="D3591" s="335" t="s">
        <v>59</v>
      </c>
      <c r="E3591" s="337" t="str">
        <f t="shared" si="1"/>
        <v>大同特殊鋼:大同興業</v>
      </c>
      <c r="F3591" s="338" t="s">
        <v>1199</v>
      </c>
      <c r="G3591" s="339" t="str">
        <f t="shared" si="2"/>
        <v>大同特殊鋼:大同興業ＨＳ１(単体H1/電特A/HS))</v>
      </c>
      <c r="H3591" s="340">
        <f t="shared" si="3"/>
        <v>47</v>
      </c>
      <c r="I3591" s="341">
        <v>0.5</v>
      </c>
      <c r="J3591" s="332">
        <f>IFERROR(__xludf.DUMMYFUNCTION("IF(IF(COUNTIF(P$2:P3590, P3591)=0, """", INDEX(H$2:H3590,
MAX(FILTER(ROW(H$2:H3590) - ROW(H$2) + 1, P$2:P3590 = P3591))))=""単価"","""",
IF(COUNTIF(P$2:P3590, P3591)=0, """", INDEX(H$2:H3590,
MAX(FILTER(ROW(H$2:H3590) - ROW(H$2) + 1, P$2:P3590 = P3591)))))"),46.5)</f>
        <v>46.5</v>
      </c>
      <c r="N3591" s="335" t="str">
        <f>IF(MAXIFS('単価履歴'!$O:$O,'単価履歴'!$E:$E,E3591,'単価履歴'!$F:$F,F3591)=O3591,"●","")</f>
        <v/>
      </c>
      <c r="O3591" s="346">
        <v>45982.269270833334</v>
      </c>
      <c r="P3591" s="334" t="str">
        <f t="shared" si="4"/>
        <v>大同特殊鋼:大同興業ＨＳ１(単体H1/電特A/HS))</v>
      </c>
    </row>
    <row r="3592" ht="15.75" customHeight="1">
      <c r="A3592" s="335" t="s">
        <v>4739</v>
      </c>
      <c r="B3592" s="336">
        <v>45982.0</v>
      </c>
      <c r="C3592" s="335" t="s">
        <v>537</v>
      </c>
      <c r="D3592" s="335" t="s">
        <v>59</v>
      </c>
      <c r="E3592" s="337" t="str">
        <f t="shared" si="1"/>
        <v>大同特殊鋼:大同興業</v>
      </c>
      <c r="F3592" s="338" t="s">
        <v>116</v>
      </c>
      <c r="G3592" s="339" t="str">
        <f t="shared" si="2"/>
        <v>大同特殊鋼:大同興業Ｈ２(特級)</v>
      </c>
      <c r="H3592" s="340">
        <f t="shared" si="3"/>
        <v>1.5</v>
      </c>
      <c r="I3592" s="341">
        <v>0.5</v>
      </c>
      <c r="J3592" s="332">
        <f>IFERROR(__xludf.DUMMYFUNCTION("IF(IF(COUNTIF(P$2:P3591, P3592)=0, """", INDEX(H$2:H3591,
MAX(FILTER(ROW(H$2:H3591) - ROW(H$2) + 1, P$2:P3591 = P3592))))=""単価"","""",
IF(COUNTIF(P$2:P3591, P3592)=0, """", INDEX(H$2:H3591,
MAX(FILTER(ROW(H$2:H3591) - ROW(H$2) + 1, P$2:P3591 = P3592)))))"),1.0)</f>
        <v>1</v>
      </c>
      <c r="N3592" s="335" t="str">
        <f>IF(MAXIFS('単価履歴'!$O:$O,'単価履歴'!$E:$E,E3592,'単価履歴'!$F:$F,F3592)=O3592,"●","")</f>
        <v>●</v>
      </c>
      <c r="O3592" s="346">
        <v>45982.269270833334</v>
      </c>
      <c r="P3592" s="334" t="str">
        <f t="shared" si="4"/>
        <v>大同特殊鋼:大同興業Ｈ２(特級)</v>
      </c>
    </row>
    <row r="3593" ht="15.75" customHeight="1">
      <c r="A3593" s="335" t="s">
        <v>4740</v>
      </c>
      <c r="B3593" s="336">
        <v>45982.0</v>
      </c>
      <c r="C3593" s="335" t="s">
        <v>15</v>
      </c>
      <c r="D3593" s="335" t="s">
        <v>58</v>
      </c>
      <c r="E3593" s="337" t="str">
        <f t="shared" si="1"/>
        <v>山口鋼業:MM建材</v>
      </c>
      <c r="F3593" s="338" t="s">
        <v>1237</v>
      </c>
      <c r="G3593" s="339" t="str">
        <f t="shared" si="2"/>
        <v>山口鋼業:MM建材ＪＨ１(H2T山口)鍛造ﾊﾞﾘ</v>
      </c>
      <c r="H3593" s="340">
        <f t="shared" si="3"/>
        <v>43</v>
      </c>
      <c r="I3593" s="341">
        <v>0.5</v>
      </c>
      <c r="J3593" s="332">
        <f>IFERROR(__xludf.DUMMYFUNCTION("IF(IF(COUNTIF(P$2:P3592, P3593)=0, """", INDEX(H$2:H3592,
MAX(FILTER(ROW(H$2:H3592) - ROW(H$2) + 1, P$2:P3592 = P3593))))=""単価"","""",
IF(COUNTIF(P$2:P3592, P3593)=0, """", INDEX(H$2:H3592,
MAX(FILTER(ROW(H$2:H3592) - ROW(H$2) + 1, P$2:P3592 = P3593)))))"),42.5)</f>
        <v>42.5</v>
      </c>
      <c r="N3593" s="335" t="str">
        <f>IF(MAXIFS('単価履歴'!$O:$O,'単価履歴'!$E:$E,E3593,'単価履歴'!$F:$F,F3593)=O3593,"●","")</f>
        <v/>
      </c>
      <c r="O3593" s="346">
        <v>45982.26950231481</v>
      </c>
      <c r="P3593" s="334" t="str">
        <f t="shared" si="4"/>
        <v>山口鋼業:MM建材ＪＨ１(H2T山口)鍛造ﾊﾞﾘ</v>
      </c>
    </row>
    <row r="3594" ht="15.75" customHeight="1">
      <c r="A3594" s="335" t="s">
        <v>4741</v>
      </c>
      <c r="B3594" s="336">
        <v>45982.0</v>
      </c>
      <c r="C3594" s="335" t="s">
        <v>15</v>
      </c>
      <c r="D3594" s="335" t="s">
        <v>58</v>
      </c>
      <c r="E3594" s="337" t="str">
        <f t="shared" si="1"/>
        <v>山口鋼業:MM建材</v>
      </c>
      <c r="F3594" s="338" t="s">
        <v>573</v>
      </c>
      <c r="G3594" s="339" t="str">
        <f t="shared" si="2"/>
        <v>山口鋼業:MM建材Ｌ２(H4･級外･L1ﾊﾞﾗ)</v>
      </c>
      <c r="H3594" s="340">
        <f t="shared" si="3"/>
        <v>39.5</v>
      </c>
      <c r="I3594" s="341">
        <v>0.5</v>
      </c>
      <c r="J3594" s="332">
        <f>IFERROR(__xludf.DUMMYFUNCTION("IF(IF(COUNTIF(P$2:P3593, P3594)=0, """", INDEX(H$2:H3593,
MAX(FILTER(ROW(H$2:H3593) - ROW(H$2) + 1, P$2:P3593 = P3594))))=""単価"","""",
IF(COUNTIF(P$2:P3593, P3594)=0, """", INDEX(H$2:H3593,
MAX(FILTER(ROW(H$2:H3593) - ROW(H$2) + 1, P$2:P3593 = P3594)))))"),39.0)</f>
        <v>39</v>
      </c>
      <c r="N3594" s="335" t="str">
        <f>IF(MAXIFS('単価履歴'!$O:$O,'単価履歴'!$E:$E,E3594,'単価履歴'!$F:$F,F3594)=O3594,"●","")</f>
        <v/>
      </c>
      <c r="O3594" s="346">
        <v>45982.26950231481</v>
      </c>
      <c r="P3594" s="334" t="str">
        <f t="shared" si="4"/>
        <v>山口鋼業:MM建材Ｌ２(H4･級外･L1ﾊﾞﾗ)</v>
      </c>
    </row>
    <row r="3595" ht="15.75" customHeight="1">
      <c r="A3595" s="335" t="s">
        <v>4742</v>
      </c>
      <c r="B3595" s="336">
        <v>45982.0</v>
      </c>
      <c r="C3595" s="335" t="s">
        <v>15</v>
      </c>
      <c r="D3595" s="335" t="s">
        <v>58</v>
      </c>
      <c r="E3595" s="337" t="str">
        <f t="shared" si="1"/>
        <v>山口鋼業:MM建材</v>
      </c>
      <c r="F3595" s="338" t="s">
        <v>575</v>
      </c>
      <c r="G3595" s="339" t="str">
        <f t="shared" si="2"/>
        <v>山口鋼業:MM建材鋼ダライＡ</v>
      </c>
      <c r="H3595" s="340">
        <f t="shared" si="3"/>
        <v>38.6</v>
      </c>
      <c r="I3595" s="341">
        <v>0.5</v>
      </c>
      <c r="J3595" s="332">
        <f>IFERROR(__xludf.DUMMYFUNCTION("IF(IF(COUNTIF(P$2:P3594, P3595)=0, """", INDEX(H$2:H3594,
MAX(FILTER(ROW(H$2:H3594) - ROW(H$2) + 1, P$2:P3594 = P3595))))=""単価"","""",
IF(COUNTIF(P$2:P3594, P3595)=0, """", INDEX(H$2:H3594,
MAX(FILTER(ROW(H$2:H3594) - ROW(H$2) + 1, P$2:P3594 = P3595)))))"),38.1)</f>
        <v>38.1</v>
      </c>
      <c r="N3595" s="335" t="str">
        <f>IF(MAXIFS('単価履歴'!$O:$O,'単価履歴'!$E:$E,E3595,'単価履歴'!$F:$F,F3595)=O3595,"●","")</f>
        <v/>
      </c>
      <c r="O3595" s="346">
        <v>45982.26950231481</v>
      </c>
      <c r="P3595" s="334" t="str">
        <f t="shared" si="4"/>
        <v>山口鋼業:MM建材鋼ダライＡ</v>
      </c>
    </row>
    <row r="3596" ht="15.75" customHeight="1">
      <c r="A3596" s="335" t="s">
        <v>4743</v>
      </c>
      <c r="B3596" s="336">
        <v>45982.0</v>
      </c>
      <c r="C3596" s="335" t="s">
        <v>15</v>
      </c>
      <c r="D3596" s="335" t="s">
        <v>58</v>
      </c>
      <c r="E3596" s="337" t="str">
        <f t="shared" si="1"/>
        <v>山口鋼業:MM建材</v>
      </c>
      <c r="F3596" s="338" t="s">
        <v>116</v>
      </c>
      <c r="G3596" s="339" t="str">
        <f t="shared" si="2"/>
        <v>山口鋼業:MM建材Ｈ２(特級)</v>
      </c>
      <c r="H3596" s="340">
        <f t="shared" si="3"/>
        <v>42</v>
      </c>
      <c r="I3596" s="341">
        <v>0.5</v>
      </c>
      <c r="J3596" s="332">
        <f>IFERROR(__xludf.DUMMYFUNCTION("IF(IF(COUNTIF(P$2:P3595, P3596)=0, """", INDEX(H$2:H3595,
MAX(FILTER(ROW(H$2:H3595) - ROW(H$2) + 1, P$2:P3595 = P3596))))=""単価"","""",
IF(COUNTIF(P$2:P3595, P3596)=0, """", INDEX(H$2:H3595,
MAX(FILTER(ROW(H$2:H3595) - ROW(H$2) + 1, P$2:P3595 = P3596)))))"),41.5)</f>
        <v>41.5</v>
      </c>
      <c r="N3596" s="335" t="str">
        <f>IF(MAXIFS('単価履歴'!$O:$O,'単価履歴'!$E:$E,E3596,'単価履歴'!$F:$F,F3596)=O3596,"●","")</f>
        <v/>
      </c>
      <c r="O3596" s="346">
        <v>45982.26950231481</v>
      </c>
      <c r="P3596" s="334" t="str">
        <f t="shared" si="4"/>
        <v>山口鋼業:MM建材Ｈ２(特級)</v>
      </c>
    </row>
    <row r="3597" ht="15.75" customHeight="1">
      <c r="A3597" s="335" t="s">
        <v>4744</v>
      </c>
      <c r="B3597" s="336">
        <v>45982.0</v>
      </c>
      <c r="C3597" s="335" t="s">
        <v>15</v>
      </c>
      <c r="D3597" s="335" t="s">
        <v>58</v>
      </c>
      <c r="E3597" s="337" t="str">
        <f t="shared" si="1"/>
        <v>山口鋼業:MM建材</v>
      </c>
      <c r="F3597" s="338" t="s">
        <v>577</v>
      </c>
      <c r="G3597" s="339" t="str">
        <f t="shared" si="2"/>
        <v>山口鋼業:MM建材鋳物・ﾀﾞｸﾀｲﾙ</v>
      </c>
      <c r="H3597" s="340">
        <f t="shared" si="3"/>
        <v>43</v>
      </c>
      <c r="I3597" s="341">
        <v>0.5</v>
      </c>
      <c r="J3597" s="332">
        <f>IFERROR(__xludf.DUMMYFUNCTION("IF(IF(COUNTIF(P$2:P3596, P3597)=0, """", INDEX(H$2:H3596,
MAX(FILTER(ROW(H$2:H3596) - ROW(H$2) + 1, P$2:P3596 = P3597))))=""単価"","""",
IF(COUNTIF(P$2:P3596, P3597)=0, """", INDEX(H$2:H3596,
MAX(FILTER(ROW(H$2:H3596) - ROW(H$2) + 1, P$2:P3596 = P3597)))))"),42.5)</f>
        <v>42.5</v>
      </c>
      <c r="N3597" s="335" t="str">
        <f>IF(MAXIFS('単価履歴'!$O:$O,'単価履歴'!$E:$E,E3597,'単価履歴'!$F:$F,F3597)=O3597,"●","")</f>
        <v/>
      </c>
      <c r="O3597" s="346">
        <v>45982.26950231481</v>
      </c>
      <c r="P3597" s="334" t="str">
        <f t="shared" si="4"/>
        <v>山口鋼業:MM建材鋳物・ﾀﾞｸﾀｲﾙ</v>
      </c>
    </row>
    <row r="3598" ht="15.75" customHeight="1">
      <c r="A3598" s="335" t="s">
        <v>4745</v>
      </c>
      <c r="B3598" s="336">
        <v>45982.0</v>
      </c>
      <c r="C3598" s="335" t="s">
        <v>15</v>
      </c>
      <c r="D3598" s="335" t="s">
        <v>58</v>
      </c>
      <c r="E3598" s="337" t="str">
        <f t="shared" si="1"/>
        <v>山口鋼業:MM建材</v>
      </c>
      <c r="F3598" s="338" t="s">
        <v>1199</v>
      </c>
      <c r="G3598" s="339" t="str">
        <f t="shared" si="2"/>
        <v>山口鋼業:MM建材ＨＳ１(単体H1/電特A/HS))</v>
      </c>
      <c r="H3598" s="340">
        <f t="shared" si="3"/>
        <v>43.5</v>
      </c>
      <c r="I3598" s="341">
        <v>0.5</v>
      </c>
      <c r="J3598" s="332">
        <f>IFERROR(__xludf.DUMMYFUNCTION("IF(IF(COUNTIF(P$2:P3597, P3598)=0, """", INDEX(H$2:H3597,
MAX(FILTER(ROW(H$2:H3597) - ROW(H$2) + 1, P$2:P3597 = P3598))))=""単価"","""",
IF(COUNTIF(P$2:P3597, P3598)=0, """", INDEX(H$2:H3597,
MAX(FILTER(ROW(H$2:H3597) - ROW(H$2) + 1, P$2:P3597 = P3598)))))"),43.0)</f>
        <v>43</v>
      </c>
      <c r="N3598" s="335" t="str">
        <f>IF(MAXIFS('単価履歴'!$O:$O,'単価履歴'!$E:$E,E3598,'単価履歴'!$F:$F,F3598)=O3598,"●","")</f>
        <v/>
      </c>
      <c r="O3598" s="346">
        <v>45982.26950231481</v>
      </c>
      <c r="P3598" s="334" t="str">
        <f t="shared" si="4"/>
        <v>山口鋼業:MM建材ＨＳ１(単体H1/電特A/HS))</v>
      </c>
    </row>
    <row r="3599" ht="15.75" customHeight="1">
      <c r="A3599" s="335" t="s">
        <v>4746</v>
      </c>
      <c r="B3599" s="336">
        <v>45982.0</v>
      </c>
      <c r="C3599" s="335" t="s">
        <v>15</v>
      </c>
      <c r="D3599" s="335" t="s">
        <v>58</v>
      </c>
      <c r="E3599" s="337" t="str">
        <f t="shared" si="1"/>
        <v>山口鋼業:MM建材</v>
      </c>
      <c r="F3599" s="338" t="s">
        <v>119</v>
      </c>
      <c r="G3599" s="339" t="str">
        <f t="shared" si="2"/>
        <v>山口鋼業:MM建材Ｈ３(1級)</v>
      </c>
      <c r="H3599" s="340">
        <f t="shared" si="3"/>
        <v>41</v>
      </c>
      <c r="I3599" s="341">
        <v>0.5</v>
      </c>
      <c r="J3599" s="332">
        <f>IFERROR(__xludf.DUMMYFUNCTION("IF(IF(COUNTIF(P$2:P3598, P3599)=0, """", INDEX(H$2:H3598,
MAX(FILTER(ROW(H$2:H3598) - ROW(H$2) + 1, P$2:P3598 = P3599))))=""単価"","""",
IF(COUNTIF(P$2:P3598, P3599)=0, """", INDEX(H$2:H3598,
MAX(FILTER(ROW(H$2:H3598) - ROW(H$2) + 1, P$2:P3598 = P3599)))))"),40.5)</f>
        <v>40.5</v>
      </c>
      <c r="N3599" s="335" t="str">
        <f>IF(MAXIFS('単価履歴'!$O:$O,'単価履歴'!$E:$E,E3599,'単価履歴'!$F:$F,F3599)=O3599,"●","")</f>
        <v/>
      </c>
      <c r="O3599" s="346">
        <v>45982.26950231481</v>
      </c>
      <c r="P3599" s="334" t="str">
        <f t="shared" si="4"/>
        <v>山口鋼業:MM建材Ｈ３(1級)</v>
      </c>
    </row>
    <row r="3600" ht="15.75" customHeight="1">
      <c r="A3600" s="335" t="s">
        <v>4747</v>
      </c>
      <c r="B3600" s="336">
        <v>45982.0</v>
      </c>
      <c r="C3600" s="335" t="s">
        <v>15</v>
      </c>
      <c r="D3600" s="335" t="s">
        <v>46</v>
      </c>
      <c r="E3600" s="337" t="str">
        <f t="shared" si="1"/>
        <v>山口鋼業:阪和</v>
      </c>
      <c r="F3600" s="338" t="s">
        <v>111</v>
      </c>
      <c r="G3600" s="339" t="str">
        <f t="shared" si="2"/>
        <v>山口鋼業:阪和Ｈ１(特A)</v>
      </c>
      <c r="H3600" s="340">
        <f t="shared" si="3"/>
        <v>43.5</v>
      </c>
      <c r="I3600" s="341">
        <v>0.5</v>
      </c>
      <c r="J3600" s="332">
        <f>IFERROR(__xludf.DUMMYFUNCTION("IF(IF(COUNTIF(P$2:P3599, P3600)=0, """", INDEX(H$2:H3599,
MAX(FILTER(ROW(H$2:H3599) - ROW(H$2) + 1, P$2:P3599 = P3600))))=""単価"","""",
IF(COUNTIF(P$2:P3599, P3600)=0, """", INDEX(H$2:H3599,
MAX(FILTER(ROW(H$2:H3599) - ROW(H$2) + 1, P$2:P3599 = P3600)))))"),43.0)</f>
        <v>43</v>
      </c>
      <c r="N3600" s="335" t="str">
        <f>IF(MAXIFS('単価履歴'!$O:$O,'単価履歴'!$E:$E,E3600,'単価履歴'!$F:$F,F3600)=O3600,"●","")</f>
        <v/>
      </c>
      <c r="O3600" s="346">
        <v>45982.26983796296</v>
      </c>
      <c r="P3600" s="334" t="str">
        <f t="shared" si="4"/>
        <v>山口鋼業:阪和Ｈ１(特A)</v>
      </c>
    </row>
    <row r="3601" ht="15.75" customHeight="1">
      <c r="A3601" s="335" t="s">
        <v>4748</v>
      </c>
      <c r="B3601" s="336">
        <v>45982.0</v>
      </c>
      <c r="C3601" s="335" t="s">
        <v>15</v>
      </c>
      <c r="D3601" s="335" t="s">
        <v>46</v>
      </c>
      <c r="E3601" s="337" t="str">
        <f t="shared" si="1"/>
        <v>山口鋼業:阪和</v>
      </c>
      <c r="F3601" s="338" t="s">
        <v>116</v>
      </c>
      <c r="G3601" s="339" t="str">
        <f t="shared" si="2"/>
        <v>山口鋼業:阪和Ｈ２(特級)</v>
      </c>
      <c r="H3601" s="340">
        <f t="shared" si="3"/>
        <v>43</v>
      </c>
      <c r="I3601" s="341">
        <v>0.5</v>
      </c>
      <c r="J3601" s="332">
        <f>IFERROR(__xludf.DUMMYFUNCTION("IF(IF(COUNTIF(P$2:P3600, P3601)=0, """", INDEX(H$2:H3600,
MAX(FILTER(ROW(H$2:H3600) - ROW(H$2) + 1, P$2:P3600 = P3601))))=""単価"","""",
IF(COUNTIF(P$2:P3600, P3601)=0, """", INDEX(H$2:H3600,
MAX(FILTER(ROW(H$2:H3600) - ROW(H$2) + 1, P$2:P3600 = P3601)))))"),42.5)</f>
        <v>42.5</v>
      </c>
      <c r="N3601" s="335" t="str">
        <f>IF(MAXIFS('単価履歴'!$O:$O,'単価履歴'!$E:$E,E3601,'単価履歴'!$F:$F,F3601)=O3601,"●","")</f>
        <v/>
      </c>
      <c r="O3601" s="346">
        <v>45982.26983796296</v>
      </c>
      <c r="P3601" s="334" t="str">
        <f t="shared" si="4"/>
        <v>山口鋼業:阪和Ｈ２(特級)</v>
      </c>
    </row>
    <row r="3602" ht="15.75" customHeight="1">
      <c r="A3602" s="335" t="s">
        <v>4749</v>
      </c>
      <c r="B3602" s="336">
        <v>45982.0</v>
      </c>
      <c r="C3602" s="335" t="s">
        <v>15</v>
      </c>
      <c r="D3602" s="335" t="s">
        <v>46</v>
      </c>
      <c r="E3602" s="337" t="str">
        <f t="shared" si="1"/>
        <v>山口鋼業:阪和</v>
      </c>
      <c r="F3602" s="338" t="s">
        <v>119</v>
      </c>
      <c r="G3602" s="339" t="str">
        <f t="shared" si="2"/>
        <v>山口鋼業:阪和Ｈ３(1級)</v>
      </c>
      <c r="H3602" s="340">
        <f t="shared" si="3"/>
        <v>42</v>
      </c>
      <c r="I3602" s="341">
        <v>0.5</v>
      </c>
      <c r="J3602" s="332">
        <f>IFERROR(__xludf.DUMMYFUNCTION("IF(IF(COUNTIF(P$2:P3601, P3602)=0, """", INDEX(H$2:H3601,
MAX(FILTER(ROW(H$2:H3601) - ROW(H$2) + 1, P$2:P3601 = P3602))))=""単価"","""",
IF(COUNTIF(P$2:P3601, P3602)=0, """", INDEX(H$2:H3601,
MAX(FILTER(ROW(H$2:H3601) - ROW(H$2) + 1, P$2:P3601 = P3602)))))"),41.5)</f>
        <v>41.5</v>
      </c>
      <c r="N3602" s="335" t="str">
        <f>IF(MAXIFS('単価履歴'!$O:$O,'単価履歴'!$E:$E,E3602,'単価履歴'!$F:$F,F3602)=O3602,"●","")</f>
        <v/>
      </c>
      <c r="O3602" s="346">
        <v>45982.26983796296</v>
      </c>
      <c r="P3602" s="334" t="str">
        <f t="shared" si="4"/>
        <v>山口鋼業:阪和Ｈ３(1級)</v>
      </c>
    </row>
    <row r="3603" ht="15.75" customHeight="1">
      <c r="A3603" s="335" t="s">
        <v>4750</v>
      </c>
      <c r="B3603" s="336">
        <v>45982.0</v>
      </c>
      <c r="C3603" s="335" t="s">
        <v>15</v>
      </c>
      <c r="D3603" s="335" t="s">
        <v>46</v>
      </c>
      <c r="E3603" s="337" t="str">
        <f t="shared" si="1"/>
        <v>山口鋼業:阪和</v>
      </c>
      <c r="F3603" s="338" t="s">
        <v>1199</v>
      </c>
      <c r="G3603" s="339" t="str">
        <f t="shared" si="2"/>
        <v>山口鋼業:阪和ＨＳ１(単体H1/電特A/HS))</v>
      </c>
      <c r="H3603" s="340">
        <f t="shared" si="3"/>
        <v>45</v>
      </c>
      <c r="I3603" s="341">
        <v>0.5</v>
      </c>
      <c r="J3603" s="332">
        <f>IFERROR(__xludf.DUMMYFUNCTION("IF(IF(COUNTIF(P$2:P3602, P3603)=0, """", INDEX(H$2:H3602,
MAX(FILTER(ROW(H$2:H3602) - ROW(H$2) + 1, P$2:P3602 = P3603))))=""単価"","""",
IF(COUNTIF(P$2:P3602, P3603)=0, """", INDEX(H$2:H3602,
MAX(FILTER(ROW(H$2:H3602) - ROW(H$2) + 1, P$2:P3602 = P3603)))))"),44.5)</f>
        <v>44.5</v>
      </c>
      <c r="N3603" s="335" t="str">
        <f>IF(MAXIFS('単価履歴'!$O:$O,'単価履歴'!$E:$E,E3603,'単価履歴'!$F:$F,F3603)=O3603,"●","")</f>
        <v/>
      </c>
      <c r="O3603" s="346">
        <v>45982.26983796296</v>
      </c>
      <c r="P3603" s="334" t="str">
        <f t="shared" si="4"/>
        <v>山口鋼業:阪和ＨＳ１(単体H1/電特A/HS))</v>
      </c>
    </row>
    <row r="3604" ht="15.75" customHeight="1">
      <c r="A3604" s="335" t="s">
        <v>4751</v>
      </c>
      <c r="B3604" s="336">
        <v>45982.0</v>
      </c>
      <c r="C3604" s="335" t="s">
        <v>15</v>
      </c>
      <c r="D3604" s="335" t="s">
        <v>46</v>
      </c>
      <c r="E3604" s="337" t="str">
        <f t="shared" si="1"/>
        <v>山口鋼業:阪和</v>
      </c>
      <c r="F3604" s="338" t="s">
        <v>573</v>
      </c>
      <c r="G3604" s="339" t="str">
        <f t="shared" si="2"/>
        <v>山口鋼業:阪和Ｌ２(H4･級外･L1ﾊﾞﾗ)</v>
      </c>
      <c r="H3604" s="340">
        <f t="shared" si="3"/>
        <v>40.5</v>
      </c>
      <c r="I3604" s="341">
        <v>0.5</v>
      </c>
      <c r="J3604" s="332">
        <f>IFERROR(__xludf.DUMMYFUNCTION("IF(IF(COUNTIF(P$2:P3603, P3604)=0, """", INDEX(H$2:H3603,
MAX(FILTER(ROW(H$2:H3603) - ROW(H$2) + 1, P$2:P3603 = P3604))))=""単価"","""",
IF(COUNTIF(P$2:P3603, P3604)=0, """", INDEX(H$2:H3603,
MAX(FILTER(ROW(H$2:H3603) - ROW(H$2) + 1, P$2:P3603 = P3604)))))"),40.0)</f>
        <v>40</v>
      </c>
      <c r="N3604" s="335" t="str">
        <f>IF(MAXIFS('単価履歴'!$O:$O,'単価履歴'!$E:$E,E3604,'単価履歴'!$F:$F,F3604)=O3604,"●","")</f>
        <v/>
      </c>
      <c r="O3604" s="346">
        <v>45982.26983796296</v>
      </c>
      <c r="P3604" s="334" t="str">
        <f t="shared" si="4"/>
        <v>山口鋼業:阪和Ｌ２(H4･級外･L1ﾊﾞﾗ)</v>
      </c>
    </row>
    <row r="3605" ht="15.75" customHeight="1">
      <c r="A3605" s="335" t="s">
        <v>4752</v>
      </c>
      <c r="B3605" s="336">
        <v>45982.0</v>
      </c>
      <c r="C3605" s="335" t="s">
        <v>37</v>
      </c>
      <c r="D3605" s="335" t="s">
        <v>48</v>
      </c>
      <c r="E3605" s="337" t="str">
        <f t="shared" si="1"/>
        <v>共英名古屋:ナベ</v>
      </c>
      <c r="F3605" s="338" t="s">
        <v>119</v>
      </c>
      <c r="G3605" s="339" t="str">
        <f t="shared" si="2"/>
        <v>共英名古屋:ナベＨ３(1級)</v>
      </c>
      <c r="H3605" s="340">
        <f t="shared" si="3"/>
        <v>42</v>
      </c>
      <c r="I3605" s="341">
        <v>0.5</v>
      </c>
      <c r="J3605" s="332">
        <f>IFERROR(__xludf.DUMMYFUNCTION("IF(IF(COUNTIF(P$2:P3604, P3605)=0, """", INDEX(H$2:H3604,
MAX(FILTER(ROW(H$2:H3604) - ROW(H$2) + 1, P$2:P3604 = P3605))))=""単価"","""",
IF(COUNTIF(P$2:P3604, P3605)=0, """", INDEX(H$2:H3604,
MAX(FILTER(ROW(H$2:H3604) - ROW(H$2) + 1, P$2:P3604 = P3605)))))"),41.5)</f>
        <v>41.5</v>
      </c>
      <c r="N3605" s="335" t="str">
        <f>IF(MAXIFS('単価履歴'!$O:$O,'単価履歴'!$E:$E,E3605,'単価履歴'!$F:$F,F3605)=O3605,"●","")</f>
        <v/>
      </c>
      <c r="O3605" s="346">
        <v>45982.27003472223</v>
      </c>
      <c r="P3605" s="334" t="str">
        <f t="shared" si="4"/>
        <v>共英名古屋:ナベＨ３(1級)</v>
      </c>
    </row>
    <row r="3606" ht="15.75" customHeight="1">
      <c r="A3606" s="335" t="s">
        <v>4753</v>
      </c>
      <c r="B3606" s="336">
        <v>45982.0</v>
      </c>
      <c r="C3606" s="335" t="s">
        <v>37</v>
      </c>
      <c r="D3606" s="335" t="s">
        <v>48</v>
      </c>
      <c r="E3606" s="337" t="str">
        <f t="shared" si="1"/>
        <v>共英名古屋:ナベ</v>
      </c>
      <c r="F3606" s="338" t="s">
        <v>122</v>
      </c>
      <c r="G3606" s="339" t="str">
        <f t="shared" si="2"/>
        <v>共英名古屋:ナベＬ１(2級)</v>
      </c>
      <c r="H3606" s="340">
        <f t="shared" si="3"/>
        <v>39</v>
      </c>
      <c r="I3606" s="341">
        <v>0.5</v>
      </c>
      <c r="J3606" s="332">
        <f>IFERROR(__xludf.DUMMYFUNCTION("IF(IF(COUNTIF(P$2:P3605, P3606)=0, """", INDEX(H$2:H3605,
MAX(FILTER(ROW(H$2:H3605) - ROW(H$2) + 1, P$2:P3605 = P3606))))=""単価"","""",
IF(COUNTIF(P$2:P3605, P3606)=0, """", INDEX(H$2:H3605,
MAX(FILTER(ROW(H$2:H3605) - ROW(H$2) + 1, P$2:P3605 = P3606)))))"),38.5)</f>
        <v>38.5</v>
      </c>
      <c r="N3606" s="335" t="str">
        <f>IF(MAXIFS('単価履歴'!$O:$O,'単価履歴'!$E:$E,E3606,'単価履歴'!$F:$F,F3606)=O3606,"●","")</f>
        <v/>
      </c>
      <c r="O3606" s="346">
        <v>45982.27003472223</v>
      </c>
      <c r="P3606" s="334" t="str">
        <f t="shared" si="4"/>
        <v>共英名古屋:ナベＬ１(2級)</v>
      </c>
    </row>
    <row r="3607" ht="15.75" customHeight="1">
      <c r="A3607" s="335" t="s">
        <v>4754</v>
      </c>
      <c r="B3607" s="336">
        <v>45982.0</v>
      </c>
      <c r="C3607" s="335" t="s">
        <v>37</v>
      </c>
      <c r="D3607" s="335" t="s">
        <v>48</v>
      </c>
      <c r="E3607" s="337" t="str">
        <f t="shared" si="1"/>
        <v>共英名古屋:ナベ</v>
      </c>
      <c r="F3607" s="338" t="s">
        <v>111</v>
      </c>
      <c r="G3607" s="339" t="str">
        <f t="shared" si="2"/>
        <v>共英名古屋:ナベＨ１(特A)</v>
      </c>
      <c r="H3607" s="340">
        <f t="shared" si="3"/>
        <v>45.7</v>
      </c>
      <c r="I3607" s="341">
        <v>0.5</v>
      </c>
      <c r="J3607" s="332">
        <f>IFERROR(__xludf.DUMMYFUNCTION("IF(IF(COUNTIF(P$2:P3606, P3607)=0, """", INDEX(H$2:H3606,
MAX(FILTER(ROW(H$2:H3606) - ROW(H$2) + 1, P$2:P3606 = P3607))))=""単価"","""",
IF(COUNTIF(P$2:P3606, P3607)=0, """", INDEX(H$2:H3606,
MAX(FILTER(ROW(H$2:H3606) - ROW(H$2) + 1, P$2:P3606 = P3607)))))"),45.2)</f>
        <v>45.2</v>
      </c>
      <c r="N3607" s="335" t="str">
        <f>IF(MAXIFS('単価履歴'!$O:$O,'単価履歴'!$E:$E,E3607,'単価履歴'!$F:$F,F3607)=O3607,"●","")</f>
        <v/>
      </c>
      <c r="O3607" s="346">
        <v>45982.27003472223</v>
      </c>
      <c r="P3607" s="334" t="str">
        <f t="shared" si="4"/>
        <v>共英名古屋:ナベＨ１(特A)</v>
      </c>
    </row>
    <row r="3608" ht="15.75" customHeight="1">
      <c r="A3608" s="335" t="s">
        <v>4755</v>
      </c>
      <c r="B3608" s="336">
        <v>45982.0</v>
      </c>
      <c r="C3608" s="335" t="s">
        <v>37</v>
      </c>
      <c r="D3608" s="335" t="s">
        <v>48</v>
      </c>
      <c r="E3608" s="337" t="str">
        <f t="shared" si="1"/>
        <v>共英名古屋:ナベ</v>
      </c>
      <c r="F3608" s="338" t="s">
        <v>116</v>
      </c>
      <c r="G3608" s="339" t="str">
        <f t="shared" si="2"/>
        <v>共英名古屋:ナベＨ２(特級)</v>
      </c>
      <c r="H3608" s="340">
        <f t="shared" si="3"/>
        <v>43</v>
      </c>
      <c r="I3608" s="341">
        <v>0.5</v>
      </c>
      <c r="J3608" s="332">
        <f>IFERROR(__xludf.DUMMYFUNCTION("IF(IF(COUNTIF(P$2:P3607, P3608)=0, """", INDEX(H$2:H3607,
MAX(FILTER(ROW(H$2:H3607) - ROW(H$2) + 1, P$2:P3607 = P3608))))=""単価"","""",
IF(COUNTIF(P$2:P3607, P3608)=0, """", INDEX(H$2:H3607,
MAX(FILTER(ROW(H$2:H3607) - ROW(H$2) + 1, P$2:P3607 = P3608)))))"),42.5)</f>
        <v>42.5</v>
      </c>
      <c r="N3608" s="335" t="str">
        <f>IF(MAXIFS('単価履歴'!$O:$O,'単価履歴'!$E:$E,E3608,'単価履歴'!$F:$F,F3608)=O3608,"●","")</f>
        <v/>
      </c>
      <c r="O3608" s="346">
        <v>45982.27003472223</v>
      </c>
      <c r="P3608" s="334" t="str">
        <f t="shared" si="4"/>
        <v>共英名古屋:ナベＨ２(特級)</v>
      </c>
    </row>
    <row r="3609" ht="15.75" customHeight="1">
      <c r="A3609" s="335" t="s">
        <v>4756</v>
      </c>
      <c r="B3609" s="336">
        <v>45986.0</v>
      </c>
      <c r="C3609" s="335" t="s">
        <v>29</v>
      </c>
      <c r="D3609" s="335" t="s">
        <v>63</v>
      </c>
      <c r="E3609" s="337" t="str">
        <f t="shared" si="1"/>
        <v>南港:ﾅﾝｾｲ</v>
      </c>
      <c r="F3609" s="338" t="s">
        <v>1199</v>
      </c>
      <c r="G3609" s="339" t="str">
        <f t="shared" si="2"/>
        <v>南港:ﾅﾝｾｲＨＳ１(単体H1/電特A/HS))</v>
      </c>
      <c r="H3609" s="340">
        <f t="shared" si="3"/>
        <v>48</v>
      </c>
      <c r="I3609" s="341">
        <v>1.0</v>
      </c>
      <c r="J3609" s="332">
        <f>IFERROR(__xludf.DUMMYFUNCTION("IF(IF(COUNTIF(P$2:P3608, P3609)=0, """", INDEX(H$2:H3608,
MAX(FILTER(ROW(H$2:H3608) - ROW(H$2) + 1, P$2:P3608 = P3609))))=""単価"","""",
IF(COUNTIF(P$2:P3608, P3609)=0, """", INDEX(H$2:H3608,
MAX(FILTER(ROW(H$2:H3608) - ROW(H$2) + 1, P$2:P3608 = P3609)))))"),47.0)</f>
        <v>47</v>
      </c>
      <c r="N3609" s="335" t="str">
        <f>IF(MAXIFS('単価履歴'!$O:$O,'単価履歴'!$E:$E,E3609,'単価履歴'!$F:$F,F3609)=O3609,"●","")</f>
        <v/>
      </c>
      <c r="O3609" s="346">
        <v>45986.26861111111</v>
      </c>
      <c r="P3609" s="334" t="str">
        <f t="shared" si="4"/>
        <v>南港:ﾅﾝｾｲＨＳ１(単体H1/電特A/HS))</v>
      </c>
    </row>
    <row r="3610" ht="15.75" customHeight="1">
      <c r="A3610" s="335" t="s">
        <v>4757</v>
      </c>
      <c r="B3610" s="336">
        <v>45973.0</v>
      </c>
      <c r="C3610" s="335" t="s">
        <v>31</v>
      </c>
      <c r="D3610" s="335" t="s">
        <v>47</v>
      </c>
      <c r="E3610" s="337" t="str">
        <f t="shared" si="1"/>
        <v>泉北中谷:豊通</v>
      </c>
      <c r="F3610" s="338" t="s">
        <v>130</v>
      </c>
      <c r="G3610" s="339" t="str">
        <f t="shared" si="2"/>
        <v>泉北中谷:豊通新断Ａ</v>
      </c>
      <c r="H3610" s="340">
        <f t="shared" si="3"/>
        <v>46.3</v>
      </c>
      <c r="I3610" s="341">
        <v>0.5</v>
      </c>
      <c r="J3610" s="332">
        <f>IFERROR(__xludf.DUMMYFUNCTION("IF(IF(COUNTIF(P$2:P3609, P3610)=0, """", INDEX(H$2:H3609,
MAX(FILTER(ROW(H$2:H3609) - ROW(H$2) + 1, P$2:P3609 = P3610))))=""単価"","""",
IF(COUNTIF(P$2:P3609, P3610)=0, """", INDEX(H$2:H3609,
MAX(FILTER(ROW(H$2:H3609) - ROW(H$2) + 1, P$2:P3609 = P3610)))))"),45.8)</f>
        <v>45.8</v>
      </c>
      <c r="N3610" s="335" t="str">
        <f>IF(MAXIFS('単価履歴'!$O:$O,'単価履歴'!$E:$E,E3610,'単価履歴'!$F:$F,F3610)=O3610,"●","")</f>
        <v/>
      </c>
      <c r="O3610" s="346">
        <v>45986.675578703704</v>
      </c>
      <c r="P3610" s="334" t="str">
        <f t="shared" si="4"/>
        <v>泉北中谷:豊通新断Ａ</v>
      </c>
    </row>
    <row r="3611" ht="15.75" customHeight="1">
      <c r="A3611" s="335" t="s">
        <v>4758</v>
      </c>
      <c r="B3611" s="336">
        <v>45986.0</v>
      </c>
      <c r="C3611" s="335" t="s">
        <v>534</v>
      </c>
      <c r="D3611" s="335" t="s">
        <v>46</v>
      </c>
      <c r="E3611" s="337" t="str">
        <f t="shared" si="1"/>
        <v>合同姫路:阪和</v>
      </c>
      <c r="F3611" s="338" t="s">
        <v>130</v>
      </c>
      <c r="G3611" s="339" t="str">
        <f t="shared" si="2"/>
        <v>合同姫路:阪和新断Ａ</v>
      </c>
      <c r="H3611" s="340">
        <f t="shared" si="3"/>
        <v>48.3</v>
      </c>
      <c r="I3611" s="341">
        <v>-0.5</v>
      </c>
      <c r="J3611" s="332">
        <f>IFERROR(__xludf.DUMMYFUNCTION("IF(IF(COUNTIF(P$2:P3610, P3611)=0, """", INDEX(H$2:H3610,
MAX(FILTER(ROW(H$2:H3610) - ROW(H$2) + 1, P$2:P3610 = P3611))))=""単価"","""",
IF(COUNTIF(P$2:P3610, P3611)=0, """", INDEX(H$2:H3610,
MAX(FILTER(ROW(H$2:H3610) - ROW(H$2) + 1, P$2:P3610 = P3611)))))"),48.8)</f>
        <v>48.8</v>
      </c>
      <c r="N3611" s="335" t="str">
        <f>IF(MAXIFS('単価履歴'!$O:$O,'単価履歴'!$E:$E,E3611,'単価履歴'!$F:$F,F3611)=O3611,"●","")</f>
        <v/>
      </c>
      <c r="O3611" s="346">
        <v>45986.77296296296</v>
      </c>
      <c r="P3611" s="334" t="str">
        <f t="shared" si="4"/>
        <v>合同姫路:阪和新断Ａ</v>
      </c>
    </row>
    <row r="3612" ht="15.75" customHeight="1">
      <c r="A3612" s="335" t="s">
        <v>4759</v>
      </c>
      <c r="B3612" s="336">
        <v>45986.0</v>
      </c>
      <c r="C3612" s="335" t="s">
        <v>534</v>
      </c>
      <c r="D3612" s="335" t="s">
        <v>46</v>
      </c>
      <c r="E3612" s="337" t="str">
        <f t="shared" si="1"/>
        <v>合同姫路:阪和</v>
      </c>
      <c r="F3612" s="338" t="s">
        <v>131</v>
      </c>
      <c r="G3612" s="339" t="str">
        <f t="shared" si="2"/>
        <v>合同姫路:阪和新断Ｂ</v>
      </c>
      <c r="H3612" s="340">
        <f t="shared" si="3"/>
        <v>47.3</v>
      </c>
      <c r="I3612" s="341">
        <v>-0.5</v>
      </c>
      <c r="J3612" s="332">
        <f>IFERROR(__xludf.DUMMYFUNCTION("IF(IF(COUNTIF(P$2:P3611, P3612)=0, """", INDEX(H$2:H3611,
MAX(FILTER(ROW(H$2:H3611) - ROW(H$2) + 1, P$2:P3611 = P3612))))=""単価"","""",
IF(COUNTIF(P$2:P3611, P3612)=0, """", INDEX(H$2:H3611,
MAX(FILTER(ROW(H$2:H3611) - ROW(H$2) + 1, P$2:P3611 = P3612)))))"),47.8)</f>
        <v>47.8</v>
      </c>
      <c r="N3612" s="335" t="str">
        <f>IF(MAXIFS('単価履歴'!$O:$O,'単価履歴'!$E:$E,E3612,'単価履歴'!$F:$F,F3612)=O3612,"●","")</f>
        <v/>
      </c>
      <c r="O3612" s="346">
        <v>45986.77296296296</v>
      </c>
      <c r="P3612" s="334" t="str">
        <f t="shared" si="4"/>
        <v>合同姫路:阪和新断Ｂ</v>
      </c>
    </row>
    <row r="3613" ht="15.75" customHeight="1">
      <c r="A3613" s="335" t="s">
        <v>4760</v>
      </c>
      <c r="B3613" s="336">
        <v>45989.0</v>
      </c>
      <c r="C3613" s="335" t="s">
        <v>7</v>
      </c>
      <c r="D3613" s="335" t="s">
        <v>49</v>
      </c>
      <c r="E3613" s="337" t="str">
        <f t="shared" si="1"/>
        <v>合同大阪:伊藤忠</v>
      </c>
      <c r="F3613" s="338" t="s">
        <v>111</v>
      </c>
      <c r="G3613" s="339" t="str">
        <f t="shared" si="2"/>
        <v>合同大阪:伊藤忠Ｈ１(特A)</v>
      </c>
      <c r="H3613" s="340">
        <f t="shared" si="3"/>
        <v>46.8</v>
      </c>
      <c r="I3613" s="341">
        <v>0.5</v>
      </c>
      <c r="J3613" s="332">
        <f>IFERROR(__xludf.DUMMYFUNCTION("IF(IF(COUNTIF(P$2:P3612, P3613)=0, """", INDEX(H$2:H3612,
MAX(FILTER(ROW(H$2:H3612) - ROW(H$2) + 1, P$2:P3612 = P3613))))=""単価"","""",
IF(COUNTIF(P$2:P3612, P3613)=0, """", INDEX(H$2:H3612,
MAX(FILTER(ROW(H$2:H3612) - ROW(H$2) + 1, P$2:P3612 = P3613)))))"),46.3)</f>
        <v>46.3</v>
      </c>
      <c r="N3613" s="335" t="str">
        <f>IF(MAXIFS('単価履歴'!$O:$O,'単価履歴'!$E:$E,E3613,'単価履歴'!$F:$F,F3613)=O3613,"●","")</f>
        <v/>
      </c>
      <c r="O3613" s="346">
        <v>45988.73664351852</v>
      </c>
      <c r="P3613" s="334" t="str">
        <f t="shared" si="4"/>
        <v>合同大阪:伊藤忠Ｈ１(特A)</v>
      </c>
    </row>
    <row r="3614" ht="15.75" customHeight="1">
      <c r="A3614" s="335" t="s">
        <v>4761</v>
      </c>
      <c r="B3614" s="336">
        <v>45992.0</v>
      </c>
      <c r="C3614" s="335" t="s">
        <v>31</v>
      </c>
      <c r="D3614" s="335" t="s">
        <v>47</v>
      </c>
      <c r="E3614" s="337" t="str">
        <f t="shared" si="1"/>
        <v>泉北中谷:豊通</v>
      </c>
      <c r="F3614" s="338" t="s">
        <v>130</v>
      </c>
      <c r="G3614" s="339" t="str">
        <f t="shared" si="2"/>
        <v>泉北中谷:豊通新断Ａ</v>
      </c>
      <c r="H3614" s="340">
        <f t="shared" si="3"/>
        <v>46.8</v>
      </c>
      <c r="I3614" s="341">
        <v>0.5</v>
      </c>
      <c r="J3614" s="332">
        <f>IFERROR(__xludf.DUMMYFUNCTION("IF(IF(COUNTIF(P$2:P3613, P3614)=0, """", INDEX(H$2:H3613,
MAX(FILTER(ROW(H$2:H3613) - ROW(H$2) + 1, P$2:P3613 = P3614))))=""単価"","""",
IF(COUNTIF(P$2:P3613, P3614)=0, """", INDEX(H$2:H3613,
MAX(FILTER(ROW(H$2:H3613) - ROW(H$2) + 1, P$2:P3613 = P3614)))))"),46.3)</f>
        <v>46.3</v>
      </c>
      <c r="N3614" s="335" t="str">
        <f>IF(MAXIFS('単価履歴'!$O:$O,'単価履歴'!$E:$E,E3614,'単価履歴'!$F:$F,F3614)=O3614,"●","")</f>
        <v/>
      </c>
      <c r="O3614" s="346">
        <v>45992.639131944445</v>
      </c>
      <c r="P3614" s="334" t="str">
        <f t="shared" si="4"/>
        <v>泉北中谷:豊通新断Ａ</v>
      </c>
    </row>
    <row r="3615" ht="15.75" customHeight="1">
      <c r="A3615" s="335" t="s">
        <v>4762</v>
      </c>
      <c r="B3615" s="336">
        <v>45993.0</v>
      </c>
      <c r="C3615" s="335" t="s">
        <v>29</v>
      </c>
      <c r="D3615" s="335" t="s">
        <v>63</v>
      </c>
      <c r="E3615" s="337" t="str">
        <f t="shared" si="1"/>
        <v>南港:ﾅﾝｾｲ</v>
      </c>
      <c r="F3615" s="338" t="s">
        <v>1199</v>
      </c>
      <c r="G3615" s="339" t="str">
        <f t="shared" si="2"/>
        <v>南港:ﾅﾝｾｲＨＳ１(単体H1/電特A/HS))</v>
      </c>
      <c r="H3615" s="340">
        <f t="shared" si="3"/>
        <v>48.5</v>
      </c>
      <c r="I3615" s="341">
        <v>0.5</v>
      </c>
      <c r="J3615" s="332">
        <f>IFERROR(__xludf.DUMMYFUNCTION("IF(IF(COUNTIF(P$2:P3614, P3615)=0, """", INDEX(H$2:H3614,
MAX(FILTER(ROW(H$2:H3614) - ROW(H$2) + 1, P$2:P3614 = P3615))))=""単価"","""",
IF(COUNTIF(P$2:P3614, P3615)=0, """", INDEX(H$2:H3614,
MAX(FILTER(ROW(H$2:H3614) - ROW(H$2) + 1, P$2:P3614 = P3615)))))"),48.0)</f>
        <v>48</v>
      </c>
      <c r="N3615" s="335" t="str">
        <f>IF(MAXIFS('単価履歴'!$O:$O,'単価履歴'!$E:$E,E3615,'単価履歴'!$F:$F,F3615)=O3615,"●","")</f>
        <v>●</v>
      </c>
      <c r="O3615" s="346">
        <v>45992.69854166667</v>
      </c>
      <c r="P3615" s="334" t="str">
        <f t="shared" si="4"/>
        <v>南港:ﾅﾝｾｲＨＳ１(単体H1/電特A/HS))</v>
      </c>
    </row>
    <row r="3616" ht="15.75" customHeight="1">
      <c r="A3616" s="335" t="s">
        <v>4763</v>
      </c>
      <c r="B3616" s="336">
        <v>45993.0</v>
      </c>
      <c r="C3616" s="335" t="s">
        <v>31</v>
      </c>
      <c r="D3616" s="335" t="s">
        <v>64</v>
      </c>
      <c r="E3616" s="337" t="str">
        <f t="shared" si="1"/>
        <v>泉北中谷:ナベ双葉</v>
      </c>
      <c r="F3616" s="338" t="s">
        <v>1199</v>
      </c>
      <c r="G3616" s="339" t="str">
        <f t="shared" si="2"/>
        <v>泉北中谷:ナベ双葉ＨＳ１(単体H1/電特A/HS))</v>
      </c>
      <c r="H3616" s="340">
        <f t="shared" si="3"/>
        <v>46.5</v>
      </c>
      <c r="I3616" s="341">
        <v>0.3</v>
      </c>
      <c r="J3616" s="332">
        <f>IFERROR(__xludf.DUMMYFUNCTION("IF(IF(COUNTIF(P$2:P3615, P3616)=0, """", INDEX(H$2:H3615,
MAX(FILTER(ROW(H$2:H3615) - ROW(H$2) + 1, P$2:P3615 = P3616))))=""単価"","""",
IF(COUNTIF(P$2:P3615, P3616)=0, """", INDEX(H$2:H3615,
MAX(FILTER(ROW(H$2:H3615) - ROW(H$2) + 1, P$2:P3615 = P3616)))))"),46.199999999999996)</f>
        <v>46.2</v>
      </c>
      <c r="N3616" s="335" t="str">
        <f>IF(MAXIFS('単価履歴'!$O:$O,'単価履歴'!$E:$E,E3616,'単価履歴'!$F:$F,F3616)=O3616,"●","")</f>
        <v/>
      </c>
      <c r="O3616" s="346">
        <v>45992.77400462963</v>
      </c>
      <c r="P3616" s="334" t="str">
        <f t="shared" si="4"/>
        <v>泉北中谷:ナベ双葉ＨＳ１(単体H1/電特A/HS))</v>
      </c>
    </row>
    <row r="3617" ht="15.75" customHeight="1">
      <c r="A3617" s="335" t="s">
        <v>4764</v>
      </c>
      <c r="B3617" s="336">
        <v>45993.0</v>
      </c>
      <c r="C3617" s="335" t="s">
        <v>31</v>
      </c>
      <c r="D3617" s="335" t="s">
        <v>64</v>
      </c>
      <c r="E3617" s="337" t="str">
        <f t="shared" si="1"/>
        <v>泉北中谷:ナベ双葉</v>
      </c>
      <c r="F3617" s="338" t="s">
        <v>130</v>
      </c>
      <c r="G3617" s="339" t="str">
        <f t="shared" si="2"/>
        <v>泉北中谷:ナベ双葉新断Ａ</v>
      </c>
      <c r="H3617" s="340">
        <f t="shared" si="3"/>
        <v>44.5</v>
      </c>
      <c r="I3617" s="341">
        <v>1.5</v>
      </c>
      <c r="J3617" s="332">
        <f>IFERROR(__xludf.DUMMYFUNCTION("IF(IF(COUNTIF(P$2:P3616, P3617)=0, """", INDEX(H$2:H3616,
MAX(FILTER(ROW(H$2:H3616) - ROW(H$2) + 1, P$2:P3616 = P3617))))=""単価"","""",
IF(COUNTIF(P$2:P3616, P3617)=0, """", INDEX(H$2:H3616,
MAX(FILTER(ROW(H$2:H3616) - ROW(H$2) + 1, P$2:P3616 = P3617)))))"),43.0)</f>
        <v>43</v>
      </c>
      <c r="N3617" s="335" t="str">
        <f>IF(MAXIFS('単価履歴'!$O:$O,'単価履歴'!$E:$E,E3617,'単価履歴'!$F:$F,F3617)=O3617,"●","")</f>
        <v/>
      </c>
      <c r="O3617" s="346">
        <v>45992.77422453703</v>
      </c>
      <c r="P3617" s="334" t="str">
        <f t="shared" si="4"/>
        <v>泉北中谷:ナベ双葉新断Ａ</v>
      </c>
    </row>
    <row r="3618" ht="15.75" customHeight="1">
      <c r="A3618" s="335" t="s">
        <v>4765</v>
      </c>
      <c r="B3618" s="336">
        <v>46001.0</v>
      </c>
      <c r="C3618" s="335" t="s">
        <v>9</v>
      </c>
      <c r="D3618" s="335" t="s">
        <v>48</v>
      </c>
      <c r="E3618" s="337" t="str">
        <f t="shared" si="1"/>
        <v>大鉄　堺:ナベ</v>
      </c>
      <c r="F3618" s="338" t="s">
        <v>116</v>
      </c>
      <c r="G3618" s="339" t="str">
        <f t="shared" si="2"/>
        <v>大鉄　堺:ナベＨ２(特級)</v>
      </c>
      <c r="H3618" s="340">
        <f t="shared" si="3"/>
        <v>44.7</v>
      </c>
      <c r="I3618" s="341">
        <v>44.7</v>
      </c>
      <c r="J3618" s="332" t="str">
        <f>IFERROR(__xludf.DUMMYFUNCTION("IF(IF(COUNTIF(P$2:P3617, P3618)=0, """", INDEX(H$2:H3617,
MAX(FILTER(ROW(H$2:H3617) - ROW(H$2) + 1, P$2:P3617 = P3618))))=""単価"","""",
IF(COUNTIF(P$2:P3617, P3618)=0, """", INDEX(H$2:H3617,
MAX(FILTER(ROW(H$2:H3617) - ROW(H$2) + 1, P$2:P3617 = P3618)))))"),"")</f>
        <v/>
      </c>
      <c r="N3618" s="335" t="str">
        <f>IF(MAXIFS('単価履歴'!$O:$O,'単価履歴'!$E:$E,E3618,'単価履歴'!$F:$F,F3618)=O3618,"●","")</f>
        <v/>
      </c>
      <c r="O3618" s="346">
        <v>46001.707037037035</v>
      </c>
      <c r="P3618" s="334" t="str">
        <f t="shared" si="4"/>
        <v>大鉄　堺:ナベＨ２(特級)</v>
      </c>
    </row>
    <row r="3619" ht="15.75" customHeight="1">
      <c r="A3619" s="335" t="s">
        <v>4766</v>
      </c>
      <c r="B3619" s="336">
        <v>46001.0</v>
      </c>
      <c r="C3619" s="335" t="s">
        <v>9</v>
      </c>
      <c r="D3619" s="335" t="s">
        <v>48</v>
      </c>
      <c r="E3619" s="337" t="str">
        <f t="shared" si="1"/>
        <v>大鉄　堺:ナベ</v>
      </c>
      <c r="F3619" s="338" t="s">
        <v>119</v>
      </c>
      <c r="G3619" s="339" t="str">
        <f t="shared" si="2"/>
        <v>大鉄　堺:ナベＨ３(1級)</v>
      </c>
      <c r="H3619" s="340">
        <f t="shared" si="3"/>
        <v>44.2</v>
      </c>
      <c r="I3619" s="341">
        <v>44.2</v>
      </c>
      <c r="J3619" s="332" t="str">
        <f>IFERROR(__xludf.DUMMYFUNCTION("IF(IF(COUNTIF(P$2:P3618, P3619)=0, """", INDEX(H$2:H3618,
MAX(FILTER(ROW(H$2:H3618) - ROW(H$2) + 1, P$2:P3618 = P3619))))=""単価"","""",
IF(COUNTIF(P$2:P3618, P3619)=0, """", INDEX(H$2:H3618,
MAX(FILTER(ROW(H$2:H3618) - ROW(H$2) + 1, P$2:P3618 = P3619)))))"),"")</f>
        <v/>
      </c>
      <c r="N3619" s="335" t="str">
        <f>IF(MAXIFS('単価履歴'!$O:$O,'単価履歴'!$E:$E,E3619,'単価履歴'!$F:$F,F3619)=O3619,"●","")</f>
        <v/>
      </c>
      <c r="O3619" s="346">
        <v>46001.70761574074</v>
      </c>
      <c r="P3619" s="334" t="str">
        <f t="shared" si="4"/>
        <v>大鉄　堺:ナベＨ３(1級)</v>
      </c>
    </row>
    <row r="3620" ht="15.75" customHeight="1">
      <c r="A3620" s="335" t="s">
        <v>4767</v>
      </c>
      <c r="B3620" s="336">
        <v>46001.0</v>
      </c>
      <c r="C3620" s="335" t="s">
        <v>9</v>
      </c>
      <c r="D3620" s="335" t="s">
        <v>48</v>
      </c>
      <c r="E3620" s="337" t="str">
        <f t="shared" si="1"/>
        <v>大鉄　堺:ナベ</v>
      </c>
      <c r="F3620" s="338" t="s">
        <v>122</v>
      </c>
      <c r="G3620" s="339" t="str">
        <f t="shared" si="2"/>
        <v>大鉄　堺:ナベＬ１(2級)</v>
      </c>
      <c r="H3620" s="340">
        <f t="shared" si="3"/>
        <v>43.7</v>
      </c>
      <c r="I3620" s="341">
        <v>43.7</v>
      </c>
      <c r="J3620" s="332" t="str">
        <f>IFERROR(__xludf.DUMMYFUNCTION("IF(IF(COUNTIF(P$2:P3619, P3620)=0, """", INDEX(H$2:H3619,
MAX(FILTER(ROW(H$2:H3619) - ROW(H$2) + 1, P$2:P3619 = P3620))))=""単価"","""",
IF(COUNTIF(P$2:P3619, P3620)=0, """", INDEX(H$2:H3619,
MAX(FILTER(ROW(H$2:H3619) - ROW(H$2) + 1, P$2:P3619 = P3620)))))"),"")</f>
        <v/>
      </c>
      <c r="N3620" s="335" t="str">
        <f>IF(MAXIFS('単価履歴'!$O:$O,'単価履歴'!$E:$E,E3620,'単価履歴'!$F:$F,F3620)=O3620,"●","")</f>
        <v/>
      </c>
      <c r="O3620" s="346">
        <v>46001.708020833335</v>
      </c>
      <c r="P3620" s="334" t="str">
        <f t="shared" si="4"/>
        <v>大鉄　堺:ナベＬ１(2級)</v>
      </c>
    </row>
    <row r="3621" ht="15.75" customHeight="1">
      <c r="A3621" s="335" t="s">
        <v>4768</v>
      </c>
      <c r="B3621" s="336">
        <v>46006.0</v>
      </c>
      <c r="C3621" s="335" t="s">
        <v>5</v>
      </c>
      <c r="D3621" s="335" t="s">
        <v>47</v>
      </c>
      <c r="E3621" s="337" t="str">
        <f t="shared" si="1"/>
        <v>中山製鋼:豊通</v>
      </c>
      <c r="F3621" s="338" t="s">
        <v>101</v>
      </c>
      <c r="G3621" s="339" t="str">
        <f t="shared" si="2"/>
        <v>中山製鋼:豊通ＨＳ２</v>
      </c>
      <c r="H3621" s="340">
        <f t="shared" si="3"/>
        <v>45.8</v>
      </c>
      <c r="I3621" s="341">
        <v>3.0</v>
      </c>
      <c r="J3621" s="332">
        <f>IFERROR(__xludf.DUMMYFUNCTION("IF(IF(COUNTIF(P$2:P3620, P3621)=0, """", INDEX(H$2:H3620,
MAX(FILTER(ROW(H$2:H3620) - ROW(H$2) + 1, P$2:P3620 = P3621))))=""単価"","""",
IF(COUNTIF(P$2:P3620, P3621)=0, """", INDEX(H$2:H3620,
MAX(FILTER(ROW(H$2:H3620) - ROW(H$2) + 1, P$2:P3620 = P3621)))))"),42.8)</f>
        <v>42.8</v>
      </c>
      <c r="N3621" s="335" t="str">
        <f>IF(MAXIFS('単価履歴'!$O:$O,'単価履歴'!$E:$E,E3621,'単価履歴'!$F:$F,F3621)=O3621,"●","")</f>
        <v/>
      </c>
      <c r="O3621" s="346">
        <v>46003.71116898148</v>
      </c>
      <c r="P3621" s="334" t="str">
        <f t="shared" si="4"/>
        <v>中山製鋼:豊通ＨＳ２</v>
      </c>
    </row>
    <row r="3622" ht="15.75" customHeight="1">
      <c r="A3622" s="335" t="s">
        <v>4769</v>
      </c>
      <c r="B3622" s="336">
        <v>46006.0</v>
      </c>
      <c r="C3622" s="335" t="s">
        <v>5</v>
      </c>
      <c r="D3622" s="335" t="s">
        <v>47</v>
      </c>
      <c r="E3622" s="337" t="str">
        <f t="shared" si="1"/>
        <v>中山製鋼:豊通</v>
      </c>
      <c r="F3622" s="338" t="s">
        <v>111</v>
      </c>
      <c r="G3622" s="339" t="str">
        <f t="shared" si="2"/>
        <v>中山製鋼:豊通Ｈ１(特A)</v>
      </c>
      <c r="H3622" s="340">
        <f t="shared" si="3"/>
        <v>44.8</v>
      </c>
      <c r="I3622" s="341">
        <v>3.0</v>
      </c>
      <c r="J3622" s="332">
        <f>IFERROR(__xludf.DUMMYFUNCTION("IF(IF(COUNTIF(P$2:P3621, P3622)=0, """", INDEX(H$2:H3621,
MAX(FILTER(ROW(H$2:H3621) - ROW(H$2) + 1, P$2:P3621 = P3622))))=""単価"","""",
IF(COUNTIF(P$2:P3621, P3622)=0, """", INDEX(H$2:H3621,
MAX(FILTER(ROW(H$2:H3621) - ROW(H$2) + 1, P$2:P3621 = P3622)))))"),41.8)</f>
        <v>41.8</v>
      </c>
      <c r="N3622" s="335" t="str">
        <f>IF(MAXIFS('単価履歴'!$O:$O,'単価履歴'!$E:$E,E3622,'単価履歴'!$F:$F,F3622)=O3622,"●","")</f>
        <v/>
      </c>
      <c r="O3622" s="346">
        <v>46003.71116898148</v>
      </c>
      <c r="P3622" s="334" t="str">
        <f t="shared" si="4"/>
        <v>中山製鋼:豊通Ｈ１(特A)</v>
      </c>
    </row>
    <row r="3623" ht="15.75" customHeight="1">
      <c r="A3623" s="335" t="s">
        <v>4770</v>
      </c>
      <c r="B3623" s="336">
        <v>46006.0</v>
      </c>
      <c r="C3623" s="335" t="s">
        <v>5</v>
      </c>
      <c r="D3623" s="335" t="s">
        <v>47</v>
      </c>
      <c r="E3623" s="337" t="str">
        <f t="shared" si="1"/>
        <v>中山製鋼:豊通</v>
      </c>
      <c r="F3623" s="338" t="s">
        <v>116</v>
      </c>
      <c r="G3623" s="339" t="str">
        <f t="shared" si="2"/>
        <v>中山製鋼:豊通Ｈ２(特級)</v>
      </c>
      <c r="H3623" s="340">
        <f t="shared" si="3"/>
        <v>38.8</v>
      </c>
      <c r="I3623" s="341">
        <v>3.0</v>
      </c>
      <c r="J3623" s="332">
        <f>IFERROR(__xludf.DUMMYFUNCTION("IF(IF(COUNTIF(P$2:P3622, P3623)=0, """", INDEX(H$2:H3622,
MAX(FILTER(ROW(H$2:H3622) - ROW(H$2) + 1, P$2:P3622 = P3623))))=""単価"","""",
IF(COUNTIF(P$2:P3622, P3623)=0, """", INDEX(H$2:H3622,
MAX(FILTER(ROW(H$2:H3622) - ROW(H$2) + 1, P$2:P3622 = P3623)))))"),35.8)</f>
        <v>35.8</v>
      </c>
      <c r="N3623" s="335" t="str">
        <f>IF(MAXIFS('単価履歴'!$O:$O,'単価履歴'!$E:$E,E3623,'単価履歴'!$F:$F,F3623)=O3623,"●","")</f>
        <v/>
      </c>
      <c r="O3623" s="346">
        <v>46003.71116898148</v>
      </c>
      <c r="P3623" s="334" t="str">
        <f t="shared" si="4"/>
        <v>中山製鋼:豊通Ｈ２(特級)</v>
      </c>
    </row>
    <row r="3624" ht="15.75" customHeight="1">
      <c r="A3624" s="335" t="s">
        <v>4771</v>
      </c>
      <c r="B3624" s="336">
        <v>46006.0</v>
      </c>
      <c r="C3624" s="335" t="s">
        <v>5</v>
      </c>
      <c r="D3624" s="335" t="s">
        <v>47</v>
      </c>
      <c r="E3624" s="337" t="str">
        <f t="shared" si="1"/>
        <v>中山製鋼:豊通</v>
      </c>
      <c r="F3624" s="338" t="s">
        <v>119</v>
      </c>
      <c r="G3624" s="339" t="str">
        <f t="shared" si="2"/>
        <v>中山製鋼:豊通Ｈ３(1級)</v>
      </c>
      <c r="H3624" s="340">
        <f t="shared" si="3"/>
        <v>34.8</v>
      </c>
      <c r="I3624" s="341">
        <v>3.0</v>
      </c>
      <c r="J3624" s="332">
        <f>IFERROR(__xludf.DUMMYFUNCTION("IF(IF(COUNTIF(P$2:P3623, P3624)=0, """", INDEX(H$2:H3623,
MAX(FILTER(ROW(H$2:H3623) - ROW(H$2) + 1, P$2:P3623 = P3624))))=""単価"","""",
IF(COUNTIF(P$2:P3623, P3624)=0, """", INDEX(H$2:H3623,
MAX(FILTER(ROW(H$2:H3623) - ROW(H$2) + 1, P$2:P3623 = P3624)))))"),31.799999999999997)</f>
        <v>31.8</v>
      </c>
      <c r="N3624" s="335" t="str">
        <f>IF(MAXIFS('単価履歴'!$O:$O,'単価履歴'!$E:$E,E3624,'単価履歴'!$F:$F,F3624)=O3624,"●","")</f>
        <v/>
      </c>
      <c r="O3624" s="346">
        <v>46003.71116898148</v>
      </c>
      <c r="P3624" s="334" t="str">
        <f t="shared" si="4"/>
        <v>中山製鋼:豊通Ｈ３(1級)</v>
      </c>
    </row>
    <row r="3625" ht="15.75" customHeight="1">
      <c r="A3625" s="335" t="s">
        <v>4772</v>
      </c>
      <c r="B3625" s="336">
        <v>46006.0</v>
      </c>
      <c r="C3625" s="335" t="s">
        <v>5</v>
      </c>
      <c r="D3625" s="335" t="s">
        <v>47</v>
      </c>
      <c r="E3625" s="337" t="str">
        <f t="shared" si="1"/>
        <v>中山製鋼:豊通</v>
      </c>
      <c r="F3625" s="338" t="s">
        <v>122</v>
      </c>
      <c r="G3625" s="339" t="str">
        <f t="shared" si="2"/>
        <v>中山製鋼:豊通Ｌ１(2級)</v>
      </c>
      <c r="H3625" s="340">
        <f t="shared" si="3"/>
        <v>28.3</v>
      </c>
      <c r="I3625" s="341">
        <v>3.0</v>
      </c>
      <c r="J3625" s="332">
        <f>IFERROR(__xludf.DUMMYFUNCTION("IF(IF(COUNTIF(P$2:P3624, P3625)=0, """", INDEX(H$2:H3624,
MAX(FILTER(ROW(H$2:H3624) - ROW(H$2) + 1, P$2:P3624 = P3625))))=""単価"","""",
IF(COUNTIF(P$2:P3624, P3625)=0, """", INDEX(H$2:H3624,
MAX(FILTER(ROW(H$2:H3624) - ROW(H$2) + 1, P$2:P3624 = P3625)))))"),25.3)</f>
        <v>25.3</v>
      </c>
      <c r="N3625" s="335" t="str">
        <f>IF(MAXIFS('単価履歴'!$O:$O,'単価履歴'!$E:$E,E3625,'単価履歴'!$F:$F,F3625)=O3625,"●","")</f>
        <v/>
      </c>
      <c r="O3625" s="346">
        <v>46003.71116898148</v>
      </c>
      <c r="P3625" s="334" t="str">
        <f t="shared" si="4"/>
        <v>中山製鋼:豊通Ｌ１(2級)</v>
      </c>
    </row>
    <row r="3626" ht="15.75" customHeight="1">
      <c r="A3626" s="335" t="s">
        <v>4773</v>
      </c>
      <c r="B3626" s="336">
        <v>46006.0</v>
      </c>
      <c r="C3626" s="335" t="s">
        <v>5</v>
      </c>
      <c r="D3626" s="335" t="s">
        <v>47</v>
      </c>
      <c r="E3626" s="337" t="str">
        <f t="shared" si="1"/>
        <v>中山製鋼:豊通</v>
      </c>
      <c r="F3626" s="338" t="s">
        <v>130</v>
      </c>
      <c r="G3626" s="339" t="str">
        <f t="shared" si="2"/>
        <v>中山製鋼:豊通新断Ａ</v>
      </c>
      <c r="H3626" s="340">
        <f t="shared" si="3"/>
        <v>46.8</v>
      </c>
      <c r="I3626" s="341">
        <v>2.5</v>
      </c>
      <c r="J3626" s="332">
        <f>IFERROR(__xludf.DUMMYFUNCTION("IF(IF(COUNTIF(P$2:P3625, P3626)=0, """", INDEX(H$2:H3625,
MAX(FILTER(ROW(H$2:H3625) - ROW(H$2) + 1, P$2:P3625 = P3626))))=""単価"","""",
IF(COUNTIF(P$2:P3625, P3626)=0, """", INDEX(H$2:H3625,
MAX(FILTER(ROW(H$2:H3625) - ROW(H$2) + 1, P$2:P3625 = P3626)))))"),44.3)</f>
        <v>44.3</v>
      </c>
      <c r="N3626" s="335" t="str">
        <f>IF(MAXIFS('単価履歴'!$O:$O,'単価履歴'!$E:$E,E3626,'単価履歴'!$F:$F,F3626)=O3626,"●","")</f>
        <v/>
      </c>
      <c r="O3626" s="346">
        <v>46003.712685185186</v>
      </c>
      <c r="P3626" s="334" t="str">
        <f t="shared" si="4"/>
        <v>中山製鋼:豊通新断Ａ</v>
      </c>
    </row>
    <row r="3627" ht="15.75" customHeight="1">
      <c r="A3627" s="335" t="s">
        <v>4774</v>
      </c>
      <c r="B3627" s="336">
        <v>46006.0</v>
      </c>
      <c r="C3627" s="335" t="s">
        <v>5</v>
      </c>
      <c r="D3627" s="335" t="s">
        <v>47</v>
      </c>
      <c r="E3627" s="337" t="str">
        <f t="shared" si="1"/>
        <v>中山製鋼:豊通</v>
      </c>
      <c r="F3627" s="338" t="s">
        <v>131</v>
      </c>
      <c r="G3627" s="339" t="str">
        <f t="shared" si="2"/>
        <v>中山製鋼:豊通新断Ｂ</v>
      </c>
      <c r="H3627" s="340">
        <f t="shared" si="3"/>
        <v>45.8</v>
      </c>
      <c r="I3627" s="341">
        <v>2.5</v>
      </c>
      <c r="J3627" s="332">
        <f>IFERROR(__xludf.DUMMYFUNCTION("IF(IF(COUNTIF(P$2:P3626, P3627)=0, """", INDEX(H$2:H3626,
MAX(FILTER(ROW(H$2:H3626) - ROW(H$2) + 1, P$2:P3626 = P3627))))=""単価"","""",
IF(COUNTIF(P$2:P3626, P3627)=0, """", INDEX(H$2:H3626,
MAX(FILTER(ROW(H$2:H3626) - ROW(H$2) + 1, P$2:P3626 = P3627)))))"),43.3)</f>
        <v>43.3</v>
      </c>
      <c r="N3627" s="335" t="str">
        <f>IF(MAXIFS('単価履歴'!$O:$O,'単価履歴'!$E:$E,E3627,'単価履歴'!$F:$F,F3627)=O3627,"●","")</f>
        <v/>
      </c>
      <c r="O3627" s="346">
        <v>46003.712685185186</v>
      </c>
      <c r="P3627" s="334" t="str">
        <f t="shared" si="4"/>
        <v>中山製鋼:豊通新断Ｂ</v>
      </c>
    </row>
    <row r="3628" ht="15.75" customHeight="1">
      <c r="A3628" s="335" t="s">
        <v>4775</v>
      </c>
      <c r="B3628" s="336">
        <v>46006.0</v>
      </c>
      <c r="C3628" s="335" t="s">
        <v>5</v>
      </c>
      <c r="D3628" s="335" t="s">
        <v>47</v>
      </c>
      <c r="E3628" s="337" t="str">
        <f t="shared" si="1"/>
        <v>中山製鋼:豊通</v>
      </c>
      <c r="F3628" s="338" t="s">
        <v>574</v>
      </c>
      <c r="G3628" s="339" t="str">
        <f t="shared" si="2"/>
        <v>中山製鋼:豊通新断Ｃ</v>
      </c>
      <c r="H3628" s="340">
        <f t="shared" si="3"/>
        <v>44.8</v>
      </c>
      <c r="I3628" s="341">
        <v>2.5</v>
      </c>
      <c r="J3628" s="332">
        <f>IFERROR(__xludf.DUMMYFUNCTION("IF(IF(COUNTIF(P$2:P3627, P3628)=0, """", INDEX(H$2:H3627,
MAX(FILTER(ROW(H$2:H3627) - ROW(H$2) + 1, P$2:P3627 = P3628))))=""単価"","""",
IF(COUNTIF(P$2:P3627, P3628)=0, """", INDEX(H$2:H3627,
MAX(FILTER(ROW(H$2:H3627) - ROW(H$2) + 1, P$2:P3627 = P3628)))))"),42.3)</f>
        <v>42.3</v>
      </c>
      <c r="N3628" s="335" t="str">
        <f>IF(MAXIFS('単価履歴'!$O:$O,'単価履歴'!$E:$E,E3628,'単価履歴'!$F:$F,F3628)=O3628,"●","")</f>
        <v/>
      </c>
      <c r="O3628" s="346">
        <v>46003.712685185186</v>
      </c>
      <c r="P3628" s="334" t="str">
        <f t="shared" si="4"/>
        <v>中山製鋼:豊通新断Ｃ</v>
      </c>
    </row>
    <row r="3629" ht="15.75" customHeight="1">
      <c r="A3629" s="335" t="s">
        <v>4776</v>
      </c>
      <c r="B3629" s="336">
        <v>46006.0</v>
      </c>
      <c r="C3629" s="335" t="s">
        <v>5</v>
      </c>
      <c r="D3629" s="335" t="s">
        <v>1232</v>
      </c>
      <c r="E3629" s="337" t="str">
        <f t="shared" si="1"/>
        <v>中山製鋼:豊通/出張商店</v>
      </c>
      <c r="F3629" s="338" t="s">
        <v>130</v>
      </c>
      <c r="G3629" s="339" t="str">
        <f t="shared" si="2"/>
        <v>中山製鋼:豊通/出張商店新断Ａ</v>
      </c>
      <c r="H3629" s="340">
        <f t="shared" si="3"/>
        <v>45.8</v>
      </c>
      <c r="I3629" s="341">
        <v>2.5</v>
      </c>
      <c r="J3629" s="332">
        <f>IFERROR(__xludf.DUMMYFUNCTION("IF(IF(COUNTIF(P$2:P3628, P3629)=0, """", INDEX(H$2:H3628,
MAX(FILTER(ROW(H$2:H3628) - ROW(H$2) + 1, P$2:P3628 = P3629))))=""単価"","""",
IF(COUNTIF(P$2:P3628, P3629)=0, """", INDEX(H$2:H3628,
MAX(FILTER(ROW(H$2:H3628) - ROW(H$2) + 1, P$2:P3628 = P3629)))))"),43.3)</f>
        <v>43.3</v>
      </c>
      <c r="N3629" s="335" t="str">
        <f>IF(MAXIFS('単価履歴'!$O:$O,'単価履歴'!$E:$E,E3629,'単価履歴'!$F:$F,F3629)=O3629,"●","")</f>
        <v/>
      </c>
      <c r="O3629" s="346">
        <v>46003.720671296294</v>
      </c>
      <c r="P3629" s="334" t="str">
        <f t="shared" si="4"/>
        <v>中山製鋼:豊通/出張商店新断Ａ</v>
      </c>
    </row>
    <row r="3630" ht="15.75" customHeight="1">
      <c r="A3630" s="335" t="s">
        <v>4777</v>
      </c>
      <c r="B3630" s="336">
        <v>46006.0</v>
      </c>
      <c r="C3630" s="335" t="s">
        <v>5</v>
      </c>
      <c r="D3630" s="335" t="s">
        <v>1234</v>
      </c>
      <c r="E3630" s="337" t="str">
        <f t="shared" si="1"/>
        <v>中山製鋼:豊通/中川嘉弘商店</v>
      </c>
      <c r="F3630" s="338" t="s">
        <v>130</v>
      </c>
      <c r="G3630" s="339" t="str">
        <f t="shared" si="2"/>
        <v>中山製鋼:豊通/中川嘉弘商店新断Ａ</v>
      </c>
      <c r="H3630" s="340">
        <f t="shared" si="3"/>
        <v>43.8</v>
      </c>
      <c r="I3630" s="341">
        <v>2.5</v>
      </c>
      <c r="J3630" s="332">
        <f>IFERROR(__xludf.DUMMYFUNCTION("IF(IF(COUNTIF(P$2:P3629, P3630)=0, """", INDEX(H$2:H3629,
MAX(FILTER(ROW(H$2:H3629) - ROW(H$2) + 1, P$2:P3629 = P3630))))=""単価"","""",
IF(COUNTIF(P$2:P3629, P3630)=0, """", INDEX(H$2:H3629,
MAX(FILTER(ROW(H$2:H3629) - ROW(H$2) + 1, P$2:P3629 = P3630)))))"),41.3)</f>
        <v>41.3</v>
      </c>
      <c r="N3630" s="335" t="str">
        <f>IF(MAXIFS('単価履歴'!$O:$O,'単価履歴'!$E:$E,E3630,'単価履歴'!$F:$F,F3630)=O3630,"●","")</f>
        <v/>
      </c>
      <c r="O3630" s="346">
        <v>46003.720671296294</v>
      </c>
      <c r="P3630" s="334" t="str">
        <f t="shared" si="4"/>
        <v>中山製鋼:豊通/中川嘉弘商店新断Ａ</v>
      </c>
    </row>
    <row r="3631" ht="15.75" customHeight="1">
      <c r="A3631" s="335" t="s">
        <v>4778</v>
      </c>
      <c r="B3631" s="336">
        <v>46006.0</v>
      </c>
      <c r="C3631" s="335" t="s">
        <v>5</v>
      </c>
      <c r="D3631" s="335" t="s">
        <v>46</v>
      </c>
      <c r="E3631" s="337" t="str">
        <f t="shared" si="1"/>
        <v>中山製鋼:阪和</v>
      </c>
      <c r="F3631" s="338" t="s">
        <v>101</v>
      </c>
      <c r="G3631" s="339" t="str">
        <f t="shared" si="2"/>
        <v>中山製鋼:阪和ＨＳ２</v>
      </c>
      <c r="H3631" s="340">
        <f t="shared" si="3"/>
        <v>45.9</v>
      </c>
      <c r="I3631" s="341">
        <v>3.0</v>
      </c>
      <c r="J3631" s="332">
        <f>IFERROR(__xludf.DUMMYFUNCTION("IF(IF(COUNTIF(P$2:P3630, P3631)=0, """", INDEX(H$2:H3630,
MAX(FILTER(ROW(H$2:H3630) - ROW(H$2) + 1, P$2:P3630 = P3631))))=""単価"","""",
IF(COUNTIF(P$2:P3630, P3631)=0, """", INDEX(H$2:H3630,
MAX(FILTER(ROW(H$2:H3630) - ROW(H$2) + 1, P$2:P3630 = P3631)))))"),42.9)</f>
        <v>42.9</v>
      </c>
      <c r="N3631" s="335" t="str">
        <f>IF(MAXIFS('単価履歴'!$O:$O,'単価履歴'!$E:$E,E3631,'単価履歴'!$F:$F,F3631)=O3631,"●","")</f>
        <v/>
      </c>
      <c r="O3631" s="346">
        <v>46003.78004629629</v>
      </c>
      <c r="P3631" s="334" t="str">
        <f t="shared" si="4"/>
        <v>中山製鋼:阪和ＨＳ２</v>
      </c>
    </row>
    <row r="3632" ht="15.75" customHeight="1">
      <c r="A3632" s="335" t="s">
        <v>4779</v>
      </c>
      <c r="B3632" s="336">
        <v>46006.0</v>
      </c>
      <c r="C3632" s="335" t="s">
        <v>5</v>
      </c>
      <c r="D3632" s="335" t="s">
        <v>46</v>
      </c>
      <c r="E3632" s="337" t="str">
        <f t="shared" si="1"/>
        <v>中山製鋼:阪和</v>
      </c>
      <c r="F3632" s="338" t="s">
        <v>111</v>
      </c>
      <c r="G3632" s="339" t="str">
        <f t="shared" si="2"/>
        <v>中山製鋼:阪和Ｈ１(特A)</v>
      </c>
      <c r="H3632" s="340">
        <f t="shared" si="3"/>
        <v>43.5</v>
      </c>
      <c r="I3632" s="341">
        <v>3.0</v>
      </c>
      <c r="J3632" s="332">
        <f>IFERROR(__xludf.DUMMYFUNCTION("IF(IF(COUNTIF(P$2:P3631, P3632)=0, """", INDEX(H$2:H3631,
MAX(FILTER(ROW(H$2:H3631) - ROW(H$2) + 1, P$2:P3631 = P3632))))=""単価"","""",
IF(COUNTIF(P$2:P3631, P3632)=0, """", INDEX(H$2:H3631,
MAX(FILTER(ROW(H$2:H3631) - ROW(H$2) + 1, P$2:P3631 = P3632)))))"),40.5)</f>
        <v>40.5</v>
      </c>
      <c r="N3632" s="335" t="str">
        <f>IF(MAXIFS('単価履歴'!$O:$O,'単価履歴'!$E:$E,E3632,'単価履歴'!$F:$F,F3632)=O3632,"●","")</f>
        <v/>
      </c>
      <c r="O3632" s="346">
        <v>46003.78004629629</v>
      </c>
      <c r="P3632" s="334" t="str">
        <f t="shared" si="4"/>
        <v>中山製鋼:阪和Ｈ１(特A)</v>
      </c>
    </row>
    <row r="3633" ht="15.75" customHeight="1">
      <c r="A3633" s="335" t="s">
        <v>4780</v>
      </c>
      <c r="B3633" s="336">
        <v>46006.0</v>
      </c>
      <c r="C3633" s="335" t="s">
        <v>5</v>
      </c>
      <c r="D3633" s="335" t="s">
        <v>46</v>
      </c>
      <c r="E3633" s="337" t="str">
        <f t="shared" si="1"/>
        <v>中山製鋼:阪和</v>
      </c>
      <c r="F3633" s="338" t="s">
        <v>116</v>
      </c>
      <c r="G3633" s="339" t="str">
        <f t="shared" si="2"/>
        <v>中山製鋼:阪和Ｈ２(特級)</v>
      </c>
      <c r="H3633" s="340">
        <f t="shared" si="3"/>
        <v>38.8</v>
      </c>
      <c r="I3633" s="341">
        <v>3.0</v>
      </c>
      <c r="J3633" s="332">
        <f>IFERROR(__xludf.DUMMYFUNCTION("IF(IF(COUNTIF(P$2:P3632, P3633)=0, """", INDEX(H$2:H3632,
MAX(FILTER(ROW(H$2:H3632) - ROW(H$2) + 1, P$2:P3632 = P3633))))=""単価"","""",
IF(COUNTIF(P$2:P3632, P3633)=0, """", INDEX(H$2:H3632,
MAX(FILTER(ROW(H$2:H3632) - ROW(H$2) + 1, P$2:P3632 = P3633)))))"),35.8)</f>
        <v>35.8</v>
      </c>
      <c r="N3633" s="335" t="str">
        <f>IF(MAXIFS('単価履歴'!$O:$O,'単価履歴'!$E:$E,E3633,'単価履歴'!$F:$F,F3633)=O3633,"●","")</f>
        <v/>
      </c>
      <c r="O3633" s="346">
        <v>46003.78004629629</v>
      </c>
      <c r="P3633" s="334" t="str">
        <f t="shared" si="4"/>
        <v>中山製鋼:阪和Ｈ２(特級)</v>
      </c>
    </row>
    <row r="3634" ht="15.75" customHeight="1">
      <c r="A3634" s="335" t="s">
        <v>4781</v>
      </c>
      <c r="B3634" s="336">
        <v>46006.0</v>
      </c>
      <c r="C3634" s="335" t="s">
        <v>5</v>
      </c>
      <c r="D3634" s="335" t="s">
        <v>46</v>
      </c>
      <c r="E3634" s="337" t="str">
        <f t="shared" si="1"/>
        <v>中山製鋼:阪和</v>
      </c>
      <c r="F3634" s="338" t="s">
        <v>119</v>
      </c>
      <c r="G3634" s="339" t="str">
        <f t="shared" si="2"/>
        <v>中山製鋼:阪和Ｈ３(1級)</v>
      </c>
      <c r="H3634" s="340">
        <f t="shared" si="3"/>
        <v>34.8</v>
      </c>
      <c r="I3634" s="341">
        <v>3.0</v>
      </c>
      <c r="J3634" s="332">
        <f>IFERROR(__xludf.DUMMYFUNCTION("IF(IF(COUNTIF(P$2:P3633, P3634)=0, """", INDEX(H$2:H3633,
MAX(FILTER(ROW(H$2:H3633) - ROW(H$2) + 1, P$2:P3633 = P3634))))=""単価"","""",
IF(COUNTIF(P$2:P3633, P3634)=0, """", INDEX(H$2:H3633,
MAX(FILTER(ROW(H$2:H3633) - ROW(H$2) + 1, P$2:P3633 = P3634)))))"),31.799999999999997)</f>
        <v>31.8</v>
      </c>
      <c r="N3634" s="335" t="str">
        <f>IF(MAXIFS('単価履歴'!$O:$O,'単価履歴'!$E:$E,E3634,'単価履歴'!$F:$F,F3634)=O3634,"●","")</f>
        <v/>
      </c>
      <c r="O3634" s="346">
        <v>46003.78004629629</v>
      </c>
      <c r="P3634" s="334" t="str">
        <f t="shared" si="4"/>
        <v>中山製鋼:阪和Ｈ３(1級)</v>
      </c>
    </row>
    <row r="3635" ht="15.75" customHeight="1">
      <c r="A3635" s="335" t="s">
        <v>4782</v>
      </c>
      <c r="B3635" s="336">
        <v>46006.0</v>
      </c>
      <c r="C3635" s="335" t="s">
        <v>5</v>
      </c>
      <c r="D3635" s="335" t="s">
        <v>46</v>
      </c>
      <c r="E3635" s="337" t="str">
        <f t="shared" si="1"/>
        <v>中山製鋼:阪和</v>
      </c>
      <c r="F3635" s="338" t="s">
        <v>122</v>
      </c>
      <c r="G3635" s="339" t="str">
        <f t="shared" si="2"/>
        <v>中山製鋼:阪和Ｌ１(2級)</v>
      </c>
      <c r="H3635" s="340">
        <f t="shared" si="3"/>
        <v>28.3</v>
      </c>
      <c r="I3635" s="341">
        <v>3.0</v>
      </c>
      <c r="J3635" s="332">
        <f>IFERROR(__xludf.DUMMYFUNCTION("IF(IF(COUNTIF(P$2:P3634, P3635)=0, """", INDEX(H$2:H3634,
MAX(FILTER(ROW(H$2:H3634) - ROW(H$2) + 1, P$2:P3634 = P3635))))=""単価"","""",
IF(COUNTIF(P$2:P3634, P3635)=0, """", INDEX(H$2:H3634,
MAX(FILTER(ROW(H$2:H3634) - ROW(H$2) + 1, P$2:P3634 = P3635)))))"),25.3)</f>
        <v>25.3</v>
      </c>
      <c r="N3635" s="335" t="str">
        <f>IF(MAXIFS('単価履歴'!$O:$O,'単価履歴'!$E:$E,E3635,'単価履歴'!$F:$F,F3635)=O3635,"●","")</f>
        <v/>
      </c>
      <c r="O3635" s="346">
        <v>46003.78004629629</v>
      </c>
      <c r="P3635" s="334" t="str">
        <f t="shared" si="4"/>
        <v>中山製鋼:阪和Ｌ１(2級)</v>
      </c>
    </row>
    <row r="3636" ht="15.75" customHeight="1">
      <c r="A3636" s="335" t="s">
        <v>4783</v>
      </c>
      <c r="B3636" s="336">
        <v>46006.0</v>
      </c>
      <c r="C3636" s="335" t="s">
        <v>5</v>
      </c>
      <c r="D3636" s="335" t="s">
        <v>46</v>
      </c>
      <c r="E3636" s="337" t="str">
        <f t="shared" si="1"/>
        <v>中山製鋼:阪和</v>
      </c>
      <c r="F3636" s="338" t="s">
        <v>130</v>
      </c>
      <c r="G3636" s="339" t="str">
        <f t="shared" si="2"/>
        <v>中山製鋼:阪和新断Ａ</v>
      </c>
      <c r="H3636" s="340">
        <f t="shared" si="3"/>
        <v>46.8</v>
      </c>
      <c r="I3636" s="341">
        <v>2.5</v>
      </c>
      <c r="J3636" s="332">
        <f>IFERROR(__xludf.DUMMYFUNCTION("IF(IF(COUNTIF(P$2:P3635, P3636)=0, """", INDEX(H$2:H3635,
MAX(FILTER(ROW(H$2:H3635) - ROW(H$2) + 1, P$2:P3635 = P3636))))=""単価"","""",
IF(COUNTIF(P$2:P3635, P3636)=0, """", INDEX(H$2:H3635,
MAX(FILTER(ROW(H$2:H3635) - ROW(H$2) + 1, P$2:P3635 = P3636)))))"),44.3)</f>
        <v>44.3</v>
      </c>
      <c r="N3636" s="335" t="str">
        <f>IF(MAXIFS('単価履歴'!$O:$O,'単価履歴'!$E:$E,E3636,'単価履歴'!$F:$F,F3636)=O3636,"●","")</f>
        <v/>
      </c>
      <c r="O3636" s="346">
        <v>46003.7803125</v>
      </c>
      <c r="P3636" s="334" t="str">
        <f t="shared" si="4"/>
        <v>中山製鋼:阪和新断Ａ</v>
      </c>
    </row>
    <row r="3637" ht="15.75" customHeight="1">
      <c r="A3637" s="335" t="s">
        <v>4784</v>
      </c>
      <c r="B3637" s="336">
        <v>46006.0</v>
      </c>
      <c r="C3637" s="335" t="s">
        <v>5</v>
      </c>
      <c r="D3637" s="335" t="s">
        <v>46</v>
      </c>
      <c r="E3637" s="337" t="str">
        <f t="shared" si="1"/>
        <v>中山製鋼:阪和</v>
      </c>
      <c r="F3637" s="338" t="s">
        <v>131</v>
      </c>
      <c r="G3637" s="339" t="str">
        <f t="shared" si="2"/>
        <v>中山製鋼:阪和新断Ｂ</v>
      </c>
      <c r="H3637" s="340">
        <f t="shared" si="3"/>
        <v>45.8</v>
      </c>
      <c r="I3637" s="341">
        <v>2.5</v>
      </c>
      <c r="J3637" s="332">
        <f>IFERROR(__xludf.DUMMYFUNCTION("IF(IF(COUNTIF(P$2:P3636, P3637)=0, """", INDEX(H$2:H3636,
MAX(FILTER(ROW(H$2:H3636) - ROW(H$2) + 1, P$2:P3636 = P3637))))=""単価"","""",
IF(COUNTIF(P$2:P3636, P3637)=0, """", INDEX(H$2:H3636,
MAX(FILTER(ROW(H$2:H3636) - ROW(H$2) + 1, P$2:P3636 = P3637)))))"),43.3)</f>
        <v>43.3</v>
      </c>
      <c r="N3637" s="335" t="str">
        <f>IF(MAXIFS('単価履歴'!$O:$O,'単価履歴'!$E:$E,E3637,'単価履歴'!$F:$F,F3637)=O3637,"●","")</f>
        <v/>
      </c>
      <c r="O3637" s="346">
        <v>46003.7803125</v>
      </c>
      <c r="P3637" s="334" t="str">
        <f t="shared" si="4"/>
        <v>中山製鋼:阪和新断Ｂ</v>
      </c>
    </row>
    <row r="3638" ht="15.75" customHeight="1">
      <c r="A3638" s="335" t="s">
        <v>4785</v>
      </c>
      <c r="B3638" s="336">
        <v>46006.0</v>
      </c>
      <c r="C3638" s="335" t="s">
        <v>5</v>
      </c>
      <c r="D3638" s="335" t="s">
        <v>46</v>
      </c>
      <c r="E3638" s="337" t="str">
        <f t="shared" si="1"/>
        <v>中山製鋼:阪和</v>
      </c>
      <c r="F3638" s="338" t="s">
        <v>574</v>
      </c>
      <c r="G3638" s="339" t="str">
        <f t="shared" si="2"/>
        <v>中山製鋼:阪和新断Ｃ</v>
      </c>
      <c r="H3638" s="340">
        <f t="shared" si="3"/>
        <v>44.8</v>
      </c>
      <c r="I3638" s="341">
        <v>2.5</v>
      </c>
      <c r="J3638" s="332">
        <f>IFERROR(__xludf.DUMMYFUNCTION("IF(IF(COUNTIF(P$2:P3637, P3638)=0, """", INDEX(H$2:H3637,
MAX(FILTER(ROW(H$2:H3637) - ROW(H$2) + 1, P$2:P3637 = P3638))))=""単価"","""",
IF(COUNTIF(P$2:P3637, P3638)=0, """", INDEX(H$2:H3637,
MAX(FILTER(ROW(H$2:H3637) - ROW(H$2) + 1, P$2:P3637 = P3638)))))"),42.3)</f>
        <v>42.3</v>
      </c>
      <c r="N3638" s="335" t="str">
        <f>IF(MAXIFS('単価履歴'!$O:$O,'単価履歴'!$E:$E,E3638,'単価履歴'!$F:$F,F3638)=O3638,"●","")</f>
        <v/>
      </c>
      <c r="O3638" s="346">
        <v>46003.7803125</v>
      </c>
      <c r="P3638" s="334" t="str">
        <f t="shared" si="4"/>
        <v>中山製鋼:阪和新断Ｃ</v>
      </c>
    </row>
    <row r="3639" ht="15.75" customHeight="1">
      <c r="A3639" s="335" t="s">
        <v>4786</v>
      </c>
      <c r="B3639" s="336">
        <v>46004.0</v>
      </c>
      <c r="C3639" s="335" t="s">
        <v>9</v>
      </c>
      <c r="D3639" s="335" t="s">
        <v>50</v>
      </c>
      <c r="E3639" s="337" t="str">
        <f t="shared" si="1"/>
        <v>大鉄　堺:産振</v>
      </c>
      <c r="F3639" s="338" t="s">
        <v>111</v>
      </c>
      <c r="G3639" s="339" t="str">
        <f t="shared" si="2"/>
        <v>大鉄　堺:産振Ｈ１(特A)</v>
      </c>
      <c r="H3639" s="340">
        <f t="shared" si="3"/>
        <v>47.2</v>
      </c>
      <c r="I3639" s="341">
        <v>1.0</v>
      </c>
      <c r="J3639" s="332">
        <f>IFERROR(__xludf.DUMMYFUNCTION("IF(IF(COUNTIF(P$2:P3638, P3639)=0, """", INDEX(H$2:H3638,
MAX(FILTER(ROW(H$2:H3638) - ROW(H$2) + 1, P$2:P3638 = P3639))))=""単価"","""",
IF(COUNTIF(P$2:P3638, P3639)=0, """", INDEX(H$2:H3638,
MAX(FILTER(ROW(H$2:H3638) - ROW(H$2) + 1, P$2:P3638 = P3639)))))"),46.2)</f>
        <v>46.2</v>
      </c>
      <c r="N3639" s="335" t="str">
        <f>IF(MAXIFS('単価履歴'!$O:$O,'単価履歴'!$E:$E,E3639,'単価履歴'!$F:$F,F3639)=O3639,"●","")</f>
        <v/>
      </c>
      <c r="O3639" s="346">
        <v>46006.34254629629</v>
      </c>
      <c r="P3639" s="334" t="str">
        <f t="shared" si="4"/>
        <v>大鉄　堺:産振Ｈ１(特A)</v>
      </c>
    </row>
    <row r="3640" ht="15.75" customHeight="1">
      <c r="A3640" s="335" t="s">
        <v>4787</v>
      </c>
      <c r="B3640" s="336">
        <v>46004.0</v>
      </c>
      <c r="C3640" s="335" t="s">
        <v>9</v>
      </c>
      <c r="D3640" s="335" t="s">
        <v>50</v>
      </c>
      <c r="E3640" s="337" t="str">
        <f t="shared" si="1"/>
        <v>大鉄　堺:産振</v>
      </c>
      <c r="F3640" s="338" t="s">
        <v>116</v>
      </c>
      <c r="G3640" s="339" t="str">
        <f t="shared" si="2"/>
        <v>大鉄　堺:産振Ｈ２(特級)</v>
      </c>
      <c r="H3640" s="340">
        <f t="shared" si="3"/>
        <v>44.7</v>
      </c>
      <c r="I3640" s="341">
        <v>1.0</v>
      </c>
      <c r="J3640" s="332">
        <f>IFERROR(__xludf.DUMMYFUNCTION("IF(IF(COUNTIF(P$2:P3639, P3640)=0, """", INDEX(H$2:H3639,
MAX(FILTER(ROW(H$2:H3639) - ROW(H$2) + 1, P$2:P3639 = P3640))))=""単価"","""",
IF(COUNTIF(P$2:P3639, P3640)=0, """", INDEX(H$2:H3639,
MAX(FILTER(ROW(H$2:H3639) - ROW(H$2) + 1, P$2:P3639 = P3640)))))"),43.7)</f>
        <v>43.7</v>
      </c>
      <c r="N3640" s="335" t="str">
        <f>IF(MAXIFS('単価履歴'!$O:$O,'単価履歴'!$E:$E,E3640,'単価履歴'!$F:$F,F3640)=O3640,"●","")</f>
        <v/>
      </c>
      <c r="O3640" s="346">
        <v>46006.34254629629</v>
      </c>
      <c r="P3640" s="334" t="str">
        <f t="shared" si="4"/>
        <v>大鉄　堺:産振Ｈ２(特級)</v>
      </c>
    </row>
    <row r="3641" ht="15.75" customHeight="1">
      <c r="A3641" s="335" t="s">
        <v>4788</v>
      </c>
      <c r="B3641" s="336">
        <v>46014.0</v>
      </c>
      <c r="C3641" s="335" t="s">
        <v>12</v>
      </c>
      <c r="D3641" s="335" t="s">
        <v>541</v>
      </c>
      <c r="E3641" s="337" t="str">
        <f t="shared" si="1"/>
        <v>山陽特殊:大同</v>
      </c>
      <c r="F3641" s="338" t="s">
        <v>1199</v>
      </c>
      <c r="G3641" s="339" t="str">
        <f t="shared" si="2"/>
        <v>山陽特殊:大同ＨＳ１(単体H1/電特A/HS))</v>
      </c>
      <c r="H3641" s="340">
        <f t="shared" si="3"/>
        <v>50.5</v>
      </c>
      <c r="I3641" s="341">
        <v>50.5</v>
      </c>
      <c r="J3641" s="332" t="str">
        <f>IFERROR(__xludf.DUMMYFUNCTION("IF(IF(COUNTIF(P$2:P3640, P3641)=0, """", INDEX(H$2:H3640,
MAX(FILTER(ROW(H$2:H3640) - ROW(H$2) + 1, P$2:P3640 = P3641))))=""単価"","""",
IF(COUNTIF(P$2:P3640, P3641)=0, """", INDEX(H$2:H3640,
MAX(FILTER(ROW(H$2:H3640) - ROW(H$2) + 1, P$2:P3640 = P3641)))))"),"")</f>
        <v/>
      </c>
      <c r="N3641" s="335" t="str">
        <f>IF(MAXIFS('単価履歴'!$O:$O,'単価履歴'!$E:$E,E3641,'単価履歴'!$F:$F,F3641)=O3641,"●","")</f>
        <v/>
      </c>
      <c r="O3641" s="346">
        <v>46014.5543287037</v>
      </c>
      <c r="P3641" s="334" t="str">
        <f t="shared" si="4"/>
        <v>山陽特殊:大同ＨＳ１(単体H1/電特A/HS))</v>
      </c>
    </row>
    <row r="3642" ht="15.75" customHeight="1">
      <c r="A3642" s="335" t="s">
        <v>4789</v>
      </c>
      <c r="B3642" s="336">
        <v>46014.0</v>
      </c>
      <c r="C3642" s="335" t="s">
        <v>12</v>
      </c>
      <c r="D3642" s="335" t="s">
        <v>541</v>
      </c>
      <c r="E3642" s="337" t="str">
        <f t="shared" si="1"/>
        <v>山陽特殊:大同</v>
      </c>
      <c r="F3642" s="338" t="s">
        <v>101</v>
      </c>
      <c r="G3642" s="339" t="str">
        <f t="shared" si="2"/>
        <v>山陽特殊:大同ＨＳ２</v>
      </c>
      <c r="H3642" s="340">
        <f t="shared" si="3"/>
        <v>50.3</v>
      </c>
      <c r="I3642" s="341">
        <v>50.3</v>
      </c>
      <c r="J3642" s="332" t="str">
        <f>IFERROR(__xludf.DUMMYFUNCTION("IF(IF(COUNTIF(P$2:P3641, P3642)=0, """", INDEX(H$2:H3641,
MAX(FILTER(ROW(H$2:H3641) - ROW(H$2) + 1, P$2:P3641 = P3642))))=""単価"","""",
IF(COUNTIF(P$2:P3641, P3642)=0, """", INDEX(H$2:H3641,
MAX(FILTER(ROW(H$2:H3641) - ROW(H$2) + 1, P$2:P3641 = P3642)))))"),"")</f>
        <v/>
      </c>
      <c r="N3642" s="335" t="str">
        <f>IF(MAXIFS('単価履歴'!$O:$O,'単価履歴'!$E:$E,E3642,'単価履歴'!$F:$F,F3642)=O3642,"●","")</f>
        <v/>
      </c>
      <c r="O3642" s="346">
        <v>46014.55469907407</v>
      </c>
      <c r="P3642" s="334" t="str">
        <f t="shared" si="4"/>
        <v>山陽特殊:大同ＨＳ２</v>
      </c>
    </row>
    <row r="3643" ht="15.75" customHeight="1">
      <c r="A3643" s="335" t="s">
        <v>4790</v>
      </c>
      <c r="B3643" s="336">
        <v>46014.0</v>
      </c>
      <c r="C3643" s="335" t="s">
        <v>12</v>
      </c>
      <c r="D3643" s="335" t="s">
        <v>541</v>
      </c>
      <c r="E3643" s="337" t="str">
        <f t="shared" si="1"/>
        <v>山陽特殊:大同</v>
      </c>
      <c r="F3643" s="338" t="s">
        <v>105</v>
      </c>
      <c r="G3643" s="339" t="str">
        <f t="shared" si="2"/>
        <v>山陽特殊:大同ＨＳ３</v>
      </c>
      <c r="H3643" s="340">
        <f t="shared" si="3"/>
        <v>48.3</v>
      </c>
      <c r="I3643" s="341">
        <v>48.3</v>
      </c>
      <c r="J3643" s="332" t="str">
        <f>IFERROR(__xludf.DUMMYFUNCTION("IF(IF(COUNTIF(P$2:P3642, P3643)=0, """", INDEX(H$2:H3642,
MAX(FILTER(ROW(H$2:H3642) - ROW(H$2) + 1, P$2:P3642 = P3643))))=""単価"","""",
IF(COUNTIF(P$2:P3642, P3643)=0, """", INDEX(H$2:H3642,
MAX(FILTER(ROW(H$2:H3642) - ROW(H$2) + 1, P$2:P3642 = P3643)))))"),"")</f>
        <v/>
      </c>
      <c r="N3643" s="335" t="str">
        <f>IF(MAXIFS('単価履歴'!$O:$O,'単価履歴'!$E:$E,E3643,'単価履歴'!$F:$F,F3643)=O3643,"●","")</f>
        <v/>
      </c>
      <c r="O3643" s="346">
        <v>46014.5550462963</v>
      </c>
      <c r="P3643" s="334" t="str">
        <f t="shared" si="4"/>
        <v>山陽特殊:大同ＨＳ３</v>
      </c>
    </row>
    <row r="3644" ht="15.75" customHeight="1">
      <c r="A3644" s="335" t="s">
        <v>4791</v>
      </c>
      <c r="B3644" s="336">
        <v>46016.0</v>
      </c>
      <c r="C3644" s="335" t="s">
        <v>531</v>
      </c>
      <c r="D3644" s="335" t="s">
        <v>77</v>
      </c>
      <c r="E3644" s="337" t="str">
        <f t="shared" si="1"/>
        <v>東鐵関西:直納</v>
      </c>
      <c r="F3644" s="338" t="s">
        <v>145</v>
      </c>
      <c r="G3644" s="339" t="str">
        <f t="shared" si="2"/>
        <v>東鐵関西:直納シュレＡ</v>
      </c>
      <c r="H3644" s="340">
        <f t="shared" si="3"/>
        <v>45.5</v>
      </c>
      <c r="I3644" s="341">
        <v>-0.5</v>
      </c>
      <c r="J3644" s="332">
        <f>IFERROR(__xludf.DUMMYFUNCTION("IF(IF(COUNTIF(P$2:P3643, P3644)=0, """", INDEX(H$2:H3643,
MAX(FILTER(ROW(H$2:H3643) - ROW(H$2) + 1, P$2:P3643 = P3644))))=""単価"","""",
IF(COUNTIF(P$2:P3643, P3644)=0, """", INDEX(H$2:H3643,
MAX(FILTER(ROW(H$2:H3643) - ROW(H$2) + 1, P$2:P3643 = P3644)))))"),46.0)</f>
        <v>46</v>
      </c>
      <c r="N3644" s="335" t="str">
        <f>IF(MAXIFS('単価履歴'!$O:$O,'単価履歴'!$E:$E,E3644,'単価履歴'!$F:$F,F3644)=O3644,"●","")</f>
        <v/>
      </c>
      <c r="O3644" s="346">
        <v>46016.349641203706</v>
      </c>
      <c r="P3644" s="334" t="str">
        <f t="shared" si="4"/>
        <v>東鐵関西:直納シュレＡ</v>
      </c>
    </row>
    <row r="3645" ht="15.75" customHeight="1">
      <c r="A3645" s="335" t="s">
        <v>4792</v>
      </c>
      <c r="B3645" s="336">
        <v>46016.0</v>
      </c>
      <c r="C3645" s="335" t="s">
        <v>531</v>
      </c>
      <c r="D3645" s="335" t="s">
        <v>77</v>
      </c>
      <c r="E3645" s="337" t="str">
        <f t="shared" si="1"/>
        <v>東鐵関西:直納</v>
      </c>
      <c r="F3645" s="338" t="s">
        <v>151</v>
      </c>
      <c r="G3645" s="339" t="str">
        <f t="shared" si="2"/>
        <v>東鐵関西:直納シュレＣ</v>
      </c>
      <c r="H3645" s="340">
        <f t="shared" si="3"/>
        <v>44.5</v>
      </c>
      <c r="I3645" s="341">
        <v>-0.5</v>
      </c>
      <c r="J3645" s="332">
        <f>IFERROR(__xludf.DUMMYFUNCTION("IF(IF(COUNTIF(P$2:P3644, P3645)=0, """", INDEX(H$2:H3644,
MAX(FILTER(ROW(H$2:H3644) - ROW(H$2) + 1, P$2:P3644 = P3645))))=""単価"","""",
IF(COUNTIF(P$2:P3644, P3645)=0, """", INDEX(H$2:H3644,
MAX(FILTER(ROW(H$2:H3644) - ROW(H$2) + 1, P$2:P3644 = P3645)))))"),45.0)</f>
        <v>45</v>
      </c>
      <c r="N3645" s="335" t="str">
        <f>IF(MAXIFS('単価履歴'!$O:$O,'単価履歴'!$E:$E,E3645,'単価履歴'!$F:$F,F3645)=O3645,"●","")</f>
        <v/>
      </c>
      <c r="O3645" s="346">
        <v>46016.349641203706</v>
      </c>
      <c r="P3645" s="334" t="str">
        <f t="shared" si="4"/>
        <v>東鐵関西:直納シュレＣ</v>
      </c>
    </row>
    <row r="3646" ht="15.75" customHeight="1">
      <c r="A3646" s="335" t="s">
        <v>4793</v>
      </c>
      <c r="B3646" s="336">
        <v>46016.0</v>
      </c>
      <c r="C3646" s="335" t="s">
        <v>532</v>
      </c>
      <c r="D3646" s="335" t="s">
        <v>77</v>
      </c>
      <c r="E3646" s="337" t="str">
        <f t="shared" si="1"/>
        <v>東鐵岡山:直納</v>
      </c>
      <c r="F3646" s="338" t="s">
        <v>1199</v>
      </c>
      <c r="G3646" s="339" t="str">
        <f t="shared" si="2"/>
        <v>東鐵岡山:直納ＨＳ１(単体H1/電特A/HS))</v>
      </c>
      <c r="H3646" s="340">
        <f t="shared" si="3"/>
        <v>46</v>
      </c>
      <c r="I3646" s="341">
        <v>-0.5</v>
      </c>
      <c r="J3646" s="332">
        <f>IFERROR(__xludf.DUMMYFUNCTION("IF(IF(COUNTIF(P$2:P3645, P3646)=0, """", INDEX(H$2:H3645,
MAX(FILTER(ROW(H$2:H3645) - ROW(H$2) + 1, P$2:P3645 = P3646))))=""単価"","""",
IF(COUNTIF(P$2:P3645, P3646)=0, """", INDEX(H$2:H3645,
MAX(FILTER(ROW(H$2:H3645) - ROW(H$2) + 1, P$2:P3645 = P3646)))))"),46.5)</f>
        <v>46.5</v>
      </c>
      <c r="N3646" s="335" t="str">
        <f>IF(MAXIFS('単価履歴'!$O:$O,'単価履歴'!$E:$E,E3646,'単価履歴'!$F:$F,F3646)=O3646,"●","")</f>
        <v/>
      </c>
      <c r="O3646" s="346">
        <v>46016.350023148145</v>
      </c>
      <c r="P3646" s="334" t="str">
        <f t="shared" si="4"/>
        <v>東鐵岡山:直納ＨＳ１(単体H1/電特A/HS))</v>
      </c>
    </row>
    <row r="3647" ht="15.75" customHeight="1">
      <c r="A3647" s="335" t="s">
        <v>4794</v>
      </c>
      <c r="B3647" s="336">
        <v>46016.0</v>
      </c>
      <c r="C3647" s="335" t="s">
        <v>532</v>
      </c>
      <c r="D3647" s="335" t="s">
        <v>77</v>
      </c>
      <c r="E3647" s="337" t="str">
        <f t="shared" si="1"/>
        <v>東鐵岡山:直納</v>
      </c>
      <c r="F3647" s="338" t="s">
        <v>111</v>
      </c>
      <c r="G3647" s="339" t="str">
        <f t="shared" si="2"/>
        <v>東鐵岡山:直納Ｈ１(特A)</v>
      </c>
      <c r="H3647" s="340">
        <f t="shared" si="3"/>
        <v>44.7</v>
      </c>
      <c r="I3647" s="341">
        <v>-0.5</v>
      </c>
      <c r="J3647" s="332">
        <f>IFERROR(__xludf.DUMMYFUNCTION("IF(IF(COUNTIF(P$2:P3646, P3647)=0, """", INDEX(H$2:H3646,
MAX(FILTER(ROW(H$2:H3646) - ROW(H$2) + 1, P$2:P3646 = P3647))))=""単価"","""",
IF(COUNTIF(P$2:P3646, P3647)=0, """", INDEX(H$2:H3646,
MAX(FILTER(ROW(H$2:H3646) - ROW(H$2) + 1, P$2:P3646 = P3647)))))"),45.2)</f>
        <v>45.2</v>
      </c>
      <c r="N3647" s="335" t="str">
        <f>IF(MAXIFS('単価履歴'!$O:$O,'単価履歴'!$E:$E,E3647,'単価履歴'!$F:$F,F3647)=O3647,"●","")</f>
        <v/>
      </c>
      <c r="O3647" s="346">
        <v>46016.350023148145</v>
      </c>
      <c r="P3647" s="334" t="str">
        <f t="shared" si="4"/>
        <v>東鐵岡山:直納Ｈ１(特A)</v>
      </c>
    </row>
    <row r="3648" ht="15.75" customHeight="1">
      <c r="A3648" s="335" t="s">
        <v>4795</v>
      </c>
      <c r="B3648" s="336">
        <v>46016.0</v>
      </c>
      <c r="C3648" s="335" t="s">
        <v>532</v>
      </c>
      <c r="D3648" s="335" t="s">
        <v>77</v>
      </c>
      <c r="E3648" s="337" t="str">
        <f t="shared" si="1"/>
        <v>東鐵岡山:直納</v>
      </c>
      <c r="F3648" s="338" t="s">
        <v>116</v>
      </c>
      <c r="G3648" s="339" t="str">
        <f t="shared" si="2"/>
        <v>東鐵岡山:直納Ｈ２(特級)</v>
      </c>
      <c r="H3648" s="340">
        <f t="shared" si="3"/>
        <v>44</v>
      </c>
      <c r="I3648" s="341">
        <v>-0.5</v>
      </c>
      <c r="J3648" s="332">
        <f>IFERROR(__xludf.DUMMYFUNCTION("IF(IF(COUNTIF(P$2:P3647, P3648)=0, """", INDEX(H$2:H3647,
MAX(FILTER(ROW(H$2:H3647) - ROW(H$2) + 1, P$2:P3647 = P3648))))=""単価"","""",
IF(COUNTIF(P$2:P3647, P3648)=0, """", INDEX(H$2:H3647,
MAX(FILTER(ROW(H$2:H3647) - ROW(H$2) + 1, P$2:P3647 = P3648)))))"),44.5)</f>
        <v>44.5</v>
      </c>
      <c r="N3648" s="335" t="str">
        <f>IF(MAXIFS('単価履歴'!$O:$O,'単価履歴'!$E:$E,E3648,'単価履歴'!$F:$F,F3648)=O3648,"●","")</f>
        <v/>
      </c>
      <c r="O3648" s="346">
        <v>46016.350023148145</v>
      </c>
      <c r="P3648" s="334" t="str">
        <f t="shared" si="4"/>
        <v>東鐵岡山:直納Ｈ２(特級)</v>
      </c>
    </row>
    <row r="3649" ht="15.75" customHeight="1">
      <c r="A3649" s="335" t="s">
        <v>4796</v>
      </c>
      <c r="B3649" s="336">
        <v>46016.0</v>
      </c>
      <c r="C3649" s="335" t="s">
        <v>532</v>
      </c>
      <c r="D3649" s="335" t="s">
        <v>77</v>
      </c>
      <c r="E3649" s="337" t="str">
        <f t="shared" si="1"/>
        <v>東鐵岡山:直納</v>
      </c>
      <c r="F3649" s="338" t="s">
        <v>119</v>
      </c>
      <c r="G3649" s="339" t="str">
        <f t="shared" si="2"/>
        <v>東鐵岡山:直納Ｈ３(1級)</v>
      </c>
      <c r="H3649" s="340">
        <f t="shared" si="3"/>
        <v>43.5</v>
      </c>
      <c r="I3649" s="341">
        <v>-0.5</v>
      </c>
      <c r="J3649" s="332">
        <f>IFERROR(__xludf.DUMMYFUNCTION("IF(IF(COUNTIF(P$2:P3648, P3649)=0, """", INDEX(H$2:H3648,
MAX(FILTER(ROW(H$2:H3648) - ROW(H$2) + 1, P$2:P3648 = P3649))))=""単価"","""",
IF(COUNTIF(P$2:P3648, P3649)=0, """", INDEX(H$2:H3648,
MAX(FILTER(ROW(H$2:H3648) - ROW(H$2) + 1, P$2:P3648 = P3649)))))"),44.0)</f>
        <v>44</v>
      </c>
      <c r="N3649" s="335" t="str">
        <f>IF(MAXIFS('単価履歴'!$O:$O,'単価履歴'!$E:$E,E3649,'単価履歴'!$F:$F,F3649)=O3649,"●","")</f>
        <v/>
      </c>
      <c r="O3649" s="346">
        <v>46016.350023148145</v>
      </c>
      <c r="P3649" s="334" t="str">
        <f t="shared" si="4"/>
        <v>東鐵岡山:直納Ｈ３(1級)</v>
      </c>
    </row>
    <row r="3650" ht="15.75" customHeight="1">
      <c r="A3650" s="335" t="s">
        <v>4797</v>
      </c>
      <c r="B3650" s="336">
        <v>46016.0</v>
      </c>
      <c r="C3650" s="335" t="s">
        <v>532</v>
      </c>
      <c r="D3650" s="335" t="s">
        <v>77</v>
      </c>
      <c r="E3650" s="337" t="str">
        <f t="shared" si="1"/>
        <v>東鐵岡山:直納</v>
      </c>
      <c r="F3650" s="338" t="s">
        <v>122</v>
      </c>
      <c r="G3650" s="339" t="str">
        <f t="shared" si="2"/>
        <v>東鐵岡山:直納Ｌ１(2級)</v>
      </c>
      <c r="H3650" s="340">
        <f t="shared" si="3"/>
        <v>42</v>
      </c>
      <c r="I3650" s="341">
        <v>-0.5</v>
      </c>
      <c r="J3650" s="332">
        <f>IFERROR(__xludf.DUMMYFUNCTION("IF(IF(COUNTIF(P$2:P3649, P3650)=0, """", INDEX(H$2:H3649,
MAX(FILTER(ROW(H$2:H3649) - ROW(H$2) + 1, P$2:P3649 = P3650))))=""単価"","""",
IF(COUNTIF(P$2:P3649, P3650)=0, """", INDEX(H$2:H3649,
MAX(FILTER(ROW(H$2:H3649) - ROW(H$2) + 1, P$2:P3649 = P3650)))))"),42.5)</f>
        <v>42.5</v>
      </c>
      <c r="N3650" s="335" t="str">
        <f>IF(MAXIFS('単価履歴'!$O:$O,'単価履歴'!$E:$E,E3650,'単価履歴'!$F:$F,F3650)=O3650,"●","")</f>
        <v/>
      </c>
      <c r="O3650" s="346">
        <v>46016.350023148145</v>
      </c>
      <c r="P3650" s="334" t="str">
        <f t="shared" si="4"/>
        <v>東鐵岡山:直納Ｌ１(2級)</v>
      </c>
    </row>
    <row r="3651" ht="15.75" customHeight="1">
      <c r="A3651" s="335" t="s">
        <v>4798</v>
      </c>
      <c r="B3651" s="336">
        <v>46016.0</v>
      </c>
      <c r="C3651" s="335" t="s">
        <v>532</v>
      </c>
      <c r="D3651" s="335" t="s">
        <v>77</v>
      </c>
      <c r="E3651" s="337" t="str">
        <f t="shared" si="1"/>
        <v>東鐵岡山:直納</v>
      </c>
      <c r="F3651" s="338" t="s">
        <v>573</v>
      </c>
      <c r="G3651" s="339" t="str">
        <f t="shared" si="2"/>
        <v>東鐵岡山:直納Ｌ２(H4･級外･L1ﾊﾞﾗ)</v>
      </c>
      <c r="H3651" s="340">
        <f t="shared" si="3"/>
        <v>39</v>
      </c>
      <c r="I3651" s="341">
        <v>-0.5</v>
      </c>
      <c r="J3651" s="332">
        <f>IFERROR(__xludf.DUMMYFUNCTION("IF(IF(COUNTIF(P$2:P3650, P3651)=0, """", INDEX(H$2:H3650,
MAX(FILTER(ROW(H$2:H3650) - ROW(H$2) + 1, P$2:P3650 = P3651))))=""単価"","""",
IF(COUNTIF(P$2:P3650, P3651)=0, """", INDEX(H$2:H3650,
MAX(FILTER(ROW(H$2:H3650) - ROW(H$2) + 1, P$2:P3650 = P3651)))))"),39.5)</f>
        <v>39.5</v>
      </c>
      <c r="N3651" s="335" t="str">
        <f>IF(MAXIFS('単価履歴'!$O:$O,'単価履歴'!$E:$E,E3651,'単価履歴'!$F:$F,F3651)=O3651,"●","")</f>
        <v/>
      </c>
      <c r="O3651" s="346">
        <v>46016.350023148145</v>
      </c>
      <c r="P3651" s="334" t="str">
        <f t="shared" si="4"/>
        <v>東鐵岡山:直納Ｌ２(H4･級外･L1ﾊﾞﾗ)</v>
      </c>
    </row>
    <row r="3652" ht="15.75" customHeight="1">
      <c r="A3652" s="335" t="s">
        <v>4799</v>
      </c>
      <c r="B3652" s="336">
        <v>46016.0</v>
      </c>
      <c r="C3652" s="335" t="s">
        <v>532</v>
      </c>
      <c r="D3652" s="335" t="s">
        <v>77</v>
      </c>
      <c r="E3652" s="337" t="str">
        <f t="shared" si="1"/>
        <v>東鐵岡山:直納</v>
      </c>
      <c r="F3652" s="338" t="s">
        <v>145</v>
      </c>
      <c r="G3652" s="339" t="str">
        <f t="shared" si="2"/>
        <v>東鐵岡山:直納シュレＡ</v>
      </c>
      <c r="H3652" s="340">
        <f t="shared" si="3"/>
        <v>44.5</v>
      </c>
      <c r="I3652" s="341">
        <v>-0.5</v>
      </c>
      <c r="J3652" s="332">
        <f>IFERROR(__xludf.DUMMYFUNCTION("IF(IF(COUNTIF(P$2:P3651, P3652)=0, """", INDEX(H$2:H3651,
MAX(FILTER(ROW(H$2:H3651) - ROW(H$2) + 1, P$2:P3651 = P3652))))=""単価"","""",
IF(COUNTIF(P$2:P3651, P3652)=0, """", INDEX(H$2:H3651,
MAX(FILTER(ROW(H$2:H3651) - ROW(H$2) + 1, P$2:P3651 = P3652)))))"),45.0)</f>
        <v>45</v>
      </c>
      <c r="N3652" s="335" t="str">
        <f>IF(MAXIFS('単価履歴'!$O:$O,'単価履歴'!$E:$E,E3652,'単価履歴'!$F:$F,F3652)=O3652,"●","")</f>
        <v/>
      </c>
      <c r="O3652" s="346">
        <v>46016.350023148145</v>
      </c>
      <c r="P3652" s="334" t="str">
        <f t="shared" si="4"/>
        <v>東鐵岡山:直納シュレＡ</v>
      </c>
    </row>
    <row r="3653" ht="15.75" customHeight="1">
      <c r="A3653" s="335" t="s">
        <v>4800</v>
      </c>
      <c r="B3653" s="336">
        <v>46016.0</v>
      </c>
      <c r="C3653" s="335" t="s">
        <v>532</v>
      </c>
      <c r="D3653" s="335" t="s">
        <v>77</v>
      </c>
      <c r="E3653" s="337" t="str">
        <f t="shared" si="1"/>
        <v>東鐵岡山:直納</v>
      </c>
      <c r="F3653" s="338" t="s">
        <v>151</v>
      </c>
      <c r="G3653" s="339" t="str">
        <f t="shared" si="2"/>
        <v>東鐵岡山:直納シュレＣ</v>
      </c>
      <c r="H3653" s="340">
        <f t="shared" si="3"/>
        <v>44</v>
      </c>
      <c r="I3653" s="341">
        <v>-0.5</v>
      </c>
      <c r="J3653" s="332">
        <f>IFERROR(__xludf.DUMMYFUNCTION("IF(IF(COUNTIF(P$2:P3652, P3653)=0, """", INDEX(H$2:H3652,
MAX(FILTER(ROW(H$2:H3652) - ROW(H$2) + 1, P$2:P3652 = P3653))))=""単価"","""",
IF(COUNTIF(P$2:P3652, P3653)=0, """", INDEX(H$2:H3652,
MAX(FILTER(ROW(H$2:H3652) - ROW(H$2) + 1, P$2:P3652 = P3653)))))"),44.5)</f>
        <v>44.5</v>
      </c>
      <c r="N3653" s="335" t="str">
        <f>IF(MAXIFS('単価履歴'!$O:$O,'単価履歴'!$E:$E,E3653,'単価履歴'!$F:$F,F3653)=O3653,"●","")</f>
        <v/>
      </c>
      <c r="O3653" s="346">
        <v>46016.350023148145</v>
      </c>
      <c r="P3653" s="334" t="str">
        <f t="shared" si="4"/>
        <v>東鐵岡山:直納シュレＣ</v>
      </c>
    </row>
    <row r="3654" ht="15.75" customHeight="1">
      <c r="A3654" s="335" t="s">
        <v>4801</v>
      </c>
      <c r="B3654" s="336">
        <v>46016.0</v>
      </c>
      <c r="C3654" s="335" t="s">
        <v>532</v>
      </c>
      <c r="D3654" s="335" t="s">
        <v>77</v>
      </c>
      <c r="E3654" s="337" t="str">
        <f t="shared" si="1"/>
        <v>東鐵岡山:直納</v>
      </c>
      <c r="F3654" s="338" t="s">
        <v>130</v>
      </c>
      <c r="G3654" s="339" t="str">
        <f t="shared" si="2"/>
        <v>東鐵岡山:直納新断Ａ</v>
      </c>
      <c r="H3654" s="340">
        <f t="shared" si="3"/>
        <v>45</v>
      </c>
      <c r="I3654" s="341">
        <v>-0.5</v>
      </c>
      <c r="J3654" s="332">
        <f>IFERROR(__xludf.DUMMYFUNCTION("IF(IF(COUNTIF(P$2:P3653, P3654)=0, """", INDEX(H$2:H3653,
MAX(FILTER(ROW(H$2:H3653) - ROW(H$2) + 1, P$2:P3653 = P3654))))=""単価"","""",
IF(COUNTIF(P$2:P3653, P3654)=0, """", INDEX(H$2:H3653,
MAX(FILTER(ROW(H$2:H3653) - ROW(H$2) + 1, P$2:P3653 = P3654)))))"),45.5)</f>
        <v>45.5</v>
      </c>
      <c r="N3654" s="335" t="str">
        <f>IF(MAXIFS('単価履歴'!$O:$O,'単価履歴'!$E:$E,E3654,'単価履歴'!$F:$F,F3654)=O3654,"●","")</f>
        <v/>
      </c>
      <c r="O3654" s="346">
        <v>46016.350023148145</v>
      </c>
      <c r="P3654" s="334" t="str">
        <f t="shared" si="4"/>
        <v>東鐵岡山:直納新断Ａ</v>
      </c>
    </row>
    <row r="3655" ht="15.75" customHeight="1">
      <c r="A3655" s="335" t="s">
        <v>4802</v>
      </c>
      <c r="B3655" s="336">
        <v>46016.0</v>
      </c>
      <c r="C3655" s="335" t="s">
        <v>532</v>
      </c>
      <c r="D3655" s="335" t="s">
        <v>77</v>
      </c>
      <c r="E3655" s="337" t="str">
        <f t="shared" si="1"/>
        <v>東鐵岡山:直納</v>
      </c>
      <c r="F3655" s="338" t="s">
        <v>131</v>
      </c>
      <c r="G3655" s="339" t="str">
        <f t="shared" si="2"/>
        <v>東鐵岡山:直納新断Ｂ</v>
      </c>
      <c r="H3655" s="340">
        <f t="shared" si="3"/>
        <v>45</v>
      </c>
      <c r="I3655" s="341">
        <v>-0.5</v>
      </c>
      <c r="J3655" s="332">
        <f>IFERROR(__xludf.DUMMYFUNCTION("IF(IF(COUNTIF(P$2:P3654, P3655)=0, """", INDEX(H$2:H3654,
MAX(FILTER(ROW(H$2:H3654) - ROW(H$2) + 1, P$2:P3654 = P3655))))=""単価"","""",
IF(COUNTIF(P$2:P3654, P3655)=0, """", INDEX(H$2:H3654,
MAX(FILTER(ROW(H$2:H3654) - ROW(H$2) + 1, P$2:P3654 = P3655)))))"),45.5)</f>
        <v>45.5</v>
      </c>
      <c r="N3655" s="335" t="str">
        <f>IF(MAXIFS('単価履歴'!$O:$O,'単価履歴'!$E:$E,E3655,'単価履歴'!$F:$F,F3655)=O3655,"●","")</f>
        <v/>
      </c>
      <c r="O3655" s="346">
        <v>46016.350023148145</v>
      </c>
      <c r="P3655" s="334" t="str">
        <f t="shared" si="4"/>
        <v>東鐵岡山:直納新断Ｂ</v>
      </c>
    </row>
    <row r="3656" ht="15.75" customHeight="1">
      <c r="A3656" s="335" t="s">
        <v>4803</v>
      </c>
      <c r="B3656" s="336">
        <v>46016.0</v>
      </c>
      <c r="C3656" s="335" t="s">
        <v>532</v>
      </c>
      <c r="D3656" s="335" t="s">
        <v>77</v>
      </c>
      <c r="E3656" s="337" t="str">
        <f t="shared" si="1"/>
        <v>東鐵岡山:直納</v>
      </c>
      <c r="F3656" s="338" t="s">
        <v>575</v>
      </c>
      <c r="G3656" s="339" t="str">
        <f t="shared" si="2"/>
        <v>東鐵岡山:直納鋼ダライＡ</v>
      </c>
      <c r="H3656" s="340">
        <f t="shared" si="3"/>
        <v>40</v>
      </c>
      <c r="I3656" s="341">
        <v>-0.5</v>
      </c>
      <c r="J3656" s="332">
        <f>IFERROR(__xludf.DUMMYFUNCTION("IF(IF(COUNTIF(P$2:P3655, P3656)=0, """", INDEX(H$2:H3655,
MAX(FILTER(ROW(H$2:H3655) - ROW(H$2) + 1, P$2:P3655 = P3656))))=""単価"","""",
IF(COUNTIF(P$2:P3655, P3656)=0, """", INDEX(H$2:H3655,
MAX(FILTER(ROW(H$2:H3655) - ROW(H$2) + 1, P$2:P3655 = P3656)))))"),40.5)</f>
        <v>40.5</v>
      </c>
      <c r="N3656" s="335" t="str">
        <f>IF(MAXIFS('単価履歴'!$O:$O,'単価履歴'!$E:$E,E3656,'単価履歴'!$F:$F,F3656)=O3656,"●","")</f>
        <v/>
      </c>
      <c r="O3656" s="346">
        <v>46016.350023148145</v>
      </c>
      <c r="P3656" s="334" t="str">
        <f t="shared" si="4"/>
        <v>東鐵岡山:直納鋼ダライＡ</v>
      </c>
    </row>
    <row r="3657" ht="15.75" customHeight="1">
      <c r="A3657" s="335" t="s">
        <v>4804</v>
      </c>
      <c r="B3657" s="336">
        <v>46016.0</v>
      </c>
      <c r="C3657" s="335" t="s">
        <v>532</v>
      </c>
      <c r="D3657" s="335" t="s">
        <v>77</v>
      </c>
      <c r="E3657" s="337" t="str">
        <f t="shared" si="1"/>
        <v>東鐵岡山:直納</v>
      </c>
      <c r="F3657" s="338" t="s">
        <v>25</v>
      </c>
      <c r="G3657" s="339" t="str">
        <f t="shared" si="2"/>
        <v>東鐵岡山:直納銑ダライ</v>
      </c>
      <c r="H3657" s="340">
        <f t="shared" si="3"/>
        <v>36.5</v>
      </c>
      <c r="I3657" s="341">
        <v>-0.5</v>
      </c>
      <c r="J3657" s="332">
        <f>IFERROR(__xludf.DUMMYFUNCTION("IF(IF(COUNTIF(P$2:P3656, P3657)=0, """", INDEX(H$2:H3656,
MAX(FILTER(ROW(H$2:H3656) - ROW(H$2) + 1, P$2:P3656 = P3657))))=""単価"","""",
IF(COUNTIF(P$2:P3656, P3657)=0, """", INDEX(H$2:H3656,
MAX(FILTER(ROW(H$2:H3656) - ROW(H$2) + 1, P$2:P3656 = P3657)))))"),37.0)</f>
        <v>37</v>
      </c>
      <c r="N3657" s="335" t="str">
        <f>IF(MAXIFS('単価履歴'!$O:$O,'単価履歴'!$E:$E,E3657,'単価履歴'!$F:$F,F3657)=O3657,"●","")</f>
        <v/>
      </c>
      <c r="O3657" s="346">
        <v>46016.350023148145</v>
      </c>
      <c r="P3657" s="334" t="str">
        <f t="shared" si="4"/>
        <v>東鐵岡山:直納銑ダライ</v>
      </c>
    </row>
    <row r="3658" ht="15.75" customHeight="1">
      <c r="A3658" s="335" t="s">
        <v>4805</v>
      </c>
      <c r="B3658" s="336">
        <v>46016.0</v>
      </c>
      <c r="C3658" s="335" t="s">
        <v>532</v>
      </c>
      <c r="D3658" s="335" t="s">
        <v>77</v>
      </c>
      <c r="E3658" s="337" t="str">
        <f t="shared" si="1"/>
        <v>東鐵岡山:直納</v>
      </c>
      <c r="F3658" s="338" t="s">
        <v>154</v>
      </c>
      <c r="G3658" s="339" t="str">
        <f t="shared" si="2"/>
        <v>東鐵岡山:直納ＣＰ Ａ</v>
      </c>
      <c r="H3658" s="340">
        <f t="shared" si="3"/>
        <v>42.5</v>
      </c>
      <c r="I3658" s="341">
        <v>-0.5</v>
      </c>
      <c r="J3658" s="332">
        <f>IFERROR(__xludf.DUMMYFUNCTION("IF(IF(COUNTIF(P$2:P3657, P3658)=0, """", INDEX(H$2:H3657,
MAX(FILTER(ROW(H$2:H3657) - ROW(H$2) + 1, P$2:P3657 = P3658))))=""単価"","""",
IF(COUNTIF(P$2:P3657, P3658)=0, """", INDEX(H$2:H3657,
MAX(FILTER(ROW(H$2:H3657) - ROW(H$2) + 1, P$2:P3657 = P3658)))))"),43.0)</f>
        <v>43</v>
      </c>
      <c r="N3658" s="335" t="str">
        <f>IF(MAXIFS('単価履歴'!$O:$O,'単価履歴'!$E:$E,E3658,'単価履歴'!$F:$F,F3658)=O3658,"●","")</f>
        <v/>
      </c>
      <c r="O3658" s="346">
        <v>46016.350023148145</v>
      </c>
      <c r="P3658" s="334" t="str">
        <f t="shared" si="4"/>
        <v>東鐵岡山:直納ＣＰ Ａ</v>
      </c>
    </row>
    <row r="3659" ht="15.75" customHeight="1">
      <c r="A3659" s="335" t="s">
        <v>4806</v>
      </c>
      <c r="B3659" s="336">
        <v>46016.0</v>
      </c>
      <c r="C3659" s="335" t="s">
        <v>536</v>
      </c>
      <c r="D3659" s="335" t="s">
        <v>77</v>
      </c>
      <c r="E3659" s="337" t="str">
        <f t="shared" si="1"/>
        <v>東鐵田原:直納</v>
      </c>
      <c r="F3659" s="338" t="s">
        <v>1199</v>
      </c>
      <c r="G3659" s="339" t="str">
        <f t="shared" si="2"/>
        <v>東鐵田原:直納ＨＳ１(単体H1/電特A/HS))</v>
      </c>
      <c r="H3659" s="340">
        <f t="shared" si="3"/>
        <v>46.5</v>
      </c>
      <c r="I3659" s="341">
        <v>-0.5</v>
      </c>
      <c r="J3659" s="332">
        <f>IFERROR(__xludf.DUMMYFUNCTION("IF(IF(COUNTIF(P$2:P3658, P3659)=0, """", INDEX(H$2:H3658,
MAX(FILTER(ROW(H$2:H3658) - ROW(H$2) + 1, P$2:P3658 = P3659))))=""単価"","""",
IF(COUNTIF(P$2:P3658, P3659)=0, """", INDEX(H$2:H3658,
MAX(FILTER(ROW(H$2:H3658) - ROW(H$2) + 1, P$2:P3658 = P3659)))))"),47.0)</f>
        <v>47</v>
      </c>
      <c r="N3659" s="335" t="str">
        <f>IF(MAXIFS('単価履歴'!$O:$O,'単価履歴'!$E:$E,E3659,'単価履歴'!$F:$F,F3659)=O3659,"●","")</f>
        <v/>
      </c>
      <c r="O3659" s="346">
        <v>46016.35023148148</v>
      </c>
      <c r="P3659" s="334" t="str">
        <f t="shared" si="4"/>
        <v>東鐵田原:直納ＨＳ１(単体H1/電特A/HS))</v>
      </c>
    </row>
    <row r="3660" ht="15.75" customHeight="1">
      <c r="A3660" s="335" t="s">
        <v>4807</v>
      </c>
      <c r="B3660" s="336">
        <v>46016.0</v>
      </c>
      <c r="C3660" s="335" t="s">
        <v>536</v>
      </c>
      <c r="D3660" s="335" t="s">
        <v>77</v>
      </c>
      <c r="E3660" s="337" t="str">
        <f t="shared" si="1"/>
        <v>東鐵田原:直納</v>
      </c>
      <c r="F3660" s="338" t="s">
        <v>111</v>
      </c>
      <c r="G3660" s="339" t="str">
        <f t="shared" si="2"/>
        <v>東鐵田原:直納Ｈ１(特A)</v>
      </c>
      <c r="H3660" s="340">
        <f t="shared" si="3"/>
        <v>45.7</v>
      </c>
      <c r="I3660" s="341">
        <v>-0.5</v>
      </c>
      <c r="J3660" s="332">
        <f>IFERROR(__xludf.DUMMYFUNCTION("IF(IF(COUNTIF(P$2:P3659, P3660)=0, """", INDEX(H$2:H3659,
MAX(FILTER(ROW(H$2:H3659) - ROW(H$2) + 1, P$2:P3659 = P3660))))=""単価"","""",
IF(COUNTIF(P$2:P3659, P3660)=0, """", INDEX(H$2:H3659,
MAX(FILTER(ROW(H$2:H3659) - ROW(H$2) + 1, P$2:P3659 = P3660)))))"),46.2)</f>
        <v>46.2</v>
      </c>
      <c r="N3660" s="335" t="str">
        <f>IF(MAXIFS('単価履歴'!$O:$O,'単価履歴'!$E:$E,E3660,'単価履歴'!$F:$F,F3660)=O3660,"●","")</f>
        <v/>
      </c>
      <c r="O3660" s="346">
        <v>46016.35023148148</v>
      </c>
      <c r="P3660" s="334" t="str">
        <f t="shared" si="4"/>
        <v>東鐵田原:直納Ｈ１(特A)</v>
      </c>
    </row>
    <row r="3661" ht="15.75" customHeight="1">
      <c r="A3661" s="335" t="s">
        <v>4808</v>
      </c>
      <c r="B3661" s="336">
        <v>46016.0</v>
      </c>
      <c r="C3661" s="335" t="s">
        <v>536</v>
      </c>
      <c r="D3661" s="335" t="s">
        <v>77</v>
      </c>
      <c r="E3661" s="337" t="str">
        <f t="shared" si="1"/>
        <v>東鐵田原:直納</v>
      </c>
      <c r="F3661" s="338" t="s">
        <v>116</v>
      </c>
      <c r="G3661" s="339" t="str">
        <f t="shared" si="2"/>
        <v>東鐵田原:直納Ｈ２(特級)</v>
      </c>
      <c r="H3661" s="340">
        <f t="shared" si="3"/>
        <v>44</v>
      </c>
      <c r="I3661" s="341">
        <v>-0.5</v>
      </c>
      <c r="J3661" s="332">
        <f>IFERROR(__xludf.DUMMYFUNCTION("IF(IF(COUNTIF(P$2:P3660, P3661)=0, """", INDEX(H$2:H3660,
MAX(FILTER(ROW(H$2:H3660) - ROW(H$2) + 1, P$2:P3660 = P3661))))=""単価"","""",
IF(COUNTIF(P$2:P3660, P3661)=0, """", INDEX(H$2:H3660,
MAX(FILTER(ROW(H$2:H3660) - ROW(H$2) + 1, P$2:P3660 = P3661)))))"),44.5)</f>
        <v>44.5</v>
      </c>
      <c r="N3661" s="335" t="str">
        <f>IF(MAXIFS('単価履歴'!$O:$O,'単価履歴'!$E:$E,E3661,'単価履歴'!$F:$F,F3661)=O3661,"●","")</f>
        <v/>
      </c>
      <c r="O3661" s="346">
        <v>46016.35023148148</v>
      </c>
      <c r="P3661" s="334" t="str">
        <f t="shared" si="4"/>
        <v>東鐵田原:直納Ｈ２(特級)</v>
      </c>
    </row>
    <row r="3662" ht="15.75" customHeight="1">
      <c r="A3662" s="335" t="s">
        <v>4809</v>
      </c>
      <c r="B3662" s="336">
        <v>46016.0</v>
      </c>
      <c r="C3662" s="335" t="s">
        <v>536</v>
      </c>
      <c r="D3662" s="335" t="s">
        <v>77</v>
      </c>
      <c r="E3662" s="337" t="str">
        <f t="shared" si="1"/>
        <v>東鐵田原:直納</v>
      </c>
      <c r="F3662" s="338" t="s">
        <v>119</v>
      </c>
      <c r="G3662" s="339" t="str">
        <f t="shared" si="2"/>
        <v>東鐵田原:直納Ｈ３(1級)</v>
      </c>
      <c r="H3662" s="340">
        <f t="shared" si="3"/>
        <v>43.5</v>
      </c>
      <c r="I3662" s="341">
        <v>-0.5</v>
      </c>
      <c r="J3662" s="332">
        <f>IFERROR(__xludf.DUMMYFUNCTION("IF(IF(COUNTIF(P$2:P3661, P3662)=0, """", INDEX(H$2:H3661,
MAX(FILTER(ROW(H$2:H3661) - ROW(H$2) + 1, P$2:P3661 = P3662))))=""単価"","""",
IF(COUNTIF(P$2:P3661, P3662)=0, """", INDEX(H$2:H3661,
MAX(FILTER(ROW(H$2:H3661) - ROW(H$2) + 1, P$2:P3661 = P3662)))))"),44.0)</f>
        <v>44</v>
      </c>
      <c r="N3662" s="335" t="str">
        <f>IF(MAXIFS('単価履歴'!$O:$O,'単価履歴'!$E:$E,E3662,'単価履歴'!$F:$F,F3662)=O3662,"●","")</f>
        <v/>
      </c>
      <c r="O3662" s="346">
        <v>46016.35023148148</v>
      </c>
      <c r="P3662" s="334" t="str">
        <f t="shared" si="4"/>
        <v>東鐵田原:直納Ｈ３(1級)</v>
      </c>
    </row>
    <row r="3663" ht="15.75" customHeight="1">
      <c r="A3663" s="335" t="s">
        <v>4810</v>
      </c>
      <c r="B3663" s="336">
        <v>46016.0</v>
      </c>
      <c r="C3663" s="335" t="s">
        <v>536</v>
      </c>
      <c r="D3663" s="335" t="s">
        <v>77</v>
      </c>
      <c r="E3663" s="337" t="str">
        <f t="shared" si="1"/>
        <v>東鐵田原:直納</v>
      </c>
      <c r="F3663" s="338" t="s">
        <v>122</v>
      </c>
      <c r="G3663" s="339" t="str">
        <f t="shared" si="2"/>
        <v>東鐵田原:直納Ｌ１(2級)</v>
      </c>
      <c r="H3663" s="340">
        <f t="shared" si="3"/>
        <v>42</v>
      </c>
      <c r="I3663" s="341">
        <v>-0.5</v>
      </c>
      <c r="J3663" s="332">
        <f>IFERROR(__xludf.DUMMYFUNCTION("IF(IF(COUNTIF(P$2:P3662, P3663)=0, """", INDEX(H$2:H3662,
MAX(FILTER(ROW(H$2:H3662) - ROW(H$2) + 1, P$2:P3662 = P3663))))=""単価"","""",
IF(COUNTIF(P$2:P3662, P3663)=0, """", INDEX(H$2:H3662,
MAX(FILTER(ROW(H$2:H3662) - ROW(H$2) + 1, P$2:P3662 = P3663)))))"),42.5)</f>
        <v>42.5</v>
      </c>
      <c r="N3663" s="335" t="str">
        <f>IF(MAXIFS('単価履歴'!$O:$O,'単価履歴'!$E:$E,E3663,'単価履歴'!$F:$F,F3663)=O3663,"●","")</f>
        <v/>
      </c>
      <c r="O3663" s="346">
        <v>46016.35023148148</v>
      </c>
      <c r="P3663" s="334" t="str">
        <f t="shared" si="4"/>
        <v>東鐵田原:直納Ｌ１(2級)</v>
      </c>
    </row>
    <row r="3664" ht="15.75" customHeight="1">
      <c r="A3664" s="335" t="s">
        <v>4811</v>
      </c>
      <c r="B3664" s="336">
        <v>46016.0</v>
      </c>
      <c r="C3664" s="335" t="s">
        <v>536</v>
      </c>
      <c r="D3664" s="335" t="s">
        <v>77</v>
      </c>
      <c r="E3664" s="337" t="str">
        <f t="shared" si="1"/>
        <v>東鐵田原:直納</v>
      </c>
      <c r="F3664" s="338" t="s">
        <v>573</v>
      </c>
      <c r="G3664" s="339" t="str">
        <f t="shared" si="2"/>
        <v>東鐵田原:直納Ｌ２(H4･級外･L1ﾊﾞﾗ)</v>
      </c>
      <c r="H3664" s="340">
        <f t="shared" si="3"/>
        <v>39</v>
      </c>
      <c r="I3664" s="341">
        <v>-0.5</v>
      </c>
      <c r="J3664" s="332">
        <f>IFERROR(__xludf.DUMMYFUNCTION("IF(IF(COUNTIF(P$2:P3663, P3664)=0, """", INDEX(H$2:H3663,
MAX(FILTER(ROW(H$2:H3663) - ROW(H$2) + 1, P$2:P3663 = P3664))))=""単価"","""",
IF(COUNTIF(P$2:P3663, P3664)=0, """", INDEX(H$2:H3663,
MAX(FILTER(ROW(H$2:H3663) - ROW(H$2) + 1, P$2:P3663 = P3664)))))"),39.5)</f>
        <v>39.5</v>
      </c>
      <c r="N3664" s="335" t="str">
        <f>IF(MAXIFS('単価履歴'!$O:$O,'単価履歴'!$E:$E,E3664,'単価履歴'!$F:$F,F3664)=O3664,"●","")</f>
        <v/>
      </c>
      <c r="O3664" s="346">
        <v>46016.35023148148</v>
      </c>
      <c r="P3664" s="334" t="str">
        <f t="shared" si="4"/>
        <v>東鐵田原:直納Ｌ２(H4･級外･L1ﾊﾞﾗ)</v>
      </c>
    </row>
    <row r="3665" ht="15.75" customHeight="1">
      <c r="A3665" s="335" t="s">
        <v>4812</v>
      </c>
      <c r="B3665" s="336">
        <v>46016.0</v>
      </c>
      <c r="C3665" s="335" t="s">
        <v>536</v>
      </c>
      <c r="D3665" s="335" t="s">
        <v>77</v>
      </c>
      <c r="E3665" s="337" t="str">
        <f t="shared" si="1"/>
        <v>東鐵田原:直納</v>
      </c>
      <c r="F3665" s="338" t="s">
        <v>575</v>
      </c>
      <c r="G3665" s="339" t="str">
        <f t="shared" si="2"/>
        <v>東鐵田原:直納鋼ダライＡ</v>
      </c>
      <c r="H3665" s="340">
        <f t="shared" si="3"/>
        <v>42.5</v>
      </c>
      <c r="I3665" s="341">
        <v>-0.5</v>
      </c>
      <c r="J3665" s="332">
        <f>IFERROR(__xludf.DUMMYFUNCTION("IF(IF(COUNTIF(P$2:P3664, P3665)=0, """", INDEX(H$2:H3664,
MAX(FILTER(ROW(H$2:H3664) - ROW(H$2) + 1, P$2:P3664 = P3665))))=""単価"","""",
IF(COUNTIF(P$2:P3664, P3665)=0, """", INDEX(H$2:H3664,
MAX(FILTER(ROW(H$2:H3664) - ROW(H$2) + 1, P$2:P3664 = P3665)))))"),43.0)</f>
        <v>43</v>
      </c>
      <c r="N3665" s="335" t="str">
        <f>IF(MAXIFS('単価履歴'!$O:$O,'単価履歴'!$E:$E,E3665,'単価履歴'!$F:$F,F3665)=O3665,"●","")</f>
        <v/>
      </c>
      <c r="O3665" s="346">
        <v>46016.35023148148</v>
      </c>
      <c r="P3665" s="334" t="str">
        <f t="shared" si="4"/>
        <v>東鐵田原:直納鋼ダライＡ</v>
      </c>
    </row>
    <row r="3666" ht="15.75" customHeight="1">
      <c r="A3666" s="335" t="s">
        <v>4813</v>
      </c>
      <c r="B3666" s="336">
        <v>46016.0</v>
      </c>
      <c r="C3666" s="335" t="s">
        <v>536</v>
      </c>
      <c r="D3666" s="335" t="s">
        <v>77</v>
      </c>
      <c r="E3666" s="337" t="str">
        <f t="shared" si="1"/>
        <v>東鐵田原:直納</v>
      </c>
      <c r="F3666" s="338" t="s">
        <v>145</v>
      </c>
      <c r="G3666" s="339" t="str">
        <f t="shared" si="2"/>
        <v>東鐵田原:直納シュレＡ</v>
      </c>
      <c r="H3666" s="340">
        <f t="shared" si="3"/>
        <v>45</v>
      </c>
      <c r="I3666" s="341">
        <v>-0.5</v>
      </c>
      <c r="J3666" s="332">
        <f>IFERROR(__xludf.DUMMYFUNCTION("IF(IF(COUNTIF(P$2:P3665, P3666)=0, """", INDEX(H$2:H3665,
MAX(FILTER(ROW(H$2:H3665) - ROW(H$2) + 1, P$2:P3665 = P3666))))=""単価"","""",
IF(COUNTIF(P$2:P3665, P3666)=0, """", INDEX(H$2:H3665,
MAX(FILTER(ROW(H$2:H3665) - ROW(H$2) + 1, P$2:P3665 = P3666)))))"),45.5)</f>
        <v>45.5</v>
      </c>
      <c r="N3666" s="335" t="str">
        <f>IF(MAXIFS('単価履歴'!$O:$O,'単価履歴'!$E:$E,E3666,'単価履歴'!$F:$F,F3666)=O3666,"●","")</f>
        <v/>
      </c>
      <c r="O3666" s="346">
        <v>46016.35023148148</v>
      </c>
      <c r="P3666" s="334" t="str">
        <f t="shared" si="4"/>
        <v>東鐵田原:直納シュレＡ</v>
      </c>
    </row>
    <row r="3667" ht="15.75" customHeight="1">
      <c r="A3667" s="335" t="s">
        <v>4814</v>
      </c>
      <c r="B3667" s="336">
        <v>46016.0</v>
      </c>
      <c r="C3667" s="335" t="s">
        <v>536</v>
      </c>
      <c r="D3667" s="335" t="s">
        <v>77</v>
      </c>
      <c r="E3667" s="337" t="str">
        <f t="shared" si="1"/>
        <v>東鐵田原:直納</v>
      </c>
      <c r="F3667" s="338" t="s">
        <v>151</v>
      </c>
      <c r="G3667" s="339" t="str">
        <f t="shared" si="2"/>
        <v>東鐵田原:直納シュレＣ</v>
      </c>
      <c r="H3667" s="340">
        <f t="shared" si="3"/>
        <v>44.5</v>
      </c>
      <c r="I3667" s="341">
        <v>-0.5</v>
      </c>
      <c r="J3667" s="332">
        <f>IFERROR(__xludf.DUMMYFUNCTION("IF(IF(COUNTIF(P$2:P3666, P3667)=0, """", INDEX(H$2:H3666,
MAX(FILTER(ROW(H$2:H3666) - ROW(H$2) + 1, P$2:P3666 = P3667))))=""単価"","""",
IF(COUNTIF(P$2:P3666, P3667)=0, """", INDEX(H$2:H3666,
MAX(FILTER(ROW(H$2:H3666) - ROW(H$2) + 1, P$2:P3666 = P3667)))))"),45.0)</f>
        <v>45</v>
      </c>
      <c r="N3667" s="335" t="str">
        <f>IF(MAXIFS('単価履歴'!$O:$O,'単価履歴'!$E:$E,E3667,'単価履歴'!$F:$F,F3667)=O3667,"●","")</f>
        <v/>
      </c>
      <c r="O3667" s="346">
        <v>46016.35023148148</v>
      </c>
      <c r="P3667" s="334" t="str">
        <f t="shared" si="4"/>
        <v>東鐵田原:直納シュレＣ</v>
      </c>
    </row>
    <row r="3668" ht="15.75" customHeight="1">
      <c r="A3668" s="335" t="s">
        <v>4815</v>
      </c>
      <c r="B3668" s="336">
        <v>46016.0</v>
      </c>
      <c r="C3668" s="335" t="s">
        <v>536</v>
      </c>
      <c r="D3668" s="335" t="s">
        <v>77</v>
      </c>
      <c r="E3668" s="337" t="str">
        <f t="shared" si="1"/>
        <v>東鐵田原:直納</v>
      </c>
      <c r="F3668" s="338" t="s">
        <v>154</v>
      </c>
      <c r="G3668" s="339" t="str">
        <f t="shared" si="2"/>
        <v>東鐵田原:直納ＣＰ Ａ</v>
      </c>
      <c r="H3668" s="340">
        <f t="shared" si="3"/>
        <v>42.5</v>
      </c>
      <c r="I3668" s="341">
        <v>-0.5</v>
      </c>
      <c r="J3668" s="332">
        <f>IFERROR(__xludf.DUMMYFUNCTION("IF(IF(COUNTIF(P$2:P3667, P3668)=0, """", INDEX(H$2:H3667,
MAX(FILTER(ROW(H$2:H3667) - ROW(H$2) + 1, P$2:P3667 = P3668))))=""単価"","""",
IF(COUNTIF(P$2:P3667, P3668)=0, """", INDEX(H$2:H3667,
MAX(FILTER(ROW(H$2:H3667) - ROW(H$2) + 1, P$2:P3667 = P3668)))))"),43.0)</f>
        <v>43</v>
      </c>
      <c r="N3668" s="335" t="str">
        <f>IF(MAXIFS('単価履歴'!$O:$O,'単価履歴'!$E:$E,E3668,'単価履歴'!$F:$F,F3668)=O3668,"●","")</f>
        <v/>
      </c>
      <c r="O3668" s="346">
        <v>46016.35023148148</v>
      </c>
      <c r="P3668" s="334" t="str">
        <f t="shared" si="4"/>
        <v>東鐵田原:直納ＣＰ Ａ</v>
      </c>
    </row>
    <row r="3669" ht="15.75" customHeight="1">
      <c r="A3669" s="335" t="s">
        <v>4816</v>
      </c>
      <c r="B3669" s="336">
        <v>46016.0</v>
      </c>
      <c r="C3669" s="335" t="s">
        <v>19</v>
      </c>
      <c r="D3669" s="335" t="s">
        <v>61</v>
      </c>
      <c r="E3669" s="337" t="str">
        <f t="shared" si="1"/>
        <v>トピー工業:ＭＭ</v>
      </c>
      <c r="F3669" s="338" t="s">
        <v>116</v>
      </c>
      <c r="G3669" s="339" t="str">
        <f t="shared" si="2"/>
        <v>トピー工業:ＭＭＨ２(特級)</v>
      </c>
      <c r="H3669" s="340">
        <f t="shared" si="3"/>
        <v>38</v>
      </c>
      <c r="I3669" s="341">
        <v>-0.5</v>
      </c>
      <c r="J3669" s="332">
        <f>IFERROR(__xludf.DUMMYFUNCTION("IF(IF(COUNTIF(P$2:P3668, P3669)=0, """", INDEX(H$2:H3668,
MAX(FILTER(ROW(H$2:H3668) - ROW(H$2) + 1, P$2:P3668 = P3669))))=""単価"","""",
IF(COUNTIF(P$2:P3668, P3669)=0, """", INDEX(H$2:H3668,
MAX(FILTER(ROW(H$2:H3668) - ROW(H$2) + 1, P$2:P3668 = P3669)))))"),38.5)</f>
        <v>38.5</v>
      </c>
      <c r="N3669" s="335" t="str">
        <f>IF(MAXIFS('単価履歴'!$O:$O,'単価履歴'!$E:$E,E3669,'単価履歴'!$F:$F,F3669)=O3669,"●","")</f>
        <v/>
      </c>
      <c r="O3669" s="346">
        <v>46016.35094907407</v>
      </c>
      <c r="P3669" s="334" t="str">
        <f t="shared" si="4"/>
        <v>トピー工業:ＭＭＨ２(特級)</v>
      </c>
    </row>
    <row r="3670" ht="15.75" customHeight="1">
      <c r="A3670" s="335" t="s">
        <v>4817</v>
      </c>
      <c r="B3670" s="336">
        <v>46016.0</v>
      </c>
      <c r="C3670" s="335" t="s">
        <v>37</v>
      </c>
      <c r="D3670" s="335" t="s">
        <v>48</v>
      </c>
      <c r="E3670" s="337" t="str">
        <f t="shared" si="1"/>
        <v>共英名古屋:ナベ</v>
      </c>
      <c r="F3670" s="338" t="s">
        <v>111</v>
      </c>
      <c r="G3670" s="339" t="str">
        <f t="shared" si="2"/>
        <v>共英名古屋:ナベＨ１(特A)</v>
      </c>
      <c r="H3670" s="340">
        <f t="shared" si="3"/>
        <v>45.2</v>
      </c>
      <c r="I3670" s="341">
        <v>-0.5</v>
      </c>
      <c r="J3670" s="332">
        <f>IFERROR(__xludf.DUMMYFUNCTION("IF(IF(COUNTIF(P$2:P3669, P3670)=0, """", INDEX(H$2:H3669,
MAX(FILTER(ROW(H$2:H3669) - ROW(H$2) + 1, P$2:P3669 = P3670))))=""単価"","""",
IF(COUNTIF(P$2:P3669, P3670)=0, """", INDEX(H$2:H3669,
MAX(FILTER(ROW(H$2:H3669) - ROW(H$2) + 1, P$2:P3669 = P3670)))))"),45.7)</f>
        <v>45.7</v>
      </c>
      <c r="N3670" s="335" t="str">
        <f>IF(MAXIFS('単価履歴'!$O:$O,'単価履歴'!$E:$E,E3670,'単価履歴'!$F:$F,F3670)=O3670,"●","")</f>
        <v/>
      </c>
      <c r="O3670" s="346">
        <v>46016.35128472222</v>
      </c>
      <c r="P3670" s="334" t="str">
        <f t="shared" si="4"/>
        <v>共英名古屋:ナベＨ１(特A)</v>
      </c>
    </row>
    <row r="3671" ht="15.75" customHeight="1">
      <c r="A3671" s="335" t="s">
        <v>4818</v>
      </c>
      <c r="B3671" s="336">
        <v>46016.0</v>
      </c>
      <c r="C3671" s="335" t="s">
        <v>37</v>
      </c>
      <c r="D3671" s="335" t="s">
        <v>48</v>
      </c>
      <c r="E3671" s="337" t="str">
        <f t="shared" si="1"/>
        <v>共英名古屋:ナベ</v>
      </c>
      <c r="F3671" s="338" t="s">
        <v>116</v>
      </c>
      <c r="G3671" s="339" t="str">
        <f t="shared" si="2"/>
        <v>共英名古屋:ナベＨ２(特級)</v>
      </c>
      <c r="H3671" s="340">
        <f t="shared" si="3"/>
        <v>42.5</v>
      </c>
      <c r="I3671" s="341">
        <v>-0.5</v>
      </c>
      <c r="J3671" s="332">
        <f>IFERROR(__xludf.DUMMYFUNCTION("IF(IF(COUNTIF(P$2:P3670, P3671)=0, """", INDEX(H$2:H3670,
MAX(FILTER(ROW(H$2:H3670) - ROW(H$2) + 1, P$2:P3670 = P3671))))=""単価"","""",
IF(COUNTIF(P$2:P3670, P3671)=0, """", INDEX(H$2:H3670,
MAX(FILTER(ROW(H$2:H3670) - ROW(H$2) + 1, P$2:P3670 = P3671)))))"),43.0)</f>
        <v>43</v>
      </c>
      <c r="N3671" s="335" t="str">
        <f>IF(MAXIFS('単価履歴'!$O:$O,'単価履歴'!$E:$E,E3671,'単価履歴'!$F:$F,F3671)=O3671,"●","")</f>
        <v/>
      </c>
      <c r="O3671" s="346">
        <v>46016.35128472222</v>
      </c>
      <c r="P3671" s="334" t="str">
        <f t="shared" si="4"/>
        <v>共英名古屋:ナベＨ２(特級)</v>
      </c>
    </row>
    <row r="3672" ht="15.75" customHeight="1">
      <c r="A3672" s="335" t="s">
        <v>4819</v>
      </c>
      <c r="B3672" s="336">
        <v>46016.0</v>
      </c>
      <c r="C3672" s="335" t="s">
        <v>37</v>
      </c>
      <c r="D3672" s="335" t="s">
        <v>48</v>
      </c>
      <c r="E3672" s="337" t="str">
        <f t="shared" si="1"/>
        <v>共英名古屋:ナベ</v>
      </c>
      <c r="F3672" s="338" t="s">
        <v>119</v>
      </c>
      <c r="G3672" s="339" t="str">
        <f t="shared" si="2"/>
        <v>共英名古屋:ナベＨ３(1級)</v>
      </c>
      <c r="H3672" s="340">
        <f t="shared" si="3"/>
        <v>41.5</v>
      </c>
      <c r="I3672" s="341">
        <v>-0.5</v>
      </c>
      <c r="J3672" s="332">
        <f>IFERROR(__xludf.DUMMYFUNCTION("IF(IF(COUNTIF(P$2:P3671, P3672)=0, """", INDEX(H$2:H3671,
MAX(FILTER(ROW(H$2:H3671) - ROW(H$2) + 1, P$2:P3671 = P3672))))=""単価"","""",
IF(COUNTIF(P$2:P3671, P3672)=0, """", INDEX(H$2:H3671,
MAX(FILTER(ROW(H$2:H3671) - ROW(H$2) + 1, P$2:P3671 = P3672)))))"),42.0)</f>
        <v>42</v>
      </c>
      <c r="N3672" s="335" t="str">
        <f>IF(MAXIFS('単価履歴'!$O:$O,'単価履歴'!$E:$E,E3672,'単価履歴'!$F:$F,F3672)=O3672,"●","")</f>
        <v/>
      </c>
      <c r="O3672" s="346">
        <v>46016.35128472222</v>
      </c>
      <c r="P3672" s="334" t="str">
        <f t="shared" si="4"/>
        <v>共英名古屋:ナベＨ３(1級)</v>
      </c>
    </row>
    <row r="3673" ht="15.75" customHeight="1">
      <c r="A3673" s="335" t="s">
        <v>4820</v>
      </c>
      <c r="B3673" s="336">
        <v>46016.0</v>
      </c>
      <c r="C3673" s="335" t="s">
        <v>37</v>
      </c>
      <c r="D3673" s="335" t="s">
        <v>48</v>
      </c>
      <c r="E3673" s="337" t="str">
        <f t="shared" si="1"/>
        <v>共英名古屋:ナベ</v>
      </c>
      <c r="F3673" s="338" t="s">
        <v>122</v>
      </c>
      <c r="G3673" s="339" t="str">
        <f t="shared" si="2"/>
        <v>共英名古屋:ナベＬ１(2級)</v>
      </c>
      <c r="H3673" s="340">
        <f t="shared" si="3"/>
        <v>38.5</v>
      </c>
      <c r="I3673" s="341">
        <v>-0.5</v>
      </c>
      <c r="J3673" s="332">
        <f>IFERROR(__xludf.DUMMYFUNCTION("IF(IF(COUNTIF(P$2:P3672, P3673)=0, """", INDEX(H$2:H3672,
MAX(FILTER(ROW(H$2:H3672) - ROW(H$2) + 1, P$2:P3672 = P3673))))=""単価"","""",
IF(COUNTIF(P$2:P3672, P3673)=0, """", INDEX(H$2:H3672,
MAX(FILTER(ROW(H$2:H3672) - ROW(H$2) + 1, P$2:P3672 = P3673)))))"),39.0)</f>
        <v>39</v>
      </c>
      <c r="N3673" s="335" t="str">
        <f>IF(MAXIFS('単価履歴'!$O:$O,'単価履歴'!$E:$E,E3673,'単価履歴'!$F:$F,F3673)=O3673,"●","")</f>
        <v/>
      </c>
      <c r="O3673" s="346">
        <v>46016.35128472222</v>
      </c>
      <c r="P3673" s="334" t="str">
        <f t="shared" si="4"/>
        <v>共英名古屋:ナベＬ１(2級)</v>
      </c>
    </row>
    <row r="3674" ht="15.75" customHeight="1">
      <c r="A3674" s="335" t="s">
        <v>4821</v>
      </c>
      <c r="B3674" s="336">
        <v>46016.0</v>
      </c>
      <c r="C3674" s="335" t="s">
        <v>11</v>
      </c>
      <c r="D3674" s="335" t="s">
        <v>46</v>
      </c>
      <c r="E3674" s="337" t="str">
        <f t="shared" si="1"/>
        <v>ﾔﾏﾄ:阪和</v>
      </c>
      <c r="F3674" s="338" t="s">
        <v>116</v>
      </c>
      <c r="G3674" s="339" t="str">
        <f t="shared" si="2"/>
        <v>ﾔﾏﾄ:阪和Ｈ２(特級)</v>
      </c>
      <c r="H3674" s="340">
        <f t="shared" si="3"/>
        <v>45.1</v>
      </c>
      <c r="I3674" s="341">
        <v>-0.5</v>
      </c>
      <c r="J3674" s="332">
        <f>IFERROR(__xludf.DUMMYFUNCTION("IF(IF(COUNTIF(P$2:P3673, P3674)=0, """", INDEX(H$2:H3673,
MAX(FILTER(ROW(H$2:H3673) - ROW(H$2) + 1, P$2:P3673 = P3674))))=""単価"","""",
IF(COUNTIF(P$2:P3673, P3674)=0, """", INDEX(H$2:H3673,
MAX(FILTER(ROW(H$2:H3673) - ROW(H$2) + 1, P$2:P3673 = P3674)))))"),45.6)</f>
        <v>45.6</v>
      </c>
      <c r="N3674" s="335" t="str">
        <f>IF(MAXIFS('単価履歴'!$O:$O,'単価履歴'!$E:$E,E3674,'単価履歴'!$F:$F,F3674)=O3674,"●","")</f>
        <v/>
      </c>
      <c r="O3674" s="346">
        <v>46016.35162037037</v>
      </c>
      <c r="P3674" s="334" t="str">
        <f t="shared" si="4"/>
        <v>ﾔﾏﾄ:阪和Ｈ２(特級)</v>
      </c>
    </row>
    <row r="3675" ht="15.75" customHeight="1">
      <c r="A3675" s="335" t="s">
        <v>4822</v>
      </c>
      <c r="B3675" s="336">
        <v>46016.0</v>
      </c>
      <c r="C3675" s="335" t="s">
        <v>11</v>
      </c>
      <c r="D3675" s="335" t="s">
        <v>46</v>
      </c>
      <c r="E3675" s="337" t="str">
        <f t="shared" si="1"/>
        <v>ﾔﾏﾄ:阪和</v>
      </c>
      <c r="F3675" s="338" t="s">
        <v>119</v>
      </c>
      <c r="G3675" s="339" t="str">
        <f t="shared" si="2"/>
        <v>ﾔﾏﾄ:阪和Ｈ３(1級)</v>
      </c>
      <c r="H3675" s="340">
        <f t="shared" si="3"/>
        <v>44.1</v>
      </c>
      <c r="I3675" s="341">
        <v>-0.5</v>
      </c>
      <c r="J3675" s="332">
        <f>IFERROR(__xludf.DUMMYFUNCTION("IF(IF(COUNTIF(P$2:P3674, P3675)=0, """", INDEX(H$2:H3674,
MAX(FILTER(ROW(H$2:H3674) - ROW(H$2) + 1, P$2:P3674 = P3675))))=""単価"","""",
IF(COUNTIF(P$2:P3674, P3675)=0, """", INDEX(H$2:H3674,
MAX(FILTER(ROW(H$2:H3674) - ROW(H$2) + 1, P$2:P3674 = P3675)))))"),44.6)</f>
        <v>44.6</v>
      </c>
      <c r="N3675" s="335" t="str">
        <f>IF(MAXIFS('単価履歴'!$O:$O,'単価履歴'!$E:$E,E3675,'単価履歴'!$F:$F,F3675)=O3675,"●","")</f>
        <v/>
      </c>
      <c r="O3675" s="346">
        <v>46016.35162037037</v>
      </c>
      <c r="P3675" s="334" t="str">
        <f t="shared" si="4"/>
        <v>ﾔﾏﾄ:阪和Ｈ３(1級)</v>
      </c>
    </row>
    <row r="3676" ht="15.75" customHeight="1">
      <c r="A3676" s="335" t="s">
        <v>4823</v>
      </c>
      <c r="B3676" s="336">
        <v>46016.0</v>
      </c>
      <c r="C3676" s="335" t="s">
        <v>11</v>
      </c>
      <c r="D3676" s="335" t="s">
        <v>46</v>
      </c>
      <c r="E3676" s="337" t="str">
        <f t="shared" si="1"/>
        <v>ﾔﾏﾄ:阪和</v>
      </c>
      <c r="F3676" s="338" t="s">
        <v>122</v>
      </c>
      <c r="G3676" s="339" t="str">
        <f t="shared" si="2"/>
        <v>ﾔﾏﾄ:阪和Ｌ１(2級)</v>
      </c>
      <c r="H3676" s="340">
        <f t="shared" si="3"/>
        <v>42.1</v>
      </c>
      <c r="I3676" s="341">
        <v>-0.5</v>
      </c>
      <c r="J3676" s="332">
        <f>IFERROR(__xludf.DUMMYFUNCTION("IF(IF(COUNTIF(P$2:P3675, P3676)=0, """", INDEX(H$2:H3675,
MAX(FILTER(ROW(H$2:H3675) - ROW(H$2) + 1, P$2:P3675 = P3676))))=""単価"","""",
IF(COUNTIF(P$2:P3675, P3676)=0, """", INDEX(H$2:H3675,
MAX(FILTER(ROW(H$2:H3675) - ROW(H$2) + 1, P$2:P3675 = P3676)))))"),42.6)</f>
        <v>42.6</v>
      </c>
      <c r="N3676" s="335" t="str">
        <f>IF(MAXIFS('単価履歴'!$O:$O,'単価履歴'!$E:$E,E3676,'単価履歴'!$F:$F,F3676)=O3676,"●","")</f>
        <v/>
      </c>
      <c r="O3676" s="346">
        <v>46016.35162037037</v>
      </c>
      <c r="P3676" s="334" t="str">
        <f t="shared" si="4"/>
        <v>ﾔﾏﾄ:阪和Ｌ１(2級)</v>
      </c>
    </row>
    <row r="3677" ht="15.75" customHeight="1">
      <c r="A3677" s="335" t="s">
        <v>4824</v>
      </c>
      <c r="B3677" s="336">
        <v>46016.0</v>
      </c>
      <c r="C3677" s="335" t="s">
        <v>11</v>
      </c>
      <c r="D3677" s="335" t="s">
        <v>46</v>
      </c>
      <c r="E3677" s="337" t="str">
        <f t="shared" si="1"/>
        <v>ﾔﾏﾄ:阪和</v>
      </c>
      <c r="F3677" s="338" t="s">
        <v>111</v>
      </c>
      <c r="G3677" s="339" t="str">
        <f t="shared" si="2"/>
        <v>ﾔﾏﾄ:阪和Ｈ１(特A)</v>
      </c>
      <c r="H3677" s="340">
        <f t="shared" si="3"/>
        <v>46.1</v>
      </c>
      <c r="I3677" s="341">
        <v>-0.5</v>
      </c>
      <c r="J3677" s="332">
        <f>IFERROR(__xludf.DUMMYFUNCTION("IF(IF(COUNTIF(P$2:P3676, P3677)=0, """", INDEX(H$2:H3676,
MAX(FILTER(ROW(H$2:H3676) - ROW(H$2) + 1, P$2:P3676 = P3677))))=""単価"","""",
IF(COUNTIF(P$2:P3676, P3677)=0, """", INDEX(H$2:H3676,
MAX(FILTER(ROW(H$2:H3676) - ROW(H$2) + 1, P$2:P3676 = P3677)))))"),46.6)</f>
        <v>46.6</v>
      </c>
      <c r="N3677" s="335" t="str">
        <f>IF(MAXIFS('単価履歴'!$O:$O,'単価履歴'!$E:$E,E3677,'単価履歴'!$F:$F,F3677)=O3677,"●","")</f>
        <v/>
      </c>
      <c r="O3677" s="346">
        <v>46016.35162037037</v>
      </c>
      <c r="P3677" s="334" t="str">
        <f t="shared" si="4"/>
        <v>ﾔﾏﾄ:阪和Ｈ１(特A)</v>
      </c>
    </row>
    <row r="3678" ht="15.75" customHeight="1">
      <c r="A3678" s="335" t="s">
        <v>4825</v>
      </c>
      <c r="B3678" s="336">
        <v>46016.0</v>
      </c>
      <c r="C3678" s="335" t="s">
        <v>11</v>
      </c>
      <c r="D3678" s="335" t="s">
        <v>46</v>
      </c>
      <c r="E3678" s="337" t="str">
        <f t="shared" si="1"/>
        <v>ﾔﾏﾄ:阪和</v>
      </c>
      <c r="F3678" s="338" t="s">
        <v>573</v>
      </c>
      <c r="G3678" s="339" t="str">
        <f t="shared" si="2"/>
        <v>ﾔﾏﾄ:阪和Ｌ２(H4･級外･L1ﾊﾞﾗ)</v>
      </c>
      <c r="H3678" s="340">
        <f t="shared" si="3"/>
        <v>39.6</v>
      </c>
      <c r="I3678" s="341">
        <v>-0.5</v>
      </c>
      <c r="J3678" s="332">
        <f>IFERROR(__xludf.DUMMYFUNCTION("IF(IF(COUNTIF(P$2:P3677, P3678)=0, """", INDEX(H$2:H3677,
MAX(FILTER(ROW(H$2:H3677) - ROW(H$2) + 1, P$2:P3677 = P3678))))=""単価"","""",
IF(COUNTIF(P$2:P3677, P3678)=0, """", INDEX(H$2:H3677,
MAX(FILTER(ROW(H$2:H3677) - ROW(H$2) + 1, P$2:P3677 = P3678)))))"),40.1)</f>
        <v>40.1</v>
      </c>
      <c r="N3678" s="335" t="str">
        <f>IF(MAXIFS('単価履歴'!$O:$O,'単価履歴'!$E:$E,E3678,'単価履歴'!$F:$F,F3678)=O3678,"●","")</f>
        <v/>
      </c>
      <c r="O3678" s="346">
        <v>46016.35162037037</v>
      </c>
      <c r="P3678" s="334" t="str">
        <f t="shared" si="4"/>
        <v>ﾔﾏﾄ:阪和Ｌ２(H4･級外･L1ﾊﾞﾗ)</v>
      </c>
    </row>
    <row r="3679" ht="15.75" customHeight="1">
      <c r="A3679" s="335" t="s">
        <v>4826</v>
      </c>
      <c r="B3679" s="336">
        <v>46016.0</v>
      </c>
      <c r="C3679" s="335" t="s">
        <v>14</v>
      </c>
      <c r="D3679" s="335" t="s">
        <v>48</v>
      </c>
      <c r="E3679" s="337" t="str">
        <f t="shared" si="1"/>
        <v>愛知:ナベ</v>
      </c>
      <c r="F3679" s="338" t="s">
        <v>1199</v>
      </c>
      <c r="G3679" s="339" t="str">
        <f t="shared" si="2"/>
        <v>愛知:ナベＨＳ１(単体H1/電特A/HS))</v>
      </c>
      <c r="H3679" s="340">
        <f t="shared" si="3"/>
        <v>44</v>
      </c>
      <c r="I3679" s="341">
        <v>-0.5</v>
      </c>
      <c r="J3679" s="332">
        <f>IFERROR(__xludf.DUMMYFUNCTION("IF(IF(COUNTIF(P$2:P3678, P3679)=0, """", INDEX(H$2:H3678,
MAX(FILTER(ROW(H$2:H3678) - ROW(H$2) + 1, P$2:P3678 = P3679))))=""単価"","""",
IF(COUNTIF(P$2:P3678, P3679)=0, """", INDEX(H$2:H3678,
MAX(FILTER(ROW(H$2:H3678) - ROW(H$2) + 1, P$2:P3678 = P3679)))))"),44.5)</f>
        <v>44.5</v>
      </c>
      <c r="N3679" s="335" t="str">
        <f>IF(MAXIFS('単価履歴'!$O:$O,'単価履歴'!$E:$E,E3679,'単価履歴'!$F:$F,F3679)=O3679,"●","")</f>
        <v/>
      </c>
      <c r="O3679" s="346">
        <v>46016.35207175926</v>
      </c>
      <c r="P3679" s="334" t="str">
        <f t="shared" si="4"/>
        <v>愛知:ナベＨＳ１(単体H1/電特A/HS))</v>
      </c>
    </row>
    <row r="3680" ht="15.75" customHeight="1">
      <c r="A3680" s="335" t="s">
        <v>4827</v>
      </c>
      <c r="B3680" s="336">
        <v>46016.0</v>
      </c>
      <c r="C3680" s="335" t="s">
        <v>14</v>
      </c>
      <c r="D3680" s="335" t="s">
        <v>48</v>
      </c>
      <c r="E3680" s="337" t="str">
        <f t="shared" si="1"/>
        <v>愛知:ナベ</v>
      </c>
      <c r="F3680" s="338" t="s">
        <v>101</v>
      </c>
      <c r="G3680" s="339" t="str">
        <f t="shared" si="2"/>
        <v>愛知:ナベＨＳ２</v>
      </c>
      <c r="H3680" s="340">
        <f t="shared" si="3"/>
        <v>43.5</v>
      </c>
      <c r="I3680" s="341">
        <v>-0.5</v>
      </c>
      <c r="J3680" s="332">
        <f>IFERROR(__xludf.DUMMYFUNCTION("IF(IF(COUNTIF(P$2:P3679, P3680)=0, """", INDEX(H$2:H3679,
MAX(FILTER(ROW(H$2:H3679) - ROW(H$2) + 1, P$2:P3679 = P3680))))=""単価"","""",
IF(COUNTIF(P$2:P3679, P3680)=0, """", INDEX(H$2:H3679,
MAX(FILTER(ROW(H$2:H3679) - ROW(H$2) + 1, P$2:P3679 = P3680)))))"),44.0)</f>
        <v>44</v>
      </c>
      <c r="N3680" s="335" t="str">
        <f>IF(MAXIFS('単価履歴'!$O:$O,'単価履歴'!$E:$E,E3680,'単価履歴'!$F:$F,F3680)=O3680,"●","")</f>
        <v/>
      </c>
      <c r="O3680" s="346">
        <v>46016.35207175926</v>
      </c>
      <c r="P3680" s="334" t="str">
        <f t="shared" si="4"/>
        <v>愛知:ナベＨＳ２</v>
      </c>
    </row>
    <row r="3681" ht="15.75" customHeight="1">
      <c r="A3681" s="335" t="s">
        <v>4828</v>
      </c>
      <c r="B3681" s="336">
        <v>46016.0</v>
      </c>
      <c r="C3681" s="335" t="s">
        <v>14</v>
      </c>
      <c r="D3681" s="335" t="s">
        <v>48</v>
      </c>
      <c r="E3681" s="337" t="str">
        <f t="shared" si="1"/>
        <v>愛知:ナベ</v>
      </c>
      <c r="F3681" s="338" t="s">
        <v>111</v>
      </c>
      <c r="G3681" s="339" t="str">
        <f t="shared" si="2"/>
        <v>愛知:ナベＨ１(特A)</v>
      </c>
      <c r="H3681" s="340">
        <f t="shared" si="3"/>
        <v>43</v>
      </c>
      <c r="I3681" s="341">
        <v>-0.5</v>
      </c>
      <c r="J3681" s="332">
        <f>IFERROR(__xludf.DUMMYFUNCTION("IF(IF(COUNTIF(P$2:P3680, P3681)=0, """", INDEX(H$2:H3680,
MAX(FILTER(ROW(H$2:H3680) - ROW(H$2) + 1, P$2:P3680 = P3681))))=""単価"","""",
IF(COUNTIF(P$2:P3680, P3681)=0, """", INDEX(H$2:H3680,
MAX(FILTER(ROW(H$2:H3680) - ROW(H$2) + 1, P$2:P3680 = P3681)))))"),43.5)</f>
        <v>43.5</v>
      </c>
      <c r="N3681" s="335" t="str">
        <f>IF(MAXIFS('単価履歴'!$O:$O,'単価履歴'!$E:$E,E3681,'単価履歴'!$F:$F,F3681)=O3681,"●","")</f>
        <v/>
      </c>
      <c r="O3681" s="346">
        <v>46016.35207175926</v>
      </c>
      <c r="P3681" s="334" t="str">
        <f t="shared" si="4"/>
        <v>愛知:ナベＨ１(特A)</v>
      </c>
    </row>
    <row r="3682" ht="15.75" customHeight="1">
      <c r="A3682" s="335" t="s">
        <v>4829</v>
      </c>
      <c r="B3682" s="336">
        <v>46016.0</v>
      </c>
      <c r="C3682" s="335" t="s">
        <v>14</v>
      </c>
      <c r="D3682" s="335" t="s">
        <v>48</v>
      </c>
      <c r="E3682" s="337" t="str">
        <f t="shared" si="1"/>
        <v>愛知:ナベ</v>
      </c>
      <c r="F3682" s="338" t="s">
        <v>116</v>
      </c>
      <c r="G3682" s="339" t="str">
        <f t="shared" si="2"/>
        <v>愛知:ナベＨ２(特級)</v>
      </c>
      <c r="H3682" s="340">
        <f t="shared" si="3"/>
        <v>41.4</v>
      </c>
      <c r="I3682" s="341">
        <v>-0.5</v>
      </c>
      <c r="J3682" s="332">
        <f>IFERROR(__xludf.DUMMYFUNCTION("IF(IF(COUNTIF(P$2:P3681, P3682)=0, """", INDEX(H$2:H3681,
MAX(FILTER(ROW(H$2:H3681) - ROW(H$2) + 1, P$2:P3681 = P3682))))=""単価"","""",
IF(COUNTIF(P$2:P3681, P3682)=0, """", INDEX(H$2:H3681,
MAX(FILTER(ROW(H$2:H3681) - ROW(H$2) + 1, P$2:P3681 = P3682)))))"),41.9)</f>
        <v>41.9</v>
      </c>
      <c r="N3682" s="335" t="str">
        <f>IF(MAXIFS('単価履歴'!$O:$O,'単価履歴'!$E:$E,E3682,'単価履歴'!$F:$F,F3682)=O3682,"●","")</f>
        <v/>
      </c>
      <c r="O3682" s="346">
        <v>46016.35207175926</v>
      </c>
      <c r="P3682" s="334" t="str">
        <f t="shared" si="4"/>
        <v>愛知:ナベＨ２(特級)</v>
      </c>
    </row>
    <row r="3683" ht="15.75" customHeight="1">
      <c r="A3683" s="335" t="s">
        <v>4830</v>
      </c>
      <c r="B3683" s="336">
        <v>46016.0</v>
      </c>
      <c r="C3683" s="335" t="s">
        <v>14</v>
      </c>
      <c r="D3683" s="335" t="s">
        <v>48</v>
      </c>
      <c r="E3683" s="337" t="str">
        <f t="shared" si="1"/>
        <v>愛知:ナベ</v>
      </c>
      <c r="F3683" s="338" t="s">
        <v>119</v>
      </c>
      <c r="G3683" s="339" t="str">
        <f t="shared" si="2"/>
        <v>愛知:ナベＨ３(1級)</v>
      </c>
      <c r="H3683" s="340">
        <f t="shared" si="3"/>
        <v>40.4</v>
      </c>
      <c r="I3683" s="341">
        <v>-0.5</v>
      </c>
      <c r="J3683" s="332">
        <f>IFERROR(__xludf.DUMMYFUNCTION("IF(IF(COUNTIF(P$2:P3682, P3683)=0, """", INDEX(H$2:H3682,
MAX(FILTER(ROW(H$2:H3682) - ROW(H$2) + 1, P$2:P3682 = P3683))))=""単価"","""",
IF(COUNTIF(P$2:P3682, P3683)=0, """", INDEX(H$2:H3682,
MAX(FILTER(ROW(H$2:H3682) - ROW(H$2) + 1, P$2:P3682 = P3683)))))"),40.9)</f>
        <v>40.9</v>
      </c>
      <c r="N3683" s="335" t="str">
        <f>IF(MAXIFS('単価履歴'!$O:$O,'単価履歴'!$E:$E,E3683,'単価履歴'!$F:$F,F3683)=O3683,"●","")</f>
        <v/>
      </c>
      <c r="O3683" s="346">
        <v>46016.35207175926</v>
      </c>
      <c r="P3683" s="334" t="str">
        <f t="shared" si="4"/>
        <v>愛知:ナベＨ３(1級)</v>
      </c>
    </row>
    <row r="3684" ht="15.75" customHeight="1">
      <c r="A3684" s="335" t="s">
        <v>4831</v>
      </c>
      <c r="B3684" s="336">
        <v>46016.0</v>
      </c>
      <c r="C3684" s="335" t="s">
        <v>14</v>
      </c>
      <c r="D3684" s="335" t="s">
        <v>48</v>
      </c>
      <c r="E3684" s="337" t="str">
        <f t="shared" si="1"/>
        <v>愛知:ナベ</v>
      </c>
      <c r="F3684" s="338" t="s">
        <v>573</v>
      </c>
      <c r="G3684" s="339" t="str">
        <f t="shared" si="2"/>
        <v>愛知:ナベＬ２(H4･級外･L1ﾊﾞﾗ)</v>
      </c>
      <c r="H3684" s="340">
        <f t="shared" si="3"/>
        <v>36.4</v>
      </c>
      <c r="I3684" s="341">
        <v>-0.5</v>
      </c>
      <c r="J3684" s="332">
        <f>IFERROR(__xludf.DUMMYFUNCTION("IF(IF(COUNTIF(P$2:P3683, P3684)=0, """", INDEX(H$2:H3683,
MAX(FILTER(ROW(H$2:H3683) - ROW(H$2) + 1, P$2:P3683 = P3684))))=""単価"","""",
IF(COUNTIF(P$2:P3683, P3684)=0, """", INDEX(H$2:H3683,
MAX(FILTER(ROW(H$2:H3683) - ROW(H$2) + 1, P$2:P3683 = P3684)))))"),36.9)</f>
        <v>36.9</v>
      </c>
      <c r="N3684" s="335" t="str">
        <f>IF(MAXIFS('単価履歴'!$O:$O,'単価履歴'!$E:$E,E3684,'単価履歴'!$F:$F,F3684)=O3684,"●","")</f>
        <v/>
      </c>
      <c r="O3684" s="346">
        <v>46016.35207175926</v>
      </c>
      <c r="P3684" s="334" t="str">
        <f t="shared" si="4"/>
        <v>愛知:ナベＬ２(H4･級外･L1ﾊﾞﾗ)</v>
      </c>
    </row>
    <row r="3685" ht="15.75" customHeight="1">
      <c r="A3685" s="335" t="s">
        <v>4832</v>
      </c>
      <c r="B3685" s="336">
        <v>46016.0</v>
      </c>
      <c r="C3685" s="335" t="s">
        <v>14</v>
      </c>
      <c r="D3685" s="335" t="s">
        <v>48</v>
      </c>
      <c r="E3685" s="337" t="str">
        <f t="shared" si="1"/>
        <v>愛知:ナベ</v>
      </c>
      <c r="F3685" s="338" t="s">
        <v>575</v>
      </c>
      <c r="G3685" s="339" t="str">
        <f t="shared" si="2"/>
        <v>愛知:ナベ鋼ダライＡ</v>
      </c>
      <c r="H3685" s="340">
        <f t="shared" si="3"/>
        <v>2.5</v>
      </c>
      <c r="I3685" s="341">
        <v>-0.5</v>
      </c>
      <c r="J3685" s="332">
        <f>IFERROR(__xludf.DUMMYFUNCTION("IF(IF(COUNTIF(P$2:P3684, P3685)=0, """", INDEX(H$2:H3684,
MAX(FILTER(ROW(H$2:H3684) - ROW(H$2) + 1, P$2:P3684 = P3685))))=""単価"","""",
IF(COUNTIF(P$2:P3684, P3685)=0, """", INDEX(H$2:H3684,
MAX(FILTER(ROW(H$2:H3684) - ROW(H$2) + 1, P$2:P3684 = P3685)))))"),3.0)</f>
        <v>3</v>
      </c>
      <c r="N3685" s="335" t="str">
        <f>IF(MAXIFS('単価履歴'!$O:$O,'単価履歴'!$E:$E,E3685,'単価履歴'!$F:$F,F3685)=O3685,"●","")</f>
        <v/>
      </c>
      <c r="O3685" s="346">
        <v>46016.35207175926</v>
      </c>
      <c r="P3685" s="334" t="str">
        <f t="shared" si="4"/>
        <v>愛知:ナベ鋼ダライＡ</v>
      </c>
    </row>
    <row r="3686" ht="15.75" customHeight="1">
      <c r="A3686" s="335" t="s">
        <v>4833</v>
      </c>
      <c r="B3686" s="336">
        <v>46016.0</v>
      </c>
      <c r="C3686" s="335" t="s">
        <v>31</v>
      </c>
      <c r="D3686" s="335" t="s">
        <v>64</v>
      </c>
      <c r="E3686" s="337" t="str">
        <f t="shared" si="1"/>
        <v>泉北中谷:ナベ双葉</v>
      </c>
      <c r="F3686" s="338" t="s">
        <v>130</v>
      </c>
      <c r="G3686" s="339" t="str">
        <f t="shared" si="2"/>
        <v>泉北中谷:ナベ双葉新断Ａ</v>
      </c>
      <c r="H3686" s="340">
        <f t="shared" si="3"/>
        <v>45.5</v>
      </c>
      <c r="I3686" s="341">
        <v>1.0</v>
      </c>
      <c r="J3686" s="332">
        <f>IFERROR(__xludf.DUMMYFUNCTION("IF(IF(COUNTIF(P$2:P3685, P3686)=0, """", INDEX(H$2:H3685,
MAX(FILTER(ROW(H$2:H3685) - ROW(H$2) + 1, P$2:P3685 = P3686))))=""単価"","""",
IF(COUNTIF(P$2:P3685, P3686)=0, """", INDEX(H$2:H3685,
MAX(FILTER(ROW(H$2:H3685) - ROW(H$2) + 1, P$2:P3685 = P3686)))))"),44.5)</f>
        <v>44.5</v>
      </c>
      <c r="N3686" s="335" t="str">
        <f>IF(MAXIFS('単価履歴'!$O:$O,'単価履歴'!$E:$E,E3686,'単価履歴'!$F:$F,F3686)=O3686,"●","")</f>
        <v/>
      </c>
      <c r="O3686" s="346">
        <v>46016.35271990741</v>
      </c>
      <c r="P3686" s="334" t="str">
        <f t="shared" si="4"/>
        <v>泉北中谷:ナベ双葉新断Ａ</v>
      </c>
    </row>
    <row r="3687" ht="15.75" customHeight="1">
      <c r="A3687" s="335" t="s">
        <v>4834</v>
      </c>
      <c r="B3687" s="336">
        <v>46016.0</v>
      </c>
      <c r="C3687" s="335" t="s">
        <v>31</v>
      </c>
      <c r="D3687" s="335" t="s">
        <v>47</v>
      </c>
      <c r="E3687" s="337" t="str">
        <f t="shared" si="1"/>
        <v>泉北中谷:豊通</v>
      </c>
      <c r="F3687" s="338" t="s">
        <v>130</v>
      </c>
      <c r="G3687" s="339" t="str">
        <f t="shared" si="2"/>
        <v>泉北中谷:豊通新断Ａ</v>
      </c>
      <c r="H3687" s="340">
        <f t="shared" si="3"/>
        <v>47.3</v>
      </c>
      <c r="I3687" s="341">
        <v>0.5</v>
      </c>
      <c r="J3687" s="332">
        <f>IFERROR(__xludf.DUMMYFUNCTION("IF(IF(COUNTIF(P$2:P3686, P3687)=0, """", INDEX(H$2:H3686,
MAX(FILTER(ROW(H$2:H3686) - ROW(H$2) + 1, P$2:P3686 = P3687))))=""単価"","""",
IF(COUNTIF(P$2:P3686, P3687)=0, """", INDEX(H$2:H3686,
MAX(FILTER(ROW(H$2:H3686) - ROW(H$2) + 1, P$2:P3686 = P3687)))))"),46.8)</f>
        <v>46.8</v>
      </c>
      <c r="N3687" s="335" t="str">
        <f>IF(MAXIFS('単価履歴'!$O:$O,'単価履歴'!$E:$E,E3687,'単価履歴'!$F:$F,F3687)=O3687,"●","")</f>
        <v/>
      </c>
      <c r="O3687" s="346">
        <v>46016.353310185186</v>
      </c>
      <c r="P3687" s="334" t="str">
        <f t="shared" si="4"/>
        <v>泉北中谷:豊通新断Ａ</v>
      </c>
    </row>
    <row r="3688" ht="15.75" customHeight="1">
      <c r="A3688" s="335" t="s">
        <v>4835</v>
      </c>
      <c r="B3688" s="336">
        <v>46016.0</v>
      </c>
      <c r="C3688" s="335" t="s">
        <v>28</v>
      </c>
      <c r="D3688" s="335" t="s">
        <v>52</v>
      </c>
      <c r="E3688" s="337" t="str">
        <f t="shared" si="1"/>
        <v>ＪＦＥ条鋼:リバイブ</v>
      </c>
      <c r="F3688" s="338" t="s">
        <v>111</v>
      </c>
      <c r="G3688" s="339" t="str">
        <f t="shared" si="2"/>
        <v>ＪＦＥ条鋼:リバイブＨ１(特A)</v>
      </c>
      <c r="H3688" s="340">
        <f t="shared" si="3"/>
        <v>47</v>
      </c>
      <c r="I3688" s="341">
        <v>4.5</v>
      </c>
      <c r="J3688" s="332">
        <f>IFERROR(__xludf.DUMMYFUNCTION("IF(IF(COUNTIF(P$2:P3687, P3688)=0, """", INDEX(H$2:H3687,
MAX(FILTER(ROW(H$2:H3687) - ROW(H$2) + 1, P$2:P3687 = P3688))))=""単価"","""",
IF(COUNTIF(P$2:P3687, P3688)=0, """", INDEX(H$2:H3687,
MAX(FILTER(ROW(H$2:H3687) - ROW(H$2) + 1, P$2:P3687 = P3688)))))"),42.5)</f>
        <v>42.5</v>
      </c>
      <c r="N3688" s="335" t="str">
        <f>IF(MAXIFS('単価履歴'!$O:$O,'単価履歴'!$E:$E,E3688,'単価履歴'!$F:$F,F3688)=O3688,"●","")</f>
        <v/>
      </c>
      <c r="O3688" s="346">
        <v>46016.35837962963</v>
      </c>
      <c r="P3688" s="334" t="str">
        <f t="shared" si="4"/>
        <v>ＪＦＥ条鋼:リバイブＨ１(特A)</v>
      </c>
    </row>
    <row r="3689" ht="15.75" customHeight="1">
      <c r="A3689" s="335" t="s">
        <v>4836</v>
      </c>
      <c r="B3689" s="336">
        <v>46016.0</v>
      </c>
      <c r="C3689" s="335" t="s">
        <v>28</v>
      </c>
      <c r="D3689" s="335" t="s">
        <v>52</v>
      </c>
      <c r="E3689" s="337" t="str">
        <f t="shared" si="1"/>
        <v>ＪＦＥ条鋼:リバイブ</v>
      </c>
      <c r="F3689" s="338" t="s">
        <v>116</v>
      </c>
      <c r="G3689" s="339" t="str">
        <f t="shared" si="2"/>
        <v>ＪＦＥ条鋼:リバイブＨ２(特級)</v>
      </c>
      <c r="H3689" s="340">
        <f t="shared" si="3"/>
        <v>47</v>
      </c>
      <c r="I3689" s="341">
        <v>4.5</v>
      </c>
      <c r="J3689" s="332">
        <f>IFERROR(__xludf.DUMMYFUNCTION("IF(IF(COUNTIF(P$2:P3688, P3689)=0, """", INDEX(H$2:H3688,
MAX(FILTER(ROW(H$2:H3688) - ROW(H$2) + 1, P$2:P3688 = P3689))))=""単価"","""",
IF(COUNTIF(P$2:P3688, P3689)=0, """", INDEX(H$2:H3688,
MAX(FILTER(ROW(H$2:H3688) - ROW(H$2) + 1, P$2:P3688 = P3689)))))"),42.5)</f>
        <v>42.5</v>
      </c>
      <c r="N3689" s="335" t="str">
        <f>IF(MAXIFS('単価履歴'!$O:$O,'単価履歴'!$E:$E,E3689,'単価履歴'!$F:$F,F3689)=O3689,"●","")</f>
        <v/>
      </c>
      <c r="O3689" s="346">
        <v>46016.35837962963</v>
      </c>
      <c r="P3689" s="334" t="str">
        <f t="shared" si="4"/>
        <v>ＪＦＥ条鋼:リバイブＨ２(特級)</v>
      </c>
    </row>
    <row r="3690" ht="15.75" customHeight="1">
      <c r="A3690" s="335" t="s">
        <v>4837</v>
      </c>
      <c r="B3690" s="336">
        <v>46016.0</v>
      </c>
      <c r="C3690" s="335" t="s">
        <v>28</v>
      </c>
      <c r="D3690" s="335" t="s">
        <v>52</v>
      </c>
      <c r="E3690" s="337" t="str">
        <f t="shared" si="1"/>
        <v>ＪＦＥ条鋼:リバイブ</v>
      </c>
      <c r="F3690" s="338" t="s">
        <v>119</v>
      </c>
      <c r="G3690" s="339" t="str">
        <f t="shared" si="2"/>
        <v>ＪＦＥ条鋼:リバイブＨ３(1級)</v>
      </c>
      <c r="H3690" s="340">
        <f t="shared" si="3"/>
        <v>46</v>
      </c>
      <c r="I3690" s="341">
        <v>4.5</v>
      </c>
      <c r="J3690" s="332">
        <f>IFERROR(__xludf.DUMMYFUNCTION("IF(IF(COUNTIF(P$2:P3689, P3690)=0, """", INDEX(H$2:H3689,
MAX(FILTER(ROW(H$2:H3689) - ROW(H$2) + 1, P$2:P3689 = P3690))))=""単価"","""",
IF(COUNTIF(P$2:P3689, P3690)=0, """", INDEX(H$2:H3689,
MAX(FILTER(ROW(H$2:H3689) - ROW(H$2) + 1, P$2:P3689 = P3690)))))"),41.5)</f>
        <v>41.5</v>
      </c>
      <c r="N3690" s="335" t="str">
        <f>IF(MAXIFS('単価履歴'!$O:$O,'単価履歴'!$E:$E,E3690,'単価履歴'!$F:$F,F3690)=O3690,"●","")</f>
        <v/>
      </c>
      <c r="O3690" s="346">
        <v>46016.35837962963</v>
      </c>
      <c r="P3690" s="334" t="str">
        <f t="shared" si="4"/>
        <v>ＪＦＥ条鋼:リバイブＨ３(1級)</v>
      </c>
    </row>
    <row r="3691" ht="15.75" customHeight="1">
      <c r="A3691" s="335" t="s">
        <v>4838</v>
      </c>
      <c r="B3691" s="336">
        <v>46016.0</v>
      </c>
      <c r="C3691" s="335" t="s">
        <v>28</v>
      </c>
      <c r="D3691" s="335" t="s">
        <v>52</v>
      </c>
      <c r="E3691" s="337" t="str">
        <f t="shared" si="1"/>
        <v>ＪＦＥ条鋼:リバイブ</v>
      </c>
      <c r="F3691" s="338" t="s">
        <v>122</v>
      </c>
      <c r="G3691" s="339" t="str">
        <f t="shared" si="2"/>
        <v>ＪＦＥ条鋼:リバイブＬ１(2級)</v>
      </c>
      <c r="H3691" s="340">
        <f t="shared" si="3"/>
        <v>43</v>
      </c>
      <c r="I3691" s="341">
        <v>4.5</v>
      </c>
      <c r="J3691" s="332">
        <f>IFERROR(__xludf.DUMMYFUNCTION("IF(IF(COUNTIF(P$2:P3690, P3691)=0, """", INDEX(H$2:H3690,
MAX(FILTER(ROW(H$2:H3690) - ROW(H$2) + 1, P$2:P3690 = P3691))))=""単価"","""",
IF(COUNTIF(P$2:P3690, P3691)=0, """", INDEX(H$2:H3690,
MAX(FILTER(ROW(H$2:H3690) - ROW(H$2) + 1, P$2:P3690 = P3691)))))"),38.5)</f>
        <v>38.5</v>
      </c>
      <c r="N3691" s="335" t="str">
        <f>IF(MAXIFS('単価履歴'!$O:$O,'単価履歴'!$E:$E,E3691,'単価履歴'!$F:$F,F3691)=O3691,"●","")</f>
        <v/>
      </c>
      <c r="O3691" s="346">
        <v>46016.35837962963</v>
      </c>
      <c r="P3691" s="334" t="str">
        <f t="shared" si="4"/>
        <v>ＪＦＥ条鋼:リバイブＬ１(2級)</v>
      </c>
    </row>
    <row r="3692" ht="15.75" customHeight="1">
      <c r="A3692" s="335" t="s">
        <v>4839</v>
      </c>
      <c r="B3692" s="336">
        <v>46016.0</v>
      </c>
      <c r="C3692" s="335" t="s">
        <v>28</v>
      </c>
      <c r="D3692" s="335" t="s">
        <v>52</v>
      </c>
      <c r="E3692" s="337" t="str">
        <f t="shared" si="1"/>
        <v>ＪＦＥ条鋼:リバイブ</v>
      </c>
      <c r="F3692" s="338" t="s">
        <v>575</v>
      </c>
      <c r="G3692" s="339" t="str">
        <f t="shared" si="2"/>
        <v>ＪＦＥ条鋼:リバイブ鋼ダライＡ</v>
      </c>
      <c r="H3692" s="340">
        <f t="shared" si="3"/>
        <v>39</v>
      </c>
      <c r="I3692" s="341">
        <v>-1.5</v>
      </c>
      <c r="J3692" s="332">
        <f>IFERROR(__xludf.DUMMYFUNCTION("IF(IF(COUNTIF(P$2:P3691, P3692)=0, """", INDEX(H$2:H3691,
MAX(FILTER(ROW(H$2:H3691) - ROW(H$2) + 1, P$2:P3691 = P3692))))=""単価"","""",
IF(COUNTIF(P$2:P3691, P3692)=0, """", INDEX(H$2:H3691,
MAX(FILTER(ROW(H$2:H3691) - ROW(H$2) + 1, P$2:P3691 = P3692)))))"),40.5)</f>
        <v>40.5</v>
      </c>
      <c r="N3692" s="335" t="str">
        <f>IF(MAXIFS('単価履歴'!$O:$O,'単価履歴'!$E:$E,E3692,'単価履歴'!$F:$F,F3692)=O3692,"●","")</f>
        <v/>
      </c>
      <c r="O3692" s="346">
        <v>46016.358668981484</v>
      </c>
      <c r="P3692" s="334" t="str">
        <f t="shared" si="4"/>
        <v>ＪＦＥ条鋼:リバイブ鋼ダライＡ</v>
      </c>
    </row>
    <row r="3693" ht="15.75" customHeight="1">
      <c r="A3693" s="335" t="s">
        <v>4840</v>
      </c>
      <c r="B3693" s="336">
        <v>46016.0</v>
      </c>
      <c r="C3693" s="335" t="s">
        <v>28</v>
      </c>
      <c r="D3693" s="335" t="s">
        <v>52</v>
      </c>
      <c r="E3693" s="337" t="str">
        <f t="shared" si="1"/>
        <v>ＪＦＥ条鋼:リバイブ</v>
      </c>
      <c r="F3693" s="338" t="s">
        <v>154</v>
      </c>
      <c r="G3693" s="339" t="str">
        <f t="shared" si="2"/>
        <v>ＪＦＥ条鋼:リバイブＣＰ Ａ</v>
      </c>
      <c r="H3693" s="340">
        <f t="shared" si="3"/>
        <v>46.5</v>
      </c>
      <c r="I3693" s="341">
        <v>-0.5</v>
      </c>
      <c r="J3693" s="332">
        <f>IFERROR(__xludf.DUMMYFUNCTION("IF(IF(COUNTIF(P$2:P3692, P3693)=0, """", INDEX(H$2:H3692,
MAX(FILTER(ROW(H$2:H3692) - ROW(H$2) + 1, P$2:P3692 = P3693))))=""単価"","""",
IF(COUNTIF(P$2:P3692, P3693)=0, """", INDEX(H$2:H3692,
MAX(FILTER(ROW(H$2:H3692) - ROW(H$2) + 1, P$2:P3692 = P3693)))))"),47.0)</f>
        <v>47</v>
      </c>
      <c r="N3693" s="335" t="str">
        <f>IF(MAXIFS('単価履歴'!$O:$O,'単価履歴'!$E:$E,E3693,'単価履歴'!$F:$F,F3693)=O3693,"●","")</f>
        <v/>
      </c>
      <c r="O3693" s="346">
        <v>46016.35890046296</v>
      </c>
      <c r="P3693" s="334" t="str">
        <f t="shared" si="4"/>
        <v>ＪＦＥ条鋼:リバイブＣＰ Ａ</v>
      </c>
    </row>
    <row r="3694" ht="15.75" customHeight="1">
      <c r="A3694" s="335" t="s">
        <v>4841</v>
      </c>
      <c r="B3694" s="336">
        <v>46027.0</v>
      </c>
      <c r="C3694" s="335" t="s">
        <v>28</v>
      </c>
      <c r="D3694" s="335" t="s">
        <v>52</v>
      </c>
      <c r="E3694" s="337" t="str">
        <f t="shared" si="1"/>
        <v>ＪＦＥ条鋼:リバイブ</v>
      </c>
      <c r="F3694" s="338" t="s">
        <v>154</v>
      </c>
      <c r="G3694" s="339" t="str">
        <f t="shared" si="2"/>
        <v>ＪＦＥ条鋼:リバイブＣＰ Ａ</v>
      </c>
      <c r="H3694" s="340">
        <f t="shared" si="3"/>
        <v>47</v>
      </c>
      <c r="I3694" s="341">
        <v>0.5</v>
      </c>
      <c r="J3694" s="332">
        <f>IFERROR(__xludf.DUMMYFUNCTION("IF(IF(COUNTIF(P$2:P3693, P3694)=0, """", INDEX(H$2:H3693,
MAX(FILTER(ROW(H$2:H3693) - ROW(H$2) + 1, P$2:P3693 = P3694))))=""単価"","""",
IF(COUNTIF(P$2:P3693, P3694)=0, """", INDEX(H$2:H3693,
MAX(FILTER(ROW(H$2:H3693) - ROW(H$2) + 1, P$2:P3693 = P3694)))))"),46.5)</f>
        <v>46.5</v>
      </c>
      <c r="N3694" s="335" t="str">
        <f>IF(MAXIFS('単価履歴'!$O:$O,'単価履歴'!$E:$E,E3694,'単価履歴'!$F:$F,F3694)=O3694,"●","")</f>
        <v/>
      </c>
      <c r="O3694" s="346">
        <v>46016.36583333333</v>
      </c>
      <c r="P3694" s="334" t="str">
        <f t="shared" si="4"/>
        <v>ＪＦＥ条鋼:リバイブＣＰ Ａ</v>
      </c>
    </row>
    <row r="3695" ht="15.75" customHeight="1">
      <c r="A3695" s="335" t="s">
        <v>4842</v>
      </c>
      <c r="B3695" s="336">
        <v>46017.0</v>
      </c>
      <c r="C3695" s="335" t="s">
        <v>15</v>
      </c>
      <c r="D3695" s="335" t="s">
        <v>58</v>
      </c>
      <c r="E3695" s="337" t="str">
        <f t="shared" si="1"/>
        <v>山口鋼業:MM建材</v>
      </c>
      <c r="F3695" s="338" t="s">
        <v>1199</v>
      </c>
      <c r="G3695" s="339" t="str">
        <f t="shared" si="2"/>
        <v>山口鋼業:MM建材ＨＳ１(単体H1/電特A/HS))</v>
      </c>
      <c r="H3695" s="340">
        <f t="shared" si="3"/>
        <v>43</v>
      </c>
      <c r="I3695" s="341">
        <v>-0.5</v>
      </c>
      <c r="J3695" s="332">
        <f>IFERROR(__xludf.DUMMYFUNCTION("IF(IF(COUNTIF(P$2:P3694, P3695)=0, """", INDEX(H$2:H3694,
MAX(FILTER(ROW(H$2:H3694) - ROW(H$2) + 1, P$2:P3694 = P3695))))=""単価"","""",
IF(COUNTIF(P$2:P3694, P3695)=0, """", INDEX(H$2:H3694,
MAX(FILTER(ROW(H$2:H3694) - ROW(H$2) + 1, P$2:P3694 = P3695)))))"),43.5)</f>
        <v>43.5</v>
      </c>
      <c r="N3695" s="335" t="str">
        <f>IF(MAXIFS('単価履歴'!$O:$O,'単価履歴'!$E:$E,E3695,'単価履歴'!$F:$F,F3695)=O3695,"●","")</f>
        <v/>
      </c>
      <c r="O3695" s="346">
        <v>46016.747662037036</v>
      </c>
      <c r="P3695" s="334" t="str">
        <f t="shared" si="4"/>
        <v>山口鋼業:MM建材ＨＳ１(単体H1/電特A/HS))</v>
      </c>
    </row>
    <row r="3696" ht="15.75" customHeight="1">
      <c r="A3696" s="335" t="s">
        <v>4843</v>
      </c>
      <c r="B3696" s="336">
        <v>46017.0</v>
      </c>
      <c r="C3696" s="335" t="s">
        <v>15</v>
      </c>
      <c r="D3696" s="335" t="s">
        <v>58</v>
      </c>
      <c r="E3696" s="337" t="str">
        <f t="shared" si="1"/>
        <v>山口鋼業:MM建材</v>
      </c>
      <c r="F3696" s="338" t="s">
        <v>1237</v>
      </c>
      <c r="G3696" s="339" t="str">
        <f t="shared" si="2"/>
        <v>山口鋼業:MM建材ＪＨ１(H2T山口)鍛造ﾊﾞﾘ</v>
      </c>
      <c r="H3696" s="340">
        <f t="shared" si="3"/>
        <v>42.5</v>
      </c>
      <c r="I3696" s="341">
        <v>-0.5</v>
      </c>
      <c r="J3696" s="332">
        <f>IFERROR(__xludf.DUMMYFUNCTION("IF(IF(COUNTIF(P$2:P3695, P3696)=0, """", INDEX(H$2:H3695,
MAX(FILTER(ROW(H$2:H3695) - ROW(H$2) + 1, P$2:P3695 = P3696))))=""単価"","""",
IF(COUNTIF(P$2:P3695, P3696)=0, """", INDEX(H$2:H3695,
MAX(FILTER(ROW(H$2:H3695) - ROW(H$2) + 1, P$2:P3695 = P3696)))))"),43.0)</f>
        <v>43</v>
      </c>
      <c r="N3696" s="335" t="str">
        <f>IF(MAXIFS('単価履歴'!$O:$O,'単価履歴'!$E:$E,E3696,'単価履歴'!$F:$F,F3696)=O3696,"●","")</f>
        <v/>
      </c>
      <c r="O3696" s="346">
        <v>46016.747662037036</v>
      </c>
      <c r="P3696" s="334" t="str">
        <f t="shared" si="4"/>
        <v>山口鋼業:MM建材ＪＨ１(H2T山口)鍛造ﾊﾞﾘ</v>
      </c>
    </row>
    <row r="3697" ht="15.75" customHeight="1">
      <c r="A3697" s="335" t="s">
        <v>4844</v>
      </c>
      <c r="B3697" s="336">
        <v>46017.0</v>
      </c>
      <c r="C3697" s="335" t="s">
        <v>15</v>
      </c>
      <c r="D3697" s="335" t="s">
        <v>58</v>
      </c>
      <c r="E3697" s="337" t="str">
        <f t="shared" si="1"/>
        <v>山口鋼業:MM建材</v>
      </c>
      <c r="F3697" s="338" t="s">
        <v>116</v>
      </c>
      <c r="G3697" s="339" t="str">
        <f t="shared" si="2"/>
        <v>山口鋼業:MM建材Ｈ２(特級)</v>
      </c>
      <c r="H3697" s="340">
        <f t="shared" si="3"/>
        <v>41.5</v>
      </c>
      <c r="I3697" s="341">
        <v>-0.5</v>
      </c>
      <c r="J3697" s="332">
        <f>IFERROR(__xludf.DUMMYFUNCTION("IF(IF(COUNTIF(P$2:P3696, P3697)=0, """", INDEX(H$2:H3696,
MAX(FILTER(ROW(H$2:H3696) - ROW(H$2) + 1, P$2:P3696 = P3697))))=""単価"","""",
IF(COUNTIF(P$2:P3696, P3697)=0, """", INDEX(H$2:H3696,
MAX(FILTER(ROW(H$2:H3696) - ROW(H$2) + 1, P$2:P3696 = P3697)))))"),42.0)</f>
        <v>42</v>
      </c>
      <c r="N3697" s="335" t="str">
        <f>IF(MAXIFS('単価履歴'!$O:$O,'単価履歴'!$E:$E,E3697,'単価履歴'!$F:$F,F3697)=O3697,"●","")</f>
        <v/>
      </c>
      <c r="O3697" s="346">
        <v>46016.747662037036</v>
      </c>
      <c r="P3697" s="334" t="str">
        <f t="shared" si="4"/>
        <v>山口鋼業:MM建材Ｈ２(特級)</v>
      </c>
    </row>
    <row r="3698" ht="15.75" customHeight="1">
      <c r="A3698" s="335" t="s">
        <v>4845</v>
      </c>
      <c r="B3698" s="336">
        <v>46017.0</v>
      </c>
      <c r="C3698" s="335" t="s">
        <v>15</v>
      </c>
      <c r="D3698" s="335" t="s">
        <v>58</v>
      </c>
      <c r="E3698" s="337" t="str">
        <f t="shared" si="1"/>
        <v>山口鋼業:MM建材</v>
      </c>
      <c r="F3698" s="338" t="s">
        <v>119</v>
      </c>
      <c r="G3698" s="339" t="str">
        <f t="shared" si="2"/>
        <v>山口鋼業:MM建材Ｈ３(1級)</v>
      </c>
      <c r="H3698" s="340">
        <f t="shared" si="3"/>
        <v>40.5</v>
      </c>
      <c r="I3698" s="341">
        <v>-0.5</v>
      </c>
      <c r="J3698" s="332">
        <f>IFERROR(__xludf.DUMMYFUNCTION("IF(IF(COUNTIF(P$2:P3697, P3698)=0, """", INDEX(H$2:H3697,
MAX(FILTER(ROW(H$2:H3697) - ROW(H$2) + 1, P$2:P3697 = P3698))))=""単価"","""",
IF(COUNTIF(P$2:P3697, P3698)=0, """", INDEX(H$2:H3697,
MAX(FILTER(ROW(H$2:H3697) - ROW(H$2) + 1, P$2:P3697 = P3698)))))"),41.0)</f>
        <v>41</v>
      </c>
      <c r="N3698" s="335" t="str">
        <f>IF(MAXIFS('単価履歴'!$O:$O,'単価履歴'!$E:$E,E3698,'単価履歴'!$F:$F,F3698)=O3698,"●","")</f>
        <v/>
      </c>
      <c r="O3698" s="346">
        <v>46016.747662037036</v>
      </c>
      <c r="P3698" s="334" t="str">
        <f t="shared" si="4"/>
        <v>山口鋼業:MM建材Ｈ３(1級)</v>
      </c>
    </row>
    <row r="3699" ht="15.75" customHeight="1">
      <c r="A3699" s="335" t="s">
        <v>4846</v>
      </c>
      <c r="B3699" s="336">
        <v>46017.0</v>
      </c>
      <c r="C3699" s="335" t="s">
        <v>15</v>
      </c>
      <c r="D3699" s="335" t="s">
        <v>58</v>
      </c>
      <c r="E3699" s="337" t="str">
        <f t="shared" si="1"/>
        <v>山口鋼業:MM建材</v>
      </c>
      <c r="F3699" s="338" t="s">
        <v>573</v>
      </c>
      <c r="G3699" s="339" t="str">
        <f t="shared" si="2"/>
        <v>山口鋼業:MM建材Ｌ２(H4･級外･L1ﾊﾞﾗ)</v>
      </c>
      <c r="H3699" s="340">
        <f t="shared" si="3"/>
        <v>39</v>
      </c>
      <c r="I3699" s="341">
        <v>-0.5</v>
      </c>
      <c r="J3699" s="332">
        <f>IFERROR(__xludf.DUMMYFUNCTION("IF(IF(COUNTIF(P$2:P3698, P3699)=0, """", INDEX(H$2:H3698,
MAX(FILTER(ROW(H$2:H3698) - ROW(H$2) + 1, P$2:P3698 = P3699))))=""単価"","""",
IF(COUNTIF(P$2:P3698, P3699)=0, """", INDEX(H$2:H3698,
MAX(FILTER(ROW(H$2:H3698) - ROW(H$2) + 1, P$2:P3698 = P3699)))))"),39.5)</f>
        <v>39.5</v>
      </c>
      <c r="N3699" s="335" t="str">
        <f>IF(MAXIFS('単価履歴'!$O:$O,'単価履歴'!$E:$E,E3699,'単価履歴'!$F:$F,F3699)=O3699,"●","")</f>
        <v/>
      </c>
      <c r="O3699" s="346">
        <v>46016.747662037036</v>
      </c>
      <c r="P3699" s="334" t="str">
        <f t="shared" si="4"/>
        <v>山口鋼業:MM建材Ｌ２(H4･級外･L1ﾊﾞﾗ)</v>
      </c>
    </row>
    <row r="3700" ht="15.75" customHeight="1">
      <c r="A3700" s="335" t="s">
        <v>4847</v>
      </c>
      <c r="B3700" s="336">
        <v>46017.0</v>
      </c>
      <c r="C3700" s="335" t="s">
        <v>15</v>
      </c>
      <c r="D3700" s="335" t="s">
        <v>58</v>
      </c>
      <c r="E3700" s="337" t="str">
        <f t="shared" si="1"/>
        <v>山口鋼業:MM建材</v>
      </c>
      <c r="F3700" s="338" t="s">
        <v>577</v>
      </c>
      <c r="G3700" s="339" t="str">
        <f t="shared" si="2"/>
        <v>山口鋼業:MM建材鋳物・ﾀﾞｸﾀｲﾙ</v>
      </c>
      <c r="H3700" s="340">
        <f t="shared" si="3"/>
        <v>42.5</v>
      </c>
      <c r="I3700" s="341">
        <v>-0.5</v>
      </c>
      <c r="J3700" s="332">
        <f>IFERROR(__xludf.DUMMYFUNCTION("IF(IF(COUNTIF(P$2:P3699, P3700)=0, """", INDEX(H$2:H3699,
MAX(FILTER(ROW(H$2:H3699) - ROW(H$2) + 1, P$2:P3699 = P3700))))=""単価"","""",
IF(COUNTIF(P$2:P3699, P3700)=0, """", INDEX(H$2:H3699,
MAX(FILTER(ROW(H$2:H3699) - ROW(H$2) + 1, P$2:P3699 = P3700)))))"),43.0)</f>
        <v>43</v>
      </c>
      <c r="N3700" s="335" t="str">
        <f>IF(MAXIFS('単価履歴'!$O:$O,'単価履歴'!$E:$E,E3700,'単価履歴'!$F:$F,F3700)=O3700,"●","")</f>
        <v/>
      </c>
      <c r="O3700" s="346">
        <v>46016.747662037036</v>
      </c>
      <c r="P3700" s="334" t="str">
        <f t="shared" si="4"/>
        <v>山口鋼業:MM建材鋳物・ﾀﾞｸﾀｲﾙ</v>
      </c>
    </row>
    <row r="3701" ht="15.75" customHeight="1">
      <c r="A3701" s="335" t="s">
        <v>4848</v>
      </c>
      <c r="B3701" s="336">
        <v>46017.0</v>
      </c>
      <c r="C3701" s="335" t="s">
        <v>15</v>
      </c>
      <c r="D3701" s="335" t="s">
        <v>46</v>
      </c>
      <c r="E3701" s="337" t="str">
        <f t="shared" si="1"/>
        <v>山口鋼業:阪和</v>
      </c>
      <c r="F3701" s="338" t="s">
        <v>1199</v>
      </c>
      <c r="G3701" s="339" t="str">
        <f t="shared" si="2"/>
        <v>山口鋼業:阪和ＨＳ１(単体H1/電特A/HS))</v>
      </c>
      <c r="H3701" s="340">
        <f t="shared" si="3"/>
        <v>44.5</v>
      </c>
      <c r="I3701" s="341">
        <v>-0.5</v>
      </c>
      <c r="J3701" s="332">
        <f>IFERROR(__xludf.DUMMYFUNCTION("IF(IF(COUNTIF(P$2:P3700, P3701)=0, """", INDEX(H$2:H3700,
MAX(FILTER(ROW(H$2:H3700) - ROW(H$2) + 1, P$2:P3700 = P3701))))=""単価"","""",
IF(COUNTIF(P$2:P3700, P3701)=0, """", INDEX(H$2:H3700,
MAX(FILTER(ROW(H$2:H3700) - ROW(H$2) + 1, P$2:P3700 = P3701)))))"),45.0)</f>
        <v>45</v>
      </c>
      <c r="N3701" s="335" t="str">
        <f>IF(MAXIFS('単価履歴'!$O:$O,'単価履歴'!$E:$E,E3701,'単価履歴'!$F:$F,F3701)=O3701,"●","")</f>
        <v/>
      </c>
      <c r="O3701" s="346">
        <v>46016.74802083333</v>
      </c>
      <c r="P3701" s="334" t="str">
        <f t="shared" si="4"/>
        <v>山口鋼業:阪和ＨＳ１(単体H1/電特A/HS))</v>
      </c>
    </row>
    <row r="3702" ht="15.75" customHeight="1">
      <c r="A3702" s="335" t="s">
        <v>4849</v>
      </c>
      <c r="B3702" s="336">
        <v>46017.0</v>
      </c>
      <c r="C3702" s="335" t="s">
        <v>15</v>
      </c>
      <c r="D3702" s="335" t="s">
        <v>46</v>
      </c>
      <c r="E3702" s="337" t="str">
        <f t="shared" si="1"/>
        <v>山口鋼業:阪和</v>
      </c>
      <c r="F3702" s="338" t="s">
        <v>111</v>
      </c>
      <c r="G3702" s="339" t="str">
        <f t="shared" si="2"/>
        <v>山口鋼業:阪和Ｈ１(特A)</v>
      </c>
      <c r="H3702" s="340">
        <f t="shared" si="3"/>
        <v>43</v>
      </c>
      <c r="I3702" s="341">
        <v>-0.5</v>
      </c>
      <c r="J3702" s="332">
        <f>IFERROR(__xludf.DUMMYFUNCTION("IF(IF(COUNTIF(P$2:P3701, P3702)=0, """", INDEX(H$2:H3701,
MAX(FILTER(ROW(H$2:H3701) - ROW(H$2) + 1, P$2:P3701 = P3702))))=""単価"","""",
IF(COUNTIF(P$2:P3701, P3702)=0, """", INDEX(H$2:H3701,
MAX(FILTER(ROW(H$2:H3701) - ROW(H$2) + 1, P$2:P3701 = P3702)))))"),43.5)</f>
        <v>43.5</v>
      </c>
      <c r="N3702" s="335" t="str">
        <f>IF(MAXIFS('単価履歴'!$O:$O,'単価履歴'!$E:$E,E3702,'単価履歴'!$F:$F,F3702)=O3702,"●","")</f>
        <v/>
      </c>
      <c r="O3702" s="346">
        <v>46016.74802083333</v>
      </c>
      <c r="P3702" s="334" t="str">
        <f t="shared" si="4"/>
        <v>山口鋼業:阪和Ｈ１(特A)</v>
      </c>
    </row>
    <row r="3703" ht="15.75" customHeight="1">
      <c r="A3703" s="335" t="s">
        <v>4850</v>
      </c>
      <c r="B3703" s="336">
        <v>46017.0</v>
      </c>
      <c r="C3703" s="335" t="s">
        <v>15</v>
      </c>
      <c r="D3703" s="335" t="s">
        <v>46</v>
      </c>
      <c r="E3703" s="337" t="str">
        <f t="shared" si="1"/>
        <v>山口鋼業:阪和</v>
      </c>
      <c r="F3703" s="338" t="s">
        <v>116</v>
      </c>
      <c r="G3703" s="339" t="str">
        <f t="shared" si="2"/>
        <v>山口鋼業:阪和Ｈ２(特級)</v>
      </c>
      <c r="H3703" s="340">
        <f t="shared" si="3"/>
        <v>42.5</v>
      </c>
      <c r="I3703" s="341">
        <v>-0.5</v>
      </c>
      <c r="J3703" s="332">
        <f>IFERROR(__xludf.DUMMYFUNCTION("IF(IF(COUNTIF(P$2:P3702, P3703)=0, """", INDEX(H$2:H3702,
MAX(FILTER(ROW(H$2:H3702) - ROW(H$2) + 1, P$2:P3702 = P3703))))=""単価"","""",
IF(COUNTIF(P$2:P3702, P3703)=0, """", INDEX(H$2:H3702,
MAX(FILTER(ROW(H$2:H3702) - ROW(H$2) + 1, P$2:P3702 = P3703)))))"),43.0)</f>
        <v>43</v>
      </c>
      <c r="N3703" s="335" t="str">
        <f>IF(MAXIFS('単価履歴'!$O:$O,'単価履歴'!$E:$E,E3703,'単価履歴'!$F:$F,F3703)=O3703,"●","")</f>
        <v/>
      </c>
      <c r="O3703" s="346">
        <v>46016.74802083333</v>
      </c>
      <c r="P3703" s="334" t="str">
        <f t="shared" si="4"/>
        <v>山口鋼業:阪和Ｈ２(特級)</v>
      </c>
    </row>
    <row r="3704" ht="15.75" customHeight="1">
      <c r="A3704" s="335" t="s">
        <v>4851</v>
      </c>
      <c r="B3704" s="336">
        <v>46017.0</v>
      </c>
      <c r="C3704" s="335" t="s">
        <v>15</v>
      </c>
      <c r="D3704" s="335" t="s">
        <v>46</v>
      </c>
      <c r="E3704" s="337" t="str">
        <f t="shared" si="1"/>
        <v>山口鋼業:阪和</v>
      </c>
      <c r="F3704" s="338" t="s">
        <v>119</v>
      </c>
      <c r="G3704" s="339" t="str">
        <f t="shared" si="2"/>
        <v>山口鋼業:阪和Ｈ３(1級)</v>
      </c>
      <c r="H3704" s="340">
        <f t="shared" si="3"/>
        <v>41.5</v>
      </c>
      <c r="I3704" s="341">
        <v>-0.5</v>
      </c>
      <c r="J3704" s="332">
        <f>IFERROR(__xludf.DUMMYFUNCTION("IF(IF(COUNTIF(P$2:P3703, P3704)=0, """", INDEX(H$2:H3703,
MAX(FILTER(ROW(H$2:H3703) - ROW(H$2) + 1, P$2:P3703 = P3704))))=""単価"","""",
IF(COUNTIF(P$2:P3703, P3704)=0, """", INDEX(H$2:H3703,
MAX(FILTER(ROW(H$2:H3703) - ROW(H$2) + 1, P$2:P3703 = P3704)))))"),42.0)</f>
        <v>42</v>
      </c>
      <c r="N3704" s="335" t="str">
        <f>IF(MAXIFS('単価履歴'!$O:$O,'単価履歴'!$E:$E,E3704,'単価履歴'!$F:$F,F3704)=O3704,"●","")</f>
        <v/>
      </c>
      <c r="O3704" s="346">
        <v>46016.74802083333</v>
      </c>
      <c r="P3704" s="334" t="str">
        <f t="shared" si="4"/>
        <v>山口鋼業:阪和Ｈ３(1級)</v>
      </c>
    </row>
    <row r="3705" ht="15.75" customHeight="1">
      <c r="A3705" s="335" t="s">
        <v>4852</v>
      </c>
      <c r="B3705" s="336">
        <v>46017.0</v>
      </c>
      <c r="C3705" s="335" t="s">
        <v>15</v>
      </c>
      <c r="D3705" s="335" t="s">
        <v>46</v>
      </c>
      <c r="E3705" s="337" t="str">
        <f t="shared" si="1"/>
        <v>山口鋼業:阪和</v>
      </c>
      <c r="F3705" s="338" t="s">
        <v>573</v>
      </c>
      <c r="G3705" s="339" t="str">
        <f t="shared" si="2"/>
        <v>山口鋼業:阪和Ｌ２(H4･級外･L1ﾊﾞﾗ)</v>
      </c>
      <c r="H3705" s="340">
        <f t="shared" si="3"/>
        <v>40</v>
      </c>
      <c r="I3705" s="341">
        <v>-0.5</v>
      </c>
      <c r="J3705" s="332">
        <f>IFERROR(__xludf.DUMMYFUNCTION("IF(IF(COUNTIF(P$2:P3704, P3705)=0, """", INDEX(H$2:H3704,
MAX(FILTER(ROW(H$2:H3704) - ROW(H$2) + 1, P$2:P3704 = P3705))))=""単価"","""",
IF(COUNTIF(P$2:P3704, P3705)=0, """", INDEX(H$2:H3704,
MAX(FILTER(ROW(H$2:H3704) - ROW(H$2) + 1, P$2:P3704 = P3705)))))"),40.5)</f>
        <v>40.5</v>
      </c>
      <c r="N3705" s="335" t="str">
        <f>IF(MAXIFS('単価履歴'!$O:$O,'単価履歴'!$E:$E,E3705,'単価履歴'!$F:$F,F3705)=O3705,"●","")</f>
        <v/>
      </c>
      <c r="O3705" s="346">
        <v>46016.74802083333</v>
      </c>
      <c r="P3705" s="334" t="str">
        <f t="shared" si="4"/>
        <v>山口鋼業:阪和Ｌ２(H4･級外･L1ﾊﾞﾗ)</v>
      </c>
    </row>
    <row r="3706" ht="15.75" customHeight="1">
      <c r="A3706" s="335" t="s">
        <v>4853</v>
      </c>
      <c r="B3706" s="336">
        <v>46017.0</v>
      </c>
      <c r="C3706" s="335" t="s">
        <v>537</v>
      </c>
      <c r="D3706" s="335" t="s">
        <v>59</v>
      </c>
      <c r="E3706" s="337" t="str">
        <f t="shared" si="1"/>
        <v>大同特殊鋼:大同興業</v>
      </c>
      <c r="F3706" s="338" t="s">
        <v>1199</v>
      </c>
      <c r="G3706" s="339" t="str">
        <f t="shared" si="2"/>
        <v>大同特殊鋼:大同興業ＨＳ１(単体H1/電特A/HS))</v>
      </c>
      <c r="H3706" s="340">
        <f t="shared" si="3"/>
        <v>46.5</v>
      </c>
      <c r="I3706" s="341">
        <v>-0.5</v>
      </c>
      <c r="J3706" s="332">
        <f>IFERROR(__xludf.DUMMYFUNCTION("IF(IF(COUNTIF(P$2:P3705, P3706)=0, """", INDEX(H$2:H3705,
MAX(FILTER(ROW(H$2:H3705) - ROW(H$2) + 1, P$2:P3705 = P3706))))=""単価"","""",
IF(COUNTIF(P$2:P3705, P3706)=0, """", INDEX(H$2:H3705,
MAX(FILTER(ROW(H$2:H3705) - ROW(H$2) + 1, P$2:P3705 = P3706)))))"),47.0)</f>
        <v>47</v>
      </c>
      <c r="N3706" s="335" t="str">
        <f>IF(MAXIFS('単価履歴'!$O:$O,'単価履歴'!$E:$E,E3706,'単価履歴'!$F:$F,F3706)=O3706,"●","")</f>
        <v/>
      </c>
      <c r="O3706" s="346">
        <v>46016.748553240745</v>
      </c>
      <c r="P3706" s="334" t="str">
        <f t="shared" si="4"/>
        <v>大同特殊鋼:大同興業ＨＳ１(単体H1/電特A/HS))</v>
      </c>
    </row>
    <row r="3707" ht="15.75" customHeight="1">
      <c r="A3707" s="335" t="s">
        <v>4854</v>
      </c>
      <c r="B3707" s="336">
        <v>46016.0</v>
      </c>
      <c r="C3707" s="335" t="s">
        <v>537</v>
      </c>
      <c r="D3707" s="335" t="s">
        <v>1404</v>
      </c>
      <c r="E3707" s="337" t="str">
        <f t="shared" si="1"/>
        <v>大同特殊鋼:JSE/大和ﾘﾃｯｸ</v>
      </c>
      <c r="F3707" s="338" t="s">
        <v>1199</v>
      </c>
      <c r="G3707" s="339" t="str">
        <f t="shared" si="2"/>
        <v>大同特殊鋼:JSE/大和ﾘﾃｯｸＨＳ１(単体H1/電特A/HS))</v>
      </c>
      <c r="H3707" s="340">
        <f t="shared" si="3"/>
        <v>45.8</v>
      </c>
      <c r="I3707" s="341">
        <v>-0.5</v>
      </c>
      <c r="J3707" s="332">
        <f>IFERROR(__xludf.DUMMYFUNCTION("IF(IF(COUNTIF(P$2:P3706, P3707)=0, """", INDEX(H$2:H3706,
MAX(FILTER(ROW(H$2:H3706) - ROW(H$2) + 1, P$2:P3706 = P3707))))=""単価"","""",
IF(COUNTIF(P$2:P3706, P3707)=0, """", INDEX(H$2:H3706,
MAX(FILTER(ROW(H$2:H3706) - ROW(H$2) + 1, P$2:P3706 = P3707)))))"),46.3)</f>
        <v>46.3</v>
      </c>
      <c r="N3707" s="335" t="str">
        <f>IF(MAXIFS('単価履歴'!$O:$O,'単価履歴'!$E:$E,E3707,'単価履歴'!$F:$F,F3707)=O3707,"●","")</f>
        <v/>
      </c>
      <c r="O3707" s="346">
        <v>46016.74896990741</v>
      </c>
      <c r="P3707" s="334" t="str">
        <f t="shared" si="4"/>
        <v>大同特殊鋼:JSE/大和ﾘﾃｯｸＨＳ１(単体H1/電特A/HS))</v>
      </c>
    </row>
    <row r="3708" ht="15.75" customHeight="1">
      <c r="A3708" s="335" t="s">
        <v>4855</v>
      </c>
      <c r="B3708" s="336">
        <v>46016.0</v>
      </c>
      <c r="C3708" s="335" t="s">
        <v>537</v>
      </c>
      <c r="D3708" s="335" t="s">
        <v>1404</v>
      </c>
      <c r="E3708" s="337" t="str">
        <f t="shared" si="1"/>
        <v>大同特殊鋼:JSE/大和ﾘﾃｯｸ</v>
      </c>
      <c r="F3708" s="338" t="s">
        <v>116</v>
      </c>
      <c r="G3708" s="339" t="str">
        <f t="shared" si="2"/>
        <v>大同特殊鋼:JSE/大和ﾘﾃｯｸＨ２(特級)</v>
      </c>
      <c r="H3708" s="340">
        <f t="shared" si="3"/>
        <v>42.7</v>
      </c>
      <c r="I3708" s="341">
        <v>-0.5</v>
      </c>
      <c r="J3708" s="332">
        <f>IFERROR(__xludf.DUMMYFUNCTION("IF(IF(COUNTIF(P$2:P3707, P3708)=0, """", INDEX(H$2:H3707,
MAX(FILTER(ROW(H$2:H3707) - ROW(H$2) + 1, P$2:P3707 = P3708))))=""単価"","""",
IF(COUNTIF(P$2:P3707, P3708)=0, """", INDEX(H$2:H3707,
MAX(FILTER(ROW(H$2:H3707) - ROW(H$2) + 1, P$2:P3707 = P3708)))))"),43.2)</f>
        <v>43.2</v>
      </c>
      <c r="N3708" s="335" t="str">
        <f>IF(MAXIFS('単価履歴'!$O:$O,'単価履歴'!$E:$E,E3708,'単価履歴'!$F:$F,F3708)=O3708,"●","")</f>
        <v/>
      </c>
      <c r="O3708" s="346">
        <v>46016.74896990741</v>
      </c>
      <c r="P3708" s="334" t="str">
        <f t="shared" si="4"/>
        <v>大同特殊鋼:JSE/大和ﾘﾃｯｸＨ２(特級)</v>
      </c>
    </row>
    <row r="3709" ht="15.75" customHeight="1">
      <c r="A3709" s="335" t="s">
        <v>4856</v>
      </c>
      <c r="B3709" s="336">
        <v>46016.0</v>
      </c>
      <c r="C3709" s="335" t="s">
        <v>537</v>
      </c>
      <c r="D3709" s="335" t="s">
        <v>1407</v>
      </c>
      <c r="E3709" s="337" t="str">
        <f t="shared" si="1"/>
        <v>大同特殊鋼:JSE/第二＠2.3</v>
      </c>
      <c r="F3709" s="338" t="s">
        <v>1199</v>
      </c>
      <c r="G3709" s="339" t="str">
        <f t="shared" si="2"/>
        <v>大同特殊鋼:JSE/第二＠2.3ＨＳ１(単体H1/電特A/HS))</v>
      </c>
      <c r="H3709" s="340">
        <f t="shared" si="3"/>
        <v>43.5</v>
      </c>
      <c r="I3709" s="341">
        <v>-0.5</v>
      </c>
      <c r="J3709" s="332">
        <f>IFERROR(__xludf.DUMMYFUNCTION("IF(IF(COUNTIF(P$2:P3708, P3709)=0, """", INDEX(H$2:H3708,
MAX(FILTER(ROW(H$2:H3708) - ROW(H$2) + 1, P$2:P3708 = P3709))))=""単価"","""",
IF(COUNTIF(P$2:P3708, P3709)=0, """", INDEX(H$2:H3708,
MAX(FILTER(ROW(H$2:H3708) - ROW(H$2) + 1, P$2:P3708 = P3709)))))"),44.0)</f>
        <v>44</v>
      </c>
      <c r="N3709" s="335" t="str">
        <f>IF(MAXIFS('単価履歴'!$O:$O,'単価履歴'!$E:$E,E3709,'単価履歴'!$F:$F,F3709)=O3709,"●","")</f>
        <v/>
      </c>
      <c r="O3709" s="346">
        <v>46016.74896990741</v>
      </c>
      <c r="P3709" s="334" t="str">
        <f t="shared" si="4"/>
        <v>大同特殊鋼:JSE/第二＠2.3ＨＳ１(単体H1/電特A/HS))</v>
      </c>
    </row>
    <row r="3710" ht="15.75" customHeight="1">
      <c r="A3710" s="335" t="s">
        <v>4857</v>
      </c>
      <c r="B3710" s="336">
        <v>46016.0</v>
      </c>
      <c r="C3710" s="335" t="s">
        <v>537</v>
      </c>
      <c r="D3710" s="335" t="s">
        <v>1407</v>
      </c>
      <c r="E3710" s="337" t="str">
        <f t="shared" si="1"/>
        <v>大同特殊鋼:JSE/第二＠2.3</v>
      </c>
      <c r="F3710" s="338" t="s">
        <v>116</v>
      </c>
      <c r="G3710" s="339" t="str">
        <f t="shared" si="2"/>
        <v>大同特殊鋼:JSE/第二＠2.3Ｈ２(特級)</v>
      </c>
      <c r="H3710" s="340">
        <f t="shared" si="3"/>
        <v>40.4</v>
      </c>
      <c r="I3710" s="341">
        <v>-0.5</v>
      </c>
      <c r="J3710" s="332">
        <f>IFERROR(__xludf.DUMMYFUNCTION("IF(IF(COUNTIF(P$2:P3709, P3710)=0, """", INDEX(H$2:H3709,
MAX(FILTER(ROW(H$2:H3709) - ROW(H$2) + 1, P$2:P3709 = P3710))))=""単価"","""",
IF(COUNTIF(P$2:P3709, P3710)=0, """", INDEX(H$2:H3709,
MAX(FILTER(ROW(H$2:H3709) - ROW(H$2) + 1, P$2:P3709 = P3710)))))"),40.900000000000006)</f>
        <v>40.9</v>
      </c>
      <c r="N3710" s="335" t="str">
        <f>IF(MAXIFS('単価履歴'!$O:$O,'単価履歴'!$E:$E,E3710,'単価履歴'!$F:$F,F3710)=O3710,"●","")</f>
        <v/>
      </c>
      <c r="O3710" s="346">
        <v>46016.74896990741</v>
      </c>
      <c r="P3710" s="334" t="str">
        <f t="shared" si="4"/>
        <v>大同特殊鋼:JSE/第二＠2.3Ｈ２(特級)</v>
      </c>
    </row>
    <row r="3711" ht="15.75" customHeight="1">
      <c r="A3711" s="335" t="s">
        <v>4858</v>
      </c>
      <c r="B3711" s="336">
        <v>46016.0</v>
      </c>
      <c r="C3711" s="335" t="s">
        <v>537</v>
      </c>
      <c r="D3711" s="335" t="s">
        <v>1410</v>
      </c>
      <c r="E3711" s="337" t="str">
        <f t="shared" si="1"/>
        <v>大同特殊鋼:JSE/岐阜＠1.5</v>
      </c>
      <c r="F3711" s="338" t="s">
        <v>1199</v>
      </c>
      <c r="G3711" s="339" t="str">
        <f t="shared" si="2"/>
        <v>大同特殊鋼:JSE/岐阜＠1.5ＨＳ１(単体H1/電特A/HS))</v>
      </c>
      <c r="H3711" s="340">
        <f t="shared" si="3"/>
        <v>44.3</v>
      </c>
      <c r="I3711" s="341">
        <v>-0.5</v>
      </c>
      <c r="J3711" s="332">
        <f>IFERROR(__xludf.DUMMYFUNCTION("IF(IF(COUNTIF(P$2:P3710, P3711)=0, """", INDEX(H$2:H3710,
MAX(FILTER(ROW(H$2:H3710) - ROW(H$2) + 1, P$2:P3710 = P3711))))=""単価"","""",
IF(COUNTIF(P$2:P3710, P3711)=0, """", INDEX(H$2:H3710,
MAX(FILTER(ROW(H$2:H3710) - ROW(H$2) + 1, P$2:P3710 = P3711)))))"),44.8)</f>
        <v>44.8</v>
      </c>
      <c r="N3711" s="335" t="str">
        <f>IF(MAXIFS('単価履歴'!$O:$O,'単価履歴'!$E:$E,E3711,'単価履歴'!$F:$F,F3711)=O3711,"●","")</f>
        <v/>
      </c>
      <c r="O3711" s="346">
        <v>46016.74896990741</v>
      </c>
      <c r="P3711" s="334" t="str">
        <f t="shared" si="4"/>
        <v>大同特殊鋼:JSE/岐阜＠1.5ＨＳ１(単体H1/電特A/HS))</v>
      </c>
    </row>
    <row r="3712" ht="15.75" customHeight="1">
      <c r="A3712" s="335" t="s">
        <v>4859</v>
      </c>
      <c r="B3712" s="336">
        <v>46016.0</v>
      </c>
      <c r="C3712" s="335" t="s">
        <v>537</v>
      </c>
      <c r="D3712" s="335" t="s">
        <v>1410</v>
      </c>
      <c r="E3712" s="337" t="str">
        <f t="shared" si="1"/>
        <v>大同特殊鋼:JSE/岐阜＠1.5</v>
      </c>
      <c r="F3712" s="338" t="s">
        <v>116</v>
      </c>
      <c r="G3712" s="339" t="str">
        <f t="shared" si="2"/>
        <v>大同特殊鋼:JSE/岐阜＠1.5Ｈ２(特級)</v>
      </c>
      <c r="H3712" s="340">
        <f t="shared" si="3"/>
        <v>41.2</v>
      </c>
      <c r="I3712" s="341">
        <v>-0.5</v>
      </c>
      <c r="J3712" s="332">
        <f>IFERROR(__xludf.DUMMYFUNCTION("IF(IF(COUNTIF(P$2:P3711, P3712)=0, """", INDEX(H$2:H3711,
MAX(FILTER(ROW(H$2:H3711) - ROW(H$2) + 1, P$2:P3711 = P3712))))=""単価"","""",
IF(COUNTIF(P$2:P3711, P3712)=0, """", INDEX(H$2:H3711,
MAX(FILTER(ROW(H$2:H3711) - ROW(H$2) + 1, P$2:P3711 = P3712)))))"),41.7)</f>
        <v>41.7</v>
      </c>
      <c r="N3712" s="335" t="str">
        <f>IF(MAXIFS('単価履歴'!$O:$O,'単価履歴'!$E:$E,E3712,'単価履歴'!$F:$F,F3712)=O3712,"●","")</f>
        <v/>
      </c>
      <c r="O3712" s="346">
        <v>46016.74896990741</v>
      </c>
      <c r="P3712" s="334" t="str">
        <f t="shared" si="4"/>
        <v>大同特殊鋼:JSE/岐阜＠1.5Ｈ２(特級)</v>
      </c>
    </row>
    <row r="3713" ht="15.75" customHeight="1">
      <c r="A3713" s="335" t="s">
        <v>4860</v>
      </c>
      <c r="B3713" s="336">
        <v>46017.0</v>
      </c>
      <c r="C3713" s="335" t="s">
        <v>12</v>
      </c>
      <c r="D3713" s="335" t="s">
        <v>53</v>
      </c>
      <c r="E3713" s="337" t="str">
        <f t="shared" si="1"/>
        <v>山陽特殊:MM</v>
      </c>
      <c r="F3713" s="338" t="s">
        <v>1199</v>
      </c>
      <c r="G3713" s="339" t="str">
        <f t="shared" si="2"/>
        <v>山陽特殊:MMＨＳ１(単体H1/電特A/HS))</v>
      </c>
      <c r="H3713" s="340">
        <f t="shared" si="3"/>
        <v>49.5</v>
      </c>
      <c r="I3713" s="341">
        <v>-0.5</v>
      </c>
      <c r="J3713" s="332">
        <f>IFERROR(__xludf.DUMMYFUNCTION("IF(IF(COUNTIF(P$2:P3712, P3713)=0, """", INDEX(H$2:H3712,
MAX(FILTER(ROW(H$2:H3712) - ROW(H$2) + 1, P$2:P3712 = P3713))))=""単価"","""",
IF(COUNTIF(P$2:P3712, P3713)=0, """", INDEX(H$2:H3712,
MAX(FILTER(ROW(H$2:H3712) - ROW(H$2) + 1, P$2:P3712 = P3713)))))"),50.0)</f>
        <v>50</v>
      </c>
      <c r="N3713" s="335" t="str">
        <f>IF(MAXIFS('単価履歴'!$O:$O,'単価履歴'!$E:$E,E3713,'単価履歴'!$F:$F,F3713)=O3713,"●","")</f>
        <v/>
      </c>
      <c r="O3713" s="346">
        <v>46016.76131944444</v>
      </c>
      <c r="P3713" s="334" t="str">
        <f t="shared" si="4"/>
        <v>山陽特殊:MMＨＳ１(単体H1/電特A/HS))</v>
      </c>
    </row>
    <row r="3714" ht="15.75" customHeight="1">
      <c r="A3714" s="335" t="s">
        <v>4861</v>
      </c>
      <c r="B3714" s="336">
        <v>46017.0</v>
      </c>
      <c r="C3714" s="335" t="s">
        <v>12</v>
      </c>
      <c r="D3714" s="335" t="s">
        <v>53</v>
      </c>
      <c r="E3714" s="337" t="str">
        <f t="shared" si="1"/>
        <v>山陽特殊:MM</v>
      </c>
      <c r="F3714" s="338" t="s">
        <v>101</v>
      </c>
      <c r="G3714" s="339" t="str">
        <f t="shared" si="2"/>
        <v>山陽特殊:MMＨＳ２</v>
      </c>
      <c r="H3714" s="340">
        <f t="shared" si="3"/>
        <v>49.3</v>
      </c>
      <c r="I3714" s="341">
        <v>-0.5</v>
      </c>
      <c r="J3714" s="332">
        <f>IFERROR(__xludf.DUMMYFUNCTION("IF(IF(COUNTIF(P$2:P3713, P3714)=0, """", INDEX(H$2:H3713,
MAX(FILTER(ROW(H$2:H3713) - ROW(H$2) + 1, P$2:P3713 = P3714))))=""単価"","""",
IF(COUNTIF(P$2:P3713, P3714)=0, """", INDEX(H$2:H3713,
MAX(FILTER(ROW(H$2:H3713) - ROW(H$2) + 1, P$2:P3713 = P3714)))))"),49.8)</f>
        <v>49.8</v>
      </c>
      <c r="N3714" s="335" t="str">
        <f>IF(MAXIFS('単価履歴'!$O:$O,'単価履歴'!$E:$E,E3714,'単価履歴'!$F:$F,F3714)=O3714,"●","")</f>
        <v/>
      </c>
      <c r="O3714" s="346">
        <v>46016.76131944444</v>
      </c>
      <c r="P3714" s="334" t="str">
        <f t="shared" si="4"/>
        <v>山陽特殊:MMＨＳ２</v>
      </c>
    </row>
    <row r="3715" ht="15.75" customHeight="1">
      <c r="A3715" s="335" t="s">
        <v>4862</v>
      </c>
      <c r="B3715" s="336">
        <v>46017.0</v>
      </c>
      <c r="C3715" s="335" t="s">
        <v>12</v>
      </c>
      <c r="D3715" s="335" t="s">
        <v>53</v>
      </c>
      <c r="E3715" s="337" t="str">
        <f t="shared" si="1"/>
        <v>山陽特殊:MM</v>
      </c>
      <c r="F3715" s="338" t="s">
        <v>105</v>
      </c>
      <c r="G3715" s="339" t="str">
        <f t="shared" si="2"/>
        <v>山陽特殊:MMＨＳ３</v>
      </c>
      <c r="H3715" s="340">
        <f t="shared" si="3"/>
        <v>47.3</v>
      </c>
      <c r="I3715" s="341">
        <v>-0.5</v>
      </c>
      <c r="J3715" s="332">
        <f>IFERROR(__xludf.DUMMYFUNCTION("IF(IF(COUNTIF(P$2:P3714, P3715)=0, """", INDEX(H$2:H3714,
MAX(FILTER(ROW(H$2:H3714) - ROW(H$2) + 1, P$2:P3714 = P3715))))=""単価"","""",
IF(COUNTIF(P$2:P3714, P3715)=0, """", INDEX(H$2:H3714,
MAX(FILTER(ROW(H$2:H3714) - ROW(H$2) + 1, P$2:P3714 = P3715)))))"),47.8)</f>
        <v>47.8</v>
      </c>
      <c r="N3715" s="335" t="str">
        <f>IF(MAXIFS('単価履歴'!$O:$O,'単価履歴'!$E:$E,E3715,'単価履歴'!$F:$F,F3715)=O3715,"●","")</f>
        <v/>
      </c>
      <c r="O3715" s="346">
        <v>46016.76131944444</v>
      </c>
      <c r="P3715" s="334" t="str">
        <f t="shared" si="4"/>
        <v>山陽特殊:MMＨＳ３</v>
      </c>
    </row>
    <row r="3716" ht="15.75" customHeight="1">
      <c r="A3716" s="335" t="s">
        <v>4863</v>
      </c>
      <c r="B3716" s="336">
        <v>46028.0</v>
      </c>
      <c r="C3716" s="335" t="s">
        <v>14</v>
      </c>
      <c r="D3716" s="335" t="s">
        <v>46</v>
      </c>
      <c r="E3716" s="337" t="str">
        <f t="shared" si="1"/>
        <v>愛知:阪和</v>
      </c>
      <c r="F3716" s="338" t="s">
        <v>1199</v>
      </c>
      <c r="G3716" s="339" t="str">
        <f t="shared" si="2"/>
        <v>愛知:阪和ＨＳ１(単体H1/電特A/HS))</v>
      </c>
      <c r="H3716" s="340">
        <f t="shared" si="3"/>
        <v>46.2</v>
      </c>
      <c r="I3716" s="341">
        <v>-0.5</v>
      </c>
      <c r="J3716" s="332">
        <f>IFERROR(__xludf.DUMMYFUNCTION("IF(IF(COUNTIF(P$2:P3715, P3716)=0, """", INDEX(H$2:H3715,
MAX(FILTER(ROW(H$2:H3715) - ROW(H$2) + 1, P$2:P3715 = P3716))))=""単価"","""",
IF(COUNTIF(P$2:P3715, P3716)=0, """", INDEX(H$2:H3715,
MAX(FILTER(ROW(H$2:H3715) - ROW(H$2) + 1, P$2:P3715 = P3716)))))"),46.7)</f>
        <v>46.7</v>
      </c>
      <c r="N3716" s="335" t="str">
        <f>IF(MAXIFS('単価履歴'!$O:$O,'単価履歴'!$E:$E,E3716,'単価履歴'!$F:$F,F3716)=O3716,"●","")</f>
        <v/>
      </c>
      <c r="O3716" s="346">
        <v>46017.720543981486</v>
      </c>
      <c r="P3716" s="334" t="str">
        <f t="shared" si="4"/>
        <v>愛知:阪和ＨＳ１(単体H1/電特A/HS))</v>
      </c>
    </row>
    <row r="3717" ht="15.75" customHeight="1">
      <c r="A3717" s="335" t="s">
        <v>4864</v>
      </c>
      <c r="B3717" s="336">
        <v>46028.0</v>
      </c>
      <c r="C3717" s="335" t="s">
        <v>14</v>
      </c>
      <c r="D3717" s="335" t="s">
        <v>46</v>
      </c>
      <c r="E3717" s="337" t="str">
        <f t="shared" si="1"/>
        <v>愛知:阪和</v>
      </c>
      <c r="F3717" s="338" t="s">
        <v>101</v>
      </c>
      <c r="G3717" s="339" t="str">
        <f t="shared" si="2"/>
        <v>愛知:阪和ＨＳ２</v>
      </c>
      <c r="H3717" s="340">
        <f t="shared" si="3"/>
        <v>45.7</v>
      </c>
      <c r="I3717" s="341">
        <v>-0.5</v>
      </c>
      <c r="J3717" s="332">
        <f>IFERROR(__xludf.DUMMYFUNCTION("IF(IF(COUNTIF(P$2:P3716, P3717)=0, """", INDEX(H$2:H3716,
MAX(FILTER(ROW(H$2:H3716) - ROW(H$2) + 1, P$2:P3716 = P3717))))=""単価"","""",
IF(COUNTIF(P$2:P3716, P3717)=0, """", INDEX(H$2:H3716,
MAX(FILTER(ROW(H$2:H3716) - ROW(H$2) + 1, P$2:P3716 = P3717)))))"),46.2)</f>
        <v>46.2</v>
      </c>
      <c r="N3717" s="335" t="str">
        <f>IF(MAXIFS('単価履歴'!$O:$O,'単価履歴'!$E:$E,E3717,'単価履歴'!$F:$F,F3717)=O3717,"●","")</f>
        <v/>
      </c>
      <c r="O3717" s="346">
        <v>46017.720543981486</v>
      </c>
      <c r="P3717" s="334" t="str">
        <f t="shared" si="4"/>
        <v>愛知:阪和ＨＳ２</v>
      </c>
    </row>
    <row r="3718" ht="15.75" customHeight="1">
      <c r="A3718" s="335" t="s">
        <v>4865</v>
      </c>
      <c r="B3718" s="336">
        <v>46028.0</v>
      </c>
      <c r="C3718" s="335" t="s">
        <v>14</v>
      </c>
      <c r="D3718" s="335" t="s">
        <v>46</v>
      </c>
      <c r="E3718" s="337" t="str">
        <f t="shared" si="1"/>
        <v>愛知:阪和</v>
      </c>
      <c r="F3718" s="338" t="s">
        <v>111</v>
      </c>
      <c r="G3718" s="339" t="str">
        <f t="shared" si="2"/>
        <v>愛知:阪和Ｈ１(特A)</v>
      </c>
      <c r="H3718" s="340">
        <f t="shared" si="3"/>
        <v>41.2</v>
      </c>
      <c r="I3718" s="341">
        <v>-0.5</v>
      </c>
      <c r="J3718" s="332">
        <f>IFERROR(__xludf.DUMMYFUNCTION("IF(IF(COUNTIF(P$2:P3717, P3718)=0, """", INDEX(H$2:H3717,
MAX(FILTER(ROW(H$2:H3717) - ROW(H$2) + 1, P$2:P3717 = P3718))))=""単価"","""",
IF(COUNTIF(P$2:P3717, P3718)=0, """", INDEX(H$2:H3717,
MAX(FILTER(ROW(H$2:H3717) - ROW(H$2) + 1, P$2:P3717 = P3718)))))"),41.7)</f>
        <v>41.7</v>
      </c>
      <c r="N3718" s="335" t="str">
        <f>IF(MAXIFS('単価履歴'!$O:$O,'単価履歴'!$E:$E,E3718,'単価履歴'!$F:$F,F3718)=O3718,"●","")</f>
        <v/>
      </c>
      <c r="O3718" s="346">
        <v>46017.720543981486</v>
      </c>
      <c r="P3718" s="334" t="str">
        <f t="shared" si="4"/>
        <v>愛知:阪和Ｈ１(特A)</v>
      </c>
    </row>
    <row r="3719" ht="15.75" customHeight="1">
      <c r="A3719" s="335" t="s">
        <v>4866</v>
      </c>
      <c r="B3719" s="336">
        <v>46028.0</v>
      </c>
      <c r="C3719" s="335" t="s">
        <v>14</v>
      </c>
      <c r="D3719" s="335" t="s">
        <v>46</v>
      </c>
      <c r="E3719" s="337" t="str">
        <f t="shared" si="1"/>
        <v>愛知:阪和</v>
      </c>
      <c r="F3719" s="338" t="s">
        <v>116</v>
      </c>
      <c r="G3719" s="339" t="str">
        <f t="shared" si="2"/>
        <v>愛知:阪和Ｈ２(特級)</v>
      </c>
      <c r="H3719" s="340">
        <f t="shared" si="3"/>
        <v>40.7</v>
      </c>
      <c r="I3719" s="341">
        <v>-0.5</v>
      </c>
      <c r="J3719" s="332">
        <f>IFERROR(__xludf.DUMMYFUNCTION("IF(IF(COUNTIF(P$2:P3718, P3719)=0, """", INDEX(H$2:H3718,
MAX(FILTER(ROW(H$2:H3718) - ROW(H$2) + 1, P$2:P3718 = P3719))))=""単価"","""",
IF(COUNTIF(P$2:P3718, P3719)=0, """", INDEX(H$2:H3718,
MAX(FILTER(ROW(H$2:H3718) - ROW(H$2) + 1, P$2:P3718 = P3719)))))"),41.2)</f>
        <v>41.2</v>
      </c>
      <c r="N3719" s="335" t="str">
        <f>IF(MAXIFS('単価履歴'!$O:$O,'単価履歴'!$E:$E,E3719,'単価履歴'!$F:$F,F3719)=O3719,"●","")</f>
        <v/>
      </c>
      <c r="O3719" s="346">
        <v>46017.720543981486</v>
      </c>
      <c r="P3719" s="334" t="str">
        <f t="shared" si="4"/>
        <v>愛知:阪和Ｈ２(特級)</v>
      </c>
    </row>
    <row r="3720" ht="15.75" customHeight="1">
      <c r="A3720" s="335" t="s">
        <v>4867</v>
      </c>
      <c r="B3720" s="336">
        <v>46028.0</v>
      </c>
      <c r="C3720" s="335" t="s">
        <v>14</v>
      </c>
      <c r="D3720" s="335" t="s">
        <v>46</v>
      </c>
      <c r="E3720" s="337" t="str">
        <f t="shared" si="1"/>
        <v>愛知:阪和</v>
      </c>
      <c r="F3720" s="338" t="s">
        <v>119</v>
      </c>
      <c r="G3720" s="339" t="str">
        <f t="shared" si="2"/>
        <v>愛知:阪和Ｈ３(1級)</v>
      </c>
      <c r="H3720" s="340">
        <f t="shared" si="3"/>
        <v>39.7</v>
      </c>
      <c r="I3720" s="341">
        <v>-0.5</v>
      </c>
      <c r="J3720" s="332">
        <f>IFERROR(__xludf.DUMMYFUNCTION("IF(IF(COUNTIF(P$2:P3719, P3720)=0, """", INDEX(H$2:H3719,
MAX(FILTER(ROW(H$2:H3719) - ROW(H$2) + 1, P$2:P3719 = P3720))))=""単価"","""",
IF(COUNTIF(P$2:P3719, P3720)=0, """", INDEX(H$2:H3719,
MAX(FILTER(ROW(H$2:H3719) - ROW(H$2) + 1, P$2:P3719 = P3720)))))"),40.2)</f>
        <v>40.2</v>
      </c>
      <c r="N3720" s="335" t="str">
        <f>IF(MAXIFS('単価履歴'!$O:$O,'単価履歴'!$E:$E,E3720,'単価履歴'!$F:$F,F3720)=O3720,"●","")</f>
        <v/>
      </c>
      <c r="O3720" s="346">
        <v>46017.720543981486</v>
      </c>
      <c r="P3720" s="334" t="str">
        <f t="shared" si="4"/>
        <v>愛知:阪和Ｈ３(1級)</v>
      </c>
    </row>
    <row r="3721" ht="15.75" customHeight="1">
      <c r="A3721" s="335" t="s">
        <v>4868</v>
      </c>
      <c r="B3721" s="336">
        <v>46028.0</v>
      </c>
      <c r="C3721" s="335" t="s">
        <v>14</v>
      </c>
      <c r="D3721" s="335" t="s">
        <v>46</v>
      </c>
      <c r="E3721" s="337" t="str">
        <f t="shared" si="1"/>
        <v>愛知:阪和</v>
      </c>
      <c r="F3721" s="338" t="s">
        <v>573</v>
      </c>
      <c r="G3721" s="339" t="str">
        <f t="shared" si="2"/>
        <v>愛知:阪和Ｌ２(H4･級外･L1ﾊﾞﾗ)</v>
      </c>
      <c r="H3721" s="340">
        <f t="shared" si="3"/>
        <v>36.3</v>
      </c>
      <c r="I3721" s="341">
        <v>-0.5</v>
      </c>
      <c r="J3721" s="332">
        <f>IFERROR(__xludf.DUMMYFUNCTION("IF(IF(COUNTIF(P$2:P3720, P3721)=0, """", INDEX(H$2:H3720,
MAX(FILTER(ROW(H$2:H3720) - ROW(H$2) + 1, P$2:P3720 = P3721))))=""単価"","""",
IF(COUNTIF(P$2:P3720, P3721)=0, """", INDEX(H$2:H3720,
MAX(FILTER(ROW(H$2:H3720) - ROW(H$2) + 1, P$2:P3720 = P3721)))))"),36.8)</f>
        <v>36.8</v>
      </c>
      <c r="N3721" s="335" t="str">
        <f>IF(MAXIFS('単価履歴'!$O:$O,'単価履歴'!$E:$E,E3721,'単価履歴'!$F:$F,F3721)=O3721,"●","")</f>
        <v/>
      </c>
      <c r="O3721" s="346">
        <v>46017.720543981486</v>
      </c>
      <c r="P3721" s="334" t="str">
        <f t="shared" si="4"/>
        <v>愛知:阪和Ｌ２(H4･級外･L1ﾊﾞﾗ)</v>
      </c>
    </row>
    <row r="3722" ht="15.75" customHeight="1">
      <c r="A3722" s="335" t="s">
        <v>4869</v>
      </c>
      <c r="B3722" s="336">
        <v>46030.0</v>
      </c>
      <c r="C3722" s="335" t="s">
        <v>17</v>
      </c>
      <c r="D3722" s="335" t="s">
        <v>563</v>
      </c>
      <c r="E3722" s="337" t="str">
        <f t="shared" si="1"/>
        <v>RTA:第二置場単価</v>
      </c>
      <c r="F3722" s="338" t="s">
        <v>575</v>
      </c>
      <c r="G3722" s="339" t="str">
        <f t="shared" si="2"/>
        <v>RTA:第二置場単価鋼ダライＡ</v>
      </c>
      <c r="H3722" s="340">
        <f t="shared" si="3"/>
        <v>37.5</v>
      </c>
      <c r="I3722" s="341">
        <v>1.0</v>
      </c>
      <c r="J3722" s="332">
        <f>IFERROR(__xludf.DUMMYFUNCTION("IF(IF(COUNTIF(P$2:P3721, P3722)=0, """", INDEX(H$2:H3721,
MAX(FILTER(ROW(H$2:H3721) - ROW(H$2) + 1, P$2:P3721 = P3722))))=""単価"","""",
IF(COUNTIF(P$2:P3721, P3722)=0, """", INDEX(H$2:H3721,
MAX(FILTER(ROW(H$2:H3721) - ROW(H$2) + 1, P$2:P3721 = P3722)))))"),36.5)</f>
        <v>36.5</v>
      </c>
      <c r="N3722" s="335" t="str">
        <f>IF(MAXIFS('単価履歴'!$O:$O,'単価履歴'!$E:$E,E3722,'単価履歴'!$F:$F,F3722)=O3722,"●","")</f>
        <v>●</v>
      </c>
      <c r="O3722" s="346">
        <v>46029.71810185185</v>
      </c>
      <c r="P3722" s="334" t="str">
        <f t="shared" si="4"/>
        <v>RTA:第二置場単価鋼ダライＡ</v>
      </c>
    </row>
    <row r="3723" ht="15.75" customHeight="1">
      <c r="A3723" s="335" t="s">
        <v>4870</v>
      </c>
      <c r="B3723" s="336">
        <v>46030.0</v>
      </c>
      <c r="C3723" s="335" t="s">
        <v>531</v>
      </c>
      <c r="D3723" s="335" t="s">
        <v>77</v>
      </c>
      <c r="E3723" s="337" t="str">
        <f t="shared" si="1"/>
        <v>東鐵関西:直納</v>
      </c>
      <c r="F3723" s="338" t="s">
        <v>1199</v>
      </c>
      <c r="G3723" s="339" t="str">
        <f t="shared" si="2"/>
        <v>東鐵関西:直納ＨＳ１(単体H1/電特A/HS))</v>
      </c>
      <c r="H3723" s="340">
        <f t="shared" si="3"/>
        <v>46</v>
      </c>
      <c r="I3723" s="341">
        <v>-0.5</v>
      </c>
      <c r="J3723" s="332">
        <f>IFERROR(__xludf.DUMMYFUNCTION("IF(IF(COUNTIF(P$2:P3722, P3723)=0, """", INDEX(H$2:H3722,
MAX(FILTER(ROW(H$2:H3722) - ROW(H$2) + 1, P$2:P3722 = P3723))))=""単価"","""",
IF(COUNTIF(P$2:P3722, P3723)=0, """", INDEX(H$2:H3722,
MAX(FILTER(ROW(H$2:H3722) - ROW(H$2) + 1, P$2:P3722 = P3723)))))"),46.5)</f>
        <v>46.5</v>
      </c>
      <c r="N3723" s="335" t="str">
        <f>IF(MAXIFS('単価履歴'!$O:$O,'単価履歴'!$E:$E,E3723,'単価履歴'!$F:$F,F3723)=O3723,"●","")</f>
        <v/>
      </c>
      <c r="O3723" s="346">
        <v>46030.68299768519</v>
      </c>
      <c r="P3723" s="334" t="str">
        <f t="shared" si="4"/>
        <v>東鐵関西:直納ＨＳ１(単体H1/電特A/HS))</v>
      </c>
    </row>
    <row r="3724" ht="15.75" customHeight="1">
      <c r="A3724" s="335" t="s">
        <v>4871</v>
      </c>
      <c r="B3724" s="336">
        <v>46030.0</v>
      </c>
      <c r="C3724" s="335" t="s">
        <v>531</v>
      </c>
      <c r="D3724" s="335" t="s">
        <v>77</v>
      </c>
      <c r="E3724" s="337" t="str">
        <f t="shared" si="1"/>
        <v>東鐵関西:直納</v>
      </c>
      <c r="F3724" s="338" t="s">
        <v>122</v>
      </c>
      <c r="G3724" s="339" t="str">
        <f t="shared" si="2"/>
        <v>東鐵関西:直納Ｌ１(2級)</v>
      </c>
      <c r="H3724" s="340">
        <f t="shared" si="3"/>
        <v>41.5</v>
      </c>
      <c r="I3724" s="341">
        <v>-0.5</v>
      </c>
      <c r="J3724" s="332">
        <f>IFERROR(__xludf.DUMMYFUNCTION("IF(IF(COUNTIF(P$2:P3723, P3724)=0, """", INDEX(H$2:H3723,
MAX(FILTER(ROW(H$2:H3723) - ROW(H$2) + 1, P$2:P3723 = P3724))))=""単価"","""",
IF(COUNTIF(P$2:P3723, P3724)=0, """", INDEX(H$2:H3723,
MAX(FILTER(ROW(H$2:H3723) - ROW(H$2) + 1, P$2:P3723 = P3724)))))"),42.0)</f>
        <v>42</v>
      </c>
      <c r="N3724" s="335" t="str">
        <f>IF(MAXIFS('単価履歴'!$O:$O,'単価履歴'!$E:$E,E3724,'単価履歴'!$F:$F,F3724)=O3724,"●","")</f>
        <v/>
      </c>
      <c r="O3724" s="346">
        <v>46030.68299768519</v>
      </c>
      <c r="P3724" s="334" t="str">
        <f t="shared" si="4"/>
        <v>東鐵関西:直納Ｌ１(2級)</v>
      </c>
    </row>
    <row r="3725" ht="15.75" customHeight="1">
      <c r="A3725" s="335" t="s">
        <v>4872</v>
      </c>
      <c r="B3725" s="336">
        <v>46030.0</v>
      </c>
      <c r="C3725" s="335" t="s">
        <v>531</v>
      </c>
      <c r="D3725" s="335" t="s">
        <v>77</v>
      </c>
      <c r="E3725" s="337" t="str">
        <f t="shared" si="1"/>
        <v>東鐵関西:直納</v>
      </c>
      <c r="F3725" s="338" t="s">
        <v>111</v>
      </c>
      <c r="G3725" s="339" t="str">
        <f t="shared" si="2"/>
        <v>東鐵関西:直納Ｈ１(特A)</v>
      </c>
      <c r="H3725" s="340">
        <f t="shared" si="3"/>
        <v>45.5</v>
      </c>
      <c r="I3725" s="341">
        <v>-0.5</v>
      </c>
      <c r="J3725" s="332">
        <f>IFERROR(__xludf.DUMMYFUNCTION("IF(IF(COUNTIF(P$2:P3724, P3725)=0, """", INDEX(H$2:H3724,
MAX(FILTER(ROW(H$2:H3724) - ROW(H$2) + 1, P$2:P3724 = P3725))))=""単価"","""",
IF(COUNTIF(P$2:P3724, P3725)=0, """", INDEX(H$2:H3724,
MAX(FILTER(ROW(H$2:H3724) - ROW(H$2) + 1, P$2:P3724 = P3725)))))"),46.0)</f>
        <v>46</v>
      </c>
      <c r="N3725" s="335" t="str">
        <f>IF(MAXIFS('単価履歴'!$O:$O,'単価履歴'!$E:$E,E3725,'単価履歴'!$F:$F,F3725)=O3725,"●","")</f>
        <v/>
      </c>
      <c r="O3725" s="346">
        <v>46030.68299768519</v>
      </c>
      <c r="P3725" s="334" t="str">
        <f t="shared" si="4"/>
        <v>東鐵関西:直納Ｈ１(特A)</v>
      </c>
    </row>
    <row r="3726" ht="15.75" customHeight="1">
      <c r="A3726" s="335" t="s">
        <v>4873</v>
      </c>
      <c r="B3726" s="336">
        <v>46030.0</v>
      </c>
      <c r="C3726" s="335" t="s">
        <v>531</v>
      </c>
      <c r="D3726" s="335" t="s">
        <v>77</v>
      </c>
      <c r="E3726" s="337" t="str">
        <f t="shared" si="1"/>
        <v>東鐵関西:直納</v>
      </c>
      <c r="F3726" s="338" t="s">
        <v>573</v>
      </c>
      <c r="G3726" s="339" t="str">
        <f t="shared" si="2"/>
        <v>東鐵関西:直納Ｌ２(H4･級外･L1ﾊﾞﾗ)</v>
      </c>
      <c r="H3726" s="340">
        <f t="shared" si="3"/>
        <v>38.5</v>
      </c>
      <c r="I3726" s="341">
        <v>-0.5</v>
      </c>
      <c r="J3726" s="332">
        <f>IFERROR(__xludf.DUMMYFUNCTION("IF(IF(COUNTIF(P$2:P3725, P3726)=0, """", INDEX(H$2:H3725,
MAX(FILTER(ROW(H$2:H3725) - ROW(H$2) + 1, P$2:P3725 = P3726))))=""単価"","""",
IF(COUNTIF(P$2:P3725, P3726)=0, """", INDEX(H$2:H3725,
MAX(FILTER(ROW(H$2:H3725) - ROW(H$2) + 1, P$2:P3725 = P3726)))))"),39.0)</f>
        <v>39</v>
      </c>
      <c r="N3726" s="335" t="str">
        <f>IF(MAXIFS('単価履歴'!$O:$O,'単価履歴'!$E:$E,E3726,'単価履歴'!$F:$F,F3726)=O3726,"●","")</f>
        <v/>
      </c>
      <c r="O3726" s="346">
        <v>46030.68299768519</v>
      </c>
      <c r="P3726" s="334" t="str">
        <f t="shared" si="4"/>
        <v>東鐵関西:直納Ｌ２(H4･級外･L1ﾊﾞﾗ)</v>
      </c>
    </row>
    <row r="3727" ht="15.75" customHeight="1">
      <c r="A3727" s="335" t="s">
        <v>4874</v>
      </c>
      <c r="B3727" s="336">
        <v>46030.0</v>
      </c>
      <c r="C3727" s="335" t="s">
        <v>531</v>
      </c>
      <c r="D3727" s="335" t="s">
        <v>77</v>
      </c>
      <c r="E3727" s="337" t="str">
        <f t="shared" si="1"/>
        <v>東鐵関西:直納</v>
      </c>
      <c r="F3727" s="338" t="s">
        <v>116</v>
      </c>
      <c r="G3727" s="339" t="str">
        <f t="shared" si="2"/>
        <v>東鐵関西:直納Ｈ２(特級)</v>
      </c>
      <c r="H3727" s="340">
        <f t="shared" si="3"/>
        <v>43.5</v>
      </c>
      <c r="I3727" s="341">
        <v>-0.5</v>
      </c>
      <c r="J3727" s="332">
        <f>IFERROR(__xludf.DUMMYFUNCTION("IF(IF(COUNTIF(P$2:P3726, P3727)=0, """", INDEX(H$2:H3726,
MAX(FILTER(ROW(H$2:H3726) - ROW(H$2) + 1, P$2:P3726 = P3727))))=""単価"","""",
IF(COUNTIF(P$2:P3726, P3727)=0, """", INDEX(H$2:H3726,
MAX(FILTER(ROW(H$2:H3726) - ROW(H$2) + 1, P$2:P3726 = P3727)))))"),44.0)</f>
        <v>44</v>
      </c>
      <c r="N3727" s="335" t="str">
        <f>IF(MAXIFS('単価履歴'!$O:$O,'単価履歴'!$E:$E,E3727,'単価履歴'!$F:$F,F3727)=O3727,"●","")</f>
        <v/>
      </c>
      <c r="O3727" s="346">
        <v>46030.68299768519</v>
      </c>
      <c r="P3727" s="334" t="str">
        <f t="shared" si="4"/>
        <v>東鐵関西:直納Ｈ２(特級)</v>
      </c>
    </row>
    <row r="3728" ht="15.75" customHeight="1">
      <c r="A3728" s="335" t="s">
        <v>4875</v>
      </c>
      <c r="B3728" s="336">
        <v>46030.0</v>
      </c>
      <c r="C3728" s="335" t="s">
        <v>531</v>
      </c>
      <c r="D3728" s="335" t="s">
        <v>77</v>
      </c>
      <c r="E3728" s="337" t="str">
        <f t="shared" si="1"/>
        <v>東鐵関西:直納</v>
      </c>
      <c r="F3728" s="338" t="s">
        <v>145</v>
      </c>
      <c r="G3728" s="339" t="str">
        <f t="shared" si="2"/>
        <v>東鐵関西:直納シュレＡ</v>
      </c>
      <c r="H3728" s="340">
        <f t="shared" si="3"/>
        <v>45</v>
      </c>
      <c r="I3728" s="341">
        <v>-0.5</v>
      </c>
      <c r="J3728" s="332">
        <f>IFERROR(__xludf.DUMMYFUNCTION("IF(IF(COUNTIF(P$2:P3727, P3728)=0, """", INDEX(H$2:H3727,
MAX(FILTER(ROW(H$2:H3727) - ROW(H$2) + 1, P$2:P3727 = P3728))))=""単価"","""",
IF(COUNTIF(P$2:P3727, P3728)=0, """", INDEX(H$2:H3727,
MAX(FILTER(ROW(H$2:H3727) - ROW(H$2) + 1, P$2:P3727 = P3728)))))"),45.5)</f>
        <v>45.5</v>
      </c>
      <c r="N3728" s="335" t="str">
        <f>IF(MAXIFS('単価履歴'!$O:$O,'単価履歴'!$E:$E,E3728,'単価履歴'!$F:$F,F3728)=O3728,"●","")</f>
        <v/>
      </c>
      <c r="O3728" s="346">
        <v>46030.68299768519</v>
      </c>
      <c r="P3728" s="334" t="str">
        <f t="shared" si="4"/>
        <v>東鐵関西:直納シュレＡ</v>
      </c>
    </row>
    <row r="3729" ht="15.75" customHeight="1">
      <c r="A3729" s="335" t="s">
        <v>4876</v>
      </c>
      <c r="B3729" s="336">
        <v>46030.0</v>
      </c>
      <c r="C3729" s="335" t="s">
        <v>531</v>
      </c>
      <c r="D3729" s="335" t="s">
        <v>77</v>
      </c>
      <c r="E3729" s="337" t="str">
        <f t="shared" si="1"/>
        <v>東鐵関西:直納</v>
      </c>
      <c r="F3729" s="338" t="s">
        <v>119</v>
      </c>
      <c r="G3729" s="339" t="str">
        <f t="shared" si="2"/>
        <v>東鐵関西:直納Ｈ３(1級)</v>
      </c>
      <c r="H3729" s="340">
        <f t="shared" si="3"/>
        <v>43.5</v>
      </c>
      <c r="I3729" s="341">
        <v>-0.5</v>
      </c>
      <c r="J3729" s="332">
        <f>IFERROR(__xludf.DUMMYFUNCTION("IF(IF(COUNTIF(P$2:P3728, P3729)=0, """", INDEX(H$2:H3728,
MAX(FILTER(ROW(H$2:H3728) - ROW(H$2) + 1, P$2:P3728 = P3729))))=""単価"","""",
IF(COUNTIF(P$2:P3728, P3729)=0, """", INDEX(H$2:H3728,
MAX(FILTER(ROW(H$2:H3728) - ROW(H$2) + 1, P$2:P3728 = P3729)))))"),44.0)</f>
        <v>44</v>
      </c>
      <c r="N3729" s="335" t="str">
        <f>IF(MAXIFS('単価履歴'!$O:$O,'単価履歴'!$E:$E,E3729,'単価履歴'!$F:$F,F3729)=O3729,"●","")</f>
        <v/>
      </c>
      <c r="O3729" s="346">
        <v>46030.68299768519</v>
      </c>
      <c r="P3729" s="334" t="str">
        <f t="shared" si="4"/>
        <v>東鐵関西:直納Ｈ３(1級)</v>
      </c>
    </row>
    <row r="3730" ht="15.75" customHeight="1">
      <c r="A3730" s="335" t="s">
        <v>4877</v>
      </c>
      <c r="B3730" s="336">
        <v>46030.0</v>
      </c>
      <c r="C3730" s="335" t="s">
        <v>531</v>
      </c>
      <c r="D3730" s="335" t="s">
        <v>77</v>
      </c>
      <c r="E3730" s="337" t="str">
        <f t="shared" si="1"/>
        <v>東鐵関西:直納</v>
      </c>
      <c r="F3730" s="338" t="s">
        <v>151</v>
      </c>
      <c r="G3730" s="339" t="str">
        <f t="shared" si="2"/>
        <v>東鐵関西:直納シュレＣ</v>
      </c>
      <c r="H3730" s="340">
        <f t="shared" si="3"/>
        <v>44</v>
      </c>
      <c r="I3730" s="341">
        <v>-0.5</v>
      </c>
      <c r="J3730" s="332">
        <f>IFERROR(__xludf.DUMMYFUNCTION("IF(IF(COUNTIF(P$2:P3729, P3730)=0, """", INDEX(H$2:H3729,
MAX(FILTER(ROW(H$2:H3729) - ROW(H$2) + 1, P$2:P3729 = P3730))))=""単価"","""",
IF(COUNTIF(P$2:P3729, P3730)=0, """", INDEX(H$2:H3729,
MAX(FILTER(ROW(H$2:H3729) - ROW(H$2) + 1, P$2:P3729 = P3730)))))"),44.5)</f>
        <v>44.5</v>
      </c>
      <c r="N3730" s="335" t="str">
        <f>IF(MAXIFS('単価履歴'!$O:$O,'単価履歴'!$E:$E,E3730,'単価履歴'!$F:$F,F3730)=O3730,"●","")</f>
        <v/>
      </c>
      <c r="O3730" s="346">
        <v>46030.68299768519</v>
      </c>
      <c r="P3730" s="334" t="str">
        <f t="shared" si="4"/>
        <v>東鐵関西:直納シュレＣ</v>
      </c>
    </row>
    <row r="3731" ht="15.75" customHeight="1">
      <c r="A3731" s="335" t="s">
        <v>4878</v>
      </c>
      <c r="B3731" s="336">
        <v>46016.0</v>
      </c>
      <c r="C3731" s="335" t="s">
        <v>12</v>
      </c>
      <c r="D3731" s="335" t="s">
        <v>541</v>
      </c>
      <c r="E3731" s="337" t="str">
        <f t="shared" si="1"/>
        <v>山陽特殊:大同</v>
      </c>
      <c r="F3731" s="338" t="s">
        <v>1199</v>
      </c>
      <c r="G3731" s="339" t="str">
        <f t="shared" si="2"/>
        <v>山陽特殊:大同ＨＳ１(単体H1/電特A/HS))</v>
      </c>
      <c r="H3731" s="340">
        <f t="shared" si="3"/>
        <v>50</v>
      </c>
      <c r="I3731" s="341">
        <v>-0.5</v>
      </c>
      <c r="J3731" s="332">
        <f>IFERROR(__xludf.DUMMYFUNCTION("IF(IF(COUNTIF(P$2:P3730, P3731)=0, """", INDEX(H$2:H3730,
MAX(FILTER(ROW(H$2:H3730) - ROW(H$2) + 1, P$2:P3730 = P3731))))=""単価"","""",
IF(COUNTIF(P$2:P3730, P3731)=0, """", INDEX(H$2:H3730,
MAX(FILTER(ROW(H$2:H3730) - ROW(H$2) + 1, P$2:P3730 = P3731)))))"),50.5)</f>
        <v>50.5</v>
      </c>
      <c r="N3731" s="335" t="str">
        <f>IF(MAXIFS('単価履歴'!$O:$O,'単価履歴'!$E:$E,E3731,'単価履歴'!$F:$F,F3731)=O3731,"●","")</f>
        <v/>
      </c>
      <c r="O3731" s="346">
        <v>46030.68327546296</v>
      </c>
      <c r="P3731" s="334" t="str">
        <f t="shared" si="4"/>
        <v>山陽特殊:大同ＨＳ１(単体H1/電特A/HS))</v>
      </c>
    </row>
    <row r="3732" ht="15.75" customHeight="1">
      <c r="A3732" s="335" t="s">
        <v>4879</v>
      </c>
      <c r="B3732" s="336">
        <v>46016.0</v>
      </c>
      <c r="C3732" s="335" t="s">
        <v>12</v>
      </c>
      <c r="D3732" s="335" t="s">
        <v>541</v>
      </c>
      <c r="E3732" s="337" t="str">
        <f t="shared" si="1"/>
        <v>山陽特殊:大同</v>
      </c>
      <c r="F3732" s="338" t="s">
        <v>101</v>
      </c>
      <c r="G3732" s="339" t="str">
        <f t="shared" si="2"/>
        <v>山陽特殊:大同ＨＳ２</v>
      </c>
      <c r="H3732" s="340">
        <f t="shared" si="3"/>
        <v>49.8</v>
      </c>
      <c r="I3732" s="341">
        <v>-0.5</v>
      </c>
      <c r="J3732" s="332">
        <f>IFERROR(__xludf.DUMMYFUNCTION("IF(IF(COUNTIF(P$2:P3731, P3732)=0, """", INDEX(H$2:H3731,
MAX(FILTER(ROW(H$2:H3731) - ROW(H$2) + 1, P$2:P3731 = P3732))))=""単価"","""",
IF(COUNTIF(P$2:P3731, P3732)=0, """", INDEX(H$2:H3731,
MAX(FILTER(ROW(H$2:H3731) - ROW(H$2) + 1, P$2:P3731 = P3732)))))"),50.3)</f>
        <v>50.3</v>
      </c>
      <c r="N3732" s="335" t="str">
        <f>IF(MAXIFS('単価履歴'!$O:$O,'単価履歴'!$E:$E,E3732,'単価履歴'!$F:$F,F3732)=O3732,"●","")</f>
        <v/>
      </c>
      <c r="O3732" s="346">
        <v>46030.68327546296</v>
      </c>
      <c r="P3732" s="334" t="str">
        <f t="shared" si="4"/>
        <v>山陽特殊:大同ＨＳ２</v>
      </c>
    </row>
    <row r="3733" ht="15.75" customHeight="1">
      <c r="A3733" s="335" t="s">
        <v>4880</v>
      </c>
      <c r="B3733" s="336">
        <v>46016.0</v>
      </c>
      <c r="C3733" s="335" t="s">
        <v>12</v>
      </c>
      <c r="D3733" s="335" t="s">
        <v>541</v>
      </c>
      <c r="E3733" s="337" t="str">
        <f t="shared" si="1"/>
        <v>山陽特殊:大同</v>
      </c>
      <c r="F3733" s="338" t="s">
        <v>105</v>
      </c>
      <c r="G3733" s="339" t="str">
        <f t="shared" si="2"/>
        <v>山陽特殊:大同ＨＳ３</v>
      </c>
      <c r="H3733" s="340">
        <f t="shared" si="3"/>
        <v>47.8</v>
      </c>
      <c r="I3733" s="341">
        <v>-0.5</v>
      </c>
      <c r="J3733" s="332">
        <f>IFERROR(__xludf.DUMMYFUNCTION("IF(IF(COUNTIF(P$2:P3732, P3733)=0, """", INDEX(H$2:H3732,
MAX(FILTER(ROW(H$2:H3732) - ROW(H$2) + 1, P$2:P3732 = P3733))))=""単価"","""",
IF(COUNTIF(P$2:P3732, P3733)=0, """", INDEX(H$2:H3732,
MAX(FILTER(ROW(H$2:H3732) - ROW(H$2) + 1, P$2:P3732 = P3733)))))"),48.3)</f>
        <v>48.3</v>
      </c>
      <c r="N3733" s="335" t="str">
        <f>IF(MAXIFS('単価履歴'!$O:$O,'単価履歴'!$E:$E,E3733,'単価履歴'!$F:$F,F3733)=O3733,"●","")</f>
        <v/>
      </c>
      <c r="O3733" s="346">
        <v>46030.68327546296</v>
      </c>
      <c r="P3733" s="334" t="str">
        <f t="shared" si="4"/>
        <v>山陽特殊:大同ＨＳ３</v>
      </c>
    </row>
    <row r="3734" ht="15.75" customHeight="1">
      <c r="A3734" s="335" t="s">
        <v>4881</v>
      </c>
      <c r="B3734" s="336">
        <v>46032.0</v>
      </c>
      <c r="C3734" s="335" t="s">
        <v>5</v>
      </c>
      <c r="D3734" s="335" t="s">
        <v>46</v>
      </c>
      <c r="E3734" s="337" t="str">
        <f t="shared" si="1"/>
        <v>中山製鋼:阪和</v>
      </c>
      <c r="F3734" s="338" t="s">
        <v>111</v>
      </c>
      <c r="G3734" s="339" t="str">
        <f t="shared" si="2"/>
        <v>中山製鋼:阪和Ｈ１(特A)</v>
      </c>
      <c r="H3734" s="340">
        <f t="shared" si="3"/>
        <v>44.8</v>
      </c>
      <c r="I3734" s="341">
        <v>1.3</v>
      </c>
      <c r="J3734" s="332">
        <f>IFERROR(__xludf.DUMMYFUNCTION("IF(IF(COUNTIF(P$2:P3733, P3734)=0, """", INDEX(H$2:H3733,
MAX(FILTER(ROW(H$2:H3733) - ROW(H$2) + 1, P$2:P3733 = P3734))))=""単価"","""",
IF(COUNTIF(P$2:P3733, P3734)=0, """", INDEX(H$2:H3733,
MAX(FILTER(ROW(H$2:H3733) - ROW(H$2) + 1, P$2:P3733 = P3734)))))"),43.5)</f>
        <v>43.5</v>
      </c>
      <c r="N3734" s="335" t="str">
        <f>IF(MAXIFS('単価履歴'!$O:$O,'単価履歴'!$E:$E,E3734,'単価履歴'!$F:$F,F3734)=O3734,"●","")</f>
        <v/>
      </c>
      <c r="O3734" s="346">
        <v>46032.284583333334</v>
      </c>
      <c r="P3734" s="334" t="str">
        <f t="shared" si="4"/>
        <v>中山製鋼:阪和Ｈ１(特A)</v>
      </c>
    </row>
    <row r="3735" ht="15.75" customHeight="1">
      <c r="A3735" s="335" t="s">
        <v>4882</v>
      </c>
      <c r="B3735" s="336">
        <v>46032.0</v>
      </c>
      <c r="C3735" s="335" t="s">
        <v>5</v>
      </c>
      <c r="D3735" s="335" t="s">
        <v>46</v>
      </c>
      <c r="E3735" s="337" t="str">
        <f t="shared" si="1"/>
        <v>中山製鋼:阪和</v>
      </c>
      <c r="F3735" s="338" t="s">
        <v>131</v>
      </c>
      <c r="G3735" s="339" t="str">
        <f t="shared" si="2"/>
        <v>中山製鋼:阪和新断Ｂ</v>
      </c>
      <c r="H3735" s="340">
        <f t="shared" si="3"/>
        <v>46.3</v>
      </c>
      <c r="I3735" s="341">
        <v>0.5</v>
      </c>
      <c r="J3735" s="332">
        <f>IFERROR(__xludf.DUMMYFUNCTION("IF(IF(COUNTIF(P$2:P3734, P3735)=0, """", INDEX(H$2:H3734,
MAX(FILTER(ROW(H$2:H3734) - ROW(H$2) + 1, P$2:P3734 = P3735))))=""単価"","""",
IF(COUNTIF(P$2:P3734, P3735)=0, """", INDEX(H$2:H3734,
MAX(FILTER(ROW(H$2:H3734) - ROW(H$2) + 1, P$2:P3734 = P3735)))))"),45.8)</f>
        <v>45.8</v>
      </c>
      <c r="N3735" s="335" t="str">
        <f>IF(MAXIFS('単価履歴'!$O:$O,'単価履歴'!$E:$E,E3735,'単価履歴'!$F:$F,F3735)=O3735,"●","")</f>
        <v/>
      </c>
      <c r="O3735" s="346">
        <v>46032.285</v>
      </c>
      <c r="P3735" s="334" t="str">
        <f t="shared" si="4"/>
        <v>中山製鋼:阪和新断Ｂ</v>
      </c>
    </row>
    <row r="3736" ht="15.75" customHeight="1">
      <c r="A3736" s="335" t="s">
        <v>4883</v>
      </c>
      <c r="B3736" s="336">
        <v>46032.0</v>
      </c>
      <c r="C3736" s="335" t="s">
        <v>5</v>
      </c>
      <c r="D3736" s="335" t="s">
        <v>46</v>
      </c>
      <c r="E3736" s="337" t="str">
        <f t="shared" si="1"/>
        <v>中山製鋼:阪和</v>
      </c>
      <c r="F3736" s="338" t="s">
        <v>574</v>
      </c>
      <c r="G3736" s="339" t="str">
        <f t="shared" si="2"/>
        <v>中山製鋼:阪和新断Ｃ</v>
      </c>
      <c r="H3736" s="340">
        <f t="shared" si="3"/>
        <v>45.3</v>
      </c>
      <c r="I3736" s="341">
        <v>0.5</v>
      </c>
      <c r="J3736" s="332">
        <f>IFERROR(__xludf.DUMMYFUNCTION("IF(IF(COUNTIF(P$2:P3735, P3736)=0, """", INDEX(H$2:H3735,
MAX(FILTER(ROW(H$2:H3735) - ROW(H$2) + 1, P$2:P3735 = P3736))))=""単価"","""",
IF(COUNTIF(P$2:P3735, P3736)=0, """", INDEX(H$2:H3735,
MAX(FILTER(ROW(H$2:H3735) - ROW(H$2) + 1, P$2:P3735 = P3736)))))"),44.8)</f>
        <v>44.8</v>
      </c>
      <c r="N3736" s="335" t="str">
        <f>IF(MAXIFS('単価履歴'!$O:$O,'単価履歴'!$E:$E,E3736,'単価履歴'!$F:$F,F3736)=O3736,"●","")</f>
        <v/>
      </c>
      <c r="O3736" s="346">
        <v>46032.285</v>
      </c>
      <c r="P3736" s="334" t="str">
        <f t="shared" si="4"/>
        <v>中山製鋼:阪和新断Ｃ</v>
      </c>
    </row>
    <row r="3737" ht="15.75" customHeight="1">
      <c r="A3737" s="335" t="s">
        <v>4884</v>
      </c>
      <c r="B3737" s="336">
        <v>46032.0</v>
      </c>
      <c r="C3737" s="335" t="s">
        <v>5</v>
      </c>
      <c r="D3737" s="335" t="s">
        <v>46</v>
      </c>
      <c r="E3737" s="337" t="str">
        <f t="shared" si="1"/>
        <v>中山製鋼:阪和</v>
      </c>
      <c r="F3737" s="338" t="s">
        <v>130</v>
      </c>
      <c r="G3737" s="339" t="str">
        <f t="shared" si="2"/>
        <v>中山製鋼:阪和新断Ａ</v>
      </c>
      <c r="H3737" s="340">
        <f t="shared" si="3"/>
        <v>47.3</v>
      </c>
      <c r="I3737" s="341">
        <v>0.5</v>
      </c>
      <c r="J3737" s="332">
        <f>IFERROR(__xludf.DUMMYFUNCTION("IF(IF(COUNTIF(P$2:P3736, P3737)=0, """", INDEX(H$2:H3736,
MAX(FILTER(ROW(H$2:H3736) - ROW(H$2) + 1, P$2:P3736 = P3737))))=""単価"","""",
IF(COUNTIF(P$2:P3736, P3737)=0, """", INDEX(H$2:H3736,
MAX(FILTER(ROW(H$2:H3736) - ROW(H$2) + 1, P$2:P3736 = P3737)))))"),46.8)</f>
        <v>46.8</v>
      </c>
      <c r="N3737" s="335" t="str">
        <f>IF(MAXIFS('単価履歴'!$O:$O,'単価履歴'!$E:$E,E3737,'単価履歴'!$F:$F,F3737)=O3737,"●","")</f>
        <v/>
      </c>
      <c r="O3737" s="346">
        <v>46032.285</v>
      </c>
      <c r="P3737" s="334" t="str">
        <f t="shared" si="4"/>
        <v>中山製鋼:阪和新断Ａ</v>
      </c>
    </row>
    <row r="3738" ht="15.75" customHeight="1">
      <c r="A3738" s="335" t="s">
        <v>4885</v>
      </c>
      <c r="B3738" s="336">
        <v>46032.0</v>
      </c>
      <c r="C3738" s="335" t="s">
        <v>5</v>
      </c>
      <c r="D3738" s="335" t="s">
        <v>47</v>
      </c>
      <c r="E3738" s="337" t="str">
        <f t="shared" si="1"/>
        <v>中山製鋼:豊通</v>
      </c>
      <c r="F3738" s="338" t="s">
        <v>101</v>
      </c>
      <c r="G3738" s="339" t="str">
        <f t="shared" si="2"/>
        <v>中山製鋼:豊通ＨＳ２</v>
      </c>
      <c r="H3738" s="340">
        <f t="shared" si="3"/>
        <v>46.3</v>
      </c>
      <c r="I3738" s="341">
        <v>0.5</v>
      </c>
      <c r="J3738" s="332">
        <f>IFERROR(__xludf.DUMMYFUNCTION("IF(IF(COUNTIF(P$2:P3737, P3738)=0, """", INDEX(H$2:H3737,
MAX(FILTER(ROW(H$2:H3737) - ROW(H$2) + 1, P$2:P3737 = P3738))))=""単価"","""",
IF(COUNTIF(P$2:P3737, P3738)=0, """", INDEX(H$2:H3737,
MAX(FILTER(ROW(H$2:H3737) - ROW(H$2) + 1, P$2:P3737 = P3738)))))"),45.8)</f>
        <v>45.8</v>
      </c>
      <c r="N3738" s="335" t="str">
        <f>IF(MAXIFS('単価履歴'!$O:$O,'単価履歴'!$E:$E,E3738,'単価履歴'!$F:$F,F3738)=O3738,"●","")</f>
        <v/>
      </c>
      <c r="O3738" s="346">
        <v>46032.28549768518</v>
      </c>
      <c r="P3738" s="334" t="str">
        <f t="shared" si="4"/>
        <v>中山製鋼:豊通ＨＳ２</v>
      </c>
    </row>
    <row r="3739" ht="15.75" customHeight="1">
      <c r="A3739" s="335" t="s">
        <v>4886</v>
      </c>
      <c r="B3739" s="336">
        <v>46032.0</v>
      </c>
      <c r="C3739" s="335" t="s">
        <v>5</v>
      </c>
      <c r="D3739" s="335" t="s">
        <v>47</v>
      </c>
      <c r="E3739" s="337" t="str">
        <f t="shared" si="1"/>
        <v>中山製鋼:豊通</v>
      </c>
      <c r="F3739" s="338" t="s">
        <v>130</v>
      </c>
      <c r="G3739" s="339" t="str">
        <f t="shared" si="2"/>
        <v>中山製鋼:豊通新断Ａ</v>
      </c>
      <c r="H3739" s="340">
        <f t="shared" si="3"/>
        <v>47.3</v>
      </c>
      <c r="I3739" s="341">
        <v>0.5</v>
      </c>
      <c r="J3739" s="332">
        <f>IFERROR(__xludf.DUMMYFUNCTION("IF(IF(COUNTIF(P$2:P3738, P3739)=0, """", INDEX(H$2:H3738,
MAX(FILTER(ROW(H$2:H3738) - ROW(H$2) + 1, P$2:P3738 = P3739))))=""単価"","""",
IF(COUNTIF(P$2:P3738, P3739)=0, """", INDEX(H$2:H3738,
MAX(FILTER(ROW(H$2:H3738) - ROW(H$2) + 1, P$2:P3738 = P3739)))))"),46.8)</f>
        <v>46.8</v>
      </c>
      <c r="N3739" s="335" t="str">
        <f>IF(MAXIFS('単価履歴'!$O:$O,'単価履歴'!$E:$E,E3739,'単価履歴'!$F:$F,F3739)=O3739,"●","")</f>
        <v/>
      </c>
      <c r="O3739" s="346">
        <v>46032.28549768518</v>
      </c>
      <c r="P3739" s="334" t="str">
        <f t="shared" si="4"/>
        <v>中山製鋼:豊通新断Ａ</v>
      </c>
    </row>
    <row r="3740" ht="15.75" customHeight="1">
      <c r="A3740" s="335" t="s">
        <v>4887</v>
      </c>
      <c r="B3740" s="336">
        <v>46032.0</v>
      </c>
      <c r="C3740" s="335" t="s">
        <v>5</v>
      </c>
      <c r="D3740" s="335" t="s">
        <v>47</v>
      </c>
      <c r="E3740" s="337" t="str">
        <f t="shared" si="1"/>
        <v>中山製鋼:豊通</v>
      </c>
      <c r="F3740" s="338" t="s">
        <v>131</v>
      </c>
      <c r="G3740" s="339" t="str">
        <f t="shared" si="2"/>
        <v>中山製鋼:豊通新断Ｂ</v>
      </c>
      <c r="H3740" s="340">
        <f t="shared" si="3"/>
        <v>46.3</v>
      </c>
      <c r="I3740" s="341">
        <v>0.5</v>
      </c>
      <c r="J3740" s="332">
        <f>IFERROR(__xludf.DUMMYFUNCTION("IF(IF(COUNTIF(P$2:P3739, P3740)=0, """", INDEX(H$2:H3739,
MAX(FILTER(ROW(H$2:H3739) - ROW(H$2) + 1, P$2:P3739 = P3740))))=""単価"","""",
IF(COUNTIF(P$2:P3739, P3740)=0, """", INDEX(H$2:H3739,
MAX(FILTER(ROW(H$2:H3739) - ROW(H$2) + 1, P$2:P3739 = P3740)))))"),45.8)</f>
        <v>45.8</v>
      </c>
      <c r="N3740" s="335" t="str">
        <f>IF(MAXIFS('単価履歴'!$O:$O,'単価履歴'!$E:$E,E3740,'単価履歴'!$F:$F,F3740)=O3740,"●","")</f>
        <v/>
      </c>
      <c r="O3740" s="346">
        <v>46032.28549768518</v>
      </c>
      <c r="P3740" s="334" t="str">
        <f t="shared" si="4"/>
        <v>中山製鋼:豊通新断Ｂ</v>
      </c>
    </row>
    <row r="3741" ht="15.75" customHeight="1">
      <c r="A3741" s="335" t="s">
        <v>4888</v>
      </c>
      <c r="B3741" s="336">
        <v>46032.0</v>
      </c>
      <c r="C3741" s="335" t="s">
        <v>5</v>
      </c>
      <c r="D3741" s="335" t="s">
        <v>47</v>
      </c>
      <c r="E3741" s="337" t="str">
        <f t="shared" si="1"/>
        <v>中山製鋼:豊通</v>
      </c>
      <c r="F3741" s="338" t="s">
        <v>574</v>
      </c>
      <c r="G3741" s="339" t="str">
        <f t="shared" si="2"/>
        <v>中山製鋼:豊通新断Ｃ</v>
      </c>
      <c r="H3741" s="340">
        <f t="shared" si="3"/>
        <v>45.3</v>
      </c>
      <c r="I3741" s="341">
        <v>0.5</v>
      </c>
      <c r="J3741" s="332">
        <f>IFERROR(__xludf.DUMMYFUNCTION("IF(IF(COUNTIF(P$2:P3740, P3741)=0, """", INDEX(H$2:H3740,
MAX(FILTER(ROW(H$2:H3740) - ROW(H$2) + 1, P$2:P3740 = P3741))))=""単価"","""",
IF(COUNTIF(P$2:P3740, P3741)=0, """", INDEX(H$2:H3740,
MAX(FILTER(ROW(H$2:H3740) - ROW(H$2) + 1, P$2:P3740 = P3741)))))"),44.8)</f>
        <v>44.8</v>
      </c>
      <c r="N3741" s="335" t="str">
        <f>IF(MAXIFS('単価履歴'!$O:$O,'単価履歴'!$E:$E,E3741,'単価履歴'!$F:$F,F3741)=O3741,"●","")</f>
        <v/>
      </c>
      <c r="O3741" s="346">
        <v>46032.28549768518</v>
      </c>
      <c r="P3741" s="334" t="str">
        <f t="shared" si="4"/>
        <v>中山製鋼:豊通新断Ｃ</v>
      </c>
    </row>
    <row r="3742" ht="15.75" customHeight="1">
      <c r="A3742" s="335" t="s">
        <v>4889</v>
      </c>
      <c r="B3742" s="336">
        <v>46032.0</v>
      </c>
      <c r="C3742" s="335" t="s">
        <v>5</v>
      </c>
      <c r="D3742" s="335" t="s">
        <v>1232</v>
      </c>
      <c r="E3742" s="337" t="str">
        <f t="shared" si="1"/>
        <v>中山製鋼:豊通/出張商店</v>
      </c>
      <c r="F3742" s="338" t="s">
        <v>130</v>
      </c>
      <c r="G3742" s="339" t="str">
        <f t="shared" si="2"/>
        <v>中山製鋼:豊通/出張商店新断Ａ</v>
      </c>
      <c r="H3742" s="340">
        <f t="shared" si="3"/>
        <v>46.3</v>
      </c>
      <c r="I3742" s="341">
        <v>0.5</v>
      </c>
      <c r="J3742" s="332">
        <f>IFERROR(__xludf.DUMMYFUNCTION("IF(IF(COUNTIF(P$2:P3741, P3742)=0, """", INDEX(H$2:H3741,
MAX(FILTER(ROW(H$2:H3741) - ROW(H$2) + 1, P$2:P3741 = P3742))))=""単価"","""",
IF(COUNTIF(P$2:P3741, P3742)=0, """", INDEX(H$2:H3741,
MAX(FILTER(ROW(H$2:H3741) - ROW(H$2) + 1, P$2:P3741 = P3742)))))"),45.8)</f>
        <v>45.8</v>
      </c>
      <c r="N3742" s="335" t="str">
        <f>IF(MAXIFS('単価履歴'!$O:$O,'単価履歴'!$E:$E,E3742,'単価履歴'!$F:$F,F3742)=O3742,"●","")</f>
        <v/>
      </c>
      <c r="O3742" s="346">
        <v>46032.28601851852</v>
      </c>
      <c r="P3742" s="334" t="str">
        <f t="shared" si="4"/>
        <v>中山製鋼:豊通/出張商店新断Ａ</v>
      </c>
    </row>
    <row r="3743" ht="15.75" customHeight="1">
      <c r="A3743" s="335" t="s">
        <v>4890</v>
      </c>
      <c r="B3743" s="336">
        <v>46032.0</v>
      </c>
      <c r="C3743" s="335" t="s">
        <v>5</v>
      </c>
      <c r="D3743" s="335" t="s">
        <v>1234</v>
      </c>
      <c r="E3743" s="337" t="str">
        <f t="shared" si="1"/>
        <v>中山製鋼:豊通/中川嘉弘商店</v>
      </c>
      <c r="F3743" s="338" t="s">
        <v>130</v>
      </c>
      <c r="G3743" s="339" t="str">
        <f t="shared" si="2"/>
        <v>中山製鋼:豊通/中川嘉弘商店新断Ａ</v>
      </c>
      <c r="H3743" s="340">
        <f t="shared" si="3"/>
        <v>44.3</v>
      </c>
      <c r="I3743" s="341">
        <v>0.5</v>
      </c>
      <c r="J3743" s="332">
        <f>IFERROR(__xludf.DUMMYFUNCTION("IF(IF(COUNTIF(P$2:P3742, P3743)=0, """", INDEX(H$2:H3742,
MAX(FILTER(ROW(H$2:H3742) - ROW(H$2) + 1, P$2:P3742 = P3743))))=""単価"","""",
IF(COUNTIF(P$2:P3742, P3743)=0, """", INDEX(H$2:H3742,
MAX(FILTER(ROW(H$2:H3742) - ROW(H$2) + 1, P$2:P3742 = P3743)))))"),43.8)</f>
        <v>43.8</v>
      </c>
      <c r="N3743" s="335" t="str">
        <f>IF(MAXIFS('単価履歴'!$O:$O,'単価履歴'!$E:$E,E3743,'単価履歴'!$F:$F,F3743)=O3743,"●","")</f>
        <v/>
      </c>
      <c r="O3743" s="346">
        <v>46032.28601851852</v>
      </c>
      <c r="P3743" s="334" t="str">
        <f t="shared" si="4"/>
        <v>中山製鋼:豊通/中川嘉弘商店新断Ａ</v>
      </c>
    </row>
    <row r="3744" ht="15.75" customHeight="1">
      <c r="A3744" s="335" t="s">
        <v>4891</v>
      </c>
      <c r="B3744" s="336">
        <v>46032.0</v>
      </c>
      <c r="C3744" s="335" t="s">
        <v>31</v>
      </c>
      <c r="D3744" s="335" t="s">
        <v>47</v>
      </c>
      <c r="E3744" s="337" t="str">
        <f t="shared" si="1"/>
        <v>泉北中谷:豊通</v>
      </c>
      <c r="F3744" s="338" t="s">
        <v>130</v>
      </c>
      <c r="G3744" s="339" t="str">
        <f t="shared" si="2"/>
        <v>泉北中谷:豊通新断Ａ</v>
      </c>
      <c r="H3744" s="340">
        <f t="shared" si="3"/>
        <v>47.8</v>
      </c>
      <c r="I3744" s="341">
        <v>0.5</v>
      </c>
      <c r="J3744" s="332">
        <f>IFERROR(__xludf.DUMMYFUNCTION("IF(IF(COUNTIF(P$2:P3743, P3744)=0, """", INDEX(H$2:H3743,
MAX(FILTER(ROW(H$2:H3743) - ROW(H$2) + 1, P$2:P3743 = P3744))))=""単価"","""",
IF(COUNTIF(P$2:P3743, P3744)=0, """", INDEX(H$2:H3743,
MAX(FILTER(ROW(H$2:H3743) - ROW(H$2) + 1, P$2:P3743 = P3744)))))"),47.3)</f>
        <v>47.3</v>
      </c>
      <c r="N3744" s="335" t="str">
        <f>IF(MAXIFS('単価履歴'!$O:$O,'単価履歴'!$E:$E,E3744,'単価履歴'!$F:$F,F3744)=O3744,"●","")</f>
        <v/>
      </c>
      <c r="O3744" s="346">
        <v>46032.28670138889</v>
      </c>
      <c r="P3744" s="334" t="str">
        <f t="shared" si="4"/>
        <v>泉北中谷:豊通新断Ａ</v>
      </c>
    </row>
    <row r="3745" ht="15.75" customHeight="1">
      <c r="A3745" s="335" t="s">
        <v>4892</v>
      </c>
      <c r="B3745" s="336">
        <v>46016.0</v>
      </c>
      <c r="C3745" s="335" t="s">
        <v>28</v>
      </c>
      <c r="D3745" s="335" t="s">
        <v>52</v>
      </c>
      <c r="E3745" s="337" t="str">
        <f t="shared" si="1"/>
        <v>ＪＦＥ条鋼:リバイブ</v>
      </c>
      <c r="F3745" s="338" t="s">
        <v>111</v>
      </c>
      <c r="G3745" s="339" t="str">
        <f t="shared" si="2"/>
        <v>ＪＦＥ条鋼:リバイブＨ１(特A)</v>
      </c>
      <c r="H3745" s="340">
        <f t="shared" si="3"/>
        <v>44.5</v>
      </c>
      <c r="I3745" s="341">
        <v>-2.5</v>
      </c>
      <c r="J3745" s="332">
        <f>IFERROR(__xludf.DUMMYFUNCTION("IF(IF(COUNTIF(P$2:P3744, P3745)=0, """", INDEX(H$2:H3744,
MAX(FILTER(ROW(H$2:H3744) - ROW(H$2) + 1, P$2:P3744 = P3745))))=""単価"","""",
IF(COUNTIF(P$2:P3744, P3745)=0, """", INDEX(H$2:H3744,
MAX(FILTER(ROW(H$2:H3744) - ROW(H$2) + 1, P$2:P3744 = P3745)))))"),47.0)</f>
        <v>47</v>
      </c>
      <c r="N3745" s="335" t="str">
        <f>IF(MAXIFS('単価履歴'!$O:$O,'単価履歴'!$E:$E,E3745,'単価履歴'!$F:$F,F3745)=O3745,"●","")</f>
        <v/>
      </c>
      <c r="O3745" s="346">
        <v>46044.71586805556</v>
      </c>
      <c r="P3745" s="334" t="str">
        <f t="shared" si="4"/>
        <v>ＪＦＥ条鋼:リバイブＨ１(特A)</v>
      </c>
    </row>
    <row r="3746" ht="15.75" customHeight="1">
      <c r="A3746" s="335" t="s">
        <v>4893</v>
      </c>
      <c r="B3746" s="336">
        <v>46016.0</v>
      </c>
      <c r="C3746" s="335" t="s">
        <v>28</v>
      </c>
      <c r="D3746" s="335" t="s">
        <v>52</v>
      </c>
      <c r="E3746" s="337" t="str">
        <f t="shared" si="1"/>
        <v>ＪＦＥ条鋼:リバイブ</v>
      </c>
      <c r="F3746" s="338" t="s">
        <v>116</v>
      </c>
      <c r="G3746" s="339" t="str">
        <f t="shared" si="2"/>
        <v>ＪＦＥ条鋼:リバイブＨ２(特級)</v>
      </c>
      <c r="H3746" s="340">
        <f t="shared" si="3"/>
        <v>44.5</v>
      </c>
      <c r="I3746" s="341">
        <v>-2.5</v>
      </c>
      <c r="J3746" s="332">
        <f>IFERROR(__xludf.DUMMYFUNCTION("IF(IF(COUNTIF(P$2:P3745, P3746)=0, """", INDEX(H$2:H3745,
MAX(FILTER(ROW(H$2:H3745) - ROW(H$2) + 1, P$2:P3745 = P3746))))=""単価"","""",
IF(COUNTIF(P$2:P3745, P3746)=0, """", INDEX(H$2:H3745,
MAX(FILTER(ROW(H$2:H3745) - ROW(H$2) + 1, P$2:P3745 = P3746)))))"),47.0)</f>
        <v>47</v>
      </c>
      <c r="N3746" s="335" t="str">
        <f>IF(MAXIFS('単価履歴'!$O:$O,'単価履歴'!$E:$E,E3746,'単価履歴'!$F:$F,F3746)=O3746,"●","")</f>
        <v/>
      </c>
      <c r="O3746" s="346">
        <v>46044.71586805556</v>
      </c>
      <c r="P3746" s="334" t="str">
        <f t="shared" si="4"/>
        <v>ＪＦＥ条鋼:リバイブＨ２(特級)</v>
      </c>
    </row>
    <row r="3747" ht="15.75" customHeight="1">
      <c r="A3747" s="335" t="s">
        <v>4894</v>
      </c>
      <c r="B3747" s="336">
        <v>46016.0</v>
      </c>
      <c r="C3747" s="335" t="s">
        <v>28</v>
      </c>
      <c r="D3747" s="335" t="s">
        <v>52</v>
      </c>
      <c r="E3747" s="337" t="str">
        <f t="shared" si="1"/>
        <v>ＪＦＥ条鋼:リバイブ</v>
      </c>
      <c r="F3747" s="338" t="s">
        <v>119</v>
      </c>
      <c r="G3747" s="339" t="str">
        <f t="shared" si="2"/>
        <v>ＪＦＥ条鋼:リバイブＨ３(1級)</v>
      </c>
      <c r="H3747" s="340">
        <f t="shared" si="3"/>
        <v>43.5</v>
      </c>
      <c r="I3747" s="341">
        <v>-2.5</v>
      </c>
      <c r="J3747" s="332">
        <f>IFERROR(__xludf.DUMMYFUNCTION("IF(IF(COUNTIF(P$2:P3746, P3747)=0, """", INDEX(H$2:H3746,
MAX(FILTER(ROW(H$2:H3746) - ROW(H$2) + 1, P$2:P3746 = P3747))))=""単価"","""",
IF(COUNTIF(P$2:P3746, P3747)=0, """", INDEX(H$2:H3746,
MAX(FILTER(ROW(H$2:H3746) - ROW(H$2) + 1, P$2:P3746 = P3747)))))"),46.0)</f>
        <v>46</v>
      </c>
      <c r="N3747" s="335" t="str">
        <f>IF(MAXIFS('単価履歴'!$O:$O,'単価履歴'!$E:$E,E3747,'単価履歴'!$F:$F,F3747)=O3747,"●","")</f>
        <v/>
      </c>
      <c r="O3747" s="346">
        <v>46044.71586805556</v>
      </c>
      <c r="P3747" s="334" t="str">
        <f t="shared" si="4"/>
        <v>ＪＦＥ条鋼:リバイブＨ３(1級)</v>
      </c>
    </row>
    <row r="3748" ht="15.75" customHeight="1">
      <c r="A3748" s="335" t="s">
        <v>4895</v>
      </c>
      <c r="B3748" s="336">
        <v>46016.0</v>
      </c>
      <c r="C3748" s="335" t="s">
        <v>28</v>
      </c>
      <c r="D3748" s="335" t="s">
        <v>52</v>
      </c>
      <c r="E3748" s="337" t="str">
        <f t="shared" si="1"/>
        <v>ＪＦＥ条鋼:リバイブ</v>
      </c>
      <c r="F3748" s="338" t="s">
        <v>122</v>
      </c>
      <c r="G3748" s="339" t="str">
        <f t="shared" si="2"/>
        <v>ＪＦＥ条鋼:リバイブＬ１(2級)</v>
      </c>
      <c r="H3748" s="340">
        <f t="shared" si="3"/>
        <v>40.5</v>
      </c>
      <c r="I3748" s="341">
        <v>-2.5</v>
      </c>
      <c r="J3748" s="332">
        <f>IFERROR(__xludf.DUMMYFUNCTION("IF(IF(COUNTIF(P$2:P3747, P3748)=0, """", INDEX(H$2:H3747,
MAX(FILTER(ROW(H$2:H3747) - ROW(H$2) + 1, P$2:P3747 = P3748))))=""単価"","""",
IF(COUNTIF(P$2:P3747, P3748)=0, """", INDEX(H$2:H3747,
MAX(FILTER(ROW(H$2:H3747) - ROW(H$2) + 1, P$2:P3747 = P3748)))))"),43.0)</f>
        <v>43</v>
      </c>
      <c r="N3748" s="335" t="str">
        <f>IF(MAXIFS('単価履歴'!$O:$O,'単価履歴'!$E:$E,E3748,'単価履歴'!$F:$F,F3748)=O3748,"●","")</f>
        <v/>
      </c>
      <c r="O3748" s="346">
        <v>46044.71586805556</v>
      </c>
      <c r="P3748" s="334" t="str">
        <f t="shared" si="4"/>
        <v>ＪＦＥ条鋼:リバイブＬ１(2級)</v>
      </c>
    </row>
    <row r="3749" ht="15.75" customHeight="1">
      <c r="A3749" s="335" t="s">
        <v>4896</v>
      </c>
      <c r="B3749" s="336">
        <v>46045.0</v>
      </c>
      <c r="C3749" s="335" t="s">
        <v>5</v>
      </c>
      <c r="D3749" s="335" t="s">
        <v>46</v>
      </c>
      <c r="E3749" s="337" t="str">
        <f t="shared" si="1"/>
        <v>中山製鋼:阪和</v>
      </c>
      <c r="F3749" s="338" t="s">
        <v>101</v>
      </c>
      <c r="G3749" s="339" t="str">
        <f t="shared" si="2"/>
        <v>中山製鋼:阪和ＨＳ２</v>
      </c>
      <c r="H3749" s="340">
        <f t="shared" si="3"/>
        <v>46.4</v>
      </c>
      <c r="I3749" s="341">
        <v>0.5</v>
      </c>
      <c r="J3749" s="332">
        <f>IFERROR(__xludf.DUMMYFUNCTION("IF(IF(COUNTIF(P$2:P3748, P3749)=0, """", INDEX(H$2:H3748,
MAX(FILTER(ROW(H$2:H3748) - ROW(H$2) + 1, P$2:P3748 = P3749))))=""単価"","""",
IF(COUNTIF(P$2:P3748, P3749)=0, """", INDEX(H$2:H3748,
MAX(FILTER(ROW(H$2:H3748) - ROW(H$2) + 1, P$2:P3748 = P3749)))))"),45.9)</f>
        <v>45.9</v>
      </c>
      <c r="N3749" s="335" t="str">
        <f>IF(MAXIFS('単価履歴'!$O:$O,'単価履歴'!$E:$E,E3749,'単価履歴'!$F:$F,F3749)=O3749,"●","")</f>
        <v/>
      </c>
      <c r="O3749" s="346">
        <v>46045.2893287037</v>
      </c>
      <c r="P3749" s="334" t="str">
        <f t="shared" si="4"/>
        <v>中山製鋼:阪和ＨＳ２</v>
      </c>
    </row>
    <row r="3750" ht="15.75" customHeight="1">
      <c r="A3750" s="335" t="s">
        <v>4897</v>
      </c>
      <c r="B3750" s="336">
        <v>46045.0</v>
      </c>
      <c r="C3750" s="335" t="s">
        <v>5</v>
      </c>
      <c r="D3750" s="335" t="s">
        <v>46</v>
      </c>
      <c r="E3750" s="337" t="str">
        <f t="shared" si="1"/>
        <v>中山製鋼:阪和</v>
      </c>
      <c r="F3750" s="338" t="s">
        <v>130</v>
      </c>
      <c r="G3750" s="339" t="str">
        <f t="shared" si="2"/>
        <v>中山製鋼:阪和新断Ａ</v>
      </c>
      <c r="H3750" s="340">
        <f t="shared" si="3"/>
        <v>47.8</v>
      </c>
      <c r="I3750" s="341">
        <v>0.5</v>
      </c>
      <c r="J3750" s="332">
        <f>IFERROR(__xludf.DUMMYFUNCTION("IF(IF(COUNTIF(P$2:P3749, P3750)=0, """", INDEX(H$2:H3749,
MAX(FILTER(ROW(H$2:H3749) - ROW(H$2) + 1, P$2:P3749 = P3750))))=""単価"","""",
IF(COUNTIF(P$2:P3749, P3750)=0, """", INDEX(H$2:H3749,
MAX(FILTER(ROW(H$2:H3749) - ROW(H$2) + 1, P$2:P3749 = P3750)))))"),47.3)</f>
        <v>47.3</v>
      </c>
      <c r="N3750" s="335" t="str">
        <f>IF(MAXIFS('単価履歴'!$O:$O,'単価履歴'!$E:$E,E3750,'単価履歴'!$F:$F,F3750)=O3750,"●","")</f>
        <v/>
      </c>
      <c r="O3750" s="346">
        <v>46045.2893287037</v>
      </c>
      <c r="P3750" s="334" t="str">
        <f t="shared" si="4"/>
        <v>中山製鋼:阪和新断Ａ</v>
      </c>
    </row>
    <row r="3751" ht="15.75" customHeight="1">
      <c r="A3751" s="335" t="s">
        <v>4898</v>
      </c>
      <c r="B3751" s="336">
        <v>46045.0</v>
      </c>
      <c r="C3751" s="335" t="s">
        <v>5</v>
      </c>
      <c r="D3751" s="335" t="s">
        <v>46</v>
      </c>
      <c r="E3751" s="337" t="str">
        <f t="shared" si="1"/>
        <v>中山製鋼:阪和</v>
      </c>
      <c r="F3751" s="338" t="s">
        <v>131</v>
      </c>
      <c r="G3751" s="339" t="str">
        <f t="shared" si="2"/>
        <v>中山製鋼:阪和新断Ｂ</v>
      </c>
      <c r="H3751" s="340">
        <f t="shared" si="3"/>
        <v>46.8</v>
      </c>
      <c r="I3751" s="341">
        <v>0.5</v>
      </c>
      <c r="J3751" s="332">
        <f>IFERROR(__xludf.DUMMYFUNCTION("IF(IF(COUNTIF(P$2:P3750, P3751)=0, """", INDEX(H$2:H3750,
MAX(FILTER(ROW(H$2:H3750) - ROW(H$2) + 1, P$2:P3750 = P3751))))=""単価"","""",
IF(COUNTIF(P$2:P3750, P3751)=0, """", INDEX(H$2:H3750,
MAX(FILTER(ROW(H$2:H3750) - ROW(H$2) + 1, P$2:P3750 = P3751)))))"),46.3)</f>
        <v>46.3</v>
      </c>
      <c r="N3751" s="335" t="str">
        <f>IF(MAXIFS('単価履歴'!$O:$O,'単価履歴'!$E:$E,E3751,'単価履歴'!$F:$F,F3751)=O3751,"●","")</f>
        <v/>
      </c>
      <c r="O3751" s="346">
        <v>46045.2893287037</v>
      </c>
      <c r="P3751" s="334" t="str">
        <f t="shared" si="4"/>
        <v>中山製鋼:阪和新断Ｂ</v>
      </c>
    </row>
    <row r="3752" ht="15.75" customHeight="1">
      <c r="A3752" s="335" t="s">
        <v>4899</v>
      </c>
      <c r="B3752" s="336">
        <v>46045.0</v>
      </c>
      <c r="C3752" s="335" t="s">
        <v>5</v>
      </c>
      <c r="D3752" s="335" t="s">
        <v>46</v>
      </c>
      <c r="E3752" s="337" t="str">
        <f t="shared" si="1"/>
        <v>中山製鋼:阪和</v>
      </c>
      <c r="F3752" s="338" t="s">
        <v>574</v>
      </c>
      <c r="G3752" s="339" t="str">
        <f t="shared" si="2"/>
        <v>中山製鋼:阪和新断Ｃ</v>
      </c>
      <c r="H3752" s="340">
        <f t="shared" si="3"/>
        <v>45.8</v>
      </c>
      <c r="I3752" s="341">
        <v>0.5</v>
      </c>
      <c r="J3752" s="332">
        <f>IFERROR(__xludf.DUMMYFUNCTION("IF(IF(COUNTIF(P$2:P3751, P3752)=0, """", INDEX(H$2:H3751,
MAX(FILTER(ROW(H$2:H3751) - ROW(H$2) + 1, P$2:P3751 = P3752))))=""単価"","""",
IF(COUNTIF(P$2:P3751, P3752)=0, """", INDEX(H$2:H3751,
MAX(FILTER(ROW(H$2:H3751) - ROW(H$2) + 1, P$2:P3751 = P3752)))))"),45.3)</f>
        <v>45.3</v>
      </c>
      <c r="N3752" s="335" t="str">
        <f>IF(MAXIFS('単価履歴'!$O:$O,'単価履歴'!$E:$E,E3752,'単価履歴'!$F:$F,F3752)=O3752,"●","")</f>
        <v/>
      </c>
      <c r="O3752" s="346">
        <v>46045.2893287037</v>
      </c>
      <c r="P3752" s="334" t="str">
        <f t="shared" si="4"/>
        <v>中山製鋼:阪和新断Ｃ</v>
      </c>
    </row>
    <row r="3753" ht="15.75" customHeight="1">
      <c r="A3753" s="335" t="s">
        <v>4900</v>
      </c>
      <c r="B3753" s="336">
        <v>46045.0</v>
      </c>
      <c r="C3753" s="335" t="s">
        <v>5</v>
      </c>
      <c r="D3753" s="335" t="s">
        <v>47</v>
      </c>
      <c r="E3753" s="337" t="str">
        <f t="shared" si="1"/>
        <v>中山製鋼:豊通</v>
      </c>
      <c r="F3753" s="338" t="s">
        <v>101</v>
      </c>
      <c r="G3753" s="339" t="str">
        <f t="shared" si="2"/>
        <v>中山製鋼:豊通ＨＳ２</v>
      </c>
      <c r="H3753" s="340">
        <f t="shared" si="3"/>
        <v>46.8</v>
      </c>
      <c r="I3753" s="341">
        <v>0.5</v>
      </c>
      <c r="J3753" s="332">
        <f>IFERROR(__xludf.DUMMYFUNCTION("IF(IF(COUNTIF(P$2:P3752, P3753)=0, """", INDEX(H$2:H3752,
MAX(FILTER(ROW(H$2:H3752) - ROW(H$2) + 1, P$2:P3752 = P3753))))=""単価"","""",
IF(COUNTIF(P$2:P3752, P3753)=0, """", INDEX(H$2:H3752,
MAX(FILTER(ROW(H$2:H3752) - ROW(H$2) + 1, P$2:P3752 = P3753)))))"),46.3)</f>
        <v>46.3</v>
      </c>
      <c r="N3753" s="335" t="str">
        <f>IF(MAXIFS('単価履歴'!$O:$O,'単価履歴'!$E:$E,E3753,'単価履歴'!$F:$F,F3753)=O3753,"●","")</f>
        <v/>
      </c>
      <c r="O3753" s="346">
        <v>46045.2893287037</v>
      </c>
      <c r="P3753" s="334" t="str">
        <f t="shared" si="4"/>
        <v>中山製鋼:豊通ＨＳ２</v>
      </c>
    </row>
    <row r="3754" ht="15.75" customHeight="1">
      <c r="A3754" s="335" t="s">
        <v>4901</v>
      </c>
      <c r="B3754" s="336">
        <v>46045.0</v>
      </c>
      <c r="C3754" s="335" t="s">
        <v>5</v>
      </c>
      <c r="D3754" s="335" t="s">
        <v>47</v>
      </c>
      <c r="E3754" s="337" t="str">
        <f t="shared" si="1"/>
        <v>中山製鋼:豊通</v>
      </c>
      <c r="F3754" s="338" t="s">
        <v>130</v>
      </c>
      <c r="G3754" s="339" t="str">
        <f t="shared" si="2"/>
        <v>中山製鋼:豊通新断Ａ</v>
      </c>
      <c r="H3754" s="340">
        <f t="shared" si="3"/>
        <v>47.8</v>
      </c>
      <c r="I3754" s="341">
        <v>0.5</v>
      </c>
      <c r="J3754" s="332">
        <f>IFERROR(__xludf.DUMMYFUNCTION("IF(IF(COUNTIF(P$2:P3753, P3754)=0, """", INDEX(H$2:H3753,
MAX(FILTER(ROW(H$2:H3753) - ROW(H$2) + 1, P$2:P3753 = P3754))))=""単価"","""",
IF(COUNTIF(P$2:P3753, P3754)=0, """", INDEX(H$2:H3753,
MAX(FILTER(ROW(H$2:H3753) - ROW(H$2) + 1, P$2:P3753 = P3754)))))"),47.3)</f>
        <v>47.3</v>
      </c>
      <c r="N3754" s="335" t="str">
        <f>IF(MAXIFS('単価履歴'!$O:$O,'単価履歴'!$E:$E,E3754,'単価履歴'!$F:$F,F3754)=O3754,"●","")</f>
        <v/>
      </c>
      <c r="O3754" s="346">
        <v>46045.2893287037</v>
      </c>
      <c r="P3754" s="334" t="str">
        <f t="shared" si="4"/>
        <v>中山製鋼:豊通新断Ａ</v>
      </c>
    </row>
    <row r="3755" ht="15.75" customHeight="1">
      <c r="A3755" s="335" t="s">
        <v>4902</v>
      </c>
      <c r="B3755" s="336">
        <v>46045.0</v>
      </c>
      <c r="C3755" s="335" t="s">
        <v>5</v>
      </c>
      <c r="D3755" s="335" t="s">
        <v>47</v>
      </c>
      <c r="E3755" s="337" t="str">
        <f t="shared" si="1"/>
        <v>中山製鋼:豊通</v>
      </c>
      <c r="F3755" s="338" t="s">
        <v>131</v>
      </c>
      <c r="G3755" s="339" t="str">
        <f t="shared" si="2"/>
        <v>中山製鋼:豊通新断Ｂ</v>
      </c>
      <c r="H3755" s="340">
        <f t="shared" si="3"/>
        <v>46.8</v>
      </c>
      <c r="I3755" s="341">
        <v>0.5</v>
      </c>
      <c r="J3755" s="332">
        <f>IFERROR(__xludf.DUMMYFUNCTION("IF(IF(COUNTIF(P$2:P3754, P3755)=0, """", INDEX(H$2:H3754,
MAX(FILTER(ROW(H$2:H3754) - ROW(H$2) + 1, P$2:P3754 = P3755))))=""単価"","""",
IF(COUNTIF(P$2:P3754, P3755)=0, """", INDEX(H$2:H3754,
MAX(FILTER(ROW(H$2:H3754) - ROW(H$2) + 1, P$2:P3754 = P3755)))))"),46.3)</f>
        <v>46.3</v>
      </c>
      <c r="N3755" s="335" t="str">
        <f>IF(MAXIFS('単価履歴'!$O:$O,'単価履歴'!$E:$E,E3755,'単価履歴'!$F:$F,F3755)=O3755,"●","")</f>
        <v/>
      </c>
      <c r="O3755" s="346">
        <v>46045.2893287037</v>
      </c>
      <c r="P3755" s="334" t="str">
        <f t="shared" si="4"/>
        <v>中山製鋼:豊通新断Ｂ</v>
      </c>
    </row>
    <row r="3756" ht="15.75" customHeight="1">
      <c r="A3756" s="335" t="s">
        <v>4903</v>
      </c>
      <c r="B3756" s="336">
        <v>46045.0</v>
      </c>
      <c r="C3756" s="335" t="s">
        <v>5</v>
      </c>
      <c r="D3756" s="335" t="s">
        <v>47</v>
      </c>
      <c r="E3756" s="337" t="str">
        <f t="shared" si="1"/>
        <v>中山製鋼:豊通</v>
      </c>
      <c r="F3756" s="338" t="s">
        <v>574</v>
      </c>
      <c r="G3756" s="339" t="str">
        <f t="shared" si="2"/>
        <v>中山製鋼:豊通新断Ｃ</v>
      </c>
      <c r="H3756" s="340">
        <f t="shared" si="3"/>
        <v>45.8</v>
      </c>
      <c r="I3756" s="341">
        <v>0.5</v>
      </c>
      <c r="J3756" s="332">
        <f>IFERROR(__xludf.DUMMYFUNCTION("IF(IF(COUNTIF(P$2:P3755, P3756)=0, """", INDEX(H$2:H3755,
MAX(FILTER(ROW(H$2:H3755) - ROW(H$2) + 1, P$2:P3755 = P3756))))=""単価"","""",
IF(COUNTIF(P$2:P3755, P3756)=0, """", INDEX(H$2:H3755,
MAX(FILTER(ROW(H$2:H3755) - ROW(H$2) + 1, P$2:P3755 = P3756)))))"),45.3)</f>
        <v>45.3</v>
      </c>
      <c r="N3756" s="335" t="str">
        <f>IF(MAXIFS('単価履歴'!$O:$O,'単価履歴'!$E:$E,E3756,'単価履歴'!$F:$F,F3756)=O3756,"●","")</f>
        <v/>
      </c>
      <c r="O3756" s="346">
        <v>46045.2893287037</v>
      </c>
      <c r="P3756" s="334" t="str">
        <f t="shared" si="4"/>
        <v>中山製鋼:豊通新断Ｃ</v>
      </c>
    </row>
    <row r="3757" ht="15.75" customHeight="1">
      <c r="A3757" s="335" t="s">
        <v>4904</v>
      </c>
      <c r="B3757" s="336">
        <v>46045.0</v>
      </c>
      <c r="C3757" s="335" t="s">
        <v>5</v>
      </c>
      <c r="D3757" s="335" t="s">
        <v>1232</v>
      </c>
      <c r="E3757" s="337" t="str">
        <f t="shared" si="1"/>
        <v>中山製鋼:豊通/出張商店</v>
      </c>
      <c r="F3757" s="338" t="s">
        <v>130</v>
      </c>
      <c r="G3757" s="339" t="str">
        <f t="shared" si="2"/>
        <v>中山製鋼:豊通/出張商店新断Ａ</v>
      </c>
      <c r="H3757" s="340">
        <f t="shared" si="3"/>
        <v>46.8</v>
      </c>
      <c r="I3757" s="341">
        <v>0.5</v>
      </c>
      <c r="J3757" s="332">
        <f>IFERROR(__xludf.DUMMYFUNCTION("IF(IF(COUNTIF(P$2:P3756, P3757)=0, """", INDEX(H$2:H3756,
MAX(FILTER(ROW(H$2:H3756) - ROW(H$2) + 1, P$2:P3756 = P3757))))=""単価"","""",
IF(COUNTIF(P$2:P3756, P3757)=0, """", INDEX(H$2:H3756,
MAX(FILTER(ROW(H$2:H3756) - ROW(H$2) + 1, P$2:P3756 = P3757)))))"),46.3)</f>
        <v>46.3</v>
      </c>
      <c r="N3757" s="335" t="str">
        <f>IF(MAXIFS('単価履歴'!$O:$O,'単価履歴'!$E:$E,E3757,'単価履歴'!$F:$F,F3757)=O3757,"●","")</f>
        <v/>
      </c>
      <c r="O3757" s="346">
        <v>46045.289768518516</v>
      </c>
      <c r="P3757" s="334" t="str">
        <f t="shared" si="4"/>
        <v>中山製鋼:豊通/出張商店新断Ａ</v>
      </c>
    </row>
    <row r="3758" ht="15.75" customHeight="1">
      <c r="A3758" s="335" t="s">
        <v>4905</v>
      </c>
      <c r="B3758" s="336">
        <v>46045.0</v>
      </c>
      <c r="C3758" s="335" t="s">
        <v>5</v>
      </c>
      <c r="D3758" s="335" t="s">
        <v>1234</v>
      </c>
      <c r="E3758" s="337" t="str">
        <f t="shared" si="1"/>
        <v>中山製鋼:豊通/中川嘉弘商店</v>
      </c>
      <c r="F3758" s="338" t="s">
        <v>130</v>
      </c>
      <c r="G3758" s="339" t="str">
        <f t="shared" si="2"/>
        <v>中山製鋼:豊通/中川嘉弘商店新断Ａ</v>
      </c>
      <c r="H3758" s="340">
        <f t="shared" si="3"/>
        <v>44.8</v>
      </c>
      <c r="I3758" s="341">
        <v>0.5</v>
      </c>
      <c r="J3758" s="332">
        <f>IFERROR(__xludf.DUMMYFUNCTION("IF(IF(COUNTIF(P$2:P3757, P3758)=0, """", INDEX(H$2:H3757,
MAX(FILTER(ROW(H$2:H3757) - ROW(H$2) + 1, P$2:P3757 = P3758))))=""単価"","""",
IF(COUNTIF(P$2:P3757, P3758)=0, """", INDEX(H$2:H3757,
MAX(FILTER(ROW(H$2:H3757) - ROW(H$2) + 1, P$2:P3757 = P3758)))))"),44.3)</f>
        <v>44.3</v>
      </c>
      <c r="N3758" s="335" t="str">
        <f>IF(MAXIFS('単価履歴'!$O:$O,'単価履歴'!$E:$E,E3758,'単価履歴'!$F:$F,F3758)=O3758,"●","")</f>
        <v/>
      </c>
      <c r="O3758" s="346">
        <v>46045.289768518516</v>
      </c>
      <c r="P3758" s="334" t="str">
        <f t="shared" si="4"/>
        <v>中山製鋼:豊通/中川嘉弘商店新断Ａ</v>
      </c>
    </row>
    <row r="3759" ht="15.75" customHeight="1">
      <c r="A3759" s="335" t="s">
        <v>4906</v>
      </c>
      <c r="B3759" s="336">
        <v>46049.0</v>
      </c>
      <c r="C3759" s="335" t="s">
        <v>7</v>
      </c>
      <c r="D3759" s="335" t="s">
        <v>49</v>
      </c>
      <c r="E3759" s="337" t="str">
        <f t="shared" si="1"/>
        <v>合同大阪:伊藤忠</v>
      </c>
      <c r="F3759" s="338" t="s">
        <v>130</v>
      </c>
      <c r="G3759" s="339" t="str">
        <f t="shared" si="2"/>
        <v>合同大阪:伊藤忠新断Ａ</v>
      </c>
      <c r="H3759" s="340">
        <f t="shared" si="3"/>
        <v>46.8</v>
      </c>
      <c r="I3759" s="341">
        <v>1.0</v>
      </c>
      <c r="J3759" s="332">
        <f>IFERROR(__xludf.DUMMYFUNCTION("IF(IF(COUNTIF(P$2:P3758, P3759)=0, """", INDEX(H$2:H3758,
MAX(FILTER(ROW(H$2:H3758) - ROW(H$2) + 1, P$2:P3758 = P3759))))=""単価"","""",
IF(COUNTIF(P$2:P3758, P3759)=0, """", INDEX(H$2:H3758,
MAX(FILTER(ROW(H$2:H3758) - ROW(H$2) + 1, P$2:P3758 = P3759)))))"),45.8)</f>
        <v>45.8</v>
      </c>
      <c r="N3759" s="335" t="str">
        <f>IF(MAXIFS('単価履歴'!$O:$O,'単価履歴'!$E:$E,E3759,'単価履歴'!$F:$F,F3759)=O3759,"●","")</f>
        <v/>
      </c>
      <c r="O3759" s="346">
        <v>46048.74403935185</v>
      </c>
      <c r="P3759" s="334" t="str">
        <f t="shared" si="4"/>
        <v>合同大阪:伊藤忠新断Ａ</v>
      </c>
    </row>
    <row r="3760" ht="15.75" customHeight="1">
      <c r="A3760" s="335" t="s">
        <v>4907</v>
      </c>
      <c r="B3760" s="336">
        <v>46049.0</v>
      </c>
      <c r="C3760" s="335" t="s">
        <v>7</v>
      </c>
      <c r="D3760" s="335" t="s">
        <v>49</v>
      </c>
      <c r="E3760" s="337" t="str">
        <f t="shared" si="1"/>
        <v>合同大阪:伊藤忠</v>
      </c>
      <c r="F3760" s="338" t="s">
        <v>131</v>
      </c>
      <c r="G3760" s="339" t="str">
        <f t="shared" si="2"/>
        <v>合同大阪:伊藤忠新断Ｂ</v>
      </c>
      <c r="H3760" s="340">
        <f t="shared" si="3"/>
        <v>46.3</v>
      </c>
      <c r="I3760" s="341">
        <v>1.0</v>
      </c>
      <c r="J3760" s="332">
        <f>IFERROR(__xludf.DUMMYFUNCTION("IF(IF(COUNTIF(P$2:P3759, P3760)=0, """", INDEX(H$2:H3759,
MAX(FILTER(ROW(H$2:H3759) - ROW(H$2) + 1, P$2:P3759 = P3760))))=""単価"","""",
IF(COUNTIF(P$2:P3759, P3760)=0, """", INDEX(H$2:H3759,
MAX(FILTER(ROW(H$2:H3759) - ROW(H$2) + 1, P$2:P3759 = P3760)))))"),45.3)</f>
        <v>45.3</v>
      </c>
      <c r="N3760" s="335" t="str">
        <f>IF(MAXIFS('単価履歴'!$O:$O,'単価履歴'!$E:$E,E3760,'単価履歴'!$F:$F,F3760)=O3760,"●","")</f>
        <v/>
      </c>
      <c r="O3760" s="346">
        <v>46048.74403935185</v>
      </c>
      <c r="P3760" s="334" t="str">
        <f t="shared" si="4"/>
        <v>合同大阪:伊藤忠新断Ｂ</v>
      </c>
    </row>
    <row r="3761" ht="15.75" customHeight="1">
      <c r="A3761" s="335" t="s">
        <v>4908</v>
      </c>
      <c r="B3761" s="336">
        <v>46051.0</v>
      </c>
      <c r="C3761" s="335" t="s">
        <v>532</v>
      </c>
      <c r="D3761" s="335" t="s">
        <v>77</v>
      </c>
      <c r="E3761" s="337" t="str">
        <f t="shared" si="1"/>
        <v>東鐵岡山:直納</v>
      </c>
      <c r="F3761" s="338" t="s">
        <v>1199</v>
      </c>
      <c r="G3761" s="339" t="str">
        <f t="shared" si="2"/>
        <v>東鐵岡山:直納ＨＳ１(単体H1/電特A/HS))</v>
      </c>
      <c r="H3761" s="340">
        <f t="shared" si="3"/>
        <v>45.5</v>
      </c>
      <c r="I3761" s="341">
        <v>-0.5</v>
      </c>
      <c r="J3761" s="332">
        <f>IFERROR(__xludf.DUMMYFUNCTION("IF(IF(COUNTIF(P$2:P3760, P3761)=0, """", INDEX(H$2:H3760,
MAX(FILTER(ROW(H$2:H3760) - ROW(H$2) + 1, P$2:P3760 = P3761))))=""単価"","""",
IF(COUNTIF(P$2:P3760, P3761)=0, """", INDEX(H$2:H3760,
MAX(FILTER(ROW(H$2:H3760) - ROW(H$2) + 1, P$2:P3760 = P3761)))))"),46.0)</f>
        <v>46</v>
      </c>
      <c r="N3761" s="335" t="str">
        <f>IF(MAXIFS('単価履歴'!$O:$O,'単価履歴'!$E:$E,E3761,'単価履歴'!$F:$F,F3761)=O3761,"●","")</f>
        <v/>
      </c>
      <c r="O3761" s="346">
        <v>46051.27609953703</v>
      </c>
      <c r="P3761" s="334" t="str">
        <f t="shared" si="4"/>
        <v>東鐵岡山:直納ＨＳ１(単体H1/電特A/HS))</v>
      </c>
    </row>
    <row r="3762" ht="15.75" customHeight="1">
      <c r="A3762" s="335" t="s">
        <v>4909</v>
      </c>
      <c r="B3762" s="336">
        <v>46051.0</v>
      </c>
      <c r="C3762" s="335" t="s">
        <v>532</v>
      </c>
      <c r="D3762" s="335" t="s">
        <v>77</v>
      </c>
      <c r="E3762" s="337" t="str">
        <f t="shared" si="1"/>
        <v>東鐵岡山:直納</v>
      </c>
      <c r="F3762" s="338" t="s">
        <v>111</v>
      </c>
      <c r="G3762" s="339" t="str">
        <f t="shared" si="2"/>
        <v>東鐵岡山:直納Ｈ１(特A)</v>
      </c>
      <c r="H3762" s="340">
        <f t="shared" si="3"/>
        <v>44.2</v>
      </c>
      <c r="I3762" s="341">
        <v>-0.5</v>
      </c>
      <c r="J3762" s="332">
        <f>IFERROR(__xludf.DUMMYFUNCTION("IF(IF(COUNTIF(P$2:P3761, P3762)=0, """", INDEX(H$2:H3761,
MAX(FILTER(ROW(H$2:H3761) - ROW(H$2) + 1, P$2:P3761 = P3762))))=""単価"","""",
IF(COUNTIF(P$2:P3761, P3762)=0, """", INDEX(H$2:H3761,
MAX(FILTER(ROW(H$2:H3761) - ROW(H$2) + 1, P$2:P3761 = P3762)))))"),44.7)</f>
        <v>44.7</v>
      </c>
      <c r="N3762" s="335" t="str">
        <f>IF(MAXIFS('単価履歴'!$O:$O,'単価履歴'!$E:$E,E3762,'単価履歴'!$F:$F,F3762)=O3762,"●","")</f>
        <v/>
      </c>
      <c r="O3762" s="346">
        <v>46051.27609953703</v>
      </c>
      <c r="P3762" s="334" t="str">
        <f t="shared" si="4"/>
        <v>東鐵岡山:直納Ｈ１(特A)</v>
      </c>
    </row>
    <row r="3763" ht="15.75" customHeight="1">
      <c r="A3763" s="335" t="s">
        <v>4910</v>
      </c>
      <c r="B3763" s="336">
        <v>46051.0</v>
      </c>
      <c r="C3763" s="335" t="s">
        <v>532</v>
      </c>
      <c r="D3763" s="335" t="s">
        <v>77</v>
      </c>
      <c r="E3763" s="337" t="str">
        <f t="shared" si="1"/>
        <v>東鐵岡山:直納</v>
      </c>
      <c r="F3763" s="338" t="s">
        <v>116</v>
      </c>
      <c r="G3763" s="339" t="str">
        <f t="shared" si="2"/>
        <v>東鐵岡山:直納Ｈ２(特級)</v>
      </c>
      <c r="H3763" s="340">
        <f t="shared" si="3"/>
        <v>43.5</v>
      </c>
      <c r="I3763" s="341">
        <v>-0.5</v>
      </c>
      <c r="J3763" s="332">
        <f>IFERROR(__xludf.DUMMYFUNCTION("IF(IF(COUNTIF(P$2:P3762, P3763)=0, """", INDEX(H$2:H3762,
MAX(FILTER(ROW(H$2:H3762) - ROW(H$2) + 1, P$2:P3762 = P3763))))=""単価"","""",
IF(COUNTIF(P$2:P3762, P3763)=0, """", INDEX(H$2:H3762,
MAX(FILTER(ROW(H$2:H3762) - ROW(H$2) + 1, P$2:P3762 = P3763)))))"),44.0)</f>
        <v>44</v>
      </c>
      <c r="N3763" s="335" t="str">
        <f>IF(MAXIFS('単価履歴'!$O:$O,'単価履歴'!$E:$E,E3763,'単価履歴'!$F:$F,F3763)=O3763,"●","")</f>
        <v/>
      </c>
      <c r="O3763" s="346">
        <v>46051.27609953703</v>
      </c>
      <c r="P3763" s="334" t="str">
        <f t="shared" si="4"/>
        <v>東鐵岡山:直納Ｈ２(特級)</v>
      </c>
    </row>
    <row r="3764" ht="15.75" customHeight="1">
      <c r="A3764" s="335" t="s">
        <v>4911</v>
      </c>
      <c r="B3764" s="336">
        <v>46051.0</v>
      </c>
      <c r="C3764" s="335" t="s">
        <v>532</v>
      </c>
      <c r="D3764" s="335" t="s">
        <v>77</v>
      </c>
      <c r="E3764" s="337" t="str">
        <f t="shared" si="1"/>
        <v>東鐵岡山:直納</v>
      </c>
      <c r="F3764" s="338" t="s">
        <v>119</v>
      </c>
      <c r="G3764" s="339" t="str">
        <f t="shared" si="2"/>
        <v>東鐵岡山:直納Ｈ３(1級)</v>
      </c>
      <c r="H3764" s="340">
        <f t="shared" si="3"/>
        <v>43</v>
      </c>
      <c r="I3764" s="341">
        <v>-0.5</v>
      </c>
      <c r="J3764" s="332">
        <f>IFERROR(__xludf.DUMMYFUNCTION("IF(IF(COUNTIF(P$2:P3763, P3764)=0, """", INDEX(H$2:H3763,
MAX(FILTER(ROW(H$2:H3763) - ROW(H$2) + 1, P$2:P3763 = P3764))))=""単価"","""",
IF(COUNTIF(P$2:P3763, P3764)=0, """", INDEX(H$2:H3763,
MAX(FILTER(ROW(H$2:H3763) - ROW(H$2) + 1, P$2:P3763 = P3764)))))"),43.5)</f>
        <v>43.5</v>
      </c>
      <c r="N3764" s="335" t="str">
        <f>IF(MAXIFS('単価履歴'!$O:$O,'単価履歴'!$E:$E,E3764,'単価履歴'!$F:$F,F3764)=O3764,"●","")</f>
        <v/>
      </c>
      <c r="O3764" s="346">
        <v>46051.27609953703</v>
      </c>
      <c r="P3764" s="334" t="str">
        <f t="shared" si="4"/>
        <v>東鐵岡山:直納Ｈ３(1級)</v>
      </c>
    </row>
    <row r="3765" ht="15.75" customHeight="1">
      <c r="A3765" s="335" t="s">
        <v>4912</v>
      </c>
      <c r="B3765" s="336">
        <v>46051.0</v>
      </c>
      <c r="C3765" s="335" t="s">
        <v>532</v>
      </c>
      <c r="D3765" s="335" t="s">
        <v>77</v>
      </c>
      <c r="E3765" s="337" t="str">
        <f t="shared" si="1"/>
        <v>東鐵岡山:直納</v>
      </c>
      <c r="F3765" s="338" t="s">
        <v>122</v>
      </c>
      <c r="G3765" s="339" t="str">
        <f t="shared" si="2"/>
        <v>東鐵岡山:直納Ｌ１(2級)</v>
      </c>
      <c r="H3765" s="340">
        <f t="shared" si="3"/>
        <v>41.5</v>
      </c>
      <c r="I3765" s="341">
        <v>-0.5</v>
      </c>
      <c r="J3765" s="332">
        <f>IFERROR(__xludf.DUMMYFUNCTION("IF(IF(COUNTIF(P$2:P3764, P3765)=0, """", INDEX(H$2:H3764,
MAX(FILTER(ROW(H$2:H3764) - ROW(H$2) + 1, P$2:P3764 = P3765))))=""単価"","""",
IF(COUNTIF(P$2:P3764, P3765)=0, """", INDEX(H$2:H3764,
MAX(FILTER(ROW(H$2:H3764) - ROW(H$2) + 1, P$2:P3764 = P3765)))))"),42.0)</f>
        <v>42</v>
      </c>
      <c r="N3765" s="335" t="str">
        <f>IF(MAXIFS('単価履歴'!$O:$O,'単価履歴'!$E:$E,E3765,'単価履歴'!$F:$F,F3765)=O3765,"●","")</f>
        <v/>
      </c>
      <c r="O3765" s="346">
        <v>46051.27609953703</v>
      </c>
      <c r="P3765" s="334" t="str">
        <f t="shared" si="4"/>
        <v>東鐵岡山:直納Ｌ１(2級)</v>
      </c>
    </row>
    <row r="3766" ht="15.75" customHeight="1">
      <c r="A3766" s="335" t="s">
        <v>4913</v>
      </c>
      <c r="B3766" s="336">
        <v>46051.0</v>
      </c>
      <c r="C3766" s="335" t="s">
        <v>532</v>
      </c>
      <c r="D3766" s="335" t="s">
        <v>77</v>
      </c>
      <c r="E3766" s="337" t="str">
        <f t="shared" si="1"/>
        <v>東鐵岡山:直納</v>
      </c>
      <c r="F3766" s="338" t="s">
        <v>573</v>
      </c>
      <c r="G3766" s="339" t="str">
        <f t="shared" si="2"/>
        <v>東鐵岡山:直納Ｌ２(H4･級外･L1ﾊﾞﾗ)</v>
      </c>
      <c r="H3766" s="340">
        <f t="shared" si="3"/>
        <v>38.5</v>
      </c>
      <c r="I3766" s="341">
        <v>-0.5</v>
      </c>
      <c r="J3766" s="332">
        <f>IFERROR(__xludf.DUMMYFUNCTION("IF(IF(COUNTIF(P$2:P3765, P3766)=0, """", INDEX(H$2:H3765,
MAX(FILTER(ROW(H$2:H3765) - ROW(H$2) + 1, P$2:P3765 = P3766))))=""単価"","""",
IF(COUNTIF(P$2:P3765, P3766)=0, """", INDEX(H$2:H3765,
MAX(FILTER(ROW(H$2:H3765) - ROW(H$2) + 1, P$2:P3765 = P3766)))))"),39.0)</f>
        <v>39</v>
      </c>
      <c r="N3766" s="335" t="str">
        <f>IF(MAXIFS('単価履歴'!$O:$O,'単価履歴'!$E:$E,E3766,'単価履歴'!$F:$F,F3766)=O3766,"●","")</f>
        <v/>
      </c>
      <c r="O3766" s="346">
        <v>46051.27609953703</v>
      </c>
      <c r="P3766" s="334" t="str">
        <f t="shared" si="4"/>
        <v>東鐵岡山:直納Ｌ２(H4･級外･L1ﾊﾞﾗ)</v>
      </c>
    </row>
    <row r="3767" ht="15.75" customHeight="1">
      <c r="A3767" s="335" t="s">
        <v>4914</v>
      </c>
      <c r="B3767" s="336">
        <v>46051.0</v>
      </c>
      <c r="C3767" s="335" t="s">
        <v>532</v>
      </c>
      <c r="D3767" s="335" t="s">
        <v>77</v>
      </c>
      <c r="E3767" s="337" t="str">
        <f t="shared" si="1"/>
        <v>東鐵岡山:直納</v>
      </c>
      <c r="F3767" s="338" t="s">
        <v>145</v>
      </c>
      <c r="G3767" s="339" t="str">
        <f t="shared" si="2"/>
        <v>東鐵岡山:直納シュレＡ</v>
      </c>
      <c r="H3767" s="340">
        <f t="shared" si="3"/>
        <v>44</v>
      </c>
      <c r="I3767" s="341">
        <v>-0.5</v>
      </c>
      <c r="J3767" s="332">
        <f>IFERROR(__xludf.DUMMYFUNCTION("IF(IF(COUNTIF(P$2:P3766, P3767)=0, """", INDEX(H$2:H3766,
MAX(FILTER(ROW(H$2:H3766) - ROW(H$2) + 1, P$2:P3766 = P3767))))=""単価"","""",
IF(COUNTIF(P$2:P3766, P3767)=0, """", INDEX(H$2:H3766,
MAX(FILTER(ROW(H$2:H3766) - ROW(H$2) + 1, P$2:P3766 = P3767)))))"),44.5)</f>
        <v>44.5</v>
      </c>
      <c r="N3767" s="335" t="str">
        <f>IF(MAXIFS('単価履歴'!$O:$O,'単価履歴'!$E:$E,E3767,'単価履歴'!$F:$F,F3767)=O3767,"●","")</f>
        <v/>
      </c>
      <c r="O3767" s="346">
        <v>46051.27609953703</v>
      </c>
      <c r="P3767" s="334" t="str">
        <f t="shared" si="4"/>
        <v>東鐵岡山:直納シュレＡ</v>
      </c>
    </row>
    <row r="3768" ht="15.75" customHeight="1">
      <c r="A3768" s="335" t="s">
        <v>4915</v>
      </c>
      <c r="B3768" s="336">
        <v>46051.0</v>
      </c>
      <c r="C3768" s="335" t="s">
        <v>532</v>
      </c>
      <c r="D3768" s="335" t="s">
        <v>77</v>
      </c>
      <c r="E3768" s="337" t="str">
        <f t="shared" si="1"/>
        <v>東鐵岡山:直納</v>
      </c>
      <c r="F3768" s="338" t="s">
        <v>151</v>
      </c>
      <c r="G3768" s="339" t="str">
        <f t="shared" si="2"/>
        <v>東鐵岡山:直納シュレＣ</v>
      </c>
      <c r="H3768" s="340">
        <f t="shared" si="3"/>
        <v>43.5</v>
      </c>
      <c r="I3768" s="341">
        <v>-0.5</v>
      </c>
      <c r="J3768" s="332">
        <f>IFERROR(__xludf.DUMMYFUNCTION("IF(IF(COUNTIF(P$2:P3767, P3768)=0, """", INDEX(H$2:H3767,
MAX(FILTER(ROW(H$2:H3767) - ROW(H$2) + 1, P$2:P3767 = P3768))))=""単価"","""",
IF(COUNTIF(P$2:P3767, P3768)=0, """", INDEX(H$2:H3767,
MAX(FILTER(ROW(H$2:H3767) - ROW(H$2) + 1, P$2:P3767 = P3768)))))"),44.0)</f>
        <v>44</v>
      </c>
      <c r="N3768" s="335" t="str">
        <f>IF(MAXIFS('単価履歴'!$O:$O,'単価履歴'!$E:$E,E3768,'単価履歴'!$F:$F,F3768)=O3768,"●","")</f>
        <v/>
      </c>
      <c r="O3768" s="346">
        <v>46051.27609953703</v>
      </c>
      <c r="P3768" s="334" t="str">
        <f t="shared" si="4"/>
        <v>東鐵岡山:直納シュレＣ</v>
      </c>
    </row>
    <row r="3769" ht="15.75" customHeight="1">
      <c r="A3769" s="335" t="s">
        <v>4916</v>
      </c>
      <c r="B3769" s="336">
        <v>46051.0</v>
      </c>
      <c r="C3769" s="335" t="s">
        <v>532</v>
      </c>
      <c r="D3769" s="335" t="s">
        <v>77</v>
      </c>
      <c r="E3769" s="337" t="str">
        <f t="shared" si="1"/>
        <v>東鐵岡山:直納</v>
      </c>
      <c r="F3769" s="338" t="s">
        <v>130</v>
      </c>
      <c r="G3769" s="339" t="str">
        <f t="shared" si="2"/>
        <v>東鐵岡山:直納新断Ａ</v>
      </c>
      <c r="H3769" s="340">
        <f t="shared" si="3"/>
        <v>44.5</v>
      </c>
      <c r="I3769" s="341">
        <v>-0.5</v>
      </c>
      <c r="J3769" s="332">
        <f>IFERROR(__xludf.DUMMYFUNCTION("IF(IF(COUNTIF(P$2:P3768, P3769)=0, """", INDEX(H$2:H3768,
MAX(FILTER(ROW(H$2:H3768) - ROW(H$2) + 1, P$2:P3768 = P3769))))=""単価"","""",
IF(COUNTIF(P$2:P3768, P3769)=0, """", INDEX(H$2:H3768,
MAX(FILTER(ROW(H$2:H3768) - ROW(H$2) + 1, P$2:P3768 = P3769)))))"),45.0)</f>
        <v>45</v>
      </c>
      <c r="N3769" s="335" t="str">
        <f>IF(MAXIFS('単価履歴'!$O:$O,'単価履歴'!$E:$E,E3769,'単価履歴'!$F:$F,F3769)=O3769,"●","")</f>
        <v/>
      </c>
      <c r="O3769" s="346">
        <v>46051.27609953703</v>
      </c>
      <c r="P3769" s="334" t="str">
        <f t="shared" si="4"/>
        <v>東鐵岡山:直納新断Ａ</v>
      </c>
    </row>
    <row r="3770" ht="15.75" customHeight="1">
      <c r="A3770" s="335" t="s">
        <v>4917</v>
      </c>
      <c r="B3770" s="336">
        <v>46051.0</v>
      </c>
      <c r="C3770" s="335" t="s">
        <v>532</v>
      </c>
      <c r="D3770" s="335" t="s">
        <v>77</v>
      </c>
      <c r="E3770" s="337" t="str">
        <f t="shared" si="1"/>
        <v>東鐵岡山:直納</v>
      </c>
      <c r="F3770" s="338" t="s">
        <v>131</v>
      </c>
      <c r="G3770" s="339" t="str">
        <f t="shared" si="2"/>
        <v>東鐵岡山:直納新断Ｂ</v>
      </c>
      <c r="H3770" s="340">
        <f t="shared" si="3"/>
        <v>44.5</v>
      </c>
      <c r="I3770" s="341">
        <v>-0.5</v>
      </c>
      <c r="J3770" s="332">
        <f>IFERROR(__xludf.DUMMYFUNCTION("IF(IF(COUNTIF(P$2:P3769, P3770)=0, """", INDEX(H$2:H3769,
MAX(FILTER(ROW(H$2:H3769) - ROW(H$2) + 1, P$2:P3769 = P3770))))=""単価"","""",
IF(COUNTIF(P$2:P3769, P3770)=0, """", INDEX(H$2:H3769,
MAX(FILTER(ROW(H$2:H3769) - ROW(H$2) + 1, P$2:P3769 = P3770)))))"),45.0)</f>
        <v>45</v>
      </c>
      <c r="N3770" s="335" t="str">
        <f>IF(MAXIFS('単価履歴'!$O:$O,'単価履歴'!$E:$E,E3770,'単価履歴'!$F:$F,F3770)=O3770,"●","")</f>
        <v/>
      </c>
      <c r="O3770" s="346">
        <v>46051.27609953703</v>
      </c>
      <c r="P3770" s="334" t="str">
        <f t="shared" si="4"/>
        <v>東鐵岡山:直納新断Ｂ</v>
      </c>
    </row>
    <row r="3771" ht="15.75" customHeight="1">
      <c r="A3771" s="335" t="s">
        <v>4918</v>
      </c>
      <c r="B3771" s="336">
        <v>46051.0</v>
      </c>
      <c r="C3771" s="335" t="s">
        <v>532</v>
      </c>
      <c r="D3771" s="335" t="s">
        <v>77</v>
      </c>
      <c r="E3771" s="337" t="str">
        <f t="shared" si="1"/>
        <v>東鐵岡山:直納</v>
      </c>
      <c r="F3771" s="338" t="s">
        <v>575</v>
      </c>
      <c r="G3771" s="339" t="str">
        <f t="shared" si="2"/>
        <v>東鐵岡山:直納鋼ダライＡ</v>
      </c>
      <c r="H3771" s="340">
        <f t="shared" si="3"/>
        <v>39.5</v>
      </c>
      <c r="I3771" s="341">
        <v>-0.5</v>
      </c>
      <c r="J3771" s="332">
        <f>IFERROR(__xludf.DUMMYFUNCTION("IF(IF(COUNTIF(P$2:P3770, P3771)=0, """", INDEX(H$2:H3770,
MAX(FILTER(ROW(H$2:H3770) - ROW(H$2) + 1, P$2:P3770 = P3771))))=""単価"","""",
IF(COUNTIF(P$2:P3770, P3771)=0, """", INDEX(H$2:H3770,
MAX(FILTER(ROW(H$2:H3770) - ROW(H$2) + 1, P$2:P3770 = P3771)))))"),40.0)</f>
        <v>40</v>
      </c>
      <c r="N3771" s="335" t="str">
        <f>IF(MAXIFS('単価履歴'!$O:$O,'単価履歴'!$E:$E,E3771,'単価履歴'!$F:$F,F3771)=O3771,"●","")</f>
        <v/>
      </c>
      <c r="O3771" s="346">
        <v>46051.27609953703</v>
      </c>
      <c r="P3771" s="334" t="str">
        <f t="shared" si="4"/>
        <v>東鐵岡山:直納鋼ダライＡ</v>
      </c>
    </row>
    <row r="3772" ht="15.75" customHeight="1">
      <c r="A3772" s="335" t="s">
        <v>4919</v>
      </c>
      <c r="B3772" s="336">
        <v>46051.0</v>
      </c>
      <c r="C3772" s="335" t="s">
        <v>532</v>
      </c>
      <c r="D3772" s="335" t="s">
        <v>77</v>
      </c>
      <c r="E3772" s="337" t="str">
        <f t="shared" si="1"/>
        <v>東鐵岡山:直納</v>
      </c>
      <c r="F3772" s="338" t="s">
        <v>25</v>
      </c>
      <c r="G3772" s="339" t="str">
        <f t="shared" si="2"/>
        <v>東鐵岡山:直納銑ダライ</v>
      </c>
      <c r="H3772" s="340">
        <f t="shared" si="3"/>
        <v>36</v>
      </c>
      <c r="I3772" s="341">
        <v>-0.5</v>
      </c>
      <c r="J3772" s="332">
        <f>IFERROR(__xludf.DUMMYFUNCTION("IF(IF(COUNTIF(P$2:P3771, P3772)=0, """", INDEX(H$2:H3771,
MAX(FILTER(ROW(H$2:H3771) - ROW(H$2) + 1, P$2:P3771 = P3772))))=""単価"","""",
IF(COUNTIF(P$2:P3771, P3772)=0, """", INDEX(H$2:H3771,
MAX(FILTER(ROW(H$2:H3771) - ROW(H$2) + 1, P$2:P3771 = P3772)))))"),36.5)</f>
        <v>36.5</v>
      </c>
      <c r="N3772" s="335" t="str">
        <f>IF(MAXIFS('単価履歴'!$O:$O,'単価履歴'!$E:$E,E3772,'単価履歴'!$F:$F,F3772)=O3772,"●","")</f>
        <v/>
      </c>
      <c r="O3772" s="346">
        <v>46051.27609953703</v>
      </c>
      <c r="P3772" s="334" t="str">
        <f t="shared" si="4"/>
        <v>東鐵岡山:直納銑ダライ</v>
      </c>
    </row>
    <row r="3773" ht="15.75" customHeight="1">
      <c r="A3773" s="335" t="s">
        <v>4920</v>
      </c>
      <c r="B3773" s="336">
        <v>46051.0</v>
      </c>
      <c r="C3773" s="335" t="s">
        <v>532</v>
      </c>
      <c r="D3773" s="335" t="s">
        <v>77</v>
      </c>
      <c r="E3773" s="337" t="str">
        <f t="shared" si="1"/>
        <v>東鐵岡山:直納</v>
      </c>
      <c r="F3773" s="338" t="s">
        <v>154</v>
      </c>
      <c r="G3773" s="339" t="str">
        <f t="shared" si="2"/>
        <v>東鐵岡山:直納ＣＰ Ａ</v>
      </c>
      <c r="H3773" s="340">
        <f t="shared" si="3"/>
        <v>42</v>
      </c>
      <c r="I3773" s="341">
        <v>-0.5</v>
      </c>
      <c r="J3773" s="332">
        <f>IFERROR(__xludf.DUMMYFUNCTION("IF(IF(COUNTIF(P$2:P3772, P3773)=0, """", INDEX(H$2:H3772,
MAX(FILTER(ROW(H$2:H3772) - ROW(H$2) + 1, P$2:P3772 = P3773))))=""単価"","""",
IF(COUNTIF(P$2:P3772, P3773)=0, """", INDEX(H$2:H3772,
MAX(FILTER(ROW(H$2:H3772) - ROW(H$2) + 1, P$2:P3772 = P3773)))))"),42.5)</f>
        <v>42.5</v>
      </c>
      <c r="N3773" s="335" t="str">
        <f>IF(MAXIFS('単価履歴'!$O:$O,'単価履歴'!$E:$E,E3773,'単価履歴'!$F:$F,F3773)=O3773,"●","")</f>
        <v/>
      </c>
      <c r="O3773" s="346">
        <v>46051.27609953703</v>
      </c>
      <c r="P3773" s="334" t="str">
        <f t="shared" si="4"/>
        <v>東鐵岡山:直納ＣＰ Ａ</v>
      </c>
    </row>
    <row r="3774" ht="15.75" customHeight="1">
      <c r="A3774" s="335" t="s">
        <v>4921</v>
      </c>
      <c r="B3774" s="336">
        <v>46051.0</v>
      </c>
      <c r="C3774" s="335" t="s">
        <v>9</v>
      </c>
      <c r="D3774" s="335" t="s">
        <v>51</v>
      </c>
      <c r="E3774" s="337" t="str">
        <f t="shared" si="1"/>
        <v>大鉄　堺:大鉄堺</v>
      </c>
      <c r="F3774" s="338" t="s">
        <v>111</v>
      </c>
      <c r="G3774" s="339" t="str">
        <f t="shared" si="2"/>
        <v>大鉄　堺:大鉄堺Ｈ１(特A)</v>
      </c>
      <c r="H3774" s="340">
        <f t="shared" si="3"/>
        <v>45</v>
      </c>
      <c r="I3774" s="341">
        <v>-0.5</v>
      </c>
      <c r="J3774" s="332">
        <f>IFERROR(__xludf.DUMMYFUNCTION("IF(IF(COUNTIF(P$2:P3773, P3774)=0, """", INDEX(H$2:H3773,
MAX(FILTER(ROW(H$2:H3773) - ROW(H$2) + 1, P$2:P3773 = P3774))))=""単価"","""",
IF(COUNTIF(P$2:P3773, P3774)=0, """", INDEX(H$2:H3773,
MAX(FILTER(ROW(H$2:H3773) - ROW(H$2) + 1, P$2:P3773 = P3774)))))"),45.5)</f>
        <v>45.5</v>
      </c>
      <c r="N3774" s="335" t="str">
        <f>IF(MAXIFS('単価履歴'!$O:$O,'単価履歴'!$E:$E,E3774,'単価履歴'!$F:$F,F3774)=O3774,"●","")</f>
        <v/>
      </c>
      <c r="O3774" s="346">
        <v>46051.276550925926</v>
      </c>
      <c r="P3774" s="334" t="str">
        <f t="shared" si="4"/>
        <v>大鉄　堺:大鉄堺Ｈ１(特A)</v>
      </c>
    </row>
    <row r="3775" ht="15.75" customHeight="1">
      <c r="A3775" s="335" t="s">
        <v>4922</v>
      </c>
      <c r="B3775" s="336">
        <v>46051.0</v>
      </c>
      <c r="C3775" s="335" t="s">
        <v>9</v>
      </c>
      <c r="D3775" s="335" t="s">
        <v>51</v>
      </c>
      <c r="E3775" s="337" t="str">
        <f t="shared" si="1"/>
        <v>大鉄　堺:大鉄堺</v>
      </c>
      <c r="F3775" s="338" t="s">
        <v>116</v>
      </c>
      <c r="G3775" s="339" t="str">
        <f t="shared" si="2"/>
        <v>大鉄　堺:大鉄堺Ｈ２(特級)</v>
      </c>
      <c r="H3775" s="340">
        <f t="shared" si="3"/>
        <v>42</v>
      </c>
      <c r="I3775" s="341">
        <v>-0.5</v>
      </c>
      <c r="J3775" s="332">
        <f>IFERROR(__xludf.DUMMYFUNCTION("IF(IF(COUNTIF(P$2:P3774, P3775)=0, """", INDEX(H$2:H3774,
MAX(FILTER(ROW(H$2:H3774) - ROW(H$2) + 1, P$2:P3774 = P3775))))=""単価"","""",
IF(COUNTIF(P$2:P3774, P3775)=0, """", INDEX(H$2:H3774,
MAX(FILTER(ROW(H$2:H3774) - ROW(H$2) + 1, P$2:P3774 = P3775)))))"),42.5)</f>
        <v>42.5</v>
      </c>
      <c r="N3775" s="335" t="str">
        <f>IF(MAXIFS('単価履歴'!$O:$O,'単価履歴'!$E:$E,E3775,'単価履歴'!$F:$F,F3775)=O3775,"●","")</f>
        <v/>
      </c>
      <c r="O3775" s="346">
        <v>46051.276550925926</v>
      </c>
      <c r="P3775" s="334" t="str">
        <f t="shared" si="4"/>
        <v>大鉄　堺:大鉄堺Ｈ２(特級)</v>
      </c>
    </row>
    <row r="3776" ht="15.75" customHeight="1">
      <c r="A3776" s="335" t="s">
        <v>4923</v>
      </c>
      <c r="B3776" s="336">
        <v>46051.0</v>
      </c>
      <c r="C3776" s="335" t="s">
        <v>9</v>
      </c>
      <c r="D3776" s="335" t="s">
        <v>51</v>
      </c>
      <c r="E3776" s="337" t="str">
        <f t="shared" si="1"/>
        <v>大鉄　堺:大鉄堺</v>
      </c>
      <c r="F3776" s="338" t="s">
        <v>1237</v>
      </c>
      <c r="G3776" s="339" t="str">
        <f t="shared" si="2"/>
        <v>大鉄　堺:大鉄堺ＪＨ１(H2T山口)鍛造ﾊﾞﾘ</v>
      </c>
      <c r="H3776" s="340">
        <f t="shared" si="3"/>
        <v>44</v>
      </c>
      <c r="I3776" s="341">
        <v>-0.5</v>
      </c>
      <c r="J3776" s="332">
        <f>IFERROR(__xludf.DUMMYFUNCTION("IF(IF(COUNTIF(P$2:P3775, P3776)=0, """", INDEX(H$2:H3775,
MAX(FILTER(ROW(H$2:H3775) - ROW(H$2) + 1, P$2:P3775 = P3776))))=""単価"","""",
IF(COUNTIF(P$2:P3775, P3776)=0, """", INDEX(H$2:H3775,
MAX(FILTER(ROW(H$2:H3775) - ROW(H$2) + 1, P$2:P3775 = P3776)))))"),44.5)</f>
        <v>44.5</v>
      </c>
      <c r="N3776" s="335" t="str">
        <f>IF(MAXIFS('単価履歴'!$O:$O,'単価履歴'!$E:$E,E3776,'単価履歴'!$F:$F,F3776)=O3776,"●","")</f>
        <v/>
      </c>
      <c r="O3776" s="346">
        <v>46051.276550925926</v>
      </c>
      <c r="P3776" s="334" t="str">
        <f t="shared" si="4"/>
        <v>大鉄　堺:大鉄堺ＪＨ１(H2T山口)鍛造ﾊﾞﾘ</v>
      </c>
    </row>
    <row r="3777" ht="15.75" customHeight="1">
      <c r="A3777" s="335" t="s">
        <v>4924</v>
      </c>
      <c r="B3777" s="336">
        <v>46051.0</v>
      </c>
      <c r="C3777" s="335" t="s">
        <v>9</v>
      </c>
      <c r="D3777" s="335" t="s">
        <v>51</v>
      </c>
      <c r="E3777" s="337" t="str">
        <f t="shared" si="1"/>
        <v>大鉄　堺:大鉄堺</v>
      </c>
      <c r="F3777" s="338" t="s">
        <v>119</v>
      </c>
      <c r="G3777" s="339" t="str">
        <f t="shared" si="2"/>
        <v>大鉄　堺:大鉄堺Ｈ３(1級)</v>
      </c>
      <c r="H3777" s="340">
        <f t="shared" si="3"/>
        <v>41.5</v>
      </c>
      <c r="I3777" s="341">
        <v>-0.5</v>
      </c>
      <c r="J3777" s="332">
        <f>IFERROR(__xludf.DUMMYFUNCTION("IF(IF(COUNTIF(P$2:P3776, P3777)=0, """", INDEX(H$2:H3776,
MAX(FILTER(ROW(H$2:H3776) - ROW(H$2) + 1, P$2:P3776 = P3777))))=""単価"","""",
IF(COUNTIF(P$2:P3776, P3777)=0, """", INDEX(H$2:H3776,
MAX(FILTER(ROW(H$2:H3776) - ROW(H$2) + 1, P$2:P3776 = P3777)))))"),42.0)</f>
        <v>42</v>
      </c>
      <c r="N3777" s="335" t="str">
        <f>IF(MAXIFS('単価履歴'!$O:$O,'単価履歴'!$E:$E,E3777,'単価履歴'!$F:$F,F3777)=O3777,"●","")</f>
        <v/>
      </c>
      <c r="O3777" s="346">
        <v>46051.276550925926</v>
      </c>
      <c r="P3777" s="334" t="str">
        <f t="shared" si="4"/>
        <v>大鉄　堺:大鉄堺Ｈ３(1級)</v>
      </c>
    </row>
    <row r="3778" ht="15.75" customHeight="1">
      <c r="A3778" s="335" t="s">
        <v>4925</v>
      </c>
      <c r="B3778" s="336">
        <v>46051.0</v>
      </c>
      <c r="C3778" s="335" t="s">
        <v>9</v>
      </c>
      <c r="D3778" s="335" t="s">
        <v>51</v>
      </c>
      <c r="E3778" s="337" t="str">
        <f t="shared" si="1"/>
        <v>大鉄　堺:大鉄堺</v>
      </c>
      <c r="F3778" s="338" t="s">
        <v>122</v>
      </c>
      <c r="G3778" s="339" t="str">
        <f t="shared" si="2"/>
        <v>大鉄　堺:大鉄堺Ｌ１(2級)</v>
      </c>
      <c r="H3778" s="340">
        <f t="shared" si="3"/>
        <v>41</v>
      </c>
      <c r="I3778" s="341">
        <v>-0.5</v>
      </c>
      <c r="J3778" s="332">
        <f>IFERROR(__xludf.DUMMYFUNCTION("IF(IF(COUNTIF(P$2:P3777, P3778)=0, """", INDEX(H$2:H3777,
MAX(FILTER(ROW(H$2:H3777) - ROW(H$2) + 1, P$2:P3777 = P3778))))=""単価"","""",
IF(COUNTIF(P$2:P3777, P3778)=0, """", INDEX(H$2:H3777,
MAX(FILTER(ROW(H$2:H3777) - ROW(H$2) + 1, P$2:P3777 = P3778)))))"),41.5)</f>
        <v>41.5</v>
      </c>
      <c r="N3778" s="335" t="str">
        <f>IF(MAXIFS('単価履歴'!$O:$O,'単価履歴'!$E:$E,E3778,'単価履歴'!$F:$F,F3778)=O3778,"●","")</f>
        <v/>
      </c>
      <c r="O3778" s="346">
        <v>46051.276550925926</v>
      </c>
      <c r="P3778" s="334" t="str">
        <f t="shared" si="4"/>
        <v>大鉄　堺:大鉄堺Ｌ１(2級)</v>
      </c>
    </row>
    <row r="3779" ht="15.75" customHeight="1">
      <c r="A3779" s="335" t="s">
        <v>4926</v>
      </c>
      <c r="B3779" s="336">
        <v>46051.0</v>
      </c>
      <c r="C3779" s="335" t="s">
        <v>9</v>
      </c>
      <c r="D3779" s="335" t="s">
        <v>51</v>
      </c>
      <c r="E3779" s="337" t="str">
        <f t="shared" si="1"/>
        <v>大鉄　堺:大鉄堺</v>
      </c>
      <c r="F3779" s="338" t="s">
        <v>130</v>
      </c>
      <c r="G3779" s="339" t="str">
        <f t="shared" si="2"/>
        <v>大鉄　堺:大鉄堺新断Ａ</v>
      </c>
      <c r="H3779" s="340">
        <f t="shared" si="3"/>
        <v>28.5</v>
      </c>
      <c r="I3779" s="341">
        <v>-0.5</v>
      </c>
      <c r="J3779" s="332">
        <f>IFERROR(__xludf.DUMMYFUNCTION("IF(IF(COUNTIF(P$2:P3778, P3779)=0, """", INDEX(H$2:H3778,
MAX(FILTER(ROW(H$2:H3778) - ROW(H$2) + 1, P$2:P3778 = P3779))))=""単価"","""",
IF(COUNTIF(P$2:P3778, P3779)=0, """", INDEX(H$2:H3778,
MAX(FILTER(ROW(H$2:H3778) - ROW(H$2) + 1, P$2:P3778 = P3779)))))"),29.0)</f>
        <v>29</v>
      </c>
      <c r="N3779" s="335" t="str">
        <f>IF(MAXIFS('単価履歴'!$O:$O,'単価履歴'!$E:$E,E3779,'単価履歴'!$F:$F,F3779)=O3779,"●","")</f>
        <v/>
      </c>
      <c r="O3779" s="346">
        <v>46051.276550925926</v>
      </c>
      <c r="P3779" s="334" t="str">
        <f t="shared" si="4"/>
        <v>大鉄　堺:大鉄堺新断Ａ</v>
      </c>
    </row>
    <row r="3780" ht="15.75" customHeight="1">
      <c r="A3780" s="335" t="s">
        <v>4927</v>
      </c>
      <c r="B3780" s="336">
        <v>46051.0</v>
      </c>
      <c r="C3780" s="335" t="s">
        <v>9</v>
      </c>
      <c r="D3780" s="335" t="s">
        <v>51</v>
      </c>
      <c r="E3780" s="337" t="str">
        <f t="shared" si="1"/>
        <v>大鉄　堺:大鉄堺</v>
      </c>
      <c r="F3780" s="338" t="s">
        <v>131</v>
      </c>
      <c r="G3780" s="339" t="str">
        <f t="shared" si="2"/>
        <v>大鉄　堺:大鉄堺新断Ｂ</v>
      </c>
      <c r="H3780" s="340">
        <f t="shared" si="3"/>
        <v>28</v>
      </c>
      <c r="I3780" s="341">
        <v>-0.5</v>
      </c>
      <c r="J3780" s="332">
        <f>IFERROR(__xludf.DUMMYFUNCTION("IF(IF(COUNTIF(P$2:P3779, P3780)=0, """", INDEX(H$2:H3779,
MAX(FILTER(ROW(H$2:H3779) - ROW(H$2) + 1, P$2:P3779 = P3780))))=""単価"","""",
IF(COUNTIF(P$2:P3779, P3780)=0, """", INDEX(H$2:H3779,
MAX(FILTER(ROW(H$2:H3779) - ROW(H$2) + 1, P$2:P3779 = P3780)))))"),28.5)</f>
        <v>28.5</v>
      </c>
      <c r="N3780" s="335" t="str">
        <f>IF(MAXIFS('単価履歴'!$O:$O,'単価履歴'!$E:$E,E3780,'単価履歴'!$F:$F,F3780)=O3780,"●","")</f>
        <v/>
      </c>
      <c r="O3780" s="346">
        <v>46051.276550925926</v>
      </c>
      <c r="P3780" s="334" t="str">
        <f t="shared" si="4"/>
        <v>大鉄　堺:大鉄堺新断Ｂ</v>
      </c>
    </row>
    <row r="3781" ht="15.75" customHeight="1">
      <c r="A3781" s="335" t="s">
        <v>4928</v>
      </c>
      <c r="B3781" s="336">
        <v>46051.0</v>
      </c>
      <c r="C3781" s="335" t="s">
        <v>9</v>
      </c>
      <c r="D3781" s="335" t="s">
        <v>51</v>
      </c>
      <c r="E3781" s="337" t="str">
        <f t="shared" si="1"/>
        <v>大鉄　堺:大鉄堺</v>
      </c>
      <c r="F3781" s="338" t="s">
        <v>575</v>
      </c>
      <c r="G3781" s="339" t="str">
        <f t="shared" si="2"/>
        <v>大鉄　堺:大鉄堺鋼ダライＡ</v>
      </c>
      <c r="H3781" s="340">
        <f t="shared" si="3"/>
        <v>28</v>
      </c>
      <c r="I3781" s="341">
        <v>-0.5</v>
      </c>
      <c r="J3781" s="332">
        <f>IFERROR(__xludf.DUMMYFUNCTION("IF(IF(COUNTIF(P$2:P3780, P3781)=0, """", INDEX(H$2:H3780,
MAX(FILTER(ROW(H$2:H3780) - ROW(H$2) + 1, P$2:P3780 = P3781))))=""単価"","""",
IF(COUNTIF(P$2:P3780, P3781)=0, """", INDEX(H$2:H3780,
MAX(FILTER(ROW(H$2:H3780) - ROW(H$2) + 1, P$2:P3780 = P3781)))))"),28.5)</f>
        <v>28.5</v>
      </c>
      <c r="N3781" s="335" t="str">
        <f>IF(MAXIFS('単価履歴'!$O:$O,'単価履歴'!$E:$E,E3781,'単価履歴'!$F:$F,F3781)=O3781,"●","")</f>
        <v/>
      </c>
      <c r="O3781" s="346">
        <v>46051.276550925926</v>
      </c>
      <c r="P3781" s="334" t="str">
        <f t="shared" si="4"/>
        <v>大鉄　堺:大鉄堺鋼ダライＡ</v>
      </c>
    </row>
    <row r="3782" ht="15.75" customHeight="1">
      <c r="A3782" s="335" t="s">
        <v>4929</v>
      </c>
      <c r="B3782" s="336">
        <v>46051.0</v>
      </c>
      <c r="C3782" s="335" t="s">
        <v>9</v>
      </c>
      <c r="D3782" s="335" t="s">
        <v>51</v>
      </c>
      <c r="E3782" s="337" t="str">
        <f t="shared" si="1"/>
        <v>大鉄　堺:大鉄堺</v>
      </c>
      <c r="F3782" s="338" t="s">
        <v>576</v>
      </c>
      <c r="G3782" s="339" t="str">
        <f t="shared" si="2"/>
        <v>大鉄　堺:大鉄堺鋼ダライＢ</v>
      </c>
      <c r="H3782" s="340">
        <f t="shared" si="3"/>
        <v>28</v>
      </c>
      <c r="I3782" s="341">
        <v>-0.5</v>
      </c>
      <c r="J3782" s="332">
        <f>IFERROR(__xludf.DUMMYFUNCTION("IF(IF(COUNTIF(P$2:P3781, P3782)=0, """", INDEX(H$2:H3781,
MAX(FILTER(ROW(H$2:H3781) - ROW(H$2) + 1, P$2:P3781 = P3782))))=""単価"","""",
IF(COUNTIF(P$2:P3781, P3782)=0, """", INDEX(H$2:H3781,
MAX(FILTER(ROW(H$2:H3781) - ROW(H$2) + 1, P$2:P3781 = P3782)))))"),28.5)</f>
        <v>28.5</v>
      </c>
      <c r="N3782" s="335" t="str">
        <f>IF(MAXIFS('単価履歴'!$O:$O,'単価履歴'!$E:$E,E3782,'単価履歴'!$F:$F,F3782)=O3782,"●","")</f>
        <v/>
      </c>
      <c r="O3782" s="346">
        <v>46051.276550925926</v>
      </c>
      <c r="P3782" s="334" t="str">
        <f t="shared" si="4"/>
        <v>大鉄　堺:大鉄堺鋼ダライＢ</v>
      </c>
    </row>
    <row r="3783" ht="15.75" customHeight="1">
      <c r="A3783" s="335" t="s">
        <v>4930</v>
      </c>
      <c r="B3783" s="336">
        <v>46051.0</v>
      </c>
      <c r="C3783" s="335" t="s">
        <v>9</v>
      </c>
      <c r="D3783" s="335" t="s">
        <v>51</v>
      </c>
      <c r="E3783" s="337" t="str">
        <f t="shared" si="1"/>
        <v>大鉄　堺:大鉄堺</v>
      </c>
      <c r="F3783" s="338" t="s">
        <v>145</v>
      </c>
      <c r="G3783" s="339" t="str">
        <f t="shared" si="2"/>
        <v>大鉄　堺:大鉄堺シュレＡ</v>
      </c>
      <c r="H3783" s="340">
        <f t="shared" si="3"/>
        <v>31</v>
      </c>
      <c r="I3783" s="341">
        <v>-0.5</v>
      </c>
      <c r="J3783" s="332">
        <f>IFERROR(__xludf.DUMMYFUNCTION("IF(IF(COUNTIF(P$2:P3782, P3783)=0, """", INDEX(H$2:H3782,
MAX(FILTER(ROW(H$2:H3782) - ROW(H$2) + 1, P$2:P3782 = P3783))))=""単価"","""",
IF(COUNTIF(P$2:P3782, P3783)=0, """", INDEX(H$2:H3782,
MAX(FILTER(ROW(H$2:H3782) - ROW(H$2) + 1, P$2:P3782 = P3783)))))"),31.5)</f>
        <v>31.5</v>
      </c>
      <c r="N3783" s="335" t="str">
        <f>IF(MAXIFS('単価履歴'!$O:$O,'単価履歴'!$E:$E,E3783,'単価履歴'!$F:$F,F3783)=O3783,"●","")</f>
        <v/>
      </c>
      <c r="O3783" s="346">
        <v>46051.276550925926</v>
      </c>
      <c r="P3783" s="334" t="str">
        <f t="shared" si="4"/>
        <v>大鉄　堺:大鉄堺シュレＡ</v>
      </c>
    </row>
    <row r="3784" ht="15.75" customHeight="1">
      <c r="A3784" s="335" t="s">
        <v>4931</v>
      </c>
      <c r="B3784" s="336">
        <v>46051.0</v>
      </c>
      <c r="C3784" s="335" t="s">
        <v>9</v>
      </c>
      <c r="D3784" s="335" t="s">
        <v>51</v>
      </c>
      <c r="E3784" s="337" t="str">
        <f t="shared" si="1"/>
        <v>大鉄　堺:大鉄堺</v>
      </c>
      <c r="F3784" s="338" t="s">
        <v>149</v>
      </c>
      <c r="G3784" s="339" t="str">
        <f t="shared" si="2"/>
        <v>大鉄　堺:大鉄堺シュレＢ</v>
      </c>
      <c r="H3784" s="340">
        <f t="shared" si="3"/>
        <v>30.3</v>
      </c>
      <c r="I3784" s="341">
        <v>-0.5</v>
      </c>
      <c r="J3784" s="332">
        <f>IFERROR(__xludf.DUMMYFUNCTION("IF(IF(COUNTIF(P$2:P3783, P3784)=0, """", INDEX(H$2:H3783,
MAX(FILTER(ROW(H$2:H3783) - ROW(H$2) + 1, P$2:P3783 = P3784))))=""単価"","""",
IF(COUNTIF(P$2:P3783, P3784)=0, """", INDEX(H$2:H3783,
MAX(FILTER(ROW(H$2:H3783) - ROW(H$2) + 1, P$2:P3783 = P3784)))))"),30.8)</f>
        <v>30.8</v>
      </c>
      <c r="N3784" s="335" t="str">
        <f>IF(MAXIFS('単価履歴'!$O:$O,'単価履歴'!$E:$E,E3784,'単価履歴'!$F:$F,F3784)=O3784,"●","")</f>
        <v/>
      </c>
      <c r="O3784" s="346">
        <v>46051.276550925926</v>
      </c>
      <c r="P3784" s="334" t="str">
        <f t="shared" si="4"/>
        <v>大鉄　堺:大鉄堺シュレＢ</v>
      </c>
    </row>
    <row r="3785" ht="15.75" customHeight="1">
      <c r="A3785" s="335" t="s">
        <v>4932</v>
      </c>
      <c r="B3785" s="336">
        <v>46051.0</v>
      </c>
      <c r="C3785" s="335" t="s">
        <v>9</v>
      </c>
      <c r="D3785" s="335" t="s">
        <v>51</v>
      </c>
      <c r="E3785" s="337" t="str">
        <f t="shared" si="1"/>
        <v>大鉄　堺:大鉄堺</v>
      </c>
      <c r="F3785" s="338" t="s">
        <v>151</v>
      </c>
      <c r="G3785" s="339" t="str">
        <f t="shared" si="2"/>
        <v>大鉄　堺:大鉄堺シュレＣ</v>
      </c>
      <c r="H3785" s="340">
        <f t="shared" si="3"/>
        <v>28.9</v>
      </c>
      <c r="I3785" s="341">
        <v>-0.5</v>
      </c>
      <c r="J3785" s="332">
        <f>IFERROR(__xludf.DUMMYFUNCTION("IF(IF(COUNTIF(P$2:P3784, P3785)=0, """", INDEX(H$2:H3784,
MAX(FILTER(ROW(H$2:H3784) - ROW(H$2) + 1, P$2:P3784 = P3785))))=""単価"","""",
IF(COUNTIF(P$2:P3784, P3785)=0, """", INDEX(H$2:H3784,
MAX(FILTER(ROW(H$2:H3784) - ROW(H$2) + 1, P$2:P3784 = P3785)))))"),29.4)</f>
        <v>29.4</v>
      </c>
      <c r="N3785" s="335" t="str">
        <f>IF(MAXIFS('単価履歴'!$O:$O,'単価履歴'!$E:$E,E3785,'単価履歴'!$F:$F,F3785)=O3785,"●","")</f>
        <v/>
      </c>
      <c r="O3785" s="346">
        <v>46051.276550925926</v>
      </c>
      <c r="P3785" s="334" t="str">
        <f t="shared" si="4"/>
        <v>大鉄　堺:大鉄堺シュレＣ</v>
      </c>
    </row>
    <row r="3786" ht="15.75" customHeight="1">
      <c r="A3786" s="335" t="s">
        <v>4933</v>
      </c>
      <c r="B3786" s="336">
        <v>46051.0</v>
      </c>
      <c r="C3786" s="335" t="s">
        <v>9</v>
      </c>
      <c r="D3786" s="335" t="s">
        <v>51</v>
      </c>
      <c r="E3786" s="337" t="str">
        <f t="shared" si="1"/>
        <v>大鉄　堺:大鉄堺</v>
      </c>
      <c r="F3786" s="338" t="s">
        <v>154</v>
      </c>
      <c r="G3786" s="339" t="str">
        <f t="shared" si="2"/>
        <v>大鉄　堺:大鉄堺ＣＰ Ａ</v>
      </c>
      <c r="H3786" s="340">
        <f t="shared" si="3"/>
        <v>36.5</v>
      </c>
      <c r="I3786" s="341">
        <v>-0.5</v>
      </c>
      <c r="J3786" s="332">
        <f>IFERROR(__xludf.DUMMYFUNCTION("IF(IF(COUNTIF(P$2:P3785, P3786)=0, """", INDEX(H$2:H3785,
MAX(FILTER(ROW(H$2:H3785) - ROW(H$2) + 1, P$2:P3785 = P3786))))=""単価"","""",
IF(COUNTIF(P$2:P3785, P3786)=0, """", INDEX(H$2:H3785,
MAX(FILTER(ROW(H$2:H3785) - ROW(H$2) + 1, P$2:P3785 = P3786)))))"),37.0)</f>
        <v>37</v>
      </c>
      <c r="N3786" s="335" t="str">
        <f>IF(MAXIFS('単価履歴'!$O:$O,'単価履歴'!$E:$E,E3786,'単価履歴'!$F:$F,F3786)=O3786,"●","")</f>
        <v/>
      </c>
      <c r="O3786" s="346">
        <v>46051.276550925926</v>
      </c>
      <c r="P3786" s="334" t="str">
        <f t="shared" si="4"/>
        <v>大鉄　堺:大鉄堺ＣＰ Ａ</v>
      </c>
    </row>
    <row r="3787" ht="15.75" customHeight="1">
      <c r="A3787" s="335" t="s">
        <v>4934</v>
      </c>
      <c r="B3787" s="336">
        <v>46051.0</v>
      </c>
      <c r="C3787" s="335" t="s">
        <v>9</v>
      </c>
      <c r="D3787" s="335" t="s">
        <v>51</v>
      </c>
      <c r="E3787" s="337" t="str">
        <f t="shared" si="1"/>
        <v>大鉄　堺:大鉄堺</v>
      </c>
      <c r="F3787" s="338" t="s">
        <v>156</v>
      </c>
      <c r="G3787" s="339" t="str">
        <f t="shared" si="2"/>
        <v>大鉄　堺:大鉄堺ＣＰ Ｂ一斗缶</v>
      </c>
      <c r="H3787" s="340">
        <f t="shared" si="3"/>
        <v>30</v>
      </c>
      <c r="I3787" s="341">
        <v>-0.5</v>
      </c>
      <c r="J3787" s="332">
        <f>IFERROR(__xludf.DUMMYFUNCTION("IF(IF(COUNTIF(P$2:P3786, P3787)=0, """", INDEX(H$2:H3786,
MAX(FILTER(ROW(H$2:H3786) - ROW(H$2) + 1, P$2:P3786 = P3787))))=""単価"","""",
IF(COUNTIF(P$2:P3786, P3787)=0, """", INDEX(H$2:H3786,
MAX(FILTER(ROW(H$2:H3786) - ROW(H$2) + 1, P$2:P3786 = P3787)))))"),30.5)</f>
        <v>30.5</v>
      </c>
      <c r="N3787" s="335" t="str">
        <f>IF(MAXIFS('単価履歴'!$O:$O,'単価履歴'!$E:$E,E3787,'単価履歴'!$F:$F,F3787)=O3787,"●","")</f>
        <v/>
      </c>
      <c r="O3787" s="346">
        <v>46051.276550925926</v>
      </c>
      <c r="P3787" s="334" t="str">
        <f t="shared" si="4"/>
        <v>大鉄　堺:大鉄堺ＣＰ Ｂ一斗缶</v>
      </c>
    </row>
    <row r="3788" ht="15.75" customHeight="1">
      <c r="A3788" s="335" t="s">
        <v>4935</v>
      </c>
      <c r="B3788" s="336">
        <v>46051.0</v>
      </c>
      <c r="C3788" s="335" t="s">
        <v>9</v>
      </c>
      <c r="D3788" s="335" t="s">
        <v>47</v>
      </c>
      <c r="E3788" s="337" t="str">
        <f t="shared" si="1"/>
        <v>大鉄　堺:豊通</v>
      </c>
      <c r="F3788" s="338" t="s">
        <v>111</v>
      </c>
      <c r="G3788" s="339" t="str">
        <f t="shared" si="2"/>
        <v>大鉄　堺:豊通Ｈ１(特A)</v>
      </c>
      <c r="H3788" s="340">
        <f t="shared" si="3"/>
        <v>29.9</v>
      </c>
      <c r="I3788" s="341">
        <v>-0.5</v>
      </c>
      <c r="J3788" s="332">
        <f>IFERROR(__xludf.DUMMYFUNCTION("IF(IF(COUNTIF(P$2:P3787, P3788)=0, """", INDEX(H$2:H3787,
MAX(FILTER(ROW(H$2:H3787) - ROW(H$2) + 1, P$2:P3787 = P3788))))=""単価"","""",
IF(COUNTIF(P$2:P3787, P3788)=0, """", INDEX(H$2:H3787,
MAX(FILTER(ROW(H$2:H3787) - ROW(H$2) + 1, P$2:P3787 = P3788)))))"),30.4)</f>
        <v>30.4</v>
      </c>
      <c r="N3788" s="335" t="str">
        <f>IF(MAXIFS('単価履歴'!$O:$O,'単価履歴'!$E:$E,E3788,'単価履歴'!$F:$F,F3788)=O3788,"●","")</f>
        <v/>
      </c>
      <c r="O3788" s="346">
        <v>46051.27700231482</v>
      </c>
      <c r="P3788" s="334" t="str">
        <f t="shared" si="4"/>
        <v>大鉄　堺:豊通Ｈ１(特A)</v>
      </c>
    </row>
    <row r="3789" ht="15.75" customHeight="1">
      <c r="A3789" s="335" t="s">
        <v>4936</v>
      </c>
      <c r="B3789" s="336">
        <v>46051.0</v>
      </c>
      <c r="C3789" s="335" t="s">
        <v>9</v>
      </c>
      <c r="D3789" s="335" t="s">
        <v>47</v>
      </c>
      <c r="E3789" s="337" t="str">
        <f t="shared" si="1"/>
        <v>大鉄　堺:豊通</v>
      </c>
      <c r="F3789" s="338" t="s">
        <v>1237</v>
      </c>
      <c r="G3789" s="339" t="str">
        <f t="shared" si="2"/>
        <v>大鉄　堺:豊通ＪＨ１(H2T山口)鍛造ﾊﾞﾘ</v>
      </c>
      <c r="H3789" s="340">
        <f t="shared" si="3"/>
        <v>28.9</v>
      </c>
      <c r="I3789" s="341">
        <v>-0.5</v>
      </c>
      <c r="J3789" s="332">
        <f>IFERROR(__xludf.DUMMYFUNCTION("IF(IF(COUNTIF(P$2:P3788, P3789)=0, """", INDEX(H$2:H3788,
MAX(FILTER(ROW(H$2:H3788) - ROW(H$2) + 1, P$2:P3788 = P3789))))=""単価"","""",
IF(COUNTIF(P$2:P3788, P3789)=0, """", INDEX(H$2:H3788,
MAX(FILTER(ROW(H$2:H3788) - ROW(H$2) + 1, P$2:P3788 = P3789)))))"),29.4)</f>
        <v>29.4</v>
      </c>
      <c r="N3789" s="335" t="str">
        <f>IF(MAXIFS('単価履歴'!$O:$O,'単価履歴'!$E:$E,E3789,'単価履歴'!$F:$F,F3789)=O3789,"●","")</f>
        <v/>
      </c>
      <c r="O3789" s="346">
        <v>46051.27700231482</v>
      </c>
      <c r="P3789" s="334" t="str">
        <f t="shared" si="4"/>
        <v>大鉄　堺:豊通ＪＨ１(H2T山口)鍛造ﾊﾞﾘ</v>
      </c>
    </row>
    <row r="3790" ht="15.75" customHeight="1">
      <c r="A3790" s="335" t="s">
        <v>4937</v>
      </c>
      <c r="B3790" s="336">
        <v>46051.0</v>
      </c>
      <c r="C3790" s="335" t="s">
        <v>9</v>
      </c>
      <c r="D3790" s="335" t="s">
        <v>47</v>
      </c>
      <c r="E3790" s="337" t="str">
        <f t="shared" si="1"/>
        <v>大鉄　堺:豊通</v>
      </c>
      <c r="F3790" s="338" t="s">
        <v>116</v>
      </c>
      <c r="G3790" s="339" t="str">
        <f t="shared" si="2"/>
        <v>大鉄　堺:豊通Ｈ２(特級)</v>
      </c>
      <c r="H3790" s="340">
        <f t="shared" si="3"/>
        <v>25.7</v>
      </c>
      <c r="I3790" s="341">
        <v>-0.5</v>
      </c>
      <c r="J3790" s="332">
        <f>IFERROR(__xludf.DUMMYFUNCTION("IF(IF(COUNTIF(P$2:P3789, P3790)=0, """", INDEX(H$2:H3789,
MAX(FILTER(ROW(H$2:H3789) - ROW(H$2) + 1, P$2:P3789 = P3790))))=""単価"","""",
IF(COUNTIF(P$2:P3789, P3790)=0, """", INDEX(H$2:H3789,
MAX(FILTER(ROW(H$2:H3789) - ROW(H$2) + 1, P$2:P3789 = P3790)))))"),26.2)</f>
        <v>26.2</v>
      </c>
      <c r="N3790" s="335" t="str">
        <f>IF(MAXIFS('単価履歴'!$O:$O,'単価履歴'!$E:$E,E3790,'単価履歴'!$F:$F,F3790)=O3790,"●","")</f>
        <v/>
      </c>
      <c r="O3790" s="346">
        <v>46051.27700231482</v>
      </c>
      <c r="P3790" s="334" t="str">
        <f t="shared" si="4"/>
        <v>大鉄　堺:豊通Ｈ２(特級)</v>
      </c>
    </row>
    <row r="3791" ht="15.75" customHeight="1">
      <c r="A3791" s="335" t="s">
        <v>4938</v>
      </c>
      <c r="B3791" s="336">
        <v>46051.0</v>
      </c>
      <c r="C3791" s="335" t="s">
        <v>9</v>
      </c>
      <c r="D3791" s="335" t="s">
        <v>47</v>
      </c>
      <c r="E3791" s="337" t="str">
        <f t="shared" si="1"/>
        <v>大鉄　堺:豊通</v>
      </c>
      <c r="F3791" s="338" t="s">
        <v>119</v>
      </c>
      <c r="G3791" s="339" t="str">
        <f t="shared" si="2"/>
        <v>大鉄　堺:豊通Ｈ３(1級)</v>
      </c>
      <c r="H3791" s="340">
        <f t="shared" si="3"/>
        <v>24.7</v>
      </c>
      <c r="I3791" s="341">
        <v>-0.5</v>
      </c>
      <c r="J3791" s="332">
        <f>IFERROR(__xludf.DUMMYFUNCTION("IF(IF(COUNTIF(P$2:P3790, P3791)=0, """", INDEX(H$2:H3790,
MAX(FILTER(ROW(H$2:H3790) - ROW(H$2) + 1, P$2:P3790 = P3791))))=""単価"","""",
IF(COUNTIF(P$2:P3790, P3791)=0, """", INDEX(H$2:H3790,
MAX(FILTER(ROW(H$2:H3790) - ROW(H$2) + 1, P$2:P3790 = P3791)))))"),25.2)</f>
        <v>25.2</v>
      </c>
      <c r="N3791" s="335" t="str">
        <f>IF(MAXIFS('単価履歴'!$O:$O,'単価履歴'!$E:$E,E3791,'単価履歴'!$F:$F,F3791)=O3791,"●","")</f>
        <v/>
      </c>
      <c r="O3791" s="346">
        <v>46051.27700231482</v>
      </c>
      <c r="P3791" s="334" t="str">
        <f t="shared" si="4"/>
        <v>大鉄　堺:豊通Ｈ３(1級)</v>
      </c>
    </row>
    <row r="3792" ht="15.75" customHeight="1">
      <c r="A3792" s="335" t="s">
        <v>4939</v>
      </c>
      <c r="B3792" s="336">
        <v>46051.0</v>
      </c>
      <c r="C3792" s="335" t="s">
        <v>9</v>
      </c>
      <c r="D3792" s="335" t="s">
        <v>47</v>
      </c>
      <c r="E3792" s="337" t="str">
        <f t="shared" si="1"/>
        <v>大鉄　堺:豊通</v>
      </c>
      <c r="F3792" s="338" t="s">
        <v>122</v>
      </c>
      <c r="G3792" s="339" t="str">
        <f t="shared" si="2"/>
        <v>大鉄　堺:豊通Ｌ１(2級)</v>
      </c>
      <c r="H3792" s="340">
        <f t="shared" si="3"/>
        <v>23.2</v>
      </c>
      <c r="I3792" s="341">
        <v>-0.5</v>
      </c>
      <c r="J3792" s="332">
        <f>IFERROR(__xludf.DUMMYFUNCTION("IF(IF(COUNTIF(P$2:P3791, P3792)=0, """", INDEX(H$2:H3791,
MAX(FILTER(ROW(H$2:H3791) - ROW(H$2) + 1, P$2:P3791 = P3792))))=""単価"","""",
IF(COUNTIF(P$2:P3791, P3792)=0, """", INDEX(H$2:H3791,
MAX(FILTER(ROW(H$2:H3791) - ROW(H$2) + 1, P$2:P3791 = P3792)))))"),23.7)</f>
        <v>23.7</v>
      </c>
      <c r="N3792" s="335" t="str">
        <f>IF(MAXIFS('単価履歴'!$O:$O,'単価履歴'!$E:$E,E3792,'単価履歴'!$F:$F,F3792)=O3792,"●","")</f>
        <v/>
      </c>
      <c r="O3792" s="346">
        <v>46051.27700231482</v>
      </c>
      <c r="P3792" s="334" t="str">
        <f t="shared" si="4"/>
        <v>大鉄　堺:豊通Ｌ１(2級)</v>
      </c>
    </row>
    <row r="3793" ht="15.75" customHeight="1">
      <c r="A3793" s="335" t="s">
        <v>4940</v>
      </c>
      <c r="B3793" s="336">
        <v>46051.0</v>
      </c>
      <c r="C3793" s="335" t="s">
        <v>9</v>
      </c>
      <c r="D3793" s="335" t="s">
        <v>47</v>
      </c>
      <c r="E3793" s="337" t="str">
        <f t="shared" si="1"/>
        <v>大鉄　堺:豊通</v>
      </c>
      <c r="F3793" s="338" t="s">
        <v>130</v>
      </c>
      <c r="G3793" s="339" t="str">
        <f t="shared" si="2"/>
        <v>大鉄　堺:豊通新断Ａ</v>
      </c>
      <c r="H3793" s="340">
        <f t="shared" si="3"/>
        <v>26.7</v>
      </c>
      <c r="I3793" s="341">
        <v>-0.5</v>
      </c>
      <c r="J3793" s="332">
        <f>IFERROR(__xludf.DUMMYFUNCTION("IF(IF(COUNTIF(P$2:P3792, P3793)=0, """", INDEX(H$2:H3792,
MAX(FILTER(ROW(H$2:H3792) - ROW(H$2) + 1, P$2:P3792 = P3793))))=""単価"","""",
IF(COUNTIF(P$2:P3792, P3793)=0, """", INDEX(H$2:H3792,
MAX(FILTER(ROW(H$2:H3792) - ROW(H$2) + 1, P$2:P3792 = P3793)))))"),27.2)</f>
        <v>27.2</v>
      </c>
      <c r="N3793" s="335" t="str">
        <f>IF(MAXIFS('単価履歴'!$O:$O,'単価履歴'!$E:$E,E3793,'単価履歴'!$F:$F,F3793)=O3793,"●","")</f>
        <v/>
      </c>
      <c r="O3793" s="346">
        <v>46051.27700231482</v>
      </c>
      <c r="P3793" s="334" t="str">
        <f t="shared" si="4"/>
        <v>大鉄　堺:豊通新断Ａ</v>
      </c>
    </row>
    <row r="3794" ht="15.75" customHeight="1">
      <c r="A3794" s="335" t="s">
        <v>4941</v>
      </c>
      <c r="B3794" s="336">
        <v>46051.0</v>
      </c>
      <c r="C3794" s="335" t="s">
        <v>9</v>
      </c>
      <c r="D3794" s="335" t="s">
        <v>47</v>
      </c>
      <c r="E3794" s="337" t="str">
        <f t="shared" si="1"/>
        <v>大鉄　堺:豊通</v>
      </c>
      <c r="F3794" s="338" t="s">
        <v>131</v>
      </c>
      <c r="G3794" s="339" t="str">
        <f t="shared" si="2"/>
        <v>大鉄　堺:豊通新断Ｂ</v>
      </c>
      <c r="H3794" s="340">
        <f t="shared" si="3"/>
        <v>26.2</v>
      </c>
      <c r="I3794" s="341">
        <v>-0.5</v>
      </c>
      <c r="J3794" s="332">
        <f>IFERROR(__xludf.DUMMYFUNCTION("IF(IF(COUNTIF(P$2:P3793, P3794)=0, """", INDEX(H$2:H3793,
MAX(FILTER(ROW(H$2:H3793) - ROW(H$2) + 1, P$2:P3793 = P3794))))=""単価"","""",
IF(COUNTIF(P$2:P3793, P3794)=0, """", INDEX(H$2:H3793,
MAX(FILTER(ROW(H$2:H3793) - ROW(H$2) + 1, P$2:P3793 = P3794)))))"),26.7)</f>
        <v>26.7</v>
      </c>
      <c r="N3794" s="335" t="str">
        <f>IF(MAXIFS('単価履歴'!$O:$O,'単価履歴'!$E:$E,E3794,'単価履歴'!$F:$F,F3794)=O3794,"●","")</f>
        <v/>
      </c>
      <c r="O3794" s="346">
        <v>46051.27700231482</v>
      </c>
      <c r="P3794" s="334" t="str">
        <f t="shared" si="4"/>
        <v>大鉄　堺:豊通新断Ｂ</v>
      </c>
    </row>
    <row r="3795" ht="15.75" customHeight="1">
      <c r="A3795" s="335" t="s">
        <v>4942</v>
      </c>
      <c r="B3795" s="336">
        <v>46051.0</v>
      </c>
      <c r="C3795" s="335" t="s">
        <v>9</v>
      </c>
      <c r="D3795" s="335" t="s">
        <v>47</v>
      </c>
      <c r="E3795" s="337" t="str">
        <f t="shared" si="1"/>
        <v>大鉄　堺:豊通</v>
      </c>
      <c r="F3795" s="338" t="s">
        <v>575</v>
      </c>
      <c r="G3795" s="339" t="str">
        <f t="shared" si="2"/>
        <v>大鉄　堺:豊通鋼ダライＡ</v>
      </c>
      <c r="H3795" s="340">
        <f t="shared" si="3"/>
        <v>27.7</v>
      </c>
      <c r="I3795" s="341">
        <v>-0.5</v>
      </c>
      <c r="J3795" s="332">
        <f>IFERROR(__xludf.DUMMYFUNCTION("IF(IF(COUNTIF(P$2:P3794, P3795)=0, """", INDEX(H$2:H3794,
MAX(FILTER(ROW(H$2:H3794) - ROW(H$2) + 1, P$2:P3794 = P3795))))=""単価"","""",
IF(COUNTIF(P$2:P3794, P3795)=0, """", INDEX(H$2:H3794,
MAX(FILTER(ROW(H$2:H3794) - ROW(H$2) + 1, P$2:P3794 = P3795)))))"),28.2)</f>
        <v>28.2</v>
      </c>
      <c r="N3795" s="335" t="str">
        <f>IF(MAXIFS('単価履歴'!$O:$O,'単価履歴'!$E:$E,E3795,'単価履歴'!$F:$F,F3795)=O3795,"●","")</f>
        <v/>
      </c>
      <c r="O3795" s="346">
        <v>46051.27700231482</v>
      </c>
      <c r="P3795" s="334" t="str">
        <f t="shared" si="4"/>
        <v>大鉄　堺:豊通鋼ダライＡ</v>
      </c>
    </row>
    <row r="3796" ht="15.75" customHeight="1">
      <c r="A3796" s="335" t="s">
        <v>4943</v>
      </c>
      <c r="B3796" s="336">
        <v>46051.0</v>
      </c>
      <c r="C3796" s="335" t="s">
        <v>9</v>
      </c>
      <c r="D3796" s="335" t="s">
        <v>47</v>
      </c>
      <c r="E3796" s="337" t="str">
        <f t="shared" si="1"/>
        <v>大鉄　堺:豊通</v>
      </c>
      <c r="F3796" s="338" t="s">
        <v>576</v>
      </c>
      <c r="G3796" s="339" t="str">
        <f t="shared" si="2"/>
        <v>大鉄　堺:豊通鋼ダライＢ</v>
      </c>
      <c r="H3796" s="340">
        <f t="shared" si="3"/>
        <v>27.7</v>
      </c>
      <c r="I3796" s="341">
        <v>-0.5</v>
      </c>
      <c r="J3796" s="332">
        <f>IFERROR(__xludf.DUMMYFUNCTION("IF(IF(COUNTIF(P$2:P3795, P3796)=0, """", INDEX(H$2:H3795,
MAX(FILTER(ROW(H$2:H3795) - ROW(H$2) + 1, P$2:P3795 = P3796))))=""単価"","""",
IF(COUNTIF(P$2:P3795, P3796)=0, """", INDEX(H$2:H3795,
MAX(FILTER(ROW(H$2:H3795) - ROW(H$2) + 1, P$2:P3795 = P3796)))))"),28.2)</f>
        <v>28.2</v>
      </c>
      <c r="N3796" s="335" t="str">
        <f>IF(MAXIFS('単価履歴'!$O:$O,'単価履歴'!$E:$E,E3796,'単価履歴'!$F:$F,F3796)=O3796,"●","")</f>
        <v/>
      </c>
      <c r="O3796" s="346">
        <v>46051.27700231482</v>
      </c>
      <c r="P3796" s="334" t="str">
        <f t="shared" si="4"/>
        <v>大鉄　堺:豊通鋼ダライＢ</v>
      </c>
    </row>
    <row r="3797" ht="15.75" customHeight="1">
      <c r="A3797" s="335" t="s">
        <v>4944</v>
      </c>
      <c r="B3797" s="336">
        <v>46051.0</v>
      </c>
      <c r="C3797" s="335" t="s">
        <v>9</v>
      </c>
      <c r="D3797" s="335" t="s">
        <v>47</v>
      </c>
      <c r="E3797" s="337" t="str">
        <f t="shared" si="1"/>
        <v>大鉄　堺:豊通</v>
      </c>
      <c r="F3797" s="338" t="s">
        <v>145</v>
      </c>
      <c r="G3797" s="339" t="str">
        <f t="shared" si="2"/>
        <v>大鉄　堺:豊通シュレＡ</v>
      </c>
      <c r="H3797" s="340">
        <f t="shared" si="3"/>
        <v>30.2</v>
      </c>
      <c r="I3797" s="341">
        <v>-0.5</v>
      </c>
      <c r="J3797" s="332">
        <f>IFERROR(__xludf.DUMMYFUNCTION("IF(IF(COUNTIF(P$2:P3796, P3797)=0, """", INDEX(H$2:H3796,
MAX(FILTER(ROW(H$2:H3796) - ROW(H$2) + 1, P$2:P3796 = P3797))))=""単価"","""",
IF(COUNTIF(P$2:P3796, P3797)=0, """", INDEX(H$2:H3796,
MAX(FILTER(ROW(H$2:H3796) - ROW(H$2) + 1, P$2:P3796 = P3797)))))"),30.7)</f>
        <v>30.7</v>
      </c>
      <c r="N3797" s="335" t="str">
        <f>IF(MAXIFS('単価履歴'!$O:$O,'単価履歴'!$E:$E,E3797,'単価履歴'!$F:$F,F3797)=O3797,"●","")</f>
        <v/>
      </c>
      <c r="O3797" s="346">
        <v>46051.27700231482</v>
      </c>
      <c r="P3797" s="334" t="str">
        <f t="shared" si="4"/>
        <v>大鉄　堺:豊通シュレＡ</v>
      </c>
    </row>
    <row r="3798" ht="15.75" customHeight="1">
      <c r="A3798" s="335" t="s">
        <v>4945</v>
      </c>
      <c r="B3798" s="336">
        <v>46051.0</v>
      </c>
      <c r="C3798" s="335" t="s">
        <v>9</v>
      </c>
      <c r="D3798" s="335" t="s">
        <v>47</v>
      </c>
      <c r="E3798" s="337" t="str">
        <f t="shared" si="1"/>
        <v>大鉄　堺:豊通</v>
      </c>
      <c r="F3798" s="338" t="s">
        <v>149</v>
      </c>
      <c r="G3798" s="339" t="str">
        <f t="shared" si="2"/>
        <v>大鉄　堺:豊通シュレＢ</v>
      </c>
      <c r="H3798" s="340">
        <f t="shared" si="3"/>
        <v>29.5</v>
      </c>
      <c r="I3798" s="341">
        <v>-0.5</v>
      </c>
      <c r="J3798" s="332">
        <f>IFERROR(__xludf.DUMMYFUNCTION("IF(IF(COUNTIF(P$2:P3797, P3798)=0, """", INDEX(H$2:H3797,
MAX(FILTER(ROW(H$2:H3797) - ROW(H$2) + 1, P$2:P3797 = P3798))))=""単価"","""",
IF(COUNTIF(P$2:P3797, P3798)=0, """", INDEX(H$2:H3797,
MAX(FILTER(ROW(H$2:H3797) - ROW(H$2) + 1, P$2:P3797 = P3798)))))"),30.0)</f>
        <v>30</v>
      </c>
      <c r="N3798" s="335" t="str">
        <f>IF(MAXIFS('単価履歴'!$O:$O,'単価履歴'!$E:$E,E3798,'単価履歴'!$F:$F,F3798)=O3798,"●","")</f>
        <v/>
      </c>
      <c r="O3798" s="346">
        <v>46051.27700231482</v>
      </c>
      <c r="P3798" s="334" t="str">
        <f t="shared" si="4"/>
        <v>大鉄　堺:豊通シュレＢ</v>
      </c>
    </row>
    <row r="3799" ht="15.75" customHeight="1">
      <c r="A3799" s="335" t="s">
        <v>4946</v>
      </c>
      <c r="B3799" s="336">
        <v>46051.0</v>
      </c>
      <c r="C3799" s="335" t="s">
        <v>9</v>
      </c>
      <c r="D3799" s="335" t="s">
        <v>47</v>
      </c>
      <c r="E3799" s="337" t="str">
        <f t="shared" si="1"/>
        <v>大鉄　堺:豊通</v>
      </c>
      <c r="F3799" s="338" t="s">
        <v>151</v>
      </c>
      <c r="G3799" s="339" t="str">
        <f t="shared" si="2"/>
        <v>大鉄　堺:豊通シュレＣ</v>
      </c>
      <c r="H3799" s="340">
        <f t="shared" si="3"/>
        <v>28.1</v>
      </c>
      <c r="I3799" s="341">
        <v>-0.5</v>
      </c>
      <c r="J3799" s="332">
        <f>IFERROR(__xludf.DUMMYFUNCTION("IF(IF(COUNTIF(P$2:P3798, P3799)=0, """", INDEX(H$2:H3798,
MAX(FILTER(ROW(H$2:H3798) - ROW(H$2) + 1, P$2:P3798 = P3799))))=""単価"","""",
IF(COUNTIF(P$2:P3798, P3799)=0, """", INDEX(H$2:H3798,
MAX(FILTER(ROW(H$2:H3798) - ROW(H$2) + 1, P$2:P3798 = P3799)))))"),28.6)</f>
        <v>28.6</v>
      </c>
      <c r="N3799" s="335" t="str">
        <f>IF(MAXIFS('単価履歴'!$O:$O,'単価履歴'!$E:$E,E3799,'単価履歴'!$F:$F,F3799)=O3799,"●","")</f>
        <v/>
      </c>
      <c r="O3799" s="346">
        <v>46051.27700231482</v>
      </c>
      <c r="P3799" s="334" t="str">
        <f t="shared" si="4"/>
        <v>大鉄　堺:豊通シュレＣ</v>
      </c>
    </row>
    <row r="3800" ht="15.75" customHeight="1">
      <c r="A3800" s="335" t="s">
        <v>4947</v>
      </c>
      <c r="B3800" s="336">
        <v>46051.0</v>
      </c>
      <c r="C3800" s="335" t="s">
        <v>9</v>
      </c>
      <c r="D3800" s="335" t="s">
        <v>47</v>
      </c>
      <c r="E3800" s="337" t="str">
        <f t="shared" si="1"/>
        <v>大鉄　堺:豊通</v>
      </c>
      <c r="F3800" s="338" t="s">
        <v>154</v>
      </c>
      <c r="G3800" s="339" t="str">
        <f t="shared" si="2"/>
        <v>大鉄　堺:豊通ＣＰ Ａ</v>
      </c>
      <c r="H3800" s="340">
        <f t="shared" si="3"/>
        <v>40.7</v>
      </c>
      <c r="I3800" s="341">
        <v>-0.5</v>
      </c>
      <c r="J3800" s="332">
        <f>IFERROR(__xludf.DUMMYFUNCTION("IF(IF(COUNTIF(P$2:P3799, P3800)=0, """", INDEX(H$2:H3799,
MAX(FILTER(ROW(H$2:H3799) - ROW(H$2) + 1, P$2:P3799 = P3800))))=""単価"","""",
IF(COUNTIF(P$2:P3799, P3800)=0, """", INDEX(H$2:H3799,
MAX(FILTER(ROW(H$2:H3799) - ROW(H$2) + 1, P$2:P3799 = P3800)))))"),41.2)</f>
        <v>41.2</v>
      </c>
      <c r="N3800" s="335" t="str">
        <f>IF(MAXIFS('単価履歴'!$O:$O,'単価履歴'!$E:$E,E3800,'単価履歴'!$F:$F,F3800)=O3800,"●","")</f>
        <v/>
      </c>
      <c r="O3800" s="346">
        <v>46051.27700231482</v>
      </c>
      <c r="P3800" s="334" t="str">
        <f t="shared" si="4"/>
        <v>大鉄　堺:豊通ＣＰ Ａ</v>
      </c>
    </row>
    <row r="3801" ht="15.75" customHeight="1">
      <c r="A3801" s="335" t="s">
        <v>4948</v>
      </c>
      <c r="B3801" s="336">
        <v>46051.0</v>
      </c>
      <c r="C3801" s="335" t="s">
        <v>9</v>
      </c>
      <c r="D3801" s="335" t="s">
        <v>47</v>
      </c>
      <c r="E3801" s="337" t="str">
        <f t="shared" si="1"/>
        <v>大鉄　堺:豊通</v>
      </c>
      <c r="F3801" s="338" t="s">
        <v>156</v>
      </c>
      <c r="G3801" s="339" t="str">
        <f t="shared" si="2"/>
        <v>大鉄　堺:豊通ＣＰ Ｂ一斗缶</v>
      </c>
      <c r="H3801" s="340">
        <f t="shared" si="3"/>
        <v>34.2</v>
      </c>
      <c r="I3801" s="341">
        <v>-0.5</v>
      </c>
      <c r="J3801" s="332">
        <f>IFERROR(__xludf.DUMMYFUNCTION("IF(IF(COUNTIF(P$2:P3800, P3801)=0, """", INDEX(H$2:H3800,
MAX(FILTER(ROW(H$2:H3800) - ROW(H$2) + 1, P$2:P3800 = P3801))))=""単価"","""",
IF(COUNTIF(P$2:P3800, P3801)=0, """", INDEX(H$2:H3800,
MAX(FILTER(ROW(H$2:H3800) - ROW(H$2) + 1, P$2:P3800 = P3801)))))"),34.7)</f>
        <v>34.7</v>
      </c>
      <c r="N3801" s="335" t="str">
        <f>IF(MAXIFS('単価履歴'!$O:$O,'単価履歴'!$E:$E,E3801,'単価履歴'!$F:$F,F3801)=O3801,"●","")</f>
        <v/>
      </c>
      <c r="O3801" s="346">
        <v>46051.27700231482</v>
      </c>
      <c r="P3801" s="334" t="str">
        <f t="shared" si="4"/>
        <v>大鉄　堺:豊通ＣＰ Ｂ一斗缶</v>
      </c>
    </row>
    <row r="3802" ht="15.75" customHeight="1">
      <c r="A3802" s="335" t="s">
        <v>4949</v>
      </c>
      <c r="B3802" s="336">
        <v>46051.0</v>
      </c>
      <c r="C3802" s="335" t="s">
        <v>9</v>
      </c>
      <c r="D3802" s="335" t="s">
        <v>50</v>
      </c>
      <c r="E3802" s="337" t="str">
        <f t="shared" si="1"/>
        <v>大鉄　堺:産振</v>
      </c>
      <c r="F3802" s="338" t="s">
        <v>111</v>
      </c>
      <c r="G3802" s="339" t="str">
        <f t="shared" si="2"/>
        <v>大鉄　堺:産振Ｈ１(特A)</v>
      </c>
      <c r="H3802" s="340">
        <f t="shared" si="3"/>
        <v>46.7</v>
      </c>
      <c r="I3802" s="341">
        <v>-0.5</v>
      </c>
      <c r="J3802" s="332">
        <f>IFERROR(__xludf.DUMMYFUNCTION("IF(IF(COUNTIF(P$2:P3801, P3802)=0, """", INDEX(H$2:H3801,
MAX(FILTER(ROW(H$2:H3801) - ROW(H$2) + 1, P$2:P3801 = P3802))))=""単価"","""",
IF(COUNTIF(P$2:P3801, P3802)=0, """", INDEX(H$2:H3801,
MAX(FILTER(ROW(H$2:H3801) - ROW(H$2) + 1, P$2:P3801 = P3802)))))"),47.2)</f>
        <v>47.2</v>
      </c>
      <c r="N3802" s="335" t="str">
        <f>IF(MAXIFS('単価履歴'!$O:$O,'単価履歴'!$E:$E,E3802,'単価履歴'!$F:$F,F3802)=O3802,"●","")</f>
        <v/>
      </c>
      <c r="O3802" s="346">
        <v>46051.27721064815</v>
      </c>
      <c r="P3802" s="334" t="str">
        <f t="shared" si="4"/>
        <v>大鉄　堺:産振Ｈ１(特A)</v>
      </c>
    </row>
    <row r="3803" ht="15.75" customHeight="1">
      <c r="A3803" s="335" t="s">
        <v>4950</v>
      </c>
      <c r="B3803" s="336">
        <v>46051.0</v>
      </c>
      <c r="C3803" s="335" t="s">
        <v>9</v>
      </c>
      <c r="D3803" s="335" t="s">
        <v>50</v>
      </c>
      <c r="E3803" s="337" t="str">
        <f t="shared" si="1"/>
        <v>大鉄　堺:産振</v>
      </c>
      <c r="F3803" s="338" t="s">
        <v>116</v>
      </c>
      <c r="G3803" s="339" t="str">
        <f t="shared" si="2"/>
        <v>大鉄　堺:産振Ｈ２(特級)</v>
      </c>
      <c r="H3803" s="340">
        <f t="shared" si="3"/>
        <v>44.2</v>
      </c>
      <c r="I3803" s="341">
        <v>-0.5</v>
      </c>
      <c r="J3803" s="332">
        <f>IFERROR(__xludf.DUMMYFUNCTION("IF(IF(COUNTIF(P$2:P3802, P3803)=0, """", INDEX(H$2:H3802,
MAX(FILTER(ROW(H$2:H3802) - ROW(H$2) + 1, P$2:P3802 = P3803))))=""単価"","""",
IF(COUNTIF(P$2:P3802, P3803)=0, """", INDEX(H$2:H3802,
MAX(FILTER(ROW(H$2:H3802) - ROW(H$2) + 1, P$2:P3802 = P3803)))))"),44.7)</f>
        <v>44.7</v>
      </c>
      <c r="N3803" s="335" t="str">
        <f>IF(MAXIFS('単価履歴'!$O:$O,'単価履歴'!$E:$E,E3803,'単価履歴'!$F:$F,F3803)=O3803,"●","")</f>
        <v/>
      </c>
      <c r="O3803" s="346">
        <v>46051.27721064815</v>
      </c>
      <c r="P3803" s="334" t="str">
        <f t="shared" si="4"/>
        <v>大鉄　堺:産振Ｈ２(特級)</v>
      </c>
    </row>
    <row r="3804" ht="15.75" customHeight="1">
      <c r="A3804" s="335" t="s">
        <v>4951</v>
      </c>
      <c r="B3804" s="336">
        <v>46051.0</v>
      </c>
      <c r="C3804" s="335" t="s">
        <v>9</v>
      </c>
      <c r="D3804" s="335" t="s">
        <v>50</v>
      </c>
      <c r="E3804" s="337" t="str">
        <f t="shared" si="1"/>
        <v>大鉄　堺:産振</v>
      </c>
      <c r="F3804" s="338" t="s">
        <v>119</v>
      </c>
      <c r="G3804" s="339" t="str">
        <f t="shared" si="2"/>
        <v>大鉄　堺:産振Ｈ３(1級)</v>
      </c>
      <c r="H3804" s="340">
        <f t="shared" si="3"/>
        <v>24.7</v>
      </c>
      <c r="I3804" s="341">
        <v>-0.5</v>
      </c>
      <c r="J3804" s="332">
        <f>IFERROR(__xludf.DUMMYFUNCTION("IF(IF(COUNTIF(P$2:P3803, P3804)=0, """", INDEX(H$2:H3803,
MAX(FILTER(ROW(H$2:H3803) - ROW(H$2) + 1, P$2:P3803 = P3804))))=""単価"","""",
IF(COUNTIF(P$2:P3803, P3804)=0, """", INDEX(H$2:H3803,
MAX(FILTER(ROW(H$2:H3803) - ROW(H$2) + 1, P$2:P3803 = P3804)))))"),25.200000000000003)</f>
        <v>25.2</v>
      </c>
      <c r="N3804" s="335" t="str">
        <f>IF(MAXIFS('単価履歴'!$O:$O,'単価履歴'!$E:$E,E3804,'単価履歴'!$F:$F,F3804)=O3804,"●","")</f>
        <v/>
      </c>
      <c r="O3804" s="346">
        <v>46051.27721064815</v>
      </c>
      <c r="P3804" s="334" t="str">
        <f t="shared" si="4"/>
        <v>大鉄　堺:産振Ｈ３(1級)</v>
      </c>
    </row>
    <row r="3805" ht="15.75" customHeight="1">
      <c r="A3805" s="335" t="s">
        <v>4952</v>
      </c>
      <c r="B3805" s="336">
        <v>46051.0</v>
      </c>
      <c r="C3805" s="335" t="s">
        <v>9</v>
      </c>
      <c r="D3805" s="335" t="s">
        <v>50</v>
      </c>
      <c r="E3805" s="337" t="str">
        <f t="shared" si="1"/>
        <v>大鉄　堺:産振</v>
      </c>
      <c r="F3805" s="338" t="s">
        <v>154</v>
      </c>
      <c r="G3805" s="339" t="str">
        <f t="shared" si="2"/>
        <v>大鉄　堺:産振ＣＰ Ａ</v>
      </c>
      <c r="H3805" s="340">
        <f t="shared" si="3"/>
        <v>46.2</v>
      </c>
      <c r="I3805" s="341">
        <v>-0.5</v>
      </c>
      <c r="J3805" s="332">
        <f>IFERROR(__xludf.DUMMYFUNCTION("IF(IF(COUNTIF(P$2:P3804, P3805)=0, """", INDEX(H$2:H3804,
MAX(FILTER(ROW(H$2:H3804) - ROW(H$2) + 1, P$2:P3804 = P3805))))=""単価"","""",
IF(COUNTIF(P$2:P3804, P3805)=0, """", INDEX(H$2:H3804,
MAX(FILTER(ROW(H$2:H3804) - ROW(H$2) + 1, P$2:P3804 = P3805)))))"),46.7)</f>
        <v>46.7</v>
      </c>
      <c r="N3805" s="335" t="str">
        <f>IF(MAXIFS('単価履歴'!$O:$O,'単価履歴'!$E:$E,E3805,'単価履歴'!$F:$F,F3805)=O3805,"●","")</f>
        <v/>
      </c>
      <c r="O3805" s="346">
        <v>46051.27721064815</v>
      </c>
      <c r="P3805" s="334" t="str">
        <f t="shared" si="4"/>
        <v>大鉄　堺:産振ＣＰ Ａ</v>
      </c>
    </row>
    <row r="3806" ht="15.75" customHeight="1">
      <c r="A3806" s="335" t="s">
        <v>4953</v>
      </c>
      <c r="B3806" s="336">
        <v>46051.0</v>
      </c>
      <c r="C3806" s="335" t="s">
        <v>9</v>
      </c>
      <c r="D3806" s="335" t="s">
        <v>50</v>
      </c>
      <c r="E3806" s="337" t="str">
        <f t="shared" si="1"/>
        <v>大鉄　堺:産振</v>
      </c>
      <c r="F3806" s="338" t="s">
        <v>156</v>
      </c>
      <c r="G3806" s="339" t="str">
        <f t="shared" si="2"/>
        <v>大鉄　堺:産振ＣＰ Ｂ一斗缶</v>
      </c>
      <c r="H3806" s="340">
        <f t="shared" si="3"/>
        <v>36</v>
      </c>
      <c r="I3806" s="341">
        <v>-0.5</v>
      </c>
      <c r="J3806" s="332">
        <f>IFERROR(__xludf.DUMMYFUNCTION("IF(IF(COUNTIF(P$2:P3805, P3806)=0, """", INDEX(H$2:H3805,
MAX(FILTER(ROW(H$2:H3805) - ROW(H$2) + 1, P$2:P3805 = P3806))))=""単価"","""",
IF(COUNTIF(P$2:P3805, P3806)=0, """", INDEX(H$2:H3805,
MAX(FILTER(ROW(H$2:H3805) - ROW(H$2) + 1, P$2:P3805 = P3806)))))"),36.5)</f>
        <v>36.5</v>
      </c>
      <c r="N3806" s="335" t="str">
        <f>IF(MAXIFS('単価履歴'!$O:$O,'単価履歴'!$E:$E,E3806,'単価履歴'!$F:$F,F3806)=O3806,"●","")</f>
        <v/>
      </c>
      <c r="O3806" s="346">
        <v>46051.27721064815</v>
      </c>
      <c r="P3806" s="334" t="str">
        <f t="shared" si="4"/>
        <v>大鉄　堺:産振ＣＰ Ｂ一斗缶</v>
      </c>
    </row>
    <row r="3807" ht="15.75" customHeight="1">
      <c r="A3807" s="335" t="s">
        <v>4954</v>
      </c>
      <c r="B3807" s="336">
        <v>46051.0</v>
      </c>
      <c r="C3807" s="335" t="s">
        <v>9</v>
      </c>
      <c r="D3807" s="335" t="s">
        <v>50</v>
      </c>
      <c r="E3807" s="337" t="str">
        <f t="shared" si="1"/>
        <v>大鉄　堺:産振</v>
      </c>
      <c r="F3807" s="338" t="s">
        <v>122</v>
      </c>
      <c r="G3807" s="339" t="str">
        <f t="shared" si="2"/>
        <v>大鉄　堺:産振Ｌ１(2級)</v>
      </c>
      <c r="H3807" s="340">
        <f t="shared" si="3"/>
        <v>23.7</v>
      </c>
      <c r="I3807" s="341">
        <v>-0.5</v>
      </c>
      <c r="J3807" s="332">
        <f>IFERROR(__xludf.DUMMYFUNCTION("IF(IF(COUNTIF(P$2:P3806, P3807)=0, """", INDEX(H$2:H3806,
MAX(FILTER(ROW(H$2:H3806) - ROW(H$2) + 1, P$2:P3806 = P3807))))=""単価"","""",
IF(COUNTIF(P$2:P3806, P3807)=0, """", INDEX(H$2:H3806,
MAX(FILTER(ROW(H$2:H3806) - ROW(H$2) + 1, P$2:P3806 = P3807)))))"),24.200000000000003)</f>
        <v>24.2</v>
      </c>
      <c r="N3807" s="335" t="str">
        <f>IF(MAXIFS('単価履歴'!$O:$O,'単価履歴'!$E:$E,E3807,'単価履歴'!$F:$F,F3807)=O3807,"●","")</f>
        <v/>
      </c>
      <c r="O3807" s="346">
        <v>46051.27721064815</v>
      </c>
      <c r="P3807" s="334" t="str">
        <f t="shared" si="4"/>
        <v>大鉄　堺:産振Ｌ１(2級)</v>
      </c>
    </row>
    <row r="3808" ht="15.75" customHeight="1">
      <c r="A3808" s="335" t="s">
        <v>4955</v>
      </c>
      <c r="B3808" s="336">
        <v>46051.0</v>
      </c>
      <c r="C3808" s="335" t="s">
        <v>9</v>
      </c>
      <c r="D3808" s="335" t="s">
        <v>50</v>
      </c>
      <c r="E3808" s="337" t="str">
        <f t="shared" si="1"/>
        <v>大鉄　堺:産振</v>
      </c>
      <c r="F3808" s="338" t="s">
        <v>130</v>
      </c>
      <c r="G3808" s="339" t="str">
        <f t="shared" si="2"/>
        <v>大鉄　堺:産振新断Ａ</v>
      </c>
      <c r="H3808" s="340">
        <f t="shared" si="3"/>
        <v>42.2</v>
      </c>
      <c r="I3808" s="341">
        <v>-0.5</v>
      </c>
      <c r="J3808" s="332">
        <f>IFERROR(__xludf.DUMMYFUNCTION("IF(IF(COUNTIF(P$2:P3807, P3808)=0, """", INDEX(H$2:H3807,
MAX(FILTER(ROW(H$2:H3807) - ROW(H$2) + 1, P$2:P3807 = P3808))))=""単価"","""",
IF(COUNTIF(P$2:P3807, P3808)=0, """", INDEX(H$2:H3807,
MAX(FILTER(ROW(H$2:H3807) - ROW(H$2) + 1, P$2:P3807 = P3808)))))"),42.7)</f>
        <v>42.7</v>
      </c>
      <c r="N3808" s="335" t="str">
        <f>IF(MAXIFS('単価履歴'!$O:$O,'単価履歴'!$E:$E,E3808,'単価履歴'!$F:$F,F3808)=O3808,"●","")</f>
        <v/>
      </c>
      <c r="O3808" s="346">
        <v>46051.27721064815</v>
      </c>
      <c r="P3808" s="334" t="str">
        <f t="shared" si="4"/>
        <v>大鉄　堺:産振新断Ａ</v>
      </c>
    </row>
    <row r="3809" ht="15.75" customHeight="1">
      <c r="A3809" s="335" t="s">
        <v>4956</v>
      </c>
      <c r="B3809" s="336">
        <v>46051.0</v>
      </c>
      <c r="C3809" s="335" t="s">
        <v>9</v>
      </c>
      <c r="D3809" s="335" t="s">
        <v>50</v>
      </c>
      <c r="E3809" s="337" t="str">
        <f t="shared" si="1"/>
        <v>大鉄　堺:産振</v>
      </c>
      <c r="F3809" s="338" t="s">
        <v>131</v>
      </c>
      <c r="G3809" s="339" t="str">
        <f t="shared" si="2"/>
        <v>大鉄　堺:産振新断Ｂ</v>
      </c>
      <c r="H3809" s="340">
        <f t="shared" si="3"/>
        <v>41.7</v>
      </c>
      <c r="I3809" s="341">
        <v>-0.5</v>
      </c>
      <c r="J3809" s="332">
        <f>IFERROR(__xludf.DUMMYFUNCTION("IF(IF(COUNTIF(P$2:P3808, P3809)=0, """", INDEX(H$2:H3808,
MAX(FILTER(ROW(H$2:H3808) - ROW(H$2) + 1, P$2:P3808 = P3809))))=""単価"","""",
IF(COUNTIF(P$2:P3808, P3809)=0, """", INDEX(H$2:H3808,
MAX(FILTER(ROW(H$2:H3808) - ROW(H$2) + 1, P$2:P3808 = P3809)))))"),42.2)</f>
        <v>42.2</v>
      </c>
      <c r="N3809" s="335" t="str">
        <f>IF(MAXIFS('単価履歴'!$O:$O,'単価履歴'!$E:$E,E3809,'単価履歴'!$F:$F,F3809)=O3809,"●","")</f>
        <v/>
      </c>
      <c r="O3809" s="346">
        <v>46051.27721064815</v>
      </c>
      <c r="P3809" s="334" t="str">
        <f t="shared" si="4"/>
        <v>大鉄　堺:産振新断Ｂ</v>
      </c>
    </row>
    <row r="3810" ht="15.75" customHeight="1">
      <c r="A3810" s="335" t="s">
        <v>4957</v>
      </c>
      <c r="B3810" s="336">
        <v>46051.0</v>
      </c>
      <c r="C3810" s="335" t="s">
        <v>9</v>
      </c>
      <c r="D3810" s="335" t="s">
        <v>50</v>
      </c>
      <c r="E3810" s="337" t="str">
        <f t="shared" si="1"/>
        <v>大鉄　堺:産振</v>
      </c>
      <c r="F3810" s="338" t="s">
        <v>575</v>
      </c>
      <c r="G3810" s="339" t="str">
        <f t="shared" si="2"/>
        <v>大鉄　堺:産振鋼ダライＡ</v>
      </c>
      <c r="H3810" s="340">
        <f t="shared" si="3"/>
        <v>37.7</v>
      </c>
      <c r="I3810" s="341">
        <v>-0.5</v>
      </c>
      <c r="J3810" s="332">
        <f>IFERROR(__xludf.DUMMYFUNCTION("IF(IF(COUNTIF(P$2:P3809, P3810)=0, """", INDEX(H$2:H3809,
MAX(FILTER(ROW(H$2:H3809) - ROW(H$2) + 1, P$2:P3809 = P3810))))=""単価"","""",
IF(COUNTIF(P$2:P3809, P3810)=0, """", INDEX(H$2:H3809,
MAX(FILTER(ROW(H$2:H3809) - ROW(H$2) + 1, P$2:P3809 = P3810)))))"),38.2)</f>
        <v>38.2</v>
      </c>
      <c r="N3810" s="335" t="str">
        <f>IF(MAXIFS('単価履歴'!$O:$O,'単価履歴'!$E:$E,E3810,'単価履歴'!$F:$F,F3810)=O3810,"●","")</f>
        <v/>
      </c>
      <c r="O3810" s="346">
        <v>46051.27721064815</v>
      </c>
      <c r="P3810" s="334" t="str">
        <f t="shared" si="4"/>
        <v>大鉄　堺:産振鋼ダライＡ</v>
      </c>
    </row>
    <row r="3811" ht="15.75" customHeight="1">
      <c r="A3811" s="335" t="s">
        <v>4958</v>
      </c>
      <c r="B3811" s="336">
        <v>46051.0</v>
      </c>
      <c r="C3811" s="335" t="s">
        <v>9</v>
      </c>
      <c r="D3811" s="335" t="s">
        <v>49</v>
      </c>
      <c r="E3811" s="337" t="str">
        <f t="shared" si="1"/>
        <v>大鉄　堺:伊藤忠</v>
      </c>
      <c r="F3811" s="338" t="s">
        <v>111</v>
      </c>
      <c r="G3811" s="339" t="str">
        <f t="shared" si="2"/>
        <v>大鉄　堺:伊藤忠Ｈ１(特A)</v>
      </c>
      <c r="H3811" s="340">
        <f t="shared" si="3"/>
        <v>28.8</v>
      </c>
      <c r="I3811" s="341">
        <v>-0.5</v>
      </c>
      <c r="J3811" s="332">
        <f>IFERROR(__xludf.DUMMYFUNCTION("IF(IF(COUNTIF(P$2:P3810, P3811)=0, """", INDEX(H$2:H3810,
MAX(FILTER(ROW(H$2:H3810) - ROW(H$2) + 1, P$2:P3810 = P3811))))=""単価"","""",
IF(COUNTIF(P$2:P3810, P3811)=0, """", INDEX(H$2:H3810,
MAX(FILTER(ROW(H$2:H3810) - ROW(H$2) + 1, P$2:P3810 = P3811)))))"),29.3)</f>
        <v>29.3</v>
      </c>
      <c r="N3811" s="335" t="str">
        <f>IF(MAXIFS('単価履歴'!$O:$O,'単価履歴'!$E:$E,E3811,'単価履歴'!$F:$F,F3811)=O3811,"●","")</f>
        <v/>
      </c>
      <c r="O3811" s="346">
        <v>46051.27752314815</v>
      </c>
      <c r="P3811" s="334" t="str">
        <f t="shared" si="4"/>
        <v>大鉄　堺:伊藤忠Ｈ１(特A)</v>
      </c>
    </row>
    <row r="3812" ht="15.75" customHeight="1">
      <c r="A3812" s="335" t="s">
        <v>4959</v>
      </c>
      <c r="B3812" s="336">
        <v>46051.0</v>
      </c>
      <c r="C3812" s="335" t="s">
        <v>9</v>
      </c>
      <c r="D3812" s="335" t="s">
        <v>49</v>
      </c>
      <c r="E3812" s="337" t="str">
        <f t="shared" si="1"/>
        <v>大鉄　堺:伊藤忠</v>
      </c>
      <c r="F3812" s="338" t="s">
        <v>1237</v>
      </c>
      <c r="G3812" s="339" t="str">
        <f t="shared" si="2"/>
        <v>大鉄　堺:伊藤忠ＪＨ１(H2T山口)鍛造ﾊﾞﾘ</v>
      </c>
      <c r="H3812" s="340">
        <f t="shared" si="3"/>
        <v>36.2</v>
      </c>
      <c r="I3812" s="341">
        <v>-0.5</v>
      </c>
      <c r="J3812" s="332">
        <f>IFERROR(__xludf.DUMMYFUNCTION("IF(IF(COUNTIF(P$2:P3811, P3812)=0, """", INDEX(H$2:H3811,
MAX(FILTER(ROW(H$2:H3811) - ROW(H$2) + 1, P$2:P3811 = P3812))))=""単価"","""",
IF(COUNTIF(P$2:P3811, P3812)=0, """", INDEX(H$2:H3811,
MAX(FILTER(ROW(H$2:H3811) - ROW(H$2) + 1, P$2:P3811 = P3812)))))"),36.7)</f>
        <v>36.7</v>
      </c>
      <c r="N3812" s="335" t="str">
        <f>IF(MAXIFS('単価履歴'!$O:$O,'単価履歴'!$E:$E,E3812,'単価履歴'!$F:$F,F3812)=O3812,"●","")</f>
        <v/>
      </c>
      <c r="O3812" s="346">
        <v>46051.27752314815</v>
      </c>
      <c r="P3812" s="334" t="str">
        <f t="shared" si="4"/>
        <v>大鉄　堺:伊藤忠ＪＨ１(H2T山口)鍛造ﾊﾞﾘ</v>
      </c>
    </row>
    <row r="3813" ht="15.75" customHeight="1">
      <c r="A3813" s="335" t="s">
        <v>4960</v>
      </c>
      <c r="B3813" s="336">
        <v>46051.0</v>
      </c>
      <c r="C3813" s="335" t="s">
        <v>9</v>
      </c>
      <c r="D3813" s="335" t="s">
        <v>49</v>
      </c>
      <c r="E3813" s="337" t="str">
        <f t="shared" si="1"/>
        <v>大鉄　堺:伊藤忠</v>
      </c>
      <c r="F3813" s="338" t="s">
        <v>116</v>
      </c>
      <c r="G3813" s="339" t="str">
        <f t="shared" si="2"/>
        <v>大鉄　堺:伊藤忠Ｈ２(特級)</v>
      </c>
      <c r="H3813" s="340">
        <f t="shared" si="3"/>
        <v>34</v>
      </c>
      <c r="I3813" s="341">
        <v>-0.5</v>
      </c>
      <c r="J3813" s="332">
        <f>IFERROR(__xludf.DUMMYFUNCTION("IF(IF(COUNTIF(P$2:P3812, P3813)=0, """", INDEX(H$2:H3812,
MAX(FILTER(ROW(H$2:H3812) - ROW(H$2) + 1, P$2:P3812 = P3813))))=""単価"","""",
IF(COUNTIF(P$2:P3812, P3813)=0, """", INDEX(H$2:H3812,
MAX(FILTER(ROW(H$2:H3812) - ROW(H$2) + 1, P$2:P3812 = P3813)))))"),34.5)</f>
        <v>34.5</v>
      </c>
      <c r="N3813" s="335" t="str">
        <f>IF(MAXIFS('単価履歴'!$O:$O,'単価履歴'!$E:$E,E3813,'単価履歴'!$F:$F,F3813)=O3813,"●","")</f>
        <v/>
      </c>
      <c r="O3813" s="346">
        <v>46051.27752314815</v>
      </c>
      <c r="P3813" s="334" t="str">
        <f t="shared" si="4"/>
        <v>大鉄　堺:伊藤忠Ｈ２(特級)</v>
      </c>
    </row>
    <row r="3814" ht="15.75" customHeight="1">
      <c r="A3814" s="335" t="s">
        <v>4961</v>
      </c>
      <c r="B3814" s="336">
        <v>46051.0</v>
      </c>
      <c r="C3814" s="335" t="s">
        <v>9</v>
      </c>
      <c r="D3814" s="335" t="s">
        <v>49</v>
      </c>
      <c r="E3814" s="337" t="str">
        <f t="shared" si="1"/>
        <v>大鉄　堺:伊藤忠</v>
      </c>
      <c r="F3814" s="338" t="s">
        <v>119</v>
      </c>
      <c r="G3814" s="339" t="str">
        <f t="shared" si="2"/>
        <v>大鉄　堺:伊藤忠Ｈ３(1級)</v>
      </c>
      <c r="H3814" s="340">
        <f t="shared" si="3"/>
        <v>33</v>
      </c>
      <c r="I3814" s="341">
        <v>-0.5</v>
      </c>
      <c r="J3814" s="332">
        <f>IFERROR(__xludf.DUMMYFUNCTION("IF(IF(COUNTIF(P$2:P3813, P3814)=0, """", INDEX(H$2:H3813,
MAX(FILTER(ROW(H$2:H3813) - ROW(H$2) + 1, P$2:P3813 = P3814))))=""単価"","""",
IF(COUNTIF(P$2:P3813, P3814)=0, """", INDEX(H$2:H3813,
MAX(FILTER(ROW(H$2:H3813) - ROW(H$2) + 1, P$2:P3813 = P3814)))))"),33.5)</f>
        <v>33.5</v>
      </c>
      <c r="N3814" s="335" t="str">
        <f>IF(MAXIFS('単価履歴'!$O:$O,'単価履歴'!$E:$E,E3814,'単価履歴'!$F:$F,F3814)=O3814,"●","")</f>
        <v/>
      </c>
      <c r="O3814" s="346">
        <v>46051.27752314815</v>
      </c>
      <c r="P3814" s="334" t="str">
        <f t="shared" si="4"/>
        <v>大鉄　堺:伊藤忠Ｈ３(1級)</v>
      </c>
    </row>
    <row r="3815" ht="15.75" customHeight="1">
      <c r="A3815" s="335" t="s">
        <v>4962</v>
      </c>
      <c r="B3815" s="336">
        <v>46051.0</v>
      </c>
      <c r="C3815" s="335" t="s">
        <v>9</v>
      </c>
      <c r="D3815" s="335" t="s">
        <v>49</v>
      </c>
      <c r="E3815" s="337" t="str">
        <f t="shared" si="1"/>
        <v>大鉄　堺:伊藤忠</v>
      </c>
      <c r="F3815" s="338" t="s">
        <v>122</v>
      </c>
      <c r="G3815" s="339" t="str">
        <f t="shared" si="2"/>
        <v>大鉄　堺:伊藤忠Ｌ１(2級)</v>
      </c>
      <c r="H3815" s="340">
        <f t="shared" si="3"/>
        <v>32</v>
      </c>
      <c r="I3815" s="341">
        <v>-0.5</v>
      </c>
      <c r="J3815" s="332">
        <f>IFERROR(__xludf.DUMMYFUNCTION("IF(IF(COUNTIF(P$2:P3814, P3815)=0, """", INDEX(H$2:H3814,
MAX(FILTER(ROW(H$2:H3814) - ROW(H$2) + 1, P$2:P3814 = P3815))))=""単価"","""",
IF(COUNTIF(P$2:P3814, P3815)=0, """", INDEX(H$2:H3814,
MAX(FILTER(ROW(H$2:H3814) - ROW(H$2) + 1, P$2:P3814 = P3815)))))"),32.5)</f>
        <v>32.5</v>
      </c>
      <c r="N3815" s="335" t="str">
        <f>IF(MAXIFS('単価履歴'!$O:$O,'単価履歴'!$E:$E,E3815,'単価履歴'!$F:$F,F3815)=O3815,"●","")</f>
        <v/>
      </c>
      <c r="O3815" s="346">
        <v>46051.27752314815</v>
      </c>
      <c r="P3815" s="334" t="str">
        <f t="shared" si="4"/>
        <v>大鉄　堺:伊藤忠Ｌ１(2級)</v>
      </c>
    </row>
    <row r="3816" ht="15.75" customHeight="1">
      <c r="A3816" s="335" t="s">
        <v>4963</v>
      </c>
      <c r="B3816" s="336">
        <v>46051.0</v>
      </c>
      <c r="C3816" s="335" t="s">
        <v>9</v>
      </c>
      <c r="D3816" s="335" t="s">
        <v>49</v>
      </c>
      <c r="E3816" s="337" t="str">
        <f t="shared" si="1"/>
        <v>大鉄　堺:伊藤忠</v>
      </c>
      <c r="F3816" s="338" t="s">
        <v>130</v>
      </c>
      <c r="G3816" s="339" t="str">
        <f t="shared" si="2"/>
        <v>大鉄　堺:伊藤忠新断Ａ</v>
      </c>
      <c r="H3816" s="340">
        <f t="shared" si="3"/>
        <v>28.3</v>
      </c>
      <c r="I3816" s="341">
        <v>-0.5</v>
      </c>
      <c r="J3816" s="332">
        <f>IFERROR(__xludf.DUMMYFUNCTION("IF(IF(COUNTIF(P$2:P3815, P3816)=0, """", INDEX(H$2:H3815,
MAX(FILTER(ROW(H$2:H3815) - ROW(H$2) + 1, P$2:P3815 = P3816))))=""単価"","""",
IF(COUNTIF(P$2:P3815, P3816)=0, """", INDEX(H$2:H3815,
MAX(FILTER(ROW(H$2:H3815) - ROW(H$2) + 1, P$2:P3815 = P3816)))))"),28.8)</f>
        <v>28.8</v>
      </c>
      <c r="N3816" s="335" t="str">
        <f>IF(MAXIFS('単価履歴'!$O:$O,'単価履歴'!$E:$E,E3816,'単価履歴'!$F:$F,F3816)=O3816,"●","")</f>
        <v/>
      </c>
      <c r="O3816" s="346">
        <v>46051.27752314815</v>
      </c>
      <c r="P3816" s="334" t="str">
        <f t="shared" si="4"/>
        <v>大鉄　堺:伊藤忠新断Ａ</v>
      </c>
    </row>
    <row r="3817" ht="15.75" customHeight="1">
      <c r="A3817" s="335" t="s">
        <v>4964</v>
      </c>
      <c r="B3817" s="336">
        <v>46051.0</v>
      </c>
      <c r="C3817" s="335" t="s">
        <v>9</v>
      </c>
      <c r="D3817" s="335" t="s">
        <v>49</v>
      </c>
      <c r="E3817" s="337" t="str">
        <f t="shared" si="1"/>
        <v>大鉄　堺:伊藤忠</v>
      </c>
      <c r="F3817" s="338" t="s">
        <v>131</v>
      </c>
      <c r="G3817" s="339" t="str">
        <f t="shared" si="2"/>
        <v>大鉄　堺:伊藤忠新断Ｂ</v>
      </c>
      <c r="H3817" s="340">
        <f t="shared" si="3"/>
        <v>27.8</v>
      </c>
      <c r="I3817" s="341">
        <v>-0.5</v>
      </c>
      <c r="J3817" s="332">
        <f>IFERROR(__xludf.DUMMYFUNCTION("IF(IF(COUNTIF(P$2:P3816, P3817)=0, """", INDEX(H$2:H3816,
MAX(FILTER(ROW(H$2:H3816) - ROW(H$2) + 1, P$2:P3816 = P3817))))=""単価"","""",
IF(COUNTIF(P$2:P3816, P3817)=0, """", INDEX(H$2:H3816,
MAX(FILTER(ROW(H$2:H3816) - ROW(H$2) + 1, P$2:P3816 = P3817)))))"),28.3)</f>
        <v>28.3</v>
      </c>
      <c r="N3817" s="335" t="str">
        <f>IF(MAXIFS('単価履歴'!$O:$O,'単価履歴'!$E:$E,E3817,'単価履歴'!$F:$F,F3817)=O3817,"●","")</f>
        <v/>
      </c>
      <c r="O3817" s="346">
        <v>46051.27752314815</v>
      </c>
      <c r="P3817" s="334" t="str">
        <f t="shared" si="4"/>
        <v>大鉄　堺:伊藤忠新断Ｂ</v>
      </c>
    </row>
    <row r="3818" ht="15.75" customHeight="1">
      <c r="A3818" s="335" t="s">
        <v>4965</v>
      </c>
      <c r="B3818" s="336">
        <v>46051.0</v>
      </c>
      <c r="C3818" s="335" t="s">
        <v>9</v>
      </c>
      <c r="D3818" s="335" t="s">
        <v>48</v>
      </c>
      <c r="E3818" s="337" t="str">
        <f t="shared" si="1"/>
        <v>大鉄　堺:ナベ</v>
      </c>
      <c r="F3818" s="338" t="s">
        <v>111</v>
      </c>
      <c r="G3818" s="339" t="str">
        <f t="shared" si="2"/>
        <v>大鉄　堺:ナベＨ１(特A)</v>
      </c>
      <c r="H3818" s="340">
        <f t="shared" si="3"/>
        <v>-0.5</v>
      </c>
      <c r="I3818" s="341">
        <v>-0.5</v>
      </c>
      <c r="J3818" s="332" t="str">
        <f>IFERROR(__xludf.DUMMYFUNCTION("IF(IF(COUNTIF(P$2:P3817, P3818)=0, """", INDEX(H$2:H3817,
MAX(FILTER(ROW(H$2:H3817) - ROW(H$2) + 1, P$2:P3817 = P3818))))=""単価"","""",
IF(COUNTIF(P$2:P3817, P3818)=0, """", INDEX(H$2:H3817,
MAX(FILTER(ROW(H$2:H3817) - ROW(H$2) + 1, P$2:P3817 = P3818)))))"),"")</f>
        <v/>
      </c>
      <c r="N3818" s="335" t="str">
        <f>IF(MAXIFS('単価履歴'!$O:$O,'単価履歴'!$E:$E,E3818,'単価履歴'!$F:$F,F3818)=O3818,"●","")</f>
        <v/>
      </c>
      <c r="O3818" s="346">
        <v>46051.27768518518</v>
      </c>
      <c r="P3818" s="334" t="str">
        <f t="shared" si="4"/>
        <v>大鉄　堺:ナベＨ１(特A)</v>
      </c>
    </row>
    <row r="3819" ht="15.75" customHeight="1">
      <c r="A3819" s="335" t="s">
        <v>4966</v>
      </c>
      <c r="B3819" s="336">
        <v>46051.0</v>
      </c>
      <c r="C3819" s="335" t="s">
        <v>9</v>
      </c>
      <c r="D3819" s="335" t="s">
        <v>48</v>
      </c>
      <c r="E3819" s="337" t="str">
        <f t="shared" si="1"/>
        <v>大鉄　堺:ナベ</v>
      </c>
      <c r="F3819" s="338" t="s">
        <v>116</v>
      </c>
      <c r="G3819" s="339" t="str">
        <f t="shared" si="2"/>
        <v>大鉄　堺:ナベＨ２(特級)</v>
      </c>
      <c r="H3819" s="340">
        <f t="shared" si="3"/>
        <v>44.2</v>
      </c>
      <c r="I3819" s="341">
        <v>-0.5</v>
      </c>
      <c r="J3819" s="332">
        <f>IFERROR(__xludf.DUMMYFUNCTION("IF(IF(COUNTIF(P$2:P3818, P3819)=0, """", INDEX(H$2:H3818,
MAX(FILTER(ROW(H$2:H3818) - ROW(H$2) + 1, P$2:P3818 = P3819))))=""単価"","""",
IF(COUNTIF(P$2:P3818, P3819)=0, """", INDEX(H$2:H3818,
MAX(FILTER(ROW(H$2:H3818) - ROW(H$2) + 1, P$2:P3818 = P3819)))))"),44.7)</f>
        <v>44.7</v>
      </c>
      <c r="N3819" s="335" t="str">
        <f>IF(MAXIFS('単価履歴'!$O:$O,'単価履歴'!$E:$E,E3819,'単価履歴'!$F:$F,F3819)=O3819,"●","")</f>
        <v/>
      </c>
      <c r="O3819" s="346">
        <v>46051.27768518518</v>
      </c>
      <c r="P3819" s="334" t="str">
        <f t="shared" si="4"/>
        <v>大鉄　堺:ナベＨ２(特級)</v>
      </c>
    </row>
    <row r="3820" ht="15.75" customHeight="1">
      <c r="A3820" s="335" t="s">
        <v>4967</v>
      </c>
      <c r="B3820" s="336">
        <v>46051.0</v>
      </c>
      <c r="C3820" s="335" t="s">
        <v>9</v>
      </c>
      <c r="D3820" s="335" t="s">
        <v>48</v>
      </c>
      <c r="E3820" s="337" t="str">
        <f t="shared" si="1"/>
        <v>大鉄　堺:ナベ</v>
      </c>
      <c r="F3820" s="338" t="s">
        <v>119</v>
      </c>
      <c r="G3820" s="339" t="str">
        <f t="shared" si="2"/>
        <v>大鉄　堺:ナベＨ３(1級)</v>
      </c>
      <c r="H3820" s="340">
        <f t="shared" si="3"/>
        <v>43.7</v>
      </c>
      <c r="I3820" s="341">
        <v>-0.5</v>
      </c>
      <c r="J3820" s="332">
        <f>IFERROR(__xludf.DUMMYFUNCTION("IF(IF(COUNTIF(P$2:P3819, P3820)=0, """", INDEX(H$2:H3819,
MAX(FILTER(ROW(H$2:H3819) - ROW(H$2) + 1, P$2:P3819 = P3820))))=""単価"","""",
IF(COUNTIF(P$2:P3819, P3820)=0, """", INDEX(H$2:H3819,
MAX(FILTER(ROW(H$2:H3819) - ROW(H$2) + 1, P$2:P3819 = P3820)))))"),44.2)</f>
        <v>44.2</v>
      </c>
      <c r="N3820" s="335" t="str">
        <f>IF(MAXIFS('単価履歴'!$O:$O,'単価履歴'!$E:$E,E3820,'単価履歴'!$F:$F,F3820)=O3820,"●","")</f>
        <v/>
      </c>
      <c r="O3820" s="346">
        <v>46051.27768518518</v>
      </c>
      <c r="P3820" s="334" t="str">
        <f t="shared" si="4"/>
        <v>大鉄　堺:ナベＨ３(1級)</v>
      </c>
    </row>
    <row r="3821" ht="15.75" customHeight="1">
      <c r="A3821" s="335" t="s">
        <v>4968</v>
      </c>
      <c r="B3821" s="336">
        <v>46051.0</v>
      </c>
      <c r="C3821" s="335" t="s">
        <v>9</v>
      </c>
      <c r="D3821" s="335" t="s">
        <v>48</v>
      </c>
      <c r="E3821" s="337" t="str">
        <f t="shared" si="1"/>
        <v>大鉄　堺:ナベ</v>
      </c>
      <c r="F3821" s="338" t="s">
        <v>122</v>
      </c>
      <c r="G3821" s="339" t="str">
        <f t="shared" si="2"/>
        <v>大鉄　堺:ナベＬ１(2級)</v>
      </c>
      <c r="H3821" s="340">
        <f t="shared" si="3"/>
        <v>43.2</v>
      </c>
      <c r="I3821" s="341">
        <v>-0.5</v>
      </c>
      <c r="J3821" s="332">
        <f>IFERROR(__xludf.DUMMYFUNCTION("IF(IF(COUNTIF(P$2:P3820, P3821)=0, """", INDEX(H$2:H3820,
MAX(FILTER(ROW(H$2:H3820) - ROW(H$2) + 1, P$2:P3820 = P3821))))=""単価"","""",
IF(COUNTIF(P$2:P3820, P3821)=0, """", INDEX(H$2:H3820,
MAX(FILTER(ROW(H$2:H3820) - ROW(H$2) + 1, P$2:P3820 = P3821)))))"),43.7)</f>
        <v>43.7</v>
      </c>
      <c r="N3821" s="335" t="str">
        <f>IF(MAXIFS('単価履歴'!$O:$O,'単価履歴'!$E:$E,E3821,'単価履歴'!$F:$F,F3821)=O3821,"●","")</f>
        <v/>
      </c>
      <c r="O3821" s="346">
        <v>46051.27768518518</v>
      </c>
      <c r="P3821" s="334" t="str">
        <f t="shared" si="4"/>
        <v>大鉄　堺:ナベＬ１(2級)</v>
      </c>
    </row>
    <row r="3822" ht="15.75" customHeight="1">
      <c r="A3822" s="335" t="s">
        <v>4969</v>
      </c>
      <c r="B3822" s="336">
        <v>46051.0</v>
      </c>
      <c r="C3822" s="335" t="s">
        <v>12</v>
      </c>
      <c r="D3822" s="335" t="s">
        <v>541</v>
      </c>
      <c r="E3822" s="337" t="str">
        <f t="shared" si="1"/>
        <v>山陽特殊:大同</v>
      </c>
      <c r="F3822" s="338" t="s">
        <v>1199</v>
      </c>
      <c r="G3822" s="339" t="str">
        <f t="shared" si="2"/>
        <v>山陽特殊:大同ＨＳ１(単体H1/電特A/HS))</v>
      </c>
      <c r="H3822" s="340">
        <f t="shared" si="3"/>
        <v>49.5</v>
      </c>
      <c r="I3822" s="341">
        <v>-0.5</v>
      </c>
      <c r="J3822" s="332">
        <f>IFERROR(__xludf.DUMMYFUNCTION("IF(IF(COUNTIF(P$2:P3821, P3822)=0, """", INDEX(H$2:H3821,
MAX(FILTER(ROW(H$2:H3821) - ROW(H$2) + 1, P$2:P3821 = P3822))))=""単価"","""",
IF(COUNTIF(P$2:P3821, P3822)=0, """", INDEX(H$2:H3821,
MAX(FILTER(ROW(H$2:H3821) - ROW(H$2) + 1, P$2:P3821 = P3822)))))"),50.0)</f>
        <v>50</v>
      </c>
      <c r="N3822" s="335" t="str">
        <f>IF(MAXIFS('単価履歴'!$O:$O,'単価履歴'!$E:$E,E3822,'単価履歴'!$F:$F,F3822)=O3822,"●","")</f>
        <v/>
      </c>
      <c r="O3822" s="346">
        <v>46051.278333333335</v>
      </c>
      <c r="P3822" s="334" t="str">
        <f t="shared" si="4"/>
        <v>山陽特殊:大同ＨＳ１(単体H1/電特A/HS))</v>
      </c>
    </row>
    <row r="3823" ht="15.75" customHeight="1">
      <c r="A3823" s="335" t="s">
        <v>4970</v>
      </c>
      <c r="B3823" s="336">
        <v>46051.0</v>
      </c>
      <c r="C3823" s="335" t="s">
        <v>12</v>
      </c>
      <c r="D3823" s="335" t="s">
        <v>541</v>
      </c>
      <c r="E3823" s="337" t="str">
        <f t="shared" si="1"/>
        <v>山陽特殊:大同</v>
      </c>
      <c r="F3823" s="338" t="s">
        <v>101</v>
      </c>
      <c r="G3823" s="339" t="str">
        <f t="shared" si="2"/>
        <v>山陽特殊:大同ＨＳ２</v>
      </c>
      <c r="H3823" s="340">
        <f t="shared" si="3"/>
        <v>49.3</v>
      </c>
      <c r="I3823" s="341">
        <v>-0.5</v>
      </c>
      <c r="J3823" s="332">
        <f>IFERROR(__xludf.DUMMYFUNCTION("IF(IF(COUNTIF(P$2:P3822, P3823)=0, """", INDEX(H$2:H3822,
MAX(FILTER(ROW(H$2:H3822) - ROW(H$2) + 1, P$2:P3822 = P3823))))=""単価"","""",
IF(COUNTIF(P$2:P3822, P3823)=0, """", INDEX(H$2:H3822,
MAX(FILTER(ROW(H$2:H3822) - ROW(H$2) + 1, P$2:P3822 = P3823)))))"),49.8)</f>
        <v>49.8</v>
      </c>
      <c r="N3823" s="335" t="str">
        <f>IF(MAXIFS('単価履歴'!$O:$O,'単価履歴'!$E:$E,E3823,'単価履歴'!$F:$F,F3823)=O3823,"●","")</f>
        <v/>
      </c>
      <c r="O3823" s="346">
        <v>46051.278333333335</v>
      </c>
      <c r="P3823" s="334" t="str">
        <f t="shared" si="4"/>
        <v>山陽特殊:大同ＨＳ２</v>
      </c>
    </row>
    <row r="3824" ht="15.75" customHeight="1">
      <c r="A3824" s="335" t="s">
        <v>4971</v>
      </c>
      <c r="B3824" s="336">
        <v>46051.0</v>
      </c>
      <c r="C3824" s="335" t="s">
        <v>12</v>
      </c>
      <c r="D3824" s="335" t="s">
        <v>541</v>
      </c>
      <c r="E3824" s="337" t="str">
        <f t="shared" si="1"/>
        <v>山陽特殊:大同</v>
      </c>
      <c r="F3824" s="338" t="s">
        <v>105</v>
      </c>
      <c r="G3824" s="339" t="str">
        <f t="shared" si="2"/>
        <v>山陽特殊:大同ＨＳ３</v>
      </c>
      <c r="H3824" s="340">
        <f t="shared" si="3"/>
        <v>47.3</v>
      </c>
      <c r="I3824" s="341">
        <v>-0.5</v>
      </c>
      <c r="J3824" s="332">
        <f>IFERROR(__xludf.DUMMYFUNCTION("IF(IF(COUNTIF(P$2:P3823, P3824)=0, """", INDEX(H$2:H3823,
MAX(FILTER(ROW(H$2:H3823) - ROW(H$2) + 1, P$2:P3823 = P3824))))=""単価"","""",
IF(COUNTIF(P$2:P3823, P3824)=0, """", INDEX(H$2:H3823,
MAX(FILTER(ROW(H$2:H3823) - ROW(H$2) + 1, P$2:P3823 = P3824)))))"),47.8)</f>
        <v>47.8</v>
      </c>
      <c r="N3824" s="335" t="str">
        <f>IF(MAXIFS('単価履歴'!$O:$O,'単価履歴'!$E:$E,E3824,'単価履歴'!$F:$F,F3824)=O3824,"●","")</f>
        <v/>
      </c>
      <c r="O3824" s="346">
        <v>46051.278333333335</v>
      </c>
      <c r="P3824" s="334" t="str">
        <f t="shared" si="4"/>
        <v>山陽特殊:大同ＨＳ３</v>
      </c>
    </row>
    <row r="3825" ht="15.75" customHeight="1">
      <c r="A3825" s="335" t="s">
        <v>4972</v>
      </c>
      <c r="B3825" s="336">
        <v>46051.0</v>
      </c>
      <c r="C3825" s="335" t="s">
        <v>9</v>
      </c>
      <c r="D3825" s="335" t="s">
        <v>48</v>
      </c>
      <c r="E3825" s="337" t="str">
        <f t="shared" si="1"/>
        <v>大鉄　堺:ナベ</v>
      </c>
      <c r="F3825" s="338" t="s">
        <v>111</v>
      </c>
      <c r="G3825" s="339" t="str">
        <f t="shared" si="2"/>
        <v>大鉄　堺:ナベＨ１(特A)</v>
      </c>
      <c r="H3825" s="340">
        <f t="shared" si="3"/>
        <v>0</v>
      </c>
      <c r="I3825" s="341">
        <v>0.5</v>
      </c>
      <c r="J3825" s="332">
        <f>IFERROR(__xludf.DUMMYFUNCTION("IF(IF(COUNTIF(P$2:P3824, P3825)=0, """", INDEX(H$2:H3824,
MAX(FILTER(ROW(H$2:H3824) - ROW(H$2) + 1, P$2:P3824 = P3825))))=""単価"","""",
IF(COUNTIF(P$2:P3824, P3825)=0, """", INDEX(H$2:H3824,
MAX(FILTER(ROW(H$2:H3824) - ROW(H$2) + 1, P$2:P3824 = P3825)))))"),-0.5)</f>
        <v>-0.5</v>
      </c>
      <c r="N3825" s="335" t="str">
        <f>IF(MAXIFS('単価履歴'!$O:$O,'単価履歴'!$E:$E,E3825,'単価履歴'!$F:$F,F3825)=O3825,"●","")</f>
        <v/>
      </c>
      <c r="O3825" s="346">
        <v>46051.28618055556</v>
      </c>
      <c r="P3825" s="334" t="str">
        <f t="shared" si="4"/>
        <v>大鉄　堺:ナベＨ１(特A)</v>
      </c>
    </row>
    <row r="3826" ht="15.75" customHeight="1">
      <c r="A3826" s="335" t="s">
        <v>4973</v>
      </c>
      <c r="B3826" s="336">
        <v>46056.0</v>
      </c>
      <c r="C3826" s="335" t="s">
        <v>31</v>
      </c>
      <c r="D3826" s="335" t="s">
        <v>47</v>
      </c>
      <c r="E3826" s="337" t="str">
        <f t="shared" si="1"/>
        <v>泉北中谷:豊通</v>
      </c>
      <c r="F3826" s="338" t="s">
        <v>130</v>
      </c>
      <c r="G3826" s="339" t="str">
        <f t="shared" si="2"/>
        <v>泉北中谷:豊通新断Ａ</v>
      </c>
      <c r="H3826" s="340">
        <f t="shared" si="3"/>
        <v>48.3</v>
      </c>
      <c r="I3826" s="341">
        <v>0.5</v>
      </c>
      <c r="J3826" s="332">
        <f>IFERROR(__xludf.DUMMYFUNCTION("IF(IF(COUNTIF(P$2:P3825, P3826)=0, """", INDEX(H$2:H3825,
MAX(FILTER(ROW(H$2:H3825) - ROW(H$2) + 1, P$2:P3825 = P3826))))=""単価"","""",
IF(COUNTIF(P$2:P3825, P3826)=0, """", INDEX(H$2:H3825,
MAX(FILTER(ROW(H$2:H3825) - ROW(H$2) + 1, P$2:P3825 = P3826)))))"),47.8)</f>
        <v>47.8</v>
      </c>
      <c r="N3826" s="335" t="str">
        <f>IF(MAXIFS('単価履歴'!$O:$O,'単価履歴'!$E:$E,E3826,'単価履歴'!$F:$F,F3826)=O3826,"●","")</f>
        <v/>
      </c>
      <c r="O3826" s="346">
        <v>46052.62706018519</v>
      </c>
      <c r="P3826" s="334" t="str">
        <f t="shared" si="4"/>
        <v>泉北中谷:豊通新断Ａ</v>
      </c>
    </row>
    <row r="3827" ht="15.75" customHeight="1">
      <c r="A3827" s="335" t="s">
        <v>4974</v>
      </c>
      <c r="B3827" s="336">
        <v>46055.0</v>
      </c>
      <c r="C3827" s="335" t="s">
        <v>12</v>
      </c>
      <c r="D3827" s="335" t="s">
        <v>541</v>
      </c>
      <c r="E3827" s="337" t="str">
        <f t="shared" si="1"/>
        <v>山陽特殊:大同</v>
      </c>
      <c r="F3827" s="338" t="s">
        <v>1199</v>
      </c>
      <c r="G3827" s="339" t="str">
        <f t="shared" si="2"/>
        <v>山陽特殊:大同ＨＳ１(単体H1/電特A/HS))</v>
      </c>
      <c r="H3827" s="340">
        <f t="shared" si="3"/>
        <v>49.7</v>
      </c>
      <c r="I3827" s="341">
        <v>0.2</v>
      </c>
      <c r="J3827" s="332">
        <f>IFERROR(__xludf.DUMMYFUNCTION("IF(IF(COUNTIF(P$2:P3826, P3827)=0, """", INDEX(H$2:H3826,
MAX(FILTER(ROW(H$2:H3826) - ROW(H$2) + 1, P$2:P3826 = P3827))))=""単価"","""",
IF(COUNTIF(P$2:P3826, P3827)=0, """", INDEX(H$2:H3826,
MAX(FILTER(ROW(H$2:H3826) - ROW(H$2) + 1, P$2:P3826 = P3827)))))"),49.5)</f>
        <v>49.5</v>
      </c>
      <c r="N3827" s="335" t="str">
        <f>IF(MAXIFS('単価履歴'!$O:$O,'単価履歴'!$E:$E,E3827,'単価履歴'!$F:$F,F3827)=O3827,"●","")</f>
        <v/>
      </c>
      <c r="O3827" s="346">
        <v>46055.56350694444</v>
      </c>
      <c r="P3827" s="334" t="str">
        <f t="shared" si="4"/>
        <v>山陽特殊:大同ＨＳ１(単体H1/電特A/HS))</v>
      </c>
    </row>
    <row r="3828" ht="15.75" customHeight="1">
      <c r="A3828" s="335" t="s">
        <v>4975</v>
      </c>
      <c r="B3828" s="336">
        <v>46055.0</v>
      </c>
      <c r="C3828" s="335" t="s">
        <v>12</v>
      </c>
      <c r="D3828" s="335" t="s">
        <v>541</v>
      </c>
      <c r="E3828" s="337" t="str">
        <f t="shared" si="1"/>
        <v>山陽特殊:大同</v>
      </c>
      <c r="F3828" s="338" t="s">
        <v>101</v>
      </c>
      <c r="G3828" s="339" t="str">
        <f t="shared" si="2"/>
        <v>山陽特殊:大同ＨＳ２</v>
      </c>
      <c r="H3828" s="340">
        <f t="shared" si="3"/>
        <v>49.5</v>
      </c>
      <c r="I3828" s="341">
        <v>0.2</v>
      </c>
      <c r="J3828" s="332">
        <f>IFERROR(__xludf.DUMMYFUNCTION("IF(IF(COUNTIF(P$2:P3827, P3828)=0, """", INDEX(H$2:H3827,
MAX(FILTER(ROW(H$2:H3827) - ROW(H$2) + 1, P$2:P3827 = P3828))))=""単価"","""",
IF(COUNTIF(P$2:P3827, P3828)=0, """", INDEX(H$2:H3827,
MAX(FILTER(ROW(H$2:H3827) - ROW(H$2) + 1, P$2:P3827 = P3828)))))"),49.3)</f>
        <v>49.3</v>
      </c>
      <c r="N3828" s="335" t="str">
        <f>IF(MAXIFS('単価履歴'!$O:$O,'単価履歴'!$E:$E,E3828,'単価履歴'!$F:$F,F3828)=O3828,"●","")</f>
        <v/>
      </c>
      <c r="O3828" s="346">
        <v>46055.56350694444</v>
      </c>
      <c r="P3828" s="334" t="str">
        <f t="shared" si="4"/>
        <v>山陽特殊:大同ＨＳ２</v>
      </c>
    </row>
    <row r="3829" ht="15.75" customHeight="1">
      <c r="A3829" s="335" t="s">
        <v>4976</v>
      </c>
      <c r="B3829" s="336">
        <v>46055.0</v>
      </c>
      <c r="C3829" s="335" t="s">
        <v>12</v>
      </c>
      <c r="D3829" s="335" t="s">
        <v>541</v>
      </c>
      <c r="E3829" s="337" t="str">
        <f t="shared" si="1"/>
        <v>山陽特殊:大同</v>
      </c>
      <c r="F3829" s="338" t="s">
        <v>105</v>
      </c>
      <c r="G3829" s="339" t="str">
        <f t="shared" si="2"/>
        <v>山陽特殊:大同ＨＳ３</v>
      </c>
      <c r="H3829" s="340">
        <f t="shared" si="3"/>
        <v>47.5</v>
      </c>
      <c r="I3829" s="341">
        <v>0.2</v>
      </c>
      <c r="J3829" s="332">
        <f>IFERROR(__xludf.DUMMYFUNCTION("IF(IF(COUNTIF(P$2:P3828, P3829)=0, """", INDEX(H$2:H3828,
MAX(FILTER(ROW(H$2:H3828) - ROW(H$2) + 1, P$2:P3828 = P3829))))=""単価"","""",
IF(COUNTIF(P$2:P3828, P3829)=0, """", INDEX(H$2:H3828,
MAX(FILTER(ROW(H$2:H3828) - ROW(H$2) + 1, P$2:P3828 = P3829)))))"),47.3)</f>
        <v>47.3</v>
      </c>
      <c r="N3829" s="335" t="str">
        <f>IF(MAXIFS('単価履歴'!$O:$O,'単価履歴'!$E:$E,E3829,'単価履歴'!$F:$F,F3829)=O3829,"●","")</f>
        <v/>
      </c>
      <c r="O3829" s="346">
        <v>46055.56350694444</v>
      </c>
      <c r="P3829" s="334" t="str">
        <f t="shared" si="4"/>
        <v>山陽特殊:大同ＨＳ３</v>
      </c>
    </row>
    <row r="3830" ht="15.75" customHeight="1">
      <c r="A3830" s="335" t="s">
        <v>4977</v>
      </c>
      <c r="B3830" s="336">
        <v>46056.0</v>
      </c>
      <c r="C3830" s="335" t="s">
        <v>7</v>
      </c>
      <c r="D3830" s="335" t="s">
        <v>49</v>
      </c>
      <c r="E3830" s="337" t="str">
        <f t="shared" si="1"/>
        <v>合同大阪:伊藤忠</v>
      </c>
      <c r="F3830" s="338" t="s">
        <v>130</v>
      </c>
      <c r="G3830" s="339" t="str">
        <f t="shared" si="2"/>
        <v>合同大阪:伊藤忠新断Ａ</v>
      </c>
      <c r="H3830" s="340">
        <f t="shared" si="3"/>
        <v>47.3</v>
      </c>
      <c r="I3830" s="341">
        <v>0.5</v>
      </c>
      <c r="J3830" s="332">
        <f>IFERROR(__xludf.DUMMYFUNCTION("IF(IF(COUNTIF(P$2:P3829, P3830)=0, """", INDEX(H$2:H3829,
MAX(FILTER(ROW(H$2:H3829) - ROW(H$2) + 1, P$2:P3829 = P3830))))=""単価"","""",
IF(COUNTIF(P$2:P3829, P3830)=0, """", INDEX(H$2:H3829,
MAX(FILTER(ROW(H$2:H3829) - ROW(H$2) + 1, P$2:P3829 = P3830)))))"),46.8)</f>
        <v>46.8</v>
      </c>
      <c r="N3830" s="335" t="str">
        <f>IF(MAXIFS('単価履歴'!$O:$O,'単価履歴'!$E:$E,E3830,'単価履歴'!$F:$F,F3830)=O3830,"●","")</f>
        <v/>
      </c>
      <c r="O3830" s="346">
        <v>46056.2737037037</v>
      </c>
      <c r="P3830" s="334" t="str">
        <f t="shared" si="4"/>
        <v>合同大阪:伊藤忠新断Ａ</v>
      </c>
    </row>
    <row r="3831" ht="15.75" customHeight="1">
      <c r="A3831" s="335" t="s">
        <v>4978</v>
      </c>
      <c r="B3831" s="336">
        <v>46056.0</v>
      </c>
      <c r="C3831" s="335" t="s">
        <v>7</v>
      </c>
      <c r="D3831" s="335" t="s">
        <v>49</v>
      </c>
      <c r="E3831" s="337" t="str">
        <f t="shared" si="1"/>
        <v>合同大阪:伊藤忠</v>
      </c>
      <c r="F3831" s="338" t="s">
        <v>131</v>
      </c>
      <c r="G3831" s="339" t="str">
        <f t="shared" si="2"/>
        <v>合同大阪:伊藤忠新断Ｂ</v>
      </c>
      <c r="H3831" s="340">
        <f t="shared" si="3"/>
        <v>46.8</v>
      </c>
      <c r="I3831" s="341">
        <v>0.5</v>
      </c>
      <c r="J3831" s="332">
        <f>IFERROR(__xludf.DUMMYFUNCTION("IF(IF(COUNTIF(P$2:P3830, P3831)=0, """", INDEX(H$2:H3830,
MAX(FILTER(ROW(H$2:H3830) - ROW(H$2) + 1, P$2:P3830 = P3831))))=""単価"","""",
IF(COUNTIF(P$2:P3830, P3831)=0, """", INDEX(H$2:H3830,
MAX(FILTER(ROW(H$2:H3830) - ROW(H$2) + 1, P$2:P3830 = P3831)))))"),46.3)</f>
        <v>46.3</v>
      </c>
      <c r="N3831" s="335" t="str">
        <f>IF(MAXIFS('単価履歴'!$O:$O,'単価履歴'!$E:$E,E3831,'単価履歴'!$F:$F,F3831)=O3831,"●","")</f>
        <v/>
      </c>
      <c r="O3831" s="346">
        <v>46056.2737037037</v>
      </c>
      <c r="P3831" s="334" t="str">
        <f t="shared" si="4"/>
        <v>合同大阪:伊藤忠新断Ｂ</v>
      </c>
    </row>
    <row r="3832" ht="15.75" customHeight="1">
      <c r="A3832" s="335" t="s">
        <v>4979</v>
      </c>
      <c r="B3832" s="336">
        <v>46058.0</v>
      </c>
      <c r="C3832" s="335" t="s">
        <v>10</v>
      </c>
      <c r="D3832" s="335" t="s">
        <v>539</v>
      </c>
      <c r="E3832" s="337" t="str">
        <f t="shared" si="1"/>
        <v>岸和田:岡谷鋼機</v>
      </c>
      <c r="F3832" s="338" t="s">
        <v>111</v>
      </c>
      <c r="G3832" s="339" t="str">
        <f t="shared" si="2"/>
        <v>岸和田:岡谷鋼機Ｈ１(特A)</v>
      </c>
      <c r="H3832" s="340">
        <f t="shared" si="3"/>
        <v>48.2</v>
      </c>
      <c r="I3832" s="341">
        <v>48.2</v>
      </c>
      <c r="J3832" s="332" t="str">
        <f>IFERROR(__xludf.DUMMYFUNCTION("IF(IF(COUNTIF(P$2:P3831, P3832)=0, """", INDEX(H$2:H3831,
MAX(FILTER(ROW(H$2:H3831) - ROW(H$2) + 1, P$2:P3831 = P3832))))=""単価"","""",
IF(COUNTIF(P$2:P3831, P3832)=0, """", INDEX(H$2:H3831,
MAX(FILTER(ROW(H$2:H3831) - ROW(H$2) + 1, P$2:P3831 = P3832)))))"),"")</f>
        <v/>
      </c>
      <c r="N3832" s="335" t="str">
        <f>IF(MAXIFS('単価履歴'!$O:$O,'単価履歴'!$E:$E,E3832,'単価履歴'!$F:$F,F3832)=O3832,"●","")</f>
        <v/>
      </c>
      <c r="O3832" s="346">
        <v>46058.815659722226</v>
      </c>
      <c r="P3832" s="334" t="str">
        <f t="shared" si="4"/>
        <v>岸和田:岡谷鋼機Ｈ１(特A)</v>
      </c>
    </row>
    <row r="3833" ht="15.75" customHeight="1">
      <c r="A3833" s="335" t="s">
        <v>4980</v>
      </c>
      <c r="B3833" s="336">
        <v>46058.0</v>
      </c>
      <c r="C3833" s="335" t="s">
        <v>10</v>
      </c>
      <c r="D3833" s="335" t="s">
        <v>539</v>
      </c>
      <c r="E3833" s="337" t="str">
        <f t="shared" si="1"/>
        <v>岸和田:岡谷鋼機</v>
      </c>
      <c r="F3833" s="338" t="s">
        <v>116</v>
      </c>
      <c r="G3833" s="339" t="str">
        <f t="shared" si="2"/>
        <v>岸和田:岡谷鋼機Ｈ２(特級)</v>
      </c>
      <c r="H3833" s="340">
        <f t="shared" si="3"/>
        <v>46.2</v>
      </c>
      <c r="I3833" s="341">
        <v>46.2</v>
      </c>
      <c r="J3833" s="332" t="str">
        <f>IFERROR(__xludf.DUMMYFUNCTION("IF(IF(COUNTIF(P$2:P3832, P3833)=0, """", INDEX(H$2:H3832,
MAX(FILTER(ROW(H$2:H3832) - ROW(H$2) + 1, P$2:P3832 = P3833))))=""単価"","""",
IF(COUNTIF(P$2:P3832, P3833)=0, """", INDEX(H$2:H3832,
MAX(FILTER(ROW(H$2:H3832) - ROW(H$2) + 1, P$2:P3832 = P3833)))))"),"")</f>
        <v/>
      </c>
      <c r="N3833" s="335" t="str">
        <f>IF(MAXIFS('単価履歴'!$O:$O,'単価履歴'!$E:$E,E3833,'単価履歴'!$F:$F,F3833)=O3833,"●","")</f>
        <v/>
      </c>
      <c r="O3833" s="346">
        <v>46058.816145833334</v>
      </c>
      <c r="P3833" s="334" t="str">
        <f t="shared" si="4"/>
        <v>岸和田:岡谷鋼機Ｈ２(特級)</v>
      </c>
    </row>
    <row r="3834" ht="15.75" customHeight="1">
      <c r="A3834" s="335" t="s">
        <v>4981</v>
      </c>
      <c r="B3834" s="336">
        <v>46058.0</v>
      </c>
      <c r="C3834" s="335" t="s">
        <v>10</v>
      </c>
      <c r="D3834" s="335" t="s">
        <v>539</v>
      </c>
      <c r="E3834" s="337" t="str">
        <f t="shared" si="1"/>
        <v>岸和田:岡谷鋼機</v>
      </c>
      <c r="F3834" s="338" t="s">
        <v>119</v>
      </c>
      <c r="G3834" s="339" t="str">
        <f t="shared" si="2"/>
        <v>岸和田:岡谷鋼機Ｈ３(1級)</v>
      </c>
      <c r="H3834" s="340">
        <f t="shared" si="3"/>
        <v>44.7</v>
      </c>
      <c r="I3834" s="341">
        <v>44.7</v>
      </c>
      <c r="J3834" s="332" t="str">
        <f>IFERROR(__xludf.DUMMYFUNCTION("IF(IF(COUNTIF(P$2:P3833, P3834)=0, """", INDEX(H$2:H3833,
MAX(FILTER(ROW(H$2:H3833) - ROW(H$2) + 1, P$2:P3833 = P3834))))=""単価"","""",
IF(COUNTIF(P$2:P3833, P3834)=0, """", INDEX(H$2:H3833,
MAX(FILTER(ROW(H$2:H3833) - ROW(H$2) + 1, P$2:P3833 = P3834)))))"),"")</f>
        <v/>
      </c>
      <c r="N3834" s="335" t="str">
        <f>IF(MAXIFS('単価履歴'!$O:$O,'単価履歴'!$E:$E,E3834,'単価履歴'!$F:$F,F3834)=O3834,"●","")</f>
        <v/>
      </c>
      <c r="O3834" s="346">
        <v>46058.81646990741</v>
      </c>
      <c r="P3834" s="334" t="str">
        <f t="shared" si="4"/>
        <v>岸和田:岡谷鋼機Ｈ３(1級)</v>
      </c>
    </row>
    <row r="3835" ht="15.75" customHeight="1">
      <c r="A3835" s="335" t="s">
        <v>4982</v>
      </c>
      <c r="B3835" s="336">
        <v>46060.0</v>
      </c>
      <c r="C3835" s="335" t="s">
        <v>5</v>
      </c>
      <c r="D3835" s="335" t="s">
        <v>47</v>
      </c>
      <c r="E3835" s="337" t="str">
        <f t="shared" si="1"/>
        <v>中山製鋼:豊通</v>
      </c>
      <c r="F3835" s="338" t="s">
        <v>119</v>
      </c>
      <c r="G3835" s="339" t="str">
        <f t="shared" si="2"/>
        <v>中山製鋼:豊通Ｈ３(1級)</v>
      </c>
      <c r="H3835" s="340">
        <f t="shared" si="3"/>
        <v>35.3</v>
      </c>
      <c r="I3835" s="341">
        <v>0.5</v>
      </c>
      <c r="J3835" s="332">
        <f>IFERROR(__xludf.DUMMYFUNCTION("IF(IF(COUNTIF(P$2:P3834, P3835)=0, """", INDEX(H$2:H3834,
MAX(FILTER(ROW(H$2:H3834) - ROW(H$2) + 1, P$2:P3834 = P3835))))=""単価"","""",
IF(COUNTIF(P$2:P3834, P3835)=0, """", INDEX(H$2:H3834,
MAX(FILTER(ROW(H$2:H3834) - ROW(H$2) + 1, P$2:P3834 = P3835)))))"),34.8)</f>
        <v>34.8</v>
      </c>
      <c r="N3835" s="335" t="str">
        <f>IF(MAXIFS('単価履歴'!$O:$O,'単価履歴'!$E:$E,E3835,'単価履歴'!$F:$F,F3835)=O3835,"●","")</f>
        <v/>
      </c>
      <c r="O3835" s="346">
        <v>46059.705358796295</v>
      </c>
      <c r="P3835" s="334" t="str">
        <f t="shared" si="4"/>
        <v>中山製鋼:豊通Ｈ３(1級)</v>
      </c>
    </row>
    <row r="3836" ht="15.75" customHeight="1">
      <c r="A3836" s="335" t="s">
        <v>4983</v>
      </c>
      <c r="B3836" s="336">
        <v>46060.0</v>
      </c>
      <c r="C3836" s="335" t="s">
        <v>5</v>
      </c>
      <c r="D3836" s="335" t="s">
        <v>47</v>
      </c>
      <c r="E3836" s="337" t="str">
        <f t="shared" si="1"/>
        <v>中山製鋼:豊通</v>
      </c>
      <c r="F3836" s="338" t="s">
        <v>574</v>
      </c>
      <c r="G3836" s="339" t="str">
        <f t="shared" si="2"/>
        <v>中山製鋼:豊通新断Ｃ</v>
      </c>
      <c r="H3836" s="340">
        <f t="shared" si="3"/>
        <v>46.3</v>
      </c>
      <c r="I3836" s="341">
        <v>0.5</v>
      </c>
      <c r="J3836" s="332">
        <f>IFERROR(__xludf.DUMMYFUNCTION("IF(IF(COUNTIF(P$2:P3835, P3836)=0, """", INDEX(H$2:H3835,
MAX(FILTER(ROW(H$2:H3835) - ROW(H$2) + 1, P$2:P3835 = P3836))))=""単価"","""",
IF(COUNTIF(P$2:P3835, P3836)=0, """", INDEX(H$2:H3835,
MAX(FILTER(ROW(H$2:H3835) - ROW(H$2) + 1, P$2:P3835 = P3836)))))"),45.8)</f>
        <v>45.8</v>
      </c>
      <c r="N3836" s="335" t="str">
        <f>IF(MAXIFS('単価履歴'!$O:$O,'単価履歴'!$E:$E,E3836,'単価履歴'!$F:$F,F3836)=O3836,"●","")</f>
        <v/>
      </c>
      <c r="O3836" s="346">
        <v>46059.705358796295</v>
      </c>
      <c r="P3836" s="334" t="str">
        <f t="shared" si="4"/>
        <v>中山製鋼:豊通新断Ｃ</v>
      </c>
    </row>
    <row r="3837" ht="15.75" customHeight="1">
      <c r="A3837" s="335" t="s">
        <v>4984</v>
      </c>
      <c r="B3837" s="336">
        <v>46060.0</v>
      </c>
      <c r="C3837" s="335" t="s">
        <v>5</v>
      </c>
      <c r="D3837" s="335" t="s">
        <v>47</v>
      </c>
      <c r="E3837" s="337" t="str">
        <f t="shared" si="1"/>
        <v>中山製鋼:豊通</v>
      </c>
      <c r="F3837" s="338" t="s">
        <v>108</v>
      </c>
      <c r="G3837" s="339" t="str">
        <f t="shared" si="2"/>
        <v>中山製鋼:豊通Ｈ１/ｻﾑﾃｯｸ</v>
      </c>
      <c r="H3837" s="340">
        <f t="shared" si="3"/>
        <v>0.5</v>
      </c>
      <c r="I3837" s="341">
        <v>0.5</v>
      </c>
      <c r="J3837" s="332">
        <f>IFERROR(__xludf.DUMMYFUNCTION("IF(IF(COUNTIF(P$2:P3836, P3837)=0, """", INDEX(H$2:H3836,
MAX(FILTER(ROW(H$2:H3836) - ROW(H$2) + 1, P$2:P3836 = P3837))))=""単価"","""",
IF(COUNTIF(P$2:P3836, P3837)=0, """", INDEX(H$2:H3836,
MAX(FILTER(ROW(H$2:H3836) - ROW(H$2) + 1, P$2:P3836 = P3837)))))"),0.0)</f>
        <v>0</v>
      </c>
      <c r="N3837" s="335" t="str">
        <f>IF(MAXIFS('単価履歴'!$O:$O,'単価履歴'!$E:$E,E3837,'単価履歴'!$F:$F,F3837)=O3837,"●","")</f>
        <v/>
      </c>
      <c r="O3837" s="346">
        <v>46059.705358796295</v>
      </c>
      <c r="P3837" s="334" t="str">
        <f t="shared" si="4"/>
        <v>中山製鋼:豊通Ｈ１/ｻﾑﾃｯｸ</v>
      </c>
    </row>
    <row r="3838" ht="15.75" customHeight="1">
      <c r="A3838" s="335" t="s">
        <v>4985</v>
      </c>
      <c r="B3838" s="336">
        <v>46060.0</v>
      </c>
      <c r="C3838" s="335" t="s">
        <v>5</v>
      </c>
      <c r="D3838" s="335" t="s">
        <v>47</v>
      </c>
      <c r="E3838" s="337" t="str">
        <f t="shared" si="1"/>
        <v>中山製鋼:豊通</v>
      </c>
      <c r="F3838" s="338" t="s">
        <v>122</v>
      </c>
      <c r="G3838" s="339" t="str">
        <f t="shared" si="2"/>
        <v>中山製鋼:豊通Ｌ１(2級)</v>
      </c>
      <c r="H3838" s="340">
        <f t="shared" si="3"/>
        <v>28.8</v>
      </c>
      <c r="I3838" s="341">
        <v>0.5</v>
      </c>
      <c r="J3838" s="332">
        <f>IFERROR(__xludf.DUMMYFUNCTION("IF(IF(COUNTIF(P$2:P3837, P3838)=0, """", INDEX(H$2:H3837,
MAX(FILTER(ROW(H$2:H3837) - ROW(H$2) + 1, P$2:P3837 = P3838))))=""単価"","""",
IF(COUNTIF(P$2:P3837, P3838)=0, """", INDEX(H$2:H3837,
MAX(FILTER(ROW(H$2:H3837) - ROW(H$2) + 1, P$2:P3837 = P3838)))))"),28.3)</f>
        <v>28.3</v>
      </c>
      <c r="N3838" s="335" t="str">
        <f>IF(MAXIFS('単価履歴'!$O:$O,'単価履歴'!$E:$E,E3838,'単価履歴'!$F:$F,F3838)=O3838,"●","")</f>
        <v/>
      </c>
      <c r="O3838" s="346">
        <v>46059.705358796295</v>
      </c>
      <c r="P3838" s="334" t="str">
        <f t="shared" si="4"/>
        <v>中山製鋼:豊通Ｌ１(2級)</v>
      </c>
    </row>
    <row r="3839" ht="15.75" customHeight="1">
      <c r="A3839" s="335" t="s">
        <v>4986</v>
      </c>
      <c r="B3839" s="336">
        <v>46060.0</v>
      </c>
      <c r="C3839" s="335" t="s">
        <v>5</v>
      </c>
      <c r="D3839" s="335" t="s">
        <v>47</v>
      </c>
      <c r="E3839" s="337" t="str">
        <f t="shared" si="1"/>
        <v>中山製鋼:豊通</v>
      </c>
      <c r="F3839" s="338" t="s">
        <v>111</v>
      </c>
      <c r="G3839" s="339" t="str">
        <f t="shared" si="2"/>
        <v>中山製鋼:豊通Ｈ１(特A)</v>
      </c>
      <c r="H3839" s="340">
        <f t="shared" si="3"/>
        <v>45.3</v>
      </c>
      <c r="I3839" s="341">
        <v>0.5</v>
      </c>
      <c r="J3839" s="332">
        <f>IFERROR(__xludf.DUMMYFUNCTION("IF(IF(COUNTIF(P$2:P3838, P3839)=0, """", INDEX(H$2:H3838,
MAX(FILTER(ROW(H$2:H3838) - ROW(H$2) + 1, P$2:P3838 = P3839))))=""単価"","""",
IF(COUNTIF(P$2:P3838, P3839)=0, """", INDEX(H$2:H3838,
MAX(FILTER(ROW(H$2:H3838) - ROW(H$2) + 1, P$2:P3838 = P3839)))))"),44.8)</f>
        <v>44.8</v>
      </c>
      <c r="N3839" s="335" t="str">
        <f>IF(MAXIFS('単価履歴'!$O:$O,'単価履歴'!$E:$E,E3839,'単価履歴'!$F:$F,F3839)=O3839,"●","")</f>
        <v/>
      </c>
      <c r="O3839" s="346">
        <v>46059.705358796295</v>
      </c>
      <c r="P3839" s="334" t="str">
        <f t="shared" si="4"/>
        <v>中山製鋼:豊通Ｈ１(特A)</v>
      </c>
    </row>
    <row r="3840" ht="15.75" customHeight="1">
      <c r="A3840" s="335" t="s">
        <v>4987</v>
      </c>
      <c r="B3840" s="336">
        <v>46060.0</v>
      </c>
      <c r="C3840" s="335" t="s">
        <v>5</v>
      </c>
      <c r="D3840" s="335" t="s">
        <v>47</v>
      </c>
      <c r="E3840" s="337" t="str">
        <f t="shared" si="1"/>
        <v>中山製鋼:豊通</v>
      </c>
      <c r="F3840" s="338" t="s">
        <v>130</v>
      </c>
      <c r="G3840" s="339" t="str">
        <f t="shared" si="2"/>
        <v>中山製鋼:豊通新断Ａ</v>
      </c>
      <c r="H3840" s="340">
        <f t="shared" si="3"/>
        <v>48.3</v>
      </c>
      <c r="I3840" s="341">
        <v>0.5</v>
      </c>
      <c r="J3840" s="332">
        <f>IFERROR(__xludf.DUMMYFUNCTION("IF(IF(COUNTIF(P$2:P3839, P3840)=0, """", INDEX(H$2:H3839,
MAX(FILTER(ROW(H$2:H3839) - ROW(H$2) + 1, P$2:P3839 = P3840))))=""単価"","""",
IF(COUNTIF(P$2:P3839, P3840)=0, """", INDEX(H$2:H3839,
MAX(FILTER(ROW(H$2:H3839) - ROW(H$2) + 1, P$2:P3839 = P3840)))))"),47.8)</f>
        <v>47.8</v>
      </c>
      <c r="N3840" s="335" t="str">
        <f>IF(MAXIFS('単価履歴'!$O:$O,'単価履歴'!$E:$E,E3840,'単価履歴'!$F:$F,F3840)=O3840,"●","")</f>
        <v/>
      </c>
      <c r="O3840" s="346">
        <v>46059.705358796295</v>
      </c>
      <c r="P3840" s="334" t="str">
        <f t="shared" si="4"/>
        <v>中山製鋼:豊通新断Ａ</v>
      </c>
    </row>
    <row r="3841" ht="15.75" customHeight="1">
      <c r="A3841" s="335" t="s">
        <v>4988</v>
      </c>
      <c r="B3841" s="336">
        <v>46060.0</v>
      </c>
      <c r="C3841" s="335" t="s">
        <v>5</v>
      </c>
      <c r="D3841" s="335" t="s">
        <v>47</v>
      </c>
      <c r="E3841" s="337" t="str">
        <f t="shared" si="1"/>
        <v>中山製鋼:豊通</v>
      </c>
      <c r="F3841" s="338" t="s">
        <v>101</v>
      </c>
      <c r="G3841" s="339" t="str">
        <f t="shared" si="2"/>
        <v>中山製鋼:豊通ＨＳ２</v>
      </c>
      <c r="H3841" s="340">
        <f t="shared" si="3"/>
        <v>47.3</v>
      </c>
      <c r="I3841" s="341">
        <v>0.5</v>
      </c>
      <c r="J3841" s="332">
        <f>IFERROR(__xludf.DUMMYFUNCTION("IF(IF(COUNTIF(P$2:P3840, P3841)=0, """", INDEX(H$2:H3840,
MAX(FILTER(ROW(H$2:H3840) - ROW(H$2) + 1, P$2:P3840 = P3841))))=""単価"","""",
IF(COUNTIF(P$2:P3840, P3841)=0, """", INDEX(H$2:H3840,
MAX(FILTER(ROW(H$2:H3840) - ROW(H$2) + 1, P$2:P3840 = P3841)))))"),46.8)</f>
        <v>46.8</v>
      </c>
      <c r="N3841" s="335" t="str">
        <f>IF(MAXIFS('単価履歴'!$O:$O,'単価履歴'!$E:$E,E3841,'単価履歴'!$F:$F,F3841)=O3841,"●","")</f>
        <v/>
      </c>
      <c r="O3841" s="346">
        <v>46059.705358796295</v>
      </c>
      <c r="P3841" s="334" t="str">
        <f t="shared" si="4"/>
        <v>中山製鋼:豊通ＨＳ２</v>
      </c>
    </row>
    <row r="3842" ht="15.75" customHeight="1">
      <c r="A3842" s="335" t="s">
        <v>4989</v>
      </c>
      <c r="B3842" s="336">
        <v>46060.0</v>
      </c>
      <c r="C3842" s="335" t="s">
        <v>5</v>
      </c>
      <c r="D3842" s="335" t="s">
        <v>47</v>
      </c>
      <c r="E3842" s="337" t="str">
        <f t="shared" si="1"/>
        <v>中山製鋼:豊通</v>
      </c>
      <c r="F3842" s="338" t="s">
        <v>116</v>
      </c>
      <c r="G3842" s="339" t="str">
        <f t="shared" si="2"/>
        <v>中山製鋼:豊通Ｈ２(特級)</v>
      </c>
      <c r="H3842" s="340">
        <f t="shared" si="3"/>
        <v>39.3</v>
      </c>
      <c r="I3842" s="341">
        <v>0.5</v>
      </c>
      <c r="J3842" s="332">
        <f>IFERROR(__xludf.DUMMYFUNCTION("IF(IF(COUNTIF(P$2:P3841, P3842)=0, """", INDEX(H$2:H3841,
MAX(FILTER(ROW(H$2:H3841) - ROW(H$2) + 1, P$2:P3841 = P3842))))=""単価"","""",
IF(COUNTIF(P$2:P3841, P3842)=0, """", INDEX(H$2:H3841,
MAX(FILTER(ROW(H$2:H3841) - ROW(H$2) + 1, P$2:P3841 = P3842)))))"),38.8)</f>
        <v>38.8</v>
      </c>
      <c r="N3842" s="335" t="str">
        <f>IF(MAXIFS('単価履歴'!$O:$O,'単価履歴'!$E:$E,E3842,'単価履歴'!$F:$F,F3842)=O3842,"●","")</f>
        <v/>
      </c>
      <c r="O3842" s="346">
        <v>46059.705358796295</v>
      </c>
      <c r="P3842" s="334" t="str">
        <f t="shared" si="4"/>
        <v>中山製鋼:豊通Ｈ２(特級)</v>
      </c>
    </row>
    <row r="3843" ht="15.75" customHeight="1">
      <c r="A3843" s="335" t="s">
        <v>4990</v>
      </c>
      <c r="B3843" s="336">
        <v>46060.0</v>
      </c>
      <c r="C3843" s="335" t="s">
        <v>5</v>
      </c>
      <c r="D3843" s="335" t="s">
        <v>47</v>
      </c>
      <c r="E3843" s="337" t="str">
        <f t="shared" si="1"/>
        <v>中山製鋼:豊通</v>
      </c>
      <c r="F3843" s="338" t="s">
        <v>131</v>
      </c>
      <c r="G3843" s="339" t="str">
        <f t="shared" si="2"/>
        <v>中山製鋼:豊通新断Ｂ</v>
      </c>
      <c r="H3843" s="340">
        <f t="shared" si="3"/>
        <v>47.3</v>
      </c>
      <c r="I3843" s="341">
        <v>0.5</v>
      </c>
      <c r="J3843" s="332">
        <f>IFERROR(__xludf.DUMMYFUNCTION("IF(IF(COUNTIF(P$2:P3842, P3843)=0, """", INDEX(H$2:H3842,
MAX(FILTER(ROW(H$2:H3842) - ROW(H$2) + 1, P$2:P3842 = P3843))))=""単価"","""",
IF(COUNTIF(P$2:P3842, P3843)=0, """", INDEX(H$2:H3842,
MAX(FILTER(ROW(H$2:H3842) - ROW(H$2) + 1, P$2:P3842 = P3843)))))"),46.8)</f>
        <v>46.8</v>
      </c>
      <c r="N3843" s="335" t="str">
        <f>IF(MAXIFS('単価履歴'!$O:$O,'単価履歴'!$E:$E,E3843,'単価履歴'!$F:$F,F3843)=O3843,"●","")</f>
        <v/>
      </c>
      <c r="O3843" s="346">
        <v>46059.705358796295</v>
      </c>
      <c r="P3843" s="334" t="str">
        <f t="shared" si="4"/>
        <v>中山製鋼:豊通新断Ｂ</v>
      </c>
    </row>
    <row r="3844" ht="15.75" customHeight="1">
      <c r="A3844" s="335" t="s">
        <v>4991</v>
      </c>
      <c r="B3844" s="336">
        <v>46060.0</v>
      </c>
      <c r="C3844" s="335" t="s">
        <v>5</v>
      </c>
      <c r="D3844" s="335" t="s">
        <v>1232</v>
      </c>
      <c r="E3844" s="337" t="str">
        <f t="shared" si="1"/>
        <v>中山製鋼:豊通/出張商店</v>
      </c>
      <c r="F3844" s="338" t="s">
        <v>130</v>
      </c>
      <c r="G3844" s="339" t="str">
        <f t="shared" si="2"/>
        <v>中山製鋼:豊通/出張商店新断Ａ</v>
      </c>
      <c r="H3844" s="340">
        <f t="shared" si="3"/>
        <v>47.3</v>
      </c>
      <c r="I3844" s="341">
        <v>0.5</v>
      </c>
      <c r="J3844" s="332">
        <f>IFERROR(__xludf.DUMMYFUNCTION("IF(IF(COUNTIF(P$2:P3843, P3844)=0, """", INDEX(H$2:H3843,
MAX(FILTER(ROW(H$2:H3843) - ROW(H$2) + 1, P$2:P3843 = P3844))))=""単価"","""",
IF(COUNTIF(P$2:P3843, P3844)=0, """", INDEX(H$2:H3843,
MAX(FILTER(ROW(H$2:H3843) - ROW(H$2) + 1, P$2:P3843 = P3844)))))"),46.8)</f>
        <v>46.8</v>
      </c>
      <c r="N3844" s="335" t="str">
        <f>IF(MAXIFS('単価履歴'!$O:$O,'単価履歴'!$E:$E,E3844,'単価履歴'!$F:$F,F3844)=O3844,"●","")</f>
        <v/>
      </c>
      <c r="O3844" s="346">
        <v>46059.70752314814</v>
      </c>
      <c r="P3844" s="334" t="str">
        <f t="shared" si="4"/>
        <v>中山製鋼:豊通/出張商店新断Ａ</v>
      </c>
    </row>
    <row r="3845" ht="15.75" customHeight="1">
      <c r="A3845" s="335" t="s">
        <v>4992</v>
      </c>
      <c r="B3845" s="336">
        <v>46060.0</v>
      </c>
      <c r="C3845" s="335" t="s">
        <v>5</v>
      </c>
      <c r="D3845" s="335" t="s">
        <v>1234</v>
      </c>
      <c r="E3845" s="337" t="str">
        <f t="shared" si="1"/>
        <v>中山製鋼:豊通/中川嘉弘商店</v>
      </c>
      <c r="F3845" s="338" t="s">
        <v>130</v>
      </c>
      <c r="G3845" s="339" t="str">
        <f t="shared" si="2"/>
        <v>中山製鋼:豊通/中川嘉弘商店新断Ａ</v>
      </c>
      <c r="H3845" s="340">
        <f t="shared" si="3"/>
        <v>45.3</v>
      </c>
      <c r="I3845" s="341">
        <v>0.5</v>
      </c>
      <c r="J3845" s="332">
        <f>IFERROR(__xludf.DUMMYFUNCTION("IF(IF(COUNTIF(P$2:P3844, P3845)=0, """", INDEX(H$2:H3844,
MAX(FILTER(ROW(H$2:H3844) - ROW(H$2) + 1, P$2:P3844 = P3845))))=""単価"","""",
IF(COUNTIF(P$2:P3844, P3845)=0, """", INDEX(H$2:H3844,
MAX(FILTER(ROW(H$2:H3844) - ROW(H$2) + 1, P$2:P3844 = P3845)))))"),44.8)</f>
        <v>44.8</v>
      </c>
      <c r="N3845" s="335" t="str">
        <f>IF(MAXIFS('単価履歴'!$O:$O,'単価履歴'!$E:$E,E3845,'単価履歴'!$F:$F,F3845)=O3845,"●","")</f>
        <v/>
      </c>
      <c r="O3845" s="346">
        <v>46059.70752314814</v>
      </c>
      <c r="P3845" s="334" t="str">
        <f t="shared" si="4"/>
        <v>中山製鋼:豊通/中川嘉弘商店新断Ａ</v>
      </c>
    </row>
    <row r="3846" ht="15.75" customHeight="1">
      <c r="A3846" s="335" t="s">
        <v>4993</v>
      </c>
      <c r="B3846" s="336">
        <v>46060.0</v>
      </c>
      <c r="C3846" s="335" t="s">
        <v>5</v>
      </c>
      <c r="D3846" s="335" t="s">
        <v>46</v>
      </c>
      <c r="E3846" s="337" t="str">
        <f t="shared" si="1"/>
        <v>中山製鋼:阪和</v>
      </c>
      <c r="F3846" s="338" t="s">
        <v>101</v>
      </c>
      <c r="G3846" s="339" t="str">
        <f t="shared" si="2"/>
        <v>中山製鋼:阪和ＨＳ２</v>
      </c>
      <c r="H3846" s="340">
        <f t="shared" si="3"/>
        <v>46.9</v>
      </c>
      <c r="I3846" s="341">
        <v>0.5</v>
      </c>
      <c r="J3846" s="332">
        <f>IFERROR(__xludf.DUMMYFUNCTION("IF(IF(COUNTIF(P$2:P3845, P3846)=0, """", INDEX(H$2:H3845,
MAX(FILTER(ROW(H$2:H3845) - ROW(H$2) + 1, P$2:P3845 = P3846))))=""単価"","""",
IF(COUNTIF(P$2:P3845, P3846)=0, """", INDEX(H$2:H3845,
MAX(FILTER(ROW(H$2:H3845) - ROW(H$2) + 1, P$2:P3845 = P3846)))))"),46.4)</f>
        <v>46.4</v>
      </c>
      <c r="N3846" s="335" t="str">
        <f>IF(MAXIFS('単価履歴'!$O:$O,'単価履歴'!$E:$E,E3846,'単価履歴'!$F:$F,F3846)=O3846,"●","")</f>
        <v/>
      </c>
      <c r="O3846" s="346">
        <v>46059.74005787037</v>
      </c>
      <c r="P3846" s="334" t="str">
        <f t="shared" si="4"/>
        <v>中山製鋼:阪和ＨＳ２</v>
      </c>
    </row>
    <row r="3847" ht="15.75" customHeight="1">
      <c r="A3847" s="335" t="s">
        <v>4994</v>
      </c>
      <c r="B3847" s="336">
        <v>46060.0</v>
      </c>
      <c r="C3847" s="335" t="s">
        <v>5</v>
      </c>
      <c r="D3847" s="335" t="s">
        <v>46</v>
      </c>
      <c r="E3847" s="337" t="str">
        <f t="shared" si="1"/>
        <v>中山製鋼:阪和</v>
      </c>
      <c r="F3847" s="338" t="s">
        <v>116</v>
      </c>
      <c r="G3847" s="339" t="str">
        <f t="shared" si="2"/>
        <v>中山製鋼:阪和Ｈ２(特級)</v>
      </c>
      <c r="H3847" s="340">
        <f t="shared" si="3"/>
        <v>39.3</v>
      </c>
      <c r="I3847" s="341">
        <v>0.5</v>
      </c>
      <c r="J3847" s="332">
        <f>IFERROR(__xludf.DUMMYFUNCTION("IF(IF(COUNTIF(P$2:P3846, P3847)=0, """", INDEX(H$2:H3846,
MAX(FILTER(ROW(H$2:H3846) - ROW(H$2) + 1, P$2:P3846 = P3847))))=""単価"","""",
IF(COUNTIF(P$2:P3846, P3847)=0, """", INDEX(H$2:H3846,
MAX(FILTER(ROW(H$2:H3846) - ROW(H$2) + 1, P$2:P3846 = P3847)))))"),38.8)</f>
        <v>38.8</v>
      </c>
      <c r="N3847" s="335" t="str">
        <f>IF(MAXIFS('単価履歴'!$O:$O,'単価履歴'!$E:$E,E3847,'単価履歴'!$F:$F,F3847)=O3847,"●","")</f>
        <v/>
      </c>
      <c r="O3847" s="346">
        <v>46059.74005787037</v>
      </c>
      <c r="P3847" s="334" t="str">
        <f t="shared" si="4"/>
        <v>中山製鋼:阪和Ｈ２(特級)</v>
      </c>
    </row>
    <row r="3848" ht="15.75" customHeight="1">
      <c r="A3848" s="335" t="s">
        <v>4995</v>
      </c>
      <c r="B3848" s="336">
        <v>46060.0</v>
      </c>
      <c r="C3848" s="335" t="s">
        <v>5</v>
      </c>
      <c r="D3848" s="335" t="s">
        <v>46</v>
      </c>
      <c r="E3848" s="337" t="str">
        <f t="shared" si="1"/>
        <v>中山製鋼:阪和</v>
      </c>
      <c r="F3848" s="338" t="s">
        <v>131</v>
      </c>
      <c r="G3848" s="339" t="str">
        <f t="shared" si="2"/>
        <v>中山製鋼:阪和新断Ｂ</v>
      </c>
      <c r="H3848" s="340">
        <f t="shared" si="3"/>
        <v>47.3</v>
      </c>
      <c r="I3848" s="341">
        <v>0.5</v>
      </c>
      <c r="J3848" s="332">
        <f>IFERROR(__xludf.DUMMYFUNCTION("IF(IF(COUNTIF(P$2:P3847, P3848)=0, """", INDEX(H$2:H3847,
MAX(FILTER(ROW(H$2:H3847) - ROW(H$2) + 1, P$2:P3847 = P3848))))=""単価"","""",
IF(COUNTIF(P$2:P3847, P3848)=0, """", INDEX(H$2:H3847,
MAX(FILTER(ROW(H$2:H3847) - ROW(H$2) + 1, P$2:P3847 = P3848)))))"),46.8)</f>
        <v>46.8</v>
      </c>
      <c r="N3848" s="335" t="str">
        <f>IF(MAXIFS('単価履歴'!$O:$O,'単価履歴'!$E:$E,E3848,'単価履歴'!$F:$F,F3848)=O3848,"●","")</f>
        <v/>
      </c>
      <c r="O3848" s="346">
        <v>46059.74005787037</v>
      </c>
      <c r="P3848" s="334" t="str">
        <f t="shared" si="4"/>
        <v>中山製鋼:阪和新断Ｂ</v>
      </c>
    </row>
    <row r="3849" ht="15.75" customHeight="1">
      <c r="A3849" s="335" t="s">
        <v>4996</v>
      </c>
      <c r="B3849" s="336">
        <v>46060.0</v>
      </c>
      <c r="C3849" s="335" t="s">
        <v>5</v>
      </c>
      <c r="D3849" s="335" t="s">
        <v>46</v>
      </c>
      <c r="E3849" s="337" t="str">
        <f t="shared" si="1"/>
        <v>中山製鋼:阪和</v>
      </c>
      <c r="F3849" s="338" t="s">
        <v>119</v>
      </c>
      <c r="G3849" s="339" t="str">
        <f t="shared" si="2"/>
        <v>中山製鋼:阪和Ｈ３(1級)</v>
      </c>
      <c r="H3849" s="340">
        <f t="shared" si="3"/>
        <v>35.3</v>
      </c>
      <c r="I3849" s="341">
        <v>0.5</v>
      </c>
      <c r="J3849" s="332">
        <f>IFERROR(__xludf.DUMMYFUNCTION("IF(IF(COUNTIF(P$2:P3848, P3849)=0, """", INDEX(H$2:H3848,
MAX(FILTER(ROW(H$2:H3848) - ROW(H$2) + 1, P$2:P3848 = P3849))))=""単価"","""",
IF(COUNTIF(P$2:P3848, P3849)=0, """", INDEX(H$2:H3848,
MAX(FILTER(ROW(H$2:H3848) - ROW(H$2) + 1, P$2:P3848 = P3849)))))"),34.8)</f>
        <v>34.8</v>
      </c>
      <c r="N3849" s="335" t="str">
        <f>IF(MAXIFS('単価履歴'!$O:$O,'単価履歴'!$E:$E,E3849,'単価履歴'!$F:$F,F3849)=O3849,"●","")</f>
        <v/>
      </c>
      <c r="O3849" s="346">
        <v>46059.74005787037</v>
      </c>
      <c r="P3849" s="334" t="str">
        <f t="shared" si="4"/>
        <v>中山製鋼:阪和Ｈ３(1級)</v>
      </c>
    </row>
    <row r="3850" ht="15.75" customHeight="1">
      <c r="A3850" s="335" t="s">
        <v>4997</v>
      </c>
      <c r="B3850" s="336">
        <v>46060.0</v>
      </c>
      <c r="C3850" s="335" t="s">
        <v>5</v>
      </c>
      <c r="D3850" s="335" t="s">
        <v>46</v>
      </c>
      <c r="E3850" s="337" t="str">
        <f t="shared" si="1"/>
        <v>中山製鋼:阪和</v>
      </c>
      <c r="F3850" s="338" t="s">
        <v>574</v>
      </c>
      <c r="G3850" s="339" t="str">
        <f t="shared" si="2"/>
        <v>中山製鋼:阪和新断Ｃ</v>
      </c>
      <c r="H3850" s="340">
        <f t="shared" si="3"/>
        <v>46.3</v>
      </c>
      <c r="I3850" s="341">
        <v>0.5</v>
      </c>
      <c r="J3850" s="332">
        <f>IFERROR(__xludf.DUMMYFUNCTION("IF(IF(COUNTIF(P$2:P3849, P3850)=0, """", INDEX(H$2:H3849,
MAX(FILTER(ROW(H$2:H3849) - ROW(H$2) + 1, P$2:P3849 = P3850))))=""単価"","""",
IF(COUNTIF(P$2:P3849, P3850)=0, """", INDEX(H$2:H3849,
MAX(FILTER(ROW(H$2:H3849) - ROW(H$2) + 1, P$2:P3849 = P3850)))))"),45.8)</f>
        <v>45.8</v>
      </c>
      <c r="N3850" s="335" t="str">
        <f>IF(MAXIFS('単価履歴'!$O:$O,'単価履歴'!$E:$E,E3850,'単価履歴'!$F:$F,F3850)=O3850,"●","")</f>
        <v/>
      </c>
      <c r="O3850" s="346">
        <v>46059.74005787037</v>
      </c>
      <c r="P3850" s="334" t="str">
        <f t="shared" si="4"/>
        <v>中山製鋼:阪和新断Ｃ</v>
      </c>
    </row>
    <row r="3851" ht="15.75" customHeight="1">
      <c r="A3851" s="335" t="s">
        <v>4998</v>
      </c>
      <c r="B3851" s="336">
        <v>46060.0</v>
      </c>
      <c r="C3851" s="335" t="s">
        <v>5</v>
      </c>
      <c r="D3851" s="335" t="s">
        <v>46</v>
      </c>
      <c r="E3851" s="337" t="str">
        <f t="shared" si="1"/>
        <v>中山製鋼:阪和</v>
      </c>
      <c r="F3851" s="338" t="s">
        <v>108</v>
      </c>
      <c r="G3851" s="339" t="str">
        <f t="shared" si="2"/>
        <v>中山製鋼:阪和Ｈ１/ｻﾑﾃｯｸ</v>
      </c>
      <c r="H3851" s="340">
        <f t="shared" si="3"/>
        <v>0.5</v>
      </c>
      <c r="I3851" s="341">
        <v>0.5</v>
      </c>
      <c r="J3851" s="332">
        <f>IFERROR(__xludf.DUMMYFUNCTION("IF(IF(COUNTIF(P$2:P3850, P3851)=0, """", INDEX(H$2:H3850,
MAX(FILTER(ROW(H$2:H3850) - ROW(H$2) + 1, P$2:P3850 = P3851))))=""単価"","""",
IF(COUNTIF(P$2:P3850, P3851)=0, """", INDEX(H$2:H3850,
MAX(FILTER(ROW(H$2:H3850) - ROW(H$2) + 1, P$2:P3850 = P3851)))))"),0.0)</f>
        <v>0</v>
      </c>
      <c r="N3851" s="335" t="str">
        <f>IF(MAXIFS('単価履歴'!$O:$O,'単価履歴'!$E:$E,E3851,'単価履歴'!$F:$F,F3851)=O3851,"●","")</f>
        <v/>
      </c>
      <c r="O3851" s="346">
        <v>46059.74005787037</v>
      </c>
      <c r="P3851" s="334" t="str">
        <f t="shared" si="4"/>
        <v>中山製鋼:阪和Ｈ１/ｻﾑﾃｯｸ</v>
      </c>
    </row>
    <row r="3852" ht="15.75" customHeight="1">
      <c r="A3852" s="335" t="s">
        <v>4999</v>
      </c>
      <c r="B3852" s="336">
        <v>46060.0</v>
      </c>
      <c r="C3852" s="335" t="s">
        <v>5</v>
      </c>
      <c r="D3852" s="335" t="s">
        <v>46</v>
      </c>
      <c r="E3852" s="337" t="str">
        <f t="shared" si="1"/>
        <v>中山製鋼:阪和</v>
      </c>
      <c r="F3852" s="338" t="s">
        <v>122</v>
      </c>
      <c r="G3852" s="339" t="str">
        <f t="shared" si="2"/>
        <v>中山製鋼:阪和Ｌ１(2級)</v>
      </c>
      <c r="H3852" s="340">
        <f t="shared" si="3"/>
        <v>28.8</v>
      </c>
      <c r="I3852" s="341">
        <v>0.5</v>
      </c>
      <c r="J3852" s="332">
        <f>IFERROR(__xludf.DUMMYFUNCTION("IF(IF(COUNTIF(P$2:P3851, P3852)=0, """", INDEX(H$2:H3851,
MAX(FILTER(ROW(H$2:H3851) - ROW(H$2) + 1, P$2:P3851 = P3852))))=""単価"","""",
IF(COUNTIF(P$2:P3851, P3852)=0, """", INDEX(H$2:H3851,
MAX(FILTER(ROW(H$2:H3851) - ROW(H$2) + 1, P$2:P3851 = P3852)))))"),28.3)</f>
        <v>28.3</v>
      </c>
      <c r="N3852" s="335" t="str">
        <f>IF(MAXIFS('単価履歴'!$O:$O,'単価履歴'!$E:$E,E3852,'単価履歴'!$F:$F,F3852)=O3852,"●","")</f>
        <v/>
      </c>
      <c r="O3852" s="346">
        <v>46059.74005787037</v>
      </c>
      <c r="P3852" s="334" t="str">
        <f t="shared" si="4"/>
        <v>中山製鋼:阪和Ｌ１(2級)</v>
      </c>
    </row>
    <row r="3853" ht="15.75" customHeight="1">
      <c r="A3853" s="335" t="s">
        <v>5000</v>
      </c>
      <c r="B3853" s="336">
        <v>46060.0</v>
      </c>
      <c r="C3853" s="335" t="s">
        <v>5</v>
      </c>
      <c r="D3853" s="335" t="s">
        <v>46</v>
      </c>
      <c r="E3853" s="337" t="str">
        <f t="shared" si="1"/>
        <v>中山製鋼:阪和</v>
      </c>
      <c r="F3853" s="338" t="s">
        <v>111</v>
      </c>
      <c r="G3853" s="339" t="str">
        <f t="shared" si="2"/>
        <v>中山製鋼:阪和Ｈ１(特A)</v>
      </c>
      <c r="H3853" s="340">
        <f t="shared" si="3"/>
        <v>45.3</v>
      </c>
      <c r="I3853" s="341">
        <v>0.5</v>
      </c>
      <c r="J3853" s="332">
        <f>IFERROR(__xludf.DUMMYFUNCTION("IF(IF(COUNTIF(P$2:P3852, P3853)=0, """", INDEX(H$2:H3852,
MAX(FILTER(ROW(H$2:H3852) - ROW(H$2) + 1, P$2:P3852 = P3853))))=""単価"","""",
IF(COUNTIF(P$2:P3852, P3853)=0, """", INDEX(H$2:H3852,
MAX(FILTER(ROW(H$2:H3852) - ROW(H$2) + 1, P$2:P3852 = P3853)))))"),44.8)</f>
        <v>44.8</v>
      </c>
      <c r="N3853" s="335" t="str">
        <f>IF(MAXIFS('単価履歴'!$O:$O,'単価履歴'!$E:$E,E3853,'単価履歴'!$F:$F,F3853)=O3853,"●","")</f>
        <v/>
      </c>
      <c r="O3853" s="346">
        <v>46059.74005787037</v>
      </c>
      <c r="P3853" s="334" t="str">
        <f t="shared" si="4"/>
        <v>中山製鋼:阪和Ｈ１(特A)</v>
      </c>
    </row>
    <row r="3854" ht="15.75" customHeight="1">
      <c r="A3854" s="335" t="s">
        <v>5001</v>
      </c>
      <c r="B3854" s="336">
        <v>46060.0</v>
      </c>
      <c r="C3854" s="335" t="s">
        <v>5</v>
      </c>
      <c r="D3854" s="335" t="s">
        <v>46</v>
      </c>
      <c r="E3854" s="337" t="str">
        <f t="shared" si="1"/>
        <v>中山製鋼:阪和</v>
      </c>
      <c r="F3854" s="338" t="s">
        <v>130</v>
      </c>
      <c r="G3854" s="339" t="str">
        <f t="shared" si="2"/>
        <v>中山製鋼:阪和新断Ａ</v>
      </c>
      <c r="H3854" s="340">
        <f t="shared" si="3"/>
        <v>48.3</v>
      </c>
      <c r="I3854" s="341">
        <v>0.5</v>
      </c>
      <c r="J3854" s="332">
        <f>IFERROR(__xludf.DUMMYFUNCTION("IF(IF(COUNTIF(P$2:P3853, P3854)=0, """", INDEX(H$2:H3853,
MAX(FILTER(ROW(H$2:H3853) - ROW(H$2) + 1, P$2:P3853 = P3854))))=""単価"","""",
IF(COUNTIF(P$2:P3853, P3854)=0, """", INDEX(H$2:H3853,
MAX(FILTER(ROW(H$2:H3853) - ROW(H$2) + 1, P$2:P3853 = P3854)))))"),47.8)</f>
        <v>47.8</v>
      </c>
      <c r="N3854" s="335" t="str">
        <f>IF(MAXIFS('単価履歴'!$O:$O,'単価履歴'!$E:$E,E3854,'単価履歴'!$F:$F,F3854)=O3854,"●","")</f>
        <v/>
      </c>
      <c r="O3854" s="346">
        <v>46059.74005787037</v>
      </c>
      <c r="P3854" s="334" t="str">
        <f t="shared" si="4"/>
        <v>中山製鋼:阪和新断Ａ</v>
      </c>
    </row>
    <row r="3855" ht="15.75" customHeight="1">
      <c r="A3855" s="335" t="s">
        <v>5002</v>
      </c>
      <c r="B3855" s="336">
        <v>46063.0</v>
      </c>
      <c r="C3855" s="335" t="s">
        <v>28</v>
      </c>
      <c r="D3855" s="335" t="s">
        <v>52</v>
      </c>
      <c r="E3855" s="337" t="str">
        <f t="shared" si="1"/>
        <v>ＪＦＥ条鋼:リバイブ</v>
      </c>
      <c r="F3855" s="338" t="s">
        <v>154</v>
      </c>
      <c r="G3855" s="339" t="str">
        <f t="shared" si="2"/>
        <v>ＪＦＥ条鋼:リバイブＣＰ Ａ</v>
      </c>
      <c r="H3855" s="340">
        <f t="shared" si="3"/>
        <v>46.5</v>
      </c>
      <c r="I3855" s="341">
        <v>-0.5</v>
      </c>
      <c r="J3855" s="332">
        <f>IFERROR(__xludf.DUMMYFUNCTION("IF(IF(COUNTIF(P$2:P3854, P3855)=0, """", INDEX(H$2:H3854,
MAX(FILTER(ROW(H$2:H3854) - ROW(H$2) + 1, P$2:P3854 = P3855))))=""単価"","""",
IF(COUNTIF(P$2:P3854, P3855)=0, """", INDEX(H$2:H3854,
MAX(FILTER(ROW(H$2:H3854) - ROW(H$2) + 1, P$2:P3854 = P3855)))))"),47.0)</f>
        <v>47</v>
      </c>
      <c r="N3855" s="335" t="str">
        <f>IF(MAXIFS('単価履歴'!$O:$O,'単価履歴'!$E:$E,E3855,'単価履歴'!$F:$F,F3855)=O3855,"●","")</f>
        <v/>
      </c>
      <c r="O3855" s="346">
        <v>46065.67575231481</v>
      </c>
      <c r="P3855" s="334" t="str">
        <f t="shared" si="4"/>
        <v>ＪＦＥ条鋼:リバイブＣＰ Ａ</v>
      </c>
    </row>
    <row r="3856" ht="15.75" customHeight="1">
      <c r="A3856" s="335" t="s">
        <v>5003</v>
      </c>
      <c r="B3856" s="336">
        <v>46065.0</v>
      </c>
      <c r="C3856" s="335" t="s">
        <v>28</v>
      </c>
      <c r="D3856" s="335" t="s">
        <v>52</v>
      </c>
      <c r="E3856" s="337" t="str">
        <f t="shared" si="1"/>
        <v>ＪＦＥ条鋼:リバイブ</v>
      </c>
      <c r="F3856" s="338" t="s">
        <v>154</v>
      </c>
      <c r="G3856" s="339" t="str">
        <f t="shared" si="2"/>
        <v>ＪＦＥ条鋼:リバイブＣＰ Ａ</v>
      </c>
      <c r="H3856" s="340">
        <f t="shared" si="3"/>
        <v>46</v>
      </c>
      <c r="I3856" s="341">
        <v>-0.5</v>
      </c>
      <c r="J3856" s="332">
        <f>IFERROR(__xludf.DUMMYFUNCTION("IF(IF(COUNTIF(P$2:P3855, P3856)=0, """", INDEX(H$2:H3855,
MAX(FILTER(ROW(H$2:H3855) - ROW(H$2) + 1, P$2:P3855 = P3856))))=""単価"","""",
IF(COUNTIF(P$2:P3855, P3856)=0, """", INDEX(H$2:H3855,
MAX(FILTER(ROW(H$2:H3855) - ROW(H$2) + 1, P$2:P3855 = P3856)))))"),46.5)</f>
        <v>46.5</v>
      </c>
      <c r="N3856" s="335" t="str">
        <f>IF(MAXIFS('単価履歴'!$O:$O,'単価履歴'!$E:$E,E3856,'単価履歴'!$F:$F,F3856)=O3856,"●","")</f>
        <v/>
      </c>
      <c r="O3856" s="346">
        <v>46065.67649305555</v>
      </c>
      <c r="P3856" s="334" t="str">
        <f t="shared" si="4"/>
        <v>ＪＦＥ条鋼:リバイブＣＰ Ａ</v>
      </c>
    </row>
    <row r="3857" ht="15.75" customHeight="1">
      <c r="A3857" s="335" t="s">
        <v>5004</v>
      </c>
      <c r="B3857" s="336">
        <v>46051.0</v>
      </c>
      <c r="C3857" s="335" t="s">
        <v>12</v>
      </c>
      <c r="D3857" s="335" t="s">
        <v>50</v>
      </c>
      <c r="E3857" s="337" t="str">
        <f t="shared" si="1"/>
        <v>山陽特殊:産振</v>
      </c>
      <c r="F3857" s="338" t="s">
        <v>1199</v>
      </c>
      <c r="G3857" s="339" t="str">
        <f t="shared" si="2"/>
        <v>山陽特殊:産振ＨＳ１(単体H1/電特A/HS))</v>
      </c>
      <c r="H3857" s="340">
        <f t="shared" si="3"/>
        <v>46.6</v>
      </c>
      <c r="I3857" s="341">
        <v>-0.5</v>
      </c>
      <c r="J3857" s="332">
        <f>IFERROR(__xludf.DUMMYFUNCTION("IF(IF(COUNTIF(P$2:P3856, P3857)=0, """", INDEX(H$2:H3856,
MAX(FILTER(ROW(H$2:H3856) - ROW(H$2) + 1, P$2:P3856 = P3857))))=""単価"","""",
IF(COUNTIF(P$2:P3856, P3857)=0, """", INDEX(H$2:H3856,
MAX(FILTER(ROW(H$2:H3856) - ROW(H$2) + 1, P$2:P3856 = P3857)))))"),47.1)</f>
        <v>47.1</v>
      </c>
      <c r="N3857" s="335" t="str">
        <f>IF(MAXIFS('単価履歴'!$O:$O,'単価履歴'!$E:$E,E3857,'単価履歴'!$F:$F,F3857)=O3857,"●","")</f>
        <v/>
      </c>
      <c r="O3857" s="346">
        <v>46065.742013888885</v>
      </c>
      <c r="P3857" s="334" t="str">
        <f t="shared" si="4"/>
        <v>山陽特殊:産振ＨＳ１(単体H1/電特A/HS))</v>
      </c>
    </row>
    <row r="3858" ht="15.75" customHeight="1">
      <c r="A3858" s="335" t="s">
        <v>5005</v>
      </c>
      <c r="B3858" s="336">
        <v>46051.0</v>
      </c>
      <c r="C3858" s="335" t="s">
        <v>12</v>
      </c>
      <c r="D3858" s="335" t="s">
        <v>50</v>
      </c>
      <c r="E3858" s="337" t="str">
        <f t="shared" si="1"/>
        <v>山陽特殊:産振</v>
      </c>
      <c r="F3858" s="338" t="s">
        <v>101</v>
      </c>
      <c r="G3858" s="339" t="str">
        <f t="shared" si="2"/>
        <v>山陽特殊:産振ＨＳ２</v>
      </c>
      <c r="H3858" s="340">
        <f t="shared" si="3"/>
        <v>46.4</v>
      </c>
      <c r="I3858" s="341">
        <v>-0.5</v>
      </c>
      <c r="J3858" s="332">
        <f>IFERROR(__xludf.DUMMYFUNCTION("IF(IF(COUNTIF(P$2:P3857, P3858)=0, """", INDEX(H$2:H3857,
MAX(FILTER(ROW(H$2:H3857) - ROW(H$2) + 1, P$2:P3857 = P3858))))=""単価"","""",
IF(COUNTIF(P$2:P3857, P3858)=0, """", INDEX(H$2:H3857,
MAX(FILTER(ROW(H$2:H3857) - ROW(H$2) + 1, P$2:P3857 = P3858)))))"),46.9)</f>
        <v>46.9</v>
      </c>
      <c r="N3858" s="335" t="str">
        <f>IF(MAXIFS('単価履歴'!$O:$O,'単価履歴'!$E:$E,E3858,'単価履歴'!$F:$F,F3858)=O3858,"●","")</f>
        <v/>
      </c>
      <c r="O3858" s="346">
        <v>46065.742013888885</v>
      </c>
      <c r="P3858" s="334" t="str">
        <f t="shared" si="4"/>
        <v>山陽特殊:産振ＨＳ２</v>
      </c>
    </row>
    <row r="3859" ht="15.75" customHeight="1">
      <c r="A3859" s="335" t="s">
        <v>5006</v>
      </c>
      <c r="B3859" s="336">
        <v>46051.0</v>
      </c>
      <c r="C3859" s="335" t="s">
        <v>12</v>
      </c>
      <c r="D3859" s="335" t="s">
        <v>50</v>
      </c>
      <c r="E3859" s="337" t="str">
        <f t="shared" si="1"/>
        <v>山陽特殊:産振</v>
      </c>
      <c r="F3859" s="338" t="s">
        <v>105</v>
      </c>
      <c r="G3859" s="339" t="str">
        <f t="shared" si="2"/>
        <v>山陽特殊:産振ＨＳ３</v>
      </c>
      <c r="H3859" s="340">
        <f t="shared" si="3"/>
        <v>44.4</v>
      </c>
      <c r="I3859" s="341">
        <v>-0.5</v>
      </c>
      <c r="J3859" s="332">
        <f>IFERROR(__xludf.DUMMYFUNCTION("IF(IF(COUNTIF(P$2:P3858, P3859)=0, """", INDEX(H$2:H3858,
MAX(FILTER(ROW(H$2:H3858) - ROW(H$2) + 1, P$2:P3858 = P3859))))=""単価"","""",
IF(COUNTIF(P$2:P3858, P3859)=0, """", INDEX(H$2:H3858,
MAX(FILTER(ROW(H$2:H3858) - ROW(H$2) + 1, P$2:P3858 = P3859)))))"),44.9)</f>
        <v>44.9</v>
      </c>
      <c r="N3859" s="335" t="str">
        <f>IF(MAXIFS('単価履歴'!$O:$O,'単価履歴'!$E:$E,E3859,'単価履歴'!$F:$F,F3859)=O3859,"●","")</f>
        <v/>
      </c>
      <c r="O3859" s="346">
        <v>46065.742013888885</v>
      </c>
      <c r="P3859" s="334" t="str">
        <f t="shared" si="4"/>
        <v>山陽特殊:産振ＨＳ３</v>
      </c>
    </row>
    <row r="3860" ht="15.75" customHeight="1">
      <c r="A3860" s="335" t="s">
        <v>5007</v>
      </c>
      <c r="B3860" s="336">
        <v>46051.0</v>
      </c>
      <c r="C3860" s="335" t="s">
        <v>9</v>
      </c>
      <c r="D3860" s="335" t="s">
        <v>50</v>
      </c>
      <c r="E3860" s="337" t="str">
        <f t="shared" si="1"/>
        <v>大鉄　堺:産振</v>
      </c>
      <c r="F3860" s="338" t="s">
        <v>119</v>
      </c>
      <c r="G3860" s="339" t="str">
        <f t="shared" si="2"/>
        <v>大鉄　堺:産振Ｈ３(1級)</v>
      </c>
      <c r="H3860" s="340">
        <f t="shared" si="3"/>
        <v>41.2</v>
      </c>
      <c r="I3860" s="341">
        <v>16.5</v>
      </c>
      <c r="J3860" s="332">
        <f>IFERROR(__xludf.DUMMYFUNCTION("IF(IF(COUNTIF(P$2:P3859, P3860)=0, """", INDEX(H$2:H3859,
MAX(FILTER(ROW(H$2:H3859) - ROW(H$2) + 1, P$2:P3859 = P3860))))=""単価"","""",
IF(COUNTIF(P$2:P3859, P3860)=0, """", INDEX(H$2:H3859,
MAX(FILTER(ROW(H$2:H3859) - ROW(H$2) + 1, P$2:P3859 = P3860)))))"),24.700000000000003)</f>
        <v>24.7</v>
      </c>
      <c r="N3860" s="335" t="str">
        <f>IF(MAXIFS('単価履歴'!$O:$O,'単価履歴'!$E:$E,E3860,'単価履歴'!$F:$F,F3860)=O3860,"●","")</f>
        <v/>
      </c>
      <c r="O3860" s="346">
        <v>46065.74487268519</v>
      </c>
      <c r="P3860" s="334" t="str">
        <f t="shared" si="4"/>
        <v>大鉄　堺:産振Ｈ３(1級)</v>
      </c>
    </row>
    <row r="3861" ht="15.75" customHeight="1">
      <c r="A3861" s="335" t="s">
        <v>5008</v>
      </c>
      <c r="B3861" s="336">
        <v>46051.0</v>
      </c>
      <c r="C3861" s="335" t="s">
        <v>9</v>
      </c>
      <c r="D3861" s="335" t="s">
        <v>50</v>
      </c>
      <c r="E3861" s="337" t="str">
        <f t="shared" si="1"/>
        <v>大鉄　堺:産振</v>
      </c>
      <c r="F3861" s="338" t="s">
        <v>122</v>
      </c>
      <c r="G3861" s="339" t="str">
        <f t="shared" si="2"/>
        <v>大鉄　堺:産振Ｌ１(2級)</v>
      </c>
      <c r="H3861" s="340">
        <f t="shared" si="3"/>
        <v>40.2</v>
      </c>
      <c r="I3861" s="341">
        <v>16.5</v>
      </c>
      <c r="J3861" s="332">
        <f>IFERROR(__xludf.DUMMYFUNCTION("IF(IF(COUNTIF(P$2:P3860, P3861)=0, """", INDEX(H$2:H3860,
MAX(FILTER(ROW(H$2:H3860) - ROW(H$2) + 1, P$2:P3860 = P3861))))=""単価"","""",
IF(COUNTIF(P$2:P3860, P3861)=0, """", INDEX(H$2:H3860,
MAX(FILTER(ROW(H$2:H3860) - ROW(H$2) + 1, P$2:P3860 = P3861)))))"),23.700000000000003)</f>
        <v>23.7</v>
      </c>
      <c r="N3861" s="335" t="str">
        <f>IF(MAXIFS('単価履歴'!$O:$O,'単価履歴'!$E:$E,E3861,'単価履歴'!$F:$F,F3861)=O3861,"●","")</f>
        <v/>
      </c>
      <c r="O3861" s="346">
        <v>46065.74487268519</v>
      </c>
      <c r="P3861" s="334" t="str">
        <f t="shared" si="4"/>
        <v>大鉄　堺:産振Ｌ１(2級)</v>
      </c>
    </row>
    <row r="3862" ht="15.75" customHeight="1">
      <c r="A3862" s="335" t="s">
        <v>5009</v>
      </c>
      <c r="B3862" s="336">
        <v>46069.0</v>
      </c>
      <c r="C3862" s="335" t="s">
        <v>31</v>
      </c>
      <c r="D3862" s="335" t="s">
        <v>47</v>
      </c>
      <c r="E3862" s="337" t="str">
        <f t="shared" si="1"/>
        <v>泉北中谷:豊通</v>
      </c>
      <c r="F3862" s="338" t="s">
        <v>130</v>
      </c>
      <c r="G3862" s="339" t="str">
        <f t="shared" si="2"/>
        <v>泉北中谷:豊通新断Ａ</v>
      </c>
      <c r="H3862" s="340">
        <f t="shared" si="3"/>
        <v>48.8</v>
      </c>
      <c r="I3862" s="341">
        <v>0.5</v>
      </c>
      <c r="J3862" s="332">
        <f>IFERROR(__xludf.DUMMYFUNCTION("IF(IF(COUNTIF(P$2:P3861, P3862)=0, """", INDEX(H$2:H3861,
MAX(FILTER(ROW(H$2:H3861) - ROW(H$2) + 1, P$2:P3861 = P3862))))=""単価"","""",
IF(COUNTIF(P$2:P3861, P3862)=0, """", INDEX(H$2:H3861,
MAX(FILTER(ROW(H$2:H3861) - ROW(H$2) + 1, P$2:P3861 = P3862)))))"),48.3)</f>
        <v>48.3</v>
      </c>
      <c r="N3862" s="335" t="str">
        <f>IF(MAXIFS('単価履歴'!$O:$O,'単価履歴'!$E:$E,E3862,'単価履歴'!$F:$F,F3862)=O3862,"●","")</f>
        <v/>
      </c>
      <c r="O3862" s="346">
        <v>46070.28041666667</v>
      </c>
      <c r="P3862" s="334" t="str">
        <f t="shared" si="4"/>
        <v>泉北中谷:豊通新断Ａ</v>
      </c>
    </row>
    <row r="3863" ht="15.75" customHeight="1">
      <c r="A3863" s="335" t="s">
        <v>5010</v>
      </c>
      <c r="B3863" s="336">
        <v>46032.0</v>
      </c>
      <c r="C3863" s="335" t="s">
        <v>5</v>
      </c>
      <c r="D3863" s="335" t="s">
        <v>46</v>
      </c>
      <c r="E3863" s="337" t="str">
        <f t="shared" si="1"/>
        <v>中山製鋼:阪和</v>
      </c>
      <c r="F3863" s="338" t="s">
        <v>101</v>
      </c>
      <c r="G3863" s="339" t="str">
        <f t="shared" si="2"/>
        <v>中山製鋼:阪和ＨＳ２</v>
      </c>
      <c r="H3863" s="340">
        <f t="shared" si="3"/>
        <v>47.4</v>
      </c>
      <c r="I3863" s="341">
        <v>0.5</v>
      </c>
      <c r="J3863" s="332">
        <f>IFERROR(__xludf.DUMMYFUNCTION("IF(IF(COUNTIF(P$2:P3862, P3863)=0, """", INDEX(H$2:H3862,
MAX(FILTER(ROW(H$2:H3862) - ROW(H$2) + 1, P$2:P3862 = P3863))))=""単価"","""",
IF(COUNTIF(P$2:P3862, P3863)=0, """", INDEX(H$2:H3862,
MAX(FILTER(ROW(H$2:H3862) - ROW(H$2) + 1, P$2:P3862 = P3863)))))"),46.9)</f>
        <v>46.9</v>
      </c>
      <c r="N3863" s="335" t="str">
        <f>IF(MAXIFS('単価履歴'!$O:$O,'単価履歴'!$E:$E,E3863,'単価履歴'!$F:$F,F3863)=O3863,"●","")</f>
        <v/>
      </c>
      <c r="O3863" s="346">
        <v>46071.36170138889</v>
      </c>
      <c r="P3863" s="334" t="str">
        <f t="shared" si="4"/>
        <v>中山製鋼:阪和ＨＳ２</v>
      </c>
    </row>
    <row r="3864" ht="15.75" customHeight="1">
      <c r="A3864" s="335" t="s">
        <v>5011</v>
      </c>
      <c r="B3864" s="336">
        <v>46071.0</v>
      </c>
      <c r="C3864" s="335" t="s">
        <v>30</v>
      </c>
      <c r="D3864" s="335" t="s">
        <v>52</v>
      </c>
      <c r="E3864" s="337" t="str">
        <f t="shared" si="1"/>
        <v>北港:リバイブ</v>
      </c>
      <c r="F3864" s="338" t="s">
        <v>1199</v>
      </c>
      <c r="G3864" s="339" t="str">
        <f t="shared" si="2"/>
        <v>北港:リバイブＨＳ１(単体H1/電特A/HS))</v>
      </c>
      <c r="H3864" s="340">
        <f t="shared" si="3"/>
        <v>49</v>
      </c>
      <c r="I3864" s="341">
        <v>49.0</v>
      </c>
      <c r="J3864" s="332" t="str">
        <f>IFERROR(__xludf.DUMMYFUNCTION("IF(IF(COUNTIF(P$2:P3863, P3864)=0, """", INDEX(H$2:H3863,
MAX(FILTER(ROW(H$2:H3863) - ROW(H$2) + 1, P$2:P3863 = P3864))))=""単価"","""",
IF(COUNTIF(P$2:P3863, P3864)=0, """", INDEX(H$2:H3863,
MAX(FILTER(ROW(H$2:H3863) - ROW(H$2) + 1, P$2:P3863 = P3864)))))"),"")</f>
        <v/>
      </c>
      <c r="N3864" s="335" t="str">
        <f>IF(MAXIFS('単価履歴'!$O:$O,'単価履歴'!$E:$E,E3864,'単価履歴'!$F:$F,F3864)=O3864,"●","")</f>
        <v/>
      </c>
      <c r="O3864" s="346">
        <v>46071.413402777776</v>
      </c>
      <c r="P3864" s="334" t="str">
        <f t="shared" si="4"/>
        <v>北港:リバイブＨＳ１(単体H1/電特A/HS))</v>
      </c>
    </row>
    <row r="3865" ht="15.75" customHeight="1">
      <c r="A3865" s="335" t="s">
        <v>5012</v>
      </c>
      <c r="B3865" s="336">
        <v>46072.0</v>
      </c>
      <c r="C3865" s="335" t="s">
        <v>29</v>
      </c>
      <c r="D3865" s="335" t="s">
        <v>50</v>
      </c>
      <c r="E3865" s="337" t="str">
        <f t="shared" si="1"/>
        <v>南港:産振</v>
      </c>
      <c r="F3865" s="338" t="s">
        <v>130</v>
      </c>
      <c r="G3865" s="339" t="str">
        <f t="shared" si="2"/>
        <v>南港:産振新断Ａ</v>
      </c>
      <c r="H3865" s="340">
        <f t="shared" si="3"/>
        <v>49.5</v>
      </c>
      <c r="I3865" s="341">
        <v>4.8</v>
      </c>
      <c r="J3865" s="332">
        <f>IFERROR(__xludf.DUMMYFUNCTION("IF(IF(COUNTIF(P$2:P3864, P3865)=0, """", INDEX(H$2:H3864,
MAX(FILTER(ROW(H$2:H3864) - ROW(H$2) + 1, P$2:P3864 = P3865))))=""単価"","""",
IF(COUNTIF(P$2:P3864, P3865)=0, """", INDEX(H$2:H3864,
MAX(FILTER(ROW(H$2:H3864) - ROW(H$2) + 1, P$2:P3864 = P3865)))))"),44.7)</f>
        <v>44.7</v>
      </c>
      <c r="N3865" s="335" t="str">
        <f>IF(MAXIFS('単価履歴'!$O:$O,'単価履歴'!$E:$E,E3865,'単価履歴'!$F:$F,F3865)=O3865,"●","")</f>
        <v/>
      </c>
      <c r="O3865" s="346">
        <v>46071.735543981486</v>
      </c>
      <c r="P3865" s="334" t="str">
        <f t="shared" si="4"/>
        <v>南港:産振新断Ａ</v>
      </c>
    </row>
    <row r="3866" ht="15.75" customHeight="1">
      <c r="A3866" s="335" t="s">
        <v>5013</v>
      </c>
      <c r="B3866" s="336">
        <v>46072.0</v>
      </c>
      <c r="C3866" s="335" t="s">
        <v>12</v>
      </c>
      <c r="D3866" s="335" t="s">
        <v>50</v>
      </c>
      <c r="E3866" s="337" t="str">
        <f t="shared" si="1"/>
        <v>山陽特殊:産振</v>
      </c>
      <c r="F3866" s="338" t="s">
        <v>1199</v>
      </c>
      <c r="G3866" s="339" t="str">
        <f t="shared" si="2"/>
        <v>山陽特殊:産振ＨＳ１(単体H1/電特A/HS))</v>
      </c>
      <c r="H3866" s="340">
        <f t="shared" si="3"/>
        <v>47.1</v>
      </c>
      <c r="I3866" s="341">
        <v>0.5</v>
      </c>
      <c r="J3866" s="332">
        <f>IFERROR(__xludf.DUMMYFUNCTION("IF(IF(COUNTIF(P$2:P3865, P3866)=0, """", INDEX(H$2:H3865,
MAX(FILTER(ROW(H$2:H3865) - ROW(H$2) + 1, P$2:P3865 = P3866))))=""単価"","""",
IF(COUNTIF(P$2:P3865, P3866)=0, """", INDEX(H$2:H3865,
MAX(FILTER(ROW(H$2:H3865) - ROW(H$2) + 1, P$2:P3865 = P3866)))))"),46.6)</f>
        <v>46.6</v>
      </c>
      <c r="N3866" s="335" t="str">
        <f>IF(MAXIFS('単価履歴'!$O:$O,'単価履歴'!$E:$E,E3866,'単価履歴'!$F:$F,F3866)=O3866,"●","")</f>
        <v/>
      </c>
      <c r="O3866" s="346">
        <v>46072.27381944444</v>
      </c>
      <c r="P3866" s="334" t="str">
        <f t="shared" si="4"/>
        <v>山陽特殊:産振ＨＳ１(単体H1/電特A/HS))</v>
      </c>
    </row>
    <row r="3867" ht="15.75" customHeight="1">
      <c r="A3867" s="335" t="s">
        <v>5014</v>
      </c>
      <c r="B3867" s="336">
        <v>46072.0</v>
      </c>
      <c r="C3867" s="335" t="s">
        <v>12</v>
      </c>
      <c r="D3867" s="335" t="s">
        <v>50</v>
      </c>
      <c r="E3867" s="337" t="str">
        <f t="shared" si="1"/>
        <v>山陽特殊:産振</v>
      </c>
      <c r="F3867" s="338" t="s">
        <v>101</v>
      </c>
      <c r="G3867" s="339" t="str">
        <f t="shared" si="2"/>
        <v>山陽特殊:産振ＨＳ２</v>
      </c>
      <c r="H3867" s="340">
        <f t="shared" si="3"/>
        <v>46.9</v>
      </c>
      <c r="I3867" s="341">
        <v>0.5</v>
      </c>
      <c r="J3867" s="332">
        <f>IFERROR(__xludf.DUMMYFUNCTION("IF(IF(COUNTIF(P$2:P3866, P3867)=0, """", INDEX(H$2:H3866,
MAX(FILTER(ROW(H$2:H3866) - ROW(H$2) + 1, P$2:P3866 = P3867))))=""単価"","""",
IF(COUNTIF(P$2:P3866, P3867)=0, """", INDEX(H$2:H3866,
MAX(FILTER(ROW(H$2:H3866) - ROW(H$2) + 1, P$2:P3866 = P3867)))))"),46.4)</f>
        <v>46.4</v>
      </c>
      <c r="N3867" s="335" t="str">
        <f>IF(MAXIFS('単価履歴'!$O:$O,'単価履歴'!$E:$E,E3867,'単価履歴'!$F:$F,F3867)=O3867,"●","")</f>
        <v/>
      </c>
      <c r="O3867" s="346">
        <v>46072.27381944444</v>
      </c>
      <c r="P3867" s="334" t="str">
        <f t="shared" si="4"/>
        <v>山陽特殊:産振ＨＳ２</v>
      </c>
    </row>
    <row r="3868" ht="15.75" customHeight="1">
      <c r="A3868" s="335" t="s">
        <v>5015</v>
      </c>
      <c r="B3868" s="336">
        <v>46072.0</v>
      </c>
      <c r="C3868" s="335" t="s">
        <v>12</v>
      </c>
      <c r="D3868" s="335" t="s">
        <v>50</v>
      </c>
      <c r="E3868" s="337" t="str">
        <f t="shared" si="1"/>
        <v>山陽特殊:産振</v>
      </c>
      <c r="F3868" s="338" t="s">
        <v>105</v>
      </c>
      <c r="G3868" s="339" t="str">
        <f t="shared" si="2"/>
        <v>山陽特殊:産振ＨＳ３</v>
      </c>
      <c r="H3868" s="340">
        <f t="shared" si="3"/>
        <v>44.9</v>
      </c>
      <c r="I3868" s="341">
        <v>0.5</v>
      </c>
      <c r="J3868" s="332">
        <f>IFERROR(__xludf.DUMMYFUNCTION("IF(IF(COUNTIF(P$2:P3867, P3868)=0, """", INDEX(H$2:H3867,
MAX(FILTER(ROW(H$2:H3867) - ROW(H$2) + 1, P$2:P3867 = P3868))))=""単価"","""",
IF(COUNTIF(P$2:P3867, P3868)=0, """", INDEX(H$2:H3867,
MAX(FILTER(ROW(H$2:H3867) - ROW(H$2) + 1, P$2:P3867 = P3868)))))"),44.4)</f>
        <v>44.4</v>
      </c>
      <c r="N3868" s="335" t="str">
        <f>IF(MAXIFS('単価履歴'!$O:$O,'単価履歴'!$E:$E,E3868,'単価履歴'!$F:$F,F3868)=O3868,"●","")</f>
        <v/>
      </c>
      <c r="O3868" s="346">
        <v>46072.27381944444</v>
      </c>
      <c r="P3868" s="334" t="str">
        <f t="shared" si="4"/>
        <v>山陽特殊:産振ＨＳ３</v>
      </c>
    </row>
    <row r="3869" ht="15.75" customHeight="1">
      <c r="A3869" s="335" t="s">
        <v>5016</v>
      </c>
      <c r="B3869" s="336">
        <v>46072.0</v>
      </c>
      <c r="C3869" s="335" t="s">
        <v>7</v>
      </c>
      <c r="D3869" s="335" t="s">
        <v>49</v>
      </c>
      <c r="E3869" s="337" t="str">
        <f t="shared" si="1"/>
        <v>合同大阪:伊藤忠</v>
      </c>
      <c r="F3869" s="338" t="s">
        <v>1199</v>
      </c>
      <c r="G3869" s="339" t="str">
        <f t="shared" si="2"/>
        <v>合同大阪:伊藤忠ＨＳ１(単体H1/電特A/HS))</v>
      </c>
      <c r="H3869" s="340">
        <f t="shared" si="3"/>
        <v>46.8</v>
      </c>
      <c r="I3869" s="341">
        <v>0.5</v>
      </c>
      <c r="J3869" s="332">
        <f>IFERROR(__xludf.DUMMYFUNCTION("IF(IF(COUNTIF(P$2:P3868, P3869)=0, """", INDEX(H$2:H3868,
MAX(FILTER(ROW(H$2:H3868) - ROW(H$2) + 1, P$2:P3868 = P3869))))=""単価"","""",
IF(COUNTIF(P$2:P3868, P3869)=0, """", INDEX(H$2:H3868,
MAX(FILTER(ROW(H$2:H3868) - ROW(H$2) + 1, P$2:P3868 = P3869)))))"),46.3)</f>
        <v>46.3</v>
      </c>
      <c r="N3869" s="335" t="str">
        <f>IF(MAXIFS('単価履歴'!$O:$O,'単価履歴'!$E:$E,E3869,'単価履歴'!$F:$F,F3869)=O3869,"●","")</f>
        <v/>
      </c>
      <c r="O3869" s="346">
        <v>46072.27489583333</v>
      </c>
      <c r="P3869" s="334" t="str">
        <f t="shared" si="4"/>
        <v>合同大阪:伊藤忠ＨＳ１(単体H1/電特A/HS))</v>
      </c>
    </row>
    <row r="3870" ht="15.75" customHeight="1">
      <c r="A3870" s="335" t="s">
        <v>5017</v>
      </c>
      <c r="B3870" s="336">
        <v>46072.0</v>
      </c>
      <c r="C3870" s="335" t="s">
        <v>7</v>
      </c>
      <c r="D3870" s="335" t="s">
        <v>49</v>
      </c>
      <c r="E3870" s="337" t="str">
        <f t="shared" si="1"/>
        <v>合同大阪:伊藤忠</v>
      </c>
      <c r="F3870" s="338" t="s">
        <v>101</v>
      </c>
      <c r="G3870" s="339" t="str">
        <f t="shared" si="2"/>
        <v>合同大阪:伊藤忠ＨＳ２</v>
      </c>
      <c r="H3870" s="340">
        <f t="shared" si="3"/>
        <v>46.3</v>
      </c>
      <c r="I3870" s="341">
        <v>0.5</v>
      </c>
      <c r="J3870" s="332">
        <f>IFERROR(__xludf.DUMMYFUNCTION("IF(IF(COUNTIF(P$2:P3869, P3870)=0, """", INDEX(H$2:H3869,
MAX(FILTER(ROW(H$2:H3869) - ROW(H$2) + 1, P$2:P3869 = P3870))))=""単価"","""",
IF(COUNTIF(P$2:P3869, P3870)=0, """", INDEX(H$2:H3869,
MAX(FILTER(ROW(H$2:H3869) - ROW(H$2) + 1, P$2:P3869 = P3870)))))"),45.8)</f>
        <v>45.8</v>
      </c>
      <c r="N3870" s="335" t="str">
        <f>IF(MAXIFS('単価履歴'!$O:$O,'単価履歴'!$E:$E,E3870,'単価履歴'!$F:$F,F3870)=O3870,"●","")</f>
        <v/>
      </c>
      <c r="O3870" s="346">
        <v>46072.27489583333</v>
      </c>
      <c r="P3870" s="334" t="str">
        <f t="shared" si="4"/>
        <v>合同大阪:伊藤忠ＨＳ２</v>
      </c>
    </row>
    <row r="3871" ht="15.75" customHeight="1">
      <c r="A3871" s="335" t="s">
        <v>5018</v>
      </c>
      <c r="B3871" s="336">
        <v>46072.0</v>
      </c>
      <c r="C3871" s="335" t="s">
        <v>7</v>
      </c>
      <c r="D3871" s="335" t="s">
        <v>49</v>
      </c>
      <c r="E3871" s="337" t="str">
        <f t="shared" si="1"/>
        <v>合同大阪:伊藤忠</v>
      </c>
      <c r="F3871" s="338" t="s">
        <v>111</v>
      </c>
      <c r="G3871" s="339" t="str">
        <f t="shared" si="2"/>
        <v>合同大阪:伊藤忠Ｈ１(特A)</v>
      </c>
      <c r="H3871" s="340">
        <f t="shared" si="3"/>
        <v>47.3</v>
      </c>
      <c r="I3871" s="341">
        <v>0.5</v>
      </c>
      <c r="J3871" s="332">
        <f>IFERROR(__xludf.DUMMYFUNCTION("IF(IF(COUNTIF(P$2:P3870, P3871)=0, """", INDEX(H$2:H3870,
MAX(FILTER(ROW(H$2:H3870) - ROW(H$2) + 1, P$2:P3870 = P3871))))=""単価"","""",
IF(COUNTIF(P$2:P3870, P3871)=0, """", INDEX(H$2:H3870,
MAX(FILTER(ROW(H$2:H3870) - ROW(H$2) + 1, P$2:P3870 = P3871)))))"),46.8)</f>
        <v>46.8</v>
      </c>
      <c r="N3871" s="335" t="str">
        <f>IF(MAXIFS('単価履歴'!$O:$O,'単価履歴'!$E:$E,E3871,'単価履歴'!$F:$F,F3871)=O3871,"●","")</f>
        <v/>
      </c>
      <c r="O3871" s="346">
        <v>46072.27489583333</v>
      </c>
      <c r="P3871" s="334" t="str">
        <f t="shared" si="4"/>
        <v>合同大阪:伊藤忠Ｈ１(特A)</v>
      </c>
    </row>
    <row r="3872" ht="15.75" customHeight="1">
      <c r="A3872" s="335" t="s">
        <v>5019</v>
      </c>
      <c r="B3872" s="336">
        <v>46072.0</v>
      </c>
      <c r="C3872" s="335" t="s">
        <v>7</v>
      </c>
      <c r="D3872" s="335" t="s">
        <v>49</v>
      </c>
      <c r="E3872" s="337" t="str">
        <f t="shared" si="1"/>
        <v>合同大阪:伊藤忠</v>
      </c>
      <c r="F3872" s="338" t="s">
        <v>116</v>
      </c>
      <c r="G3872" s="339" t="str">
        <f t="shared" si="2"/>
        <v>合同大阪:伊藤忠Ｈ２(特級)</v>
      </c>
      <c r="H3872" s="340">
        <f t="shared" si="3"/>
        <v>45.3</v>
      </c>
      <c r="I3872" s="341">
        <v>0.5</v>
      </c>
      <c r="J3872" s="332">
        <f>IFERROR(__xludf.DUMMYFUNCTION("IF(IF(COUNTIF(P$2:P3871, P3872)=0, """", INDEX(H$2:H3871,
MAX(FILTER(ROW(H$2:H3871) - ROW(H$2) + 1, P$2:P3871 = P3872))))=""単価"","""",
IF(COUNTIF(P$2:P3871, P3872)=0, """", INDEX(H$2:H3871,
MAX(FILTER(ROW(H$2:H3871) - ROW(H$2) + 1, P$2:P3871 = P3872)))))"),44.8)</f>
        <v>44.8</v>
      </c>
      <c r="N3872" s="335" t="str">
        <f>IF(MAXIFS('単価履歴'!$O:$O,'単価履歴'!$E:$E,E3872,'単価履歴'!$F:$F,F3872)=O3872,"●","")</f>
        <v/>
      </c>
      <c r="O3872" s="346">
        <v>46072.27489583333</v>
      </c>
      <c r="P3872" s="334" t="str">
        <f t="shared" si="4"/>
        <v>合同大阪:伊藤忠Ｈ２(特級)</v>
      </c>
    </row>
    <row r="3873" ht="15.75" customHeight="1">
      <c r="A3873" s="335" t="s">
        <v>5020</v>
      </c>
      <c r="B3873" s="336">
        <v>46072.0</v>
      </c>
      <c r="C3873" s="335" t="s">
        <v>7</v>
      </c>
      <c r="D3873" s="335" t="s">
        <v>49</v>
      </c>
      <c r="E3873" s="337" t="str">
        <f t="shared" si="1"/>
        <v>合同大阪:伊藤忠</v>
      </c>
      <c r="F3873" s="338" t="s">
        <v>119</v>
      </c>
      <c r="G3873" s="339" t="str">
        <f t="shared" si="2"/>
        <v>合同大阪:伊藤忠Ｈ３(1級)</v>
      </c>
      <c r="H3873" s="340">
        <f t="shared" si="3"/>
        <v>44.8</v>
      </c>
      <c r="I3873" s="341">
        <v>0.5</v>
      </c>
      <c r="J3873" s="332">
        <f>IFERROR(__xludf.DUMMYFUNCTION("IF(IF(COUNTIF(P$2:P3872, P3873)=0, """", INDEX(H$2:H3872,
MAX(FILTER(ROW(H$2:H3872) - ROW(H$2) + 1, P$2:P3872 = P3873))))=""単価"","""",
IF(COUNTIF(P$2:P3872, P3873)=0, """", INDEX(H$2:H3872,
MAX(FILTER(ROW(H$2:H3872) - ROW(H$2) + 1, P$2:P3872 = P3873)))))"),44.3)</f>
        <v>44.3</v>
      </c>
      <c r="N3873" s="335" t="str">
        <f>IF(MAXIFS('単価履歴'!$O:$O,'単価履歴'!$E:$E,E3873,'単価履歴'!$F:$F,F3873)=O3873,"●","")</f>
        <v/>
      </c>
      <c r="O3873" s="346">
        <v>46072.27489583333</v>
      </c>
      <c r="P3873" s="334" t="str">
        <f t="shared" si="4"/>
        <v>合同大阪:伊藤忠Ｈ３(1級)</v>
      </c>
    </row>
    <row r="3874" ht="15.75" customHeight="1">
      <c r="A3874" s="335" t="s">
        <v>5021</v>
      </c>
      <c r="B3874" s="336">
        <v>46072.0</v>
      </c>
      <c r="C3874" s="335" t="s">
        <v>7</v>
      </c>
      <c r="D3874" s="335" t="s">
        <v>49</v>
      </c>
      <c r="E3874" s="337" t="str">
        <f t="shared" si="1"/>
        <v>合同大阪:伊藤忠</v>
      </c>
      <c r="F3874" s="338" t="s">
        <v>122</v>
      </c>
      <c r="G3874" s="339" t="str">
        <f t="shared" si="2"/>
        <v>合同大阪:伊藤忠Ｌ１(2級)</v>
      </c>
      <c r="H3874" s="340">
        <f t="shared" si="3"/>
        <v>43.8</v>
      </c>
      <c r="I3874" s="341">
        <v>0.5</v>
      </c>
      <c r="J3874" s="332">
        <f>IFERROR(__xludf.DUMMYFUNCTION("IF(IF(COUNTIF(P$2:P3873, P3874)=0, """", INDEX(H$2:H3873,
MAX(FILTER(ROW(H$2:H3873) - ROW(H$2) + 1, P$2:P3873 = P3874))))=""単価"","""",
IF(COUNTIF(P$2:P3873, P3874)=0, """", INDEX(H$2:H3873,
MAX(FILTER(ROW(H$2:H3873) - ROW(H$2) + 1, P$2:P3873 = P3874)))))"),43.3)</f>
        <v>43.3</v>
      </c>
      <c r="N3874" s="335" t="str">
        <f>IF(MAXIFS('単価履歴'!$O:$O,'単価履歴'!$E:$E,E3874,'単価履歴'!$F:$F,F3874)=O3874,"●","")</f>
        <v/>
      </c>
      <c r="O3874" s="346">
        <v>46072.27489583333</v>
      </c>
      <c r="P3874" s="334" t="str">
        <f t="shared" si="4"/>
        <v>合同大阪:伊藤忠Ｌ１(2級)</v>
      </c>
    </row>
    <row r="3875" ht="15.75" customHeight="1">
      <c r="A3875" s="335" t="s">
        <v>5022</v>
      </c>
      <c r="B3875" s="336">
        <v>46072.0</v>
      </c>
      <c r="C3875" s="335" t="s">
        <v>7</v>
      </c>
      <c r="D3875" s="335" t="s">
        <v>49</v>
      </c>
      <c r="E3875" s="337" t="str">
        <f t="shared" si="1"/>
        <v>合同大阪:伊藤忠</v>
      </c>
      <c r="F3875" s="338" t="s">
        <v>130</v>
      </c>
      <c r="G3875" s="339" t="str">
        <f t="shared" si="2"/>
        <v>合同大阪:伊藤忠新断Ａ</v>
      </c>
      <c r="H3875" s="340">
        <f t="shared" si="3"/>
        <v>47.8</v>
      </c>
      <c r="I3875" s="341">
        <v>0.5</v>
      </c>
      <c r="J3875" s="332">
        <f>IFERROR(__xludf.DUMMYFUNCTION("IF(IF(COUNTIF(P$2:P3874, P3875)=0, """", INDEX(H$2:H3874,
MAX(FILTER(ROW(H$2:H3874) - ROW(H$2) + 1, P$2:P3874 = P3875))))=""単価"","""",
IF(COUNTIF(P$2:P3874, P3875)=0, """", INDEX(H$2:H3874,
MAX(FILTER(ROW(H$2:H3874) - ROW(H$2) + 1, P$2:P3874 = P3875)))))"),47.3)</f>
        <v>47.3</v>
      </c>
      <c r="N3875" s="335" t="str">
        <f>IF(MAXIFS('単価履歴'!$O:$O,'単価履歴'!$E:$E,E3875,'単価履歴'!$F:$F,F3875)=O3875,"●","")</f>
        <v/>
      </c>
      <c r="O3875" s="346">
        <v>46072.27489583333</v>
      </c>
      <c r="P3875" s="334" t="str">
        <f t="shared" si="4"/>
        <v>合同大阪:伊藤忠新断Ａ</v>
      </c>
    </row>
    <row r="3876" ht="15.75" customHeight="1">
      <c r="A3876" s="335" t="s">
        <v>5023</v>
      </c>
      <c r="B3876" s="336">
        <v>46072.0</v>
      </c>
      <c r="C3876" s="335" t="s">
        <v>7</v>
      </c>
      <c r="D3876" s="335" t="s">
        <v>49</v>
      </c>
      <c r="E3876" s="337" t="str">
        <f t="shared" si="1"/>
        <v>合同大阪:伊藤忠</v>
      </c>
      <c r="F3876" s="338" t="s">
        <v>131</v>
      </c>
      <c r="G3876" s="339" t="str">
        <f t="shared" si="2"/>
        <v>合同大阪:伊藤忠新断Ｂ</v>
      </c>
      <c r="H3876" s="340">
        <f t="shared" si="3"/>
        <v>47.3</v>
      </c>
      <c r="I3876" s="341">
        <v>0.5</v>
      </c>
      <c r="J3876" s="332">
        <f>IFERROR(__xludf.DUMMYFUNCTION("IF(IF(COUNTIF(P$2:P3875, P3876)=0, """", INDEX(H$2:H3875,
MAX(FILTER(ROW(H$2:H3875) - ROW(H$2) + 1, P$2:P3875 = P3876))))=""単価"","""",
IF(COUNTIF(P$2:P3875, P3876)=0, """", INDEX(H$2:H3875,
MAX(FILTER(ROW(H$2:H3875) - ROW(H$2) + 1, P$2:P3875 = P3876)))))"),46.8)</f>
        <v>46.8</v>
      </c>
      <c r="N3876" s="335" t="str">
        <f>IF(MAXIFS('単価履歴'!$O:$O,'単価履歴'!$E:$E,E3876,'単価履歴'!$F:$F,F3876)=O3876,"●","")</f>
        <v/>
      </c>
      <c r="O3876" s="346">
        <v>46072.27489583333</v>
      </c>
      <c r="P3876" s="334" t="str">
        <f t="shared" si="4"/>
        <v>合同大阪:伊藤忠新断Ｂ</v>
      </c>
    </row>
    <row r="3877" ht="15.75" customHeight="1">
      <c r="A3877" s="335" t="s">
        <v>5024</v>
      </c>
      <c r="B3877" s="336">
        <v>46072.0</v>
      </c>
      <c r="C3877" s="335" t="s">
        <v>7</v>
      </c>
      <c r="D3877" s="335" t="s">
        <v>49</v>
      </c>
      <c r="E3877" s="337" t="str">
        <f t="shared" si="1"/>
        <v>合同大阪:伊藤忠</v>
      </c>
      <c r="F3877" s="338" t="s">
        <v>575</v>
      </c>
      <c r="G3877" s="339" t="str">
        <f t="shared" si="2"/>
        <v>合同大阪:伊藤忠鋼ダライＡ</v>
      </c>
      <c r="H3877" s="340">
        <f t="shared" si="3"/>
        <v>34.8</v>
      </c>
      <c r="I3877" s="341">
        <v>0.5</v>
      </c>
      <c r="J3877" s="332">
        <f>IFERROR(__xludf.DUMMYFUNCTION("IF(IF(COUNTIF(P$2:P3876, P3877)=0, """", INDEX(H$2:H3876,
MAX(FILTER(ROW(H$2:H3876) - ROW(H$2) + 1, P$2:P3876 = P3877))))=""単価"","""",
IF(COUNTIF(P$2:P3876, P3877)=0, """", INDEX(H$2:H3876,
MAX(FILTER(ROW(H$2:H3876) - ROW(H$2) + 1, P$2:P3876 = P3877)))))"),34.3)</f>
        <v>34.3</v>
      </c>
      <c r="N3877" s="335" t="str">
        <f>IF(MAXIFS('単価履歴'!$O:$O,'単価履歴'!$E:$E,E3877,'単価履歴'!$F:$F,F3877)=O3877,"●","")</f>
        <v/>
      </c>
      <c r="O3877" s="346">
        <v>46072.27489583333</v>
      </c>
      <c r="P3877" s="334" t="str">
        <f t="shared" si="4"/>
        <v>合同大阪:伊藤忠鋼ダライＡ</v>
      </c>
    </row>
    <row r="3878" ht="15.75" customHeight="1">
      <c r="A3878" s="335" t="s">
        <v>5025</v>
      </c>
      <c r="B3878" s="336">
        <v>46072.0</v>
      </c>
      <c r="C3878" s="335" t="s">
        <v>7</v>
      </c>
      <c r="D3878" s="335" t="s">
        <v>49</v>
      </c>
      <c r="E3878" s="337" t="str">
        <f t="shared" si="1"/>
        <v>合同大阪:伊藤忠</v>
      </c>
      <c r="F3878" s="338" t="s">
        <v>576</v>
      </c>
      <c r="G3878" s="339" t="str">
        <f t="shared" si="2"/>
        <v>合同大阪:伊藤忠鋼ダライＢ</v>
      </c>
      <c r="H3878" s="340">
        <f t="shared" si="3"/>
        <v>34.3</v>
      </c>
      <c r="I3878" s="341">
        <v>0.5</v>
      </c>
      <c r="J3878" s="332">
        <f>IFERROR(__xludf.DUMMYFUNCTION("IF(IF(COUNTIF(P$2:P3877, P3878)=0, """", INDEX(H$2:H3877,
MAX(FILTER(ROW(H$2:H3877) - ROW(H$2) + 1, P$2:P3877 = P3878))))=""単価"","""",
IF(COUNTIF(P$2:P3877, P3878)=0, """", INDEX(H$2:H3877,
MAX(FILTER(ROW(H$2:H3877) - ROW(H$2) + 1, P$2:P3877 = P3878)))))"),33.8)</f>
        <v>33.8</v>
      </c>
      <c r="N3878" s="335" t="str">
        <f>IF(MAXIFS('単価履歴'!$O:$O,'単価履歴'!$E:$E,E3878,'単価履歴'!$F:$F,F3878)=O3878,"●","")</f>
        <v/>
      </c>
      <c r="O3878" s="346">
        <v>46072.27489583333</v>
      </c>
      <c r="P3878" s="334" t="str">
        <f t="shared" si="4"/>
        <v>合同大阪:伊藤忠鋼ダライＢ</v>
      </c>
    </row>
    <row r="3879" ht="15.75" customHeight="1">
      <c r="A3879" s="367" t="s">
        <v>5026</v>
      </c>
      <c r="B3879" s="368">
        <v>46072.0</v>
      </c>
      <c r="C3879" s="367" t="s">
        <v>12</v>
      </c>
      <c r="D3879" s="367" t="s">
        <v>541</v>
      </c>
      <c r="E3879" s="337" t="str">
        <f t="shared" si="1"/>
        <v>山陽特殊:大同</v>
      </c>
      <c r="F3879" s="369" t="s">
        <v>1199</v>
      </c>
      <c r="G3879" s="339" t="str">
        <f t="shared" si="2"/>
        <v>山陽特殊:大同ＨＳ１(単体H1/電特A/HS))</v>
      </c>
      <c r="H3879" s="340">
        <f t="shared" si="3"/>
        <v>50.2</v>
      </c>
      <c r="I3879" s="364">
        <v>0.5</v>
      </c>
      <c r="J3879" s="332">
        <f>IFERROR(__xludf.DUMMYFUNCTION("IF(IF(COUNTIF(P$2:P3878, P3879)=0, """", INDEX(H$2:H3878,
MAX(FILTER(ROW(H$2:H3878) - ROW(H$2) + 1, P$2:P3878 = P3879))))=""単価"","""",
IF(COUNTIF(P$2:P3878, P3879)=0, """", INDEX(H$2:H3878,
MAX(FILTER(ROW(H$2:H3878) - ROW(H$2) + 1, P$2:P3878 = P3879)))))"),49.7)</f>
        <v>49.7</v>
      </c>
      <c r="K3879" s="365"/>
      <c r="L3879" s="365"/>
      <c r="M3879" s="365"/>
      <c r="N3879" s="335" t="str">
        <f>IF(MAXIFS('単価履歴'!$O:$O,'単価履歴'!$E:$E,E3879,'単価履歴'!$F:$F,F3879)=O3879,"●","")</f>
        <v/>
      </c>
      <c r="O3879" s="366">
        <v>46072.27533564815</v>
      </c>
      <c r="P3879" s="334" t="str">
        <f t="shared" si="4"/>
        <v>山陽特殊:大同ＨＳ１(単体H1/電特A/HS))</v>
      </c>
      <c r="Q3879" s="365"/>
      <c r="R3879" s="365"/>
      <c r="S3879" s="365"/>
      <c r="T3879" s="365"/>
      <c r="U3879" s="365"/>
      <c r="V3879" s="365"/>
      <c r="W3879" s="365"/>
      <c r="X3879" s="365"/>
      <c r="Y3879" s="365"/>
      <c r="Z3879" s="365"/>
      <c r="AA3879" s="365"/>
      <c r="AB3879" s="365"/>
      <c r="AC3879" s="365"/>
      <c r="AD3879" s="365"/>
      <c r="AE3879" s="365"/>
      <c r="AF3879" s="365"/>
    </row>
    <row r="3880" ht="15.75" customHeight="1">
      <c r="A3880" s="367" t="s">
        <v>5027</v>
      </c>
      <c r="B3880" s="368">
        <v>46072.0</v>
      </c>
      <c r="C3880" s="367" t="s">
        <v>12</v>
      </c>
      <c r="D3880" s="367" t="s">
        <v>541</v>
      </c>
      <c r="E3880" s="337" t="str">
        <f t="shared" si="1"/>
        <v>山陽特殊:大同</v>
      </c>
      <c r="F3880" s="369" t="s">
        <v>101</v>
      </c>
      <c r="G3880" s="339" t="str">
        <f t="shared" si="2"/>
        <v>山陽特殊:大同ＨＳ２</v>
      </c>
      <c r="H3880" s="340">
        <f t="shared" si="3"/>
        <v>50</v>
      </c>
      <c r="I3880" s="364">
        <v>0.5</v>
      </c>
      <c r="J3880" s="332">
        <f>IFERROR(__xludf.DUMMYFUNCTION("IF(IF(COUNTIF(P$2:P3879, P3880)=0, """", INDEX(H$2:H3879,
MAX(FILTER(ROW(H$2:H3879) - ROW(H$2) + 1, P$2:P3879 = P3880))))=""単価"","""",
IF(COUNTIF(P$2:P3879, P3880)=0, """", INDEX(H$2:H3879,
MAX(FILTER(ROW(H$2:H3879) - ROW(H$2) + 1, P$2:P3879 = P3880)))))"),49.5)</f>
        <v>49.5</v>
      </c>
      <c r="K3880" s="365"/>
      <c r="L3880" s="365"/>
      <c r="M3880" s="365"/>
      <c r="N3880" s="335" t="str">
        <f>IF(MAXIFS('単価履歴'!$O:$O,'単価履歴'!$E:$E,E3880,'単価履歴'!$F:$F,F3880)=O3880,"●","")</f>
        <v/>
      </c>
      <c r="O3880" s="366">
        <v>46072.27533564815</v>
      </c>
      <c r="P3880" s="334" t="str">
        <f t="shared" si="4"/>
        <v>山陽特殊:大同ＨＳ２</v>
      </c>
      <c r="Q3880" s="365"/>
      <c r="R3880" s="365"/>
      <c r="S3880" s="365"/>
      <c r="T3880" s="365"/>
      <c r="U3880" s="365"/>
      <c r="V3880" s="365"/>
      <c r="W3880" s="365"/>
      <c r="X3880" s="365"/>
      <c r="Y3880" s="365"/>
      <c r="Z3880" s="365"/>
      <c r="AA3880" s="365"/>
      <c r="AB3880" s="365"/>
      <c r="AC3880" s="365"/>
      <c r="AD3880" s="365"/>
      <c r="AE3880" s="365"/>
      <c r="AF3880" s="365"/>
    </row>
    <row r="3881" ht="15.75" customHeight="1">
      <c r="A3881" s="367" t="s">
        <v>5028</v>
      </c>
      <c r="B3881" s="368">
        <v>46072.0</v>
      </c>
      <c r="C3881" s="367" t="s">
        <v>12</v>
      </c>
      <c r="D3881" s="367" t="s">
        <v>541</v>
      </c>
      <c r="E3881" s="337" t="str">
        <f t="shared" si="1"/>
        <v>山陽特殊:大同</v>
      </c>
      <c r="F3881" s="369" t="s">
        <v>105</v>
      </c>
      <c r="G3881" s="339" t="str">
        <f t="shared" si="2"/>
        <v>山陽特殊:大同ＨＳ３</v>
      </c>
      <c r="H3881" s="340">
        <f t="shared" si="3"/>
        <v>48</v>
      </c>
      <c r="I3881" s="364">
        <v>0.5</v>
      </c>
      <c r="J3881" s="332">
        <f>IFERROR(__xludf.DUMMYFUNCTION("IF(IF(COUNTIF(P$2:P3880, P3881)=0, """", INDEX(H$2:H3880,
MAX(FILTER(ROW(H$2:H3880) - ROW(H$2) + 1, P$2:P3880 = P3881))))=""単価"","""",
IF(COUNTIF(P$2:P3880, P3881)=0, """", INDEX(H$2:H3880,
MAX(FILTER(ROW(H$2:H3880) - ROW(H$2) + 1, P$2:P3880 = P3881)))))"),47.5)</f>
        <v>47.5</v>
      </c>
      <c r="K3881" s="365"/>
      <c r="L3881" s="365"/>
      <c r="M3881" s="365"/>
      <c r="N3881" s="335" t="str">
        <f>IF(MAXIFS('単価履歴'!$O:$O,'単価履歴'!$E:$E,E3881,'単価履歴'!$F:$F,F3881)=O3881,"●","")</f>
        <v/>
      </c>
      <c r="O3881" s="366">
        <v>46072.27533564815</v>
      </c>
      <c r="P3881" s="334" t="str">
        <f t="shared" si="4"/>
        <v>山陽特殊:大同ＨＳ３</v>
      </c>
      <c r="Q3881" s="365"/>
      <c r="R3881" s="365"/>
      <c r="S3881" s="365"/>
      <c r="T3881" s="365"/>
      <c r="U3881" s="365"/>
      <c r="V3881" s="365"/>
      <c r="W3881" s="365"/>
      <c r="X3881" s="365"/>
      <c r="Y3881" s="365"/>
      <c r="Z3881" s="365"/>
      <c r="AA3881" s="365"/>
      <c r="AB3881" s="365"/>
      <c r="AC3881" s="365"/>
      <c r="AD3881" s="365"/>
      <c r="AE3881" s="365"/>
      <c r="AF3881" s="365"/>
    </row>
    <row r="3882" ht="15.75" customHeight="1">
      <c r="A3882" s="335" t="s">
        <v>5029</v>
      </c>
      <c r="B3882" s="336">
        <v>46072.0</v>
      </c>
      <c r="C3882" s="335" t="s">
        <v>532</v>
      </c>
      <c r="D3882" s="335" t="s">
        <v>77</v>
      </c>
      <c r="E3882" s="337" t="str">
        <f t="shared" si="1"/>
        <v>東鐵岡山:直納</v>
      </c>
      <c r="F3882" s="338" t="s">
        <v>1199</v>
      </c>
      <c r="G3882" s="339" t="str">
        <f t="shared" si="2"/>
        <v>東鐵岡山:直納ＨＳ１(単体H1/電特A/HS))</v>
      </c>
      <c r="H3882" s="340">
        <f t="shared" si="3"/>
        <v>46</v>
      </c>
      <c r="I3882" s="341">
        <v>0.5</v>
      </c>
      <c r="J3882" s="332">
        <f>IFERROR(__xludf.DUMMYFUNCTION("IF(IF(COUNTIF(P$2:P3881, P3882)=0, """", INDEX(H$2:H3881,
MAX(FILTER(ROW(H$2:H3881) - ROW(H$2) + 1, P$2:P3881 = P3882))))=""単価"","""",
IF(COUNTIF(P$2:P3881, P3882)=0, """", INDEX(H$2:H3881,
MAX(FILTER(ROW(H$2:H3881) - ROW(H$2) + 1, P$2:P3881 = P3882)))))"),45.5)</f>
        <v>45.5</v>
      </c>
      <c r="N3882" s="335" t="str">
        <f>IF(MAXIFS('単価履歴'!$O:$O,'単価履歴'!$E:$E,E3882,'単価履歴'!$F:$F,F3882)=O3882,"●","")</f>
        <v/>
      </c>
      <c r="O3882" s="346">
        <v>46072.27579861111</v>
      </c>
      <c r="P3882" s="334" t="str">
        <f t="shared" si="4"/>
        <v>東鐵岡山:直納ＨＳ１(単体H1/電特A/HS))</v>
      </c>
    </row>
    <row r="3883" ht="15.75" customHeight="1">
      <c r="A3883" s="335" t="s">
        <v>5030</v>
      </c>
      <c r="B3883" s="336">
        <v>46072.0</v>
      </c>
      <c r="C3883" s="335" t="s">
        <v>532</v>
      </c>
      <c r="D3883" s="335" t="s">
        <v>77</v>
      </c>
      <c r="E3883" s="337" t="str">
        <f t="shared" si="1"/>
        <v>東鐵岡山:直納</v>
      </c>
      <c r="F3883" s="338" t="s">
        <v>111</v>
      </c>
      <c r="G3883" s="339" t="str">
        <f t="shared" si="2"/>
        <v>東鐵岡山:直納Ｈ１(特A)</v>
      </c>
      <c r="H3883" s="340">
        <f t="shared" si="3"/>
        <v>44.7</v>
      </c>
      <c r="I3883" s="341">
        <v>0.5</v>
      </c>
      <c r="J3883" s="332">
        <f>IFERROR(__xludf.DUMMYFUNCTION("IF(IF(COUNTIF(P$2:P3882, P3883)=0, """", INDEX(H$2:H3882,
MAX(FILTER(ROW(H$2:H3882) - ROW(H$2) + 1, P$2:P3882 = P3883))))=""単価"","""",
IF(COUNTIF(P$2:P3882, P3883)=0, """", INDEX(H$2:H3882,
MAX(FILTER(ROW(H$2:H3882) - ROW(H$2) + 1, P$2:P3882 = P3883)))))"),44.2)</f>
        <v>44.2</v>
      </c>
      <c r="N3883" s="335" t="str">
        <f>IF(MAXIFS('単価履歴'!$O:$O,'単価履歴'!$E:$E,E3883,'単価履歴'!$F:$F,F3883)=O3883,"●","")</f>
        <v/>
      </c>
      <c r="O3883" s="346">
        <v>46072.27579861111</v>
      </c>
      <c r="P3883" s="334" t="str">
        <f t="shared" si="4"/>
        <v>東鐵岡山:直納Ｈ１(特A)</v>
      </c>
    </row>
    <row r="3884" ht="15.75" customHeight="1">
      <c r="A3884" s="335" t="s">
        <v>5031</v>
      </c>
      <c r="B3884" s="336">
        <v>46072.0</v>
      </c>
      <c r="C3884" s="335" t="s">
        <v>532</v>
      </c>
      <c r="D3884" s="335" t="s">
        <v>77</v>
      </c>
      <c r="E3884" s="337" t="str">
        <f t="shared" si="1"/>
        <v>東鐵岡山:直納</v>
      </c>
      <c r="F3884" s="338" t="s">
        <v>116</v>
      </c>
      <c r="G3884" s="339" t="str">
        <f t="shared" si="2"/>
        <v>東鐵岡山:直納Ｈ２(特級)</v>
      </c>
      <c r="H3884" s="340">
        <f t="shared" si="3"/>
        <v>44</v>
      </c>
      <c r="I3884" s="341">
        <v>0.5</v>
      </c>
      <c r="J3884" s="332">
        <f>IFERROR(__xludf.DUMMYFUNCTION("IF(IF(COUNTIF(P$2:P3883, P3884)=0, """", INDEX(H$2:H3883,
MAX(FILTER(ROW(H$2:H3883) - ROW(H$2) + 1, P$2:P3883 = P3884))))=""単価"","""",
IF(COUNTIF(P$2:P3883, P3884)=0, """", INDEX(H$2:H3883,
MAX(FILTER(ROW(H$2:H3883) - ROW(H$2) + 1, P$2:P3883 = P3884)))))"),43.5)</f>
        <v>43.5</v>
      </c>
      <c r="N3884" s="335" t="str">
        <f>IF(MAXIFS('単価履歴'!$O:$O,'単価履歴'!$E:$E,E3884,'単価履歴'!$F:$F,F3884)=O3884,"●","")</f>
        <v/>
      </c>
      <c r="O3884" s="346">
        <v>46072.27579861111</v>
      </c>
      <c r="P3884" s="334" t="str">
        <f t="shared" si="4"/>
        <v>東鐵岡山:直納Ｈ２(特級)</v>
      </c>
    </row>
    <row r="3885" ht="15.75" customHeight="1">
      <c r="A3885" s="335" t="s">
        <v>5032</v>
      </c>
      <c r="B3885" s="336">
        <v>46072.0</v>
      </c>
      <c r="C3885" s="335" t="s">
        <v>532</v>
      </c>
      <c r="D3885" s="335" t="s">
        <v>77</v>
      </c>
      <c r="E3885" s="337" t="str">
        <f t="shared" si="1"/>
        <v>東鐵岡山:直納</v>
      </c>
      <c r="F3885" s="338" t="s">
        <v>119</v>
      </c>
      <c r="G3885" s="339" t="str">
        <f t="shared" si="2"/>
        <v>東鐵岡山:直納Ｈ３(1級)</v>
      </c>
      <c r="H3885" s="340">
        <f t="shared" si="3"/>
        <v>43.5</v>
      </c>
      <c r="I3885" s="341">
        <v>0.5</v>
      </c>
      <c r="J3885" s="332">
        <f>IFERROR(__xludf.DUMMYFUNCTION("IF(IF(COUNTIF(P$2:P3884, P3885)=0, """", INDEX(H$2:H3884,
MAX(FILTER(ROW(H$2:H3884) - ROW(H$2) + 1, P$2:P3884 = P3885))))=""単価"","""",
IF(COUNTIF(P$2:P3884, P3885)=0, """", INDEX(H$2:H3884,
MAX(FILTER(ROW(H$2:H3884) - ROW(H$2) + 1, P$2:P3884 = P3885)))))"),43.0)</f>
        <v>43</v>
      </c>
      <c r="N3885" s="335" t="str">
        <f>IF(MAXIFS('単価履歴'!$O:$O,'単価履歴'!$E:$E,E3885,'単価履歴'!$F:$F,F3885)=O3885,"●","")</f>
        <v/>
      </c>
      <c r="O3885" s="346">
        <v>46072.27579861111</v>
      </c>
      <c r="P3885" s="334" t="str">
        <f t="shared" si="4"/>
        <v>東鐵岡山:直納Ｈ３(1級)</v>
      </c>
    </row>
    <row r="3886" ht="15.75" customHeight="1">
      <c r="A3886" s="335" t="s">
        <v>5033</v>
      </c>
      <c r="B3886" s="336">
        <v>46072.0</v>
      </c>
      <c r="C3886" s="335" t="s">
        <v>532</v>
      </c>
      <c r="D3886" s="335" t="s">
        <v>77</v>
      </c>
      <c r="E3886" s="337" t="str">
        <f t="shared" si="1"/>
        <v>東鐵岡山:直納</v>
      </c>
      <c r="F3886" s="338" t="s">
        <v>122</v>
      </c>
      <c r="G3886" s="339" t="str">
        <f t="shared" si="2"/>
        <v>東鐵岡山:直納Ｌ１(2級)</v>
      </c>
      <c r="H3886" s="340">
        <f t="shared" si="3"/>
        <v>42</v>
      </c>
      <c r="I3886" s="341">
        <v>0.5</v>
      </c>
      <c r="J3886" s="332">
        <f>IFERROR(__xludf.DUMMYFUNCTION("IF(IF(COUNTIF(P$2:P3885, P3886)=0, """", INDEX(H$2:H3885,
MAX(FILTER(ROW(H$2:H3885) - ROW(H$2) + 1, P$2:P3885 = P3886))))=""単価"","""",
IF(COUNTIF(P$2:P3885, P3886)=0, """", INDEX(H$2:H3885,
MAX(FILTER(ROW(H$2:H3885) - ROW(H$2) + 1, P$2:P3885 = P3886)))))"),41.5)</f>
        <v>41.5</v>
      </c>
      <c r="N3886" s="335" t="str">
        <f>IF(MAXIFS('単価履歴'!$O:$O,'単価履歴'!$E:$E,E3886,'単価履歴'!$F:$F,F3886)=O3886,"●","")</f>
        <v/>
      </c>
      <c r="O3886" s="346">
        <v>46072.27579861111</v>
      </c>
      <c r="P3886" s="334" t="str">
        <f t="shared" si="4"/>
        <v>東鐵岡山:直納Ｌ１(2級)</v>
      </c>
    </row>
    <row r="3887" ht="15.75" customHeight="1">
      <c r="A3887" s="335" t="s">
        <v>5034</v>
      </c>
      <c r="B3887" s="336">
        <v>46072.0</v>
      </c>
      <c r="C3887" s="335" t="s">
        <v>532</v>
      </c>
      <c r="D3887" s="335" t="s">
        <v>77</v>
      </c>
      <c r="E3887" s="337" t="str">
        <f t="shared" si="1"/>
        <v>東鐵岡山:直納</v>
      </c>
      <c r="F3887" s="338" t="s">
        <v>573</v>
      </c>
      <c r="G3887" s="339" t="str">
        <f t="shared" si="2"/>
        <v>東鐵岡山:直納Ｌ２(H4･級外･L1ﾊﾞﾗ)</v>
      </c>
      <c r="H3887" s="340">
        <f t="shared" si="3"/>
        <v>39</v>
      </c>
      <c r="I3887" s="341">
        <v>0.5</v>
      </c>
      <c r="J3887" s="332">
        <f>IFERROR(__xludf.DUMMYFUNCTION("IF(IF(COUNTIF(P$2:P3886, P3887)=0, """", INDEX(H$2:H3886,
MAX(FILTER(ROW(H$2:H3886) - ROW(H$2) + 1, P$2:P3886 = P3887))))=""単価"","""",
IF(COUNTIF(P$2:P3886, P3887)=0, """", INDEX(H$2:H3886,
MAX(FILTER(ROW(H$2:H3886) - ROW(H$2) + 1, P$2:P3886 = P3887)))))"),38.5)</f>
        <v>38.5</v>
      </c>
      <c r="N3887" s="335" t="str">
        <f>IF(MAXIFS('単価履歴'!$O:$O,'単価履歴'!$E:$E,E3887,'単価履歴'!$F:$F,F3887)=O3887,"●","")</f>
        <v/>
      </c>
      <c r="O3887" s="346">
        <v>46072.27579861111</v>
      </c>
      <c r="P3887" s="334" t="str">
        <f t="shared" si="4"/>
        <v>東鐵岡山:直納Ｌ２(H4･級外･L1ﾊﾞﾗ)</v>
      </c>
    </row>
    <row r="3888" ht="15.75" customHeight="1">
      <c r="A3888" s="335" t="s">
        <v>5035</v>
      </c>
      <c r="B3888" s="336">
        <v>46072.0</v>
      </c>
      <c r="C3888" s="335" t="s">
        <v>532</v>
      </c>
      <c r="D3888" s="335" t="s">
        <v>77</v>
      </c>
      <c r="E3888" s="337" t="str">
        <f t="shared" si="1"/>
        <v>東鐵岡山:直納</v>
      </c>
      <c r="F3888" s="338" t="s">
        <v>145</v>
      </c>
      <c r="G3888" s="339" t="str">
        <f t="shared" si="2"/>
        <v>東鐵岡山:直納シュレＡ</v>
      </c>
      <c r="H3888" s="340">
        <f t="shared" si="3"/>
        <v>44.5</v>
      </c>
      <c r="I3888" s="341">
        <v>0.5</v>
      </c>
      <c r="J3888" s="332">
        <f>IFERROR(__xludf.DUMMYFUNCTION("IF(IF(COUNTIF(P$2:P3887, P3888)=0, """", INDEX(H$2:H3887,
MAX(FILTER(ROW(H$2:H3887) - ROW(H$2) + 1, P$2:P3887 = P3888))))=""単価"","""",
IF(COUNTIF(P$2:P3887, P3888)=0, """", INDEX(H$2:H3887,
MAX(FILTER(ROW(H$2:H3887) - ROW(H$2) + 1, P$2:P3887 = P3888)))))"),44.0)</f>
        <v>44</v>
      </c>
      <c r="N3888" s="335" t="str">
        <f>IF(MAXIFS('単価履歴'!$O:$O,'単価履歴'!$E:$E,E3888,'単価履歴'!$F:$F,F3888)=O3888,"●","")</f>
        <v/>
      </c>
      <c r="O3888" s="346">
        <v>46072.27579861111</v>
      </c>
      <c r="P3888" s="334" t="str">
        <f t="shared" si="4"/>
        <v>東鐵岡山:直納シュレＡ</v>
      </c>
    </row>
    <row r="3889" ht="15.75" customHeight="1">
      <c r="A3889" s="335" t="s">
        <v>5036</v>
      </c>
      <c r="B3889" s="336">
        <v>46072.0</v>
      </c>
      <c r="C3889" s="335" t="s">
        <v>532</v>
      </c>
      <c r="D3889" s="335" t="s">
        <v>77</v>
      </c>
      <c r="E3889" s="337" t="str">
        <f t="shared" si="1"/>
        <v>東鐵岡山:直納</v>
      </c>
      <c r="F3889" s="338" t="s">
        <v>151</v>
      </c>
      <c r="G3889" s="339" t="str">
        <f t="shared" si="2"/>
        <v>東鐵岡山:直納シュレＣ</v>
      </c>
      <c r="H3889" s="340">
        <f t="shared" si="3"/>
        <v>44</v>
      </c>
      <c r="I3889" s="341">
        <v>0.5</v>
      </c>
      <c r="J3889" s="332">
        <f>IFERROR(__xludf.DUMMYFUNCTION("IF(IF(COUNTIF(P$2:P3888, P3889)=0, """", INDEX(H$2:H3888,
MAX(FILTER(ROW(H$2:H3888) - ROW(H$2) + 1, P$2:P3888 = P3889))))=""単価"","""",
IF(COUNTIF(P$2:P3888, P3889)=0, """", INDEX(H$2:H3888,
MAX(FILTER(ROW(H$2:H3888) - ROW(H$2) + 1, P$2:P3888 = P3889)))))"),43.5)</f>
        <v>43.5</v>
      </c>
      <c r="N3889" s="335" t="str">
        <f>IF(MAXIFS('単価履歴'!$O:$O,'単価履歴'!$E:$E,E3889,'単価履歴'!$F:$F,F3889)=O3889,"●","")</f>
        <v/>
      </c>
      <c r="O3889" s="346">
        <v>46072.27579861111</v>
      </c>
      <c r="P3889" s="334" t="str">
        <f t="shared" si="4"/>
        <v>東鐵岡山:直納シュレＣ</v>
      </c>
    </row>
    <row r="3890" ht="15.75" customHeight="1">
      <c r="A3890" s="335" t="s">
        <v>5037</v>
      </c>
      <c r="B3890" s="336">
        <v>46072.0</v>
      </c>
      <c r="C3890" s="335" t="s">
        <v>532</v>
      </c>
      <c r="D3890" s="335" t="s">
        <v>77</v>
      </c>
      <c r="E3890" s="337" t="str">
        <f t="shared" si="1"/>
        <v>東鐵岡山:直納</v>
      </c>
      <c r="F3890" s="338" t="s">
        <v>130</v>
      </c>
      <c r="G3890" s="339" t="str">
        <f t="shared" si="2"/>
        <v>東鐵岡山:直納新断Ａ</v>
      </c>
      <c r="H3890" s="340">
        <f t="shared" si="3"/>
        <v>45</v>
      </c>
      <c r="I3890" s="341">
        <v>0.5</v>
      </c>
      <c r="J3890" s="332">
        <f>IFERROR(__xludf.DUMMYFUNCTION("IF(IF(COUNTIF(P$2:P3889, P3890)=0, """", INDEX(H$2:H3889,
MAX(FILTER(ROW(H$2:H3889) - ROW(H$2) + 1, P$2:P3889 = P3890))))=""単価"","""",
IF(COUNTIF(P$2:P3889, P3890)=0, """", INDEX(H$2:H3889,
MAX(FILTER(ROW(H$2:H3889) - ROW(H$2) + 1, P$2:P3889 = P3890)))))"),44.5)</f>
        <v>44.5</v>
      </c>
      <c r="N3890" s="335" t="str">
        <f>IF(MAXIFS('単価履歴'!$O:$O,'単価履歴'!$E:$E,E3890,'単価履歴'!$F:$F,F3890)=O3890,"●","")</f>
        <v/>
      </c>
      <c r="O3890" s="346">
        <v>46072.27579861111</v>
      </c>
      <c r="P3890" s="334" t="str">
        <f t="shared" si="4"/>
        <v>東鐵岡山:直納新断Ａ</v>
      </c>
    </row>
    <row r="3891" ht="15.75" customHeight="1">
      <c r="A3891" s="335" t="s">
        <v>5038</v>
      </c>
      <c r="B3891" s="336">
        <v>46072.0</v>
      </c>
      <c r="C3891" s="335" t="s">
        <v>532</v>
      </c>
      <c r="D3891" s="335" t="s">
        <v>77</v>
      </c>
      <c r="E3891" s="337" t="str">
        <f t="shared" si="1"/>
        <v>東鐵岡山:直納</v>
      </c>
      <c r="F3891" s="338" t="s">
        <v>131</v>
      </c>
      <c r="G3891" s="339" t="str">
        <f t="shared" si="2"/>
        <v>東鐵岡山:直納新断Ｂ</v>
      </c>
      <c r="H3891" s="340">
        <f t="shared" si="3"/>
        <v>45</v>
      </c>
      <c r="I3891" s="341">
        <v>0.5</v>
      </c>
      <c r="J3891" s="332">
        <f>IFERROR(__xludf.DUMMYFUNCTION("IF(IF(COUNTIF(P$2:P3890, P3891)=0, """", INDEX(H$2:H3890,
MAX(FILTER(ROW(H$2:H3890) - ROW(H$2) + 1, P$2:P3890 = P3891))))=""単価"","""",
IF(COUNTIF(P$2:P3890, P3891)=0, """", INDEX(H$2:H3890,
MAX(FILTER(ROW(H$2:H3890) - ROW(H$2) + 1, P$2:P3890 = P3891)))))"),44.5)</f>
        <v>44.5</v>
      </c>
      <c r="N3891" s="335" t="str">
        <f>IF(MAXIFS('単価履歴'!$O:$O,'単価履歴'!$E:$E,E3891,'単価履歴'!$F:$F,F3891)=O3891,"●","")</f>
        <v/>
      </c>
      <c r="O3891" s="346">
        <v>46072.27579861111</v>
      </c>
      <c r="P3891" s="334" t="str">
        <f t="shared" si="4"/>
        <v>東鐵岡山:直納新断Ｂ</v>
      </c>
    </row>
    <row r="3892" ht="15.75" customHeight="1">
      <c r="A3892" s="335" t="s">
        <v>5039</v>
      </c>
      <c r="B3892" s="336">
        <v>46072.0</v>
      </c>
      <c r="C3892" s="335" t="s">
        <v>532</v>
      </c>
      <c r="D3892" s="335" t="s">
        <v>77</v>
      </c>
      <c r="E3892" s="337" t="str">
        <f t="shared" si="1"/>
        <v>東鐵岡山:直納</v>
      </c>
      <c r="F3892" s="338" t="s">
        <v>154</v>
      </c>
      <c r="G3892" s="339" t="str">
        <f t="shared" si="2"/>
        <v>東鐵岡山:直納ＣＰ Ａ</v>
      </c>
      <c r="H3892" s="340">
        <f t="shared" si="3"/>
        <v>42.5</v>
      </c>
      <c r="I3892" s="341">
        <v>0.5</v>
      </c>
      <c r="J3892" s="332">
        <f>IFERROR(__xludf.DUMMYFUNCTION("IF(IF(COUNTIF(P$2:P3891, P3892)=0, """", INDEX(H$2:H3891,
MAX(FILTER(ROW(H$2:H3891) - ROW(H$2) + 1, P$2:P3891 = P3892))))=""単価"","""",
IF(COUNTIF(P$2:P3891, P3892)=0, """", INDEX(H$2:H3891,
MAX(FILTER(ROW(H$2:H3891) - ROW(H$2) + 1, P$2:P3891 = P3892)))))"),42.0)</f>
        <v>42</v>
      </c>
      <c r="N3892" s="335" t="str">
        <f>IF(MAXIFS('単価履歴'!$O:$O,'単価履歴'!$E:$E,E3892,'単価履歴'!$F:$F,F3892)=O3892,"●","")</f>
        <v/>
      </c>
      <c r="O3892" s="346">
        <v>46072.27579861111</v>
      </c>
      <c r="P3892" s="334" t="str">
        <f t="shared" si="4"/>
        <v>東鐵岡山:直納ＣＰ Ａ</v>
      </c>
    </row>
    <row r="3893" ht="15.75" customHeight="1">
      <c r="A3893" s="335" t="s">
        <v>5040</v>
      </c>
      <c r="B3893" s="336">
        <v>46072.0</v>
      </c>
      <c r="C3893" s="335" t="s">
        <v>28</v>
      </c>
      <c r="D3893" s="335" t="s">
        <v>52</v>
      </c>
      <c r="E3893" s="337" t="str">
        <f t="shared" si="1"/>
        <v>ＪＦＥ条鋼:リバイブ</v>
      </c>
      <c r="F3893" s="338" t="s">
        <v>111</v>
      </c>
      <c r="G3893" s="339" t="str">
        <f t="shared" si="2"/>
        <v>ＪＦＥ条鋼:リバイブＨ１(特A)</v>
      </c>
      <c r="H3893" s="340">
        <f t="shared" si="3"/>
        <v>45.5</v>
      </c>
      <c r="I3893" s="341">
        <v>1.0</v>
      </c>
      <c r="J3893" s="332">
        <f>IFERROR(__xludf.DUMMYFUNCTION("IF(IF(COUNTIF(P$2:P3892, P3893)=0, """", INDEX(H$2:H3892,
MAX(FILTER(ROW(H$2:H3892) - ROW(H$2) + 1, P$2:P3892 = P3893))))=""単価"","""",
IF(COUNTIF(P$2:P3892, P3893)=0, """", INDEX(H$2:H3892,
MAX(FILTER(ROW(H$2:H3892) - ROW(H$2) + 1, P$2:P3892 = P3893)))))"),44.5)</f>
        <v>44.5</v>
      </c>
      <c r="N3893" s="335" t="str">
        <f>IF(MAXIFS('単価履歴'!$O:$O,'単価履歴'!$E:$E,E3893,'単価履歴'!$F:$F,F3893)=O3893,"●","")</f>
        <v/>
      </c>
      <c r="O3893" s="346">
        <v>46072.36777777778</v>
      </c>
      <c r="P3893" s="334" t="str">
        <f t="shared" si="4"/>
        <v>ＪＦＥ条鋼:リバイブＨ１(特A)</v>
      </c>
    </row>
    <row r="3894" ht="15.75" customHeight="1">
      <c r="A3894" s="335" t="s">
        <v>5041</v>
      </c>
      <c r="B3894" s="336">
        <v>46072.0</v>
      </c>
      <c r="C3894" s="335" t="s">
        <v>28</v>
      </c>
      <c r="D3894" s="335" t="s">
        <v>52</v>
      </c>
      <c r="E3894" s="337" t="str">
        <f t="shared" si="1"/>
        <v>ＪＦＥ条鋼:リバイブ</v>
      </c>
      <c r="F3894" s="338" t="s">
        <v>116</v>
      </c>
      <c r="G3894" s="339" t="str">
        <f t="shared" si="2"/>
        <v>ＪＦＥ条鋼:リバイブＨ２(特級)</v>
      </c>
      <c r="H3894" s="340">
        <f t="shared" si="3"/>
        <v>45.5</v>
      </c>
      <c r="I3894" s="341">
        <v>1.0</v>
      </c>
      <c r="J3894" s="332">
        <f>IFERROR(__xludf.DUMMYFUNCTION("IF(IF(COUNTIF(P$2:P3893, P3894)=0, """", INDEX(H$2:H3893,
MAX(FILTER(ROW(H$2:H3893) - ROW(H$2) + 1, P$2:P3893 = P3894))))=""単価"","""",
IF(COUNTIF(P$2:P3893, P3894)=0, """", INDEX(H$2:H3893,
MAX(FILTER(ROW(H$2:H3893) - ROW(H$2) + 1, P$2:P3893 = P3894)))))"),44.5)</f>
        <v>44.5</v>
      </c>
      <c r="N3894" s="335" t="str">
        <f>IF(MAXIFS('単価履歴'!$O:$O,'単価履歴'!$E:$E,E3894,'単価履歴'!$F:$F,F3894)=O3894,"●","")</f>
        <v/>
      </c>
      <c r="O3894" s="346">
        <v>46072.36777777778</v>
      </c>
      <c r="P3894" s="334" t="str">
        <f t="shared" si="4"/>
        <v>ＪＦＥ条鋼:リバイブＨ２(特級)</v>
      </c>
    </row>
    <row r="3895" ht="15.75" customHeight="1">
      <c r="A3895" s="335" t="s">
        <v>5042</v>
      </c>
      <c r="B3895" s="336">
        <v>46072.0</v>
      </c>
      <c r="C3895" s="335" t="s">
        <v>28</v>
      </c>
      <c r="D3895" s="335" t="s">
        <v>52</v>
      </c>
      <c r="E3895" s="337" t="str">
        <f t="shared" si="1"/>
        <v>ＪＦＥ条鋼:リバイブ</v>
      </c>
      <c r="F3895" s="338" t="s">
        <v>119</v>
      </c>
      <c r="G3895" s="339" t="str">
        <f t="shared" si="2"/>
        <v>ＪＦＥ条鋼:リバイブＨ３(1級)</v>
      </c>
      <c r="H3895" s="340">
        <f t="shared" si="3"/>
        <v>44.5</v>
      </c>
      <c r="I3895" s="341">
        <v>1.0</v>
      </c>
      <c r="J3895" s="332">
        <f>IFERROR(__xludf.DUMMYFUNCTION("IF(IF(COUNTIF(P$2:P3894, P3895)=0, """", INDEX(H$2:H3894,
MAX(FILTER(ROW(H$2:H3894) - ROW(H$2) + 1, P$2:P3894 = P3895))))=""単価"","""",
IF(COUNTIF(P$2:P3894, P3895)=0, """", INDEX(H$2:H3894,
MAX(FILTER(ROW(H$2:H3894) - ROW(H$2) + 1, P$2:P3894 = P3895)))))"),43.5)</f>
        <v>43.5</v>
      </c>
      <c r="N3895" s="335" t="str">
        <f>IF(MAXIFS('単価履歴'!$O:$O,'単価履歴'!$E:$E,E3895,'単価履歴'!$F:$F,F3895)=O3895,"●","")</f>
        <v/>
      </c>
      <c r="O3895" s="346">
        <v>46072.36777777778</v>
      </c>
      <c r="P3895" s="334" t="str">
        <f t="shared" si="4"/>
        <v>ＪＦＥ条鋼:リバイブＨ３(1級)</v>
      </c>
    </row>
    <row r="3896" ht="15.75" customHeight="1">
      <c r="A3896" s="335" t="s">
        <v>5043</v>
      </c>
      <c r="B3896" s="336">
        <v>46072.0</v>
      </c>
      <c r="C3896" s="335" t="s">
        <v>28</v>
      </c>
      <c r="D3896" s="335" t="s">
        <v>52</v>
      </c>
      <c r="E3896" s="337" t="str">
        <f t="shared" si="1"/>
        <v>ＪＦＥ条鋼:リバイブ</v>
      </c>
      <c r="F3896" s="338" t="s">
        <v>122</v>
      </c>
      <c r="G3896" s="339" t="str">
        <f t="shared" si="2"/>
        <v>ＪＦＥ条鋼:リバイブＬ１(2級)</v>
      </c>
      <c r="H3896" s="340">
        <f t="shared" si="3"/>
        <v>41.5</v>
      </c>
      <c r="I3896" s="341">
        <v>1.0</v>
      </c>
      <c r="J3896" s="332">
        <f>IFERROR(__xludf.DUMMYFUNCTION("IF(IF(COUNTIF(P$2:P3895, P3896)=0, """", INDEX(H$2:H3895,
MAX(FILTER(ROW(H$2:H3895) - ROW(H$2) + 1, P$2:P3895 = P3896))))=""単価"","""",
IF(COUNTIF(P$2:P3895, P3896)=0, """", INDEX(H$2:H3895,
MAX(FILTER(ROW(H$2:H3895) - ROW(H$2) + 1, P$2:P3895 = P3896)))))"),40.5)</f>
        <v>40.5</v>
      </c>
      <c r="N3896" s="335" t="str">
        <f>IF(MAXIFS('単価履歴'!$O:$O,'単価履歴'!$E:$E,E3896,'単価履歴'!$F:$F,F3896)=O3896,"●","")</f>
        <v/>
      </c>
      <c r="O3896" s="346">
        <v>46072.36777777778</v>
      </c>
      <c r="P3896" s="334" t="str">
        <f t="shared" si="4"/>
        <v>ＪＦＥ条鋼:リバイブＬ１(2級)</v>
      </c>
    </row>
    <row r="3897" ht="15.75" customHeight="1">
      <c r="A3897" s="335" t="s">
        <v>5044</v>
      </c>
      <c r="B3897" s="336">
        <v>46072.0</v>
      </c>
      <c r="C3897" s="335" t="s">
        <v>28</v>
      </c>
      <c r="D3897" s="335" t="s">
        <v>52</v>
      </c>
      <c r="E3897" s="337" t="str">
        <f t="shared" si="1"/>
        <v>ＪＦＥ条鋼:リバイブ</v>
      </c>
      <c r="F3897" s="338" t="s">
        <v>573</v>
      </c>
      <c r="G3897" s="339" t="str">
        <f t="shared" si="2"/>
        <v>ＪＦＥ条鋼:リバイブＬ２(H4･級外･L1ﾊﾞﾗ)</v>
      </c>
      <c r="H3897" s="340">
        <f t="shared" si="3"/>
        <v>34.5</v>
      </c>
      <c r="I3897" s="341">
        <v>1.0</v>
      </c>
      <c r="J3897" s="332">
        <f>IFERROR(__xludf.DUMMYFUNCTION("IF(IF(COUNTIF(P$2:P3896, P3897)=0, """", INDEX(H$2:H3896,
MAX(FILTER(ROW(H$2:H3896) - ROW(H$2) + 1, P$2:P3896 = P3897))))=""単価"","""",
IF(COUNTIF(P$2:P3896, P3897)=0, """", INDEX(H$2:H3896,
MAX(FILTER(ROW(H$2:H3896) - ROW(H$2) + 1, P$2:P3896 = P3897)))))"),33.5)</f>
        <v>33.5</v>
      </c>
      <c r="N3897" s="335" t="str">
        <f>IF(MAXIFS('単価履歴'!$O:$O,'単価履歴'!$E:$E,E3897,'単価履歴'!$F:$F,F3897)=O3897,"●","")</f>
        <v/>
      </c>
      <c r="O3897" s="346">
        <v>46072.36777777778</v>
      </c>
      <c r="P3897" s="334" t="str">
        <f t="shared" si="4"/>
        <v>ＪＦＥ条鋼:リバイブＬ２(H4･級外･L1ﾊﾞﾗ)</v>
      </c>
    </row>
    <row r="3898" ht="15.75" customHeight="1">
      <c r="A3898" s="335" t="s">
        <v>5045</v>
      </c>
      <c r="B3898" s="336">
        <v>46072.0</v>
      </c>
      <c r="C3898" s="335" t="s">
        <v>28</v>
      </c>
      <c r="D3898" s="335" t="s">
        <v>52</v>
      </c>
      <c r="E3898" s="337" t="str">
        <f t="shared" si="1"/>
        <v>ＪＦＥ条鋼:リバイブ</v>
      </c>
      <c r="F3898" s="338" t="s">
        <v>575</v>
      </c>
      <c r="G3898" s="339" t="str">
        <f t="shared" si="2"/>
        <v>ＪＦＥ条鋼:リバイブ鋼ダライＡ</v>
      </c>
      <c r="H3898" s="340">
        <f t="shared" si="3"/>
        <v>39.5</v>
      </c>
      <c r="I3898" s="341">
        <v>0.5</v>
      </c>
      <c r="J3898" s="332">
        <f>IFERROR(__xludf.DUMMYFUNCTION("IF(IF(COUNTIF(P$2:P3897, P3898)=0, """", INDEX(H$2:H3897,
MAX(FILTER(ROW(H$2:H3897) - ROW(H$2) + 1, P$2:P3897 = P3898))))=""単価"","""",
IF(COUNTIF(P$2:P3897, P3898)=0, """", INDEX(H$2:H3897,
MAX(FILTER(ROW(H$2:H3897) - ROW(H$2) + 1, P$2:P3897 = P3898)))))"),39.0)</f>
        <v>39</v>
      </c>
      <c r="N3898" s="335" t="str">
        <f>IF(MAXIFS('単価履歴'!$O:$O,'単価履歴'!$E:$E,E3898,'単価履歴'!$F:$F,F3898)=O3898,"●","")</f>
        <v/>
      </c>
      <c r="O3898" s="346">
        <v>46072.36851851852</v>
      </c>
      <c r="P3898" s="334" t="str">
        <f t="shared" si="4"/>
        <v>ＪＦＥ条鋼:リバイブ鋼ダライＡ</v>
      </c>
    </row>
    <row r="3899" ht="15.75" customHeight="1">
      <c r="A3899" s="335" t="s">
        <v>5046</v>
      </c>
      <c r="B3899" s="336">
        <v>46072.0</v>
      </c>
      <c r="C3899" s="335" t="s">
        <v>28</v>
      </c>
      <c r="D3899" s="335" t="s">
        <v>52</v>
      </c>
      <c r="E3899" s="337" t="str">
        <f t="shared" si="1"/>
        <v>ＪＦＥ条鋼:リバイブ</v>
      </c>
      <c r="F3899" s="338" t="s">
        <v>154</v>
      </c>
      <c r="G3899" s="339" t="str">
        <f t="shared" si="2"/>
        <v>ＪＦＥ条鋼:リバイブＣＰ Ａ</v>
      </c>
      <c r="H3899" s="340">
        <f t="shared" si="3"/>
        <v>46.5</v>
      </c>
      <c r="I3899" s="341">
        <v>0.5</v>
      </c>
      <c r="J3899" s="332">
        <f>IFERROR(__xludf.DUMMYFUNCTION("IF(IF(COUNTIF(P$2:P3898, P3899)=0, """", INDEX(H$2:H3898,
MAX(FILTER(ROW(H$2:H3898) - ROW(H$2) + 1, P$2:P3898 = P3899))))=""単価"","""",
IF(COUNTIF(P$2:P3898, P3899)=0, """", INDEX(H$2:H3898,
MAX(FILTER(ROW(H$2:H3898) - ROW(H$2) + 1, P$2:P3898 = P3899)))))"),46.0)</f>
        <v>46</v>
      </c>
      <c r="N3899" s="335" t="str">
        <f>IF(MAXIFS('単価履歴'!$O:$O,'単価履歴'!$E:$E,E3899,'単価履歴'!$F:$F,F3899)=O3899,"●","")</f>
        <v/>
      </c>
      <c r="O3899" s="346">
        <v>46072.36851851852</v>
      </c>
      <c r="P3899" s="334" t="str">
        <f t="shared" si="4"/>
        <v>ＪＦＥ条鋼:リバイブＣＰ Ａ</v>
      </c>
    </row>
    <row r="3900" ht="15.75" customHeight="1">
      <c r="A3900" s="335" t="s">
        <v>5047</v>
      </c>
      <c r="B3900" s="336">
        <v>46072.0</v>
      </c>
      <c r="C3900" s="335" t="s">
        <v>36</v>
      </c>
      <c r="D3900" s="335" t="s">
        <v>1303</v>
      </c>
      <c r="E3900" s="337" t="str">
        <f t="shared" si="1"/>
        <v>共英枚方:ナベ/置場単価</v>
      </c>
      <c r="F3900" s="338" t="s">
        <v>111</v>
      </c>
      <c r="G3900" s="339" t="str">
        <f t="shared" si="2"/>
        <v>共英枚方:ナベ/置場単価Ｈ１(特A)</v>
      </c>
      <c r="H3900" s="340">
        <f t="shared" si="3"/>
        <v>44</v>
      </c>
      <c r="I3900" s="341">
        <v>1.5</v>
      </c>
      <c r="J3900" s="332">
        <f>IFERROR(__xludf.DUMMYFUNCTION("IF(IF(COUNTIF(P$2:P3899, P3900)=0, """", INDEX(H$2:H3899,
MAX(FILTER(ROW(H$2:H3899) - ROW(H$2) + 1, P$2:P3899 = P3900))))=""単価"","""",
IF(COUNTIF(P$2:P3899, P3900)=0, """", INDEX(H$2:H3899,
MAX(FILTER(ROW(H$2:H3899) - ROW(H$2) + 1, P$2:P3899 = P3900)))))"),42.5)</f>
        <v>42.5</v>
      </c>
      <c r="N3900" s="335" t="str">
        <f>IF(MAXIFS('単価履歴'!$O:$O,'単価履歴'!$E:$E,E3900,'単価履歴'!$F:$F,F3900)=O3900,"●","")</f>
        <v/>
      </c>
      <c r="O3900" s="346">
        <v>46072.37646990741</v>
      </c>
      <c r="P3900" s="334" t="str">
        <f t="shared" si="4"/>
        <v>共英枚方:ナベ/置場単価Ｈ１(特A)</v>
      </c>
    </row>
    <row r="3901" ht="15.75" customHeight="1">
      <c r="A3901" s="335" t="s">
        <v>5048</v>
      </c>
      <c r="B3901" s="336">
        <v>46072.0</v>
      </c>
      <c r="C3901" s="335" t="s">
        <v>36</v>
      </c>
      <c r="D3901" s="335" t="s">
        <v>1303</v>
      </c>
      <c r="E3901" s="337" t="str">
        <f t="shared" si="1"/>
        <v>共英枚方:ナベ/置場単価</v>
      </c>
      <c r="F3901" s="338" t="s">
        <v>116</v>
      </c>
      <c r="G3901" s="339" t="str">
        <f t="shared" si="2"/>
        <v>共英枚方:ナベ/置場単価Ｈ２(特級)</v>
      </c>
      <c r="H3901" s="340">
        <f t="shared" si="3"/>
        <v>42.5</v>
      </c>
      <c r="I3901" s="341">
        <v>2.0</v>
      </c>
      <c r="J3901" s="332">
        <f>IFERROR(__xludf.DUMMYFUNCTION("IF(IF(COUNTIF(P$2:P3900, P3901)=0, """", INDEX(H$2:H3900,
MAX(FILTER(ROW(H$2:H3900) - ROW(H$2) + 1, P$2:P3900 = P3901))))=""単価"","""",
IF(COUNTIF(P$2:P3900, P3901)=0, """", INDEX(H$2:H3900,
MAX(FILTER(ROW(H$2:H3900) - ROW(H$2) + 1, P$2:P3900 = P3901)))))"),40.5)</f>
        <v>40.5</v>
      </c>
      <c r="N3901" s="335" t="str">
        <f>IF(MAXIFS('単価履歴'!$O:$O,'単価履歴'!$E:$E,E3901,'単価履歴'!$F:$F,F3901)=O3901,"●","")</f>
        <v/>
      </c>
      <c r="O3901" s="346">
        <v>46072.376655092594</v>
      </c>
      <c r="P3901" s="334" t="str">
        <f t="shared" si="4"/>
        <v>共英枚方:ナベ/置場単価Ｈ２(特級)</v>
      </c>
    </row>
    <row r="3902" ht="15.75" customHeight="1">
      <c r="A3902" s="335" t="s">
        <v>5049</v>
      </c>
      <c r="B3902" s="336">
        <v>46072.0</v>
      </c>
      <c r="C3902" s="335" t="s">
        <v>36</v>
      </c>
      <c r="D3902" s="335" t="s">
        <v>1303</v>
      </c>
      <c r="E3902" s="337" t="str">
        <f t="shared" si="1"/>
        <v>共英枚方:ナベ/置場単価</v>
      </c>
      <c r="F3902" s="338" t="s">
        <v>119</v>
      </c>
      <c r="G3902" s="339" t="str">
        <f t="shared" si="2"/>
        <v>共英枚方:ナベ/置場単価Ｈ３(1級)</v>
      </c>
      <c r="H3902" s="340">
        <f t="shared" si="3"/>
        <v>42.5</v>
      </c>
      <c r="I3902" s="341">
        <v>2.5</v>
      </c>
      <c r="J3902" s="332">
        <f>IFERROR(__xludf.DUMMYFUNCTION("IF(IF(COUNTIF(P$2:P3901, P3902)=0, """", INDEX(H$2:H3901,
MAX(FILTER(ROW(H$2:H3901) - ROW(H$2) + 1, P$2:P3901 = P3902))))=""単価"","""",
IF(COUNTIF(P$2:P3901, P3902)=0, """", INDEX(H$2:H3901,
MAX(FILTER(ROW(H$2:H3901) - ROW(H$2) + 1, P$2:P3901 = P3902)))))"),40.0)</f>
        <v>40</v>
      </c>
      <c r="N3902" s="335" t="str">
        <f>IF(MAXIFS('単価履歴'!$O:$O,'単価履歴'!$E:$E,E3902,'単価履歴'!$F:$F,F3902)=O3902,"●","")</f>
        <v/>
      </c>
      <c r="O3902" s="346">
        <v>46072.376921296294</v>
      </c>
      <c r="P3902" s="334" t="str">
        <f t="shared" si="4"/>
        <v>共英枚方:ナベ/置場単価Ｈ３(1級)</v>
      </c>
    </row>
    <row r="3903" ht="15.75" customHeight="1">
      <c r="A3903" s="335" t="s">
        <v>5050</v>
      </c>
      <c r="B3903" s="336">
        <v>46072.0</v>
      </c>
      <c r="C3903" s="335" t="s">
        <v>36</v>
      </c>
      <c r="D3903" s="335" t="s">
        <v>1303</v>
      </c>
      <c r="E3903" s="337" t="str">
        <f t="shared" si="1"/>
        <v>共英枚方:ナベ/置場単価</v>
      </c>
      <c r="F3903" s="338" t="s">
        <v>122</v>
      </c>
      <c r="G3903" s="339" t="str">
        <f t="shared" si="2"/>
        <v>共英枚方:ナベ/置場単価Ｌ１(2級)</v>
      </c>
      <c r="H3903" s="340">
        <f t="shared" si="3"/>
        <v>42.5</v>
      </c>
      <c r="I3903" s="341">
        <v>3.0</v>
      </c>
      <c r="J3903" s="332">
        <f>IFERROR(__xludf.DUMMYFUNCTION("IF(IF(COUNTIF(P$2:P3902, P3903)=0, """", INDEX(H$2:H3902,
MAX(FILTER(ROW(H$2:H3902) - ROW(H$2) + 1, P$2:P3902 = P3903))))=""単価"","""",
IF(COUNTIF(P$2:P3902, P3903)=0, """", INDEX(H$2:H3902,
MAX(FILTER(ROW(H$2:H3902) - ROW(H$2) + 1, P$2:P3902 = P3903)))))"),39.5)</f>
        <v>39.5</v>
      </c>
      <c r="N3903" s="335" t="str">
        <f>IF(MAXIFS('単価履歴'!$O:$O,'単価履歴'!$E:$E,E3903,'単価履歴'!$F:$F,F3903)=O3903,"●","")</f>
        <v/>
      </c>
      <c r="O3903" s="346">
        <v>46072.37709490741</v>
      </c>
      <c r="P3903" s="334" t="str">
        <f t="shared" si="4"/>
        <v>共英枚方:ナベ/置場単価Ｌ１(2級)</v>
      </c>
    </row>
    <row r="3904" ht="15.75" customHeight="1">
      <c r="A3904" s="335" t="s">
        <v>5051</v>
      </c>
      <c r="B3904" s="336">
        <v>46073.0</v>
      </c>
      <c r="C3904" s="335" t="s">
        <v>14</v>
      </c>
      <c r="D3904" s="335" t="s">
        <v>46</v>
      </c>
      <c r="E3904" s="337" t="str">
        <f t="shared" si="1"/>
        <v>愛知:阪和</v>
      </c>
      <c r="F3904" s="338" t="s">
        <v>130</v>
      </c>
      <c r="G3904" s="339" t="str">
        <f t="shared" si="2"/>
        <v>愛知:阪和新断Ａ</v>
      </c>
      <c r="H3904" s="340">
        <f t="shared" si="3"/>
        <v>47.5</v>
      </c>
      <c r="I3904" s="341">
        <v>1.0</v>
      </c>
      <c r="J3904" s="332">
        <f>IFERROR(__xludf.DUMMYFUNCTION("IF(IF(COUNTIF(P$2:P3903, P3904)=0, """", INDEX(H$2:H3903,
MAX(FILTER(ROW(H$2:H3903) - ROW(H$2) + 1, P$2:P3903 = P3904))))=""単価"","""",
IF(COUNTIF(P$2:P3903, P3904)=0, """", INDEX(H$2:H3903,
MAX(FILTER(ROW(H$2:H3903) - ROW(H$2) + 1, P$2:P3903 = P3904)))))"),46.5)</f>
        <v>46.5</v>
      </c>
      <c r="N3904" s="335" t="str">
        <f>IF(MAXIFS('単価履歴'!$O:$O,'単価履歴'!$E:$E,E3904,'単価履歴'!$F:$F,F3904)=O3904,"●","")</f>
        <v/>
      </c>
      <c r="O3904" s="346">
        <v>46072.787939814814</v>
      </c>
      <c r="P3904" s="334" t="str">
        <f t="shared" si="4"/>
        <v>愛知:阪和新断Ａ</v>
      </c>
    </row>
    <row r="3905" ht="15.75" customHeight="1">
      <c r="A3905" s="335" t="s">
        <v>5052</v>
      </c>
      <c r="B3905" s="336">
        <v>46073.0</v>
      </c>
      <c r="C3905" s="335" t="s">
        <v>14</v>
      </c>
      <c r="D3905" s="335" t="s">
        <v>46</v>
      </c>
      <c r="E3905" s="337" t="str">
        <f t="shared" si="1"/>
        <v>愛知:阪和</v>
      </c>
      <c r="F3905" s="338" t="s">
        <v>131</v>
      </c>
      <c r="G3905" s="339" t="str">
        <f t="shared" si="2"/>
        <v>愛知:阪和新断Ｂ</v>
      </c>
      <c r="H3905" s="340">
        <f t="shared" si="3"/>
        <v>46.5</v>
      </c>
      <c r="I3905" s="341">
        <v>1.0</v>
      </c>
      <c r="J3905" s="332">
        <f>IFERROR(__xludf.DUMMYFUNCTION("IF(IF(COUNTIF(P$2:P3904, P3905)=0, """", INDEX(H$2:H3904,
MAX(FILTER(ROW(H$2:H3904) - ROW(H$2) + 1, P$2:P3904 = P3905))))=""単価"","""",
IF(COUNTIF(P$2:P3904, P3905)=0, """", INDEX(H$2:H3904,
MAX(FILTER(ROW(H$2:H3904) - ROW(H$2) + 1, P$2:P3904 = P3905)))))"),45.5)</f>
        <v>45.5</v>
      </c>
      <c r="N3905" s="335" t="str">
        <f>IF(MAXIFS('単価履歴'!$O:$O,'単価履歴'!$E:$E,E3905,'単価履歴'!$F:$F,F3905)=O3905,"●","")</f>
        <v/>
      </c>
      <c r="O3905" s="346">
        <v>46072.787939814814</v>
      </c>
      <c r="P3905" s="334" t="str">
        <f t="shared" si="4"/>
        <v>愛知:阪和新断Ｂ</v>
      </c>
    </row>
    <row r="3906" ht="15.75" customHeight="1">
      <c r="A3906" s="335" t="s">
        <v>5053</v>
      </c>
      <c r="B3906" s="336">
        <v>46073.0</v>
      </c>
      <c r="C3906" s="335" t="s">
        <v>14</v>
      </c>
      <c r="D3906" s="335" t="s">
        <v>46</v>
      </c>
      <c r="E3906" s="337" t="str">
        <f t="shared" si="1"/>
        <v>愛知:阪和</v>
      </c>
      <c r="F3906" s="338" t="s">
        <v>145</v>
      </c>
      <c r="G3906" s="339" t="str">
        <f t="shared" si="2"/>
        <v>愛知:阪和シュレＡ</v>
      </c>
      <c r="H3906" s="340">
        <f t="shared" si="3"/>
        <v>47.5</v>
      </c>
      <c r="I3906" s="341">
        <v>1.0</v>
      </c>
      <c r="J3906" s="332">
        <f>IFERROR(__xludf.DUMMYFUNCTION("IF(IF(COUNTIF(P$2:P3905, P3906)=0, """", INDEX(H$2:H3905,
MAX(FILTER(ROW(H$2:H3905) - ROW(H$2) + 1, P$2:P3905 = P3906))))=""単価"","""",
IF(COUNTIF(P$2:P3905, P3906)=0, """", INDEX(H$2:H3905,
MAX(FILTER(ROW(H$2:H3905) - ROW(H$2) + 1, P$2:P3905 = P3906)))))"),46.5)</f>
        <v>46.5</v>
      </c>
      <c r="N3906" s="335" t="str">
        <f>IF(MAXIFS('単価履歴'!$O:$O,'単価履歴'!$E:$E,E3906,'単価履歴'!$F:$F,F3906)=O3906,"●","")</f>
        <v/>
      </c>
      <c r="O3906" s="346">
        <v>46072.787939814814</v>
      </c>
      <c r="P3906" s="334" t="str">
        <f t="shared" si="4"/>
        <v>愛知:阪和シュレＡ</v>
      </c>
    </row>
    <row r="3907" ht="15.75" customHeight="1">
      <c r="A3907" s="335" t="s">
        <v>5054</v>
      </c>
      <c r="B3907" s="336">
        <v>46073.0</v>
      </c>
      <c r="C3907" s="335" t="s">
        <v>12</v>
      </c>
      <c r="D3907" s="335" t="s">
        <v>53</v>
      </c>
      <c r="E3907" s="337" t="str">
        <f t="shared" si="1"/>
        <v>山陽特殊:MM</v>
      </c>
      <c r="F3907" s="338" t="s">
        <v>130</v>
      </c>
      <c r="G3907" s="339" t="str">
        <f t="shared" si="2"/>
        <v>山陽特殊:MM新断Ａ</v>
      </c>
      <c r="H3907" s="340">
        <f t="shared" si="3"/>
        <v>49.5</v>
      </c>
      <c r="I3907" s="341">
        <v>1.0</v>
      </c>
      <c r="J3907" s="332">
        <f>IFERROR(__xludf.DUMMYFUNCTION("IF(IF(COUNTIF(P$2:P3906, P3907)=0, """", INDEX(H$2:H3906,
MAX(FILTER(ROW(H$2:H3906) - ROW(H$2) + 1, P$2:P3906 = P3907))))=""単価"","""",
IF(COUNTIF(P$2:P3906, P3907)=0, """", INDEX(H$2:H3906,
MAX(FILTER(ROW(H$2:H3906) - ROW(H$2) + 1, P$2:P3906 = P3907)))))"),48.5)</f>
        <v>48.5</v>
      </c>
      <c r="N3907" s="335" t="str">
        <f>IF(MAXIFS('単価履歴'!$O:$O,'単価履歴'!$E:$E,E3907,'単価履歴'!$F:$F,F3907)=O3907,"●","")</f>
        <v/>
      </c>
      <c r="O3907" s="346">
        <v>46072.788877314815</v>
      </c>
      <c r="P3907" s="334" t="str">
        <f t="shared" si="4"/>
        <v>山陽特殊:MM新断Ａ</v>
      </c>
    </row>
    <row r="3908" ht="15.75" customHeight="1">
      <c r="A3908" s="335" t="s">
        <v>5055</v>
      </c>
      <c r="B3908" s="336">
        <v>46073.0</v>
      </c>
      <c r="C3908" s="335" t="s">
        <v>12</v>
      </c>
      <c r="D3908" s="335" t="s">
        <v>53</v>
      </c>
      <c r="E3908" s="337" t="str">
        <f t="shared" si="1"/>
        <v>山陽特殊:MM</v>
      </c>
      <c r="F3908" s="338" t="s">
        <v>131</v>
      </c>
      <c r="G3908" s="339" t="str">
        <f t="shared" si="2"/>
        <v>山陽特殊:MM新断Ｂ</v>
      </c>
      <c r="H3908" s="340">
        <f t="shared" si="3"/>
        <v>48.5</v>
      </c>
      <c r="I3908" s="341">
        <v>1.0</v>
      </c>
      <c r="J3908" s="332">
        <f>IFERROR(__xludf.DUMMYFUNCTION("IF(IF(COUNTIF(P$2:P3907, P3908)=0, """", INDEX(H$2:H3907,
MAX(FILTER(ROW(H$2:H3907) - ROW(H$2) + 1, P$2:P3907 = P3908))))=""単価"","""",
IF(COUNTIF(P$2:P3907, P3908)=0, """", INDEX(H$2:H3907,
MAX(FILTER(ROW(H$2:H3907) - ROW(H$2) + 1, P$2:P3907 = P3908)))))"),47.5)</f>
        <v>47.5</v>
      </c>
      <c r="N3908" s="335" t="str">
        <f>IF(MAXIFS('単価履歴'!$O:$O,'単価履歴'!$E:$E,E3908,'単価履歴'!$F:$F,F3908)=O3908,"●","")</f>
        <v/>
      </c>
      <c r="O3908" s="346">
        <v>46072.788877314815</v>
      </c>
      <c r="P3908" s="334" t="str">
        <f t="shared" si="4"/>
        <v>山陽特殊:MM新断Ｂ</v>
      </c>
    </row>
    <row r="3909" ht="15.75" customHeight="1">
      <c r="A3909" s="335" t="s">
        <v>5056</v>
      </c>
      <c r="B3909" s="336">
        <v>46073.0</v>
      </c>
      <c r="C3909" s="335" t="s">
        <v>12</v>
      </c>
      <c r="D3909" s="335" t="s">
        <v>53</v>
      </c>
      <c r="E3909" s="337" t="str">
        <f t="shared" si="1"/>
        <v>山陽特殊:MM</v>
      </c>
      <c r="F3909" s="338" t="s">
        <v>574</v>
      </c>
      <c r="G3909" s="339" t="str">
        <f t="shared" si="2"/>
        <v>山陽特殊:MM新断Ｃ</v>
      </c>
      <c r="H3909" s="340">
        <f t="shared" si="3"/>
        <v>47.2</v>
      </c>
      <c r="I3909" s="341">
        <v>1.0</v>
      </c>
      <c r="J3909" s="332">
        <f>IFERROR(__xludf.DUMMYFUNCTION("IF(IF(COUNTIF(P$2:P3908, P3909)=0, """", INDEX(H$2:H3908,
MAX(FILTER(ROW(H$2:H3908) - ROW(H$2) + 1, P$2:P3908 = P3909))))=""単価"","""",
IF(COUNTIF(P$2:P3908, P3909)=0, """", INDEX(H$2:H3908,
MAX(FILTER(ROW(H$2:H3908) - ROW(H$2) + 1, P$2:P3908 = P3909)))))"),46.199999999999996)</f>
        <v>46.2</v>
      </c>
      <c r="N3909" s="335" t="str">
        <f>IF(MAXIFS('単価履歴'!$O:$O,'単価履歴'!$E:$E,E3909,'単価履歴'!$F:$F,F3909)=O3909,"●","")</f>
        <v/>
      </c>
      <c r="O3909" s="346">
        <v>46072.788877314815</v>
      </c>
      <c r="P3909" s="334" t="str">
        <f t="shared" si="4"/>
        <v>山陽特殊:MM新断Ｃ</v>
      </c>
    </row>
    <row r="3910" ht="15.75" customHeight="1">
      <c r="A3910" s="335" t="s">
        <v>5057</v>
      </c>
      <c r="B3910" s="336">
        <v>46073.0</v>
      </c>
      <c r="C3910" s="335" t="s">
        <v>7</v>
      </c>
      <c r="D3910" s="335" t="s">
        <v>49</v>
      </c>
      <c r="E3910" s="337" t="str">
        <f t="shared" si="1"/>
        <v>合同大阪:伊藤忠</v>
      </c>
      <c r="F3910" s="338" t="s">
        <v>575</v>
      </c>
      <c r="G3910" s="339" t="str">
        <f t="shared" si="2"/>
        <v>合同大阪:伊藤忠鋼ダライＡ</v>
      </c>
      <c r="H3910" s="340">
        <f t="shared" si="3"/>
        <v>35.3</v>
      </c>
      <c r="I3910" s="341">
        <v>0.5</v>
      </c>
      <c r="J3910" s="332">
        <f>IFERROR(__xludf.DUMMYFUNCTION("IF(IF(COUNTIF(P$2:P3909, P3910)=0, """", INDEX(H$2:H3909,
MAX(FILTER(ROW(H$2:H3909) - ROW(H$2) + 1, P$2:P3909 = P3910))))=""単価"","""",
IF(COUNTIF(P$2:P3909, P3910)=0, """", INDEX(H$2:H3909,
MAX(FILTER(ROW(H$2:H3909) - ROW(H$2) + 1, P$2:P3909 = P3910)))))"),34.8)</f>
        <v>34.8</v>
      </c>
      <c r="N3910" s="335" t="str">
        <f>IF(MAXIFS('単価履歴'!$O:$O,'単価履歴'!$E:$E,E3910,'単価履歴'!$F:$F,F3910)=O3910,"●","")</f>
        <v/>
      </c>
      <c r="O3910" s="346">
        <v>46073.44403935185</v>
      </c>
      <c r="P3910" s="334" t="str">
        <f t="shared" si="4"/>
        <v>合同大阪:伊藤忠鋼ダライＡ</v>
      </c>
    </row>
    <row r="3911" ht="15.75" customHeight="1">
      <c r="A3911" s="335" t="s">
        <v>5058</v>
      </c>
      <c r="B3911" s="336">
        <v>46073.0</v>
      </c>
      <c r="C3911" s="335" t="s">
        <v>7</v>
      </c>
      <c r="D3911" s="335" t="s">
        <v>49</v>
      </c>
      <c r="E3911" s="337" t="str">
        <f t="shared" si="1"/>
        <v>合同大阪:伊藤忠</v>
      </c>
      <c r="F3911" s="338" t="s">
        <v>576</v>
      </c>
      <c r="G3911" s="339" t="str">
        <f t="shared" si="2"/>
        <v>合同大阪:伊藤忠鋼ダライＢ</v>
      </c>
      <c r="H3911" s="340">
        <f t="shared" si="3"/>
        <v>34.8</v>
      </c>
      <c r="I3911" s="341">
        <v>0.5</v>
      </c>
      <c r="J3911" s="332">
        <f>IFERROR(__xludf.DUMMYFUNCTION("IF(IF(COUNTIF(P$2:P3910, P3911)=0, """", INDEX(H$2:H3910,
MAX(FILTER(ROW(H$2:H3910) - ROW(H$2) + 1, P$2:P3910 = P3911))))=""単価"","""",
IF(COUNTIF(P$2:P3910, P3911)=0, """", INDEX(H$2:H3910,
MAX(FILTER(ROW(H$2:H3910) - ROW(H$2) + 1, P$2:P3910 = P3911)))))"),34.3)</f>
        <v>34.3</v>
      </c>
      <c r="N3911" s="335" t="str">
        <f>IF(MAXIFS('単価履歴'!$O:$O,'単価履歴'!$E:$E,E3911,'単価履歴'!$F:$F,F3911)=O3911,"●","")</f>
        <v/>
      </c>
      <c r="O3911" s="346">
        <v>46073.44403935185</v>
      </c>
      <c r="P3911" s="334" t="str">
        <f t="shared" si="4"/>
        <v>合同大阪:伊藤忠鋼ダライＢ</v>
      </c>
    </row>
    <row r="3912" ht="15.75" customHeight="1">
      <c r="A3912" s="335" t="s">
        <v>5059</v>
      </c>
      <c r="B3912" s="336">
        <v>46074.0</v>
      </c>
      <c r="C3912" s="335" t="s">
        <v>531</v>
      </c>
      <c r="D3912" s="335" t="s">
        <v>77</v>
      </c>
      <c r="E3912" s="337" t="str">
        <f t="shared" si="1"/>
        <v>東鐵関西:直納</v>
      </c>
      <c r="F3912" s="338" t="s">
        <v>1199</v>
      </c>
      <c r="G3912" s="339" t="str">
        <f t="shared" si="2"/>
        <v>東鐵関西:直納ＨＳ１(単体H1/電特A/HS))</v>
      </c>
      <c r="H3912" s="340">
        <f t="shared" si="3"/>
        <v>47</v>
      </c>
      <c r="I3912" s="341">
        <v>1.0</v>
      </c>
      <c r="J3912" s="332">
        <f>IFERROR(__xludf.DUMMYFUNCTION("IF(IF(COUNTIF(P$2:P3911, P3912)=0, """", INDEX(H$2:H3911,
MAX(FILTER(ROW(H$2:H3911) - ROW(H$2) + 1, P$2:P3911 = P3912))))=""単価"","""",
IF(COUNTIF(P$2:P3911, P3912)=0, """", INDEX(H$2:H3911,
MAX(FILTER(ROW(H$2:H3911) - ROW(H$2) + 1, P$2:P3911 = P3912)))))"),46.0)</f>
        <v>46</v>
      </c>
      <c r="N3912" s="335" t="str">
        <f>IF(MAXIFS('単価履歴'!$O:$O,'単価履歴'!$E:$E,E3912,'単価履歴'!$F:$F,F3912)=O3912,"●","")</f>
        <v/>
      </c>
      <c r="O3912" s="346">
        <v>46076.66614583333</v>
      </c>
      <c r="P3912" s="334" t="str">
        <f t="shared" si="4"/>
        <v>東鐵関西:直納ＨＳ１(単体H1/電特A/HS))</v>
      </c>
    </row>
    <row r="3913" ht="15.75" customHeight="1">
      <c r="A3913" s="335" t="s">
        <v>5060</v>
      </c>
      <c r="B3913" s="336">
        <v>46074.0</v>
      </c>
      <c r="C3913" s="335" t="s">
        <v>531</v>
      </c>
      <c r="D3913" s="335" t="s">
        <v>77</v>
      </c>
      <c r="E3913" s="337" t="str">
        <f t="shared" si="1"/>
        <v>東鐵関西:直納</v>
      </c>
      <c r="F3913" s="338" t="s">
        <v>111</v>
      </c>
      <c r="G3913" s="339" t="str">
        <f t="shared" si="2"/>
        <v>東鐵関西:直納Ｈ１(特A)</v>
      </c>
      <c r="H3913" s="340">
        <f t="shared" si="3"/>
        <v>46.5</v>
      </c>
      <c r="I3913" s="341">
        <v>1.0</v>
      </c>
      <c r="J3913" s="332">
        <f>IFERROR(__xludf.DUMMYFUNCTION("IF(IF(COUNTIF(P$2:P3912, P3913)=0, """", INDEX(H$2:H3912,
MAX(FILTER(ROW(H$2:H3912) - ROW(H$2) + 1, P$2:P3912 = P3913))))=""単価"","""",
IF(COUNTIF(P$2:P3912, P3913)=0, """", INDEX(H$2:H3912,
MAX(FILTER(ROW(H$2:H3912) - ROW(H$2) + 1, P$2:P3912 = P3913)))))"),45.5)</f>
        <v>45.5</v>
      </c>
      <c r="N3913" s="335" t="str">
        <f>IF(MAXIFS('単価履歴'!$O:$O,'単価履歴'!$E:$E,E3913,'単価履歴'!$F:$F,F3913)=O3913,"●","")</f>
        <v/>
      </c>
      <c r="O3913" s="346">
        <v>46076.66614583333</v>
      </c>
      <c r="P3913" s="334" t="str">
        <f t="shared" si="4"/>
        <v>東鐵関西:直納Ｈ１(特A)</v>
      </c>
    </row>
    <row r="3914" ht="15.75" customHeight="1">
      <c r="A3914" s="335" t="s">
        <v>5061</v>
      </c>
      <c r="B3914" s="336">
        <v>46074.0</v>
      </c>
      <c r="C3914" s="335" t="s">
        <v>531</v>
      </c>
      <c r="D3914" s="335" t="s">
        <v>77</v>
      </c>
      <c r="E3914" s="337" t="str">
        <f t="shared" si="1"/>
        <v>東鐵関西:直納</v>
      </c>
      <c r="F3914" s="338" t="s">
        <v>116</v>
      </c>
      <c r="G3914" s="339" t="str">
        <f t="shared" si="2"/>
        <v>東鐵関西:直納Ｈ２(特級)</v>
      </c>
      <c r="H3914" s="340">
        <f t="shared" si="3"/>
        <v>44.5</v>
      </c>
      <c r="I3914" s="341">
        <v>1.0</v>
      </c>
      <c r="J3914" s="332">
        <f>IFERROR(__xludf.DUMMYFUNCTION("IF(IF(COUNTIF(P$2:P3913, P3914)=0, """", INDEX(H$2:H3913,
MAX(FILTER(ROW(H$2:H3913) - ROW(H$2) + 1, P$2:P3913 = P3914))))=""単価"","""",
IF(COUNTIF(P$2:P3913, P3914)=0, """", INDEX(H$2:H3913,
MAX(FILTER(ROW(H$2:H3913) - ROW(H$2) + 1, P$2:P3913 = P3914)))))"),43.5)</f>
        <v>43.5</v>
      </c>
      <c r="N3914" s="335" t="str">
        <f>IF(MAXIFS('単価履歴'!$O:$O,'単価履歴'!$E:$E,E3914,'単価履歴'!$F:$F,F3914)=O3914,"●","")</f>
        <v/>
      </c>
      <c r="O3914" s="346">
        <v>46076.66614583333</v>
      </c>
      <c r="P3914" s="334" t="str">
        <f t="shared" si="4"/>
        <v>東鐵関西:直納Ｈ２(特級)</v>
      </c>
    </row>
    <row r="3915" ht="15.75" customHeight="1">
      <c r="A3915" s="335" t="s">
        <v>5062</v>
      </c>
      <c r="B3915" s="336">
        <v>46074.0</v>
      </c>
      <c r="C3915" s="335" t="s">
        <v>531</v>
      </c>
      <c r="D3915" s="335" t="s">
        <v>77</v>
      </c>
      <c r="E3915" s="337" t="str">
        <f t="shared" si="1"/>
        <v>東鐵関西:直納</v>
      </c>
      <c r="F3915" s="338" t="s">
        <v>119</v>
      </c>
      <c r="G3915" s="339" t="str">
        <f t="shared" si="2"/>
        <v>東鐵関西:直納Ｈ３(1級)</v>
      </c>
      <c r="H3915" s="340">
        <f t="shared" si="3"/>
        <v>44.5</v>
      </c>
      <c r="I3915" s="341">
        <v>1.0</v>
      </c>
      <c r="J3915" s="332">
        <f>IFERROR(__xludf.DUMMYFUNCTION("IF(IF(COUNTIF(P$2:P3914, P3915)=0, """", INDEX(H$2:H3914,
MAX(FILTER(ROW(H$2:H3914) - ROW(H$2) + 1, P$2:P3914 = P3915))))=""単価"","""",
IF(COUNTIF(P$2:P3914, P3915)=0, """", INDEX(H$2:H3914,
MAX(FILTER(ROW(H$2:H3914) - ROW(H$2) + 1, P$2:P3914 = P3915)))))"),43.5)</f>
        <v>43.5</v>
      </c>
      <c r="N3915" s="335" t="str">
        <f>IF(MAXIFS('単価履歴'!$O:$O,'単価履歴'!$E:$E,E3915,'単価履歴'!$F:$F,F3915)=O3915,"●","")</f>
        <v/>
      </c>
      <c r="O3915" s="346">
        <v>46076.66614583333</v>
      </c>
      <c r="P3915" s="334" t="str">
        <f t="shared" si="4"/>
        <v>東鐵関西:直納Ｈ３(1級)</v>
      </c>
    </row>
    <row r="3916" ht="15.75" customHeight="1">
      <c r="A3916" s="335" t="s">
        <v>5063</v>
      </c>
      <c r="B3916" s="336">
        <v>46074.0</v>
      </c>
      <c r="C3916" s="335" t="s">
        <v>531</v>
      </c>
      <c r="D3916" s="335" t="s">
        <v>77</v>
      </c>
      <c r="E3916" s="337" t="str">
        <f t="shared" si="1"/>
        <v>東鐵関西:直納</v>
      </c>
      <c r="F3916" s="338" t="s">
        <v>122</v>
      </c>
      <c r="G3916" s="339" t="str">
        <f t="shared" si="2"/>
        <v>東鐵関西:直納Ｌ１(2級)</v>
      </c>
      <c r="H3916" s="340">
        <f t="shared" si="3"/>
        <v>42.5</v>
      </c>
      <c r="I3916" s="341">
        <v>1.0</v>
      </c>
      <c r="J3916" s="332">
        <f>IFERROR(__xludf.DUMMYFUNCTION("IF(IF(COUNTIF(P$2:P3915, P3916)=0, """", INDEX(H$2:H3915,
MAX(FILTER(ROW(H$2:H3915) - ROW(H$2) + 1, P$2:P3915 = P3916))))=""単価"","""",
IF(COUNTIF(P$2:P3915, P3916)=0, """", INDEX(H$2:H3915,
MAX(FILTER(ROW(H$2:H3915) - ROW(H$2) + 1, P$2:P3915 = P3916)))))"),41.5)</f>
        <v>41.5</v>
      </c>
      <c r="N3916" s="335" t="str">
        <f>IF(MAXIFS('単価履歴'!$O:$O,'単価履歴'!$E:$E,E3916,'単価履歴'!$F:$F,F3916)=O3916,"●","")</f>
        <v/>
      </c>
      <c r="O3916" s="346">
        <v>46076.66614583333</v>
      </c>
      <c r="P3916" s="334" t="str">
        <f t="shared" si="4"/>
        <v>東鐵関西:直納Ｌ１(2級)</v>
      </c>
    </row>
    <row r="3917" ht="15.75" customHeight="1">
      <c r="A3917" s="335" t="s">
        <v>5064</v>
      </c>
      <c r="B3917" s="336">
        <v>46074.0</v>
      </c>
      <c r="C3917" s="335" t="s">
        <v>531</v>
      </c>
      <c r="D3917" s="335" t="s">
        <v>77</v>
      </c>
      <c r="E3917" s="337" t="str">
        <f t="shared" si="1"/>
        <v>東鐵関西:直納</v>
      </c>
      <c r="F3917" s="338" t="s">
        <v>573</v>
      </c>
      <c r="G3917" s="339" t="str">
        <f t="shared" si="2"/>
        <v>東鐵関西:直納Ｌ２(H4･級外･L1ﾊﾞﾗ)</v>
      </c>
      <c r="H3917" s="340">
        <f t="shared" si="3"/>
        <v>39.5</v>
      </c>
      <c r="I3917" s="341">
        <v>1.0</v>
      </c>
      <c r="J3917" s="332">
        <f>IFERROR(__xludf.DUMMYFUNCTION("IF(IF(COUNTIF(P$2:P3916, P3917)=0, """", INDEX(H$2:H3916,
MAX(FILTER(ROW(H$2:H3916) - ROW(H$2) + 1, P$2:P3916 = P3917))))=""単価"","""",
IF(COUNTIF(P$2:P3916, P3917)=0, """", INDEX(H$2:H3916,
MAX(FILTER(ROW(H$2:H3916) - ROW(H$2) + 1, P$2:P3916 = P3917)))))"),38.5)</f>
        <v>38.5</v>
      </c>
      <c r="N3917" s="335" t="str">
        <f>IF(MAXIFS('単価履歴'!$O:$O,'単価履歴'!$E:$E,E3917,'単価履歴'!$F:$F,F3917)=O3917,"●","")</f>
        <v/>
      </c>
      <c r="O3917" s="346">
        <v>46076.66614583333</v>
      </c>
      <c r="P3917" s="334" t="str">
        <f t="shared" si="4"/>
        <v>東鐵関西:直納Ｌ２(H4･級外･L1ﾊﾞﾗ)</v>
      </c>
    </row>
    <row r="3918" ht="15.75" customHeight="1">
      <c r="A3918" s="335" t="s">
        <v>5065</v>
      </c>
      <c r="B3918" s="336">
        <v>46074.0</v>
      </c>
      <c r="C3918" s="335" t="s">
        <v>531</v>
      </c>
      <c r="D3918" s="335" t="s">
        <v>77</v>
      </c>
      <c r="E3918" s="337" t="str">
        <f t="shared" si="1"/>
        <v>東鐵関西:直納</v>
      </c>
      <c r="F3918" s="338" t="s">
        <v>145</v>
      </c>
      <c r="G3918" s="339" t="str">
        <f t="shared" si="2"/>
        <v>東鐵関西:直納シュレＡ</v>
      </c>
      <c r="H3918" s="340">
        <f t="shared" si="3"/>
        <v>46</v>
      </c>
      <c r="I3918" s="341">
        <v>1.0</v>
      </c>
      <c r="J3918" s="332">
        <f>IFERROR(__xludf.DUMMYFUNCTION("IF(IF(COUNTIF(P$2:P3917, P3918)=0, """", INDEX(H$2:H3917,
MAX(FILTER(ROW(H$2:H3917) - ROW(H$2) + 1, P$2:P3917 = P3918))))=""単価"","""",
IF(COUNTIF(P$2:P3917, P3918)=0, """", INDEX(H$2:H3917,
MAX(FILTER(ROW(H$2:H3917) - ROW(H$2) + 1, P$2:P3917 = P3918)))))"),45.0)</f>
        <v>45</v>
      </c>
      <c r="N3918" s="335" t="str">
        <f>IF(MAXIFS('単価履歴'!$O:$O,'単価履歴'!$E:$E,E3918,'単価履歴'!$F:$F,F3918)=O3918,"●","")</f>
        <v/>
      </c>
      <c r="O3918" s="346">
        <v>46076.66614583333</v>
      </c>
      <c r="P3918" s="334" t="str">
        <f t="shared" si="4"/>
        <v>東鐵関西:直納シュレＡ</v>
      </c>
    </row>
    <row r="3919" ht="15.75" customHeight="1">
      <c r="A3919" s="335" t="s">
        <v>5066</v>
      </c>
      <c r="B3919" s="336">
        <v>46074.0</v>
      </c>
      <c r="C3919" s="335" t="s">
        <v>531</v>
      </c>
      <c r="D3919" s="335" t="s">
        <v>77</v>
      </c>
      <c r="E3919" s="337" t="str">
        <f t="shared" si="1"/>
        <v>東鐵関西:直納</v>
      </c>
      <c r="F3919" s="338" t="s">
        <v>151</v>
      </c>
      <c r="G3919" s="339" t="str">
        <f t="shared" si="2"/>
        <v>東鐵関西:直納シュレＣ</v>
      </c>
      <c r="H3919" s="340">
        <f t="shared" si="3"/>
        <v>45</v>
      </c>
      <c r="I3919" s="341">
        <v>1.0</v>
      </c>
      <c r="J3919" s="332">
        <f>IFERROR(__xludf.DUMMYFUNCTION("IF(IF(COUNTIF(P$2:P3918, P3919)=0, """", INDEX(H$2:H3918,
MAX(FILTER(ROW(H$2:H3918) - ROW(H$2) + 1, P$2:P3918 = P3919))))=""単価"","""",
IF(COUNTIF(P$2:P3918, P3919)=0, """", INDEX(H$2:H3918,
MAX(FILTER(ROW(H$2:H3918) - ROW(H$2) + 1, P$2:P3918 = P3919)))))"),44.0)</f>
        <v>44</v>
      </c>
      <c r="N3919" s="335" t="str">
        <f>IF(MAXIFS('単価履歴'!$O:$O,'単価履歴'!$E:$E,E3919,'単価履歴'!$F:$F,F3919)=O3919,"●","")</f>
        <v/>
      </c>
      <c r="O3919" s="346">
        <v>46076.66614583333</v>
      </c>
      <c r="P3919" s="334" t="str">
        <f t="shared" si="4"/>
        <v>東鐵関西:直納シュレＣ</v>
      </c>
    </row>
    <row r="3920" ht="15.75" customHeight="1">
      <c r="A3920" s="335" t="s">
        <v>5067</v>
      </c>
      <c r="B3920" s="336">
        <v>46074.0</v>
      </c>
      <c r="C3920" s="335" t="s">
        <v>5</v>
      </c>
      <c r="D3920" s="335" t="s">
        <v>46</v>
      </c>
      <c r="E3920" s="337" t="str">
        <f t="shared" si="1"/>
        <v>中山製鋼:阪和</v>
      </c>
      <c r="F3920" s="338" t="s">
        <v>101</v>
      </c>
      <c r="G3920" s="339" t="str">
        <f t="shared" si="2"/>
        <v>中山製鋼:阪和ＨＳ２</v>
      </c>
      <c r="H3920" s="340">
        <f t="shared" si="3"/>
        <v>48.4</v>
      </c>
      <c r="I3920" s="341">
        <v>1.0</v>
      </c>
      <c r="J3920" s="332">
        <f>IFERROR(__xludf.DUMMYFUNCTION("IF(IF(COUNTIF(P$2:P3919, P3920)=0, """", INDEX(H$2:H3919,
MAX(FILTER(ROW(H$2:H3919) - ROW(H$2) + 1, P$2:P3919 = P3920))))=""単価"","""",
IF(COUNTIF(P$2:P3919, P3920)=0, """", INDEX(H$2:H3919,
MAX(FILTER(ROW(H$2:H3919) - ROW(H$2) + 1, P$2:P3919 = P3920)))))"),47.4)</f>
        <v>47.4</v>
      </c>
      <c r="N3920" s="335" t="str">
        <f>IF(MAXIFS('単価履歴'!$O:$O,'単価履歴'!$E:$E,E3920,'単価履歴'!$F:$F,F3920)=O3920,"●","")</f>
        <v/>
      </c>
      <c r="O3920" s="346">
        <v>46076.66673611111</v>
      </c>
      <c r="P3920" s="334" t="str">
        <f t="shared" si="4"/>
        <v>中山製鋼:阪和ＨＳ２</v>
      </c>
    </row>
    <row r="3921" ht="15.75" customHeight="1">
      <c r="A3921" s="335" t="s">
        <v>5068</v>
      </c>
      <c r="B3921" s="336">
        <v>46074.0</v>
      </c>
      <c r="C3921" s="335" t="s">
        <v>5</v>
      </c>
      <c r="D3921" s="335" t="s">
        <v>46</v>
      </c>
      <c r="E3921" s="337" t="str">
        <f t="shared" si="1"/>
        <v>中山製鋼:阪和</v>
      </c>
      <c r="F3921" s="338" t="s">
        <v>108</v>
      </c>
      <c r="G3921" s="339" t="str">
        <f t="shared" si="2"/>
        <v>中山製鋼:阪和Ｈ１/ｻﾑﾃｯｸ</v>
      </c>
      <c r="H3921" s="340">
        <f t="shared" si="3"/>
        <v>1.5</v>
      </c>
      <c r="I3921" s="341">
        <v>1.0</v>
      </c>
      <c r="J3921" s="332">
        <f>IFERROR(__xludf.DUMMYFUNCTION("IF(IF(COUNTIF(P$2:P3920, P3921)=0, """", INDEX(H$2:H3920,
MAX(FILTER(ROW(H$2:H3920) - ROW(H$2) + 1, P$2:P3920 = P3921))))=""単価"","""",
IF(COUNTIF(P$2:P3920, P3921)=0, """", INDEX(H$2:H3920,
MAX(FILTER(ROW(H$2:H3920) - ROW(H$2) + 1, P$2:P3920 = P3921)))))"),0.5)</f>
        <v>0.5</v>
      </c>
      <c r="N3921" s="335" t="str">
        <f>IF(MAXIFS('単価履歴'!$O:$O,'単価履歴'!$E:$E,E3921,'単価履歴'!$F:$F,F3921)=O3921,"●","")</f>
        <v/>
      </c>
      <c r="O3921" s="346">
        <v>46076.66673611111</v>
      </c>
      <c r="P3921" s="334" t="str">
        <f t="shared" si="4"/>
        <v>中山製鋼:阪和Ｈ１/ｻﾑﾃｯｸ</v>
      </c>
    </row>
    <row r="3922" ht="15.75" customHeight="1">
      <c r="A3922" s="335" t="s">
        <v>5069</v>
      </c>
      <c r="B3922" s="336">
        <v>46074.0</v>
      </c>
      <c r="C3922" s="335" t="s">
        <v>5</v>
      </c>
      <c r="D3922" s="335" t="s">
        <v>46</v>
      </c>
      <c r="E3922" s="337" t="str">
        <f t="shared" si="1"/>
        <v>中山製鋼:阪和</v>
      </c>
      <c r="F3922" s="338" t="s">
        <v>111</v>
      </c>
      <c r="G3922" s="339" t="str">
        <f t="shared" si="2"/>
        <v>中山製鋼:阪和Ｈ１(特A)</v>
      </c>
      <c r="H3922" s="340">
        <f t="shared" si="3"/>
        <v>46.3</v>
      </c>
      <c r="I3922" s="341">
        <v>1.0</v>
      </c>
      <c r="J3922" s="332">
        <f>IFERROR(__xludf.DUMMYFUNCTION("IF(IF(COUNTIF(P$2:P3921, P3922)=0, """", INDEX(H$2:H3921,
MAX(FILTER(ROW(H$2:H3921) - ROW(H$2) + 1, P$2:P3921 = P3922))))=""単価"","""",
IF(COUNTIF(P$2:P3921, P3922)=0, """", INDEX(H$2:H3921,
MAX(FILTER(ROW(H$2:H3921) - ROW(H$2) + 1, P$2:P3921 = P3922)))))"),45.3)</f>
        <v>45.3</v>
      </c>
      <c r="N3922" s="335" t="str">
        <f>IF(MAXIFS('単価履歴'!$O:$O,'単価履歴'!$E:$E,E3922,'単価履歴'!$F:$F,F3922)=O3922,"●","")</f>
        <v/>
      </c>
      <c r="O3922" s="346">
        <v>46076.66673611111</v>
      </c>
      <c r="P3922" s="334" t="str">
        <f t="shared" si="4"/>
        <v>中山製鋼:阪和Ｈ１(特A)</v>
      </c>
    </row>
    <row r="3923" ht="15.75" customHeight="1">
      <c r="A3923" s="335" t="s">
        <v>5070</v>
      </c>
      <c r="B3923" s="336">
        <v>46074.0</v>
      </c>
      <c r="C3923" s="335" t="s">
        <v>5</v>
      </c>
      <c r="D3923" s="335" t="s">
        <v>46</v>
      </c>
      <c r="E3923" s="337" t="str">
        <f t="shared" si="1"/>
        <v>中山製鋼:阪和</v>
      </c>
      <c r="F3923" s="338" t="s">
        <v>116</v>
      </c>
      <c r="G3923" s="339" t="str">
        <f t="shared" si="2"/>
        <v>中山製鋼:阪和Ｈ２(特級)</v>
      </c>
      <c r="H3923" s="340">
        <f t="shared" si="3"/>
        <v>40.3</v>
      </c>
      <c r="I3923" s="341">
        <v>1.0</v>
      </c>
      <c r="J3923" s="332">
        <f>IFERROR(__xludf.DUMMYFUNCTION("IF(IF(COUNTIF(P$2:P3922, P3923)=0, """", INDEX(H$2:H3922,
MAX(FILTER(ROW(H$2:H3922) - ROW(H$2) + 1, P$2:P3922 = P3923))))=""単価"","""",
IF(COUNTIF(P$2:P3922, P3923)=0, """", INDEX(H$2:H3922,
MAX(FILTER(ROW(H$2:H3922) - ROW(H$2) + 1, P$2:P3922 = P3923)))))"),39.3)</f>
        <v>39.3</v>
      </c>
      <c r="N3923" s="335" t="str">
        <f>IF(MAXIFS('単価履歴'!$O:$O,'単価履歴'!$E:$E,E3923,'単価履歴'!$F:$F,F3923)=O3923,"●","")</f>
        <v/>
      </c>
      <c r="O3923" s="346">
        <v>46076.66673611111</v>
      </c>
      <c r="P3923" s="334" t="str">
        <f t="shared" si="4"/>
        <v>中山製鋼:阪和Ｈ２(特級)</v>
      </c>
    </row>
    <row r="3924" ht="15.75" customHeight="1">
      <c r="A3924" s="335" t="s">
        <v>5071</v>
      </c>
      <c r="B3924" s="336">
        <v>46074.0</v>
      </c>
      <c r="C3924" s="335" t="s">
        <v>5</v>
      </c>
      <c r="D3924" s="335" t="s">
        <v>46</v>
      </c>
      <c r="E3924" s="337" t="str">
        <f t="shared" si="1"/>
        <v>中山製鋼:阪和</v>
      </c>
      <c r="F3924" s="338" t="s">
        <v>119</v>
      </c>
      <c r="G3924" s="339" t="str">
        <f t="shared" si="2"/>
        <v>中山製鋼:阪和Ｈ３(1級)</v>
      </c>
      <c r="H3924" s="340">
        <f t="shared" si="3"/>
        <v>36.3</v>
      </c>
      <c r="I3924" s="341">
        <v>1.0</v>
      </c>
      <c r="J3924" s="332">
        <f>IFERROR(__xludf.DUMMYFUNCTION("IF(IF(COUNTIF(P$2:P3923, P3924)=0, """", INDEX(H$2:H3923,
MAX(FILTER(ROW(H$2:H3923) - ROW(H$2) + 1, P$2:P3923 = P3924))))=""単価"","""",
IF(COUNTIF(P$2:P3923, P3924)=0, """", INDEX(H$2:H3923,
MAX(FILTER(ROW(H$2:H3923) - ROW(H$2) + 1, P$2:P3923 = P3924)))))"),35.3)</f>
        <v>35.3</v>
      </c>
      <c r="N3924" s="335" t="str">
        <f>IF(MAXIFS('単価履歴'!$O:$O,'単価履歴'!$E:$E,E3924,'単価履歴'!$F:$F,F3924)=O3924,"●","")</f>
        <v/>
      </c>
      <c r="O3924" s="346">
        <v>46076.66673611111</v>
      </c>
      <c r="P3924" s="334" t="str">
        <f t="shared" si="4"/>
        <v>中山製鋼:阪和Ｈ３(1級)</v>
      </c>
    </row>
    <row r="3925" ht="15.75" customHeight="1">
      <c r="A3925" s="335" t="s">
        <v>5072</v>
      </c>
      <c r="B3925" s="336">
        <v>46074.0</v>
      </c>
      <c r="C3925" s="335" t="s">
        <v>5</v>
      </c>
      <c r="D3925" s="335" t="s">
        <v>46</v>
      </c>
      <c r="E3925" s="337" t="str">
        <f t="shared" si="1"/>
        <v>中山製鋼:阪和</v>
      </c>
      <c r="F3925" s="338" t="s">
        <v>122</v>
      </c>
      <c r="G3925" s="339" t="str">
        <f t="shared" si="2"/>
        <v>中山製鋼:阪和Ｌ１(2級)</v>
      </c>
      <c r="H3925" s="340">
        <f t="shared" si="3"/>
        <v>29.8</v>
      </c>
      <c r="I3925" s="341">
        <v>1.0</v>
      </c>
      <c r="J3925" s="332">
        <f>IFERROR(__xludf.DUMMYFUNCTION("IF(IF(COUNTIF(P$2:P3924, P3925)=0, """", INDEX(H$2:H3924,
MAX(FILTER(ROW(H$2:H3924) - ROW(H$2) + 1, P$2:P3924 = P3925))))=""単価"","""",
IF(COUNTIF(P$2:P3924, P3925)=0, """", INDEX(H$2:H3924,
MAX(FILTER(ROW(H$2:H3924) - ROW(H$2) + 1, P$2:P3924 = P3925)))))"),28.8)</f>
        <v>28.8</v>
      </c>
      <c r="N3925" s="335" t="str">
        <f>IF(MAXIFS('単価履歴'!$O:$O,'単価履歴'!$E:$E,E3925,'単価履歴'!$F:$F,F3925)=O3925,"●","")</f>
        <v/>
      </c>
      <c r="O3925" s="346">
        <v>46076.66673611111</v>
      </c>
      <c r="P3925" s="334" t="str">
        <f t="shared" si="4"/>
        <v>中山製鋼:阪和Ｌ１(2級)</v>
      </c>
    </row>
    <row r="3926" ht="15.75" customHeight="1">
      <c r="A3926" s="335" t="s">
        <v>5073</v>
      </c>
      <c r="B3926" s="336">
        <v>46074.0</v>
      </c>
      <c r="C3926" s="335" t="s">
        <v>5</v>
      </c>
      <c r="D3926" s="335" t="s">
        <v>46</v>
      </c>
      <c r="E3926" s="337" t="str">
        <f t="shared" si="1"/>
        <v>中山製鋼:阪和</v>
      </c>
      <c r="F3926" s="338" t="s">
        <v>130</v>
      </c>
      <c r="G3926" s="339" t="str">
        <f t="shared" si="2"/>
        <v>中山製鋼:阪和新断Ａ</v>
      </c>
      <c r="H3926" s="340">
        <f t="shared" si="3"/>
        <v>49.3</v>
      </c>
      <c r="I3926" s="341">
        <v>1.0</v>
      </c>
      <c r="J3926" s="332">
        <f>IFERROR(__xludf.DUMMYFUNCTION("IF(IF(COUNTIF(P$2:P3925, P3926)=0, """", INDEX(H$2:H3925,
MAX(FILTER(ROW(H$2:H3925) - ROW(H$2) + 1, P$2:P3925 = P3926))))=""単価"","""",
IF(COUNTIF(P$2:P3925, P3926)=0, """", INDEX(H$2:H3925,
MAX(FILTER(ROW(H$2:H3925) - ROW(H$2) + 1, P$2:P3925 = P3926)))))"),48.3)</f>
        <v>48.3</v>
      </c>
      <c r="N3926" s="335" t="str">
        <f>IF(MAXIFS('単価履歴'!$O:$O,'単価履歴'!$E:$E,E3926,'単価履歴'!$F:$F,F3926)=O3926,"●","")</f>
        <v/>
      </c>
      <c r="O3926" s="346">
        <v>46076.66673611111</v>
      </c>
      <c r="P3926" s="334" t="str">
        <f t="shared" si="4"/>
        <v>中山製鋼:阪和新断Ａ</v>
      </c>
    </row>
    <row r="3927" ht="15.75" customHeight="1">
      <c r="A3927" s="335" t="s">
        <v>5074</v>
      </c>
      <c r="B3927" s="336">
        <v>46074.0</v>
      </c>
      <c r="C3927" s="335" t="s">
        <v>5</v>
      </c>
      <c r="D3927" s="335" t="s">
        <v>46</v>
      </c>
      <c r="E3927" s="337" t="str">
        <f t="shared" si="1"/>
        <v>中山製鋼:阪和</v>
      </c>
      <c r="F3927" s="338" t="s">
        <v>131</v>
      </c>
      <c r="G3927" s="339" t="str">
        <f t="shared" si="2"/>
        <v>中山製鋼:阪和新断Ｂ</v>
      </c>
      <c r="H3927" s="340">
        <f t="shared" si="3"/>
        <v>48.3</v>
      </c>
      <c r="I3927" s="341">
        <v>1.0</v>
      </c>
      <c r="J3927" s="332">
        <f>IFERROR(__xludf.DUMMYFUNCTION("IF(IF(COUNTIF(P$2:P3926, P3927)=0, """", INDEX(H$2:H3926,
MAX(FILTER(ROW(H$2:H3926) - ROW(H$2) + 1, P$2:P3926 = P3927))))=""単価"","""",
IF(COUNTIF(P$2:P3926, P3927)=0, """", INDEX(H$2:H3926,
MAX(FILTER(ROW(H$2:H3926) - ROW(H$2) + 1, P$2:P3926 = P3927)))))"),47.3)</f>
        <v>47.3</v>
      </c>
      <c r="N3927" s="335" t="str">
        <f>IF(MAXIFS('単価履歴'!$O:$O,'単価履歴'!$E:$E,E3927,'単価履歴'!$F:$F,F3927)=O3927,"●","")</f>
        <v/>
      </c>
      <c r="O3927" s="346">
        <v>46076.66673611111</v>
      </c>
      <c r="P3927" s="334" t="str">
        <f t="shared" si="4"/>
        <v>中山製鋼:阪和新断Ｂ</v>
      </c>
    </row>
    <row r="3928" ht="15.75" customHeight="1">
      <c r="A3928" s="335" t="s">
        <v>5075</v>
      </c>
      <c r="B3928" s="336">
        <v>46074.0</v>
      </c>
      <c r="C3928" s="335" t="s">
        <v>5</v>
      </c>
      <c r="D3928" s="335" t="s">
        <v>46</v>
      </c>
      <c r="E3928" s="337" t="str">
        <f t="shared" si="1"/>
        <v>中山製鋼:阪和</v>
      </c>
      <c r="F3928" s="338" t="s">
        <v>574</v>
      </c>
      <c r="G3928" s="339" t="str">
        <f t="shared" si="2"/>
        <v>中山製鋼:阪和新断Ｃ</v>
      </c>
      <c r="H3928" s="340">
        <f t="shared" si="3"/>
        <v>47.3</v>
      </c>
      <c r="I3928" s="341">
        <v>1.0</v>
      </c>
      <c r="J3928" s="332">
        <f>IFERROR(__xludf.DUMMYFUNCTION("IF(IF(COUNTIF(P$2:P3927, P3928)=0, """", INDEX(H$2:H3927,
MAX(FILTER(ROW(H$2:H3927) - ROW(H$2) + 1, P$2:P3927 = P3928))))=""単価"","""",
IF(COUNTIF(P$2:P3927, P3928)=0, """", INDEX(H$2:H3927,
MAX(FILTER(ROW(H$2:H3927) - ROW(H$2) + 1, P$2:P3927 = P3928)))))"),46.3)</f>
        <v>46.3</v>
      </c>
      <c r="N3928" s="335" t="str">
        <f>IF(MAXIFS('単価履歴'!$O:$O,'単価履歴'!$E:$E,E3928,'単価履歴'!$F:$F,F3928)=O3928,"●","")</f>
        <v/>
      </c>
      <c r="O3928" s="346">
        <v>46076.66673611111</v>
      </c>
      <c r="P3928" s="334" t="str">
        <f t="shared" si="4"/>
        <v>中山製鋼:阪和新断Ｃ</v>
      </c>
    </row>
    <row r="3929" ht="15.75" customHeight="1">
      <c r="A3929" s="335" t="s">
        <v>5076</v>
      </c>
      <c r="B3929" s="336">
        <v>46074.0</v>
      </c>
      <c r="C3929" s="335" t="s">
        <v>5</v>
      </c>
      <c r="D3929" s="335" t="s">
        <v>47</v>
      </c>
      <c r="E3929" s="337" t="str">
        <f t="shared" si="1"/>
        <v>中山製鋼:豊通</v>
      </c>
      <c r="F3929" s="338" t="s">
        <v>1199</v>
      </c>
      <c r="G3929" s="339" t="str">
        <f t="shared" si="2"/>
        <v>中山製鋼:豊通ＨＳ１(単体H1/電特A/HS))</v>
      </c>
      <c r="H3929" s="340">
        <f t="shared" si="3"/>
        <v>48.3</v>
      </c>
      <c r="I3929" s="341">
        <v>1.0</v>
      </c>
      <c r="J3929" s="332">
        <f>IFERROR(__xludf.DUMMYFUNCTION("IF(IF(COUNTIF(P$2:P3928, P3929)=0, """", INDEX(H$2:H3928,
MAX(FILTER(ROW(H$2:H3928) - ROW(H$2) + 1, P$2:P3928 = P3929))))=""単価"","""",
IF(COUNTIF(P$2:P3928, P3929)=0, """", INDEX(H$2:H3928,
MAX(FILTER(ROW(H$2:H3928) - ROW(H$2) + 1, P$2:P3928 = P3929)))))"),47.3)</f>
        <v>47.3</v>
      </c>
      <c r="N3929" s="335" t="str">
        <f>IF(MAXIFS('単価履歴'!$O:$O,'単価履歴'!$E:$E,E3929,'単価履歴'!$F:$F,F3929)=O3929,"●","")</f>
        <v/>
      </c>
      <c r="O3929" s="346">
        <v>46076.66726851852</v>
      </c>
      <c r="P3929" s="334" t="str">
        <f t="shared" si="4"/>
        <v>中山製鋼:豊通ＨＳ１(単体H1/電特A/HS))</v>
      </c>
    </row>
    <row r="3930" ht="15.75" customHeight="1">
      <c r="A3930" s="335" t="s">
        <v>5077</v>
      </c>
      <c r="B3930" s="336">
        <v>46074.0</v>
      </c>
      <c r="C3930" s="335" t="s">
        <v>5</v>
      </c>
      <c r="D3930" s="335" t="s">
        <v>1232</v>
      </c>
      <c r="E3930" s="337" t="str">
        <f t="shared" si="1"/>
        <v>中山製鋼:豊通/出張商店</v>
      </c>
      <c r="F3930" s="338" t="s">
        <v>130</v>
      </c>
      <c r="G3930" s="339" t="str">
        <f t="shared" si="2"/>
        <v>中山製鋼:豊通/出張商店新断Ａ</v>
      </c>
      <c r="H3930" s="340">
        <f t="shared" si="3"/>
        <v>48.3</v>
      </c>
      <c r="I3930" s="341">
        <v>1.0</v>
      </c>
      <c r="J3930" s="332">
        <f>IFERROR(__xludf.DUMMYFUNCTION("IF(IF(COUNTIF(P$2:P3929, P3930)=0, """", INDEX(H$2:H3929,
MAX(FILTER(ROW(H$2:H3929) - ROW(H$2) + 1, P$2:P3929 = P3930))))=""単価"","""",
IF(COUNTIF(P$2:P3929, P3930)=0, """", INDEX(H$2:H3929,
MAX(FILTER(ROW(H$2:H3929) - ROW(H$2) + 1, P$2:P3929 = P3930)))))"),47.3)</f>
        <v>47.3</v>
      </c>
      <c r="N3930" s="335" t="str">
        <f>IF(MAXIFS('単価履歴'!$O:$O,'単価履歴'!$E:$E,E3930,'単価履歴'!$F:$F,F3930)=O3930,"●","")</f>
        <v/>
      </c>
      <c r="O3930" s="346">
        <v>46076.66746527777</v>
      </c>
      <c r="P3930" s="334" t="str">
        <f t="shared" si="4"/>
        <v>中山製鋼:豊通/出張商店新断Ａ</v>
      </c>
    </row>
    <row r="3931" ht="15.75" customHeight="1">
      <c r="A3931" s="335" t="s">
        <v>5078</v>
      </c>
      <c r="B3931" s="336">
        <v>46074.0</v>
      </c>
      <c r="C3931" s="335" t="s">
        <v>5</v>
      </c>
      <c r="D3931" s="335" t="s">
        <v>1234</v>
      </c>
      <c r="E3931" s="337" t="str">
        <f t="shared" si="1"/>
        <v>中山製鋼:豊通/中川嘉弘商店</v>
      </c>
      <c r="F3931" s="338" t="s">
        <v>130</v>
      </c>
      <c r="G3931" s="339" t="str">
        <f t="shared" si="2"/>
        <v>中山製鋼:豊通/中川嘉弘商店新断Ａ</v>
      </c>
      <c r="H3931" s="340">
        <f t="shared" si="3"/>
        <v>46.3</v>
      </c>
      <c r="I3931" s="341">
        <v>1.0</v>
      </c>
      <c r="J3931" s="332">
        <f>IFERROR(__xludf.DUMMYFUNCTION("IF(IF(COUNTIF(P$2:P3930, P3931)=0, """", INDEX(H$2:H3930,
MAX(FILTER(ROW(H$2:H3930) - ROW(H$2) + 1, P$2:P3930 = P3931))))=""単価"","""",
IF(COUNTIF(P$2:P3930, P3931)=0, """", INDEX(H$2:H3930,
MAX(FILTER(ROW(H$2:H3930) - ROW(H$2) + 1, P$2:P3930 = P3931)))))"),45.3)</f>
        <v>45.3</v>
      </c>
      <c r="N3931" s="335" t="str">
        <f>IF(MAXIFS('単価履歴'!$O:$O,'単価履歴'!$E:$E,E3931,'単価履歴'!$F:$F,F3931)=O3931,"●","")</f>
        <v/>
      </c>
      <c r="O3931" s="346">
        <v>46076.66746527777</v>
      </c>
      <c r="P3931" s="334" t="str">
        <f t="shared" si="4"/>
        <v>中山製鋼:豊通/中川嘉弘商店新断Ａ</v>
      </c>
    </row>
    <row r="3932" ht="15.75" customHeight="1">
      <c r="A3932" s="335" t="s">
        <v>5079</v>
      </c>
      <c r="B3932" s="336">
        <v>46074.0</v>
      </c>
      <c r="C3932" s="335" t="s">
        <v>6</v>
      </c>
      <c r="D3932" s="335" t="s">
        <v>48</v>
      </c>
      <c r="E3932" s="337" t="str">
        <f t="shared" si="1"/>
        <v>中山鋼業:ナベ</v>
      </c>
      <c r="F3932" s="338" t="s">
        <v>111</v>
      </c>
      <c r="G3932" s="339" t="str">
        <f t="shared" si="2"/>
        <v>中山鋼業:ナベＨ１(特A)</v>
      </c>
      <c r="H3932" s="340">
        <f t="shared" si="3"/>
        <v>46.5</v>
      </c>
      <c r="I3932" s="341">
        <v>1.0</v>
      </c>
      <c r="J3932" s="332">
        <f>IFERROR(__xludf.DUMMYFUNCTION("IF(IF(COUNTIF(P$2:P3931, P3932)=0, """", INDEX(H$2:H3931,
MAX(FILTER(ROW(H$2:H3931) - ROW(H$2) + 1, P$2:P3931 = P3932))))=""単価"","""",
IF(COUNTIF(P$2:P3931, P3932)=0, """", INDEX(H$2:H3931,
MAX(FILTER(ROW(H$2:H3931) - ROW(H$2) + 1, P$2:P3931 = P3932)))))"),45.5)</f>
        <v>45.5</v>
      </c>
      <c r="N3932" s="335" t="str">
        <f>IF(MAXIFS('単価履歴'!$O:$O,'単価履歴'!$E:$E,E3932,'単価履歴'!$F:$F,F3932)=O3932,"●","")</f>
        <v/>
      </c>
      <c r="O3932" s="346">
        <v>46076.66766203704</v>
      </c>
      <c r="P3932" s="334" t="str">
        <f t="shared" si="4"/>
        <v>中山鋼業:ナベＨ１(特A)</v>
      </c>
    </row>
    <row r="3933" ht="15.75" customHeight="1">
      <c r="A3933" s="335" t="s">
        <v>5080</v>
      </c>
      <c r="B3933" s="336">
        <v>46074.0</v>
      </c>
      <c r="C3933" s="335" t="s">
        <v>6</v>
      </c>
      <c r="D3933" s="335" t="s">
        <v>48</v>
      </c>
      <c r="E3933" s="337" t="str">
        <f t="shared" si="1"/>
        <v>中山鋼業:ナベ</v>
      </c>
      <c r="F3933" s="338" t="s">
        <v>1237</v>
      </c>
      <c r="G3933" s="339" t="str">
        <f t="shared" si="2"/>
        <v>中山鋼業:ナベＪＨ１(H2T山口)鍛造ﾊﾞﾘ</v>
      </c>
      <c r="H3933" s="340">
        <f t="shared" si="3"/>
        <v>45.2</v>
      </c>
      <c r="I3933" s="341">
        <v>1.0</v>
      </c>
      <c r="J3933" s="332">
        <f>IFERROR(__xludf.DUMMYFUNCTION("IF(IF(COUNTIF(P$2:P3932, P3933)=0, """", INDEX(H$2:H3932,
MAX(FILTER(ROW(H$2:H3932) - ROW(H$2) + 1, P$2:P3932 = P3933))))=""単価"","""",
IF(COUNTIF(P$2:P3932, P3933)=0, """", INDEX(H$2:H3932,
MAX(FILTER(ROW(H$2:H3932) - ROW(H$2) + 1, P$2:P3932 = P3933)))))"),44.2)</f>
        <v>44.2</v>
      </c>
      <c r="N3933" s="335" t="str">
        <f>IF(MAXIFS('単価履歴'!$O:$O,'単価履歴'!$E:$E,E3933,'単価履歴'!$F:$F,F3933)=O3933,"●","")</f>
        <v/>
      </c>
      <c r="O3933" s="346">
        <v>46076.66766203704</v>
      </c>
      <c r="P3933" s="334" t="str">
        <f t="shared" si="4"/>
        <v>中山鋼業:ナベＪＨ１(H2T山口)鍛造ﾊﾞﾘ</v>
      </c>
    </row>
    <row r="3934" ht="15.75" customHeight="1">
      <c r="A3934" s="335" t="s">
        <v>5081</v>
      </c>
      <c r="B3934" s="336">
        <v>46074.0</v>
      </c>
      <c r="C3934" s="335" t="s">
        <v>6</v>
      </c>
      <c r="D3934" s="335" t="s">
        <v>48</v>
      </c>
      <c r="E3934" s="337" t="str">
        <f t="shared" si="1"/>
        <v>中山鋼業:ナベ</v>
      </c>
      <c r="F3934" s="338" t="s">
        <v>116</v>
      </c>
      <c r="G3934" s="339" t="str">
        <f t="shared" si="2"/>
        <v>中山鋼業:ナベＨ２(特級)</v>
      </c>
      <c r="H3934" s="340">
        <f t="shared" si="3"/>
        <v>44.5</v>
      </c>
      <c r="I3934" s="341">
        <v>1.0</v>
      </c>
      <c r="J3934" s="332">
        <f>IFERROR(__xludf.DUMMYFUNCTION("IF(IF(COUNTIF(P$2:P3933, P3934)=0, """", INDEX(H$2:H3933,
MAX(FILTER(ROW(H$2:H3933) - ROW(H$2) + 1, P$2:P3933 = P3934))))=""単価"","""",
IF(COUNTIF(P$2:P3933, P3934)=0, """", INDEX(H$2:H3933,
MAX(FILTER(ROW(H$2:H3933) - ROW(H$2) + 1, P$2:P3933 = P3934)))))"),43.5)</f>
        <v>43.5</v>
      </c>
      <c r="N3934" s="335" t="str">
        <f>IF(MAXIFS('単価履歴'!$O:$O,'単価履歴'!$E:$E,E3934,'単価履歴'!$F:$F,F3934)=O3934,"●","")</f>
        <v/>
      </c>
      <c r="O3934" s="346">
        <v>46076.66766203704</v>
      </c>
      <c r="P3934" s="334" t="str">
        <f t="shared" si="4"/>
        <v>中山鋼業:ナベＨ２(特級)</v>
      </c>
    </row>
    <row r="3935" ht="15.75" customHeight="1">
      <c r="A3935" s="335" t="s">
        <v>5082</v>
      </c>
      <c r="B3935" s="336">
        <v>46074.0</v>
      </c>
      <c r="C3935" s="335" t="s">
        <v>6</v>
      </c>
      <c r="D3935" s="335" t="s">
        <v>48</v>
      </c>
      <c r="E3935" s="337" t="str">
        <f t="shared" si="1"/>
        <v>中山鋼業:ナベ</v>
      </c>
      <c r="F3935" s="338" t="s">
        <v>119</v>
      </c>
      <c r="G3935" s="339" t="str">
        <f t="shared" si="2"/>
        <v>中山鋼業:ナベＨ３(1級)</v>
      </c>
      <c r="H3935" s="340">
        <f t="shared" si="3"/>
        <v>43</v>
      </c>
      <c r="I3935" s="341">
        <v>1.0</v>
      </c>
      <c r="J3935" s="332">
        <f>IFERROR(__xludf.DUMMYFUNCTION("IF(IF(COUNTIF(P$2:P3934, P3935)=0, """", INDEX(H$2:H3934,
MAX(FILTER(ROW(H$2:H3934) - ROW(H$2) + 1, P$2:P3934 = P3935))))=""単価"","""",
IF(COUNTIF(P$2:P3934, P3935)=0, """", INDEX(H$2:H3934,
MAX(FILTER(ROW(H$2:H3934) - ROW(H$2) + 1, P$2:P3934 = P3935)))))"),42.0)</f>
        <v>42</v>
      </c>
      <c r="N3935" s="335" t="str">
        <f>IF(MAXIFS('単価履歴'!$O:$O,'単価履歴'!$E:$E,E3935,'単価履歴'!$F:$F,F3935)=O3935,"●","")</f>
        <v/>
      </c>
      <c r="O3935" s="346">
        <v>46076.66766203704</v>
      </c>
      <c r="P3935" s="334" t="str">
        <f t="shared" si="4"/>
        <v>中山鋼業:ナベＨ３(1級)</v>
      </c>
    </row>
    <row r="3936" ht="15.75" customHeight="1">
      <c r="A3936" s="335" t="s">
        <v>5083</v>
      </c>
      <c r="B3936" s="336">
        <v>46074.0</v>
      </c>
      <c r="C3936" s="335" t="s">
        <v>6</v>
      </c>
      <c r="D3936" s="335" t="s">
        <v>48</v>
      </c>
      <c r="E3936" s="337" t="str">
        <f t="shared" si="1"/>
        <v>中山鋼業:ナベ</v>
      </c>
      <c r="F3936" s="338" t="s">
        <v>122</v>
      </c>
      <c r="G3936" s="339" t="str">
        <f t="shared" si="2"/>
        <v>中山鋼業:ナベＬ１(2級)</v>
      </c>
      <c r="H3936" s="340">
        <f t="shared" si="3"/>
        <v>42.5</v>
      </c>
      <c r="I3936" s="341">
        <v>1.0</v>
      </c>
      <c r="J3936" s="332">
        <f>IFERROR(__xludf.DUMMYFUNCTION("IF(IF(COUNTIF(P$2:P3935, P3936)=0, """", INDEX(H$2:H3935,
MAX(FILTER(ROW(H$2:H3935) - ROW(H$2) + 1, P$2:P3935 = P3936))))=""単価"","""",
IF(COUNTIF(P$2:P3935, P3936)=0, """", INDEX(H$2:H3935,
MAX(FILTER(ROW(H$2:H3935) - ROW(H$2) + 1, P$2:P3935 = P3936)))))"),41.5)</f>
        <v>41.5</v>
      </c>
      <c r="N3936" s="335" t="str">
        <f>IF(MAXIFS('単価履歴'!$O:$O,'単価履歴'!$E:$E,E3936,'単価履歴'!$F:$F,F3936)=O3936,"●","")</f>
        <v/>
      </c>
      <c r="O3936" s="346">
        <v>46076.66766203704</v>
      </c>
      <c r="P3936" s="334" t="str">
        <f t="shared" si="4"/>
        <v>中山鋼業:ナベＬ１(2級)</v>
      </c>
    </row>
    <row r="3937" ht="15.75" customHeight="1">
      <c r="A3937" s="335" t="s">
        <v>5084</v>
      </c>
      <c r="B3937" s="336">
        <v>46074.0</v>
      </c>
      <c r="C3937" s="335" t="s">
        <v>6</v>
      </c>
      <c r="D3937" s="335" t="s">
        <v>48</v>
      </c>
      <c r="E3937" s="337" t="str">
        <f t="shared" si="1"/>
        <v>中山鋼業:ナベ</v>
      </c>
      <c r="F3937" s="338" t="s">
        <v>573</v>
      </c>
      <c r="G3937" s="339" t="str">
        <f t="shared" si="2"/>
        <v>中山鋼業:ナベＬ２(H4･級外･L1ﾊﾞﾗ)</v>
      </c>
      <c r="H3937" s="340">
        <f t="shared" si="3"/>
        <v>39</v>
      </c>
      <c r="I3937" s="341">
        <v>1.0</v>
      </c>
      <c r="J3937" s="332">
        <f>IFERROR(__xludf.DUMMYFUNCTION("IF(IF(COUNTIF(P$2:P3936, P3937)=0, """", INDEX(H$2:H3936,
MAX(FILTER(ROW(H$2:H3936) - ROW(H$2) + 1, P$2:P3936 = P3937))))=""単価"","""",
IF(COUNTIF(P$2:P3936, P3937)=0, """", INDEX(H$2:H3936,
MAX(FILTER(ROW(H$2:H3936) - ROW(H$2) + 1, P$2:P3936 = P3937)))))"),38.0)</f>
        <v>38</v>
      </c>
      <c r="N3937" s="335" t="str">
        <f>IF(MAXIFS('単価履歴'!$O:$O,'単価履歴'!$E:$E,E3937,'単価履歴'!$F:$F,F3937)=O3937,"●","")</f>
        <v/>
      </c>
      <c r="O3937" s="346">
        <v>46076.66766203704</v>
      </c>
      <c r="P3937" s="334" t="str">
        <f t="shared" si="4"/>
        <v>中山鋼業:ナベＬ２(H4･級外･L1ﾊﾞﾗ)</v>
      </c>
    </row>
    <row r="3938" ht="15.75" customHeight="1">
      <c r="A3938" s="335" t="s">
        <v>5085</v>
      </c>
      <c r="B3938" s="336">
        <v>46074.0</v>
      </c>
      <c r="C3938" s="335" t="s">
        <v>6</v>
      </c>
      <c r="D3938" s="335" t="s">
        <v>48</v>
      </c>
      <c r="E3938" s="337" t="str">
        <f t="shared" si="1"/>
        <v>中山鋼業:ナベ</v>
      </c>
      <c r="F3938" s="338" t="s">
        <v>130</v>
      </c>
      <c r="G3938" s="339" t="str">
        <f t="shared" si="2"/>
        <v>中山鋼業:ナベ新断Ａ</v>
      </c>
      <c r="H3938" s="340">
        <f t="shared" si="3"/>
        <v>2.5</v>
      </c>
      <c r="I3938" s="341">
        <v>1.0</v>
      </c>
      <c r="J3938" s="332">
        <f>IFERROR(__xludf.DUMMYFUNCTION("IF(IF(COUNTIF(P$2:P3937, P3938)=0, """", INDEX(H$2:H3937,
MAX(FILTER(ROW(H$2:H3937) - ROW(H$2) + 1, P$2:P3937 = P3938))))=""単価"","""",
IF(COUNTIF(P$2:P3937, P3938)=0, """", INDEX(H$2:H3937,
MAX(FILTER(ROW(H$2:H3937) - ROW(H$2) + 1, P$2:P3937 = P3938)))))"),1.5)</f>
        <v>1.5</v>
      </c>
      <c r="N3938" s="335" t="str">
        <f>IF(MAXIFS('単価履歴'!$O:$O,'単価履歴'!$E:$E,E3938,'単価履歴'!$F:$F,F3938)=O3938,"●","")</f>
        <v/>
      </c>
      <c r="O3938" s="346">
        <v>46076.66766203704</v>
      </c>
      <c r="P3938" s="334" t="str">
        <f t="shared" si="4"/>
        <v>中山鋼業:ナベ新断Ａ</v>
      </c>
    </row>
    <row r="3939" ht="15.75" customHeight="1">
      <c r="A3939" s="335" t="s">
        <v>5086</v>
      </c>
      <c r="B3939" s="336">
        <v>46074.0</v>
      </c>
      <c r="C3939" s="335" t="s">
        <v>6</v>
      </c>
      <c r="D3939" s="335" t="s">
        <v>48</v>
      </c>
      <c r="E3939" s="337" t="str">
        <f t="shared" si="1"/>
        <v>中山鋼業:ナベ</v>
      </c>
      <c r="F3939" s="338" t="s">
        <v>575</v>
      </c>
      <c r="G3939" s="339" t="str">
        <f t="shared" si="2"/>
        <v>中山鋼業:ナベ鋼ダライＡ</v>
      </c>
      <c r="H3939" s="340">
        <f t="shared" si="3"/>
        <v>35.7</v>
      </c>
      <c r="I3939" s="341">
        <v>1.0</v>
      </c>
      <c r="J3939" s="332">
        <f>IFERROR(__xludf.DUMMYFUNCTION("IF(IF(COUNTIF(P$2:P3938, P3939)=0, """", INDEX(H$2:H3938,
MAX(FILTER(ROW(H$2:H3938) - ROW(H$2) + 1, P$2:P3938 = P3939))))=""単価"","""",
IF(COUNTIF(P$2:P3938, P3939)=0, """", INDEX(H$2:H3938,
MAX(FILTER(ROW(H$2:H3938) - ROW(H$2) + 1, P$2:P3938 = P3939)))))"),34.7)</f>
        <v>34.7</v>
      </c>
      <c r="N3939" s="335" t="str">
        <f>IF(MAXIFS('単価履歴'!$O:$O,'単価履歴'!$E:$E,E3939,'単価履歴'!$F:$F,F3939)=O3939,"●","")</f>
        <v/>
      </c>
      <c r="O3939" s="346">
        <v>46076.66766203704</v>
      </c>
      <c r="P3939" s="334" t="str">
        <f t="shared" si="4"/>
        <v>中山鋼業:ナベ鋼ダライＡ</v>
      </c>
    </row>
    <row r="3940" ht="15.75" customHeight="1">
      <c r="A3940" s="335" t="s">
        <v>5087</v>
      </c>
      <c r="B3940" s="336">
        <v>46074.0</v>
      </c>
      <c r="C3940" s="335" t="s">
        <v>7</v>
      </c>
      <c r="D3940" s="335" t="s">
        <v>49</v>
      </c>
      <c r="E3940" s="337" t="str">
        <f t="shared" si="1"/>
        <v>合同大阪:伊藤忠</v>
      </c>
      <c r="F3940" s="338" t="s">
        <v>1199</v>
      </c>
      <c r="G3940" s="339" t="str">
        <f t="shared" si="2"/>
        <v>合同大阪:伊藤忠ＨＳ１(単体H1/電特A/HS))</v>
      </c>
      <c r="H3940" s="340">
        <f t="shared" si="3"/>
        <v>47.3</v>
      </c>
      <c r="I3940" s="341">
        <v>0.5</v>
      </c>
      <c r="J3940" s="332">
        <f>IFERROR(__xludf.DUMMYFUNCTION("IF(IF(COUNTIF(P$2:P3939, P3940)=0, """", INDEX(H$2:H3939,
MAX(FILTER(ROW(H$2:H3939) - ROW(H$2) + 1, P$2:P3939 = P3940))))=""単価"","""",
IF(COUNTIF(P$2:P3939, P3940)=0, """", INDEX(H$2:H3939,
MAX(FILTER(ROW(H$2:H3939) - ROW(H$2) + 1, P$2:P3939 = P3940)))))"),46.8)</f>
        <v>46.8</v>
      </c>
      <c r="N3940" s="335" t="str">
        <f>IF(MAXIFS('単価履歴'!$O:$O,'単価履歴'!$E:$E,E3940,'単価履歴'!$F:$F,F3940)=O3940,"●","")</f>
        <v/>
      </c>
      <c r="O3940" s="346">
        <v>46076.668125</v>
      </c>
      <c r="P3940" s="334" t="str">
        <f t="shared" si="4"/>
        <v>合同大阪:伊藤忠ＨＳ１(単体H1/電特A/HS))</v>
      </c>
    </row>
    <row r="3941" ht="15.75" customHeight="1">
      <c r="A3941" s="335" t="s">
        <v>5088</v>
      </c>
      <c r="B3941" s="336">
        <v>46074.0</v>
      </c>
      <c r="C3941" s="335" t="s">
        <v>7</v>
      </c>
      <c r="D3941" s="335" t="s">
        <v>49</v>
      </c>
      <c r="E3941" s="337" t="str">
        <f t="shared" si="1"/>
        <v>合同大阪:伊藤忠</v>
      </c>
      <c r="F3941" s="338" t="s">
        <v>101</v>
      </c>
      <c r="G3941" s="339" t="str">
        <f t="shared" si="2"/>
        <v>合同大阪:伊藤忠ＨＳ２</v>
      </c>
      <c r="H3941" s="340">
        <f t="shared" si="3"/>
        <v>46.8</v>
      </c>
      <c r="I3941" s="341">
        <v>0.5</v>
      </c>
      <c r="J3941" s="332">
        <f>IFERROR(__xludf.DUMMYFUNCTION("IF(IF(COUNTIF(P$2:P3940, P3941)=0, """", INDEX(H$2:H3940,
MAX(FILTER(ROW(H$2:H3940) - ROW(H$2) + 1, P$2:P3940 = P3941))))=""単価"","""",
IF(COUNTIF(P$2:P3940, P3941)=0, """", INDEX(H$2:H3940,
MAX(FILTER(ROW(H$2:H3940) - ROW(H$2) + 1, P$2:P3940 = P3941)))))"),46.3)</f>
        <v>46.3</v>
      </c>
      <c r="N3941" s="335" t="str">
        <f>IF(MAXIFS('単価履歴'!$O:$O,'単価履歴'!$E:$E,E3941,'単価履歴'!$F:$F,F3941)=O3941,"●","")</f>
        <v/>
      </c>
      <c r="O3941" s="346">
        <v>46076.668125</v>
      </c>
      <c r="P3941" s="334" t="str">
        <f t="shared" si="4"/>
        <v>合同大阪:伊藤忠ＨＳ２</v>
      </c>
    </row>
    <row r="3942" ht="15.75" customHeight="1">
      <c r="A3942" s="335" t="s">
        <v>5089</v>
      </c>
      <c r="B3942" s="336">
        <v>46074.0</v>
      </c>
      <c r="C3942" s="335" t="s">
        <v>7</v>
      </c>
      <c r="D3942" s="335" t="s">
        <v>49</v>
      </c>
      <c r="E3942" s="337" t="str">
        <f t="shared" si="1"/>
        <v>合同大阪:伊藤忠</v>
      </c>
      <c r="F3942" s="338" t="s">
        <v>111</v>
      </c>
      <c r="G3942" s="339" t="str">
        <f t="shared" si="2"/>
        <v>合同大阪:伊藤忠Ｈ１(特A)</v>
      </c>
      <c r="H3942" s="340">
        <f t="shared" si="3"/>
        <v>47.8</v>
      </c>
      <c r="I3942" s="341">
        <v>0.5</v>
      </c>
      <c r="J3942" s="332">
        <f>IFERROR(__xludf.DUMMYFUNCTION("IF(IF(COUNTIF(P$2:P3941, P3942)=0, """", INDEX(H$2:H3941,
MAX(FILTER(ROW(H$2:H3941) - ROW(H$2) + 1, P$2:P3941 = P3942))))=""単価"","""",
IF(COUNTIF(P$2:P3941, P3942)=0, """", INDEX(H$2:H3941,
MAX(FILTER(ROW(H$2:H3941) - ROW(H$2) + 1, P$2:P3941 = P3942)))))"),47.3)</f>
        <v>47.3</v>
      </c>
      <c r="N3942" s="335" t="str">
        <f>IF(MAXIFS('単価履歴'!$O:$O,'単価履歴'!$E:$E,E3942,'単価履歴'!$F:$F,F3942)=O3942,"●","")</f>
        <v/>
      </c>
      <c r="O3942" s="346">
        <v>46076.668125</v>
      </c>
      <c r="P3942" s="334" t="str">
        <f t="shared" si="4"/>
        <v>合同大阪:伊藤忠Ｈ１(特A)</v>
      </c>
    </row>
    <row r="3943" ht="15.75" customHeight="1">
      <c r="A3943" s="335" t="s">
        <v>5090</v>
      </c>
      <c r="B3943" s="336">
        <v>46074.0</v>
      </c>
      <c r="C3943" s="335" t="s">
        <v>7</v>
      </c>
      <c r="D3943" s="335" t="s">
        <v>49</v>
      </c>
      <c r="E3943" s="337" t="str">
        <f t="shared" si="1"/>
        <v>合同大阪:伊藤忠</v>
      </c>
      <c r="F3943" s="338" t="s">
        <v>116</v>
      </c>
      <c r="G3943" s="339" t="str">
        <f t="shared" si="2"/>
        <v>合同大阪:伊藤忠Ｈ２(特級)</v>
      </c>
      <c r="H3943" s="340">
        <f t="shared" si="3"/>
        <v>45.8</v>
      </c>
      <c r="I3943" s="341">
        <v>0.5</v>
      </c>
      <c r="J3943" s="332">
        <f>IFERROR(__xludf.DUMMYFUNCTION("IF(IF(COUNTIF(P$2:P3942, P3943)=0, """", INDEX(H$2:H3942,
MAX(FILTER(ROW(H$2:H3942) - ROW(H$2) + 1, P$2:P3942 = P3943))))=""単価"","""",
IF(COUNTIF(P$2:P3942, P3943)=0, """", INDEX(H$2:H3942,
MAX(FILTER(ROW(H$2:H3942) - ROW(H$2) + 1, P$2:P3942 = P3943)))))"),45.3)</f>
        <v>45.3</v>
      </c>
      <c r="N3943" s="335" t="str">
        <f>IF(MAXIFS('単価履歴'!$O:$O,'単価履歴'!$E:$E,E3943,'単価履歴'!$F:$F,F3943)=O3943,"●","")</f>
        <v/>
      </c>
      <c r="O3943" s="346">
        <v>46076.668125</v>
      </c>
      <c r="P3943" s="334" t="str">
        <f t="shared" si="4"/>
        <v>合同大阪:伊藤忠Ｈ２(特級)</v>
      </c>
    </row>
    <row r="3944" ht="15.75" customHeight="1">
      <c r="A3944" s="335" t="s">
        <v>5091</v>
      </c>
      <c r="B3944" s="336">
        <v>46074.0</v>
      </c>
      <c r="C3944" s="335" t="s">
        <v>7</v>
      </c>
      <c r="D3944" s="335" t="s">
        <v>49</v>
      </c>
      <c r="E3944" s="337" t="str">
        <f t="shared" si="1"/>
        <v>合同大阪:伊藤忠</v>
      </c>
      <c r="F3944" s="338" t="s">
        <v>119</v>
      </c>
      <c r="G3944" s="339" t="str">
        <f t="shared" si="2"/>
        <v>合同大阪:伊藤忠Ｈ３(1級)</v>
      </c>
      <c r="H3944" s="340">
        <f t="shared" si="3"/>
        <v>45.3</v>
      </c>
      <c r="I3944" s="341">
        <v>0.5</v>
      </c>
      <c r="J3944" s="332">
        <f>IFERROR(__xludf.DUMMYFUNCTION("IF(IF(COUNTIF(P$2:P3943, P3944)=0, """", INDEX(H$2:H3943,
MAX(FILTER(ROW(H$2:H3943) - ROW(H$2) + 1, P$2:P3943 = P3944))))=""単価"","""",
IF(COUNTIF(P$2:P3943, P3944)=0, """", INDEX(H$2:H3943,
MAX(FILTER(ROW(H$2:H3943) - ROW(H$2) + 1, P$2:P3943 = P3944)))))"),44.8)</f>
        <v>44.8</v>
      </c>
      <c r="N3944" s="335" t="str">
        <f>IF(MAXIFS('単価履歴'!$O:$O,'単価履歴'!$E:$E,E3944,'単価履歴'!$F:$F,F3944)=O3944,"●","")</f>
        <v/>
      </c>
      <c r="O3944" s="346">
        <v>46076.668125</v>
      </c>
      <c r="P3944" s="334" t="str">
        <f t="shared" si="4"/>
        <v>合同大阪:伊藤忠Ｈ３(1級)</v>
      </c>
    </row>
    <row r="3945" ht="15.75" customHeight="1">
      <c r="A3945" s="335" t="s">
        <v>5092</v>
      </c>
      <c r="B3945" s="336">
        <v>46074.0</v>
      </c>
      <c r="C3945" s="335" t="s">
        <v>7</v>
      </c>
      <c r="D3945" s="335" t="s">
        <v>49</v>
      </c>
      <c r="E3945" s="337" t="str">
        <f t="shared" si="1"/>
        <v>合同大阪:伊藤忠</v>
      </c>
      <c r="F3945" s="338" t="s">
        <v>122</v>
      </c>
      <c r="G3945" s="339" t="str">
        <f t="shared" si="2"/>
        <v>合同大阪:伊藤忠Ｌ１(2級)</v>
      </c>
      <c r="H3945" s="340">
        <f t="shared" si="3"/>
        <v>44.3</v>
      </c>
      <c r="I3945" s="341">
        <v>0.5</v>
      </c>
      <c r="J3945" s="332">
        <f>IFERROR(__xludf.DUMMYFUNCTION("IF(IF(COUNTIF(P$2:P3944, P3945)=0, """", INDEX(H$2:H3944,
MAX(FILTER(ROW(H$2:H3944) - ROW(H$2) + 1, P$2:P3944 = P3945))))=""単価"","""",
IF(COUNTIF(P$2:P3944, P3945)=0, """", INDEX(H$2:H3944,
MAX(FILTER(ROW(H$2:H3944) - ROW(H$2) + 1, P$2:P3944 = P3945)))))"),43.8)</f>
        <v>43.8</v>
      </c>
      <c r="N3945" s="335" t="str">
        <f>IF(MAXIFS('単価履歴'!$O:$O,'単価履歴'!$E:$E,E3945,'単価履歴'!$F:$F,F3945)=O3945,"●","")</f>
        <v/>
      </c>
      <c r="O3945" s="346">
        <v>46076.668125</v>
      </c>
      <c r="P3945" s="334" t="str">
        <f t="shared" si="4"/>
        <v>合同大阪:伊藤忠Ｌ１(2級)</v>
      </c>
    </row>
    <row r="3946" ht="15.75" customHeight="1">
      <c r="A3946" s="335" t="s">
        <v>5093</v>
      </c>
      <c r="B3946" s="336">
        <v>46074.0</v>
      </c>
      <c r="C3946" s="335" t="s">
        <v>7</v>
      </c>
      <c r="D3946" s="335" t="s">
        <v>49</v>
      </c>
      <c r="E3946" s="337" t="str">
        <f t="shared" si="1"/>
        <v>合同大阪:伊藤忠</v>
      </c>
      <c r="F3946" s="338" t="s">
        <v>130</v>
      </c>
      <c r="G3946" s="339" t="str">
        <f t="shared" si="2"/>
        <v>合同大阪:伊藤忠新断Ａ</v>
      </c>
      <c r="H3946" s="340">
        <f t="shared" si="3"/>
        <v>48.3</v>
      </c>
      <c r="I3946" s="341">
        <v>0.5</v>
      </c>
      <c r="J3946" s="332">
        <f>IFERROR(__xludf.DUMMYFUNCTION("IF(IF(COUNTIF(P$2:P3945, P3946)=0, """", INDEX(H$2:H3945,
MAX(FILTER(ROW(H$2:H3945) - ROW(H$2) + 1, P$2:P3945 = P3946))))=""単価"","""",
IF(COUNTIF(P$2:P3945, P3946)=0, """", INDEX(H$2:H3945,
MAX(FILTER(ROW(H$2:H3945) - ROW(H$2) + 1, P$2:P3945 = P3946)))))"),47.8)</f>
        <v>47.8</v>
      </c>
      <c r="N3946" s="335" t="str">
        <f>IF(MAXIFS('単価履歴'!$O:$O,'単価履歴'!$E:$E,E3946,'単価履歴'!$F:$F,F3946)=O3946,"●","")</f>
        <v/>
      </c>
      <c r="O3946" s="346">
        <v>46076.668125</v>
      </c>
      <c r="P3946" s="334" t="str">
        <f t="shared" si="4"/>
        <v>合同大阪:伊藤忠新断Ａ</v>
      </c>
    </row>
    <row r="3947" ht="15.75" customHeight="1">
      <c r="A3947" s="335" t="s">
        <v>5094</v>
      </c>
      <c r="B3947" s="336">
        <v>46074.0</v>
      </c>
      <c r="C3947" s="335" t="s">
        <v>7</v>
      </c>
      <c r="D3947" s="335" t="s">
        <v>49</v>
      </c>
      <c r="E3947" s="337" t="str">
        <f t="shared" si="1"/>
        <v>合同大阪:伊藤忠</v>
      </c>
      <c r="F3947" s="338" t="s">
        <v>131</v>
      </c>
      <c r="G3947" s="339" t="str">
        <f t="shared" si="2"/>
        <v>合同大阪:伊藤忠新断Ｂ</v>
      </c>
      <c r="H3947" s="340">
        <f t="shared" si="3"/>
        <v>47.8</v>
      </c>
      <c r="I3947" s="341">
        <v>0.5</v>
      </c>
      <c r="J3947" s="332">
        <f>IFERROR(__xludf.DUMMYFUNCTION("IF(IF(COUNTIF(P$2:P3946, P3947)=0, """", INDEX(H$2:H3946,
MAX(FILTER(ROW(H$2:H3946) - ROW(H$2) + 1, P$2:P3946 = P3947))))=""単価"","""",
IF(COUNTIF(P$2:P3946, P3947)=0, """", INDEX(H$2:H3946,
MAX(FILTER(ROW(H$2:H3946) - ROW(H$2) + 1, P$2:P3946 = P3947)))))"),47.3)</f>
        <v>47.3</v>
      </c>
      <c r="N3947" s="335" t="str">
        <f>IF(MAXIFS('単価履歴'!$O:$O,'単価履歴'!$E:$E,E3947,'単価履歴'!$F:$F,F3947)=O3947,"●","")</f>
        <v/>
      </c>
      <c r="O3947" s="346">
        <v>46076.668125</v>
      </c>
      <c r="P3947" s="334" t="str">
        <f t="shared" si="4"/>
        <v>合同大阪:伊藤忠新断Ｂ</v>
      </c>
    </row>
    <row r="3948" ht="15.75" customHeight="1">
      <c r="A3948" s="335" t="s">
        <v>5095</v>
      </c>
      <c r="B3948" s="336">
        <v>46074.0</v>
      </c>
      <c r="C3948" s="335" t="s">
        <v>7</v>
      </c>
      <c r="D3948" s="335" t="s">
        <v>49</v>
      </c>
      <c r="E3948" s="337" t="str">
        <f t="shared" si="1"/>
        <v>合同大阪:伊藤忠</v>
      </c>
      <c r="F3948" s="338" t="s">
        <v>575</v>
      </c>
      <c r="G3948" s="339" t="str">
        <f t="shared" si="2"/>
        <v>合同大阪:伊藤忠鋼ダライＡ</v>
      </c>
      <c r="H3948" s="340">
        <f t="shared" si="3"/>
        <v>35.8</v>
      </c>
      <c r="I3948" s="341">
        <v>0.5</v>
      </c>
      <c r="J3948" s="332">
        <f>IFERROR(__xludf.DUMMYFUNCTION("IF(IF(COUNTIF(P$2:P3947, P3948)=0, """", INDEX(H$2:H3947,
MAX(FILTER(ROW(H$2:H3947) - ROW(H$2) + 1, P$2:P3947 = P3948))))=""単価"","""",
IF(COUNTIF(P$2:P3947, P3948)=0, """", INDEX(H$2:H3947,
MAX(FILTER(ROW(H$2:H3947) - ROW(H$2) + 1, P$2:P3947 = P3948)))))"),35.3)</f>
        <v>35.3</v>
      </c>
      <c r="N3948" s="335" t="str">
        <f>IF(MAXIFS('単価履歴'!$O:$O,'単価履歴'!$E:$E,E3948,'単価履歴'!$F:$F,F3948)=O3948,"●","")</f>
        <v/>
      </c>
      <c r="O3948" s="346">
        <v>46076.668125</v>
      </c>
      <c r="P3948" s="334" t="str">
        <f t="shared" si="4"/>
        <v>合同大阪:伊藤忠鋼ダライＡ</v>
      </c>
    </row>
    <row r="3949" ht="15.75" customHeight="1">
      <c r="A3949" s="335" t="s">
        <v>5096</v>
      </c>
      <c r="B3949" s="336">
        <v>46074.0</v>
      </c>
      <c r="C3949" s="335" t="s">
        <v>7</v>
      </c>
      <c r="D3949" s="335" t="s">
        <v>49</v>
      </c>
      <c r="E3949" s="337" t="str">
        <f t="shared" si="1"/>
        <v>合同大阪:伊藤忠</v>
      </c>
      <c r="F3949" s="338" t="s">
        <v>576</v>
      </c>
      <c r="G3949" s="339" t="str">
        <f t="shared" si="2"/>
        <v>合同大阪:伊藤忠鋼ダライＢ</v>
      </c>
      <c r="H3949" s="340">
        <f t="shared" si="3"/>
        <v>35.3</v>
      </c>
      <c r="I3949" s="341">
        <v>0.5</v>
      </c>
      <c r="J3949" s="332">
        <f>IFERROR(__xludf.DUMMYFUNCTION("IF(IF(COUNTIF(P$2:P3948, P3949)=0, """", INDEX(H$2:H3948,
MAX(FILTER(ROW(H$2:H3948) - ROW(H$2) + 1, P$2:P3948 = P3949))))=""単価"","""",
IF(COUNTIF(P$2:P3948, P3949)=0, """", INDEX(H$2:H3948,
MAX(FILTER(ROW(H$2:H3948) - ROW(H$2) + 1, P$2:P3948 = P3949)))))"),34.8)</f>
        <v>34.8</v>
      </c>
      <c r="N3949" s="335" t="str">
        <f>IF(MAXIFS('単価履歴'!$O:$O,'単価履歴'!$E:$E,E3949,'単価履歴'!$F:$F,F3949)=O3949,"●","")</f>
        <v/>
      </c>
      <c r="O3949" s="346">
        <v>46076.668125</v>
      </c>
      <c r="P3949" s="334" t="str">
        <f t="shared" si="4"/>
        <v>合同大阪:伊藤忠鋼ダライＢ</v>
      </c>
    </row>
    <row r="3950" ht="15.75" customHeight="1">
      <c r="A3950" s="335" t="s">
        <v>5097</v>
      </c>
      <c r="B3950" s="336">
        <v>46074.0</v>
      </c>
      <c r="C3950" s="335" t="s">
        <v>10</v>
      </c>
      <c r="D3950" s="335" t="s">
        <v>47</v>
      </c>
      <c r="E3950" s="337" t="str">
        <f t="shared" si="1"/>
        <v>岸和田:豊通</v>
      </c>
      <c r="F3950" s="338" t="s">
        <v>111</v>
      </c>
      <c r="G3950" s="339" t="str">
        <f t="shared" si="2"/>
        <v>岸和田:豊通Ｈ１(特A)</v>
      </c>
      <c r="H3950" s="340">
        <f t="shared" si="3"/>
        <v>45.5</v>
      </c>
      <c r="I3950" s="341">
        <v>1.0</v>
      </c>
      <c r="J3950" s="332">
        <f>IFERROR(__xludf.DUMMYFUNCTION("IF(IF(COUNTIF(P$2:P3949, P3950)=0, """", INDEX(H$2:H3949,
MAX(FILTER(ROW(H$2:H3949) - ROW(H$2) + 1, P$2:P3949 = P3950))))=""単価"","""",
IF(COUNTIF(P$2:P3949, P3950)=0, """", INDEX(H$2:H3949,
MAX(FILTER(ROW(H$2:H3949) - ROW(H$2) + 1, P$2:P3949 = P3950)))))"),44.5)</f>
        <v>44.5</v>
      </c>
      <c r="N3950" s="335" t="str">
        <f>IF(MAXIFS('単価履歴'!$O:$O,'単価履歴'!$E:$E,E3950,'単価履歴'!$F:$F,F3950)=O3950,"●","")</f>
        <v/>
      </c>
      <c r="O3950" s="346">
        <v>46076.66881944444</v>
      </c>
      <c r="P3950" s="334" t="str">
        <f t="shared" si="4"/>
        <v>岸和田:豊通Ｈ１(特A)</v>
      </c>
    </row>
    <row r="3951" ht="15.75" customHeight="1">
      <c r="A3951" s="335" t="s">
        <v>5098</v>
      </c>
      <c r="B3951" s="336">
        <v>46074.0</v>
      </c>
      <c r="C3951" s="335" t="s">
        <v>10</v>
      </c>
      <c r="D3951" s="335" t="s">
        <v>47</v>
      </c>
      <c r="E3951" s="337" t="str">
        <f t="shared" si="1"/>
        <v>岸和田:豊通</v>
      </c>
      <c r="F3951" s="338" t="s">
        <v>116</v>
      </c>
      <c r="G3951" s="339" t="str">
        <f t="shared" si="2"/>
        <v>岸和田:豊通Ｈ２(特級)</v>
      </c>
      <c r="H3951" s="340">
        <f t="shared" si="3"/>
        <v>43</v>
      </c>
      <c r="I3951" s="341">
        <v>1.0</v>
      </c>
      <c r="J3951" s="332">
        <f>IFERROR(__xludf.DUMMYFUNCTION("IF(IF(COUNTIF(P$2:P3950, P3951)=0, """", INDEX(H$2:H3950,
MAX(FILTER(ROW(H$2:H3950) - ROW(H$2) + 1, P$2:P3950 = P3951))))=""単価"","""",
IF(COUNTIF(P$2:P3950, P3951)=0, """", INDEX(H$2:H3950,
MAX(FILTER(ROW(H$2:H3950) - ROW(H$2) + 1, P$2:P3950 = P3951)))))"),42.0)</f>
        <v>42</v>
      </c>
      <c r="N3951" s="335" t="str">
        <f>IF(MAXIFS('単価履歴'!$O:$O,'単価履歴'!$E:$E,E3951,'単価履歴'!$F:$F,F3951)=O3951,"●","")</f>
        <v/>
      </c>
      <c r="O3951" s="346">
        <v>46076.66881944444</v>
      </c>
      <c r="P3951" s="334" t="str">
        <f t="shared" si="4"/>
        <v>岸和田:豊通Ｈ２(特級)</v>
      </c>
    </row>
    <row r="3952" ht="15.75" customHeight="1">
      <c r="A3952" s="335" t="s">
        <v>5099</v>
      </c>
      <c r="B3952" s="336">
        <v>46074.0</v>
      </c>
      <c r="C3952" s="335" t="s">
        <v>10</v>
      </c>
      <c r="D3952" s="335" t="s">
        <v>47</v>
      </c>
      <c r="E3952" s="337" t="str">
        <f t="shared" si="1"/>
        <v>岸和田:豊通</v>
      </c>
      <c r="F3952" s="338" t="s">
        <v>119</v>
      </c>
      <c r="G3952" s="339" t="str">
        <f t="shared" si="2"/>
        <v>岸和田:豊通Ｈ３(1級)</v>
      </c>
      <c r="H3952" s="340">
        <f t="shared" si="3"/>
        <v>42.5</v>
      </c>
      <c r="I3952" s="341">
        <v>1.0</v>
      </c>
      <c r="J3952" s="332">
        <f>IFERROR(__xludf.DUMMYFUNCTION("IF(IF(COUNTIF(P$2:P3951, P3952)=0, """", INDEX(H$2:H3951,
MAX(FILTER(ROW(H$2:H3951) - ROW(H$2) + 1, P$2:P3951 = P3952))))=""単価"","""",
IF(COUNTIF(P$2:P3951, P3952)=0, """", INDEX(H$2:H3951,
MAX(FILTER(ROW(H$2:H3951) - ROW(H$2) + 1, P$2:P3951 = P3952)))))"),41.5)</f>
        <v>41.5</v>
      </c>
      <c r="N3952" s="335" t="str">
        <f>IF(MAXIFS('単価履歴'!$O:$O,'単価履歴'!$E:$E,E3952,'単価履歴'!$F:$F,F3952)=O3952,"●","")</f>
        <v/>
      </c>
      <c r="O3952" s="346">
        <v>46076.66881944444</v>
      </c>
      <c r="P3952" s="334" t="str">
        <f t="shared" si="4"/>
        <v>岸和田:豊通Ｈ３(1級)</v>
      </c>
    </row>
    <row r="3953" ht="15.75" customHeight="1">
      <c r="A3953" s="335" t="s">
        <v>5100</v>
      </c>
      <c r="B3953" s="336">
        <v>46074.0</v>
      </c>
      <c r="C3953" s="335" t="s">
        <v>10</v>
      </c>
      <c r="D3953" s="335" t="s">
        <v>47</v>
      </c>
      <c r="E3953" s="337" t="str">
        <f t="shared" si="1"/>
        <v>岸和田:豊通</v>
      </c>
      <c r="F3953" s="338" t="s">
        <v>122</v>
      </c>
      <c r="G3953" s="339" t="str">
        <f t="shared" si="2"/>
        <v>岸和田:豊通Ｌ１(2級)</v>
      </c>
      <c r="H3953" s="340">
        <f t="shared" si="3"/>
        <v>42</v>
      </c>
      <c r="I3953" s="341">
        <v>1.0</v>
      </c>
      <c r="J3953" s="332">
        <f>IFERROR(__xludf.DUMMYFUNCTION("IF(IF(COUNTIF(P$2:P3952, P3953)=0, """", INDEX(H$2:H3952,
MAX(FILTER(ROW(H$2:H3952) - ROW(H$2) + 1, P$2:P3952 = P3953))))=""単価"","""",
IF(COUNTIF(P$2:P3952, P3953)=0, """", INDEX(H$2:H3952,
MAX(FILTER(ROW(H$2:H3952) - ROW(H$2) + 1, P$2:P3952 = P3953)))))"),41.0)</f>
        <v>41</v>
      </c>
      <c r="N3953" s="335" t="str">
        <f>IF(MAXIFS('単価履歴'!$O:$O,'単価履歴'!$E:$E,E3953,'単価履歴'!$F:$F,F3953)=O3953,"●","")</f>
        <v/>
      </c>
      <c r="O3953" s="346">
        <v>46076.66881944444</v>
      </c>
      <c r="P3953" s="334" t="str">
        <f t="shared" si="4"/>
        <v>岸和田:豊通Ｌ１(2級)</v>
      </c>
    </row>
    <row r="3954" ht="15.75" customHeight="1">
      <c r="A3954" s="335" t="s">
        <v>5101</v>
      </c>
      <c r="B3954" s="336">
        <v>46074.0</v>
      </c>
      <c r="C3954" s="335" t="s">
        <v>10</v>
      </c>
      <c r="D3954" s="335" t="s">
        <v>47</v>
      </c>
      <c r="E3954" s="337" t="str">
        <f t="shared" si="1"/>
        <v>岸和田:豊通</v>
      </c>
      <c r="F3954" s="338" t="s">
        <v>154</v>
      </c>
      <c r="G3954" s="339" t="str">
        <f t="shared" si="2"/>
        <v>岸和田:豊通ＣＰ Ａ</v>
      </c>
      <c r="H3954" s="340">
        <f t="shared" si="3"/>
        <v>45.2</v>
      </c>
      <c r="I3954" s="341">
        <v>1.0</v>
      </c>
      <c r="J3954" s="332">
        <f>IFERROR(__xludf.DUMMYFUNCTION("IF(IF(COUNTIF(P$2:P3953, P3954)=0, """", INDEX(H$2:H3953,
MAX(FILTER(ROW(H$2:H3953) - ROW(H$2) + 1, P$2:P3953 = P3954))))=""単価"","""",
IF(COUNTIF(P$2:P3953, P3954)=0, """", INDEX(H$2:H3953,
MAX(FILTER(ROW(H$2:H3953) - ROW(H$2) + 1, P$2:P3953 = P3954)))))"),44.2)</f>
        <v>44.2</v>
      </c>
      <c r="N3954" s="335" t="str">
        <f>IF(MAXIFS('単価履歴'!$O:$O,'単価履歴'!$E:$E,E3954,'単価履歴'!$F:$F,F3954)=O3954,"●","")</f>
        <v/>
      </c>
      <c r="O3954" s="346">
        <v>46076.66881944444</v>
      </c>
      <c r="P3954" s="334" t="str">
        <f t="shared" si="4"/>
        <v>岸和田:豊通ＣＰ Ａ</v>
      </c>
    </row>
    <row r="3955" ht="15.75" customHeight="1">
      <c r="A3955" s="335" t="s">
        <v>5102</v>
      </c>
      <c r="B3955" s="336">
        <v>46074.0</v>
      </c>
      <c r="C3955" s="335" t="s">
        <v>10</v>
      </c>
      <c r="D3955" s="335" t="s">
        <v>539</v>
      </c>
      <c r="E3955" s="337" t="str">
        <f t="shared" si="1"/>
        <v>岸和田:岡谷鋼機</v>
      </c>
      <c r="F3955" s="338" t="s">
        <v>111</v>
      </c>
      <c r="G3955" s="339" t="str">
        <f t="shared" si="2"/>
        <v>岸和田:岡谷鋼機Ｈ１(特A)</v>
      </c>
      <c r="H3955" s="340">
        <f t="shared" si="3"/>
        <v>49.2</v>
      </c>
      <c r="I3955" s="341">
        <v>1.0</v>
      </c>
      <c r="J3955" s="332">
        <f>IFERROR(__xludf.DUMMYFUNCTION("IF(IF(COUNTIF(P$2:P3954, P3955)=0, """", INDEX(H$2:H3954,
MAX(FILTER(ROW(H$2:H3954) - ROW(H$2) + 1, P$2:P3954 = P3955))))=""単価"","""",
IF(COUNTIF(P$2:P3954, P3955)=0, """", INDEX(H$2:H3954,
MAX(FILTER(ROW(H$2:H3954) - ROW(H$2) + 1, P$2:P3954 = P3955)))))"),48.2)</f>
        <v>48.2</v>
      </c>
      <c r="N3955" s="335" t="str">
        <f>IF(MAXIFS('単価履歴'!$O:$O,'単価履歴'!$E:$E,E3955,'単価履歴'!$F:$F,F3955)=O3955,"●","")</f>
        <v/>
      </c>
      <c r="O3955" s="346">
        <v>46076.66924768519</v>
      </c>
      <c r="P3955" s="334" t="str">
        <f t="shared" si="4"/>
        <v>岸和田:岡谷鋼機Ｈ１(特A)</v>
      </c>
    </row>
    <row r="3956" ht="15.75" customHeight="1">
      <c r="A3956" s="335" t="s">
        <v>5103</v>
      </c>
      <c r="B3956" s="336">
        <v>46074.0</v>
      </c>
      <c r="C3956" s="335" t="s">
        <v>10</v>
      </c>
      <c r="D3956" s="335" t="s">
        <v>539</v>
      </c>
      <c r="E3956" s="337" t="str">
        <f t="shared" si="1"/>
        <v>岸和田:岡谷鋼機</v>
      </c>
      <c r="F3956" s="338" t="s">
        <v>116</v>
      </c>
      <c r="G3956" s="339" t="str">
        <f t="shared" si="2"/>
        <v>岸和田:岡谷鋼機Ｈ２(特級)</v>
      </c>
      <c r="H3956" s="340">
        <f t="shared" si="3"/>
        <v>47.2</v>
      </c>
      <c r="I3956" s="341">
        <v>1.0</v>
      </c>
      <c r="J3956" s="332">
        <f>IFERROR(__xludf.DUMMYFUNCTION("IF(IF(COUNTIF(P$2:P3955, P3956)=0, """", INDEX(H$2:H3955,
MAX(FILTER(ROW(H$2:H3955) - ROW(H$2) + 1, P$2:P3955 = P3956))))=""単価"","""",
IF(COUNTIF(P$2:P3955, P3956)=0, """", INDEX(H$2:H3955,
MAX(FILTER(ROW(H$2:H3955) - ROW(H$2) + 1, P$2:P3955 = P3956)))))"),46.2)</f>
        <v>46.2</v>
      </c>
      <c r="N3956" s="335" t="str">
        <f>IF(MAXIFS('単価履歴'!$O:$O,'単価履歴'!$E:$E,E3956,'単価履歴'!$F:$F,F3956)=O3956,"●","")</f>
        <v/>
      </c>
      <c r="O3956" s="346">
        <v>46076.66924768519</v>
      </c>
      <c r="P3956" s="334" t="str">
        <f t="shared" si="4"/>
        <v>岸和田:岡谷鋼機Ｈ２(特級)</v>
      </c>
    </row>
    <row r="3957" ht="15.75" customHeight="1">
      <c r="A3957" s="335" t="s">
        <v>5104</v>
      </c>
      <c r="B3957" s="336">
        <v>46074.0</v>
      </c>
      <c r="C3957" s="335" t="s">
        <v>10</v>
      </c>
      <c r="D3957" s="335" t="s">
        <v>539</v>
      </c>
      <c r="E3957" s="337" t="str">
        <f t="shared" si="1"/>
        <v>岸和田:岡谷鋼機</v>
      </c>
      <c r="F3957" s="338" t="s">
        <v>119</v>
      </c>
      <c r="G3957" s="339" t="str">
        <f t="shared" si="2"/>
        <v>岸和田:岡谷鋼機Ｈ３(1級)</v>
      </c>
      <c r="H3957" s="340">
        <f t="shared" si="3"/>
        <v>45.7</v>
      </c>
      <c r="I3957" s="341">
        <v>1.0</v>
      </c>
      <c r="J3957" s="332">
        <f>IFERROR(__xludf.DUMMYFUNCTION("IF(IF(COUNTIF(P$2:P3956, P3957)=0, """", INDEX(H$2:H3956,
MAX(FILTER(ROW(H$2:H3956) - ROW(H$2) + 1, P$2:P3956 = P3957))))=""単価"","""",
IF(COUNTIF(P$2:P3956, P3957)=0, """", INDEX(H$2:H3956,
MAX(FILTER(ROW(H$2:H3956) - ROW(H$2) + 1, P$2:P3956 = P3957)))))"),44.7)</f>
        <v>44.7</v>
      </c>
      <c r="N3957" s="335" t="str">
        <f>IF(MAXIFS('単価履歴'!$O:$O,'単価履歴'!$E:$E,E3957,'単価履歴'!$F:$F,F3957)=O3957,"●","")</f>
        <v/>
      </c>
      <c r="O3957" s="346">
        <v>46076.66924768519</v>
      </c>
      <c r="P3957" s="334" t="str">
        <f t="shared" si="4"/>
        <v>岸和田:岡谷鋼機Ｈ３(1級)</v>
      </c>
    </row>
    <row r="3958" ht="15.75" customHeight="1">
      <c r="A3958" s="335" t="s">
        <v>5105</v>
      </c>
      <c r="B3958" s="336">
        <v>46074.0</v>
      </c>
      <c r="C3958" s="335" t="s">
        <v>10</v>
      </c>
      <c r="D3958" s="335" t="s">
        <v>46</v>
      </c>
      <c r="E3958" s="337" t="str">
        <f t="shared" si="1"/>
        <v>岸和田:阪和</v>
      </c>
      <c r="F3958" s="338" t="s">
        <v>149</v>
      </c>
      <c r="G3958" s="339" t="str">
        <f t="shared" si="2"/>
        <v>岸和田:阪和シュレＢ</v>
      </c>
      <c r="H3958" s="340">
        <f t="shared" si="3"/>
        <v>44.8</v>
      </c>
      <c r="I3958" s="341">
        <v>1.0</v>
      </c>
      <c r="J3958" s="332">
        <f>IFERROR(__xludf.DUMMYFUNCTION("IF(IF(COUNTIF(P$2:P3957, P3958)=0, """", INDEX(H$2:H3957,
MAX(FILTER(ROW(H$2:H3957) - ROW(H$2) + 1, P$2:P3957 = P3958))))=""単価"","""",
IF(COUNTIF(P$2:P3957, P3958)=0, """", INDEX(H$2:H3957,
MAX(FILTER(ROW(H$2:H3957) - ROW(H$2) + 1, P$2:P3957 = P3958)))))"),43.8)</f>
        <v>43.8</v>
      </c>
      <c r="N3958" s="335" t="str">
        <f>IF(MAXIFS('単価履歴'!$O:$O,'単価履歴'!$E:$E,E3958,'単価履歴'!$F:$F,F3958)=O3958,"●","")</f>
        <v/>
      </c>
      <c r="O3958" s="346">
        <v>46076.66957175926</v>
      </c>
      <c r="P3958" s="334" t="str">
        <f t="shared" si="4"/>
        <v>岸和田:阪和シュレＢ</v>
      </c>
    </row>
    <row r="3959" ht="15.75" customHeight="1">
      <c r="A3959" s="335" t="s">
        <v>5106</v>
      </c>
      <c r="B3959" s="336">
        <v>46074.0</v>
      </c>
      <c r="C3959" s="335" t="s">
        <v>13</v>
      </c>
      <c r="D3959" s="335" t="s">
        <v>49</v>
      </c>
      <c r="E3959" s="337" t="str">
        <f t="shared" si="1"/>
        <v>ｸﾎﾞﾀ:伊藤忠</v>
      </c>
      <c r="F3959" s="338" t="s">
        <v>130</v>
      </c>
      <c r="G3959" s="339" t="str">
        <f t="shared" si="2"/>
        <v>ｸﾎﾞﾀ:伊藤忠新断Ａ</v>
      </c>
      <c r="H3959" s="340">
        <f t="shared" si="3"/>
        <v>50.7</v>
      </c>
      <c r="I3959" s="341">
        <v>1.0</v>
      </c>
      <c r="J3959" s="332">
        <f>IFERROR(__xludf.DUMMYFUNCTION("IF(IF(COUNTIF(P$2:P3958, P3959)=0, """", INDEX(H$2:H3958,
MAX(FILTER(ROW(H$2:H3958) - ROW(H$2) + 1, P$2:P3958 = P3959))))=""単価"","""",
IF(COUNTIF(P$2:P3958, P3959)=0, """", INDEX(H$2:H3958,
MAX(FILTER(ROW(H$2:H3958) - ROW(H$2) + 1, P$2:P3958 = P3959)))))"),49.7)</f>
        <v>49.7</v>
      </c>
      <c r="N3959" s="335" t="str">
        <f>IF(MAXIFS('単価履歴'!$O:$O,'単価履歴'!$E:$E,E3959,'単価履歴'!$F:$F,F3959)=O3959,"●","")</f>
        <v/>
      </c>
      <c r="O3959" s="346">
        <v>46076.67018518518</v>
      </c>
      <c r="P3959" s="334" t="str">
        <f t="shared" si="4"/>
        <v>ｸﾎﾞﾀ:伊藤忠新断Ａ</v>
      </c>
    </row>
    <row r="3960" ht="15.75" customHeight="1">
      <c r="A3960" s="335" t="s">
        <v>5107</v>
      </c>
      <c r="B3960" s="336">
        <v>46074.0</v>
      </c>
      <c r="C3960" s="335" t="s">
        <v>22</v>
      </c>
      <c r="D3960" s="335" t="s">
        <v>47</v>
      </c>
      <c r="E3960" s="337" t="str">
        <f t="shared" si="1"/>
        <v>栗本鐵工:豊通</v>
      </c>
      <c r="F3960" s="338" t="s">
        <v>1199</v>
      </c>
      <c r="G3960" s="339" t="str">
        <f t="shared" si="2"/>
        <v>栗本鐵工:豊通ＨＳ１(単体H1/電特A/HS))</v>
      </c>
      <c r="H3960" s="340">
        <f t="shared" si="3"/>
        <v>50.3</v>
      </c>
      <c r="I3960" s="341">
        <v>1.0</v>
      </c>
      <c r="J3960" s="332">
        <f>IFERROR(__xludf.DUMMYFUNCTION("IF(IF(COUNTIF(P$2:P3959, P3960)=0, """", INDEX(H$2:H3959,
MAX(FILTER(ROW(H$2:H3959) - ROW(H$2) + 1, P$2:P3959 = P3960))))=""単価"","""",
IF(COUNTIF(P$2:P3959, P3960)=0, """", INDEX(H$2:H3959,
MAX(FILTER(ROW(H$2:H3959) - ROW(H$2) + 1, P$2:P3959 = P3960)))))"),49.3)</f>
        <v>49.3</v>
      </c>
      <c r="N3960" s="335" t="str">
        <f>IF(MAXIFS('単価履歴'!$O:$O,'単価履歴'!$E:$E,E3960,'単価履歴'!$F:$F,F3960)=O3960,"●","")</f>
        <v/>
      </c>
      <c r="O3960" s="346">
        <v>46076.67064814815</v>
      </c>
      <c r="P3960" s="334" t="str">
        <f t="shared" si="4"/>
        <v>栗本鐵工:豊通ＨＳ１(単体H1/電特A/HS))</v>
      </c>
    </row>
    <row r="3961" ht="15.75" customHeight="1">
      <c r="A3961" s="335" t="s">
        <v>5108</v>
      </c>
      <c r="B3961" s="336">
        <v>46074.0</v>
      </c>
      <c r="C3961" s="335" t="s">
        <v>22</v>
      </c>
      <c r="D3961" s="335" t="s">
        <v>47</v>
      </c>
      <c r="E3961" s="337" t="str">
        <f t="shared" si="1"/>
        <v>栗本鐵工:豊通</v>
      </c>
      <c r="F3961" s="338" t="s">
        <v>101</v>
      </c>
      <c r="G3961" s="339" t="str">
        <f t="shared" si="2"/>
        <v>栗本鐵工:豊通ＨＳ２</v>
      </c>
      <c r="H3961" s="340">
        <f t="shared" si="3"/>
        <v>50</v>
      </c>
      <c r="I3961" s="341">
        <v>1.0</v>
      </c>
      <c r="J3961" s="332">
        <f>IFERROR(__xludf.DUMMYFUNCTION("IF(IF(COUNTIF(P$2:P3960, P3961)=0, """", INDEX(H$2:H3960,
MAX(FILTER(ROW(H$2:H3960) - ROW(H$2) + 1, P$2:P3960 = P3961))))=""単価"","""",
IF(COUNTIF(P$2:P3960, P3961)=0, """", INDEX(H$2:H3960,
MAX(FILTER(ROW(H$2:H3960) - ROW(H$2) + 1, P$2:P3960 = P3961)))))"),49.0)</f>
        <v>49</v>
      </c>
      <c r="N3961" s="335" t="str">
        <f>IF(MAXIFS('単価履歴'!$O:$O,'単価履歴'!$E:$E,E3961,'単価履歴'!$F:$F,F3961)=O3961,"●","")</f>
        <v/>
      </c>
      <c r="O3961" s="346">
        <v>46076.67064814815</v>
      </c>
      <c r="P3961" s="334" t="str">
        <f t="shared" si="4"/>
        <v>栗本鐵工:豊通ＨＳ２</v>
      </c>
    </row>
    <row r="3962" ht="15.75" customHeight="1">
      <c r="A3962" s="335" t="s">
        <v>5109</v>
      </c>
      <c r="B3962" s="336">
        <v>46074.0</v>
      </c>
      <c r="C3962" s="335" t="s">
        <v>22</v>
      </c>
      <c r="D3962" s="335" t="s">
        <v>47</v>
      </c>
      <c r="E3962" s="337" t="str">
        <f t="shared" si="1"/>
        <v>栗本鐵工:豊通</v>
      </c>
      <c r="F3962" s="338" t="s">
        <v>105</v>
      </c>
      <c r="G3962" s="339" t="str">
        <f t="shared" si="2"/>
        <v>栗本鐵工:豊通ＨＳ３</v>
      </c>
      <c r="H3962" s="340">
        <f t="shared" si="3"/>
        <v>49.1</v>
      </c>
      <c r="I3962" s="341">
        <v>1.0</v>
      </c>
      <c r="J3962" s="332">
        <f>IFERROR(__xludf.DUMMYFUNCTION("IF(IF(COUNTIF(P$2:P3961, P3962)=0, """", INDEX(H$2:H3961,
MAX(FILTER(ROW(H$2:H3961) - ROW(H$2) + 1, P$2:P3961 = P3962))))=""単価"","""",
IF(COUNTIF(P$2:P3961, P3962)=0, """", INDEX(H$2:H3961,
MAX(FILTER(ROW(H$2:H3961) - ROW(H$2) + 1, P$2:P3961 = P3962)))))"),48.1)</f>
        <v>48.1</v>
      </c>
      <c r="N3962" s="335" t="str">
        <f>IF(MAXIFS('単価履歴'!$O:$O,'単価履歴'!$E:$E,E3962,'単価履歴'!$F:$F,F3962)=O3962,"●","")</f>
        <v/>
      </c>
      <c r="O3962" s="346">
        <v>46076.67064814815</v>
      </c>
      <c r="P3962" s="334" t="str">
        <f t="shared" si="4"/>
        <v>栗本鐵工:豊通ＨＳ３</v>
      </c>
    </row>
    <row r="3963" ht="15.75" customHeight="1">
      <c r="A3963" s="335" t="s">
        <v>5110</v>
      </c>
      <c r="B3963" s="336">
        <v>46074.0</v>
      </c>
      <c r="C3963" s="335" t="s">
        <v>22</v>
      </c>
      <c r="D3963" s="335" t="s">
        <v>47</v>
      </c>
      <c r="E3963" s="337" t="str">
        <f t="shared" si="1"/>
        <v>栗本鐵工:豊通</v>
      </c>
      <c r="F3963" s="338" t="s">
        <v>577</v>
      </c>
      <c r="G3963" s="339" t="str">
        <f t="shared" si="2"/>
        <v>栗本鐵工:豊通鋳物・ﾀﾞｸﾀｲﾙ</v>
      </c>
      <c r="H3963" s="340">
        <f t="shared" si="3"/>
        <v>48.9</v>
      </c>
      <c r="I3963" s="341">
        <v>1.0</v>
      </c>
      <c r="J3963" s="332">
        <f>IFERROR(__xludf.DUMMYFUNCTION("IF(IF(COUNTIF(P$2:P3962, P3963)=0, """", INDEX(H$2:H3962,
MAX(FILTER(ROW(H$2:H3962) - ROW(H$2) + 1, P$2:P3962 = P3963))))=""単価"","""",
IF(COUNTIF(P$2:P3962, P3963)=0, """", INDEX(H$2:H3962,
MAX(FILTER(ROW(H$2:H3962) - ROW(H$2) + 1, P$2:P3962 = P3963)))))"),47.9)</f>
        <v>47.9</v>
      </c>
      <c r="N3963" s="335" t="str">
        <f>IF(MAXIFS('単価履歴'!$O:$O,'単価履歴'!$E:$E,E3963,'単価履歴'!$F:$F,F3963)=O3963,"●","")</f>
        <v/>
      </c>
      <c r="O3963" s="346">
        <v>46076.67064814815</v>
      </c>
      <c r="P3963" s="334" t="str">
        <f t="shared" si="4"/>
        <v>栗本鐵工:豊通鋳物・ﾀﾞｸﾀｲﾙ</v>
      </c>
    </row>
    <row r="3964" ht="15.75" customHeight="1">
      <c r="A3964" s="335" t="s">
        <v>5111</v>
      </c>
      <c r="B3964" s="336">
        <v>46074.0</v>
      </c>
      <c r="C3964" s="335" t="s">
        <v>36</v>
      </c>
      <c r="D3964" s="335" t="s">
        <v>1303</v>
      </c>
      <c r="E3964" s="337" t="str">
        <f t="shared" si="1"/>
        <v>共英枚方:ナベ/置場単価</v>
      </c>
      <c r="F3964" s="338" t="s">
        <v>111</v>
      </c>
      <c r="G3964" s="339" t="str">
        <f t="shared" si="2"/>
        <v>共英枚方:ナベ/置場単価Ｈ１(特A)</v>
      </c>
      <c r="H3964" s="340">
        <f t="shared" si="3"/>
        <v>45</v>
      </c>
      <c r="I3964" s="341">
        <v>1.0</v>
      </c>
      <c r="J3964" s="332">
        <f>IFERROR(__xludf.DUMMYFUNCTION("IF(IF(COUNTIF(P$2:P3963, P3964)=0, """", INDEX(H$2:H3963,
MAX(FILTER(ROW(H$2:H3963) - ROW(H$2) + 1, P$2:P3963 = P3964))))=""単価"","""",
IF(COUNTIF(P$2:P3963, P3964)=0, """", INDEX(H$2:H3963,
MAX(FILTER(ROW(H$2:H3963) - ROW(H$2) + 1, P$2:P3963 = P3964)))))"),44.0)</f>
        <v>44</v>
      </c>
      <c r="N3964" s="335" t="str">
        <f>IF(MAXIFS('単価履歴'!$O:$O,'単価履歴'!$E:$E,E3964,'単価履歴'!$F:$F,F3964)=O3964,"●","")</f>
        <v/>
      </c>
      <c r="O3964" s="346">
        <v>46076.670902777776</v>
      </c>
      <c r="P3964" s="334" t="str">
        <f t="shared" si="4"/>
        <v>共英枚方:ナベ/置場単価Ｈ１(特A)</v>
      </c>
    </row>
    <row r="3965" ht="15.75" customHeight="1">
      <c r="A3965" s="335" t="s">
        <v>5112</v>
      </c>
      <c r="B3965" s="336">
        <v>46074.0</v>
      </c>
      <c r="C3965" s="335" t="s">
        <v>36</v>
      </c>
      <c r="D3965" s="335" t="s">
        <v>1303</v>
      </c>
      <c r="E3965" s="337" t="str">
        <f t="shared" si="1"/>
        <v>共英枚方:ナベ/置場単価</v>
      </c>
      <c r="F3965" s="338" t="s">
        <v>116</v>
      </c>
      <c r="G3965" s="339" t="str">
        <f t="shared" si="2"/>
        <v>共英枚方:ナベ/置場単価Ｈ２(特級)</v>
      </c>
      <c r="H3965" s="340">
        <f t="shared" si="3"/>
        <v>43.5</v>
      </c>
      <c r="I3965" s="341">
        <v>1.0</v>
      </c>
      <c r="J3965" s="332">
        <f>IFERROR(__xludf.DUMMYFUNCTION("IF(IF(COUNTIF(P$2:P3964, P3965)=0, """", INDEX(H$2:H3964,
MAX(FILTER(ROW(H$2:H3964) - ROW(H$2) + 1, P$2:P3964 = P3965))))=""単価"","""",
IF(COUNTIF(P$2:P3964, P3965)=0, """", INDEX(H$2:H3964,
MAX(FILTER(ROW(H$2:H3964) - ROW(H$2) + 1, P$2:P3964 = P3965)))))"),42.5)</f>
        <v>42.5</v>
      </c>
      <c r="N3965" s="335" t="str">
        <f>IF(MAXIFS('単価履歴'!$O:$O,'単価履歴'!$E:$E,E3965,'単価履歴'!$F:$F,F3965)=O3965,"●","")</f>
        <v/>
      </c>
      <c r="O3965" s="346">
        <v>46076.670902777776</v>
      </c>
      <c r="P3965" s="334" t="str">
        <f t="shared" si="4"/>
        <v>共英枚方:ナベ/置場単価Ｈ２(特級)</v>
      </c>
    </row>
    <row r="3966" ht="15.75" customHeight="1">
      <c r="A3966" s="335" t="s">
        <v>5113</v>
      </c>
      <c r="B3966" s="336">
        <v>46074.0</v>
      </c>
      <c r="C3966" s="335" t="s">
        <v>36</v>
      </c>
      <c r="D3966" s="335" t="s">
        <v>1303</v>
      </c>
      <c r="E3966" s="337" t="str">
        <f t="shared" si="1"/>
        <v>共英枚方:ナベ/置場単価</v>
      </c>
      <c r="F3966" s="338" t="s">
        <v>119</v>
      </c>
      <c r="G3966" s="339" t="str">
        <f t="shared" si="2"/>
        <v>共英枚方:ナベ/置場単価Ｈ３(1級)</v>
      </c>
      <c r="H3966" s="340">
        <f t="shared" si="3"/>
        <v>43.5</v>
      </c>
      <c r="I3966" s="341">
        <v>1.0</v>
      </c>
      <c r="J3966" s="332">
        <f>IFERROR(__xludf.DUMMYFUNCTION("IF(IF(COUNTIF(P$2:P3965, P3966)=0, """", INDEX(H$2:H3965,
MAX(FILTER(ROW(H$2:H3965) - ROW(H$2) + 1, P$2:P3965 = P3966))))=""単価"","""",
IF(COUNTIF(P$2:P3965, P3966)=0, """", INDEX(H$2:H3965,
MAX(FILTER(ROW(H$2:H3965) - ROW(H$2) + 1, P$2:P3965 = P3966)))))"),42.5)</f>
        <v>42.5</v>
      </c>
      <c r="N3966" s="335" t="str">
        <f>IF(MAXIFS('単価履歴'!$O:$O,'単価履歴'!$E:$E,E3966,'単価履歴'!$F:$F,F3966)=O3966,"●","")</f>
        <v/>
      </c>
      <c r="O3966" s="346">
        <v>46076.670902777776</v>
      </c>
      <c r="P3966" s="334" t="str">
        <f t="shared" si="4"/>
        <v>共英枚方:ナベ/置場単価Ｈ３(1級)</v>
      </c>
    </row>
    <row r="3967" ht="15.75" customHeight="1">
      <c r="A3967" s="335" t="s">
        <v>5114</v>
      </c>
      <c r="B3967" s="336">
        <v>46074.0</v>
      </c>
      <c r="C3967" s="335" t="s">
        <v>36</v>
      </c>
      <c r="D3967" s="335" t="s">
        <v>1303</v>
      </c>
      <c r="E3967" s="337" t="str">
        <f t="shared" si="1"/>
        <v>共英枚方:ナベ/置場単価</v>
      </c>
      <c r="F3967" s="338" t="s">
        <v>122</v>
      </c>
      <c r="G3967" s="339" t="str">
        <f t="shared" si="2"/>
        <v>共英枚方:ナベ/置場単価Ｌ１(2級)</v>
      </c>
      <c r="H3967" s="340">
        <f t="shared" si="3"/>
        <v>43.5</v>
      </c>
      <c r="I3967" s="341">
        <v>1.0</v>
      </c>
      <c r="J3967" s="332">
        <f>IFERROR(__xludf.DUMMYFUNCTION("IF(IF(COUNTIF(P$2:P3966, P3967)=0, """", INDEX(H$2:H3966,
MAX(FILTER(ROW(H$2:H3966) - ROW(H$2) + 1, P$2:P3966 = P3967))))=""単価"","""",
IF(COUNTIF(P$2:P3966, P3967)=0, """", INDEX(H$2:H3966,
MAX(FILTER(ROW(H$2:H3966) - ROW(H$2) + 1, P$2:P3966 = P3967)))))"),42.5)</f>
        <v>42.5</v>
      </c>
      <c r="N3967" s="335" t="str">
        <f>IF(MAXIFS('単価履歴'!$O:$O,'単価履歴'!$E:$E,E3967,'単価履歴'!$F:$F,F3967)=O3967,"●","")</f>
        <v/>
      </c>
      <c r="O3967" s="346">
        <v>46076.670902777776</v>
      </c>
      <c r="P3967" s="334" t="str">
        <f t="shared" si="4"/>
        <v>共英枚方:ナベ/置場単価Ｌ１(2級)</v>
      </c>
    </row>
    <row r="3968" ht="15.75" customHeight="1">
      <c r="A3968" s="335" t="s">
        <v>5115</v>
      </c>
      <c r="B3968" s="336">
        <v>46074.0</v>
      </c>
      <c r="C3968" s="335" t="s">
        <v>36</v>
      </c>
      <c r="D3968" s="335" t="s">
        <v>1303</v>
      </c>
      <c r="E3968" s="337" t="str">
        <f t="shared" si="1"/>
        <v>共英枚方:ナベ/置場単価</v>
      </c>
      <c r="F3968" s="338" t="s">
        <v>154</v>
      </c>
      <c r="G3968" s="339" t="str">
        <f t="shared" si="2"/>
        <v>共英枚方:ナベ/置場単価ＣＰ Ａ</v>
      </c>
      <c r="H3968" s="340">
        <f t="shared" si="3"/>
        <v>47</v>
      </c>
      <c r="I3968" s="341">
        <v>1.0</v>
      </c>
      <c r="J3968" s="332">
        <f>IFERROR(__xludf.DUMMYFUNCTION("IF(IF(COUNTIF(P$2:P3967, P3968)=0, """", INDEX(H$2:H3967,
MAX(FILTER(ROW(H$2:H3967) - ROW(H$2) + 1, P$2:P3967 = P3968))))=""単価"","""",
IF(COUNTIF(P$2:P3967, P3968)=0, """", INDEX(H$2:H3967,
MAX(FILTER(ROW(H$2:H3967) - ROW(H$2) + 1, P$2:P3967 = P3968)))))"),46.0)</f>
        <v>46</v>
      </c>
      <c r="N3968" s="335" t="str">
        <f>IF(MAXIFS('単価履歴'!$O:$O,'単価履歴'!$E:$E,E3968,'単価履歴'!$F:$F,F3968)=O3968,"●","")</f>
        <v/>
      </c>
      <c r="O3968" s="346">
        <v>46076.670902777776</v>
      </c>
      <c r="P3968" s="334" t="str">
        <f t="shared" si="4"/>
        <v>共英枚方:ナベ/置場単価ＣＰ Ａ</v>
      </c>
    </row>
    <row r="3969" ht="15.75" customHeight="1">
      <c r="A3969" s="335" t="s">
        <v>5116</v>
      </c>
      <c r="B3969" s="336">
        <v>46074.0</v>
      </c>
      <c r="C3969" s="335" t="s">
        <v>30</v>
      </c>
      <c r="D3969" s="335" t="s">
        <v>52</v>
      </c>
      <c r="E3969" s="337" t="str">
        <f t="shared" si="1"/>
        <v>北港:リバイブ</v>
      </c>
      <c r="F3969" s="338" t="s">
        <v>1199</v>
      </c>
      <c r="G3969" s="339" t="str">
        <f t="shared" si="2"/>
        <v>北港:リバイブＨＳ１(単体H1/電特A/HS))</v>
      </c>
      <c r="H3969" s="340">
        <f t="shared" si="3"/>
        <v>49.5</v>
      </c>
      <c r="I3969" s="341">
        <v>0.5</v>
      </c>
      <c r="J3969" s="332">
        <f>IFERROR(__xludf.DUMMYFUNCTION("IF(IF(COUNTIF(P$2:P3968, P3969)=0, """", INDEX(H$2:H3968,
MAX(FILTER(ROW(H$2:H3968) - ROW(H$2) + 1, P$2:P3968 = P3969))))=""単価"","""",
IF(COUNTIF(P$2:P3968, P3969)=0, """", INDEX(H$2:H3968,
MAX(FILTER(ROW(H$2:H3968) - ROW(H$2) + 1, P$2:P3968 = P3969)))))"),49.0)</f>
        <v>49</v>
      </c>
      <c r="N3969" s="335" t="str">
        <f>IF(MAXIFS('単価履歴'!$O:$O,'単価履歴'!$E:$E,E3969,'単価履歴'!$F:$F,F3969)=O3969,"●","")</f>
        <v/>
      </c>
      <c r="O3969" s="346">
        <v>46076.671377314815</v>
      </c>
      <c r="P3969" s="334" t="str">
        <f t="shared" si="4"/>
        <v>北港:リバイブＨＳ１(単体H1/電特A/HS))</v>
      </c>
    </row>
    <row r="3970" ht="15.75" customHeight="1">
      <c r="A3970" s="335" t="s">
        <v>5117</v>
      </c>
      <c r="B3970" s="336">
        <v>46074.0</v>
      </c>
      <c r="C3970" s="335" t="s">
        <v>31</v>
      </c>
      <c r="D3970" s="335" t="s">
        <v>47</v>
      </c>
      <c r="E3970" s="337" t="str">
        <f t="shared" si="1"/>
        <v>泉北中谷:豊通</v>
      </c>
      <c r="F3970" s="338" t="s">
        <v>130</v>
      </c>
      <c r="G3970" s="339" t="str">
        <f t="shared" si="2"/>
        <v>泉北中谷:豊通新断Ａ</v>
      </c>
      <c r="H3970" s="340">
        <f t="shared" si="3"/>
        <v>49.8</v>
      </c>
      <c r="I3970" s="341">
        <v>1.0</v>
      </c>
      <c r="J3970" s="332">
        <f>IFERROR(__xludf.DUMMYFUNCTION("IF(IF(COUNTIF(P$2:P3969, P3970)=0, """", INDEX(H$2:H3969,
MAX(FILTER(ROW(H$2:H3969) - ROW(H$2) + 1, P$2:P3969 = P3970))))=""単価"","""",
IF(COUNTIF(P$2:P3969, P3970)=0, """", INDEX(H$2:H3969,
MAX(FILTER(ROW(H$2:H3969) - ROW(H$2) + 1, P$2:P3969 = P3970)))))"),48.8)</f>
        <v>48.8</v>
      </c>
      <c r="N3970" s="335" t="str">
        <f>IF(MAXIFS('単価履歴'!$O:$O,'単価履歴'!$E:$E,E3970,'単価履歴'!$F:$F,F3970)=O3970,"●","")</f>
        <v/>
      </c>
      <c r="O3970" s="346">
        <v>46076.67228009259</v>
      </c>
      <c r="P3970" s="334" t="str">
        <f t="shared" si="4"/>
        <v>泉北中谷:豊通新断Ａ</v>
      </c>
    </row>
    <row r="3971" ht="15.75" customHeight="1">
      <c r="A3971" s="335" t="s">
        <v>5118</v>
      </c>
      <c r="B3971" s="336">
        <v>46074.0</v>
      </c>
      <c r="C3971" s="335" t="s">
        <v>532</v>
      </c>
      <c r="D3971" s="335" t="s">
        <v>77</v>
      </c>
      <c r="E3971" s="337" t="str">
        <f t="shared" si="1"/>
        <v>東鐵岡山:直納</v>
      </c>
      <c r="F3971" s="338" t="s">
        <v>1199</v>
      </c>
      <c r="G3971" s="339" t="str">
        <f t="shared" si="2"/>
        <v>東鐵岡山:直納ＨＳ１(単体H1/電特A/HS))</v>
      </c>
      <c r="H3971" s="340">
        <f t="shared" si="3"/>
        <v>47</v>
      </c>
      <c r="I3971" s="341">
        <v>1.0</v>
      </c>
      <c r="J3971" s="332">
        <f>IFERROR(__xludf.DUMMYFUNCTION("IF(IF(COUNTIF(P$2:P3970, P3971)=0, """", INDEX(H$2:H3970,
MAX(FILTER(ROW(H$2:H3970) - ROW(H$2) + 1, P$2:P3970 = P3971))))=""単価"","""",
IF(COUNTIF(P$2:P3970, P3971)=0, """", INDEX(H$2:H3970,
MAX(FILTER(ROW(H$2:H3970) - ROW(H$2) + 1, P$2:P3970 = P3971)))))"),46.0)</f>
        <v>46</v>
      </c>
      <c r="N3971" s="335" t="str">
        <f>IF(MAXIFS('単価履歴'!$O:$O,'単価履歴'!$E:$E,E3971,'単価履歴'!$F:$F,F3971)=O3971,"●","")</f>
        <v/>
      </c>
      <c r="O3971" s="346">
        <v>46076.67340277778</v>
      </c>
      <c r="P3971" s="334" t="str">
        <f t="shared" si="4"/>
        <v>東鐵岡山:直納ＨＳ１(単体H1/電特A/HS))</v>
      </c>
    </row>
    <row r="3972" ht="15.75" customHeight="1">
      <c r="A3972" s="335" t="s">
        <v>5119</v>
      </c>
      <c r="B3972" s="336">
        <v>46074.0</v>
      </c>
      <c r="C3972" s="335" t="s">
        <v>532</v>
      </c>
      <c r="D3972" s="335" t="s">
        <v>77</v>
      </c>
      <c r="E3972" s="337" t="str">
        <f t="shared" si="1"/>
        <v>東鐵岡山:直納</v>
      </c>
      <c r="F3972" s="338" t="s">
        <v>111</v>
      </c>
      <c r="G3972" s="339" t="str">
        <f t="shared" si="2"/>
        <v>東鐵岡山:直納Ｈ１(特A)</v>
      </c>
      <c r="H3972" s="340">
        <f t="shared" si="3"/>
        <v>45.7</v>
      </c>
      <c r="I3972" s="341">
        <v>1.0</v>
      </c>
      <c r="J3972" s="332">
        <f>IFERROR(__xludf.DUMMYFUNCTION("IF(IF(COUNTIF(P$2:P3971, P3972)=0, """", INDEX(H$2:H3971,
MAX(FILTER(ROW(H$2:H3971) - ROW(H$2) + 1, P$2:P3971 = P3972))))=""単価"","""",
IF(COUNTIF(P$2:P3971, P3972)=0, """", INDEX(H$2:H3971,
MAX(FILTER(ROW(H$2:H3971) - ROW(H$2) + 1, P$2:P3971 = P3972)))))"),44.7)</f>
        <v>44.7</v>
      </c>
      <c r="N3972" s="335" t="str">
        <f>IF(MAXIFS('単価履歴'!$O:$O,'単価履歴'!$E:$E,E3972,'単価履歴'!$F:$F,F3972)=O3972,"●","")</f>
        <v/>
      </c>
      <c r="O3972" s="346">
        <v>46076.67340277778</v>
      </c>
      <c r="P3972" s="334" t="str">
        <f t="shared" si="4"/>
        <v>東鐵岡山:直納Ｈ１(特A)</v>
      </c>
    </row>
    <row r="3973" ht="15.75" customHeight="1">
      <c r="A3973" s="335" t="s">
        <v>5120</v>
      </c>
      <c r="B3973" s="336">
        <v>46074.0</v>
      </c>
      <c r="C3973" s="335" t="s">
        <v>532</v>
      </c>
      <c r="D3973" s="335" t="s">
        <v>77</v>
      </c>
      <c r="E3973" s="337" t="str">
        <f t="shared" si="1"/>
        <v>東鐵岡山:直納</v>
      </c>
      <c r="F3973" s="338" t="s">
        <v>116</v>
      </c>
      <c r="G3973" s="339" t="str">
        <f t="shared" si="2"/>
        <v>東鐵岡山:直納Ｈ２(特級)</v>
      </c>
      <c r="H3973" s="340">
        <f t="shared" si="3"/>
        <v>45</v>
      </c>
      <c r="I3973" s="341">
        <v>1.0</v>
      </c>
      <c r="J3973" s="332">
        <f>IFERROR(__xludf.DUMMYFUNCTION("IF(IF(COUNTIF(P$2:P3972, P3973)=0, """", INDEX(H$2:H3972,
MAX(FILTER(ROW(H$2:H3972) - ROW(H$2) + 1, P$2:P3972 = P3973))))=""単価"","""",
IF(COUNTIF(P$2:P3972, P3973)=0, """", INDEX(H$2:H3972,
MAX(FILTER(ROW(H$2:H3972) - ROW(H$2) + 1, P$2:P3972 = P3973)))))"),44.0)</f>
        <v>44</v>
      </c>
      <c r="N3973" s="335" t="str">
        <f>IF(MAXIFS('単価履歴'!$O:$O,'単価履歴'!$E:$E,E3973,'単価履歴'!$F:$F,F3973)=O3973,"●","")</f>
        <v/>
      </c>
      <c r="O3973" s="346">
        <v>46076.67340277778</v>
      </c>
      <c r="P3973" s="334" t="str">
        <f t="shared" si="4"/>
        <v>東鐵岡山:直納Ｈ２(特級)</v>
      </c>
    </row>
    <row r="3974" ht="15.75" customHeight="1">
      <c r="A3974" s="335" t="s">
        <v>5121</v>
      </c>
      <c r="B3974" s="336">
        <v>46074.0</v>
      </c>
      <c r="C3974" s="335" t="s">
        <v>532</v>
      </c>
      <c r="D3974" s="335" t="s">
        <v>77</v>
      </c>
      <c r="E3974" s="337" t="str">
        <f t="shared" si="1"/>
        <v>東鐵岡山:直納</v>
      </c>
      <c r="F3974" s="338" t="s">
        <v>119</v>
      </c>
      <c r="G3974" s="339" t="str">
        <f t="shared" si="2"/>
        <v>東鐵岡山:直納Ｈ３(1級)</v>
      </c>
      <c r="H3974" s="340">
        <f t="shared" si="3"/>
        <v>44.5</v>
      </c>
      <c r="I3974" s="341">
        <v>1.0</v>
      </c>
      <c r="J3974" s="332">
        <f>IFERROR(__xludf.DUMMYFUNCTION("IF(IF(COUNTIF(P$2:P3973, P3974)=0, """", INDEX(H$2:H3973,
MAX(FILTER(ROW(H$2:H3973) - ROW(H$2) + 1, P$2:P3973 = P3974))))=""単価"","""",
IF(COUNTIF(P$2:P3973, P3974)=0, """", INDEX(H$2:H3973,
MAX(FILTER(ROW(H$2:H3973) - ROW(H$2) + 1, P$2:P3973 = P3974)))))"),43.5)</f>
        <v>43.5</v>
      </c>
      <c r="N3974" s="335" t="str">
        <f>IF(MAXIFS('単価履歴'!$O:$O,'単価履歴'!$E:$E,E3974,'単価履歴'!$F:$F,F3974)=O3974,"●","")</f>
        <v/>
      </c>
      <c r="O3974" s="346">
        <v>46076.67340277778</v>
      </c>
      <c r="P3974" s="334" t="str">
        <f t="shared" si="4"/>
        <v>東鐵岡山:直納Ｈ３(1級)</v>
      </c>
    </row>
    <row r="3975" ht="15.75" customHeight="1">
      <c r="A3975" s="335" t="s">
        <v>5122</v>
      </c>
      <c r="B3975" s="336">
        <v>46074.0</v>
      </c>
      <c r="C3975" s="335" t="s">
        <v>532</v>
      </c>
      <c r="D3975" s="335" t="s">
        <v>77</v>
      </c>
      <c r="E3975" s="337" t="str">
        <f t="shared" si="1"/>
        <v>東鐵岡山:直納</v>
      </c>
      <c r="F3975" s="338" t="s">
        <v>122</v>
      </c>
      <c r="G3975" s="339" t="str">
        <f t="shared" si="2"/>
        <v>東鐵岡山:直納Ｌ１(2級)</v>
      </c>
      <c r="H3975" s="340">
        <f t="shared" si="3"/>
        <v>43</v>
      </c>
      <c r="I3975" s="341">
        <v>1.0</v>
      </c>
      <c r="J3975" s="332">
        <f>IFERROR(__xludf.DUMMYFUNCTION("IF(IF(COUNTIF(P$2:P3974, P3975)=0, """", INDEX(H$2:H3974,
MAX(FILTER(ROW(H$2:H3974) - ROW(H$2) + 1, P$2:P3974 = P3975))))=""単価"","""",
IF(COUNTIF(P$2:P3974, P3975)=0, """", INDEX(H$2:H3974,
MAX(FILTER(ROW(H$2:H3974) - ROW(H$2) + 1, P$2:P3974 = P3975)))))"),42.0)</f>
        <v>42</v>
      </c>
      <c r="N3975" s="335" t="str">
        <f>IF(MAXIFS('単価履歴'!$O:$O,'単価履歴'!$E:$E,E3975,'単価履歴'!$F:$F,F3975)=O3975,"●","")</f>
        <v/>
      </c>
      <c r="O3975" s="346">
        <v>46076.67340277778</v>
      </c>
      <c r="P3975" s="334" t="str">
        <f t="shared" si="4"/>
        <v>東鐵岡山:直納Ｌ１(2級)</v>
      </c>
    </row>
    <row r="3976" ht="15.75" customHeight="1">
      <c r="A3976" s="335" t="s">
        <v>5123</v>
      </c>
      <c r="B3976" s="336">
        <v>46074.0</v>
      </c>
      <c r="C3976" s="335" t="s">
        <v>532</v>
      </c>
      <c r="D3976" s="335" t="s">
        <v>77</v>
      </c>
      <c r="E3976" s="337" t="str">
        <f t="shared" si="1"/>
        <v>東鐵岡山:直納</v>
      </c>
      <c r="F3976" s="338" t="s">
        <v>573</v>
      </c>
      <c r="G3976" s="339" t="str">
        <f t="shared" si="2"/>
        <v>東鐵岡山:直納Ｌ２(H4･級外･L1ﾊﾞﾗ)</v>
      </c>
      <c r="H3976" s="340">
        <f t="shared" si="3"/>
        <v>40</v>
      </c>
      <c r="I3976" s="341">
        <v>1.0</v>
      </c>
      <c r="J3976" s="332">
        <f>IFERROR(__xludf.DUMMYFUNCTION("IF(IF(COUNTIF(P$2:P3975, P3976)=0, """", INDEX(H$2:H3975,
MAX(FILTER(ROW(H$2:H3975) - ROW(H$2) + 1, P$2:P3975 = P3976))))=""単価"","""",
IF(COUNTIF(P$2:P3975, P3976)=0, """", INDEX(H$2:H3975,
MAX(FILTER(ROW(H$2:H3975) - ROW(H$2) + 1, P$2:P3975 = P3976)))))"),39.0)</f>
        <v>39</v>
      </c>
      <c r="N3976" s="335" t="str">
        <f>IF(MAXIFS('単価履歴'!$O:$O,'単価履歴'!$E:$E,E3976,'単価履歴'!$F:$F,F3976)=O3976,"●","")</f>
        <v/>
      </c>
      <c r="O3976" s="346">
        <v>46076.67340277778</v>
      </c>
      <c r="P3976" s="334" t="str">
        <f t="shared" si="4"/>
        <v>東鐵岡山:直納Ｌ２(H4･級外･L1ﾊﾞﾗ)</v>
      </c>
    </row>
    <row r="3977" ht="15.75" customHeight="1">
      <c r="A3977" s="335" t="s">
        <v>5124</v>
      </c>
      <c r="B3977" s="336">
        <v>46074.0</v>
      </c>
      <c r="C3977" s="335" t="s">
        <v>532</v>
      </c>
      <c r="D3977" s="335" t="s">
        <v>77</v>
      </c>
      <c r="E3977" s="337" t="str">
        <f t="shared" si="1"/>
        <v>東鐵岡山:直納</v>
      </c>
      <c r="F3977" s="338" t="s">
        <v>145</v>
      </c>
      <c r="G3977" s="339" t="str">
        <f t="shared" si="2"/>
        <v>東鐵岡山:直納シュレＡ</v>
      </c>
      <c r="H3977" s="340">
        <f t="shared" si="3"/>
        <v>45.5</v>
      </c>
      <c r="I3977" s="341">
        <v>1.0</v>
      </c>
      <c r="J3977" s="332">
        <f>IFERROR(__xludf.DUMMYFUNCTION("IF(IF(COUNTIF(P$2:P3976, P3977)=0, """", INDEX(H$2:H3976,
MAX(FILTER(ROW(H$2:H3976) - ROW(H$2) + 1, P$2:P3976 = P3977))))=""単価"","""",
IF(COUNTIF(P$2:P3976, P3977)=0, """", INDEX(H$2:H3976,
MAX(FILTER(ROW(H$2:H3976) - ROW(H$2) + 1, P$2:P3976 = P3977)))))"),44.5)</f>
        <v>44.5</v>
      </c>
      <c r="N3977" s="335" t="str">
        <f>IF(MAXIFS('単価履歴'!$O:$O,'単価履歴'!$E:$E,E3977,'単価履歴'!$F:$F,F3977)=O3977,"●","")</f>
        <v/>
      </c>
      <c r="O3977" s="346">
        <v>46076.67340277778</v>
      </c>
      <c r="P3977" s="334" t="str">
        <f t="shared" si="4"/>
        <v>東鐵岡山:直納シュレＡ</v>
      </c>
    </row>
    <row r="3978" ht="15.75" customHeight="1">
      <c r="A3978" s="335" t="s">
        <v>5125</v>
      </c>
      <c r="B3978" s="336">
        <v>46074.0</v>
      </c>
      <c r="C3978" s="335" t="s">
        <v>532</v>
      </c>
      <c r="D3978" s="335" t="s">
        <v>77</v>
      </c>
      <c r="E3978" s="337" t="str">
        <f t="shared" si="1"/>
        <v>東鐵岡山:直納</v>
      </c>
      <c r="F3978" s="338" t="s">
        <v>151</v>
      </c>
      <c r="G3978" s="339" t="str">
        <f t="shared" si="2"/>
        <v>東鐵岡山:直納シュレＣ</v>
      </c>
      <c r="H3978" s="340">
        <f t="shared" si="3"/>
        <v>45</v>
      </c>
      <c r="I3978" s="341">
        <v>1.0</v>
      </c>
      <c r="J3978" s="332">
        <f>IFERROR(__xludf.DUMMYFUNCTION("IF(IF(COUNTIF(P$2:P3977, P3978)=0, """", INDEX(H$2:H3977,
MAX(FILTER(ROW(H$2:H3977) - ROW(H$2) + 1, P$2:P3977 = P3978))))=""単価"","""",
IF(COUNTIF(P$2:P3977, P3978)=0, """", INDEX(H$2:H3977,
MAX(FILTER(ROW(H$2:H3977) - ROW(H$2) + 1, P$2:P3977 = P3978)))))"),44.0)</f>
        <v>44</v>
      </c>
      <c r="N3978" s="335" t="str">
        <f>IF(MAXIFS('単価履歴'!$O:$O,'単価履歴'!$E:$E,E3978,'単価履歴'!$F:$F,F3978)=O3978,"●","")</f>
        <v/>
      </c>
      <c r="O3978" s="346">
        <v>46076.67340277778</v>
      </c>
      <c r="P3978" s="334" t="str">
        <f t="shared" si="4"/>
        <v>東鐵岡山:直納シュレＣ</v>
      </c>
    </row>
    <row r="3979" ht="15.75" customHeight="1">
      <c r="A3979" s="335" t="s">
        <v>5126</v>
      </c>
      <c r="B3979" s="336">
        <v>46074.0</v>
      </c>
      <c r="C3979" s="335" t="s">
        <v>532</v>
      </c>
      <c r="D3979" s="335" t="s">
        <v>77</v>
      </c>
      <c r="E3979" s="337" t="str">
        <f t="shared" si="1"/>
        <v>東鐵岡山:直納</v>
      </c>
      <c r="F3979" s="338" t="s">
        <v>130</v>
      </c>
      <c r="G3979" s="339" t="str">
        <f t="shared" si="2"/>
        <v>東鐵岡山:直納新断Ａ</v>
      </c>
      <c r="H3979" s="340">
        <f t="shared" si="3"/>
        <v>46</v>
      </c>
      <c r="I3979" s="341">
        <v>1.0</v>
      </c>
      <c r="J3979" s="332">
        <f>IFERROR(__xludf.DUMMYFUNCTION("IF(IF(COUNTIF(P$2:P3978, P3979)=0, """", INDEX(H$2:H3978,
MAX(FILTER(ROW(H$2:H3978) - ROW(H$2) + 1, P$2:P3978 = P3979))))=""単価"","""",
IF(COUNTIF(P$2:P3978, P3979)=0, """", INDEX(H$2:H3978,
MAX(FILTER(ROW(H$2:H3978) - ROW(H$2) + 1, P$2:P3978 = P3979)))))"),45.0)</f>
        <v>45</v>
      </c>
      <c r="N3979" s="335" t="str">
        <f>IF(MAXIFS('単価履歴'!$O:$O,'単価履歴'!$E:$E,E3979,'単価履歴'!$F:$F,F3979)=O3979,"●","")</f>
        <v/>
      </c>
      <c r="O3979" s="346">
        <v>46076.67340277778</v>
      </c>
      <c r="P3979" s="334" t="str">
        <f t="shared" si="4"/>
        <v>東鐵岡山:直納新断Ａ</v>
      </c>
    </row>
    <row r="3980" ht="15.75" customHeight="1">
      <c r="A3980" s="335" t="s">
        <v>5127</v>
      </c>
      <c r="B3980" s="336">
        <v>46074.0</v>
      </c>
      <c r="C3980" s="335" t="s">
        <v>532</v>
      </c>
      <c r="D3980" s="335" t="s">
        <v>77</v>
      </c>
      <c r="E3980" s="337" t="str">
        <f t="shared" si="1"/>
        <v>東鐵岡山:直納</v>
      </c>
      <c r="F3980" s="338" t="s">
        <v>131</v>
      </c>
      <c r="G3980" s="339" t="str">
        <f t="shared" si="2"/>
        <v>東鐵岡山:直納新断Ｂ</v>
      </c>
      <c r="H3980" s="340">
        <f t="shared" si="3"/>
        <v>46</v>
      </c>
      <c r="I3980" s="341">
        <v>1.0</v>
      </c>
      <c r="J3980" s="332">
        <f>IFERROR(__xludf.DUMMYFUNCTION("IF(IF(COUNTIF(P$2:P3979, P3980)=0, """", INDEX(H$2:H3979,
MAX(FILTER(ROW(H$2:H3979) - ROW(H$2) + 1, P$2:P3979 = P3980))))=""単価"","""",
IF(COUNTIF(P$2:P3979, P3980)=0, """", INDEX(H$2:H3979,
MAX(FILTER(ROW(H$2:H3979) - ROW(H$2) + 1, P$2:P3979 = P3980)))))"),45.0)</f>
        <v>45</v>
      </c>
      <c r="N3980" s="335" t="str">
        <f>IF(MAXIFS('単価履歴'!$O:$O,'単価履歴'!$E:$E,E3980,'単価履歴'!$F:$F,F3980)=O3980,"●","")</f>
        <v/>
      </c>
      <c r="O3980" s="346">
        <v>46076.67340277778</v>
      </c>
      <c r="P3980" s="334" t="str">
        <f t="shared" si="4"/>
        <v>東鐵岡山:直納新断Ｂ</v>
      </c>
    </row>
    <row r="3981" ht="15.75" customHeight="1">
      <c r="A3981" s="335" t="s">
        <v>5128</v>
      </c>
      <c r="B3981" s="336">
        <v>46074.0</v>
      </c>
      <c r="C3981" s="335" t="s">
        <v>532</v>
      </c>
      <c r="D3981" s="335" t="s">
        <v>77</v>
      </c>
      <c r="E3981" s="337" t="str">
        <f t="shared" si="1"/>
        <v>東鐵岡山:直納</v>
      </c>
      <c r="F3981" s="338" t="s">
        <v>575</v>
      </c>
      <c r="G3981" s="339" t="str">
        <f t="shared" si="2"/>
        <v>東鐵岡山:直納鋼ダライＡ</v>
      </c>
      <c r="H3981" s="340">
        <f t="shared" si="3"/>
        <v>40.5</v>
      </c>
      <c r="I3981" s="341">
        <v>1.0</v>
      </c>
      <c r="J3981" s="332">
        <f>IFERROR(__xludf.DUMMYFUNCTION("IF(IF(COUNTIF(P$2:P3980, P3981)=0, """", INDEX(H$2:H3980,
MAX(FILTER(ROW(H$2:H3980) - ROW(H$2) + 1, P$2:P3980 = P3981))))=""単価"","""",
IF(COUNTIF(P$2:P3980, P3981)=0, """", INDEX(H$2:H3980,
MAX(FILTER(ROW(H$2:H3980) - ROW(H$2) + 1, P$2:P3980 = P3981)))))"),39.5)</f>
        <v>39.5</v>
      </c>
      <c r="N3981" s="335" t="str">
        <f>IF(MAXIFS('単価履歴'!$O:$O,'単価履歴'!$E:$E,E3981,'単価履歴'!$F:$F,F3981)=O3981,"●","")</f>
        <v/>
      </c>
      <c r="O3981" s="346">
        <v>46076.67340277778</v>
      </c>
      <c r="P3981" s="334" t="str">
        <f t="shared" si="4"/>
        <v>東鐵岡山:直納鋼ダライＡ</v>
      </c>
    </row>
    <row r="3982" ht="15.75" customHeight="1">
      <c r="A3982" s="335" t="s">
        <v>5129</v>
      </c>
      <c r="B3982" s="336">
        <v>46074.0</v>
      </c>
      <c r="C3982" s="335" t="s">
        <v>532</v>
      </c>
      <c r="D3982" s="335" t="s">
        <v>77</v>
      </c>
      <c r="E3982" s="337" t="str">
        <f t="shared" si="1"/>
        <v>東鐵岡山:直納</v>
      </c>
      <c r="F3982" s="338" t="s">
        <v>25</v>
      </c>
      <c r="G3982" s="339" t="str">
        <f t="shared" si="2"/>
        <v>東鐵岡山:直納銑ダライ</v>
      </c>
      <c r="H3982" s="340">
        <f t="shared" si="3"/>
        <v>37</v>
      </c>
      <c r="I3982" s="341">
        <v>1.0</v>
      </c>
      <c r="J3982" s="332">
        <f>IFERROR(__xludf.DUMMYFUNCTION("IF(IF(COUNTIF(P$2:P3981, P3982)=0, """", INDEX(H$2:H3981,
MAX(FILTER(ROW(H$2:H3981) - ROW(H$2) + 1, P$2:P3981 = P3982))))=""単価"","""",
IF(COUNTIF(P$2:P3981, P3982)=0, """", INDEX(H$2:H3981,
MAX(FILTER(ROW(H$2:H3981) - ROW(H$2) + 1, P$2:P3981 = P3982)))))"),36.0)</f>
        <v>36</v>
      </c>
      <c r="N3982" s="335" t="str">
        <f>IF(MAXIFS('単価履歴'!$O:$O,'単価履歴'!$E:$E,E3982,'単価履歴'!$F:$F,F3982)=O3982,"●","")</f>
        <v/>
      </c>
      <c r="O3982" s="346">
        <v>46076.67340277778</v>
      </c>
      <c r="P3982" s="334" t="str">
        <f t="shared" si="4"/>
        <v>東鐵岡山:直納銑ダライ</v>
      </c>
    </row>
    <row r="3983" ht="15.75" customHeight="1">
      <c r="A3983" s="335" t="s">
        <v>5130</v>
      </c>
      <c r="B3983" s="336">
        <v>46074.0</v>
      </c>
      <c r="C3983" s="335" t="s">
        <v>532</v>
      </c>
      <c r="D3983" s="335" t="s">
        <v>77</v>
      </c>
      <c r="E3983" s="337" t="str">
        <f t="shared" si="1"/>
        <v>東鐵岡山:直納</v>
      </c>
      <c r="F3983" s="338" t="s">
        <v>154</v>
      </c>
      <c r="G3983" s="339" t="str">
        <f t="shared" si="2"/>
        <v>東鐵岡山:直納ＣＰ Ａ</v>
      </c>
      <c r="H3983" s="340">
        <f t="shared" si="3"/>
        <v>43.5</v>
      </c>
      <c r="I3983" s="341">
        <v>1.0</v>
      </c>
      <c r="J3983" s="332">
        <f>IFERROR(__xludf.DUMMYFUNCTION("IF(IF(COUNTIF(P$2:P3982, P3983)=0, """", INDEX(H$2:H3982,
MAX(FILTER(ROW(H$2:H3982) - ROW(H$2) + 1, P$2:P3982 = P3983))))=""単価"","""",
IF(COUNTIF(P$2:P3982, P3983)=0, """", INDEX(H$2:H3982,
MAX(FILTER(ROW(H$2:H3982) - ROW(H$2) + 1, P$2:P3982 = P3983)))))"),42.5)</f>
        <v>42.5</v>
      </c>
      <c r="N3983" s="335" t="str">
        <f>IF(MAXIFS('単価履歴'!$O:$O,'単価履歴'!$E:$E,E3983,'単価履歴'!$F:$F,F3983)=O3983,"●","")</f>
        <v/>
      </c>
      <c r="O3983" s="346">
        <v>46076.67340277778</v>
      </c>
      <c r="P3983" s="334" t="str">
        <f t="shared" si="4"/>
        <v>東鐵岡山:直納ＣＰ Ａ</v>
      </c>
    </row>
    <row r="3984" ht="15.75" customHeight="1">
      <c r="A3984" s="335" t="s">
        <v>5131</v>
      </c>
      <c r="B3984" s="336">
        <v>46074.0</v>
      </c>
      <c r="C3984" s="335" t="s">
        <v>11</v>
      </c>
      <c r="D3984" s="335" t="s">
        <v>46</v>
      </c>
      <c r="E3984" s="337" t="str">
        <f t="shared" si="1"/>
        <v>ﾔﾏﾄ:阪和</v>
      </c>
      <c r="F3984" s="338" t="s">
        <v>116</v>
      </c>
      <c r="G3984" s="339" t="str">
        <f t="shared" si="2"/>
        <v>ﾔﾏﾄ:阪和Ｈ２(特級)</v>
      </c>
      <c r="H3984" s="340">
        <f t="shared" si="3"/>
        <v>46.1</v>
      </c>
      <c r="I3984" s="341">
        <v>1.0</v>
      </c>
      <c r="J3984" s="332">
        <f>IFERROR(__xludf.DUMMYFUNCTION("IF(IF(COUNTIF(P$2:P3983, P3984)=0, """", INDEX(H$2:H3983,
MAX(FILTER(ROW(H$2:H3983) - ROW(H$2) + 1, P$2:P3983 = P3984))))=""単価"","""",
IF(COUNTIF(P$2:P3983, P3984)=0, """", INDEX(H$2:H3983,
MAX(FILTER(ROW(H$2:H3983) - ROW(H$2) + 1, P$2:P3983 = P3984)))))"),45.1)</f>
        <v>45.1</v>
      </c>
      <c r="N3984" s="335" t="str">
        <f>IF(MAXIFS('単価履歴'!$O:$O,'単価履歴'!$E:$E,E3984,'単価履歴'!$F:$F,F3984)=O3984,"●","")</f>
        <v/>
      </c>
      <c r="O3984" s="346">
        <v>46076.67377314815</v>
      </c>
      <c r="P3984" s="334" t="str">
        <f t="shared" si="4"/>
        <v>ﾔﾏﾄ:阪和Ｈ２(特級)</v>
      </c>
    </row>
    <row r="3985" ht="15.75" customHeight="1">
      <c r="A3985" s="335" t="s">
        <v>5132</v>
      </c>
      <c r="B3985" s="336">
        <v>46074.0</v>
      </c>
      <c r="C3985" s="335" t="s">
        <v>11</v>
      </c>
      <c r="D3985" s="335" t="s">
        <v>46</v>
      </c>
      <c r="E3985" s="337" t="str">
        <f t="shared" si="1"/>
        <v>ﾔﾏﾄ:阪和</v>
      </c>
      <c r="F3985" s="338" t="s">
        <v>119</v>
      </c>
      <c r="G3985" s="339" t="str">
        <f t="shared" si="2"/>
        <v>ﾔﾏﾄ:阪和Ｈ３(1級)</v>
      </c>
      <c r="H3985" s="340">
        <f t="shared" si="3"/>
        <v>45.1</v>
      </c>
      <c r="I3985" s="341">
        <v>1.0</v>
      </c>
      <c r="J3985" s="332">
        <f>IFERROR(__xludf.DUMMYFUNCTION("IF(IF(COUNTIF(P$2:P3984, P3985)=0, """", INDEX(H$2:H3984,
MAX(FILTER(ROW(H$2:H3984) - ROW(H$2) + 1, P$2:P3984 = P3985))))=""単価"","""",
IF(COUNTIF(P$2:P3984, P3985)=0, """", INDEX(H$2:H3984,
MAX(FILTER(ROW(H$2:H3984) - ROW(H$2) + 1, P$2:P3984 = P3985)))))"),44.1)</f>
        <v>44.1</v>
      </c>
      <c r="N3985" s="335" t="str">
        <f>IF(MAXIFS('単価履歴'!$O:$O,'単価履歴'!$E:$E,E3985,'単価履歴'!$F:$F,F3985)=O3985,"●","")</f>
        <v/>
      </c>
      <c r="O3985" s="346">
        <v>46076.67377314815</v>
      </c>
      <c r="P3985" s="334" t="str">
        <f t="shared" si="4"/>
        <v>ﾔﾏﾄ:阪和Ｈ３(1級)</v>
      </c>
    </row>
    <row r="3986" ht="15.75" customHeight="1">
      <c r="A3986" s="335" t="s">
        <v>5133</v>
      </c>
      <c r="B3986" s="336">
        <v>46074.0</v>
      </c>
      <c r="C3986" s="335" t="s">
        <v>11</v>
      </c>
      <c r="D3986" s="335" t="s">
        <v>46</v>
      </c>
      <c r="E3986" s="337" t="str">
        <f t="shared" si="1"/>
        <v>ﾔﾏﾄ:阪和</v>
      </c>
      <c r="F3986" s="338" t="s">
        <v>122</v>
      </c>
      <c r="G3986" s="339" t="str">
        <f t="shared" si="2"/>
        <v>ﾔﾏﾄ:阪和Ｌ１(2級)</v>
      </c>
      <c r="H3986" s="340">
        <f t="shared" si="3"/>
        <v>43.1</v>
      </c>
      <c r="I3986" s="341">
        <v>1.0</v>
      </c>
      <c r="J3986" s="332">
        <f>IFERROR(__xludf.DUMMYFUNCTION("IF(IF(COUNTIF(P$2:P3985, P3986)=0, """", INDEX(H$2:H3985,
MAX(FILTER(ROW(H$2:H3985) - ROW(H$2) + 1, P$2:P3985 = P3986))))=""単価"","""",
IF(COUNTIF(P$2:P3985, P3986)=0, """", INDEX(H$2:H3985,
MAX(FILTER(ROW(H$2:H3985) - ROW(H$2) + 1, P$2:P3985 = P3986)))))"),42.1)</f>
        <v>42.1</v>
      </c>
      <c r="N3986" s="335" t="str">
        <f>IF(MAXIFS('単価履歴'!$O:$O,'単価履歴'!$E:$E,E3986,'単価履歴'!$F:$F,F3986)=O3986,"●","")</f>
        <v/>
      </c>
      <c r="O3986" s="346">
        <v>46076.67377314815</v>
      </c>
      <c r="P3986" s="334" t="str">
        <f t="shared" si="4"/>
        <v>ﾔﾏﾄ:阪和Ｌ１(2級)</v>
      </c>
    </row>
    <row r="3987" ht="15.75" customHeight="1">
      <c r="A3987" s="335" t="s">
        <v>5134</v>
      </c>
      <c r="B3987" s="336">
        <v>46074.0</v>
      </c>
      <c r="C3987" s="335" t="s">
        <v>11</v>
      </c>
      <c r="D3987" s="335" t="s">
        <v>46</v>
      </c>
      <c r="E3987" s="337" t="str">
        <f t="shared" si="1"/>
        <v>ﾔﾏﾄ:阪和</v>
      </c>
      <c r="F3987" s="338" t="s">
        <v>111</v>
      </c>
      <c r="G3987" s="339" t="str">
        <f t="shared" si="2"/>
        <v>ﾔﾏﾄ:阪和Ｈ１(特A)</v>
      </c>
      <c r="H3987" s="340">
        <f t="shared" si="3"/>
        <v>47.1</v>
      </c>
      <c r="I3987" s="341">
        <v>1.0</v>
      </c>
      <c r="J3987" s="332">
        <f>IFERROR(__xludf.DUMMYFUNCTION("IF(IF(COUNTIF(P$2:P3986, P3987)=0, """", INDEX(H$2:H3986,
MAX(FILTER(ROW(H$2:H3986) - ROW(H$2) + 1, P$2:P3986 = P3987))))=""単価"","""",
IF(COUNTIF(P$2:P3986, P3987)=0, """", INDEX(H$2:H3986,
MAX(FILTER(ROW(H$2:H3986) - ROW(H$2) + 1, P$2:P3986 = P3987)))))"),46.1)</f>
        <v>46.1</v>
      </c>
      <c r="N3987" s="335" t="str">
        <f>IF(MAXIFS('単価履歴'!$O:$O,'単価履歴'!$E:$E,E3987,'単価履歴'!$F:$F,F3987)=O3987,"●","")</f>
        <v/>
      </c>
      <c r="O3987" s="346">
        <v>46076.67377314815</v>
      </c>
      <c r="P3987" s="334" t="str">
        <f t="shared" si="4"/>
        <v>ﾔﾏﾄ:阪和Ｈ１(特A)</v>
      </c>
    </row>
    <row r="3988" ht="15.75" customHeight="1">
      <c r="A3988" s="335" t="s">
        <v>5135</v>
      </c>
      <c r="B3988" s="336">
        <v>46074.0</v>
      </c>
      <c r="C3988" s="335" t="s">
        <v>11</v>
      </c>
      <c r="D3988" s="335" t="s">
        <v>46</v>
      </c>
      <c r="E3988" s="337" t="str">
        <f t="shared" si="1"/>
        <v>ﾔﾏﾄ:阪和</v>
      </c>
      <c r="F3988" s="338" t="s">
        <v>573</v>
      </c>
      <c r="G3988" s="339" t="str">
        <f t="shared" si="2"/>
        <v>ﾔﾏﾄ:阪和Ｌ２(H4･級外･L1ﾊﾞﾗ)</v>
      </c>
      <c r="H3988" s="340">
        <f t="shared" si="3"/>
        <v>40.6</v>
      </c>
      <c r="I3988" s="341">
        <v>1.0</v>
      </c>
      <c r="J3988" s="332">
        <f>IFERROR(__xludf.DUMMYFUNCTION("IF(IF(COUNTIF(P$2:P3987, P3988)=0, """", INDEX(H$2:H3987,
MAX(FILTER(ROW(H$2:H3987) - ROW(H$2) + 1, P$2:P3987 = P3988))))=""単価"","""",
IF(COUNTIF(P$2:P3987, P3988)=0, """", INDEX(H$2:H3987,
MAX(FILTER(ROW(H$2:H3987) - ROW(H$2) + 1, P$2:P3987 = P3988)))))"),39.6)</f>
        <v>39.6</v>
      </c>
      <c r="N3988" s="335" t="str">
        <f>IF(MAXIFS('単価履歴'!$O:$O,'単価履歴'!$E:$E,E3988,'単価履歴'!$F:$F,F3988)=O3988,"●","")</f>
        <v/>
      </c>
      <c r="O3988" s="346">
        <v>46076.67377314815</v>
      </c>
      <c r="P3988" s="334" t="str">
        <f t="shared" si="4"/>
        <v>ﾔﾏﾄ:阪和Ｌ２(H4･級外･L1ﾊﾞﾗ)</v>
      </c>
    </row>
    <row r="3989" ht="15.75" customHeight="1">
      <c r="A3989" s="335" t="s">
        <v>5136</v>
      </c>
      <c r="B3989" s="336">
        <v>46074.0</v>
      </c>
      <c r="C3989" s="335" t="s">
        <v>12</v>
      </c>
      <c r="D3989" s="335" t="s">
        <v>50</v>
      </c>
      <c r="E3989" s="337" t="str">
        <f t="shared" si="1"/>
        <v>山陽特殊:産振</v>
      </c>
      <c r="F3989" s="338" t="s">
        <v>1199</v>
      </c>
      <c r="G3989" s="339" t="str">
        <f t="shared" si="2"/>
        <v>山陽特殊:産振ＨＳ１(単体H1/電特A/HS))</v>
      </c>
      <c r="H3989" s="340">
        <f t="shared" si="3"/>
        <v>48.1</v>
      </c>
      <c r="I3989" s="341">
        <v>1.0</v>
      </c>
      <c r="J3989" s="332">
        <f>IFERROR(__xludf.DUMMYFUNCTION("IF(IF(COUNTIF(P$2:P3988, P3989)=0, """", INDEX(H$2:H3988,
MAX(FILTER(ROW(H$2:H3988) - ROW(H$2) + 1, P$2:P3988 = P3989))))=""単価"","""",
IF(COUNTIF(P$2:P3988, P3989)=0, """", INDEX(H$2:H3988,
MAX(FILTER(ROW(H$2:H3988) - ROW(H$2) + 1, P$2:P3988 = P3989)))))"),47.1)</f>
        <v>47.1</v>
      </c>
      <c r="N3989" s="335" t="str">
        <f>IF(MAXIFS('単価履歴'!$O:$O,'単価履歴'!$E:$E,E3989,'単価履歴'!$F:$F,F3989)=O3989,"●","")</f>
        <v/>
      </c>
      <c r="O3989" s="346">
        <v>46076.67422453704</v>
      </c>
      <c r="P3989" s="334" t="str">
        <f t="shared" si="4"/>
        <v>山陽特殊:産振ＨＳ１(単体H1/電特A/HS))</v>
      </c>
    </row>
    <row r="3990" ht="15.75" customHeight="1">
      <c r="A3990" s="335" t="s">
        <v>5137</v>
      </c>
      <c r="B3990" s="336">
        <v>46074.0</v>
      </c>
      <c r="C3990" s="335" t="s">
        <v>12</v>
      </c>
      <c r="D3990" s="335" t="s">
        <v>50</v>
      </c>
      <c r="E3990" s="337" t="str">
        <f t="shared" si="1"/>
        <v>山陽特殊:産振</v>
      </c>
      <c r="F3990" s="338" t="s">
        <v>101</v>
      </c>
      <c r="G3990" s="339" t="str">
        <f t="shared" si="2"/>
        <v>山陽特殊:産振ＨＳ２</v>
      </c>
      <c r="H3990" s="340">
        <f t="shared" si="3"/>
        <v>47.9</v>
      </c>
      <c r="I3990" s="341">
        <v>1.0</v>
      </c>
      <c r="J3990" s="332">
        <f>IFERROR(__xludf.DUMMYFUNCTION("IF(IF(COUNTIF(P$2:P3989, P3990)=0, """", INDEX(H$2:H3989,
MAX(FILTER(ROW(H$2:H3989) - ROW(H$2) + 1, P$2:P3989 = P3990))))=""単価"","""",
IF(COUNTIF(P$2:P3989, P3990)=0, """", INDEX(H$2:H3989,
MAX(FILTER(ROW(H$2:H3989) - ROW(H$2) + 1, P$2:P3989 = P3990)))))"),46.9)</f>
        <v>46.9</v>
      </c>
      <c r="N3990" s="335" t="str">
        <f>IF(MAXIFS('単価履歴'!$O:$O,'単価履歴'!$E:$E,E3990,'単価履歴'!$F:$F,F3990)=O3990,"●","")</f>
        <v/>
      </c>
      <c r="O3990" s="346">
        <v>46076.67422453704</v>
      </c>
      <c r="P3990" s="334" t="str">
        <f t="shared" si="4"/>
        <v>山陽特殊:産振ＨＳ２</v>
      </c>
    </row>
    <row r="3991" ht="15.75" customHeight="1">
      <c r="A3991" s="335" t="s">
        <v>5138</v>
      </c>
      <c r="B3991" s="336">
        <v>46074.0</v>
      </c>
      <c r="C3991" s="335" t="s">
        <v>12</v>
      </c>
      <c r="D3991" s="335" t="s">
        <v>50</v>
      </c>
      <c r="E3991" s="337" t="str">
        <f t="shared" si="1"/>
        <v>山陽特殊:産振</v>
      </c>
      <c r="F3991" s="338" t="s">
        <v>105</v>
      </c>
      <c r="G3991" s="339" t="str">
        <f t="shared" si="2"/>
        <v>山陽特殊:産振ＨＳ３</v>
      </c>
      <c r="H3991" s="340">
        <f t="shared" si="3"/>
        <v>45.9</v>
      </c>
      <c r="I3991" s="341">
        <v>1.0</v>
      </c>
      <c r="J3991" s="332">
        <f>IFERROR(__xludf.DUMMYFUNCTION("IF(IF(COUNTIF(P$2:P3990, P3991)=0, """", INDEX(H$2:H3990,
MAX(FILTER(ROW(H$2:H3990) - ROW(H$2) + 1, P$2:P3990 = P3991))))=""単価"","""",
IF(COUNTIF(P$2:P3990, P3991)=0, """", INDEX(H$2:H3990,
MAX(FILTER(ROW(H$2:H3990) - ROW(H$2) + 1, P$2:P3990 = P3991)))))"),44.9)</f>
        <v>44.9</v>
      </c>
      <c r="N3991" s="335" t="str">
        <f>IF(MAXIFS('単価履歴'!$O:$O,'単価履歴'!$E:$E,E3991,'単価履歴'!$F:$F,F3991)=O3991,"●","")</f>
        <v/>
      </c>
      <c r="O3991" s="346">
        <v>46076.67422453704</v>
      </c>
      <c r="P3991" s="334" t="str">
        <f t="shared" si="4"/>
        <v>山陽特殊:産振ＨＳ３</v>
      </c>
    </row>
    <row r="3992" ht="15.75" customHeight="1">
      <c r="A3992" s="335" t="s">
        <v>5139</v>
      </c>
      <c r="B3992" s="336">
        <v>46074.0</v>
      </c>
      <c r="C3992" s="335" t="s">
        <v>12</v>
      </c>
      <c r="D3992" s="335" t="s">
        <v>53</v>
      </c>
      <c r="E3992" s="337" t="str">
        <f t="shared" si="1"/>
        <v>山陽特殊:MM</v>
      </c>
      <c r="F3992" s="338" t="s">
        <v>1199</v>
      </c>
      <c r="G3992" s="339" t="str">
        <f t="shared" si="2"/>
        <v>山陽特殊:MMＨＳ１(単体H1/電特A/HS))</v>
      </c>
      <c r="H3992" s="340">
        <f t="shared" si="3"/>
        <v>50.5</v>
      </c>
      <c r="I3992" s="341">
        <v>1.0</v>
      </c>
      <c r="J3992" s="332">
        <f>IFERROR(__xludf.DUMMYFUNCTION("IF(IF(COUNTIF(P$2:P3991, P3992)=0, """", INDEX(H$2:H3991,
MAX(FILTER(ROW(H$2:H3991) - ROW(H$2) + 1, P$2:P3991 = P3992))))=""単価"","""",
IF(COUNTIF(P$2:P3991, P3992)=0, """", INDEX(H$2:H3991,
MAX(FILTER(ROW(H$2:H3991) - ROW(H$2) + 1, P$2:P3991 = P3992)))))"),49.5)</f>
        <v>49.5</v>
      </c>
      <c r="N3992" s="335" t="str">
        <f>IF(MAXIFS('単価履歴'!$O:$O,'単価履歴'!$E:$E,E3992,'単価履歴'!$F:$F,F3992)=O3992,"●","")</f>
        <v/>
      </c>
      <c r="O3992" s="346">
        <v>46076.674409722225</v>
      </c>
      <c r="P3992" s="334" t="str">
        <f t="shared" si="4"/>
        <v>山陽特殊:MMＨＳ１(単体H1/電特A/HS))</v>
      </c>
    </row>
    <row r="3993" ht="15.75" customHeight="1">
      <c r="A3993" s="335" t="s">
        <v>5140</v>
      </c>
      <c r="B3993" s="336">
        <v>46074.0</v>
      </c>
      <c r="C3993" s="335" t="s">
        <v>12</v>
      </c>
      <c r="D3993" s="335" t="s">
        <v>53</v>
      </c>
      <c r="E3993" s="337" t="str">
        <f t="shared" si="1"/>
        <v>山陽特殊:MM</v>
      </c>
      <c r="F3993" s="338" t="s">
        <v>101</v>
      </c>
      <c r="G3993" s="339" t="str">
        <f t="shared" si="2"/>
        <v>山陽特殊:MMＨＳ２</v>
      </c>
      <c r="H3993" s="340">
        <f t="shared" si="3"/>
        <v>50.3</v>
      </c>
      <c r="I3993" s="341">
        <v>1.0</v>
      </c>
      <c r="J3993" s="332">
        <f>IFERROR(__xludf.DUMMYFUNCTION("IF(IF(COUNTIF(P$2:P3992, P3993)=0, """", INDEX(H$2:H3992,
MAX(FILTER(ROW(H$2:H3992) - ROW(H$2) + 1, P$2:P3992 = P3993))))=""単価"","""",
IF(COUNTIF(P$2:P3992, P3993)=0, """", INDEX(H$2:H3992,
MAX(FILTER(ROW(H$2:H3992) - ROW(H$2) + 1, P$2:P3992 = P3993)))))"),49.3)</f>
        <v>49.3</v>
      </c>
      <c r="N3993" s="335" t="str">
        <f>IF(MAXIFS('単価履歴'!$O:$O,'単価履歴'!$E:$E,E3993,'単価履歴'!$F:$F,F3993)=O3993,"●","")</f>
        <v/>
      </c>
      <c r="O3993" s="346">
        <v>46076.674409722225</v>
      </c>
      <c r="P3993" s="334" t="str">
        <f t="shared" si="4"/>
        <v>山陽特殊:MMＨＳ２</v>
      </c>
    </row>
    <row r="3994" ht="15.75" customHeight="1">
      <c r="A3994" s="335" t="s">
        <v>5141</v>
      </c>
      <c r="B3994" s="336">
        <v>46074.0</v>
      </c>
      <c r="C3994" s="335" t="s">
        <v>12</v>
      </c>
      <c r="D3994" s="335" t="s">
        <v>53</v>
      </c>
      <c r="E3994" s="337" t="str">
        <f t="shared" si="1"/>
        <v>山陽特殊:MM</v>
      </c>
      <c r="F3994" s="338" t="s">
        <v>105</v>
      </c>
      <c r="G3994" s="339" t="str">
        <f t="shared" si="2"/>
        <v>山陽特殊:MMＨＳ３</v>
      </c>
      <c r="H3994" s="340">
        <f t="shared" si="3"/>
        <v>48.3</v>
      </c>
      <c r="I3994" s="341">
        <v>1.0</v>
      </c>
      <c r="J3994" s="332">
        <f>IFERROR(__xludf.DUMMYFUNCTION("IF(IF(COUNTIF(P$2:P3993, P3994)=0, """", INDEX(H$2:H3993,
MAX(FILTER(ROW(H$2:H3993) - ROW(H$2) + 1, P$2:P3993 = P3994))))=""単価"","""",
IF(COUNTIF(P$2:P3993, P3994)=0, """", INDEX(H$2:H3993,
MAX(FILTER(ROW(H$2:H3993) - ROW(H$2) + 1, P$2:P3993 = P3994)))))"),47.3)</f>
        <v>47.3</v>
      </c>
      <c r="N3994" s="335" t="str">
        <f>IF(MAXIFS('単価履歴'!$O:$O,'単価履歴'!$E:$E,E3994,'単価履歴'!$F:$F,F3994)=O3994,"●","")</f>
        <v/>
      </c>
      <c r="O3994" s="346">
        <v>46076.674409722225</v>
      </c>
      <c r="P3994" s="334" t="str">
        <f t="shared" si="4"/>
        <v>山陽特殊:MMＨＳ３</v>
      </c>
    </row>
    <row r="3995" ht="15.75" customHeight="1">
      <c r="A3995" s="335" t="s">
        <v>5142</v>
      </c>
      <c r="B3995" s="336">
        <v>46074.0</v>
      </c>
      <c r="C3995" s="335" t="s">
        <v>12</v>
      </c>
      <c r="D3995" s="335" t="s">
        <v>53</v>
      </c>
      <c r="E3995" s="337" t="str">
        <f t="shared" si="1"/>
        <v>山陽特殊:MM</v>
      </c>
      <c r="F3995" s="338" t="s">
        <v>122</v>
      </c>
      <c r="G3995" s="339" t="str">
        <f t="shared" si="2"/>
        <v>山陽特殊:MMＬ１(2級)</v>
      </c>
      <c r="H3995" s="340">
        <f t="shared" si="3"/>
        <v>6.5</v>
      </c>
      <c r="I3995" s="341">
        <v>1.0</v>
      </c>
      <c r="J3995" s="332">
        <f>IFERROR(__xludf.DUMMYFUNCTION("IF(IF(COUNTIF(P$2:P3994, P3995)=0, """", INDEX(H$2:H3994,
MAX(FILTER(ROW(H$2:H3994) - ROW(H$2) + 1, P$2:P3994 = P3995))))=""単価"","""",
IF(COUNTIF(P$2:P3994, P3995)=0, """", INDEX(H$2:H3994,
MAX(FILTER(ROW(H$2:H3994) - ROW(H$2) + 1, P$2:P3994 = P3995)))))"),5.5)</f>
        <v>5.5</v>
      </c>
      <c r="N3995" s="335" t="str">
        <f>IF(MAXIFS('単価履歴'!$O:$O,'単価履歴'!$E:$E,E3995,'単価履歴'!$F:$F,F3995)=O3995,"●","")</f>
        <v/>
      </c>
      <c r="O3995" s="346">
        <v>46076.674409722225</v>
      </c>
      <c r="P3995" s="334" t="str">
        <f t="shared" si="4"/>
        <v>山陽特殊:MMＬ１(2級)</v>
      </c>
    </row>
    <row r="3996" ht="15.75" customHeight="1">
      <c r="A3996" s="367" t="s">
        <v>5143</v>
      </c>
      <c r="B3996" s="368">
        <v>46074.0</v>
      </c>
      <c r="C3996" s="367" t="s">
        <v>12</v>
      </c>
      <c r="D3996" s="367" t="s">
        <v>541</v>
      </c>
      <c r="E3996" s="337" t="str">
        <f t="shared" si="1"/>
        <v>山陽特殊:大同</v>
      </c>
      <c r="F3996" s="369" t="s">
        <v>1199</v>
      </c>
      <c r="G3996" s="339" t="str">
        <f t="shared" si="2"/>
        <v>山陽特殊:大同ＨＳ１(単体H1/電特A/HS))</v>
      </c>
      <c r="H3996" s="340">
        <f t="shared" si="3"/>
        <v>51.2</v>
      </c>
      <c r="I3996" s="364">
        <v>1.0</v>
      </c>
      <c r="J3996" s="332">
        <f>IFERROR(__xludf.DUMMYFUNCTION("IF(IF(COUNTIF(P$2:P3995, P3996)=0, """", INDEX(H$2:H3995,
MAX(FILTER(ROW(H$2:H3995) - ROW(H$2) + 1, P$2:P3995 = P3996))))=""単価"","""",
IF(COUNTIF(P$2:P3995, P3996)=0, """", INDEX(H$2:H3995,
MAX(FILTER(ROW(H$2:H3995) - ROW(H$2) + 1, P$2:P3995 = P3996)))))"),50.2)</f>
        <v>50.2</v>
      </c>
      <c r="K3996" s="365"/>
      <c r="L3996" s="365"/>
      <c r="M3996" s="365"/>
      <c r="N3996" s="335" t="str">
        <f>IF(MAXIFS('単価履歴'!$O:$O,'単価履歴'!$E:$E,E3996,'単価履歴'!$F:$F,F3996)=O3996,"●","")</f>
        <v/>
      </c>
      <c r="O3996" s="366">
        <v>46076.675405092596</v>
      </c>
      <c r="P3996" s="334" t="str">
        <f t="shared" si="4"/>
        <v>山陽特殊:大同ＨＳ１(単体H1/電特A/HS))</v>
      </c>
      <c r="Q3996" s="365"/>
      <c r="R3996" s="365"/>
      <c r="S3996" s="365"/>
      <c r="T3996" s="365"/>
      <c r="U3996" s="365"/>
      <c r="V3996" s="365"/>
      <c r="W3996" s="365"/>
      <c r="X3996" s="365"/>
      <c r="Y3996" s="365"/>
      <c r="Z3996" s="365"/>
      <c r="AA3996" s="365"/>
      <c r="AB3996" s="365"/>
      <c r="AC3996" s="365"/>
      <c r="AD3996" s="365"/>
      <c r="AE3996" s="365"/>
      <c r="AF3996" s="365"/>
    </row>
    <row r="3997" ht="15.75" customHeight="1">
      <c r="A3997" s="367" t="s">
        <v>5144</v>
      </c>
      <c r="B3997" s="368">
        <v>46074.0</v>
      </c>
      <c r="C3997" s="367" t="s">
        <v>12</v>
      </c>
      <c r="D3997" s="367" t="s">
        <v>541</v>
      </c>
      <c r="E3997" s="337" t="str">
        <f t="shared" si="1"/>
        <v>山陽特殊:大同</v>
      </c>
      <c r="F3997" s="369" t="s">
        <v>101</v>
      </c>
      <c r="G3997" s="339" t="str">
        <f t="shared" si="2"/>
        <v>山陽特殊:大同ＨＳ２</v>
      </c>
      <c r="H3997" s="340">
        <f t="shared" si="3"/>
        <v>51</v>
      </c>
      <c r="I3997" s="364">
        <v>1.0</v>
      </c>
      <c r="J3997" s="332">
        <f>IFERROR(__xludf.DUMMYFUNCTION("IF(IF(COUNTIF(P$2:P3996, P3997)=0, """", INDEX(H$2:H3996,
MAX(FILTER(ROW(H$2:H3996) - ROW(H$2) + 1, P$2:P3996 = P3997))))=""単価"","""",
IF(COUNTIF(P$2:P3996, P3997)=0, """", INDEX(H$2:H3996,
MAX(FILTER(ROW(H$2:H3996) - ROW(H$2) + 1, P$2:P3996 = P3997)))))"),50.0)</f>
        <v>50</v>
      </c>
      <c r="K3997" s="365"/>
      <c r="L3997" s="365"/>
      <c r="M3997" s="365"/>
      <c r="N3997" s="335" t="str">
        <f>IF(MAXIFS('単価履歴'!$O:$O,'単価履歴'!$E:$E,E3997,'単価履歴'!$F:$F,F3997)=O3997,"●","")</f>
        <v/>
      </c>
      <c r="O3997" s="366">
        <v>46076.675405092596</v>
      </c>
      <c r="P3997" s="334" t="str">
        <f t="shared" si="4"/>
        <v>山陽特殊:大同ＨＳ２</v>
      </c>
      <c r="Q3997" s="365"/>
      <c r="R3997" s="365"/>
      <c r="S3997" s="365"/>
      <c r="T3997" s="365"/>
      <c r="U3997" s="365"/>
      <c r="V3997" s="365"/>
      <c r="W3997" s="365"/>
      <c r="X3997" s="365"/>
      <c r="Y3997" s="365"/>
      <c r="Z3997" s="365"/>
      <c r="AA3997" s="365"/>
      <c r="AB3997" s="365"/>
      <c r="AC3997" s="365"/>
      <c r="AD3997" s="365"/>
      <c r="AE3997" s="365"/>
      <c r="AF3997" s="365"/>
    </row>
    <row r="3998" ht="15.75" customHeight="1">
      <c r="A3998" s="367" t="s">
        <v>5145</v>
      </c>
      <c r="B3998" s="368">
        <v>46074.0</v>
      </c>
      <c r="C3998" s="367" t="s">
        <v>12</v>
      </c>
      <c r="D3998" s="367" t="s">
        <v>541</v>
      </c>
      <c r="E3998" s="337" t="str">
        <f t="shared" si="1"/>
        <v>山陽特殊:大同</v>
      </c>
      <c r="F3998" s="369" t="s">
        <v>105</v>
      </c>
      <c r="G3998" s="339" t="str">
        <f t="shared" si="2"/>
        <v>山陽特殊:大同ＨＳ３</v>
      </c>
      <c r="H3998" s="340">
        <f t="shared" si="3"/>
        <v>49</v>
      </c>
      <c r="I3998" s="364">
        <v>1.0</v>
      </c>
      <c r="J3998" s="332">
        <f>IFERROR(__xludf.DUMMYFUNCTION("IF(IF(COUNTIF(P$2:P3997, P3998)=0, """", INDEX(H$2:H3997,
MAX(FILTER(ROW(H$2:H3997) - ROW(H$2) + 1, P$2:P3997 = P3998))))=""単価"","""",
IF(COUNTIF(P$2:P3997, P3998)=0, """", INDEX(H$2:H3997,
MAX(FILTER(ROW(H$2:H3997) - ROW(H$2) + 1, P$2:P3997 = P3998)))))"),48.0)</f>
        <v>48</v>
      </c>
      <c r="K3998" s="365"/>
      <c r="L3998" s="365"/>
      <c r="M3998" s="365"/>
      <c r="N3998" s="335" t="str">
        <f>IF(MAXIFS('単価履歴'!$O:$O,'単価履歴'!$E:$E,E3998,'単価履歴'!$F:$F,F3998)=O3998,"●","")</f>
        <v/>
      </c>
      <c r="O3998" s="366">
        <v>46076.675405092596</v>
      </c>
      <c r="P3998" s="334" t="str">
        <f t="shared" si="4"/>
        <v>山陽特殊:大同ＨＳ３</v>
      </c>
      <c r="Q3998" s="365"/>
      <c r="R3998" s="365"/>
      <c r="S3998" s="365"/>
      <c r="T3998" s="365"/>
      <c r="U3998" s="365"/>
      <c r="V3998" s="365"/>
      <c r="W3998" s="365"/>
      <c r="X3998" s="365"/>
      <c r="Y3998" s="365"/>
      <c r="Z3998" s="365"/>
      <c r="AA3998" s="365"/>
      <c r="AB3998" s="365"/>
      <c r="AC3998" s="365"/>
      <c r="AD3998" s="365"/>
      <c r="AE3998" s="365"/>
      <c r="AF3998" s="365"/>
    </row>
    <row r="3999" ht="15.75" customHeight="1">
      <c r="A3999" s="335" t="s">
        <v>5146</v>
      </c>
      <c r="B3999" s="336">
        <v>46074.0</v>
      </c>
      <c r="C3999" s="335" t="s">
        <v>535</v>
      </c>
      <c r="D3999" s="335" t="s">
        <v>77</v>
      </c>
      <c r="E3999" s="337" t="str">
        <f t="shared" si="1"/>
        <v>東鐵名古屋:直納</v>
      </c>
      <c r="F3999" s="338" t="s">
        <v>1199</v>
      </c>
      <c r="G3999" s="339" t="str">
        <f t="shared" si="2"/>
        <v>東鐵名古屋:直納ＨＳ１(単体H1/電特A/HS))</v>
      </c>
      <c r="H3999" s="340">
        <f t="shared" si="3"/>
        <v>47.5</v>
      </c>
      <c r="I3999" s="341">
        <v>1.0</v>
      </c>
      <c r="J3999" s="332">
        <f>IFERROR(__xludf.DUMMYFUNCTION("IF(IF(COUNTIF(P$2:P3998, P3999)=0, """", INDEX(H$2:H3998,
MAX(FILTER(ROW(H$2:H3998) - ROW(H$2) + 1, P$2:P3998 = P3999))))=""単価"","""",
IF(COUNTIF(P$2:P3998, P3999)=0, """", INDEX(H$2:H3998,
MAX(FILTER(ROW(H$2:H3998) - ROW(H$2) + 1, P$2:P3998 = P3999)))))"),46.5)</f>
        <v>46.5</v>
      </c>
      <c r="N3999" s="335" t="str">
        <f>IF(MAXIFS('単価履歴'!$O:$O,'単価履歴'!$E:$E,E3999,'単価履歴'!$F:$F,F3999)=O3999,"●","")</f>
        <v/>
      </c>
      <c r="O3999" s="346">
        <v>46076.67585648148</v>
      </c>
      <c r="P3999" s="334" t="str">
        <f t="shared" si="4"/>
        <v>東鐵名古屋:直納ＨＳ１(単体H1/電特A/HS))</v>
      </c>
    </row>
    <row r="4000" ht="15.75" customHeight="1">
      <c r="A4000" s="335" t="s">
        <v>5147</v>
      </c>
      <c r="B4000" s="336">
        <v>46074.0</v>
      </c>
      <c r="C4000" s="335" t="s">
        <v>535</v>
      </c>
      <c r="D4000" s="335" t="s">
        <v>77</v>
      </c>
      <c r="E4000" s="337" t="str">
        <f t="shared" si="1"/>
        <v>東鐵名古屋:直納</v>
      </c>
      <c r="F4000" s="338" t="s">
        <v>111</v>
      </c>
      <c r="G4000" s="339" t="str">
        <f t="shared" si="2"/>
        <v>東鐵名古屋:直納Ｈ１(特A)</v>
      </c>
      <c r="H4000" s="340">
        <f t="shared" si="3"/>
        <v>45.7</v>
      </c>
      <c r="I4000" s="341">
        <v>1.0</v>
      </c>
      <c r="J4000" s="332">
        <f>IFERROR(__xludf.DUMMYFUNCTION("IF(IF(COUNTIF(P$2:P3999, P4000)=0, """", INDEX(H$2:H3999,
MAX(FILTER(ROW(H$2:H3999) - ROW(H$2) + 1, P$2:P3999 = P4000))))=""単価"","""",
IF(COUNTIF(P$2:P3999, P4000)=0, """", INDEX(H$2:H3999,
MAX(FILTER(ROW(H$2:H3999) - ROW(H$2) + 1, P$2:P3999 = P4000)))))"),44.7)</f>
        <v>44.7</v>
      </c>
      <c r="N4000" s="335" t="str">
        <f>IF(MAXIFS('単価履歴'!$O:$O,'単価履歴'!$E:$E,E4000,'単価履歴'!$F:$F,F4000)=O4000,"●","")</f>
        <v/>
      </c>
      <c r="O4000" s="346">
        <v>46076.67585648148</v>
      </c>
      <c r="P4000" s="334" t="str">
        <f t="shared" si="4"/>
        <v>東鐵名古屋:直納Ｈ１(特A)</v>
      </c>
    </row>
    <row r="4001" ht="15.75" customHeight="1">
      <c r="A4001" s="335" t="s">
        <v>5148</v>
      </c>
      <c r="B4001" s="336">
        <v>46074.0</v>
      </c>
      <c r="C4001" s="335" t="s">
        <v>535</v>
      </c>
      <c r="D4001" s="335" t="s">
        <v>77</v>
      </c>
      <c r="E4001" s="337" t="str">
        <f t="shared" si="1"/>
        <v>東鐵名古屋:直納</v>
      </c>
      <c r="F4001" s="338" t="s">
        <v>116</v>
      </c>
      <c r="G4001" s="339" t="str">
        <f t="shared" si="2"/>
        <v>東鐵名古屋:直納Ｈ２(特級)</v>
      </c>
      <c r="H4001" s="340">
        <f t="shared" si="3"/>
        <v>45</v>
      </c>
      <c r="I4001" s="341">
        <v>1.0</v>
      </c>
      <c r="J4001" s="332">
        <f>IFERROR(__xludf.DUMMYFUNCTION("IF(IF(COUNTIF(P$2:P4000, P4001)=0, """", INDEX(H$2:H4000,
MAX(FILTER(ROW(H$2:H4000) - ROW(H$2) + 1, P$2:P4000 = P4001))))=""単価"","""",
IF(COUNTIF(P$2:P4000, P4001)=0, """", INDEX(H$2:H4000,
MAX(FILTER(ROW(H$2:H4000) - ROW(H$2) + 1, P$2:P4000 = P4001)))))"),44.0)</f>
        <v>44</v>
      </c>
      <c r="N4001" s="335" t="str">
        <f>IF(MAXIFS('単価履歴'!$O:$O,'単価履歴'!$E:$E,E4001,'単価履歴'!$F:$F,F4001)=O4001,"●","")</f>
        <v/>
      </c>
      <c r="O4001" s="346">
        <v>46076.67585648148</v>
      </c>
      <c r="P4001" s="334" t="str">
        <f t="shared" si="4"/>
        <v>東鐵名古屋:直納Ｈ２(特級)</v>
      </c>
    </row>
    <row r="4002" ht="15.75" customHeight="1">
      <c r="A4002" s="335" t="s">
        <v>5149</v>
      </c>
      <c r="B4002" s="336">
        <v>46074.0</v>
      </c>
      <c r="C4002" s="335" t="s">
        <v>535</v>
      </c>
      <c r="D4002" s="335" t="s">
        <v>77</v>
      </c>
      <c r="E4002" s="337" t="str">
        <f t="shared" si="1"/>
        <v>東鐵名古屋:直納</v>
      </c>
      <c r="F4002" s="338" t="s">
        <v>119</v>
      </c>
      <c r="G4002" s="339" t="str">
        <f t="shared" si="2"/>
        <v>東鐵名古屋:直納Ｈ３(1級)</v>
      </c>
      <c r="H4002" s="340">
        <f t="shared" si="3"/>
        <v>44.5</v>
      </c>
      <c r="I4002" s="341">
        <v>1.0</v>
      </c>
      <c r="J4002" s="332">
        <f>IFERROR(__xludf.DUMMYFUNCTION("IF(IF(COUNTIF(P$2:P4001, P4002)=0, """", INDEX(H$2:H4001,
MAX(FILTER(ROW(H$2:H4001) - ROW(H$2) + 1, P$2:P4001 = P4002))))=""単価"","""",
IF(COUNTIF(P$2:P4001, P4002)=0, """", INDEX(H$2:H4001,
MAX(FILTER(ROW(H$2:H4001) - ROW(H$2) + 1, P$2:P4001 = P4002)))))"),43.5)</f>
        <v>43.5</v>
      </c>
      <c r="N4002" s="335" t="str">
        <f>IF(MAXIFS('単価履歴'!$O:$O,'単価履歴'!$E:$E,E4002,'単価履歴'!$F:$F,F4002)=O4002,"●","")</f>
        <v/>
      </c>
      <c r="O4002" s="346">
        <v>46076.67585648148</v>
      </c>
      <c r="P4002" s="334" t="str">
        <f t="shared" si="4"/>
        <v>東鐵名古屋:直納Ｈ３(1級)</v>
      </c>
    </row>
    <row r="4003" ht="15.75" customHeight="1">
      <c r="A4003" s="335" t="s">
        <v>5150</v>
      </c>
      <c r="B4003" s="336">
        <v>46074.0</v>
      </c>
      <c r="C4003" s="335" t="s">
        <v>535</v>
      </c>
      <c r="D4003" s="335" t="s">
        <v>77</v>
      </c>
      <c r="E4003" s="337" t="str">
        <f t="shared" si="1"/>
        <v>東鐵名古屋:直納</v>
      </c>
      <c r="F4003" s="338" t="s">
        <v>122</v>
      </c>
      <c r="G4003" s="339" t="str">
        <f t="shared" si="2"/>
        <v>東鐵名古屋:直納Ｌ１(2級)</v>
      </c>
      <c r="H4003" s="340">
        <f t="shared" si="3"/>
        <v>43</v>
      </c>
      <c r="I4003" s="341">
        <v>1.0</v>
      </c>
      <c r="J4003" s="332">
        <f>IFERROR(__xludf.DUMMYFUNCTION("IF(IF(COUNTIF(P$2:P4002, P4003)=0, """", INDEX(H$2:H4002,
MAX(FILTER(ROW(H$2:H4002) - ROW(H$2) + 1, P$2:P4002 = P4003))))=""単価"","""",
IF(COUNTIF(P$2:P4002, P4003)=0, """", INDEX(H$2:H4002,
MAX(FILTER(ROW(H$2:H4002) - ROW(H$2) + 1, P$2:P4002 = P4003)))))"),42.0)</f>
        <v>42</v>
      </c>
      <c r="N4003" s="335" t="str">
        <f>IF(MAXIFS('単価履歴'!$O:$O,'単価履歴'!$E:$E,E4003,'単価履歴'!$F:$F,F4003)=O4003,"●","")</f>
        <v/>
      </c>
      <c r="O4003" s="346">
        <v>46076.67585648148</v>
      </c>
      <c r="P4003" s="334" t="str">
        <f t="shared" si="4"/>
        <v>東鐵名古屋:直納Ｌ１(2級)</v>
      </c>
    </row>
    <row r="4004" ht="15.75" customHeight="1">
      <c r="A4004" s="335" t="s">
        <v>5151</v>
      </c>
      <c r="B4004" s="336">
        <v>46074.0</v>
      </c>
      <c r="C4004" s="335" t="s">
        <v>535</v>
      </c>
      <c r="D4004" s="335" t="s">
        <v>77</v>
      </c>
      <c r="E4004" s="337" t="str">
        <f t="shared" si="1"/>
        <v>東鐵名古屋:直納</v>
      </c>
      <c r="F4004" s="338" t="s">
        <v>573</v>
      </c>
      <c r="G4004" s="339" t="str">
        <f t="shared" si="2"/>
        <v>東鐵名古屋:直納Ｌ２(H4･級外･L1ﾊﾞﾗ)</v>
      </c>
      <c r="H4004" s="340">
        <f t="shared" si="3"/>
        <v>40</v>
      </c>
      <c r="I4004" s="341">
        <v>1.0</v>
      </c>
      <c r="J4004" s="332">
        <f>IFERROR(__xludf.DUMMYFUNCTION("IF(IF(COUNTIF(P$2:P4003, P4004)=0, """", INDEX(H$2:H4003,
MAX(FILTER(ROW(H$2:H4003) - ROW(H$2) + 1, P$2:P4003 = P4004))))=""単価"","""",
IF(COUNTIF(P$2:P4003, P4004)=0, """", INDEX(H$2:H4003,
MAX(FILTER(ROW(H$2:H4003) - ROW(H$2) + 1, P$2:P4003 = P4004)))))"),39.0)</f>
        <v>39</v>
      </c>
      <c r="N4004" s="335" t="str">
        <f>IF(MAXIFS('単価履歴'!$O:$O,'単価履歴'!$E:$E,E4004,'単価履歴'!$F:$F,F4004)=O4004,"●","")</f>
        <v/>
      </c>
      <c r="O4004" s="346">
        <v>46076.67585648148</v>
      </c>
      <c r="P4004" s="334" t="str">
        <f t="shared" si="4"/>
        <v>東鐵名古屋:直納Ｌ２(H4･級外･L1ﾊﾞﾗ)</v>
      </c>
    </row>
    <row r="4005" ht="15.75" customHeight="1">
      <c r="A4005" s="335" t="s">
        <v>5152</v>
      </c>
      <c r="B4005" s="336">
        <v>46074.0</v>
      </c>
      <c r="C4005" s="335" t="s">
        <v>535</v>
      </c>
      <c r="D4005" s="335" t="s">
        <v>77</v>
      </c>
      <c r="E4005" s="337" t="str">
        <f t="shared" si="1"/>
        <v>東鐵名古屋:直納</v>
      </c>
      <c r="F4005" s="338" t="s">
        <v>145</v>
      </c>
      <c r="G4005" s="339" t="str">
        <f t="shared" si="2"/>
        <v>東鐵名古屋:直納シュレＡ</v>
      </c>
      <c r="H4005" s="340">
        <f t="shared" si="3"/>
        <v>46</v>
      </c>
      <c r="I4005" s="341">
        <v>1.0</v>
      </c>
      <c r="J4005" s="332">
        <f>IFERROR(__xludf.DUMMYFUNCTION("IF(IF(COUNTIF(P$2:P4004, P4005)=0, """", INDEX(H$2:H4004,
MAX(FILTER(ROW(H$2:H4004) - ROW(H$2) + 1, P$2:P4004 = P4005))))=""単価"","""",
IF(COUNTIF(P$2:P4004, P4005)=0, """", INDEX(H$2:H4004,
MAX(FILTER(ROW(H$2:H4004) - ROW(H$2) + 1, P$2:P4004 = P4005)))))"),45.0)</f>
        <v>45</v>
      </c>
      <c r="N4005" s="335" t="str">
        <f>IF(MAXIFS('単価履歴'!$O:$O,'単価履歴'!$E:$E,E4005,'単価履歴'!$F:$F,F4005)=O4005,"●","")</f>
        <v/>
      </c>
      <c r="O4005" s="346">
        <v>46076.67585648148</v>
      </c>
      <c r="P4005" s="334" t="str">
        <f t="shared" si="4"/>
        <v>東鐵名古屋:直納シュレＡ</v>
      </c>
    </row>
    <row r="4006" ht="15.75" customHeight="1">
      <c r="A4006" s="335" t="s">
        <v>5153</v>
      </c>
      <c r="B4006" s="336">
        <v>46074.0</v>
      </c>
      <c r="C4006" s="335" t="s">
        <v>535</v>
      </c>
      <c r="D4006" s="335" t="s">
        <v>77</v>
      </c>
      <c r="E4006" s="337" t="str">
        <f t="shared" si="1"/>
        <v>東鐵名古屋:直納</v>
      </c>
      <c r="F4006" s="338" t="s">
        <v>151</v>
      </c>
      <c r="G4006" s="339" t="str">
        <f t="shared" si="2"/>
        <v>東鐵名古屋:直納シュレＣ</v>
      </c>
      <c r="H4006" s="340">
        <f t="shared" si="3"/>
        <v>45.5</v>
      </c>
      <c r="I4006" s="341">
        <v>1.0</v>
      </c>
      <c r="J4006" s="332">
        <f>IFERROR(__xludf.DUMMYFUNCTION("IF(IF(COUNTIF(P$2:P4005, P4006)=0, """", INDEX(H$2:H4005,
MAX(FILTER(ROW(H$2:H4005) - ROW(H$2) + 1, P$2:P4005 = P4006))))=""単価"","""",
IF(COUNTIF(P$2:P4005, P4006)=0, """", INDEX(H$2:H4005,
MAX(FILTER(ROW(H$2:H4005) - ROW(H$2) + 1, P$2:P4005 = P4006)))))"),44.5)</f>
        <v>44.5</v>
      </c>
      <c r="N4006" s="335" t="str">
        <f>IF(MAXIFS('単価履歴'!$O:$O,'単価履歴'!$E:$E,E4006,'単価履歴'!$F:$F,F4006)=O4006,"●","")</f>
        <v/>
      </c>
      <c r="O4006" s="346">
        <v>46076.67585648148</v>
      </c>
      <c r="P4006" s="334" t="str">
        <f t="shared" si="4"/>
        <v>東鐵名古屋:直納シュレＣ</v>
      </c>
    </row>
    <row r="4007" ht="15.75" customHeight="1">
      <c r="A4007" s="335" t="s">
        <v>5154</v>
      </c>
      <c r="B4007" s="336">
        <v>46074.0</v>
      </c>
      <c r="C4007" s="335" t="s">
        <v>536</v>
      </c>
      <c r="D4007" s="335" t="s">
        <v>77</v>
      </c>
      <c r="E4007" s="337" t="str">
        <f t="shared" si="1"/>
        <v>東鐵田原:直納</v>
      </c>
      <c r="F4007" s="338" t="s">
        <v>1199</v>
      </c>
      <c r="G4007" s="339" t="str">
        <f t="shared" si="2"/>
        <v>東鐵田原:直納ＨＳ１(単体H1/電特A/HS))</v>
      </c>
      <c r="H4007" s="340">
        <f t="shared" si="3"/>
        <v>47.5</v>
      </c>
      <c r="I4007" s="341">
        <v>1.0</v>
      </c>
      <c r="J4007" s="332">
        <f>IFERROR(__xludf.DUMMYFUNCTION("IF(IF(COUNTIF(P$2:P4006, P4007)=0, """", INDEX(H$2:H4006,
MAX(FILTER(ROW(H$2:H4006) - ROW(H$2) + 1, P$2:P4006 = P4007))))=""単価"","""",
IF(COUNTIF(P$2:P4006, P4007)=0, """", INDEX(H$2:H4006,
MAX(FILTER(ROW(H$2:H4006) - ROW(H$2) + 1, P$2:P4006 = P4007)))))"),46.5)</f>
        <v>46.5</v>
      </c>
      <c r="N4007" s="335" t="str">
        <f>IF(MAXIFS('単価履歴'!$O:$O,'単価履歴'!$E:$E,E4007,'単価履歴'!$F:$F,F4007)=O4007,"●","")</f>
        <v/>
      </c>
      <c r="O4007" s="346">
        <v>46076.676030092596</v>
      </c>
      <c r="P4007" s="334" t="str">
        <f t="shared" si="4"/>
        <v>東鐵田原:直納ＨＳ１(単体H1/電特A/HS))</v>
      </c>
    </row>
    <row r="4008" ht="15.75" customHeight="1">
      <c r="A4008" s="335" t="s">
        <v>5155</v>
      </c>
      <c r="B4008" s="336">
        <v>46074.0</v>
      </c>
      <c r="C4008" s="335" t="s">
        <v>536</v>
      </c>
      <c r="D4008" s="335" t="s">
        <v>77</v>
      </c>
      <c r="E4008" s="337" t="str">
        <f t="shared" si="1"/>
        <v>東鐵田原:直納</v>
      </c>
      <c r="F4008" s="338" t="s">
        <v>111</v>
      </c>
      <c r="G4008" s="339" t="str">
        <f t="shared" si="2"/>
        <v>東鐵田原:直納Ｈ１(特A)</v>
      </c>
      <c r="H4008" s="340">
        <f t="shared" si="3"/>
        <v>46.7</v>
      </c>
      <c r="I4008" s="341">
        <v>1.0</v>
      </c>
      <c r="J4008" s="332">
        <f>IFERROR(__xludf.DUMMYFUNCTION("IF(IF(COUNTIF(P$2:P4007, P4008)=0, """", INDEX(H$2:H4007,
MAX(FILTER(ROW(H$2:H4007) - ROW(H$2) + 1, P$2:P4007 = P4008))))=""単価"","""",
IF(COUNTIF(P$2:P4007, P4008)=0, """", INDEX(H$2:H4007,
MAX(FILTER(ROW(H$2:H4007) - ROW(H$2) + 1, P$2:P4007 = P4008)))))"),45.7)</f>
        <v>45.7</v>
      </c>
      <c r="N4008" s="335" t="str">
        <f>IF(MAXIFS('単価履歴'!$O:$O,'単価履歴'!$E:$E,E4008,'単価履歴'!$F:$F,F4008)=O4008,"●","")</f>
        <v/>
      </c>
      <c r="O4008" s="346">
        <v>46076.676030092596</v>
      </c>
      <c r="P4008" s="334" t="str">
        <f t="shared" si="4"/>
        <v>東鐵田原:直納Ｈ１(特A)</v>
      </c>
    </row>
    <row r="4009" ht="15.75" customHeight="1">
      <c r="A4009" s="335" t="s">
        <v>5156</v>
      </c>
      <c r="B4009" s="336">
        <v>46074.0</v>
      </c>
      <c r="C4009" s="335" t="s">
        <v>536</v>
      </c>
      <c r="D4009" s="335" t="s">
        <v>77</v>
      </c>
      <c r="E4009" s="337" t="str">
        <f t="shared" si="1"/>
        <v>東鐵田原:直納</v>
      </c>
      <c r="F4009" s="338" t="s">
        <v>116</v>
      </c>
      <c r="G4009" s="339" t="str">
        <f t="shared" si="2"/>
        <v>東鐵田原:直納Ｈ２(特級)</v>
      </c>
      <c r="H4009" s="340">
        <f t="shared" si="3"/>
        <v>45</v>
      </c>
      <c r="I4009" s="341">
        <v>1.0</v>
      </c>
      <c r="J4009" s="332">
        <f>IFERROR(__xludf.DUMMYFUNCTION("IF(IF(COUNTIF(P$2:P4008, P4009)=0, """", INDEX(H$2:H4008,
MAX(FILTER(ROW(H$2:H4008) - ROW(H$2) + 1, P$2:P4008 = P4009))))=""単価"","""",
IF(COUNTIF(P$2:P4008, P4009)=0, """", INDEX(H$2:H4008,
MAX(FILTER(ROW(H$2:H4008) - ROW(H$2) + 1, P$2:P4008 = P4009)))))"),44.0)</f>
        <v>44</v>
      </c>
      <c r="N4009" s="335" t="str">
        <f>IF(MAXIFS('単価履歴'!$O:$O,'単価履歴'!$E:$E,E4009,'単価履歴'!$F:$F,F4009)=O4009,"●","")</f>
        <v/>
      </c>
      <c r="O4009" s="346">
        <v>46076.676030092596</v>
      </c>
      <c r="P4009" s="334" t="str">
        <f t="shared" si="4"/>
        <v>東鐵田原:直納Ｈ２(特級)</v>
      </c>
    </row>
    <row r="4010" ht="15.75" customHeight="1">
      <c r="A4010" s="335" t="s">
        <v>5157</v>
      </c>
      <c r="B4010" s="336">
        <v>46074.0</v>
      </c>
      <c r="C4010" s="335" t="s">
        <v>536</v>
      </c>
      <c r="D4010" s="335" t="s">
        <v>77</v>
      </c>
      <c r="E4010" s="337" t="str">
        <f t="shared" si="1"/>
        <v>東鐵田原:直納</v>
      </c>
      <c r="F4010" s="338" t="s">
        <v>119</v>
      </c>
      <c r="G4010" s="339" t="str">
        <f t="shared" si="2"/>
        <v>東鐵田原:直納Ｈ３(1級)</v>
      </c>
      <c r="H4010" s="340">
        <f t="shared" si="3"/>
        <v>44.5</v>
      </c>
      <c r="I4010" s="341">
        <v>1.0</v>
      </c>
      <c r="J4010" s="332">
        <f>IFERROR(__xludf.DUMMYFUNCTION("IF(IF(COUNTIF(P$2:P4009, P4010)=0, """", INDEX(H$2:H4009,
MAX(FILTER(ROW(H$2:H4009) - ROW(H$2) + 1, P$2:P4009 = P4010))))=""単価"","""",
IF(COUNTIF(P$2:P4009, P4010)=0, """", INDEX(H$2:H4009,
MAX(FILTER(ROW(H$2:H4009) - ROW(H$2) + 1, P$2:P4009 = P4010)))))"),43.5)</f>
        <v>43.5</v>
      </c>
      <c r="N4010" s="335" t="str">
        <f>IF(MAXIFS('単価履歴'!$O:$O,'単価履歴'!$E:$E,E4010,'単価履歴'!$F:$F,F4010)=O4010,"●","")</f>
        <v/>
      </c>
      <c r="O4010" s="346">
        <v>46076.676030092596</v>
      </c>
      <c r="P4010" s="334" t="str">
        <f t="shared" si="4"/>
        <v>東鐵田原:直納Ｈ３(1級)</v>
      </c>
    </row>
    <row r="4011" ht="15.75" customHeight="1">
      <c r="A4011" s="335" t="s">
        <v>5158</v>
      </c>
      <c r="B4011" s="336">
        <v>46074.0</v>
      </c>
      <c r="C4011" s="335" t="s">
        <v>536</v>
      </c>
      <c r="D4011" s="335" t="s">
        <v>77</v>
      </c>
      <c r="E4011" s="337" t="str">
        <f t="shared" si="1"/>
        <v>東鐵田原:直納</v>
      </c>
      <c r="F4011" s="338" t="s">
        <v>122</v>
      </c>
      <c r="G4011" s="339" t="str">
        <f t="shared" si="2"/>
        <v>東鐵田原:直納Ｌ１(2級)</v>
      </c>
      <c r="H4011" s="340">
        <f t="shared" si="3"/>
        <v>43</v>
      </c>
      <c r="I4011" s="341">
        <v>1.0</v>
      </c>
      <c r="J4011" s="332">
        <f>IFERROR(__xludf.DUMMYFUNCTION("IF(IF(COUNTIF(P$2:P4010, P4011)=0, """", INDEX(H$2:H4010,
MAX(FILTER(ROW(H$2:H4010) - ROW(H$2) + 1, P$2:P4010 = P4011))))=""単価"","""",
IF(COUNTIF(P$2:P4010, P4011)=0, """", INDEX(H$2:H4010,
MAX(FILTER(ROW(H$2:H4010) - ROW(H$2) + 1, P$2:P4010 = P4011)))))"),42.0)</f>
        <v>42</v>
      </c>
      <c r="N4011" s="335" t="str">
        <f>IF(MAXIFS('単価履歴'!$O:$O,'単価履歴'!$E:$E,E4011,'単価履歴'!$F:$F,F4011)=O4011,"●","")</f>
        <v/>
      </c>
      <c r="O4011" s="346">
        <v>46076.676030092596</v>
      </c>
      <c r="P4011" s="334" t="str">
        <f t="shared" si="4"/>
        <v>東鐵田原:直納Ｌ１(2級)</v>
      </c>
    </row>
    <row r="4012" ht="15.75" customHeight="1">
      <c r="A4012" s="335" t="s">
        <v>5159</v>
      </c>
      <c r="B4012" s="336">
        <v>46074.0</v>
      </c>
      <c r="C4012" s="335" t="s">
        <v>536</v>
      </c>
      <c r="D4012" s="335" t="s">
        <v>77</v>
      </c>
      <c r="E4012" s="337" t="str">
        <f t="shared" si="1"/>
        <v>東鐵田原:直納</v>
      </c>
      <c r="F4012" s="338" t="s">
        <v>573</v>
      </c>
      <c r="G4012" s="339" t="str">
        <f t="shared" si="2"/>
        <v>東鐵田原:直納Ｌ２(H4･級外･L1ﾊﾞﾗ)</v>
      </c>
      <c r="H4012" s="340">
        <f t="shared" si="3"/>
        <v>40</v>
      </c>
      <c r="I4012" s="341">
        <v>1.0</v>
      </c>
      <c r="J4012" s="332">
        <f>IFERROR(__xludf.DUMMYFUNCTION("IF(IF(COUNTIF(P$2:P4011, P4012)=0, """", INDEX(H$2:H4011,
MAX(FILTER(ROW(H$2:H4011) - ROW(H$2) + 1, P$2:P4011 = P4012))))=""単価"","""",
IF(COUNTIF(P$2:P4011, P4012)=0, """", INDEX(H$2:H4011,
MAX(FILTER(ROW(H$2:H4011) - ROW(H$2) + 1, P$2:P4011 = P4012)))))"),39.0)</f>
        <v>39</v>
      </c>
      <c r="N4012" s="335" t="str">
        <f>IF(MAXIFS('単価履歴'!$O:$O,'単価履歴'!$E:$E,E4012,'単価履歴'!$F:$F,F4012)=O4012,"●","")</f>
        <v/>
      </c>
      <c r="O4012" s="346">
        <v>46076.676030092596</v>
      </c>
      <c r="P4012" s="334" t="str">
        <f t="shared" si="4"/>
        <v>東鐵田原:直納Ｌ２(H4･級外･L1ﾊﾞﾗ)</v>
      </c>
    </row>
    <row r="4013" ht="15.75" customHeight="1">
      <c r="A4013" s="335" t="s">
        <v>5160</v>
      </c>
      <c r="B4013" s="336">
        <v>46074.0</v>
      </c>
      <c r="C4013" s="335" t="s">
        <v>536</v>
      </c>
      <c r="D4013" s="335" t="s">
        <v>77</v>
      </c>
      <c r="E4013" s="337" t="str">
        <f t="shared" si="1"/>
        <v>東鐵田原:直納</v>
      </c>
      <c r="F4013" s="338" t="s">
        <v>130</v>
      </c>
      <c r="G4013" s="339" t="str">
        <f t="shared" si="2"/>
        <v>東鐵田原:直納新断Ａ</v>
      </c>
      <c r="H4013" s="340">
        <f t="shared" si="3"/>
        <v>47.5</v>
      </c>
      <c r="I4013" s="341">
        <v>1.0</v>
      </c>
      <c r="J4013" s="332">
        <f>IFERROR(__xludf.DUMMYFUNCTION("IF(IF(COUNTIF(P$2:P4012, P4013)=0, """", INDEX(H$2:H4012,
MAX(FILTER(ROW(H$2:H4012) - ROW(H$2) + 1, P$2:P4012 = P4013))))=""単価"","""",
IF(COUNTIF(P$2:P4012, P4013)=0, """", INDEX(H$2:H4012,
MAX(FILTER(ROW(H$2:H4012) - ROW(H$2) + 1, P$2:P4012 = P4013)))))"),46.5)</f>
        <v>46.5</v>
      </c>
      <c r="N4013" s="335" t="str">
        <f>IF(MAXIFS('単価履歴'!$O:$O,'単価履歴'!$E:$E,E4013,'単価履歴'!$F:$F,F4013)=O4013,"●","")</f>
        <v/>
      </c>
      <c r="O4013" s="346">
        <v>46076.676030092596</v>
      </c>
      <c r="P4013" s="334" t="str">
        <f t="shared" si="4"/>
        <v>東鐵田原:直納新断Ａ</v>
      </c>
    </row>
    <row r="4014" ht="15.75" customHeight="1">
      <c r="A4014" s="335" t="s">
        <v>5161</v>
      </c>
      <c r="B4014" s="336">
        <v>46074.0</v>
      </c>
      <c r="C4014" s="335" t="s">
        <v>536</v>
      </c>
      <c r="D4014" s="335" t="s">
        <v>77</v>
      </c>
      <c r="E4014" s="337" t="str">
        <f t="shared" si="1"/>
        <v>東鐵田原:直納</v>
      </c>
      <c r="F4014" s="338" t="s">
        <v>131</v>
      </c>
      <c r="G4014" s="339" t="str">
        <f t="shared" si="2"/>
        <v>東鐵田原:直納新断Ｂ</v>
      </c>
      <c r="H4014" s="340">
        <f t="shared" si="3"/>
        <v>47.5</v>
      </c>
      <c r="I4014" s="341">
        <v>1.0</v>
      </c>
      <c r="J4014" s="332">
        <f>IFERROR(__xludf.DUMMYFUNCTION("IF(IF(COUNTIF(P$2:P4013, P4014)=0, """", INDEX(H$2:H4013,
MAX(FILTER(ROW(H$2:H4013) - ROW(H$2) + 1, P$2:P4013 = P4014))))=""単価"","""",
IF(COUNTIF(P$2:P4013, P4014)=0, """", INDEX(H$2:H4013,
MAX(FILTER(ROW(H$2:H4013) - ROW(H$2) + 1, P$2:P4013 = P4014)))))"),46.5)</f>
        <v>46.5</v>
      </c>
      <c r="N4014" s="335" t="str">
        <f>IF(MAXIFS('単価履歴'!$O:$O,'単価履歴'!$E:$E,E4014,'単価履歴'!$F:$F,F4014)=O4014,"●","")</f>
        <v/>
      </c>
      <c r="O4014" s="346">
        <v>46076.676030092596</v>
      </c>
      <c r="P4014" s="334" t="str">
        <f t="shared" si="4"/>
        <v>東鐵田原:直納新断Ｂ</v>
      </c>
    </row>
    <row r="4015" ht="15.75" customHeight="1">
      <c r="A4015" s="335" t="s">
        <v>5162</v>
      </c>
      <c r="B4015" s="336">
        <v>46074.0</v>
      </c>
      <c r="C4015" s="335" t="s">
        <v>536</v>
      </c>
      <c r="D4015" s="335" t="s">
        <v>77</v>
      </c>
      <c r="E4015" s="337" t="str">
        <f t="shared" si="1"/>
        <v>東鐵田原:直納</v>
      </c>
      <c r="F4015" s="338" t="s">
        <v>575</v>
      </c>
      <c r="G4015" s="339" t="str">
        <f t="shared" si="2"/>
        <v>東鐵田原:直納鋼ダライＡ</v>
      </c>
      <c r="H4015" s="340">
        <f t="shared" si="3"/>
        <v>43.5</v>
      </c>
      <c r="I4015" s="341">
        <v>1.0</v>
      </c>
      <c r="J4015" s="332">
        <f>IFERROR(__xludf.DUMMYFUNCTION("IF(IF(COUNTIF(P$2:P4014, P4015)=0, """", INDEX(H$2:H4014,
MAX(FILTER(ROW(H$2:H4014) - ROW(H$2) + 1, P$2:P4014 = P4015))))=""単価"","""",
IF(COUNTIF(P$2:P4014, P4015)=0, """", INDEX(H$2:H4014,
MAX(FILTER(ROW(H$2:H4014) - ROW(H$2) + 1, P$2:P4014 = P4015)))))"),42.5)</f>
        <v>42.5</v>
      </c>
      <c r="N4015" s="335" t="str">
        <f>IF(MAXIFS('単価履歴'!$O:$O,'単価履歴'!$E:$E,E4015,'単価履歴'!$F:$F,F4015)=O4015,"●","")</f>
        <v/>
      </c>
      <c r="O4015" s="346">
        <v>46076.676030092596</v>
      </c>
      <c r="P4015" s="334" t="str">
        <f t="shared" si="4"/>
        <v>東鐵田原:直納鋼ダライＡ</v>
      </c>
    </row>
    <row r="4016" ht="15.75" customHeight="1">
      <c r="A4016" s="335" t="s">
        <v>5163</v>
      </c>
      <c r="B4016" s="336">
        <v>46074.0</v>
      </c>
      <c r="C4016" s="335" t="s">
        <v>536</v>
      </c>
      <c r="D4016" s="335" t="s">
        <v>77</v>
      </c>
      <c r="E4016" s="337" t="str">
        <f t="shared" si="1"/>
        <v>東鐵田原:直納</v>
      </c>
      <c r="F4016" s="338" t="s">
        <v>145</v>
      </c>
      <c r="G4016" s="339" t="str">
        <f t="shared" si="2"/>
        <v>東鐵田原:直納シュレＡ</v>
      </c>
      <c r="H4016" s="340">
        <f t="shared" si="3"/>
        <v>46</v>
      </c>
      <c r="I4016" s="341">
        <v>1.0</v>
      </c>
      <c r="J4016" s="332">
        <f>IFERROR(__xludf.DUMMYFUNCTION("IF(IF(COUNTIF(P$2:P4015, P4016)=0, """", INDEX(H$2:H4015,
MAX(FILTER(ROW(H$2:H4015) - ROW(H$2) + 1, P$2:P4015 = P4016))))=""単価"","""",
IF(COUNTIF(P$2:P4015, P4016)=0, """", INDEX(H$2:H4015,
MAX(FILTER(ROW(H$2:H4015) - ROW(H$2) + 1, P$2:P4015 = P4016)))))"),45.0)</f>
        <v>45</v>
      </c>
      <c r="N4016" s="335" t="str">
        <f>IF(MAXIFS('単価履歴'!$O:$O,'単価履歴'!$E:$E,E4016,'単価履歴'!$F:$F,F4016)=O4016,"●","")</f>
        <v/>
      </c>
      <c r="O4016" s="346">
        <v>46076.676030092596</v>
      </c>
      <c r="P4016" s="334" t="str">
        <f t="shared" si="4"/>
        <v>東鐵田原:直納シュレＡ</v>
      </c>
    </row>
    <row r="4017" ht="15.75" customHeight="1">
      <c r="A4017" s="335" t="s">
        <v>5164</v>
      </c>
      <c r="B4017" s="336">
        <v>46074.0</v>
      </c>
      <c r="C4017" s="335" t="s">
        <v>536</v>
      </c>
      <c r="D4017" s="335" t="s">
        <v>77</v>
      </c>
      <c r="E4017" s="337" t="str">
        <f t="shared" si="1"/>
        <v>東鐵田原:直納</v>
      </c>
      <c r="F4017" s="338" t="s">
        <v>151</v>
      </c>
      <c r="G4017" s="339" t="str">
        <f t="shared" si="2"/>
        <v>東鐵田原:直納シュレＣ</v>
      </c>
      <c r="H4017" s="340">
        <f t="shared" si="3"/>
        <v>45.5</v>
      </c>
      <c r="I4017" s="341">
        <v>1.0</v>
      </c>
      <c r="J4017" s="332">
        <f>IFERROR(__xludf.DUMMYFUNCTION("IF(IF(COUNTIF(P$2:P4016, P4017)=0, """", INDEX(H$2:H4016,
MAX(FILTER(ROW(H$2:H4016) - ROW(H$2) + 1, P$2:P4016 = P4017))))=""単価"","""",
IF(COUNTIF(P$2:P4016, P4017)=0, """", INDEX(H$2:H4016,
MAX(FILTER(ROW(H$2:H4016) - ROW(H$2) + 1, P$2:P4016 = P4017)))))"),44.5)</f>
        <v>44.5</v>
      </c>
      <c r="N4017" s="335" t="str">
        <f>IF(MAXIFS('単価履歴'!$O:$O,'単価履歴'!$E:$E,E4017,'単価履歴'!$F:$F,F4017)=O4017,"●","")</f>
        <v/>
      </c>
      <c r="O4017" s="346">
        <v>46076.676030092596</v>
      </c>
      <c r="P4017" s="334" t="str">
        <f t="shared" si="4"/>
        <v>東鐵田原:直納シュレＣ</v>
      </c>
    </row>
    <row r="4018" ht="15.75" customHeight="1">
      <c r="A4018" s="335" t="s">
        <v>5165</v>
      </c>
      <c r="B4018" s="336">
        <v>46074.0</v>
      </c>
      <c r="C4018" s="335" t="s">
        <v>536</v>
      </c>
      <c r="D4018" s="335" t="s">
        <v>77</v>
      </c>
      <c r="E4018" s="337" t="str">
        <f t="shared" si="1"/>
        <v>東鐵田原:直納</v>
      </c>
      <c r="F4018" s="338" t="s">
        <v>154</v>
      </c>
      <c r="G4018" s="339" t="str">
        <f t="shared" si="2"/>
        <v>東鐵田原:直納ＣＰ Ａ</v>
      </c>
      <c r="H4018" s="340">
        <f t="shared" si="3"/>
        <v>43.5</v>
      </c>
      <c r="I4018" s="341">
        <v>1.0</v>
      </c>
      <c r="J4018" s="332">
        <f>IFERROR(__xludf.DUMMYFUNCTION("IF(IF(COUNTIF(P$2:P4017, P4018)=0, """", INDEX(H$2:H4017,
MAX(FILTER(ROW(H$2:H4017) - ROW(H$2) + 1, P$2:P4017 = P4018))))=""単価"","""",
IF(COUNTIF(P$2:P4017, P4018)=0, """", INDEX(H$2:H4017,
MAX(FILTER(ROW(H$2:H4017) - ROW(H$2) + 1, P$2:P4017 = P4018)))))"),42.5)</f>
        <v>42.5</v>
      </c>
      <c r="N4018" s="335" t="str">
        <f>IF(MAXIFS('単価履歴'!$O:$O,'単価履歴'!$E:$E,E4018,'単価履歴'!$F:$F,F4018)=O4018,"●","")</f>
        <v/>
      </c>
      <c r="O4018" s="346">
        <v>46076.676030092596</v>
      </c>
      <c r="P4018" s="334" t="str">
        <f t="shared" si="4"/>
        <v>東鐵田原:直納ＣＰ Ａ</v>
      </c>
    </row>
    <row r="4019" ht="15.75" customHeight="1">
      <c r="A4019" s="335" t="s">
        <v>5166</v>
      </c>
      <c r="B4019" s="336">
        <v>46074.0</v>
      </c>
      <c r="C4019" s="335" t="s">
        <v>15</v>
      </c>
      <c r="D4019" s="335" t="s">
        <v>58</v>
      </c>
      <c r="E4019" s="337" t="str">
        <f t="shared" si="1"/>
        <v>山口鋼業:MM建材</v>
      </c>
      <c r="F4019" s="338" t="s">
        <v>1199</v>
      </c>
      <c r="G4019" s="339" t="str">
        <f t="shared" si="2"/>
        <v>山口鋼業:MM建材ＨＳ１(単体H1/電特A/HS))</v>
      </c>
      <c r="H4019" s="340">
        <f t="shared" si="3"/>
        <v>44</v>
      </c>
      <c r="I4019" s="341">
        <v>1.0</v>
      </c>
      <c r="J4019" s="332">
        <f>IFERROR(__xludf.DUMMYFUNCTION("IF(IF(COUNTIF(P$2:P4018, P4019)=0, """", INDEX(H$2:H4018,
MAX(FILTER(ROW(H$2:H4018) - ROW(H$2) + 1, P$2:P4018 = P4019))))=""単価"","""",
IF(COUNTIF(P$2:P4018, P4019)=0, """", INDEX(H$2:H4018,
MAX(FILTER(ROW(H$2:H4018) - ROW(H$2) + 1, P$2:P4018 = P4019)))))"),43.0)</f>
        <v>43</v>
      </c>
      <c r="N4019" s="335" t="str">
        <f>IF(MAXIFS('単価履歴'!$O:$O,'単価履歴'!$E:$E,E4019,'単価履歴'!$F:$F,F4019)=O4019,"●","")</f>
        <v/>
      </c>
      <c r="O4019" s="346">
        <v>46076.67645833333</v>
      </c>
      <c r="P4019" s="334" t="str">
        <f t="shared" si="4"/>
        <v>山口鋼業:MM建材ＨＳ１(単体H1/電特A/HS))</v>
      </c>
    </row>
    <row r="4020" ht="15.75" customHeight="1">
      <c r="A4020" s="335" t="s">
        <v>5167</v>
      </c>
      <c r="B4020" s="336">
        <v>46074.0</v>
      </c>
      <c r="C4020" s="335" t="s">
        <v>15</v>
      </c>
      <c r="D4020" s="335" t="s">
        <v>58</v>
      </c>
      <c r="E4020" s="337" t="str">
        <f t="shared" si="1"/>
        <v>山口鋼業:MM建材</v>
      </c>
      <c r="F4020" s="338" t="s">
        <v>1237</v>
      </c>
      <c r="G4020" s="339" t="str">
        <f t="shared" si="2"/>
        <v>山口鋼業:MM建材ＪＨ１(H2T山口)鍛造ﾊﾞﾘ</v>
      </c>
      <c r="H4020" s="340">
        <f t="shared" si="3"/>
        <v>43.5</v>
      </c>
      <c r="I4020" s="341">
        <v>1.0</v>
      </c>
      <c r="J4020" s="332">
        <f>IFERROR(__xludf.DUMMYFUNCTION("IF(IF(COUNTIF(P$2:P4019, P4020)=0, """", INDEX(H$2:H4019,
MAX(FILTER(ROW(H$2:H4019) - ROW(H$2) + 1, P$2:P4019 = P4020))))=""単価"","""",
IF(COUNTIF(P$2:P4019, P4020)=0, """", INDEX(H$2:H4019,
MAX(FILTER(ROW(H$2:H4019) - ROW(H$2) + 1, P$2:P4019 = P4020)))))"),42.5)</f>
        <v>42.5</v>
      </c>
      <c r="N4020" s="335" t="str">
        <f>IF(MAXIFS('単価履歴'!$O:$O,'単価履歴'!$E:$E,E4020,'単価履歴'!$F:$F,F4020)=O4020,"●","")</f>
        <v/>
      </c>
      <c r="O4020" s="346">
        <v>46076.67645833333</v>
      </c>
      <c r="P4020" s="334" t="str">
        <f t="shared" si="4"/>
        <v>山口鋼業:MM建材ＪＨ１(H2T山口)鍛造ﾊﾞﾘ</v>
      </c>
    </row>
    <row r="4021" ht="15.75" customHeight="1">
      <c r="A4021" s="335" t="s">
        <v>5168</v>
      </c>
      <c r="B4021" s="336">
        <v>46074.0</v>
      </c>
      <c r="C4021" s="335" t="s">
        <v>15</v>
      </c>
      <c r="D4021" s="335" t="s">
        <v>58</v>
      </c>
      <c r="E4021" s="337" t="str">
        <f t="shared" si="1"/>
        <v>山口鋼業:MM建材</v>
      </c>
      <c r="F4021" s="338" t="s">
        <v>116</v>
      </c>
      <c r="G4021" s="339" t="str">
        <f t="shared" si="2"/>
        <v>山口鋼業:MM建材Ｈ２(特級)</v>
      </c>
      <c r="H4021" s="340">
        <f t="shared" si="3"/>
        <v>42.5</v>
      </c>
      <c r="I4021" s="341">
        <v>1.0</v>
      </c>
      <c r="J4021" s="332">
        <f>IFERROR(__xludf.DUMMYFUNCTION("IF(IF(COUNTIF(P$2:P4020, P4021)=0, """", INDEX(H$2:H4020,
MAX(FILTER(ROW(H$2:H4020) - ROW(H$2) + 1, P$2:P4020 = P4021))))=""単価"","""",
IF(COUNTIF(P$2:P4020, P4021)=0, """", INDEX(H$2:H4020,
MAX(FILTER(ROW(H$2:H4020) - ROW(H$2) + 1, P$2:P4020 = P4021)))))"),41.5)</f>
        <v>41.5</v>
      </c>
      <c r="N4021" s="335" t="str">
        <f>IF(MAXIFS('単価履歴'!$O:$O,'単価履歴'!$E:$E,E4021,'単価履歴'!$F:$F,F4021)=O4021,"●","")</f>
        <v/>
      </c>
      <c r="O4021" s="346">
        <v>46076.67645833333</v>
      </c>
      <c r="P4021" s="334" t="str">
        <f t="shared" si="4"/>
        <v>山口鋼業:MM建材Ｈ２(特級)</v>
      </c>
    </row>
    <row r="4022" ht="15.75" customHeight="1">
      <c r="A4022" s="335" t="s">
        <v>5169</v>
      </c>
      <c r="B4022" s="336">
        <v>46074.0</v>
      </c>
      <c r="C4022" s="335" t="s">
        <v>15</v>
      </c>
      <c r="D4022" s="335" t="s">
        <v>58</v>
      </c>
      <c r="E4022" s="337" t="str">
        <f t="shared" si="1"/>
        <v>山口鋼業:MM建材</v>
      </c>
      <c r="F4022" s="338" t="s">
        <v>119</v>
      </c>
      <c r="G4022" s="339" t="str">
        <f t="shared" si="2"/>
        <v>山口鋼業:MM建材Ｈ３(1級)</v>
      </c>
      <c r="H4022" s="340">
        <f t="shared" si="3"/>
        <v>41.5</v>
      </c>
      <c r="I4022" s="341">
        <v>1.0</v>
      </c>
      <c r="J4022" s="332">
        <f>IFERROR(__xludf.DUMMYFUNCTION("IF(IF(COUNTIF(P$2:P4021, P4022)=0, """", INDEX(H$2:H4021,
MAX(FILTER(ROW(H$2:H4021) - ROW(H$2) + 1, P$2:P4021 = P4022))))=""単価"","""",
IF(COUNTIF(P$2:P4021, P4022)=0, """", INDEX(H$2:H4021,
MAX(FILTER(ROW(H$2:H4021) - ROW(H$2) + 1, P$2:P4021 = P4022)))))"),40.5)</f>
        <v>40.5</v>
      </c>
      <c r="N4022" s="335" t="str">
        <f>IF(MAXIFS('単価履歴'!$O:$O,'単価履歴'!$E:$E,E4022,'単価履歴'!$F:$F,F4022)=O4022,"●","")</f>
        <v/>
      </c>
      <c r="O4022" s="346">
        <v>46076.67645833333</v>
      </c>
      <c r="P4022" s="334" t="str">
        <f t="shared" si="4"/>
        <v>山口鋼業:MM建材Ｈ３(1級)</v>
      </c>
    </row>
    <row r="4023" ht="15.75" customHeight="1">
      <c r="A4023" s="335" t="s">
        <v>5170</v>
      </c>
      <c r="B4023" s="336">
        <v>46074.0</v>
      </c>
      <c r="C4023" s="335" t="s">
        <v>15</v>
      </c>
      <c r="D4023" s="335" t="s">
        <v>58</v>
      </c>
      <c r="E4023" s="337" t="str">
        <f t="shared" si="1"/>
        <v>山口鋼業:MM建材</v>
      </c>
      <c r="F4023" s="338" t="s">
        <v>573</v>
      </c>
      <c r="G4023" s="339" t="str">
        <f t="shared" si="2"/>
        <v>山口鋼業:MM建材Ｌ２(H4･級外･L1ﾊﾞﾗ)</v>
      </c>
      <c r="H4023" s="340">
        <f t="shared" si="3"/>
        <v>40</v>
      </c>
      <c r="I4023" s="341">
        <v>1.0</v>
      </c>
      <c r="J4023" s="332">
        <f>IFERROR(__xludf.DUMMYFUNCTION("IF(IF(COUNTIF(P$2:P4022, P4023)=0, """", INDEX(H$2:H4022,
MAX(FILTER(ROW(H$2:H4022) - ROW(H$2) + 1, P$2:P4022 = P4023))))=""単価"","""",
IF(COUNTIF(P$2:P4022, P4023)=0, """", INDEX(H$2:H4022,
MAX(FILTER(ROW(H$2:H4022) - ROW(H$2) + 1, P$2:P4022 = P4023)))))"),39.0)</f>
        <v>39</v>
      </c>
      <c r="N4023" s="335" t="str">
        <f>IF(MAXIFS('単価履歴'!$O:$O,'単価履歴'!$E:$E,E4023,'単価履歴'!$F:$F,F4023)=O4023,"●","")</f>
        <v/>
      </c>
      <c r="O4023" s="346">
        <v>46076.67645833333</v>
      </c>
      <c r="P4023" s="334" t="str">
        <f t="shared" si="4"/>
        <v>山口鋼業:MM建材Ｌ２(H4･級外･L1ﾊﾞﾗ)</v>
      </c>
    </row>
    <row r="4024" ht="15.75" customHeight="1">
      <c r="A4024" s="335" t="s">
        <v>5171</v>
      </c>
      <c r="B4024" s="336">
        <v>46074.0</v>
      </c>
      <c r="C4024" s="335" t="s">
        <v>15</v>
      </c>
      <c r="D4024" s="335" t="s">
        <v>58</v>
      </c>
      <c r="E4024" s="337" t="str">
        <f t="shared" si="1"/>
        <v>山口鋼業:MM建材</v>
      </c>
      <c r="F4024" s="338" t="s">
        <v>575</v>
      </c>
      <c r="G4024" s="339" t="str">
        <f t="shared" si="2"/>
        <v>山口鋼業:MM建材鋼ダライＡ</v>
      </c>
      <c r="H4024" s="340">
        <f t="shared" si="3"/>
        <v>39.6</v>
      </c>
      <c r="I4024" s="341">
        <v>1.0</v>
      </c>
      <c r="J4024" s="332">
        <f>IFERROR(__xludf.DUMMYFUNCTION("IF(IF(COUNTIF(P$2:P4023, P4024)=0, """", INDEX(H$2:H4023,
MAX(FILTER(ROW(H$2:H4023) - ROW(H$2) + 1, P$2:P4023 = P4024))))=""単価"","""",
IF(COUNTIF(P$2:P4023, P4024)=0, """", INDEX(H$2:H4023,
MAX(FILTER(ROW(H$2:H4023) - ROW(H$2) + 1, P$2:P4023 = P4024)))))"),38.6)</f>
        <v>38.6</v>
      </c>
      <c r="N4024" s="335" t="str">
        <f>IF(MAXIFS('単価履歴'!$O:$O,'単価履歴'!$E:$E,E4024,'単価履歴'!$F:$F,F4024)=O4024,"●","")</f>
        <v/>
      </c>
      <c r="O4024" s="346">
        <v>46076.67645833333</v>
      </c>
      <c r="P4024" s="334" t="str">
        <f t="shared" si="4"/>
        <v>山口鋼業:MM建材鋼ダライＡ</v>
      </c>
    </row>
    <row r="4025" ht="15.75" customHeight="1">
      <c r="A4025" s="335" t="s">
        <v>5172</v>
      </c>
      <c r="B4025" s="336">
        <v>46074.0</v>
      </c>
      <c r="C4025" s="335" t="s">
        <v>15</v>
      </c>
      <c r="D4025" s="335" t="s">
        <v>58</v>
      </c>
      <c r="E4025" s="337" t="str">
        <f t="shared" si="1"/>
        <v>山口鋼業:MM建材</v>
      </c>
      <c r="F4025" s="338" t="s">
        <v>577</v>
      </c>
      <c r="G4025" s="339" t="str">
        <f t="shared" si="2"/>
        <v>山口鋼業:MM建材鋳物・ﾀﾞｸﾀｲﾙ</v>
      </c>
      <c r="H4025" s="340">
        <f t="shared" si="3"/>
        <v>43.5</v>
      </c>
      <c r="I4025" s="341">
        <v>1.0</v>
      </c>
      <c r="J4025" s="332">
        <f>IFERROR(__xludf.DUMMYFUNCTION("IF(IF(COUNTIF(P$2:P4024, P4025)=0, """", INDEX(H$2:H4024,
MAX(FILTER(ROW(H$2:H4024) - ROW(H$2) + 1, P$2:P4024 = P4025))))=""単価"","""",
IF(COUNTIF(P$2:P4024, P4025)=0, """", INDEX(H$2:H4024,
MAX(FILTER(ROW(H$2:H4024) - ROW(H$2) + 1, P$2:P4024 = P4025)))))"),42.5)</f>
        <v>42.5</v>
      </c>
      <c r="N4025" s="335" t="str">
        <f>IF(MAXIFS('単価履歴'!$O:$O,'単価履歴'!$E:$E,E4025,'単価履歴'!$F:$F,F4025)=O4025,"●","")</f>
        <v/>
      </c>
      <c r="O4025" s="346">
        <v>46076.67645833333</v>
      </c>
      <c r="P4025" s="334" t="str">
        <f t="shared" si="4"/>
        <v>山口鋼業:MM建材鋳物・ﾀﾞｸﾀｲﾙ</v>
      </c>
    </row>
    <row r="4026" ht="15.75" customHeight="1">
      <c r="A4026" s="335" t="s">
        <v>5173</v>
      </c>
      <c r="B4026" s="336">
        <v>46074.0</v>
      </c>
      <c r="C4026" s="335" t="s">
        <v>15</v>
      </c>
      <c r="D4026" s="335" t="s">
        <v>46</v>
      </c>
      <c r="E4026" s="337" t="str">
        <f t="shared" si="1"/>
        <v>山口鋼業:阪和</v>
      </c>
      <c r="F4026" s="338" t="s">
        <v>1199</v>
      </c>
      <c r="G4026" s="339" t="str">
        <f t="shared" si="2"/>
        <v>山口鋼業:阪和ＨＳ１(単体H1/電特A/HS))</v>
      </c>
      <c r="H4026" s="340">
        <f t="shared" si="3"/>
        <v>45.5</v>
      </c>
      <c r="I4026" s="341">
        <v>1.0</v>
      </c>
      <c r="J4026" s="332">
        <f>IFERROR(__xludf.DUMMYFUNCTION("IF(IF(COUNTIF(P$2:P4025, P4026)=0, """", INDEX(H$2:H4025,
MAX(FILTER(ROW(H$2:H4025) - ROW(H$2) + 1, P$2:P4025 = P4026))))=""単価"","""",
IF(COUNTIF(P$2:P4025, P4026)=0, """", INDEX(H$2:H4025,
MAX(FILTER(ROW(H$2:H4025) - ROW(H$2) + 1, P$2:P4025 = P4026)))))"),44.5)</f>
        <v>44.5</v>
      </c>
      <c r="N4026" s="335" t="str">
        <f>IF(MAXIFS('単価履歴'!$O:$O,'単価履歴'!$E:$E,E4026,'単価履歴'!$F:$F,F4026)=O4026,"●","")</f>
        <v/>
      </c>
      <c r="O4026" s="346">
        <v>46076.676828703705</v>
      </c>
      <c r="P4026" s="334" t="str">
        <f t="shared" si="4"/>
        <v>山口鋼業:阪和ＨＳ１(単体H1/電特A/HS))</v>
      </c>
    </row>
    <row r="4027" ht="15.75" customHeight="1">
      <c r="A4027" s="335" t="s">
        <v>5174</v>
      </c>
      <c r="B4027" s="336">
        <v>46074.0</v>
      </c>
      <c r="C4027" s="335" t="s">
        <v>15</v>
      </c>
      <c r="D4027" s="335" t="s">
        <v>46</v>
      </c>
      <c r="E4027" s="337" t="str">
        <f t="shared" si="1"/>
        <v>山口鋼業:阪和</v>
      </c>
      <c r="F4027" s="338" t="s">
        <v>111</v>
      </c>
      <c r="G4027" s="339" t="str">
        <f t="shared" si="2"/>
        <v>山口鋼業:阪和Ｈ１(特A)</v>
      </c>
      <c r="H4027" s="340">
        <f t="shared" si="3"/>
        <v>44</v>
      </c>
      <c r="I4027" s="341">
        <v>1.0</v>
      </c>
      <c r="J4027" s="332">
        <f>IFERROR(__xludf.DUMMYFUNCTION("IF(IF(COUNTIF(P$2:P4026, P4027)=0, """", INDEX(H$2:H4026,
MAX(FILTER(ROW(H$2:H4026) - ROW(H$2) + 1, P$2:P4026 = P4027))))=""単価"","""",
IF(COUNTIF(P$2:P4026, P4027)=0, """", INDEX(H$2:H4026,
MAX(FILTER(ROW(H$2:H4026) - ROW(H$2) + 1, P$2:P4026 = P4027)))))"),43.0)</f>
        <v>43</v>
      </c>
      <c r="N4027" s="335" t="str">
        <f>IF(MAXIFS('単価履歴'!$O:$O,'単価履歴'!$E:$E,E4027,'単価履歴'!$F:$F,F4027)=O4027,"●","")</f>
        <v/>
      </c>
      <c r="O4027" s="346">
        <v>46076.676828703705</v>
      </c>
      <c r="P4027" s="334" t="str">
        <f t="shared" si="4"/>
        <v>山口鋼業:阪和Ｈ１(特A)</v>
      </c>
    </row>
    <row r="4028" ht="15.75" customHeight="1">
      <c r="A4028" s="335" t="s">
        <v>5175</v>
      </c>
      <c r="B4028" s="336">
        <v>46074.0</v>
      </c>
      <c r="C4028" s="335" t="s">
        <v>15</v>
      </c>
      <c r="D4028" s="335" t="s">
        <v>46</v>
      </c>
      <c r="E4028" s="337" t="str">
        <f t="shared" si="1"/>
        <v>山口鋼業:阪和</v>
      </c>
      <c r="F4028" s="338" t="s">
        <v>116</v>
      </c>
      <c r="G4028" s="339" t="str">
        <f t="shared" si="2"/>
        <v>山口鋼業:阪和Ｈ２(特級)</v>
      </c>
      <c r="H4028" s="340">
        <f t="shared" si="3"/>
        <v>43.5</v>
      </c>
      <c r="I4028" s="341">
        <v>1.0</v>
      </c>
      <c r="J4028" s="332">
        <f>IFERROR(__xludf.DUMMYFUNCTION("IF(IF(COUNTIF(P$2:P4027, P4028)=0, """", INDEX(H$2:H4027,
MAX(FILTER(ROW(H$2:H4027) - ROW(H$2) + 1, P$2:P4027 = P4028))))=""単価"","""",
IF(COUNTIF(P$2:P4027, P4028)=0, """", INDEX(H$2:H4027,
MAX(FILTER(ROW(H$2:H4027) - ROW(H$2) + 1, P$2:P4027 = P4028)))))"),42.5)</f>
        <v>42.5</v>
      </c>
      <c r="N4028" s="335" t="str">
        <f>IF(MAXIFS('単価履歴'!$O:$O,'単価履歴'!$E:$E,E4028,'単価履歴'!$F:$F,F4028)=O4028,"●","")</f>
        <v/>
      </c>
      <c r="O4028" s="346">
        <v>46076.676828703705</v>
      </c>
      <c r="P4028" s="334" t="str">
        <f t="shared" si="4"/>
        <v>山口鋼業:阪和Ｈ２(特級)</v>
      </c>
    </row>
    <row r="4029" ht="15.75" customHeight="1">
      <c r="A4029" s="335" t="s">
        <v>5176</v>
      </c>
      <c r="B4029" s="336">
        <v>46074.0</v>
      </c>
      <c r="C4029" s="335" t="s">
        <v>15</v>
      </c>
      <c r="D4029" s="335" t="s">
        <v>46</v>
      </c>
      <c r="E4029" s="337" t="str">
        <f t="shared" si="1"/>
        <v>山口鋼業:阪和</v>
      </c>
      <c r="F4029" s="338" t="s">
        <v>119</v>
      </c>
      <c r="G4029" s="339" t="str">
        <f t="shared" si="2"/>
        <v>山口鋼業:阪和Ｈ３(1級)</v>
      </c>
      <c r="H4029" s="340">
        <f t="shared" si="3"/>
        <v>42.5</v>
      </c>
      <c r="I4029" s="341">
        <v>1.0</v>
      </c>
      <c r="J4029" s="332">
        <f>IFERROR(__xludf.DUMMYFUNCTION("IF(IF(COUNTIF(P$2:P4028, P4029)=0, """", INDEX(H$2:H4028,
MAX(FILTER(ROW(H$2:H4028) - ROW(H$2) + 1, P$2:P4028 = P4029))))=""単価"","""",
IF(COUNTIF(P$2:P4028, P4029)=0, """", INDEX(H$2:H4028,
MAX(FILTER(ROW(H$2:H4028) - ROW(H$2) + 1, P$2:P4028 = P4029)))))"),41.5)</f>
        <v>41.5</v>
      </c>
      <c r="N4029" s="335" t="str">
        <f>IF(MAXIFS('単価履歴'!$O:$O,'単価履歴'!$E:$E,E4029,'単価履歴'!$F:$F,F4029)=O4029,"●","")</f>
        <v/>
      </c>
      <c r="O4029" s="346">
        <v>46076.676828703705</v>
      </c>
      <c r="P4029" s="334" t="str">
        <f t="shared" si="4"/>
        <v>山口鋼業:阪和Ｈ３(1級)</v>
      </c>
    </row>
    <row r="4030" ht="15.75" customHeight="1">
      <c r="A4030" s="335" t="s">
        <v>5177</v>
      </c>
      <c r="B4030" s="336">
        <v>46074.0</v>
      </c>
      <c r="C4030" s="335" t="s">
        <v>15</v>
      </c>
      <c r="D4030" s="335" t="s">
        <v>46</v>
      </c>
      <c r="E4030" s="337" t="str">
        <f t="shared" si="1"/>
        <v>山口鋼業:阪和</v>
      </c>
      <c r="F4030" s="338" t="s">
        <v>573</v>
      </c>
      <c r="G4030" s="339" t="str">
        <f t="shared" si="2"/>
        <v>山口鋼業:阪和Ｌ２(H4･級外･L1ﾊﾞﾗ)</v>
      </c>
      <c r="H4030" s="340">
        <f t="shared" si="3"/>
        <v>41</v>
      </c>
      <c r="I4030" s="341">
        <v>1.0</v>
      </c>
      <c r="J4030" s="332">
        <f>IFERROR(__xludf.DUMMYFUNCTION("IF(IF(COUNTIF(P$2:P4029, P4030)=0, """", INDEX(H$2:H4029,
MAX(FILTER(ROW(H$2:H4029) - ROW(H$2) + 1, P$2:P4029 = P4030))))=""単価"","""",
IF(COUNTIF(P$2:P4029, P4030)=0, """", INDEX(H$2:H4029,
MAX(FILTER(ROW(H$2:H4029) - ROW(H$2) + 1, P$2:P4029 = P4030)))))"),40.0)</f>
        <v>40</v>
      </c>
      <c r="N4030" s="335" t="str">
        <f>IF(MAXIFS('単価履歴'!$O:$O,'単価履歴'!$E:$E,E4030,'単価履歴'!$F:$F,F4030)=O4030,"●","")</f>
        <v/>
      </c>
      <c r="O4030" s="346">
        <v>46076.676828703705</v>
      </c>
      <c r="P4030" s="334" t="str">
        <f t="shared" si="4"/>
        <v>山口鋼業:阪和Ｌ２(H4･級外･L1ﾊﾞﾗ)</v>
      </c>
    </row>
    <row r="4031" ht="15.75" customHeight="1">
      <c r="A4031" s="335" t="s">
        <v>5178</v>
      </c>
      <c r="B4031" s="336">
        <v>46074.0</v>
      </c>
      <c r="C4031" s="335" t="s">
        <v>14</v>
      </c>
      <c r="D4031" s="335" t="s">
        <v>46</v>
      </c>
      <c r="E4031" s="337" t="str">
        <f t="shared" si="1"/>
        <v>愛知:阪和</v>
      </c>
      <c r="F4031" s="338" t="s">
        <v>1199</v>
      </c>
      <c r="G4031" s="339" t="str">
        <f t="shared" si="2"/>
        <v>愛知:阪和ＨＳ１(単体H1/電特A/HS))</v>
      </c>
      <c r="H4031" s="340">
        <f t="shared" si="3"/>
        <v>47.2</v>
      </c>
      <c r="I4031" s="341">
        <v>1.0</v>
      </c>
      <c r="J4031" s="332">
        <f>IFERROR(__xludf.DUMMYFUNCTION("IF(IF(COUNTIF(P$2:P4030, P4031)=0, """", INDEX(H$2:H4030,
MAX(FILTER(ROW(H$2:H4030) - ROW(H$2) + 1, P$2:P4030 = P4031))))=""単価"","""",
IF(COUNTIF(P$2:P4030, P4031)=0, """", INDEX(H$2:H4030,
MAX(FILTER(ROW(H$2:H4030) - ROW(H$2) + 1, P$2:P4030 = P4031)))))"),46.2)</f>
        <v>46.2</v>
      </c>
      <c r="N4031" s="335" t="str">
        <f>IF(MAXIFS('単価履歴'!$O:$O,'単価履歴'!$E:$E,E4031,'単価履歴'!$F:$F,F4031)=O4031,"●","")</f>
        <v/>
      </c>
      <c r="O4031" s="346">
        <v>46076.67712962963</v>
      </c>
      <c r="P4031" s="334" t="str">
        <f t="shared" si="4"/>
        <v>愛知:阪和ＨＳ１(単体H1/電特A/HS))</v>
      </c>
    </row>
    <row r="4032" ht="15.75" customHeight="1">
      <c r="A4032" s="335" t="s">
        <v>5179</v>
      </c>
      <c r="B4032" s="336">
        <v>46074.0</v>
      </c>
      <c r="C4032" s="335" t="s">
        <v>14</v>
      </c>
      <c r="D4032" s="335" t="s">
        <v>46</v>
      </c>
      <c r="E4032" s="337" t="str">
        <f t="shared" si="1"/>
        <v>愛知:阪和</v>
      </c>
      <c r="F4032" s="338" t="s">
        <v>101</v>
      </c>
      <c r="G4032" s="339" t="str">
        <f t="shared" si="2"/>
        <v>愛知:阪和ＨＳ２</v>
      </c>
      <c r="H4032" s="340">
        <f t="shared" si="3"/>
        <v>46.7</v>
      </c>
      <c r="I4032" s="341">
        <v>1.0</v>
      </c>
      <c r="J4032" s="332">
        <f>IFERROR(__xludf.DUMMYFUNCTION("IF(IF(COUNTIF(P$2:P4031, P4032)=0, """", INDEX(H$2:H4031,
MAX(FILTER(ROW(H$2:H4031) - ROW(H$2) + 1, P$2:P4031 = P4032))))=""単価"","""",
IF(COUNTIF(P$2:P4031, P4032)=0, """", INDEX(H$2:H4031,
MAX(FILTER(ROW(H$2:H4031) - ROW(H$2) + 1, P$2:P4031 = P4032)))))"),45.7)</f>
        <v>45.7</v>
      </c>
      <c r="N4032" s="335" t="str">
        <f>IF(MAXIFS('単価履歴'!$O:$O,'単価履歴'!$E:$E,E4032,'単価履歴'!$F:$F,F4032)=O4032,"●","")</f>
        <v/>
      </c>
      <c r="O4032" s="346">
        <v>46076.67712962963</v>
      </c>
      <c r="P4032" s="334" t="str">
        <f t="shared" si="4"/>
        <v>愛知:阪和ＨＳ２</v>
      </c>
    </row>
    <row r="4033" ht="15.75" customHeight="1">
      <c r="A4033" s="335" t="s">
        <v>5180</v>
      </c>
      <c r="B4033" s="336">
        <v>46074.0</v>
      </c>
      <c r="C4033" s="335" t="s">
        <v>14</v>
      </c>
      <c r="D4033" s="335" t="s">
        <v>46</v>
      </c>
      <c r="E4033" s="337" t="str">
        <f t="shared" si="1"/>
        <v>愛知:阪和</v>
      </c>
      <c r="F4033" s="338" t="s">
        <v>111</v>
      </c>
      <c r="G4033" s="339" t="str">
        <f t="shared" si="2"/>
        <v>愛知:阪和Ｈ１(特A)</v>
      </c>
      <c r="H4033" s="340">
        <f t="shared" si="3"/>
        <v>42.2</v>
      </c>
      <c r="I4033" s="341">
        <v>1.0</v>
      </c>
      <c r="J4033" s="332">
        <f>IFERROR(__xludf.DUMMYFUNCTION("IF(IF(COUNTIF(P$2:P4032, P4033)=0, """", INDEX(H$2:H4032,
MAX(FILTER(ROW(H$2:H4032) - ROW(H$2) + 1, P$2:P4032 = P4033))))=""単価"","""",
IF(COUNTIF(P$2:P4032, P4033)=0, """", INDEX(H$2:H4032,
MAX(FILTER(ROW(H$2:H4032) - ROW(H$2) + 1, P$2:P4032 = P4033)))))"),41.2)</f>
        <v>41.2</v>
      </c>
      <c r="N4033" s="335" t="str">
        <f>IF(MAXIFS('単価履歴'!$O:$O,'単価履歴'!$E:$E,E4033,'単価履歴'!$F:$F,F4033)=O4033,"●","")</f>
        <v/>
      </c>
      <c r="O4033" s="346">
        <v>46076.67712962963</v>
      </c>
      <c r="P4033" s="334" t="str">
        <f t="shared" si="4"/>
        <v>愛知:阪和Ｈ１(特A)</v>
      </c>
    </row>
    <row r="4034" ht="15.75" customHeight="1">
      <c r="A4034" s="335" t="s">
        <v>5181</v>
      </c>
      <c r="B4034" s="336">
        <v>46074.0</v>
      </c>
      <c r="C4034" s="335" t="s">
        <v>14</v>
      </c>
      <c r="D4034" s="335" t="s">
        <v>46</v>
      </c>
      <c r="E4034" s="337" t="str">
        <f t="shared" si="1"/>
        <v>愛知:阪和</v>
      </c>
      <c r="F4034" s="338" t="s">
        <v>116</v>
      </c>
      <c r="G4034" s="339" t="str">
        <f t="shared" si="2"/>
        <v>愛知:阪和Ｈ２(特級)</v>
      </c>
      <c r="H4034" s="340">
        <f t="shared" si="3"/>
        <v>41.7</v>
      </c>
      <c r="I4034" s="341">
        <v>1.0</v>
      </c>
      <c r="J4034" s="332">
        <f>IFERROR(__xludf.DUMMYFUNCTION("IF(IF(COUNTIF(P$2:P4033, P4034)=0, """", INDEX(H$2:H4033,
MAX(FILTER(ROW(H$2:H4033) - ROW(H$2) + 1, P$2:P4033 = P4034))))=""単価"","""",
IF(COUNTIF(P$2:P4033, P4034)=0, """", INDEX(H$2:H4033,
MAX(FILTER(ROW(H$2:H4033) - ROW(H$2) + 1, P$2:P4033 = P4034)))))"),40.7)</f>
        <v>40.7</v>
      </c>
      <c r="N4034" s="335" t="str">
        <f>IF(MAXIFS('単価履歴'!$O:$O,'単価履歴'!$E:$E,E4034,'単価履歴'!$F:$F,F4034)=O4034,"●","")</f>
        <v/>
      </c>
      <c r="O4034" s="346">
        <v>46076.67712962963</v>
      </c>
      <c r="P4034" s="334" t="str">
        <f t="shared" si="4"/>
        <v>愛知:阪和Ｈ２(特級)</v>
      </c>
    </row>
    <row r="4035" ht="15.75" customHeight="1">
      <c r="A4035" s="335" t="s">
        <v>5182</v>
      </c>
      <c r="B4035" s="336">
        <v>46074.0</v>
      </c>
      <c r="C4035" s="335" t="s">
        <v>14</v>
      </c>
      <c r="D4035" s="335" t="s">
        <v>46</v>
      </c>
      <c r="E4035" s="337" t="str">
        <f t="shared" si="1"/>
        <v>愛知:阪和</v>
      </c>
      <c r="F4035" s="338" t="s">
        <v>119</v>
      </c>
      <c r="G4035" s="339" t="str">
        <f t="shared" si="2"/>
        <v>愛知:阪和Ｈ３(1級)</v>
      </c>
      <c r="H4035" s="340">
        <f t="shared" si="3"/>
        <v>40.7</v>
      </c>
      <c r="I4035" s="341">
        <v>1.0</v>
      </c>
      <c r="J4035" s="332">
        <f>IFERROR(__xludf.DUMMYFUNCTION("IF(IF(COUNTIF(P$2:P4034, P4035)=0, """", INDEX(H$2:H4034,
MAX(FILTER(ROW(H$2:H4034) - ROW(H$2) + 1, P$2:P4034 = P4035))))=""単価"","""",
IF(COUNTIF(P$2:P4034, P4035)=0, """", INDEX(H$2:H4034,
MAX(FILTER(ROW(H$2:H4034) - ROW(H$2) + 1, P$2:P4034 = P4035)))))"),39.7)</f>
        <v>39.7</v>
      </c>
      <c r="N4035" s="335" t="str">
        <f>IF(MAXIFS('単価履歴'!$O:$O,'単価履歴'!$E:$E,E4035,'単価履歴'!$F:$F,F4035)=O4035,"●","")</f>
        <v/>
      </c>
      <c r="O4035" s="346">
        <v>46076.67712962963</v>
      </c>
      <c r="P4035" s="334" t="str">
        <f t="shared" si="4"/>
        <v>愛知:阪和Ｈ３(1級)</v>
      </c>
    </row>
    <row r="4036" ht="15.75" customHeight="1">
      <c r="A4036" s="335" t="s">
        <v>5183</v>
      </c>
      <c r="B4036" s="336">
        <v>46074.0</v>
      </c>
      <c r="C4036" s="335" t="s">
        <v>14</v>
      </c>
      <c r="D4036" s="335" t="s">
        <v>46</v>
      </c>
      <c r="E4036" s="337" t="str">
        <f t="shared" si="1"/>
        <v>愛知:阪和</v>
      </c>
      <c r="F4036" s="338" t="s">
        <v>573</v>
      </c>
      <c r="G4036" s="339" t="str">
        <f t="shared" si="2"/>
        <v>愛知:阪和Ｌ２(H4･級外･L1ﾊﾞﾗ)</v>
      </c>
      <c r="H4036" s="340">
        <f t="shared" si="3"/>
        <v>37.3</v>
      </c>
      <c r="I4036" s="341">
        <v>1.0</v>
      </c>
      <c r="J4036" s="332">
        <f>IFERROR(__xludf.DUMMYFUNCTION("IF(IF(COUNTIF(P$2:P4035, P4036)=0, """", INDEX(H$2:H4035,
MAX(FILTER(ROW(H$2:H4035) - ROW(H$2) + 1, P$2:P4035 = P4036))))=""単価"","""",
IF(COUNTIF(P$2:P4035, P4036)=0, """", INDEX(H$2:H4035,
MAX(FILTER(ROW(H$2:H4035) - ROW(H$2) + 1, P$2:P4035 = P4036)))))"),36.3)</f>
        <v>36.3</v>
      </c>
      <c r="N4036" s="335" t="str">
        <f>IF(MAXIFS('単価履歴'!$O:$O,'単価履歴'!$E:$E,E4036,'単価履歴'!$F:$F,F4036)=O4036,"●","")</f>
        <v/>
      </c>
      <c r="O4036" s="346">
        <v>46076.67712962963</v>
      </c>
      <c r="P4036" s="334" t="str">
        <f t="shared" si="4"/>
        <v>愛知:阪和Ｌ２(H4･級外･L1ﾊﾞﾗ)</v>
      </c>
    </row>
    <row r="4037" ht="15.75" customHeight="1">
      <c r="A4037" s="335" t="s">
        <v>5184</v>
      </c>
      <c r="B4037" s="336">
        <v>46074.0</v>
      </c>
      <c r="C4037" s="335" t="s">
        <v>14</v>
      </c>
      <c r="D4037" s="335" t="s">
        <v>48</v>
      </c>
      <c r="E4037" s="337" t="str">
        <f t="shared" si="1"/>
        <v>愛知:ナベ</v>
      </c>
      <c r="F4037" s="338" t="s">
        <v>1199</v>
      </c>
      <c r="G4037" s="339" t="str">
        <f t="shared" si="2"/>
        <v>愛知:ナベＨＳ１(単体H1/電特A/HS))</v>
      </c>
      <c r="H4037" s="340">
        <f t="shared" si="3"/>
        <v>45</v>
      </c>
      <c r="I4037" s="341">
        <v>1.0</v>
      </c>
      <c r="J4037" s="332">
        <f>IFERROR(__xludf.DUMMYFUNCTION("IF(IF(COUNTIF(P$2:P4036, P4037)=0, """", INDEX(H$2:H4036,
MAX(FILTER(ROW(H$2:H4036) - ROW(H$2) + 1, P$2:P4036 = P4037))))=""単価"","""",
IF(COUNTIF(P$2:P4036, P4037)=0, """", INDEX(H$2:H4036,
MAX(FILTER(ROW(H$2:H4036) - ROW(H$2) + 1, P$2:P4036 = P4037)))))"),44.0)</f>
        <v>44</v>
      </c>
      <c r="N4037" s="335" t="str">
        <f>IF(MAXIFS('単価履歴'!$O:$O,'単価履歴'!$E:$E,E4037,'単価履歴'!$F:$F,F4037)=O4037,"●","")</f>
        <v/>
      </c>
      <c r="O4037" s="346">
        <v>46076.67766203704</v>
      </c>
      <c r="P4037" s="334" t="str">
        <f t="shared" si="4"/>
        <v>愛知:ナベＨＳ１(単体H1/電特A/HS))</v>
      </c>
    </row>
    <row r="4038" ht="15.75" customHeight="1">
      <c r="A4038" s="335" t="s">
        <v>5185</v>
      </c>
      <c r="B4038" s="336">
        <v>46074.0</v>
      </c>
      <c r="C4038" s="335" t="s">
        <v>14</v>
      </c>
      <c r="D4038" s="335" t="s">
        <v>48</v>
      </c>
      <c r="E4038" s="337" t="str">
        <f t="shared" si="1"/>
        <v>愛知:ナベ</v>
      </c>
      <c r="F4038" s="338" t="s">
        <v>101</v>
      </c>
      <c r="G4038" s="339" t="str">
        <f t="shared" si="2"/>
        <v>愛知:ナベＨＳ２</v>
      </c>
      <c r="H4038" s="340">
        <f t="shared" si="3"/>
        <v>44.5</v>
      </c>
      <c r="I4038" s="341">
        <v>1.0</v>
      </c>
      <c r="J4038" s="332">
        <f>IFERROR(__xludf.DUMMYFUNCTION("IF(IF(COUNTIF(P$2:P4037, P4038)=0, """", INDEX(H$2:H4037,
MAX(FILTER(ROW(H$2:H4037) - ROW(H$2) + 1, P$2:P4037 = P4038))))=""単価"","""",
IF(COUNTIF(P$2:P4037, P4038)=0, """", INDEX(H$2:H4037,
MAX(FILTER(ROW(H$2:H4037) - ROW(H$2) + 1, P$2:P4037 = P4038)))))"),43.5)</f>
        <v>43.5</v>
      </c>
      <c r="N4038" s="335" t="str">
        <f>IF(MAXIFS('単価履歴'!$O:$O,'単価履歴'!$E:$E,E4038,'単価履歴'!$F:$F,F4038)=O4038,"●","")</f>
        <v/>
      </c>
      <c r="O4038" s="346">
        <v>46076.67766203704</v>
      </c>
      <c r="P4038" s="334" t="str">
        <f t="shared" si="4"/>
        <v>愛知:ナベＨＳ２</v>
      </c>
    </row>
    <row r="4039" ht="15.75" customHeight="1">
      <c r="A4039" s="335" t="s">
        <v>5186</v>
      </c>
      <c r="B4039" s="336">
        <v>46074.0</v>
      </c>
      <c r="C4039" s="335" t="s">
        <v>14</v>
      </c>
      <c r="D4039" s="335" t="s">
        <v>48</v>
      </c>
      <c r="E4039" s="337" t="str">
        <f t="shared" si="1"/>
        <v>愛知:ナベ</v>
      </c>
      <c r="F4039" s="338" t="s">
        <v>111</v>
      </c>
      <c r="G4039" s="339" t="str">
        <f t="shared" si="2"/>
        <v>愛知:ナベＨ１(特A)</v>
      </c>
      <c r="H4039" s="340">
        <f t="shared" si="3"/>
        <v>44</v>
      </c>
      <c r="I4039" s="341">
        <v>1.0</v>
      </c>
      <c r="J4039" s="332">
        <f>IFERROR(__xludf.DUMMYFUNCTION("IF(IF(COUNTIF(P$2:P4038, P4039)=0, """", INDEX(H$2:H4038,
MAX(FILTER(ROW(H$2:H4038) - ROW(H$2) + 1, P$2:P4038 = P4039))))=""単価"","""",
IF(COUNTIF(P$2:P4038, P4039)=0, """", INDEX(H$2:H4038,
MAX(FILTER(ROW(H$2:H4038) - ROW(H$2) + 1, P$2:P4038 = P4039)))))"),43.0)</f>
        <v>43</v>
      </c>
      <c r="N4039" s="335" t="str">
        <f>IF(MAXIFS('単価履歴'!$O:$O,'単価履歴'!$E:$E,E4039,'単価履歴'!$F:$F,F4039)=O4039,"●","")</f>
        <v/>
      </c>
      <c r="O4039" s="346">
        <v>46076.67766203704</v>
      </c>
      <c r="P4039" s="334" t="str">
        <f t="shared" si="4"/>
        <v>愛知:ナベＨ１(特A)</v>
      </c>
    </row>
    <row r="4040" ht="15.75" customHeight="1">
      <c r="A4040" s="335" t="s">
        <v>5187</v>
      </c>
      <c r="B4040" s="336">
        <v>46074.0</v>
      </c>
      <c r="C4040" s="335" t="s">
        <v>14</v>
      </c>
      <c r="D4040" s="335" t="s">
        <v>48</v>
      </c>
      <c r="E4040" s="337" t="str">
        <f t="shared" si="1"/>
        <v>愛知:ナベ</v>
      </c>
      <c r="F4040" s="338" t="s">
        <v>116</v>
      </c>
      <c r="G4040" s="339" t="str">
        <f t="shared" si="2"/>
        <v>愛知:ナベＨ２(特級)</v>
      </c>
      <c r="H4040" s="340">
        <f t="shared" si="3"/>
        <v>42.4</v>
      </c>
      <c r="I4040" s="341">
        <v>1.0</v>
      </c>
      <c r="J4040" s="332">
        <f>IFERROR(__xludf.DUMMYFUNCTION("IF(IF(COUNTIF(P$2:P4039, P4040)=0, """", INDEX(H$2:H4039,
MAX(FILTER(ROW(H$2:H4039) - ROW(H$2) + 1, P$2:P4039 = P4040))))=""単価"","""",
IF(COUNTIF(P$2:P4039, P4040)=0, """", INDEX(H$2:H4039,
MAX(FILTER(ROW(H$2:H4039) - ROW(H$2) + 1, P$2:P4039 = P4040)))))"),41.4)</f>
        <v>41.4</v>
      </c>
      <c r="N4040" s="335" t="str">
        <f>IF(MAXIFS('単価履歴'!$O:$O,'単価履歴'!$E:$E,E4040,'単価履歴'!$F:$F,F4040)=O4040,"●","")</f>
        <v/>
      </c>
      <c r="O4040" s="346">
        <v>46076.67766203704</v>
      </c>
      <c r="P4040" s="334" t="str">
        <f t="shared" si="4"/>
        <v>愛知:ナベＨ２(特級)</v>
      </c>
    </row>
    <row r="4041" ht="15.75" customHeight="1">
      <c r="A4041" s="335" t="s">
        <v>5188</v>
      </c>
      <c r="B4041" s="336">
        <v>46074.0</v>
      </c>
      <c r="C4041" s="335" t="s">
        <v>14</v>
      </c>
      <c r="D4041" s="335" t="s">
        <v>48</v>
      </c>
      <c r="E4041" s="337" t="str">
        <f t="shared" si="1"/>
        <v>愛知:ナベ</v>
      </c>
      <c r="F4041" s="338" t="s">
        <v>119</v>
      </c>
      <c r="G4041" s="339" t="str">
        <f t="shared" si="2"/>
        <v>愛知:ナベＨ３(1級)</v>
      </c>
      <c r="H4041" s="340">
        <f t="shared" si="3"/>
        <v>41.4</v>
      </c>
      <c r="I4041" s="341">
        <v>1.0</v>
      </c>
      <c r="J4041" s="332">
        <f>IFERROR(__xludf.DUMMYFUNCTION("IF(IF(COUNTIF(P$2:P4040, P4041)=0, """", INDEX(H$2:H4040,
MAX(FILTER(ROW(H$2:H4040) - ROW(H$2) + 1, P$2:P4040 = P4041))))=""単価"","""",
IF(COUNTIF(P$2:P4040, P4041)=0, """", INDEX(H$2:H4040,
MAX(FILTER(ROW(H$2:H4040) - ROW(H$2) + 1, P$2:P4040 = P4041)))))"),40.4)</f>
        <v>40.4</v>
      </c>
      <c r="N4041" s="335" t="str">
        <f>IF(MAXIFS('単価履歴'!$O:$O,'単価履歴'!$E:$E,E4041,'単価履歴'!$F:$F,F4041)=O4041,"●","")</f>
        <v/>
      </c>
      <c r="O4041" s="346">
        <v>46076.67766203704</v>
      </c>
      <c r="P4041" s="334" t="str">
        <f t="shared" si="4"/>
        <v>愛知:ナベＨ３(1級)</v>
      </c>
    </row>
    <row r="4042" ht="15.75" customHeight="1">
      <c r="A4042" s="335" t="s">
        <v>5189</v>
      </c>
      <c r="B4042" s="336">
        <v>46074.0</v>
      </c>
      <c r="C4042" s="335" t="s">
        <v>14</v>
      </c>
      <c r="D4042" s="335" t="s">
        <v>48</v>
      </c>
      <c r="E4042" s="337" t="str">
        <f t="shared" si="1"/>
        <v>愛知:ナベ</v>
      </c>
      <c r="F4042" s="338" t="s">
        <v>573</v>
      </c>
      <c r="G4042" s="339" t="str">
        <f t="shared" si="2"/>
        <v>愛知:ナベＬ２(H4･級外･L1ﾊﾞﾗ)</v>
      </c>
      <c r="H4042" s="340">
        <f t="shared" si="3"/>
        <v>37.4</v>
      </c>
      <c r="I4042" s="341">
        <v>1.0</v>
      </c>
      <c r="J4042" s="332">
        <f>IFERROR(__xludf.DUMMYFUNCTION("IF(IF(COUNTIF(P$2:P4041, P4042)=0, """", INDEX(H$2:H4041,
MAX(FILTER(ROW(H$2:H4041) - ROW(H$2) + 1, P$2:P4041 = P4042))))=""単価"","""",
IF(COUNTIF(P$2:P4041, P4042)=0, """", INDEX(H$2:H4041,
MAX(FILTER(ROW(H$2:H4041) - ROW(H$2) + 1, P$2:P4041 = P4042)))))"),36.4)</f>
        <v>36.4</v>
      </c>
      <c r="N4042" s="335" t="str">
        <f>IF(MAXIFS('単価履歴'!$O:$O,'単価履歴'!$E:$E,E4042,'単価履歴'!$F:$F,F4042)=O4042,"●","")</f>
        <v/>
      </c>
      <c r="O4042" s="346">
        <v>46076.67766203704</v>
      </c>
      <c r="P4042" s="334" t="str">
        <f t="shared" si="4"/>
        <v>愛知:ナベＬ２(H4･級外･L1ﾊﾞﾗ)</v>
      </c>
    </row>
    <row r="4043" ht="15.75" customHeight="1">
      <c r="A4043" s="335" t="s">
        <v>5190</v>
      </c>
      <c r="B4043" s="336">
        <v>46074.0</v>
      </c>
      <c r="C4043" s="335" t="s">
        <v>14</v>
      </c>
      <c r="D4043" s="335" t="s">
        <v>48</v>
      </c>
      <c r="E4043" s="337" t="str">
        <f t="shared" si="1"/>
        <v>愛知:ナベ</v>
      </c>
      <c r="F4043" s="338" t="s">
        <v>575</v>
      </c>
      <c r="G4043" s="339" t="str">
        <f t="shared" si="2"/>
        <v>愛知:ナベ鋼ダライＡ</v>
      </c>
      <c r="H4043" s="340">
        <f t="shared" si="3"/>
        <v>3.5</v>
      </c>
      <c r="I4043" s="341">
        <v>1.0</v>
      </c>
      <c r="J4043" s="332">
        <f>IFERROR(__xludf.DUMMYFUNCTION("IF(IF(COUNTIF(P$2:P4042, P4043)=0, """", INDEX(H$2:H4042,
MAX(FILTER(ROW(H$2:H4042) - ROW(H$2) + 1, P$2:P4042 = P4043))))=""単価"","""",
IF(COUNTIF(P$2:P4042, P4043)=0, """", INDEX(H$2:H4042,
MAX(FILTER(ROW(H$2:H4042) - ROW(H$2) + 1, P$2:P4042 = P4043)))))"),2.5)</f>
        <v>2.5</v>
      </c>
      <c r="N4043" s="335" t="str">
        <f>IF(MAXIFS('単価履歴'!$O:$O,'単価履歴'!$E:$E,E4043,'単価履歴'!$F:$F,F4043)=O4043,"●","")</f>
        <v/>
      </c>
      <c r="O4043" s="346">
        <v>46076.67766203704</v>
      </c>
      <c r="P4043" s="334" t="str">
        <f t="shared" si="4"/>
        <v>愛知:ナベ鋼ダライＡ</v>
      </c>
    </row>
    <row r="4044" ht="15.75" customHeight="1">
      <c r="A4044" s="335" t="s">
        <v>5191</v>
      </c>
      <c r="B4044" s="336">
        <v>46074.0</v>
      </c>
      <c r="C4044" s="335" t="s">
        <v>537</v>
      </c>
      <c r="D4044" s="335" t="s">
        <v>59</v>
      </c>
      <c r="E4044" s="337" t="str">
        <f t="shared" si="1"/>
        <v>大同特殊鋼:大同興業</v>
      </c>
      <c r="F4044" s="338" t="s">
        <v>1199</v>
      </c>
      <c r="G4044" s="339" t="str">
        <f t="shared" si="2"/>
        <v>大同特殊鋼:大同興業ＨＳ１(単体H1/電特A/HS))</v>
      </c>
      <c r="H4044" s="340">
        <f t="shared" si="3"/>
        <v>47.5</v>
      </c>
      <c r="I4044" s="341">
        <v>1.0</v>
      </c>
      <c r="J4044" s="332">
        <f>IFERROR(__xludf.DUMMYFUNCTION("IF(IF(COUNTIF(P$2:P4043, P4044)=0, """", INDEX(H$2:H4043,
MAX(FILTER(ROW(H$2:H4043) - ROW(H$2) + 1, P$2:P4043 = P4044))))=""単価"","""",
IF(COUNTIF(P$2:P4043, P4044)=0, """", INDEX(H$2:H4043,
MAX(FILTER(ROW(H$2:H4043) - ROW(H$2) + 1, P$2:P4043 = P4044)))))"),46.5)</f>
        <v>46.5</v>
      </c>
      <c r="N4044" s="335" t="str">
        <f>IF(MAXIFS('単価履歴'!$O:$O,'単価履歴'!$E:$E,E4044,'単価履歴'!$F:$F,F4044)=O4044,"●","")</f>
        <v/>
      </c>
      <c r="O4044" s="346">
        <v>46076.67792824074</v>
      </c>
      <c r="P4044" s="334" t="str">
        <f t="shared" si="4"/>
        <v>大同特殊鋼:大同興業ＨＳ１(単体H1/電特A/HS))</v>
      </c>
    </row>
    <row r="4045" ht="15.75" customHeight="1">
      <c r="A4045" s="335" t="s">
        <v>5192</v>
      </c>
      <c r="B4045" s="336">
        <v>46074.0</v>
      </c>
      <c r="C4045" s="335" t="s">
        <v>537</v>
      </c>
      <c r="D4045" s="335" t="s">
        <v>59</v>
      </c>
      <c r="E4045" s="337" t="str">
        <f t="shared" si="1"/>
        <v>大同特殊鋼:大同興業</v>
      </c>
      <c r="F4045" s="338" t="s">
        <v>575</v>
      </c>
      <c r="G4045" s="339" t="str">
        <f t="shared" si="2"/>
        <v>大同特殊鋼:大同興業鋼ダライＡ</v>
      </c>
      <c r="H4045" s="340">
        <f t="shared" si="3"/>
        <v>40.4</v>
      </c>
      <c r="I4045" s="341">
        <v>1.0</v>
      </c>
      <c r="J4045" s="332">
        <f>IFERROR(__xludf.DUMMYFUNCTION("IF(IF(COUNTIF(P$2:P4044, P4045)=0, """", INDEX(H$2:H4044,
MAX(FILTER(ROW(H$2:H4044) - ROW(H$2) + 1, P$2:P4044 = P4045))))=""単価"","""",
IF(COUNTIF(P$2:P4044, P4045)=0, """", INDEX(H$2:H4044,
MAX(FILTER(ROW(H$2:H4044) - ROW(H$2) + 1, P$2:P4044 = P4045)))))"),39.4)</f>
        <v>39.4</v>
      </c>
      <c r="N4045" s="335" t="str">
        <f>IF(MAXIFS('単価履歴'!$O:$O,'単価履歴'!$E:$E,E4045,'単価履歴'!$F:$F,F4045)=O4045,"●","")</f>
        <v/>
      </c>
      <c r="O4045" s="346">
        <v>46076.67792824074</v>
      </c>
      <c r="P4045" s="334" t="str">
        <f t="shared" si="4"/>
        <v>大同特殊鋼:大同興業鋼ダライＡ</v>
      </c>
    </row>
    <row r="4046" ht="15.75" customHeight="1">
      <c r="A4046" s="335" t="s">
        <v>5193</v>
      </c>
      <c r="B4046" s="336">
        <v>46074.0</v>
      </c>
      <c r="C4046" s="335" t="s">
        <v>537</v>
      </c>
      <c r="D4046" s="335" t="s">
        <v>1404</v>
      </c>
      <c r="E4046" s="337" t="str">
        <f t="shared" si="1"/>
        <v>大同特殊鋼:JSE/大和ﾘﾃｯｸ</v>
      </c>
      <c r="F4046" s="338" t="s">
        <v>1199</v>
      </c>
      <c r="G4046" s="339" t="str">
        <f t="shared" si="2"/>
        <v>大同特殊鋼:JSE/大和ﾘﾃｯｸＨＳ１(単体H1/電特A/HS))</v>
      </c>
      <c r="H4046" s="340">
        <f t="shared" si="3"/>
        <v>46.8</v>
      </c>
      <c r="I4046" s="341">
        <v>1.0</v>
      </c>
      <c r="J4046" s="332">
        <f>IFERROR(__xludf.DUMMYFUNCTION("IF(IF(COUNTIF(P$2:P4045, P4046)=0, """", INDEX(H$2:H4045,
MAX(FILTER(ROW(H$2:H4045) - ROW(H$2) + 1, P$2:P4045 = P4046))))=""単価"","""",
IF(COUNTIF(P$2:P4045, P4046)=0, """", INDEX(H$2:H4045,
MAX(FILTER(ROW(H$2:H4045) - ROW(H$2) + 1, P$2:P4045 = P4046)))))"),45.8)</f>
        <v>45.8</v>
      </c>
      <c r="N4046" s="335" t="str">
        <f>IF(MAXIFS('単価履歴'!$O:$O,'単価履歴'!$E:$E,E4046,'単価履歴'!$F:$F,F4046)=O4046,"●","")</f>
        <v/>
      </c>
      <c r="O4046" s="346">
        <v>46076.67821759259</v>
      </c>
      <c r="P4046" s="334" t="str">
        <f t="shared" si="4"/>
        <v>大同特殊鋼:JSE/大和ﾘﾃｯｸＨＳ１(単体H1/電特A/HS))</v>
      </c>
    </row>
    <row r="4047" ht="15.75" customHeight="1">
      <c r="A4047" s="335" t="s">
        <v>5194</v>
      </c>
      <c r="B4047" s="336">
        <v>46074.0</v>
      </c>
      <c r="C4047" s="335" t="s">
        <v>537</v>
      </c>
      <c r="D4047" s="335" t="s">
        <v>1404</v>
      </c>
      <c r="E4047" s="337" t="str">
        <f t="shared" si="1"/>
        <v>大同特殊鋼:JSE/大和ﾘﾃｯｸ</v>
      </c>
      <c r="F4047" s="338" t="s">
        <v>116</v>
      </c>
      <c r="G4047" s="339" t="str">
        <f t="shared" si="2"/>
        <v>大同特殊鋼:JSE/大和ﾘﾃｯｸＨ２(特級)</v>
      </c>
      <c r="H4047" s="340">
        <f t="shared" si="3"/>
        <v>43.7</v>
      </c>
      <c r="I4047" s="341">
        <v>1.0</v>
      </c>
      <c r="J4047" s="332">
        <f>IFERROR(__xludf.DUMMYFUNCTION("IF(IF(COUNTIF(P$2:P4046, P4047)=0, """", INDEX(H$2:H4046,
MAX(FILTER(ROW(H$2:H4046) - ROW(H$2) + 1, P$2:P4046 = P4047))))=""単価"","""",
IF(COUNTIF(P$2:P4046, P4047)=0, """", INDEX(H$2:H4046,
MAX(FILTER(ROW(H$2:H4046) - ROW(H$2) + 1, P$2:P4046 = P4047)))))"),42.7)</f>
        <v>42.7</v>
      </c>
      <c r="N4047" s="335" t="str">
        <f>IF(MAXIFS('単価履歴'!$O:$O,'単価履歴'!$E:$E,E4047,'単価履歴'!$F:$F,F4047)=O4047,"●","")</f>
        <v/>
      </c>
      <c r="O4047" s="346">
        <v>46076.67821759259</v>
      </c>
      <c r="P4047" s="334" t="str">
        <f t="shared" si="4"/>
        <v>大同特殊鋼:JSE/大和ﾘﾃｯｸＨ２(特級)</v>
      </c>
    </row>
    <row r="4048" ht="15.75" customHeight="1">
      <c r="A4048" s="335" t="s">
        <v>5195</v>
      </c>
      <c r="B4048" s="336">
        <v>46074.0</v>
      </c>
      <c r="C4048" s="335" t="s">
        <v>537</v>
      </c>
      <c r="D4048" s="335" t="s">
        <v>1404</v>
      </c>
      <c r="E4048" s="337" t="str">
        <f t="shared" si="1"/>
        <v>大同特殊鋼:JSE/大和ﾘﾃｯｸ</v>
      </c>
      <c r="F4048" s="338" t="s">
        <v>575</v>
      </c>
      <c r="G4048" s="339" t="str">
        <f t="shared" si="2"/>
        <v>大同特殊鋼:JSE/大和ﾘﾃｯｸ鋼ダライＡ</v>
      </c>
      <c r="H4048" s="340">
        <f t="shared" si="3"/>
        <v>42.5</v>
      </c>
      <c r="I4048" s="341">
        <v>1.0</v>
      </c>
      <c r="J4048" s="332">
        <f>IFERROR(__xludf.DUMMYFUNCTION("IF(IF(COUNTIF(P$2:P4047, P4048)=0, """", INDEX(H$2:H4047,
MAX(FILTER(ROW(H$2:H4047) - ROW(H$2) + 1, P$2:P4047 = P4048))))=""単価"","""",
IF(COUNTIF(P$2:P4047, P4048)=0, """", INDEX(H$2:H4047,
MAX(FILTER(ROW(H$2:H4047) - ROW(H$2) + 1, P$2:P4047 = P4048)))))"),41.5)</f>
        <v>41.5</v>
      </c>
      <c r="N4048" s="335" t="str">
        <f>IF(MAXIFS('単価履歴'!$O:$O,'単価履歴'!$E:$E,E4048,'単価履歴'!$F:$F,F4048)=O4048,"●","")</f>
        <v/>
      </c>
      <c r="O4048" s="346">
        <v>46076.67821759259</v>
      </c>
      <c r="P4048" s="334" t="str">
        <f t="shared" si="4"/>
        <v>大同特殊鋼:JSE/大和ﾘﾃｯｸ鋼ダライＡ</v>
      </c>
    </row>
    <row r="4049" ht="15.75" customHeight="1">
      <c r="A4049" s="335" t="s">
        <v>5196</v>
      </c>
      <c r="B4049" s="336">
        <v>46074.0</v>
      </c>
      <c r="C4049" s="335" t="s">
        <v>537</v>
      </c>
      <c r="D4049" s="335" t="s">
        <v>1407</v>
      </c>
      <c r="E4049" s="337" t="str">
        <f t="shared" si="1"/>
        <v>大同特殊鋼:JSE/第二＠2.3</v>
      </c>
      <c r="F4049" s="338" t="s">
        <v>1199</v>
      </c>
      <c r="G4049" s="339" t="str">
        <f t="shared" si="2"/>
        <v>大同特殊鋼:JSE/第二＠2.3ＨＳ１(単体H1/電特A/HS))</v>
      </c>
      <c r="H4049" s="340">
        <f t="shared" si="3"/>
        <v>44.5</v>
      </c>
      <c r="I4049" s="341">
        <v>1.0</v>
      </c>
      <c r="J4049" s="332">
        <f>IFERROR(__xludf.DUMMYFUNCTION("IF(IF(COUNTIF(P$2:P4048, P4049)=0, """", INDEX(H$2:H4048,
MAX(FILTER(ROW(H$2:H4048) - ROW(H$2) + 1, P$2:P4048 = P4049))))=""単価"","""",
IF(COUNTIF(P$2:P4048, P4049)=0, """", INDEX(H$2:H4048,
MAX(FILTER(ROW(H$2:H4048) - ROW(H$2) + 1, P$2:P4048 = P4049)))))"),43.5)</f>
        <v>43.5</v>
      </c>
      <c r="N4049" s="335" t="str">
        <f>IF(MAXIFS('単価履歴'!$O:$O,'単価履歴'!$E:$E,E4049,'単価履歴'!$F:$F,F4049)=O4049,"●","")</f>
        <v/>
      </c>
      <c r="O4049" s="346">
        <v>46076.67821759259</v>
      </c>
      <c r="P4049" s="334" t="str">
        <f t="shared" si="4"/>
        <v>大同特殊鋼:JSE/第二＠2.3ＨＳ１(単体H1/電特A/HS))</v>
      </c>
    </row>
    <row r="4050" ht="15.75" customHeight="1">
      <c r="A4050" s="335" t="s">
        <v>5197</v>
      </c>
      <c r="B4050" s="336">
        <v>46074.0</v>
      </c>
      <c r="C4050" s="335" t="s">
        <v>537</v>
      </c>
      <c r="D4050" s="335" t="s">
        <v>1407</v>
      </c>
      <c r="E4050" s="337" t="str">
        <f t="shared" si="1"/>
        <v>大同特殊鋼:JSE/第二＠2.3</v>
      </c>
      <c r="F4050" s="338" t="s">
        <v>116</v>
      </c>
      <c r="G4050" s="339" t="str">
        <f t="shared" si="2"/>
        <v>大同特殊鋼:JSE/第二＠2.3Ｈ２(特級)</v>
      </c>
      <c r="H4050" s="340">
        <f t="shared" si="3"/>
        <v>41.4</v>
      </c>
      <c r="I4050" s="341">
        <v>1.0</v>
      </c>
      <c r="J4050" s="332">
        <f>IFERROR(__xludf.DUMMYFUNCTION("IF(IF(COUNTIF(P$2:P4049, P4050)=0, """", INDEX(H$2:H4049,
MAX(FILTER(ROW(H$2:H4049) - ROW(H$2) + 1, P$2:P4049 = P4050))))=""単価"","""",
IF(COUNTIF(P$2:P4049, P4050)=0, """", INDEX(H$2:H4049,
MAX(FILTER(ROW(H$2:H4049) - ROW(H$2) + 1, P$2:P4049 = P4050)))))"),40.400000000000006)</f>
        <v>40.4</v>
      </c>
      <c r="N4050" s="335" t="str">
        <f>IF(MAXIFS('単価履歴'!$O:$O,'単価履歴'!$E:$E,E4050,'単価履歴'!$F:$F,F4050)=O4050,"●","")</f>
        <v/>
      </c>
      <c r="O4050" s="346">
        <v>46076.67821759259</v>
      </c>
      <c r="P4050" s="334" t="str">
        <f t="shared" si="4"/>
        <v>大同特殊鋼:JSE/第二＠2.3Ｈ２(特級)</v>
      </c>
    </row>
    <row r="4051" ht="15.75" customHeight="1">
      <c r="A4051" s="335" t="s">
        <v>5198</v>
      </c>
      <c r="B4051" s="336">
        <v>46074.0</v>
      </c>
      <c r="C4051" s="335" t="s">
        <v>537</v>
      </c>
      <c r="D4051" s="335" t="s">
        <v>1407</v>
      </c>
      <c r="E4051" s="337" t="str">
        <f t="shared" si="1"/>
        <v>大同特殊鋼:JSE/第二＠2.3</v>
      </c>
      <c r="F4051" s="338" t="s">
        <v>575</v>
      </c>
      <c r="G4051" s="339" t="str">
        <f t="shared" si="2"/>
        <v>大同特殊鋼:JSE/第二＠2.3鋼ダライＡ</v>
      </c>
      <c r="H4051" s="340">
        <f t="shared" si="3"/>
        <v>40.2</v>
      </c>
      <c r="I4051" s="341">
        <v>1.0</v>
      </c>
      <c r="J4051" s="332">
        <f>IFERROR(__xludf.DUMMYFUNCTION("IF(IF(COUNTIF(P$2:P4050, P4051)=0, """", INDEX(H$2:H4050,
MAX(FILTER(ROW(H$2:H4050) - ROW(H$2) + 1, P$2:P4050 = P4051))))=""単価"","""",
IF(COUNTIF(P$2:P4050, P4051)=0, """", INDEX(H$2:H4050,
MAX(FILTER(ROW(H$2:H4050) - ROW(H$2) + 1, P$2:P4050 = P4051)))))"),39.2)</f>
        <v>39.2</v>
      </c>
      <c r="N4051" s="335" t="str">
        <f>IF(MAXIFS('単価履歴'!$O:$O,'単価履歴'!$E:$E,E4051,'単価履歴'!$F:$F,F4051)=O4051,"●","")</f>
        <v/>
      </c>
      <c r="O4051" s="346">
        <v>46076.67821759259</v>
      </c>
      <c r="P4051" s="334" t="str">
        <f t="shared" si="4"/>
        <v>大同特殊鋼:JSE/第二＠2.3鋼ダライＡ</v>
      </c>
    </row>
    <row r="4052" ht="15.75" customHeight="1">
      <c r="A4052" s="335" t="s">
        <v>5199</v>
      </c>
      <c r="B4052" s="336">
        <v>46074.0</v>
      </c>
      <c r="C4052" s="335" t="s">
        <v>537</v>
      </c>
      <c r="D4052" s="335" t="s">
        <v>1410</v>
      </c>
      <c r="E4052" s="337" t="str">
        <f t="shared" si="1"/>
        <v>大同特殊鋼:JSE/岐阜＠1.5</v>
      </c>
      <c r="F4052" s="338" t="s">
        <v>1199</v>
      </c>
      <c r="G4052" s="339" t="str">
        <f t="shared" si="2"/>
        <v>大同特殊鋼:JSE/岐阜＠1.5ＨＳ１(単体H1/電特A/HS))</v>
      </c>
      <c r="H4052" s="340">
        <f t="shared" si="3"/>
        <v>45.3</v>
      </c>
      <c r="I4052" s="341">
        <v>1.0</v>
      </c>
      <c r="J4052" s="332">
        <f>IFERROR(__xludf.DUMMYFUNCTION("IF(IF(COUNTIF(P$2:P4051, P4052)=0, """", INDEX(H$2:H4051,
MAX(FILTER(ROW(H$2:H4051) - ROW(H$2) + 1, P$2:P4051 = P4052))))=""単価"","""",
IF(COUNTIF(P$2:P4051, P4052)=0, """", INDEX(H$2:H4051,
MAX(FILTER(ROW(H$2:H4051) - ROW(H$2) + 1, P$2:P4051 = P4052)))))"),44.3)</f>
        <v>44.3</v>
      </c>
      <c r="N4052" s="335" t="str">
        <f>IF(MAXIFS('単価履歴'!$O:$O,'単価履歴'!$E:$E,E4052,'単価履歴'!$F:$F,F4052)=O4052,"●","")</f>
        <v/>
      </c>
      <c r="O4052" s="346">
        <v>46076.67821759259</v>
      </c>
      <c r="P4052" s="334" t="str">
        <f t="shared" si="4"/>
        <v>大同特殊鋼:JSE/岐阜＠1.5ＨＳ１(単体H1/電特A/HS))</v>
      </c>
    </row>
    <row r="4053" ht="15.75" customHeight="1">
      <c r="A4053" s="335" t="s">
        <v>5200</v>
      </c>
      <c r="B4053" s="336">
        <v>46074.0</v>
      </c>
      <c r="C4053" s="335" t="s">
        <v>537</v>
      </c>
      <c r="D4053" s="335" t="s">
        <v>1410</v>
      </c>
      <c r="E4053" s="337" t="str">
        <f t="shared" si="1"/>
        <v>大同特殊鋼:JSE/岐阜＠1.5</v>
      </c>
      <c r="F4053" s="338" t="s">
        <v>116</v>
      </c>
      <c r="G4053" s="339" t="str">
        <f t="shared" si="2"/>
        <v>大同特殊鋼:JSE/岐阜＠1.5Ｈ２(特級)</v>
      </c>
      <c r="H4053" s="340">
        <f t="shared" si="3"/>
        <v>42.2</v>
      </c>
      <c r="I4053" s="341">
        <v>1.0</v>
      </c>
      <c r="J4053" s="332">
        <f>IFERROR(__xludf.DUMMYFUNCTION("IF(IF(COUNTIF(P$2:P4052, P4053)=0, """", INDEX(H$2:H4052,
MAX(FILTER(ROW(H$2:H4052) - ROW(H$2) + 1, P$2:P4052 = P4053))))=""単価"","""",
IF(COUNTIF(P$2:P4052, P4053)=0, """", INDEX(H$2:H4052,
MAX(FILTER(ROW(H$2:H4052) - ROW(H$2) + 1, P$2:P4052 = P4053)))))"),41.2)</f>
        <v>41.2</v>
      </c>
      <c r="N4053" s="335" t="str">
        <f>IF(MAXIFS('単価履歴'!$O:$O,'単価履歴'!$E:$E,E4053,'単価履歴'!$F:$F,F4053)=O4053,"●","")</f>
        <v/>
      </c>
      <c r="O4053" s="346">
        <v>46076.67821759259</v>
      </c>
      <c r="P4053" s="334" t="str">
        <f t="shared" si="4"/>
        <v>大同特殊鋼:JSE/岐阜＠1.5Ｈ２(特級)</v>
      </c>
    </row>
    <row r="4054" ht="15.75" customHeight="1">
      <c r="A4054" s="335" t="s">
        <v>5201</v>
      </c>
      <c r="B4054" s="336">
        <v>46074.0</v>
      </c>
      <c r="C4054" s="335" t="s">
        <v>537</v>
      </c>
      <c r="D4054" s="335" t="s">
        <v>1410</v>
      </c>
      <c r="E4054" s="337" t="str">
        <f t="shared" si="1"/>
        <v>大同特殊鋼:JSE/岐阜＠1.5</v>
      </c>
      <c r="F4054" s="338" t="s">
        <v>575</v>
      </c>
      <c r="G4054" s="339" t="str">
        <f t="shared" si="2"/>
        <v>大同特殊鋼:JSE/岐阜＠1.5鋼ダライＡ</v>
      </c>
      <c r="H4054" s="340">
        <f t="shared" si="3"/>
        <v>41</v>
      </c>
      <c r="I4054" s="341">
        <v>1.0</v>
      </c>
      <c r="J4054" s="332">
        <f>IFERROR(__xludf.DUMMYFUNCTION("IF(IF(COUNTIF(P$2:P4053, P4054)=0, """", INDEX(H$2:H4053,
MAX(FILTER(ROW(H$2:H4053) - ROW(H$2) + 1, P$2:P4053 = P4054))))=""単価"","""",
IF(COUNTIF(P$2:P4053, P4054)=0, """", INDEX(H$2:H4053,
MAX(FILTER(ROW(H$2:H4053) - ROW(H$2) + 1, P$2:P4053 = P4054)))))"),40.0)</f>
        <v>40</v>
      </c>
      <c r="N4054" s="335" t="str">
        <f>IF(MAXIFS('単価履歴'!$O:$O,'単価履歴'!$E:$E,E4054,'単価履歴'!$F:$F,F4054)=O4054,"●","")</f>
        <v/>
      </c>
      <c r="O4054" s="346">
        <v>46076.67821759259</v>
      </c>
      <c r="P4054" s="334" t="str">
        <f t="shared" si="4"/>
        <v>大同特殊鋼:JSE/岐阜＠1.5鋼ダライＡ</v>
      </c>
    </row>
    <row r="4055" ht="15.75" customHeight="1">
      <c r="A4055" s="335" t="s">
        <v>5202</v>
      </c>
      <c r="B4055" s="336">
        <v>46074.0</v>
      </c>
      <c r="C4055" s="335" t="s">
        <v>19</v>
      </c>
      <c r="D4055" s="335" t="s">
        <v>61</v>
      </c>
      <c r="E4055" s="337" t="str">
        <f t="shared" si="1"/>
        <v>トピー工業:ＭＭ</v>
      </c>
      <c r="F4055" s="338" t="s">
        <v>116</v>
      </c>
      <c r="G4055" s="339" t="str">
        <f t="shared" si="2"/>
        <v>トピー工業:ＭＭＨ２(特級)</v>
      </c>
      <c r="H4055" s="340">
        <f t="shared" si="3"/>
        <v>39</v>
      </c>
      <c r="I4055" s="341">
        <v>1.0</v>
      </c>
      <c r="J4055" s="332">
        <f>IFERROR(__xludf.DUMMYFUNCTION("IF(IF(COUNTIF(P$2:P4054, P4055)=0, """", INDEX(H$2:H4054,
MAX(FILTER(ROW(H$2:H4054) - ROW(H$2) + 1, P$2:P4054 = P4055))))=""単価"","""",
IF(COUNTIF(P$2:P4054, P4055)=0, """", INDEX(H$2:H4054,
MAX(FILTER(ROW(H$2:H4054) - ROW(H$2) + 1, P$2:P4054 = P4055)))))"),38.0)</f>
        <v>38</v>
      </c>
      <c r="N4055" s="335" t="str">
        <f>IF(MAXIFS('単価履歴'!$O:$O,'単価履歴'!$E:$E,E4055,'単価履歴'!$F:$F,F4055)=O4055,"●","")</f>
        <v/>
      </c>
      <c r="O4055" s="346">
        <v>46076.678773148145</v>
      </c>
      <c r="P4055" s="334" t="str">
        <f t="shared" si="4"/>
        <v>トピー工業:ＭＭＨ２(特級)</v>
      </c>
    </row>
    <row r="4056" ht="15.75" customHeight="1">
      <c r="A4056" s="335" t="s">
        <v>5203</v>
      </c>
      <c r="B4056" s="336">
        <v>46074.0</v>
      </c>
      <c r="C4056" s="335" t="s">
        <v>37</v>
      </c>
      <c r="D4056" s="335" t="s">
        <v>48</v>
      </c>
      <c r="E4056" s="337" t="str">
        <f t="shared" si="1"/>
        <v>共英名古屋:ナベ</v>
      </c>
      <c r="F4056" s="338" t="s">
        <v>111</v>
      </c>
      <c r="G4056" s="339" t="str">
        <f t="shared" si="2"/>
        <v>共英名古屋:ナベＨ１(特A)</v>
      </c>
      <c r="H4056" s="340">
        <f t="shared" si="3"/>
        <v>46.2</v>
      </c>
      <c r="I4056" s="341">
        <v>1.0</v>
      </c>
      <c r="J4056" s="332">
        <f>IFERROR(__xludf.DUMMYFUNCTION("IF(IF(COUNTIF(P$2:P4055, P4056)=0, """", INDEX(H$2:H4055,
MAX(FILTER(ROW(H$2:H4055) - ROW(H$2) + 1, P$2:P4055 = P4056))))=""単価"","""",
IF(COUNTIF(P$2:P4055, P4056)=0, """", INDEX(H$2:H4055,
MAX(FILTER(ROW(H$2:H4055) - ROW(H$2) + 1, P$2:P4055 = P4056)))))"),45.2)</f>
        <v>45.2</v>
      </c>
      <c r="N4056" s="335" t="str">
        <f>IF(MAXIFS('単価履歴'!$O:$O,'単価履歴'!$E:$E,E4056,'単価履歴'!$F:$F,F4056)=O4056,"●","")</f>
        <v/>
      </c>
      <c r="O4056" s="346">
        <v>46076.67943287037</v>
      </c>
      <c r="P4056" s="334" t="str">
        <f t="shared" si="4"/>
        <v>共英名古屋:ナベＨ１(特A)</v>
      </c>
    </row>
    <row r="4057" ht="15.75" customHeight="1">
      <c r="A4057" s="335" t="s">
        <v>5204</v>
      </c>
      <c r="B4057" s="336">
        <v>46074.0</v>
      </c>
      <c r="C4057" s="335" t="s">
        <v>37</v>
      </c>
      <c r="D4057" s="335" t="s">
        <v>48</v>
      </c>
      <c r="E4057" s="337" t="str">
        <f t="shared" si="1"/>
        <v>共英名古屋:ナベ</v>
      </c>
      <c r="F4057" s="338" t="s">
        <v>116</v>
      </c>
      <c r="G4057" s="339" t="str">
        <f t="shared" si="2"/>
        <v>共英名古屋:ナベＨ２(特級)</v>
      </c>
      <c r="H4057" s="340">
        <f t="shared" si="3"/>
        <v>43.5</v>
      </c>
      <c r="I4057" s="341">
        <v>1.0</v>
      </c>
      <c r="J4057" s="332">
        <f>IFERROR(__xludf.DUMMYFUNCTION("IF(IF(COUNTIF(P$2:P4056, P4057)=0, """", INDEX(H$2:H4056,
MAX(FILTER(ROW(H$2:H4056) - ROW(H$2) + 1, P$2:P4056 = P4057))))=""単価"","""",
IF(COUNTIF(P$2:P4056, P4057)=0, """", INDEX(H$2:H4056,
MAX(FILTER(ROW(H$2:H4056) - ROW(H$2) + 1, P$2:P4056 = P4057)))))"),42.5)</f>
        <v>42.5</v>
      </c>
      <c r="N4057" s="335" t="str">
        <f>IF(MAXIFS('単価履歴'!$O:$O,'単価履歴'!$E:$E,E4057,'単価履歴'!$F:$F,F4057)=O4057,"●","")</f>
        <v/>
      </c>
      <c r="O4057" s="346">
        <v>46076.67943287037</v>
      </c>
      <c r="P4057" s="334" t="str">
        <f t="shared" si="4"/>
        <v>共英名古屋:ナベＨ２(特級)</v>
      </c>
    </row>
    <row r="4058" ht="15.75" customHeight="1">
      <c r="A4058" s="335" t="s">
        <v>5205</v>
      </c>
      <c r="B4058" s="336">
        <v>46074.0</v>
      </c>
      <c r="C4058" s="335" t="s">
        <v>37</v>
      </c>
      <c r="D4058" s="335" t="s">
        <v>48</v>
      </c>
      <c r="E4058" s="337" t="str">
        <f t="shared" si="1"/>
        <v>共英名古屋:ナベ</v>
      </c>
      <c r="F4058" s="338" t="s">
        <v>119</v>
      </c>
      <c r="G4058" s="339" t="str">
        <f t="shared" si="2"/>
        <v>共英名古屋:ナベＨ３(1級)</v>
      </c>
      <c r="H4058" s="340">
        <f t="shared" si="3"/>
        <v>42.5</v>
      </c>
      <c r="I4058" s="341">
        <v>1.0</v>
      </c>
      <c r="J4058" s="332">
        <f>IFERROR(__xludf.DUMMYFUNCTION("IF(IF(COUNTIF(P$2:P4057, P4058)=0, """", INDEX(H$2:H4057,
MAX(FILTER(ROW(H$2:H4057) - ROW(H$2) + 1, P$2:P4057 = P4058))))=""単価"","""",
IF(COUNTIF(P$2:P4057, P4058)=0, """", INDEX(H$2:H4057,
MAX(FILTER(ROW(H$2:H4057) - ROW(H$2) + 1, P$2:P4057 = P4058)))))"),41.5)</f>
        <v>41.5</v>
      </c>
      <c r="N4058" s="335" t="str">
        <f>IF(MAXIFS('単価履歴'!$O:$O,'単価履歴'!$E:$E,E4058,'単価履歴'!$F:$F,F4058)=O4058,"●","")</f>
        <v/>
      </c>
      <c r="O4058" s="346">
        <v>46076.67943287037</v>
      </c>
      <c r="P4058" s="334" t="str">
        <f t="shared" si="4"/>
        <v>共英名古屋:ナベＨ３(1級)</v>
      </c>
    </row>
    <row r="4059" ht="15.75" customHeight="1">
      <c r="A4059" s="335" t="s">
        <v>5206</v>
      </c>
      <c r="B4059" s="336">
        <v>46074.0</v>
      </c>
      <c r="C4059" s="335" t="s">
        <v>37</v>
      </c>
      <c r="D4059" s="335" t="s">
        <v>48</v>
      </c>
      <c r="E4059" s="337" t="str">
        <f t="shared" si="1"/>
        <v>共英名古屋:ナベ</v>
      </c>
      <c r="F4059" s="338" t="s">
        <v>122</v>
      </c>
      <c r="G4059" s="339" t="str">
        <f t="shared" si="2"/>
        <v>共英名古屋:ナベＬ１(2級)</v>
      </c>
      <c r="H4059" s="340">
        <f t="shared" si="3"/>
        <v>39.5</v>
      </c>
      <c r="I4059" s="341">
        <v>1.0</v>
      </c>
      <c r="J4059" s="332">
        <f>IFERROR(__xludf.DUMMYFUNCTION("IF(IF(COUNTIF(P$2:P4058, P4059)=0, """", INDEX(H$2:H4058,
MAX(FILTER(ROW(H$2:H4058) - ROW(H$2) + 1, P$2:P4058 = P4059))))=""単価"","""",
IF(COUNTIF(P$2:P4058, P4059)=0, """", INDEX(H$2:H4058,
MAX(FILTER(ROW(H$2:H4058) - ROW(H$2) + 1, P$2:P4058 = P4059)))))"),38.5)</f>
        <v>38.5</v>
      </c>
      <c r="N4059" s="335" t="str">
        <f>IF(MAXIFS('単価履歴'!$O:$O,'単価履歴'!$E:$E,E4059,'単価履歴'!$F:$F,F4059)=O4059,"●","")</f>
        <v/>
      </c>
      <c r="O4059" s="346">
        <v>46076.67943287037</v>
      </c>
      <c r="P4059" s="334" t="str">
        <f t="shared" si="4"/>
        <v>共英名古屋:ナベＬ１(2級)</v>
      </c>
    </row>
    <row r="4060" ht="15.75" customHeight="1">
      <c r="A4060" s="335" t="s">
        <v>5207</v>
      </c>
      <c r="B4060" s="336">
        <v>46074.0</v>
      </c>
      <c r="C4060" s="335" t="s">
        <v>31</v>
      </c>
      <c r="D4060" s="335" t="s">
        <v>64</v>
      </c>
      <c r="E4060" s="337" t="str">
        <f t="shared" si="1"/>
        <v>泉北中谷:ナベ双葉</v>
      </c>
      <c r="F4060" s="338" t="s">
        <v>1199</v>
      </c>
      <c r="G4060" s="339" t="str">
        <f t="shared" si="2"/>
        <v>泉北中谷:ナベ双葉ＨＳ１(単体H1/電特A/HS))</v>
      </c>
      <c r="H4060" s="340">
        <f t="shared" si="3"/>
        <v>47</v>
      </c>
      <c r="I4060" s="341">
        <v>0.5</v>
      </c>
      <c r="J4060" s="332">
        <f>IFERROR(__xludf.DUMMYFUNCTION("IF(IF(COUNTIF(P$2:P4059, P4060)=0, """", INDEX(H$2:H4059,
MAX(FILTER(ROW(H$2:H4059) - ROW(H$2) + 1, P$2:P4059 = P4060))))=""単価"","""",
IF(COUNTIF(P$2:P4059, P4060)=0, """", INDEX(H$2:H4059,
MAX(FILTER(ROW(H$2:H4059) - ROW(H$2) + 1, P$2:P4059 = P4060)))))"),46.49999999999999)</f>
        <v>46.5</v>
      </c>
      <c r="N4060" s="335" t="str">
        <f>IF(MAXIFS('単価履歴'!$O:$O,'単価履歴'!$E:$E,E4060,'単価履歴'!$F:$F,F4060)=O4060,"●","")</f>
        <v>●</v>
      </c>
      <c r="O4060" s="346">
        <v>46076.68699074074</v>
      </c>
      <c r="P4060" s="334" t="str">
        <f t="shared" si="4"/>
        <v>泉北中谷:ナベ双葉ＨＳ１(単体H1/電特A/HS))</v>
      </c>
    </row>
    <row r="4061" ht="15.75" customHeight="1">
      <c r="A4061" s="335" t="s">
        <v>5208</v>
      </c>
      <c r="B4061" s="336">
        <v>46074.0</v>
      </c>
      <c r="C4061" s="335" t="s">
        <v>31</v>
      </c>
      <c r="D4061" s="335" t="s">
        <v>64</v>
      </c>
      <c r="E4061" s="337" t="str">
        <f t="shared" si="1"/>
        <v>泉北中谷:ナベ双葉</v>
      </c>
      <c r="F4061" s="338" t="s">
        <v>130</v>
      </c>
      <c r="G4061" s="339" t="str">
        <f t="shared" si="2"/>
        <v>泉北中谷:ナベ双葉新断Ａ</v>
      </c>
      <c r="H4061" s="340">
        <f t="shared" si="3"/>
        <v>46</v>
      </c>
      <c r="I4061" s="341">
        <v>0.5</v>
      </c>
      <c r="J4061" s="332">
        <f>IFERROR(__xludf.DUMMYFUNCTION("IF(IF(COUNTIF(P$2:P4060, P4061)=0, """", INDEX(H$2:H4060,
MAX(FILTER(ROW(H$2:H4060) - ROW(H$2) + 1, P$2:P4060 = P4061))))=""単価"","""",
IF(COUNTIF(P$2:P4060, P4061)=0, """", INDEX(H$2:H4060,
MAX(FILTER(ROW(H$2:H4060) - ROW(H$2) + 1, P$2:P4060 = P4061)))))"),45.5)</f>
        <v>45.5</v>
      </c>
      <c r="N4061" s="335" t="str">
        <f>IF(MAXIFS('単価履歴'!$O:$O,'単価履歴'!$E:$E,E4061,'単価履歴'!$F:$F,F4061)=O4061,"●","")</f>
        <v/>
      </c>
      <c r="O4061" s="346">
        <v>46076.68699074074</v>
      </c>
      <c r="P4061" s="334" t="str">
        <f t="shared" si="4"/>
        <v>泉北中谷:ナベ双葉新断Ａ</v>
      </c>
    </row>
    <row r="4062" ht="15.75" customHeight="1">
      <c r="A4062" s="335" t="s">
        <v>5209</v>
      </c>
      <c r="B4062" s="336">
        <v>46074.0</v>
      </c>
      <c r="C4062" s="335" t="s">
        <v>5</v>
      </c>
      <c r="D4062" s="335" t="s">
        <v>47</v>
      </c>
      <c r="E4062" s="337" t="str">
        <f t="shared" si="1"/>
        <v>中山製鋼:豊通</v>
      </c>
      <c r="F4062" s="338" t="s">
        <v>101</v>
      </c>
      <c r="G4062" s="339" t="str">
        <f t="shared" si="2"/>
        <v>中山製鋼:豊通ＨＳ２</v>
      </c>
      <c r="H4062" s="340">
        <f t="shared" si="3"/>
        <v>48.3</v>
      </c>
      <c r="I4062" s="341">
        <v>1.0</v>
      </c>
      <c r="J4062" s="332">
        <f>IFERROR(__xludf.DUMMYFUNCTION("IF(IF(COUNTIF(P$2:P4061, P4062)=0, """", INDEX(H$2:H4061,
MAX(FILTER(ROW(H$2:H4061) - ROW(H$2) + 1, P$2:P4061 = P4062))))=""単価"","""",
IF(COUNTIF(P$2:P4061, P4062)=0, """", INDEX(H$2:H4061,
MAX(FILTER(ROW(H$2:H4061) - ROW(H$2) + 1, P$2:P4061 = P4062)))))"),47.3)</f>
        <v>47.3</v>
      </c>
      <c r="N4062" s="335" t="str">
        <f>IF(MAXIFS('単価履歴'!$O:$O,'単価履歴'!$E:$E,E4062,'単価履歴'!$F:$F,F4062)=O4062,"●","")</f>
        <v/>
      </c>
      <c r="O4062" s="346">
        <v>46076.69064814815</v>
      </c>
      <c r="P4062" s="334" t="str">
        <f t="shared" si="4"/>
        <v>中山製鋼:豊通ＨＳ２</v>
      </c>
    </row>
    <row r="4063" ht="15.75" customHeight="1">
      <c r="A4063" s="335" t="s">
        <v>5210</v>
      </c>
      <c r="B4063" s="336">
        <v>46074.0</v>
      </c>
      <c r="C4063" s="335" t="s">
        <v>5</v>
      </c>
      <c r="D4063" s="335" t="s">
        <v>47</v>
      </c>
      <c r="E4063" s="337" t="str">
        <f t="shared" si="1"/>
        <v>中山製鋼:豊通</v>
      </c>
      <c r="F4063" s="338" t="s">
        <v>108</v>
      </c>
      <c r="G4063" s="339" t="str">
        <f t="shared" si="2"/>
        <v>中山製鋼:豊通Ｈ１/ｻﾑﾃｯｸ</v>
      </c>
      <c r="H4063" s="340">
        <f t="shared" si="3"/>
        <v>1.5</v>
      </c>
      <c r="I4063" s="341">
        <v>1.0</v>
      </c>
      <c r="J4063" s="332">
        <f>IFERROR(__xludf.DUMMYFUNCTION("IF(IF(COUNTIF(P$2:P4062, P4063)=0, """", INDEX(H$2:H4062,
MAX(FILTER(ROW(H$2:H4062) - ROW(H$2) + 1, P$2:P4062 = P4063))))=""単価"","""",
IF(COUNTIF(P$2:P4062, P4063)=0, """", INDEX(H$2:H4062,
MAX(FILTER(ROW(H$2:H4062) - ROW(H$2) + 1, P$2:P4062 = P4063)))))"),0.5)</f>
        <v>0.5</v>
      </c>
      <c r="N4063" s="335" t="str">
        <f>IF(MAXIFS('単価履歴'!$O:$O,'単価履歴'!$E:$E,E4063,'単価履歴'!$F:$F,F4063)=O4063,"●","")</f>
        <v/>
      </c>
      <c r="O4063" s="346">
        <v>46076.69064814815</v>
      </c>
      <c r="P4063" s="334" t="str">
        <f t="shared" si="4"/>
        <v>中山製鋼:豊通Ｈ１/ｻﾑﾃｯｸ</v>
      </c>
    </row>
    <row r="4064" ht="15.75" customHeight="1">
      <c r="A4064" s="335" t="s">
        <v>5211</v>
      </c>
      <c r="B4064" s="336">
        <v>46074.0</v>
      </c>
      <c r="C4064" s="335" t="s">
        <v>5</v>
      </c>
      <c r="D4064" s="335" t="s">
        <v>47</v>
      </c>
      <c r="E4064" s="337" t="str">
        <f t="shared" si="1"/>
        <v>中山製鋼:豊通</v>
      </c>
      <c r="F4064" s="338" t="s">
        <v>111</v>
      </c>
      <c r="G4064" s="339" t="str">
        <f t="shared" si="2"/>
        <v>中山製鋼:豊通Ｈ１(特A)</v>
      </c>
      <c r="H4064" s="340">
        <f t="shared" si="3"/>
        <v>46.3</v>
      </c>
      <c r="I4064" s="341">
        <v>1.0</v>
      </c>
      <c r="J4064" s="332">
        <f>IFERROR(__xludf.DUMMYFUNCTION("IF(IF(COUNTIF(P$2:P4063, P4064)=0, """", INDEX(H$2:H4063,
MAX(FILTER(ROW(H$2:H4063) - ROW(H$2) + 1, P$2:P4063 = P4064))))=""単価"","""",
IF(COUNTIF(P$2:P4063, P4064)=0, """", INDEX(H$2:H4063,
MAX(FILTER(ROW(H$2:H4063) - ROW(H$2) + 1, P$2:P4063 = P4064)))))"),45.3)</f>
        <v>45.3</v>
      </c>
      <c r="N4064" s="335" t="str">
        <f>IF(MAXIFS('単価履歴'!$O:$O,'単価履歴'!$E:$E,E4064,'単価履歴'!$F:$F,F4064)=O4064,"●","")</f>
        <v/>
      </c>
      <c r="O4064" s="346">
        <v>46076.69064814815</v>
      </c>
      <c r="P4064" s="334" t="str">
        <f t="shared" si="4"/>
        <v>中山製鋼:豊通Ｈ１(特A)</v>
      </c>
    </row>
    <row r="4065" ht="15.75" customHeight="1">
      <c r="A4065" s="335" t="s">
        <v>5212</v>
      </c>
      <c r="B4065" s="336">
        <v>46074.0</v>
      </c>
      <c r="C4065" s="335" t="s">
        <v>5</v>
      </c>
      <c r="D4065" s="335" t="s">
        <v>47</v>
      </c>
      <c r="E4065" s="337" t="str">
        <f t="shared" si="1"/>
        <v>中山製鋼:豊通</v>
      </c>
      <c r="F4065" s="338" t="s">
        <v>116</v>
      </c>
      <c r="G4065" s="339" t="str">
        <f t="shared" si="2"/>
        <v>中山製鋼:豊通Ｈ２(特級)</v>
      </c>
      <c r="H4065" s="340">
        <f t="shared" si="3"/>
        <v>40.3</v>
      </c>
      <c r="I4065" s="341">
        <v>1.0</v>
      </c>
      <c r="J4065" s="332">
        <f>IFERROR(__xludf.DUMMYFUNCTION("IF(IF(COUNTIF(P$2:P4064, P4065)=0, """", INDEX(H$2:H4064,
MAX(FILTER(ROW(H$2:H4064) - ROW(H$2) + 1, P$2:P4064 = P4065))))=""単価"","""",
IF(COUNTIF(P$2:P4064, P4065)=0, """", INDEX(H$2:H4064,
MAX(FILTER(ROW(H$2:H4064) - ROW(H$2) + 1, P$2:P4064 = P4065)))))"),39.3)</f>
        <v>39.3</v>
      </c>
      <c r="N4065" s="335" t="str">
        <f>IF(MAXIFS('単価履歴'!$O:$O,'単価履歴'!$E:$E,E4065,'単価履歴'!$F:$F,F4065)=O4065,"●","")</f>
        <v/>
      </c>
      <c r="O4065" s="346">
        <v>46076.69064814815</v>
      </c>
      <c r="P4065" s="334" t="str">
        <f t="shared" si="4"/>
        <v>中山製鋼:豊通Ｈ２(特級)</v>
      </c>
    </row>
    <row r="4066" ht="15.75" customHeight="1">
      <c r="A4066" s="335" t="s">
        <v>5213</v>
      </c>
      <c r="B4066" s="336">
        <v>46074.0</v>
      </c>
      <c r="C4066" s="335" t="s">
        <v>5</v>
      </c>
      <c r="D4066" s="335" t="s">
        <v>47</v>
      </c>
      <c r="E4066" s="337" t="str">
        <f t="shared" si="1"/>
        <v>中山製鋼:豊通</v>
      </c>
      <c r="F4066" s="338" t="s">
        <v>119</v>
      </c>
      <c r="G4066" s="339" t="str">
        <f t="shared" si="2"/>
        <v>中山製鋼:豊通Ｈ３(1級)</v>
      </c>
      <c r="H4066" s="340">
        <f t="shared" si="3"/>
        <v>36.3</v>
      </c>
      <c r="I4066" s="341">
        <v>1.0</v>
      </c>
      <c r="J4066" s="332">
        <f>IFERROR(__xludf.DUMMYFUNCTION("IF(IF(COUNTIF(P$2:P4065, P4066)=0, """", INDEX(H$2:H4065,
MAX(FILTER(ROW(H$2:H4065) - ROW(H$2) + 1, P$2:P4065 = P4066))))=""単価"","""",
IF(COUNTIF(P$2:P4065, P4066)=0, """", INDEX(H$2:H4065,
MAX(FILTER(ROW(H$2:H4065) - ROW(H$2) + 1, P$2:P4065 = P4066)))))"),35.3)</f>
        <v>35.3</v>
      </c>
      <c r="N4066" s="335" t="str">
        <f>IF(MAXIFS('単価履歴'!$O:$O,'単価履歴'!$E:$E,E4066,'単価履歴'!$F:$F,F4066)=O4066,"●","")</f>
        <v/>
      </c>
      <c r="O4066" s="346">
        <v>46076.69064814815</v>
      </c>
      <c r="P4066" s="334" t="str">
        <f t="shared" si="4"/>
        <v>中山製鋼:豊通Ｈ３(1級)</v>
      </c>
    </row>
    <row r="4067" ht="15.75" customHeight="1">
      <c r="A4067" s="335" t="s">
        <v>5214</v>
      </c>
      <c r="B4067" s="336">
        <v>46074.0</v>
      </c>
      <c r="C4067" s="335" t="s">
        <v>5</v>
      </c>
      <c r="D4067" s="335" t="s">
        <v>47</v>
      </c>
      <c r="E4067" s="337" t="str">
        <f t="shared" si="1"/>
        <v>中山製鋼:豊通</v>
      </c>
      <c r="F4067" s="338" t="s">
        <v>122</v>
      </c>
      <c r="G4067" s="339" t="str">
        <f t="shared" si="2"/>
        <v>中山製鋼:豊通Ｌ１(2級)</v>
      </c>
      <c r="H4067" s="340">
        <f t="shared" si="3"/>
        <v>29.8</v>
      </c>
      <c r="I4067" s="341">
        <v>1.0</v>
      </c>
      <c r="J4067" s="332">
        <f>IFERROR(__xludf.DUMMYFUNCTION("IF(IF(COUNTIF(P$2:P4066, P4067)=0, """", INDEX(H$2:H4066,
MAX(FILTER(ROW(H$2:H4066) - ROW(H$2) + 1, P$2:P4066 = P4067))))=""単価"","""",
IF(COUNTIF(P$2:P4066, P4067)=0, """", INDEX(H$2:H4066,
MAX(FILTER(ROW(H$2:H4066) - ROW(H$2) + 1, P$2:P4066 = P4067)))))"),28.8)</f>
        <v>28.8</v>
      </c>
      <c r="N4067" s="335" t="str">
        <f>IF(MAXIFS('単価履歴'!$O:$O,'単価履歴'!$E:$E,E4067,'単価履歴'!$F:$F,F4067)=O4067,"●","")</f>
        <v/>
      </c>
      <c r="O4067" s="346">
        <v>46076.69064814815</v>
      </c>
      <c r="P4067" s="334" t="str">
        <f t="shared" si="4"/>
        <v>中山製鋼:豊通Ｌ１(2級)</v>
      </c>
    </row>
    <row r="4068" ht="15.75" customHeight="1">
      <c r="A4068" s="335" t="s">
        <v>5215</v>
      </c>
      <c r="B4068" s="336">
        <v>46074.0</v>
      </c>
      <c r="C4068" s="335" t="s">
        <v>5</v>
      </c>
      <c r="D4068" s="335" t="s">
        <v>47</v>
      </c>
      <c r="E4068" s="337" t="str">
        <f t="shared" si="1"/>
        <v>中山製鋼:豊通</v>
      </c>
      <c r="F4068" s="338" t="s">
        <v>130</v>
      </c>
      <c r="G4068" s="339" t="str">
        <f t="shared" si="2"/>
        <v>中山製鋼:豊通新断Ａ</v>
      </c>
      <c r="H4068" s="340">
        <f t="shared" si="3"/>
        <v>49.3</v>
      </c>
      <c r="I4068" s="341">
        <v>1.0</v>
      </c>
      <c r="J4068" s="332">
        <f>IFERROR(__xludf.DUMMYFUNCTION("IF(IF(COUNTIF(P$2:P4067, P4068)=0, """", INDEX(H$2:H4067,
MAX(FILTER(ROW(H$2:H4067) - ROW(H$2) + 1, P$2:P4067 = P4068))))=""単価"","""",
IF(COUNTIF(P$2:P4067, P4068)=0, """", INDEX(H$2:H4067,
MAX(FILTER(ROW(H$2:H4067) - ROW(H$2) + 1, P$2:P4067 = P4068)))))"),48.3)</f>
        <v>48.3</v>
      </c>
      <c r="N4068" s="335" t="str">
        <f>IF(MAXIFS('単価履歴'!$O:$O,'単価履歴'!$E:$E,E4068,'単価履歴'!$F:$F,F4068)=O4068,"●","")</f>
        <v/>
      </c>
      <c r="O4068" s="346">
        <v>46076.69064814815</v>
      </c>
      <c r="P4068" s="334" t="str">
        <f t="shared" si="4"/>
        <v>中山製鋼:豊通新断Ａ</v>
      </c>
    </row>
    <row r="4069" ht="15.75" customHeight="1">
      <c r="A4069" s="335" t="s">
        <v>5216</v>
      </c>
      <c r="B4069" s="336">
        <v>46074.0</v>
      </c>
      <c r="C4069" s="335" t="s">
        <v>5</v>
      </c>
      <c r="D4069" s="335" t="s">
        <v>47</v>
      </c>
      <c r="E4069" s="337" t="str">
        <f t="shared" si="1"/>
        <v>中山製鋼:豊通</v>
      </c>
      <c r="F4069" s="338" t="s">
        <v>131</v>
      </c>
      <c r="G4069" s="339" t="str">
        <f t="shared" si="2"/>
        <v>中山製鋼:豊通新断Ｂ</v>
      </c>
      <c r="H4069" s="340">
        <f t="shared" si="3"/>
        <v>48.3</v>
      </c>
      <c r="I4069" s="341">
        <v>1.0</v>
      </c>
      <c r="J4069" s="332">
        <f>IFERROR(__xludf.DUMMYFUNCTION("IF(IF(COUNTIF(P$2:P4068, P4069)=0, """", INDEX(H$2:H4068,
MAX(FILTER(ROW(H$2:H4068) - ROW(H$2) + 1, P$2:P4068 = P4069))))=""単価"","""",
IF(COUNTIF(P$2:P4068, P4069)=0, """", INDEX(H$2:H4068,
MAX(FILTER(ROW(H$2:H4068) - ROW(H$2) + 1, P$2:P4068 = P4069)))))"),47.3)</f>
        <v>47.3</v>
      </c>
      <c r="N4069" s="335" t="str">
        <f>IF(MAXIFS('単価履歴'!$O:$O,'単価履歴'!$E:$E,E4069,'単価履歴'!$F:$F,F4069)=O4069,"●","")</f>
        <v/>
      </c>
      <c r="O4069" s="346">
        <v>46076.69064814815</v>
      </c>
      <c r="P4069" s="334" t="str">
        <f t="shared" si="4"/>
        <v>中山製鋼:豊通新断Ｂ</v>
      </c>
    </row>
    <row r="4070" ht="15.75" customHeight="1">
      <c r="A4070" s="335" t="s">
        <v>5217</v>
      </c>
      <c r="B4070" s="336">
        <v>46074.0</v>
      </c>
      <c r="C4070" s="335" t="s">
        <v>5</v>
      </c>
      <c r="D4070" s="335" t="s">
        <v>47</v>
      </c>
      <c r="E4070" s="337" t="str">
        <f t="shared" si="1"/>
        <v>中山製鋼:豊通</v>
      </c>
      <c r="F4070" s="338" t="s">
        <v>574</v>
      </c>
      <c r="G4070" s="339" t="str">
        <f t="shared" si="2"/>
        <v>中山製鋼:豊通新断Ｃ</v>
      </c>
      <c r="H4070" s="340">
        <f t="shared" si="3"/>
        <v>47.3</v>
      </c>
      <c r="I4070" s="341">
        <v>1.0</v>
      </c>
      <c r="J4070" s="332">
        <f>IFERROR(__xludf.DUMMYFUNCTION("IF(IF(COUNTIF(P$2:P4069, P4070)=0, """", INDEX(H$2:H4069,
MAX(FILTER(ROW(H$2:H4069) - ROW(H$2) + 1, P$2:P4069 = P4070))))=""単価"","""",
IF(COUNTIF(P$2:P4069, P4070)=0, """", INDEX(H$2:H4069,
MAX(FILTER(ROW(H$2:H4069) - ROW(H$2) + 1, P$2:P4069 = P4070)))))"),46.3)</f>
        <v>46.3</v>
      </c>
      <c r="N4070" s="335" t="str">
        <f>IF(MAXIFS('単価履歴'!$O:$O,'単価履歴'!$E:$E,E4070,'単価履歴'!$F:$F,F4070)=O4070,"●","")</f>
        <v/>
      </c>
      <c r="O4070" s="346">
        <v>46076.69064814815</v>
      </c>
      <c r="P4070" s="334" t="str">
        <f t="shared" si="4"/>
        <v>中山製鋼:豊通新断Ｃ</v>
      </c>
    </row>
    <row r="4071" ht="15.75" customHeight="1">
      <c r="A4071" s="367" t="s">
        <v>5218</v>
      </c>
      <c r="B4071" s="368">
        <v>46072.0</v>
      </c>
      <c r="C4071" s="367" t="s">
        <v>12</v>
      </c>
      <c r="D4071" s="367" t="s">
        <v>541</v>
      </c>
      <c r="E4071" s="337" t="str">
        <f t="shared" si="1"/>
        <v>山陽特殊:大同</v>
      </c>
      <c r="F4071" s="369" t="s">
        <v>1199</v>
      </c>
      <c r="G4071" s="339" t="str">
        <f t="shared" si="2"/>
        <v>山陽特殊:大同ＨＳ１(単体H1/電特A/HS))</v>
      </c>
      <c r="H4071" s="340">
        <f t="shared" si="3"/>
        <v>51.7</v>
      </c>
      <c r="I4071" s="364">
        <v>0.5</v>
      </c>
      <c r="J4071" s="332">
        <f>IFERROR(__xludf.DUMMYFUNCTION("IF(IF(COUNTIF(P$2:P4070, P4071)=0, """", INDEX(H$2:H4070,
MAX(FILTER(ROW(H$2:H4070) - ROW(H$2) + 1, P$2:P4070 = P4071))))=""単価"","""",
IF(COUNTIF(P$2:P4070, P4071)=0, """", INDEX(H$2:H4070,
MAX(FILTER(ROW(H$2:H4070) - ROW(H$2) + 1, P$2:P4070 = P4071)))))"),51.2)</f>
        <v>51.2</v>
      </c>
      <c r="K4071" s="365"/>
      <c r="L4071" s="365"/>
      <c r="M4071" s="365"/>
      <c r="N4071" s="335" t="str">
        <f>IF(MAXIFS('単価履歴'!$O:$O,'単価履歴'!$E:$E,E4071,'単価履歴'!$F:$F,F4071)=O4071,"●","")</f>
        <v/>
      </c>
      <c r="O4071" s="366">
        <v>46077.45564814815</v>
      </c>
      <c r="P4071" s="334" t="str">
        <f t="shared" si="4"/>
        <v>山陽特殊:大同ＨＳ１(単体H1/電特A/HS))</v>
      </c>
      <c r="Q4071" s="365"/>
      <c r="R4071" s="365"/>
      <c r="S4071" s="365"/>
      <c r="T4071" s="365"/>
      <c r="U4071" s="365"/>
      <c r="V4071" s="365"/>
      <c r="W4071" s="365"/>
      <c r="X4071" s="365"/>
      <c r="Y4071" s="365"/>
      <c r="Z4071" s="365"/>
      <c r="AA4071" s="365"/>
      <c r="AB4071" s="365"/>
      <c r="AC4071" s="365"/>
      <c r="AD4071" s="365"/>
      <c r="AE4071" s="365"/>
      <c r="AF4071" s="365"/>
    </row>
    <row r="4072" ht="15.75" customHeight="1">
      <c r="A4072" s="367" t="s">
        <v>5219</v>
      </c>
      <c r="B4072" s="368">
        <v>46072.0</v>
      </c>
      <c r="C4072" s="367" t="s">
        <v>12</v>
      </c>
      <c r="D4072" s="367" t="s">
        <v>541</v>
      </c>
      <c r="E4072" s="337" t="str">
        <f t="shared" si="1"/>
        <v>山陽特殊:大同</v>
      </c>
      <c r="F4072" s="369" t="s">
        <v>101</v>
      </c>
      <c r="G4072" s="339" t="str">
        <f t="shared" si="2"/>
        <v>山陽特殊:大同ＨＳ２</v>
      </c>
      <c r="H4072" s="340">
        <f t="shared" si="3"/>
        <v>51.5</v>
      </c>
      <c r="I4072" s="364">
        <v>0.5</v>
      </c>
      <c r="J4072" s="332">
        <f>IFERROR(__xludf.DUMMYFUNCTION("IF(IF(COUNTIF(P$2:P4071, P4072)=0, """", INDEX(H$2:H4071,
MAX(FILTER(ROW(H$2:H4071) - ROW(H$2) + 1, P$2:P4071 = P4072))))=""単価"","""",
IF(COUNTIF(P$2:P4071, P4072)=0, """", INDEX(H$2:H4071,
MAX(FILTER(ROW(H$2:H4071) - ROW(H$2) + 1, P$2:P4071 = P4072)))))"),51.0)</f>
        <v>51</v>
      </c>
      <c r="K4072" s="365"/>
      <c r="L4072" s="365"/>
      <c r="M4072" s="365"/>
      <c r="N4072" s="335" t="str">
        <f>IF(MAXIFS('単価履歴'!$O:$O,'単価履歴'!$E:$E,E4072,'単価履歴'!$F:$F,F4072)=O4072,"●","")</f>
        <v/>
      </c>
      <c r="O4072" s="366">
        <v>46077.45564814815</v>
      </c>
      <c r="P4072" s="334" t="str">
        <f t="shared" si="4"/>
        <v>山陽特殊:大同ＨＳ２</v>
      </c>
      <c r="Q4072" s="365"/>
      <c r="R4072" s="365"/>
      <c r="S4072" s="365"/>
      <c r="T4072" s="365"/>
      <c r="U4072" s="365"/>
      <c r="V4072" s="365"/>
      <c r="W4072" s="365"/>
      <c r="X4072" s="365"/>
      <c r="Y4072" s="365"/>
      <c r="Z4072" s="365"/>
      <c r="AA4072" s="365"/>
      <c r="AB4072" s="365"/>
      <c r="AC4072" s="365"/>
      <c r="AD4072" s="365"/>
      <c r="AE4072" s="365"/>
      <c r="AF4072" s="365"/>
    </row>
    <row r="4073" ht="15.75" customHeight="1">
      <c r="A4073" s="367" t="s">
        <v>5220</v>
      </c>
      <c r="B4073" s="368">
        <v>46072.0</v>
      </c>
      <c r="C4073" s="367" t="s">
        <v>12</v>
      </c>
      <c r="D4073" s="367" t="s">
        <v>541</v>
      </c>
      <c r="E4073" s="337" t="str">
        <f t="shared" si="1"/>
        <v>山陽特殊:大同</v>
      </c>
      <c r="F4073" s="369" t="s">
        <v>105</v>
      </c>
      <c r="G4073" s="339" t="str">
        <f t="shared" si="2"/>
        <v>山陽特殊:大同ＨＳ３</v>
      </c>
      <c r="H4073" s="340">
        <f t="shared" si="3"/>
        <v>49.5</v>
      </c>
      <c r="I4073" s="364">
        <v>0.5</v>
      </c>
      <c r="J4073" s="332">
        <f>IFERROR(__xludf.DUMMYFUNCTION("IF(IF(COUNTIF(P$2:P4072, P4073)=0, """", INDEX(H$2:H4072,
MAX(FILTER(ROW(H$2:H4072) - ROW(H$2) + 1, P$2:P4072 = P4073))))=""単価"","""",
IF(COUNTIF(P$2:P4072, P4073)=0, """", INDEX(H$2:H4072,
MAX(FILTER(ROW(H$2:H4072) - ROW(H$2) + 1, P$2:P4072 = P4073)))))"),49.0)</f>
        <v>49</v>
      </c>
      <c r="K4073" s="365"/>
      <c r="L4073" s="365"/>
      <c r="M4073" s="365"/>
      <c r="N4073" s="335" t="str">
        <f>IF(MAXIFS('単価履歴'!$O:$O,'単価履歴'!$E:$E,E4073,'単価履歴'!$F:$F,F4073)=O4073,"●","")</f>
        <v/>
      </c>
      <c r="O4073" s="366">
        <v>46077.45564814815</v>
      </c>
      <c r="P4073" s="334" t="str">
        <f t="shared" si="4"/>
        <v>山陽特殊:大同ＨＳ３</v>
      </c>
      <c r="Q4073" s="365"/>
      <c r="R4073" s="365"/>
      <c r="S4073" s="365"/>
      <c r="T4073" s="365"/>
      <c r="U4073" s="365"/>
      <c r="V4073" s="365"/>
      <c r="W4073" s="365"/>
      <c r="X4073" s="365"/>
      <c r="Y4073" s="365"/>
      <c r="Z4073" s="365"/>
      <c r="AA4073" s="365"/>
      <c r="AB4073" s="365"/>
      <c r="AC4073" s="365"/>
      <c r="AD4073" s="365"/>
      <c r="AE4073" s="365"/>
      <c r="AF4073" s="365"/>
    </row>
    <row r="4074" ht="15.75" customHeight="1">
      <c r="A4074" s="335" t="s">
        <v>5221</v>
      </c>
      <c r="B4074" s="336">
        <v>46008.0</v>
      </c>
      <c r="C4074" s="335" t="s">
        <v>534</v>
      </c>
      <c r="D4074" s="335" t="s">
        <v>46</v>
      </c>
      <c r="E4074" s="337" t="str">
        <f t="shared" si="1"/>
        <v>合同姫路:阪和</v>
      </c>
      <c r="F4074" s="338" t="s">
        <v>130</v>
      </c>
      <c r="G4074" s="339" t="str">
        <f t="shared" si="2"/>
        <v>合同姫路:阪和新断Ａ</v>
      </c>
      <c r="H4074" s="340">
        <f t="shared" si="3"/>
        <v>47.8</v>
      </c>
      <c r="I4074" s="341">
        <v>-0.5</v>
      </c>
      <c r="J4074" s="332">
        <f>IFERROR(__xludf.DUMMYFUNCTION("IF(IF(COUNTIF(P$2:P4073, P4074)=0, """", INDEX(H$2:H4073,
MAX(FILTER(ROW(H$2:H4073) - ROW(H$2) + 1, P$2:P4073 = P4074))))=""単価"","""",
IF(COUNTIF(P$2:P4073, P4074)=0, """", INDEX(H$2:H4073,
MAX(FILTER(ROW(H$2:H4073) - ROW(H$2) + 1, P$2:P4073 = P4074)))))"),48.3)</f>
        <v>48.3</v>
      </c>
      <c r="N4074" s="335" t="str">
        <f>IF(MAXIFS('単価履歴'!$O:$O,'単価履歴'!$E:$E,E4074,'単価履歴'!$F:$F,F4074)=O4074,"●","")</f>
        <v/>
      </c>
      <c r="O4074" s="346">
        <v>46078.2749537037</v>
      </c>
      <c r="P4074" s="334" t="str">
        <f t="shared" si="4"/>
        <v>合同姫路:阪和新断Ａ</v>
      </c>
    </row>
    <row r="4075" ht="15.75" customHeight="1">
      <c r="A4075" s="335" t="s">
        <v>5222</v>
      </c>
      <c r="B4075" s="336">
        <v>46008.0</v>
      </c>
      <c r="C4075" s="335" t="s">
        <v>534</v>
      </c>
      <c r="D4075" s="335" t="s">
        <v>46</v>
      </c>
      <c r="E4075" s="337" t="str">
        <f t="shared" si="1"/>
        <v>合同姫路:阪和</v>
      </c>
      <c r="F4075" s="338" t="s">
        <v>131</v>
      </c>
      <c r="G4075" s="339" t="str">
        <f t="shared" si="2"/>
        <v>合同姫路:阪和新断Ｂ</v>
      </c>
      <c r="H4075" s="340">
        <f t="shared" si="3"/>
        <v>46.8</v>
      </c>
      <c r="I4075" s="341">
        <v>-0.5</v>
      </c>
      <c r="J4075" s="332">
        <f>IFERROR(__xludf.DUMMYFUNCTION("IF(IF(COUNTIF(P$2:P4074, P4075)=0, """", INDEX(H$2:H4074,
MAX(FILTER(ROW(H$2:H4074) - ROW(H$2) + 1, P$2:P4074 = P4075))))=""単価"","""",
IF(COUNTIF(P$2:P4074, P4075)=0, """", INDEX(H$2:H4074,
MAX(FILTER(ROW(H$2:H4074) - ROW(H$2) + 1, P$2:P4074 = P4075)))))"),47.3)</f>
        <v>47.3</v>
      </c>
      <c r="N4075" s="335" t="str">
        <f>IF(MAXIFS('単価履歴'!$O:$O,'単価履歴'!$E:$E,E4075,'単価履歴'!$F:$F,F4075)=O4075,"●","")</f>
        <v/>
      </c>
      <c r="O4075" s="346">
        <v>46078.2749537037</v>
      </c>
      <c r="P4075" s="334" t="str">
        <f t="shared" si="4"/>
        <v>合同姫路:阪和新断Ｂ</v>
      </c>
    </row>
    <row r="4076" ht="15.75" customHeight="1">
      <c r="A4076" s="335" t="s">
        <v>5223</v>
      </c>
      <c r="B4076" s="336">
        <v>46008.0</v>
      </c>
      <c r="C4076" s="335" t="s">
        <v>534</v>
      </c>
      <c r="D4076" s="335" t="s">
        <v>46</v>
      </c>
      <c r="E4076" s="337" t="str">
        <f t="shared" si="1"/>
        <v>合同姫路:阪和</v>
      </c>
      <c r="F4076" s="338" t="s">
        <v>574</v>
      </c>
      <c r="G4076" s="339" t="str">
        <f t="shared" si="2"/>
        <v>合同姫路:阪和新断Ｃ</v>
      </c>
      <c r="H4076" s="340">
        <f t="shared" si="3"/>
        <v>-0.5</v>
      </c>
      <c r="I4076" s="341">
        <v>-0.5</v>
      </c>
      <c r="J4076" s="332" t="str">
        <f>IFERROR(__xludf.DUMMYFUNCTION("IF(IF(COUNTIF(P$2:P4075, P4076)=0, """", INDEX(H$2:H4075,
MAX(FILTER(ROW(H$2:H4075) - ROW(H$2) + 1, P$2:P4075 = P4076))))=""単価"","""",
IF(COUNTIF(P$2:P4075, P4076)=0, """", INDEX(H$2:H4075,
MAX(FILTER(ROW(H$2:H4075) - ROW(H$2) + 1, P$2:P4075 = P4076)))))"),"")</f>
        <v/>
      </c>
      <c r="N4076" s="335" t="str">
        <f>IF(MAXIFS('単価履歴'!$O:$O,'単価履歴'!$E:$E,E4076,'単価履歴'!$F:$F,F4076)=O4076,"●","")</f>
        <v/>
      </c>
      <c r="O4076" s="346">
        <v>46078.2749537037</v>
      </c>
      <c r="P4076" s="334" t="str">
        <f t="shared" si="4"/>
        <v>合同姫路:阪和新断Ｃ</v>
      </c>
    </row>
    <row r="4077" ht="15.75" customHeight="1">
      <c r="A4077" s="335" t="s">
        <v>5224</v>
      </c>
      <c r="B4077" s="336">
        <v>46078.0</v>
      </c>
      <c r="C4077" s="335" t="s">
        <v>9</v>
      </c>
      <c r="D4077" s="335" t="s">
        <v>51</v>
      </c>
      <c r="E4077" s="337" t="str">
        <f t="shared" si="1"/>
        <v>大鉄　堺:大鉄堺</v>
      </c>
      <c r="F4077" s="338" t="s">
        <v>111</v>
      </c>
      <c r="G4077" s="339" t="str">
        <f t="shared" si="2"/>
        <v>大鉄　堺:大鉄堺Ｈ１(特A)</v>
      </c>
      <c r="H4077" s="340">
        <f t="shared" si="3"/>
        <v>46.5</v>
      </c>
      <c r="I4077" s="341">
        <v>1.5</v>
      </c>
      <c r="J4077" s="332">
        <f>IFERROR(__xludf.DUMMYFUNCTION("IF(IF(COUNTIF(P$2:P4076, P4077)=0, """", INDEX(H$2:H4076,
MAX(FILTER(ROW(H$2:H4076) - ROW(H$2) + 1, P$2:P4076 = P4077))))=""単価"","""",
IF(COUNTIF(P$2:P4076, P4077)=0, """", INDEX(H$2:H4076,
MAX(FILTER(ROW(H$2:H4076) - ROW(H$2) + 1, P$2:P4076 = P4077)))))"),45.0)</f>
        <v>45</v>
      </c>
      <c r="N4077" s="335" t="str">
        <f>IF(MAXIFS('単価履歴'!$O:$O,'単価履歴'!$E:$E,E4077,'単価履歴'!$F:$F,F4077)=O4077,"●","")</f>
        <v/>
      </c>
      <c r="O4077" s="346">
        <v>46078.27603009259</v>
      </c>
      <c r="P4077" s="334" t="str">
        <f t="shared" si="4"/>
        <v>大鉄　堺:大鉄堺Ｈ１(特A)</v>
      </c>
    </row>
    <row r="4078" ht="15.75" customHeight="1">
      <c r="A4078" s="335" t="s">
        <v>5225</v>
      </c>
      <c r="B4078" s="336">
        <v>46078.0</v>
      </c>
      <c r="C4078" s="335" t="s">
        <v>9</v>
      </c>
      <c r="D4078" s="335" t="s">
        <v>51</v>
      </c>
      <c r="E4078" s="337" t="str">
        <f t="shared" si="1"/>
        <v>大鉄　堺:大鉄堺</v>
      </c>
      <c r="F4078" s="338" t="s">
        <v>116</v>
      </c>
      <c r="G4078" s="339" t="str">
        <f t="shared" si="2"/>
        <v>大鉄　堺:大鉄堺Ｈ２(特級)</v>
      </c>
      <c r="H4078" s="340">
        <f t="shared" si="3"/>
        <v>43.5</v>
      </c>
      <c r="I4078" s="341">
        <v>1.5</v>
      </c>
      <c r="J4078" s="332">
        <f>IFERROR(__xludf.DUMMYFUNCTION("IF(IF(COUNTIF(P$2:P4077, P4078)=0, """", INDEX(H$2:H4077,
MAX(FILTER(ROW(H$2:H4077) - ROW(H$2) + 1, P$2:P4077 = P4078))))=""単価"","""",
IF(COUNTIF(P$2:P4077, P4078)=0, """", INDEX(H$2:H4077,
MAX(FILTER(ROW(H$2:H4077) - ROW(H$2) + 1, P$2:P4077 = P4078)))))"),42.0)</f>
        <v>42</v>
      </c>
      <c r="N4078" s="335" t="str">
        <f>IF(MAXIFS('単価履歴'!$O:$O,'単価履歴'!$E:$E,E4078,'単価履歴'!$F:$F,F4078)=O4078,"●","")</f>
        <v/>
      </c>
      <c r="O4078" s="346">
        <v>46078.27603009259</v>
      </c>
      <c r="P4078" s="334" t="str">
        <f t="shared" si="4"/>
        <v>大鉄　堺:大鉄堺Ｈ２(特級)</v>
      </c>
    </row>
    <row r="4079" ht="15.75" customHeight="1">
      <c r="A4079" s="335" t="s">
        <v>5226</v>
      </c>
      <c r="B4079" s="336">
        <v>46078.0</v>
      </c>
      <c r="C4079" s="335" t="s">
        <v>9</v>
      </c>
      <c r="D4079" s="335" t="s">
        <v>51</v>
      </c>
      <c r="E4079" s="337" t="str">
        <f t="shared" si="1"/>
        <v>大鉄　堺:大鉄堺</v>
      </c>
      <c r="F4079" s="338" t="s">
        <v>1237</v>
      </c>
      <c r="G4079" s="339" t="str">
        <f t="shared" si="2"/>
        <v>大鉄　堺:大鉄堺ＪＨ１(H2T山口)鍛造ﾊﾞﾘ</v>
      </c>
      <c r="H4079" s="340">
        <f t="shared" si="3"/>
        <v>45.5</v>
      </c>
      <c r="I4079" s="341">
        <v>1.5</v>
      </c>
      <c r="J4079" s="332">
        <f>IFERROR(__xludf.DUMMYFUNCTION("IF(IF(COUNTIF(P$2:P4078, P4079)=0, """", INDEX(H$2:H4078,
MAX(FILTER(ROW(H$2:H4078) - ROW(H$2) + 1, P$2:P4078 = P4079))))=""単価"","""",
IF(COUNTIF(P$2:P4078, P4079)=0, """", INDEX(H$2:H4078,
MAX(FILTER(ROW(H$2:H4078) - ROW(H$2) + 1, P$2:P4078 = P4079)))))"),44.0)</f>
        <v>44</v>
      </c>
      <c r="N4079" s="335" t="str">
        <f>IF(MAXIFS('単価履歴'!$O:$O,'単価履歴'!$E:$E,E4079,'単価履歴'!$F:$F,F4079)=O4079,"●","")</f>
        <v/>
      </c>
      <c r="O4079" s="346">
        <v>46078.27603009259</v>
      </c>
      <c r="P4079" s="334" t="str">
        <f t="shared" si="4"/>
        <v>大鉄　堺:大鉄堺ＪＨ１(H2T山口)鍛造ﾊﾞﾘ</v>
      </c>
    </row>
    <row r="4080" ht="15.75" customHeight="1">
      <c r="A4080" s="335" t="s">
        <v>5227</v>
      </c>
      <c r="B4080" s="336">
        <v>46078.0</v>
      </c>
      <c r="C4080" s="335" t="s">
        <v>9</v>
      </c>
      <c r="D4080" s="335" t="s">
        <v>51</v>
      </c>
      <c r="E4080" s="337" t="str">
        <f t="shared" si="1"/>
        <v>大鉄　堺:大鉄堺</v>
      </c>
      <c r="F4080" s="338" t="s">
        <v>119</v>
      </c>
      <c r="G4080" s="339" t="str">
        <f t="shared" si="2"/>
        <v>大鉄　堺:大鉄堺Ｈ３(1級)</v>
      </c>
      <c r="H4080" s="340">
        <f t="shared" si="3"/>
        <v>43</v>
      </c>
      <c r="I4080" s="341">
        <v>1.5</v>
      </c>
      <c r="J4080" s="332">
        <f>IFERROR(__xludf.DUMMYFUNCTION("IF(IF(COUNTIF(P$2:P4079, P4080)=0, """", INDEX(H$2:H4079,
MAX(FILTER(ROW(H$2:H4079) - ROW(H$2) + 1, P$2:P4079 = P4080))))=""単価"","""",
IF(COUNTIF(P$2:P4079, P4080)=0, """", INDEX(H$2:H4079,
MAX(FILTER(ROW(H$2:H4079) - ROW(H$2) + 1, P$2:P4079 = P4080)))))"),41.5)</f>
        <v>41.5</v>
      </c>
      <c r="N4080" s="335" t="str">
        <f>IF(MAXIFS('単価履歴'!$O:$O,'単価履歴'!$E:$E,E4080,'単価履歴'!$F:$F,F4080)=O4080,"●","")</f>
        <v/>
      </c>
      <c r="O4080" s="346">
        <v>46078.27603009259</v>
      </c>
      <c r="P4080" s="334" t="str">
        <f t="shared" si="4"/>
        <v>大鉄　堺:大鉄堺Ｈ３(1級)</v>
      </c>
    </row>
    <row r="4081" ht="15.75" customHeight="1">
      <c r="A4081" s="335" t="s">
        <v>5228</v>
      </c>
      <c r="B4081" s="336">
        <v>46078.0</v>
      </c>
      <c r="C4081" s="335" t="s">
        <v>9</v>
      </c>
      <c r="D4081" s="335" t="s">
        <v>51</v>
      </c>
      <c r="E4081" s="337" t="str">
        <f t="shared" si="1"/>
        <v>大鉄　堺:大鉄堺</v>
      </c>
      <c r="F4081" s="338" t="s">
        <v>122</v>
      </c>
      <c r="G4081" s="339" t="str">
        <f t="shared" si="2"/>
        <v>大鉄　堺:大鉄堺Ｌ１(2級)</v>
      </c>
      <c r="H4081" s="340">
        <f t="shared" si="3"/>
        <v>42.5</v>
      </c>
      <c r="I4081" s="341">
        <v>1.5</v>
      </c>
      <c r="J4081" s="332">
        <f>IFERROR(__xludf.DUMMYFUNCTION("IF(IF(COUNTIF(P$2:P4080, P4081)=0, """", INDEX(H$2:H4080,
MAX(FILTER(ROW(H$2:H4080) - ROW(H$2) + 1, P$2:P4080 = P4081))))=""単価"","""",
IF(COUNTIF(P$2:P4080, P4081)=0, """", INDEX(H$2:H4080,
MAX(FILTER(ROW(H$2:H4080) - ROW(H$2) + 1, P$2:P4080 = P4081)))))"),41.0)</f>
        <v>41</v>
      </c>
      <c r="N4081" s="335" t="str">
        <f>IF(MAXIFS('単価履歴'!$O:$O,'単価履歴'!$E:$E,E4081,'単価履歴'!$F:$F,F4081)=O4081,"●","")</f>
        <v/>
      </c>
      <c r="O4081" s="346">
        <v>46078.27603009259</v>
      </c>
      <c r="P4081" s="334" t="str">
        <f t="shared" si="4"/>
        <v>大鉄　堺:大鉄堺Ｌ１(2級)</v>
      </c>
    </row>
    <row r="4082" ht="15.75" customHeight="1">
      <c r="A4082" s="335" t="s">
        <v>5229</v>
      </c>
      <c r="B4082" s="336">
        <v>46078.0</v>
      </c>
      <c r="C4082" s="335" t="s">
        <v>9</v>
      </c>
      <c r="D4082" s="335" t="s">
        <v>51</v>
      </c>
      <c r="E4082" s="337" t="str">
        <f t="shared" si="1"/>
        <v>大鉄　堺:大鉄堺</v>
      </c>
      <c r="F4082" s="338" t="s">
        <v>130</v>
      </c>
      <c r="G4082" s="339" t="str">
        <f t="shared" si="2"/>
        <v>大鉄　堺:大鉄堺新断Ａ</v>
      </c>
      <c r="H4082" s="340">
        <f t="shared" si="3"/>
        <v>30</v>
      </c>
      <c r="I4082" s="341">
        <v>1.5</v>
      </c>
      <c r="J4082" s="332">
        <f>IFERROR(__xludf.DUMMYFUNCTION("IF(IF(COUNTIF(P$2:P4081, P4082)=0, """", INDEX(H$2:H4081,
MAX(FILTER(ROW(H$2:H4081) - ROW(H$2) + 1, P$2:P4081 = P4082))))=""単価"","""",
IF(COUNTIF(P$2:P4081, P4082)=0, """", INDEX(H$2:H4081,
MAX(FILTER(ROW(H$2:H4081) - ROW(H$2) + 1, P$2:P4081 = P4082)))))"),28.5)</f>
        <v>28.5</v>
      </c>
      <c r="N4082" s="335" t="str">
        <f>IF(MAXIFS('単価履歴'!$O:$O,'単価履歴'!$E:$E,E4082,'単価履歴'!$F:$F,F4082)=O4082,"●","")</f>
        <v/>
      </c>
      <c r="O4082" s="346">
        <v>46078.27603009259</v>
      </c>
      <c r="P4082" s="334" t="str">
        <f t="shared" si="4"/>
        <v>大鉄　堺:大鉄堺新断Ａ</v>
      </c>
    </row>
    <row r="4083" ht="15.75" customHeight="1">
      <c r="A4083" s="335" t="s">
        <v>5230</v>
      </c>
      <c r="B4083" s="336">
        <v>46078.0</v>
      </c>
      <c r="C4083" s="335" t="s">
        <v>9</v>
      </c>
      <c r="D4083" s="335" t="s">
        <v>51</v>
      </c>
      <c r="E4083" s="337" t="str">
        <f t="shared" si="1"/>
        <v>大鉄　堺:大鉄堺</v>
      </c>
      <c r="F4083" s="338" t="s">
        <v>131</v>
      </c>
      <c r="G4083" s="339" t="str">
        <f t="shared" si="2"/>
        <v>大鉄　堺:大鉄堺新断Ｂ</v>
      </c>
      <c r="H4083" s="340">
        <f t="shared" si="3"/>
        <v>29.5</v>
      </c>
      <c r="I4083" s="341">
        <v>1.5</v>
      </c>
      <c r="J4083" s="332">
        <f>IFERROR(__xludf.DUMMYFUNCTION("IF(IF(COUNTIF(P$2:P4082, P4083)=0, """", INDEX(H$2:H4082,
MAX(FILTER(ROW(H$2:H4082) - ROW(H$2) + 1, P$2:P4082 = P4083))))=""単価"","""",
IF(COUNTIF(P$2:P4082, P4083)=0, """", INDEX(H$2:H4082,
MAX(FILTER(ROW(H$2:H4082) - ROW(H$2) + 1, P$2:P4082 = P4083)))))"),28.0)</f>
        <v>28</v>
      </c>
      <c r="N4083" s="335" t="str">
        <f>IF(MAXIFS('単価履歴'!$O:$O,'単価履歴'!$E:$E,E4083,'単価履歴'!$F:$F,F4083)=O4083,"●","")</f>
        <v/>
      </c>
      <c r="O4083" s="346">
        <v>46078.27603009259</v>
      </c>
      <c r="P4083" s="334" t="str">
        <f t="shared" si="4"/>
        <v>大鉄　堺:大鉄堺新断Ｂ</v>
      </c>
    </row>
    <row r="4084" ht="15.75" customHeight="1">
      <c r="A4084" s="335" t="s">
        <v>5231</v>
      </c>
      <c r="B4084" s="336">
        <v>46078.0</v>
      </c>
      <c r="C4084" s="335" t="s">
        <v>9</v>
      </c>
      <c r="D4084" s="335" t="s">
        <v>51</v>
      </c>
      <c r="E4084" s="337" t="str">
        <f t="shared" si="1"/>
        <v>大鉄　堺:大鉄堺</v>
      </c>
      <c r="F4084" s="338" t="s">
        <v>575</v>
      </c>
      <c r="G4084" s="339" t="str">
        <f t="shared" si="2"/>
        <v>大鉄　堺:大鉄堺鋼ダライＡ</v>
      </c>
      <c r="H4084" s="340">
        <f t="shared" si="3"/>
        <v>29.5</v>
      </c>
      <c r="I4084" s="341">
        <v>1.5</v>
      </c>
      <c r="J4084" s="332">
        <f>IFERROR(__xludf.DUMMYFUNCTION("IF(IF(COUNTIF(P$2:P4083, P4084)=0, """", INDEX(H$2:H4083,
MAX(FILTER(ROW(H$2:H4083) - ROW(H$2) + 1, P$2:P4083 = P4084))))=""単価"","""",
IF(COUNTIF(P$2:P4083, P4084)=0, """", INDEX(H$2:H4083,
MAX(FILTER(ROW(H$2:H4083) - ROW(H$2) + 1, P$2:P4083 = P4084)))))"),28.0)</f>
        <v>28</v>
      </c>
      <c r="N4084" s="335" t="str">
        <f>IF(MAXIFS('単価履歴'!$O:$O,'単価履歴'!$E:$E,E4084,'単価履歴'!$F:$F,F4084)=O4084,"●","")</f>
        <v/>
      </c>
      <c r="O4084" s="346">
        <v>46078.27603009259</v>
      </c>
      <c r="P4084" s="334" t="str">
        <f t="shared" si="4"/>
        <v>大鉄　堺:大鉄堺鋼ダライＡ</v>
      </c>
    </row>
    <row r="4085" ht="15.75" customHeight="1">
      <c r="A4085" s="335" t="s">
        <v>5232</v>
      </c>
      <c r="B4085" s="336">
        <v>46078.0</v>
      </c>
      <c r="C4085" s="335" t="s">
        <v>9</v>
      </c>
      <c r="D4085" s="335" t="s">
        <v>51</v>
      </c>
      <c r="E4085" s="337" t="str">
        <f t="shared" si="1"/>
        <v>大鉄　堺:大鉄堺</v>
      </c>
      <c r="F4085" s="338" t="s">
        <v>576</v>
      </c>
      <c r="G4085" s="339" t="str">
        <f t="shared" si="2"/>
        <v>大鉄　堺:大鉄堺鋼ダライＢ</v>
      </c>
      <c r="H4085" s="340">
        <f t="shared" si="3"/>
        <v>29.5</v>
      </c>
      <c r="I4085" s="341">
        <v>1.5</v>
      </c>
      <c r="J4085" s="332">
        <f>IFERROR(__xludf.DUMMYFUNCTION("IF(IF(COUNTIF(P$2:P4084, P4085)=0, """", INDEX(H$2:H4084,
MAX(FILTER(ROW(H$2:H4084) - ROW(H$2) + 1, P$2:P4084 = P4085))))=""単価"","""",
IF(COUNTIF(P$2:P4084, P4085)=0, """", INDEX(H$2:H4084,
MAX(FILTER(ROW(H$2:H4084) - ROW(H$2) + 1, P$2:P4084 = P4085)))))"),28.0)</f>
        <v>28</v>
      </c>
      <c r="N4085" s="335" t="str">
        <f>IF(MAXIFS('単価履歴'!$O:$O,'単価履歴'!$E:$E,E4085,'単価履歴'!$F:$F,F4085)=O4085,"●","")</f>
        <v/>
      </c>
      <c r="O4085" s="346">
        <v>46078.27603009259</v>
      </c>
      <c r="P4085" s="334" t="str">
        <f t="shared" si="4"/>
        <v>大鉄　堺:大鉄堺鋼ダライＢ</v>
      </c>
    </row>
    <row r="4086" ht="15.75" customHeight="1">
      <c r="A4086" s="335" t="s">
        <v>5233</v>
      </c>
      <c r="B4086" s="336">
        <v>46078.0</v>
      </c>
      <c r="C4086" s="335" t="s">
        <v>9</v>
      </c>
      <c r="D4086" s="335" t="s">
        <v>51</v>
      </c>
      <c r="E4086" s="337" t="str">
        <f t="shared" si="1"/>
        <v>大鉄　堺:大鉄堺</v>
      </c>
      <c r="F4086" s="338" t="s">
        <v>145</v>
      </c>
      <c r="G4086" s="339" t="str">
        <f t="shared" si="2"/>
        <v>大鉄　堺:大鉄堺シュレＡ</v>
      </c>
      <c r="H4086" s="340">
        <f t="shared" si="3"/>
        <v>32.5</v>
      </c>
      <c r="I4086" s="341">
        <v>1.5</v>
      </c>
      <c r="J4086" s="332">
        <f>IFERROR(__xludf.DUMMYFUNCTION("IF(IF(COUNTIF(P$2:P4085, P4086)=0, """", INDEX(H$2:H4085,
MAX(FILTER(ROW(H$2:H4085) - ROW(H$2) + 1, P$2:P4085 = P4086))))=""単価"","""",
IF(COUNTIF(P$2:P4085, P4086)=0, """", INDEX(H$2:H4085,
MAX(FILTER(ROW(H$2:H4085) - ROW(H$2) + 1, P$2:P4085 = P4086)))))"),31.0)</f>
        <v>31</v>
      </c>
      <c r="N4086" s="335" t="str">
        <f>IF(MAXIFS('単価履歴'!$O:$O,'単価履歴'!$E:$E,E4086,'単価履歴'!$F:$F,F4086)=O4086,"●","")</f>
        <v/>
      </c>
      <c r="O4086" s="346">
        <v>46078.27603009259</v>
      </c>
      <c r="P4086" s="334" t="str">
        <f t="shared" si="4"/>
        <v>大鉄　堺:大鉄堺シュレＡ</v>
      </c>
    </row>
    <row r="4087" ht="15.75" customHeight="1">
      <c r="A4087" s="335" t="s">
        <v>5234</v>
      </c>
      <c r="B4087" s="336">
        <v>46078.0</v>
      </c>
      <c r="C4087" s="335" t="s">
        <v>9</v>
      </c>
      <c r="D4087" s="335" t="s">
        <v>51</v>
      </c>
      <c r="E4087" s="337" t="str">
        <f t="shared" si="1"/>
        <v>大鉄　堺:大鉄堺</v>
      </c>
      <c r="F4087" s="338" t="s">
        <v>149</v>
      </c>
      <c r="G4087" s="339" t="str">
        <f t="shared" si="2"/>
        <v>大鉄　堺:大鉄堺シュレＢ</v>
      </c>
      <c r="H4087" s="340">
        <f t="shared" si="3"/>
        <v>31.8</v>
      </c>
      <c r="I4087" s="341">
        <v>1.5</v>
      </c>
      <c r="J4087" s="332">
        <f>IFERROR(__xludf.DUMMYFUNCTION("IF(IF(COUNTIF(P$2:P4086, P4087)=0, """", INDEX(H$2:H4086,
MAX(FILTER(ROW(H$2:H4086) - ROW(H$2) + 1, P$2:P4086 = P4087))))=""単価"","""",
IF(COUNTIF(P$2:P4086, P4087)=0, """", INDEX(H$2:H4086,
MAX(FILTER(ROW(H$2:H4086) - ROW(H$2) + 1, P$2:P4086 = P4087)))))"),30.3)</f>
        <v>30.3</v>
      </c>
      <c r="N4087" s="335" t="str">
        <f>IF(MAXIFS('単価履歴'!$O:$O,'単価履歴'!$E:$E,E4087,'単価履歴'!$F:$F,F4087)=O4087,"●","")</f>
        <v/>
      </c>
      <c r="O4087" s="346">
        <v>46078.27603009259</v>
      </c>
      <c r="P4087" s="334" t="str">
        <f t="shared" si="4"/>
        <v>大鉄　堺:大鉄堺シュレＢ</v>
      </c>
    </row>
    <row r="4088" ht="15.75" customHeight="1">
      <c r="A4088" s="335" t="s">
        <v>5235</v>
      </c>
      <c r="B4088" s="336">
        <v>46078.0</v>
      </c>
      <c r="C4088" s="335" t="s">
        <v>9</v>
      </c>
      <c r="D4088" s="335" t="s">
        <v>51</v>
      </c>
      <c r="E4088" s="337" t="str">
        <f t="shared" si="1"/>
        <v>大鉄　堺:大鉄堺</v>
      </c>
      <c r="F4088" s="338" t="s">
        <v>151</v>
      </c>
      <c r="G4088" s="339" t="str">
        <f t="shared" si="2"/>
        <v>大鉄　堺:大鉄堺シュレＣ</v>
      </c>
      <c r="H4088" s="340">
        <f t="shared" si="3"/>
        <v>30.4</v>
      </c>
      <c r="I4088" s="341">
        <v>1.5</v>
      </c>
      <c r="J4088" s="332">
        <f>IFERROR(__xludf.DUMMYFUNCTION("IF(IF(COUNTIF(P$2:P4087, P4088)=0, """", INDEX(H$2:H4087,
MAX(FILTER(ROW(H$2:H4087) - ROW(H$2) + 1, P$2:P4087 = P4088))))=""単価"","""",
IF(COUNTIF(P$2:P4087, P4088)=0, """", INDEX(H$2:H4087,
MAX(FILTER(ROW(H$2:H4087) - ROW(H$2) + 1, P$2:P4087 = P4088)))))"),28.9)</f>
        <v>28.9</v>
      </c>
      <c r="N4088" s="335" t="str">
        <f>IF(MAXIFS('単価履歴'!$O:$O,'単価履歴'!$E:$E,E4088,'単価履歴'!$F:$F,F4088)=O4088,"●","")</f>
        <v/>
      </c>
      <c r="O4088" s="346">
        <v>46078.27603009259</v>
      </c>
      <c r="P4088" s="334" t="str">
        <f t="shared" si="4"/>
        <v>大鉄　堺:大鉄堺シュレＣ</v>
      </c>
    </row>
    <row r="4089" ht="15.75" customHeight="1">
      <c r="A4089" s="335" t="s">
        <v>5236</v>
      </c>
      <c r="B4089" s="336">
        <v>46078.0</v>
      </c>
      <c r="C4089" s="335" t="s">
        <v>9</v>
      </c>
      <c r="D4089" s="335" t="s">
        <v>51</v>
      </c>
      <c r="E4089" s="337" t="str">
        <f t="shared" si="1"/>
        <v>大鉄　堺:大鉄堺</v>
      </c>
      <c r="F4089" s="338" t="s">
        <v>154</v>
      </c>
      <c r="G4089" s="339" t="str">
        <f t="shared" si="2"/>
        <v>大鉄　堺:大鉄堺ＣＰ Ａ</v>
      </c>
      <c r="H4089" s="340">
        <f t="shared" si="3"/>
        <v>38</v>
      </c>
      <c r="I4089" s="341">
        <v>1.5</v>
      </c>
      <c r="J4089" s="332">
        <f>IFERROR(__xludf.DUMMYFUNCTION("IF(IF(COUNTIF(P$2:P4088, P4089)=0, """", INDEX(H$2:H4088,
MAX(FILTER(ROW(H$2:H4088) - ROW(H$2) + 1, P$2:P4088 = P4089))))=""単価"","""",
IF(COUNTIF(P$2:P4088, P4089)=0, """", INDEX(H$2:H4088,
MAX(FILTER(ROW(H$2:H4088) - ROW(H$2) + 1, P$2:P4088 = P4089)))))"),36.5)</f>
        <v>36.5</v>
      </c>
      <c r="N4089" s="335" t="str">
        <f>IF(MAXIFS('単価履歴'!$O:$O,'単価履歴'!$E:$E,E4089,'単価履歴'!$F:$F,F4089)=O4089,"●","")</f>
        <v/>
      </c>
      <c r="O4089" s="346">
        <v>46078.27603009259</v>
      </c>
      <c r="P4089" s="334" t="str">
        <f t="shared" si="4"/>
        <v>大鉄　堺:大鉄堺ＣＰ Ａ</v>
      </c>
    </row>
    <row r="4090" ht="15.75" customHeight="1">
      <c r="A4090" s="335" t="s">
        <v>5237</v>
      </c>
      <c r="B4090" s="336">
        <v>46078.0</v>
      </c>
      <c r="C4090" s="335" t="s">
        <v>9</v>
      </c>
      <c r="D4090" s="335" t="s">
        <v>51</v>
      </c>
      <c r="E4090" s="337" t="str">
        <f t="shared" si="1"/>
        <v>大鉄　堺:大鉄堺</v>
      </c>
      <c r="F4090" s="338" t="s">
        <v>156</v>
      </c>
      <c r="G4090" s="339" t="str">
        <f t="shared" si="2"/>
        <v>大鉄　堺:大鉄堺ＣＰ Ｂ一斗缶</v>
      </c>
      <c r="H4090" s="340">
        <f t="shared" si="3"/>
        <v>31.5</v>
      </c>
      <c r="I4090" s="341">
        <v>1.5</v>
      </c>
      <c r="J4090" s="332">
        <f>IFERROR(__xludf.DUMMYFUNCTION("IF(IF(COUNTIF(P$2:P4089, P4090)=0, """", INDEX(H$2:H4089,
MAX(FILTER(ROW(H$2:H4089) - ROW(H$2) + 1, P$2:P4089 = P4090))))=""単価"","""",
IF(COUNTIF(P$2:P4089, P4090)=0, """", INDEX(H$2:H4089,
MAX(FILTER(ROW(H$2:H4089) - ROW(H$2) + 1, P$2:P4089 = P4090)))))"),30.0)</f>
        <v>30</v>
      </c>
      <c r="N4090" s="335" t="str">
        <f>IF(MAXIFS('単価履歴'!$O:$O,'単価履歴'!$E:$E,E4090,'単価履歴'!$F:$F,F4090)=O4090,"●","")</f>
        <v/>
      </c>
      <c r="O4090" s="346">
        <v>46078.27603009259</v>
      </c>
      <c r="P4090" s="334" t="str">
        <f t="shared" si="4"/>
        <v>大鉄　堺:大鉄堺ＣＰ Ｂ一斗缶</v>
      </c>
    </row>
    <row r="4091" ht="15.75" customHeight="1">
      <c r="A4091" s="335" t="s">
        <v>5238</v>
      </c>
      <c r="B4091" s="336">
        <v>46078.0</v>
      </c>
      <c r="C4091" s="335" t="s">
        <v>9</v>
      </c>
      <c r="D4091" s="335" t="s">
        <v>47</v>
      </c>
      <c r="E4091" s="337" t="str">
        <f t="shared" si="1"/>
        <v>大鉄　堺:豊通</v>
      </c>
      <c r="F4091" s="338" t="s">
        <v>111</v>
      </c>
      <c r="G4091" s="339" t="str">
        <f t="shared" si="2"/>
        <v>大鉄　堺:豊通Ｈ１(特A)</v>
      </c>
      <c r="H4091" s="340">
        <f t="shared" si="3"/>
        <v>31.4</v>
      </c>
      <c r="I4091" s="341">
        <v>1.5</v>
      </c>
      <c r="J4091" s="332">
        <f>IFERROR(__xludf.DUMMYFUNCTION("IF(IF(COUNTIF(P$2:P4090, P4091)=0, """", INDEX(H$2:H4090,
MAX(FILTER(ROW(H$2:H4090) - ROW(H$2) + 1, P$2:P4090 = P4091))))=""単価"","""",
IF(COUNTIF(P$2:P4090, P4091)=0, """", INDEX(H$2:H4090,
MAX(FILTER(ROW(H$2:H4090) - ROW(H$2) + 1, P$2:P4090 = P4091)))))"),29.9)</f>
        <v>29.9</v>
      </c>
      <c r="N4091" s="335" t="str">
        <f>IF(MAXIFS('単価履歴'!$O:$O,'単価履歴'!$E:$E,E4091,'単価履歴'!$F:$F,F4091)=O4091,"●","")</f>
        <v/>
      </c>
      <c r="O4091" s="346">
        <v>46078.27637731482</v>
      </c>
      <c r="P4091" s="334" t="str">
        <f t="shared" si="4"/>
        <v>大鉄　堺:豊通Ｈ１(特A)</v>
      </c>
    </row>
    <row r="4092" ht="15.75" customHeight="1">
      <c r="A4092" s="335" t="s">
        <v>5239</v>
      </c>
      <c r="B4092" s="336">
        <v>46078.0</v>
      </c>
      <c r="C4092" s="335" t="s">
        <v>9</v>
      </c>
      <c r="D4092" s="335" t="s">
        <v>47</v>
      </c>
      <c r="E4092" s="337" t="str">
        <f t="shared" si="1"/>
        <v>大鉄　堺:豊通</v>
      </c>
      <c r="F4092" s="338" t="s">
        <v>1237</v>
      </c>
      <c r="G4092" s="339" t="str">
        <f t="shared" si="2"/>
        <v>大鉄　堺:豊通ＪＨ１(H2T山口)鍛造ﾊﾞﾘ</v>
      </c>
      <c r="H4092" s="340">
        <f t="shared" si="3"/>
        <v>30.4</v>
      </c>
      <c r="I4092" s="341">
        <v>1.5</v>
      </c>
      <c r="J4092" s="332">
        <f>IFERROR(__xludf.DUMMYFUNCTION("IF(IF(COUNTIF(P$2:P4091, P4092)=0, """", INDEX(H$2:H4091,
MAX(FILTER(ROW(H$2:H4091) - ROW(H$2) + 1, P$2:P4091 = P4092))))=""単価"","""",
IF(COUNTIF(P$2:P4091, P4092)=0, """", INDEX(H$2:H4091,
MAX(FILTER(ROW(H$2:H4091) - ROW(H$2) + 1, P$2:P4091 = P4092)))))"),28.9)</f>
        <v>28.9</v>
      </c>
      <c r="N4092" s="335" t="str">
        <f>IF(MAXIFS('単価履歴'!$O:$O,'単価履歴'!$E:$E,E4092,'単価履歴'!$F:$F,F4092)=O4092,"●","")</f>
        <v/>
      </c>
      <c r="O4092" s="346">
        <v>46078.27637731482</v>
      </c>
      <c r="P4092" s="334" t="str">
        <f t="shared" si="4"/>
        <v>大鉄　堺:豊通ＪＨ１(H2T山口)鍛造ﾊﾞﾘ</v>
      </c>
    </row>
    <row r="4093" ht="15.75" customHeight="1">
      <c r="A4093" s="335" t="s">
        <v>5240</v>
      </c>
      <c r="B4093" s="336">
        <v>46078.0</v>
      </c>
      <c r="C4093" s="335" t="s">
        <v>9</v>
      </c>
      <c r="D4093" s="335" t="s">
        <v>47</v>
      </c>
      <c r="E4093" s="337" t="str">
        <f t="shared" si="1"/>
        <v>大鉄　堺:豊通</v>
      </c>
      <c r="F4093" s="338" t="s">
        <v>116</v>
      </c>
      <c r="G4093" s="339" t="str">
        <f t="shared" si="2"/>
        <v>大鉄　堺:豊通Ｈ２(特級)</v>
      </c>
      <c r="H4093" s="340">
        <f t="shared" si="3"/>
        <v>27.2</v>
      </c>
      <c r="I4093" s="341">
        <v>1.5</v>
      </c>
      <c r="J4093" s="332">
        <f>IFERROR(__xludf.DUMMYFUNCTION("IF(IF(COUNTIF(P$2:P4092, P4093)=0, """", INDEX(H$2:H4092,
MAX(FILTER(ROW(H$2:H4092) - ROW(H$2) + 1, P$2:P4092 = P4093))))=""単価"","""",
IF(COUNTIF(P$2:P4092, P4093)=0, """", INDEX(H$2:H4092,
MAX(FILTER(ROW(H$2:H4092) - ROW(H$2) + 1, P$2:P4092 = P4093)))))"),25.7)</f>
        <v>25.7</v>
      </c>
      <c r="N4093" s="335" t="str">
        <f>IF(MAXIFS('単価履歴'!$O:$O,'単価履歴'!$E:$E,E4093,'単価履歴'!$F:$F,F4093)=O4093,"●","")</f>
        <v/>
      </c>
      <c r="O4093" s="346">
        <v>46078.27637731482</v>
      </c>
      <c r="P4093" s="334" t="str">
        <f t="shared" si="4"/>
        <v>大鉄　堺:豊通Ｈ２(特級)</v>
      </c>
    </row>
    <row r="4094" ht="15.75" customHeight="1">
      <c r="A4094" s="335" t="s">
        <v>5241</v>
      </c>
      <c r="B4094" s="336">
        <v>46078.0</v>
      </c>
      <c r="C4094" s="335" t="s">
        <v>9</v>
      </c>
      <c r="D4094" s="335" t="s">
        <v>47</v>
      </c>
      <c r="E4094" s="337" t="str">
        <f t="shared" si="1"/>
        <v>大鉄　堺:豊通</v>
      </c>
      <c r="F4094" s="338" t="s">
        <v>119</v>
      </c>
      <c r="G4094" s="339" t="str">
        <f t="shared" si="2"/>
        <v>大鉄　堺:豊通Ｈ３(1級)</v>
      </c>
      <c r="H4094" s="340">
        <f t="shared" si="3"/>
        <v>26.2</v>
      </c>
      <c r="I4094" s="341">
        <v>1.5</v>
      </c>
      <c r="J4094" s="332">
        <f>IFERROR(__xludf.DUMMYFUNCTION("IF(IF(COUNTIF(P$2:P4093, P4094)=0, """", INDEX(H$2:H4093,
MAX(FILTER(ROW(H$2:H4093) - ROW(H$2) + 1, P$2:P4093 = P4094))))=""単価"","""",
IF(COUNTIF(P$2:P4093, P4094)=0, """", INDEX(H$2:H4093,
MAX(FILTER(ROW(H$2:H4093) - ROW(H$2) + 1, P$2:P4093 = P4094)))))"),24.7)</f>
        <v>24.7</v>
      </c>
      <c r="N4094" s="335" t="str">
        <f>IF(MAXIFS('単価履歴'!$O:$O,'単価履歴'!$E:$E,E4094,'単価履歴'!$F:$F,F4094)=O4094,"●","")</f>
        <v/>
      </c>
      <c r="O4094" s="346">
        <v>46078.27637731482</v>
      </c>
      <c r="P4094" s="334" t="str">
        <f t="shared" si="4"/>
        <v>大鉄　堺:豊通Ｈ３(1級)</v>
      </c>
    </row>
    <row r="4095" ht="15.75" customHeight="1">
      <c r="A4095" s="335" t="s">
        <v>5242</v>
      </c>
      <c r="B4095" s="336">
        <v>46078.0</v>
      </c>
      <c r="C4095" s="335" t="s">
        <v>9</v>
      </c>
      <c r="D4095" s="335" t="s">
        <v>47</v>
      </c>
      <c r="E4095" s="337" t="str">
        <f t="shared" si="1"/>
        <v>大鉄　堺:豊通</v>
      </c>
      <c r="F4095" s="338" t="s">
        <v>122</v>
      </c>
      <c r="G4095" s="339" t="str">
        <f t="shared" si="2"/>
        <v>大鉄　堺:豊通Ｌ１(2級)</v>
      </c>
      <c r="H4095" s="340">
        <f t="shared" si="3"/>
        <v>24.7</v>
      </c>
      <c r="I4095" s="341">
        <v>1.5</v>
      </c>
      <c r="J4095" s="332">
        <f>IFERROR(__xludf.DUMMYFUNCTION("IF(IF(COUNTIF(P$2:P4094, P4095)=0, """", INDEX(H$2:H4094,
MAX(FILTER(ROW(H$2:H4094) - ROW(H$2) + 1, P$2:P4094 = P4095))))=""単価"","""",
IF(COUNTIF(P$2:P4094, P4095)=0, """", INDEX(H$2:H4094,
MAX(FILTER(ROW(H$2:H4094) - ROW(H$2) + 1, P$2:P4094 = P4095)))))"),23.2)</f>
        <v>23.2</v>
      </c>
      <c r="N4095" s="335" t="str">
        <f>IF(MAXIFS('単価履歴'!$O:$O,'単価履歴'!$E:$E,E4095,'単価履歴'!$F:$F,F4095)=O4095,"●","")</f>
        <v/>
      </c>
      <c r="O4095" s="346">
        <v>46078.27637731482</v>
      </c>
      <c r="P4095" s="334" t="str">
        <f t="shared" si="4"/>
        <v>大鉄　堺:豊通Ｌ１(2級)</v>
      </c>
    </row>
    <row r="4096" ht="15.75" customHeight="1">
      <c r="A4096" s="335" t="s">
        <v>5243</v>
      </c>
      <c r="B4096" s="336">
        <v>46078.0</v>
      </c>
      <c r="C4096" s="335" t="s">
        <v>9</v>
      </c>
      <c r="D4096" s="335" t="s">
        <v>47</v>
      </c>
      <c r="E4096" s="337" t="str">
        <f t="shared" si="1"/>
        <v>大鉄　堺:豊通</v>
      </c>
      <c r="F4096" s="338" t="s">
        <v>130</v>
      </c>
      <c r="G4096" s="339" t="str">
        <f t="shared" si="2"/>
        <v>大鉄　堺:豊通新断Ａ</v>
      </c>
      <c r="H4096" s="340">
        <f t="shared" si="3"/>
        <v>28.2</v>
      </c>
      <c r="I4096" s="341">
        <v>1.5</v>
      </c>
      <c r="J4096" s="332">
        <f>IFERROR(__xludf.DUMMYFUNCTION("IF(IF(COUNTIF(P$2:P4095, P4096)=0, """", INDEX(H$2:H4095,
MAX(FILTER(ROW(H$2:H4095) - ROW(H$2) + 1, P$2:P4095 = P4096))))=""単価"","""",
IF(COUNTIF(P$2:P4095, P4096)=0, """", INDEX(H$2:H4095,
MAX(FILTER(ROW(H$2:H4095) - ROW(H$2) + 1, P$2:P4095 = P4096)))))"),26.7)</f>
        <v>26.7</v>
      </c>
      <c r="N4096" s="335" t="str">
        <f>IF(MAXIFS('単価履歴'!$O:$O,'単価履歴'!$E:$E,E4096,'単価履歴'!$F:$F,F4096)=O4096,"●","")</f>
        <v/>
      </c>
      <c r="O4096" s="346">
        <v>46078.27637731482</v>
      </c>
      <c r="P4096" s="334" t="str">
        <f t="shared" si="4"/>
        <v>大鉄　堺:豊通新断Ａ</v>
      </c>
    </row>
    <row r="4097" ht="15.75" customHeight="1">
      <c r="A4097" s="335" t="s">
        <v>5244</v>
      </c>
      <c r="B4097" s="336">
        <v>46078.0</v>
      </c>
      <c r="C4097" s="335" t="s">
        <v>9</v>
      </c>
      <c r="D4097" s="335" t="s">
        <v>47</v>
      </c>
      <c r="E4097" s="337" t="str">
        <f t="shared" si="1"/>
        <v>大鉄　堺:豊通</v>
      </c>
      <c r="F4097" s="338" t="s">
        <v>131</v>
      </c>
      <c r="G4097" s="339" t="str">
        <f t="shared" si="2"/>
        <v>大鉄　堺:豊通新断Ｂ</v>
      </c>
      <c r="H4097" s="340">
        <f t="shared" si="3"/>
        <v>27.7</v>
      </c>
      <c r="I4097" s="341">
        <v>1.5</v>
      </c>
      <c r="J4097" s="332">
        <f>IFERROR(__xludf.DUMMYFUNCTION("IF(IF(COUNTIF(P$2:P4096, P4097)=0, """", INDEX(H$2:H4096,
MAX(FILTER(ROW(H$2:H4096) - ROW(H$2) + 1, P$2:P4096 = P4097))))=""単価"","""",
IF(COUNTIF(P$2:P4096, P4097)=0, """", INDEX(H$2:H4096,
MAX(FILTER(ROW(H$2:H4096) - ROW(H$2) + 1, P$2:P4096 = P4097)))))"),26.2)</f>
        <v>26.2</v>
      </c>
      <c r="N4097" s="335" t="str">
        <f>IF(MAXIFS('単価履歴'!$O:$O,'単価履歴'!$E:$E,E4097,'単価履歴'!$F:$F,F4097)=O4097,"●","")</f>
        <v/>
      </c>
      <c r="O4097" s="346">
        <v>46078.27637731482</v>
      </c>
      <c r="P4097" s="334" t="str">
        <f t="shared" si="4"/>
        <v>大鉄　堺:豊通新断Ｂ</v>
      </c>
    </row>
    <row r="4098" ht="15.75" customHeight="1">
      <c r="A4098" s="335" t="s">
        <v>5245</v>
      </c>
      <c r="B4098" s="336">
        <v>46078.0</v>
      </c>
      <c r="C4098" s="335" t="s">
        <v>9</v>
      </c>
      <c r="D4098" s="335" t="s">
        <v>47</v>
      </c>
      <c r="E4098" s="337" t="str">
        <f t="shared" si="1"/>
        <v>大鉄　堺:豊通</v>
      </c>
      <c r="F4098" s="338" t="s">
        <v>575</v>
      </c>
      <c r="G4098" s="339" t="str">
        <f t="shared" si="2"/>
        <v>大鉄　堺:豊通鋼ダライＡ</v>
      </c>
      <c r="H4098" s="340">
        <f t="shared" si="3"/>
        <v>29.2</v>
      </c>
      <c r="I4098" s="341">
        <v>1.5</v>
      </c>
      <c r="J4098" s="332">
        <f>IFERROR(__xludf.DUMMYFUNCTION("IF(IF(COUNTIF(P$2:P4097, P4098)=0, """", INDEX(H$2:H4097,
MAX(FILTER(ROW(H$2:H4097) - ROW(H$2) + 1, P$2:P4097 = P4098))))=""単価"","""",
IF(COUNTIF(P$2:P4097, P4098)=0, """", INDEX(H$2:H4097,
MAX(FILTER(ROW(H$2:H4097) - ROW(H$2) + 1, P$2:P4097 = P4098)))))"),27.7)</f>
        <v>27.7</v>
      </c>
      <c r="N4098" s="335" t="str">
        <f>IF(MAXIFS('単価履歴'!$O:$O,'単価履歴'!$E:$E,E4098,'単価履歴'!$F:$F,F4098)=O4098,"●","")</f>
        <v/>
      </c>
      <c r="O4098" s="346">
        <v>46078.27637731482</v>
      </c>
      <c r="P4098" s="334" t="str">
        <f t="shared" si="4"/>
        <v>大鉄　堺:豊通鋼ダライＡ</v>
      </c>
    </row>
    <row r="4099" ht="15.75" customHeight="1">
      <c r="A4099" s="335" t="s">
        <v>5246</v>
      </c>
      <c r="B4099" s="336">
        <v>46078.0</v>
      </c>
      <c r="C4099" s="335" t="s">
        <v>9</v>
      </c>
      <c r="D4099" s="335" t="s">
        <v>47</v>
      </c>
      <c r="E4099" s="337" t="str">
        <f t="shared" si="1"/>
        <v>大鉄　堺:豊通</v>
      </c>
      <c r="F4099" s="338" t="s">
        <v>576</v>
      </c>
      <c r="G4099" s="339" t="str">
        <f t="shared" si="2"/>
        <v>大鉄　堺:豊通鋼ダライＢ</v>
      </c>
      <c r="H4099" s="340">
        <f t="shared" si="3"/>
        <v>29.2</v>
      </c>
      <c r="I4099" s="341">
        <v>1.5</v>
      </c>
      <c r="J4099" s="332">
        <f>IFERROR(__xludf.DUMMYFUNCTION("IF(IF(COUNTIF(P$2:P4098, P4099)=0, """", INDEX(H$2:H4098,
MAX(FILTER(ROW(H$2:H4098) - ROW(H$2) + 1, P$2:P4098 = P4099))))=""単価"","""",
IF(COUNTIF(P$2:P4098, P4099)=0, """", INDEX(H$2:H4098,
MAX(FILTER(ROW(H$2:H4098) - ROW(H$2) + 1, P$2:P4098 = P4099)))))"),27.7)</f>
        <v>27.7</v>
      </c>
      <c r="N4099" s="335" t="str">
        <f>IF(MAXIFS('単価履歴'!$O:$O,'単価履歴'!$E:$E,E4099,'単価履歴'!$F:$F,F4099)=O4099,"●","")</f>
        <v/>
      </c>
      <c r="O4099" s="346">
        <v>46078.27637731482</v>
      </c>
      <c r="P4099" s="334" t="str">
        <f t="shared" si="4"/>
        <v>大鉄　堺:豊通鋼ダライＢ</v>
      </c>
    </row>
    <row r="4100" ht="15.75" customHeight="1">
      <c r="A4100" s="335" t="s">
        <v>5247</v>
      </c>
      <c r="B4100" s="336">
        <v>46078.0</v>
      </c>
      <c r="C4100" s="335" t="s">
        <v>9</v>
      </c>
      <c r="D4100" s="335" t="s">
        <v>47</v>
      </c>
      <c r="E4100" s="337" t="str">
        <f t="shared" si="1"/>
        <v>大鉄　堺:豊通</v>
      </c>
      <c r="F4100" s="338" t="s">
        <v>145</v>
      </c>
      <c r="G4100" s="339" t="str">
        <f t="shared" si="2"/>
        <v>大鉄　堺:豊通シュレＡ</v>
      </c>
      <c r="H4100" s="340">
        <f t="shared" si="3"/>
        <v>31.7</v>
      </c>
      <c r="I4100" s="341">
        <v>1.5</v>
      </c>
      <c r="J4100" s="332">
        <f>IFERROR(__xludf.DUMMYFUNCTION("IF(IF(COUNTIF(P$2:P4099, P4100)=0, """", INDEX(H$2:H4099,
MAX(FILTER(ROW(H$2:H4099) - ROW(H$2) + 1, P$2:P4099 = P4100))))=""単価"","""",
IF(COUNTIF(P$2:P4099, P4100)=0, """", INDEX(H$2:H4099,
MAX(FILTER(ROW(H$2:H4099) - ROW(H$2) + 1, P$2:P4099 = P4100)))))"),30.2)</f>
        <v>30.2</v>
      </c>
      <c r="N4100" s="335" t="str">
        <f>IF(MAXIFS('単価履歴'!$O:$O,'単価履歴'!$E:$E,E4100,'単価履歴'!$F:$F,F4100)=O4100,"●","")</f>
        <v/>
      </c>
      <c r="O4100" s="346">
        <v>46078.27637731482</v>
      </c>
      <c r="P4100" s="334" t="str">
        <f t="shared" si="4"/>
        <v>大鉄　堺:豊通シュレＡ</v>
      </c>
    </row>
    <row r="4101" ht="15.75" customHeight="1">
      <c r="A4101" s="335" t="s">
        <v>5248</v>
      </c>
      <c r="B4101" s="336">
        <v>46078.0</v>
      </c>
      <c r="C4101" s="335" t="s">
        <v>9</v>
      </c>
      <c r="D4101" s="335" t="s">
        <v>47</v>
      </c>
      <c r="E4101" s="337" t="str">
        <f t="shared" si="1"/>
        <v>大鉄　堺:豊通</v>
      </c>
      <c r="F4101" s="338" t="s">
        <v>149</v>
      </c>
      <c r="G4101" s="339" t="str">
        <f t="shared" si="2"/>
        <v>大鉄　堺:豊通シュレＢ</v>
      </c>
      <c r="H4101" s="340">
        <f t="shared" si="3"/>
        <v>31</v>
      </c>
      <c r="I4101" s="341">
        <v>1.5</v>
      </c>
      <c r="J4101" s="332">
        <f>IFERROR(__xludf.DUMMYFUNCTION("IF(IF(COUNTIF(P$2:P4100, P4101)=0, """", INDEX(H$2:H4100,
MAX(FILTER(ROW(H$2:H4100) - ROW(H$2) + 1, P$2:P4100 = P4101))))=""単価"","""",
IF(COUNTIF(P$2:P4100, P4101)=0, """", INDEX(H$2:H4100,
MAX(FILTER(ROW(H$2:H4100) - ROW(H$2) + 1, P$2:P4100 = P4101)))))"),29.5)</f>
        <v>29.5</v>
      </c>
      <c r="N4101" s="335" t="str">
        <f>IF(MAXIFS('単価履歴'!$O:$O,'単価履歴'!$E:$E,E4101,'単価履歴'!$F:$F,F4101)=O4101,"●","")</f>
        <v/>
      </c>
      <c r="O4101" s="346">
        <v>46078.27637731482</v>
      </c>
      <c r="P4101" s="334" t="str">
        <f t="shared" si="4"/>
        <v>大鉄　堺:豊通シュレＢ</v>
      </c>
    </row>
    <row r="4102" ht="15.75" customHeight="1">
      <c r="A4102" s="335" t="s">
        <v>5249</v>
      </c>
      <c r="B4102" s="336">
        <v>46078.0</v>
      </c>
      <c r="C4102" s="335" t="s">
        <v>9</v>
      </c>
      <c r="D4102" s="335" t="s">
        <v>47</v>
      </c>
      <c r="E4102" s="337" t="str">
        <f t="shared" si="1"/>
        <v>大鉄　堺:豊通</v>
      </c>
      <c r="F4102" s="338" t="s">
        <v>151</v>
      </c>
      <c r="G4102" s="339" t="str">
        <f t="shared" si="2"/>
        <v>大鉄　堺:豊通シュレＣ</v>
      </c>
      <c r="H4102" s="340">
        <f t="shared" si="3"/>
        <v>29.6</v>
      </c>
      <c r="I4102" s="341">
        <v>1.5</v>
      </c>
      <c r="J4102" s="332">
        <f>IFERROR(__xludf.DUMMYFUNCTION("IF(IF(COUNTIF(P$2:P4101, P4102)=0, """", INDEX(H$2:H4101,
MAX(FILTER(ROW(H$2:H4101) - ROW(H$2) + 1, P$2:P4101 = P4102))))=""単価"","""",
IF(COUNTIF(P$2:P4101, P4102)=0, """", INDEX(H$2:H4101,
MAX(FILTER(ROW(H$2:H4101) - ROW(H$2) + 1, P$2:P4101 = P4102)))))"),28.1)</f>
        <v>28.1</v>
      </c>
      <c r="N4102" s="335" t="str">
        <f>IF(MAXIFS('単価履歴'!$O:$O,'単価履歴'!$E:$E,E4102,'単価履歴'!$F:$F,F4102)=O4102,"●","")</f>
        <v/>
      </c>
      <c r="O4102" s="346">
        <v>46078.27637731482</v>
      </c>
      <c r="P4102" s="334" t="str">
        <f t="shared" si="4"/>
        <v>大鉄　堺:豊通シュレＣ</v>
      </c>
    </row>
    <row r="4103" ht="15.75" customHeight="1">
      <c r="A4103" s="335" t="s">
        <v>5250</v>
      </c>
      <c r="B4103" s="336">
        <v>46078.0</v>
      </c>
      <c r="C4103" s="335" t="s">
        <v>9</v>
      </c>
      <c r="D4103" s="335" t="s">
        <v>47</v>
      </c>
      <c r="E4103" s="337" t="str">
        <f t="shared" si="1"/>
        <v>大鉄　堺:豊通</v>
      </c>
      <c r="F4103" s="338" t="s">
        <v>154</v>
      </c>
      <c r="G4103" s="339" t="str">
        <f t="shared" si="2"/>
        <v>大鉄　堺:豊通ＣＰ Ａ</v>
      </c>
      <c r="H4103" s="340">
        <f t="shared" si="3"/>
        <v>42.2</v>
      </c>
      <c r="I4103" s="341">
        <v>1.5</v>
      </c>
      <c r="J4103" s="332">
        <f>IFERROR(__xludf.DUMMYFUNCTION("IF(IF(COUNTIF(P$2:P4102, P4103)=0, """", INDEX(H$2:H4102,
MAX(FILTER(ROW(H$2:H4102) - ROW(H$2) + 1, P$2:P4102 = P4103))))=""単価"","""",
IF(COUNTIF(P$2:P4102, P4103)=0, """", INDEX(H$2:H4102,
MAX(FILTER(ROW(H$2:H4102) - ROW(H$2) + 1, P$2:P4102 = P4103)))))"),40.7)</f>
        <v>40.7</v>
      </c>
      <c r="N4103" s="335" t="str">
        <f>IF(MAXIFS('単価履歴'!$O:$O,'単価履歴'!$E:$E,E4103,'単価履歴'!$F:$F,F4103)=O4103,"●","")</f>
        <v/>
      </c>
      <c r="O4103" s="346">
        <v>46078.27637731482</v>
      </c>
      <c r="P4103" s="334" t="str">
        <f t="shared" si="4"/>
        <v>大鉄　堺:豊通ＣＰ Ａ</v>
      </c>
    </row>
    <row r="4104" ht="15.75" customHeight="1">
      <c r="A4104" s="335" t="s">
        <v>5251</v>
      </c>
      <c r="B4104" s="336">
        <v>46078.0</v>
      </c>
      <c r="C4104" s="335" t="s">
        <v>9</v>
      </c>
      <c r="D4104" s="335" t="s">
        <v>47</v>
      </c>
      <c r="E4104" s="337" t="str">
        <f t="shared" si="1"/>
        <v>大鉄　堺:豊通</v>
      </c>
      <c r="F4104" s="338" t="s">
        <v>156</v>
      </c>
      <c r="G4104" s="339" t="str">
        <f t="shared" si="2"/>
        <v>大鉄　堺:豊通ＣＰ Ｂ一斗缶</v>
      </c>
      <c r="H4104" s="340">
        <f t="shared" si="3"/>
        <v>35.7</v>
      </c>
      <c r="I4104" s="341">
        <v>1.5</v>
      </c>
      <c r="J4104" s="332">
        <f>IFERROR(__xludf.DUMMYFUNCTION("IF(IF(COUNTIF(P$2:P4103, P4104)=0, """", INDEX(H$2:H4103,
MAX(FILTER(ROW(H$2:H4103) - ROW(H$2) + 1, P$2:P4103 = P4104))))=""単価"","""",
IF(COUNTIF(P$2:P4103, P4104)=0, """", INDEX(H$2:H4103,
MAX(FILTER(ROW(H$2:H4103) - ROW(H$2) + 1, P$2:P4103 = P4104)))))"),34.2)</f>
        <v>34.2</v>
      </c>
      <c r="N4104" s="335" t="str">
        <f>IF(MAXIFS('単価履歴'!$O:$O,'単価履歴'!$E:$E,E4104,'単価履歴'!$F:$F,F4104)=O4104,"●","")</f>
        <v/>
      </c>
      <c r="O4104" s="346">
        <v>46078.27637731482</v>
      </c>
      <c r="P4104" s="334" t="str">
        <f t="shared" si="4"/>
        <v>大鉄　堺:豊通ＣＰ Ｂ一斗缶</v>
      </c>
    </row>
    <row r="4105" ht="15.75" customHeight="1">
      <c r="A4105" s="335" t="s">
        <v>5252</v>
      </c>
      <c r="B4105" s="336">
        <v>46078.0</v>
      </c>
      <c r="C4105" s="335" t="s">
        <v>9</v>
      </c>
      <c r="D4105" s="335" t="s">
        <v>50</v>
      </c>
      <c r="E4105" s="337" t="str">
        <f t="shared" si="1"/>
        <v>大鉄　堺:産振</v>
      </c>
      <c r="F4105" s="338" t="s">
        <v>111</v>
      </c>
      <c r="G4105" s="339" t="str">
        <f t="shared" si="2"/>
        <v>大鉄　堺:産振Ｈ１(特A)</v>
      </c>
      <c r="H4105" s="340">
        <f t="shared" si="3"/>
        <v>48.2</v>
      </c>
      <c r="I4105" s="341">
        <v>1.5</v>
      </c>
      <c r="J4105" s="332">
        <f>IFERROR(__xludf.DUMMYFUNCTION("IF(IF(COUNTIF(P$2:P4104, P4105)=0, """", INDEX(H$2:H4104,
MAX(FILTER(ROW(H$2:H4104) - ROW(H$2) + 1, P$2:P4104 = P4105))))=""単価"","""",
IF(COUNTIF(P$2:P4104, P4105)=0, """", INDEX(H$2:H4104,
MAX(FILTER(ROW(H$2:H4104) - ROW(H$2) + 1, P$2:P4104 = P4105)))))"),46.7)</f>
        <v>46.7</v>
      </c>
      <c r="N4105" s="335" t="str">
        <f>IF(MAXIFS('単価履歴'!$O:$O,'単価履歴'!$E:$E,E4105,'単価履歴'!$F:$F,F4105)=O4105,"●","")</f>
        <v/>
      </c>
      <c r="O4105" s="346">
        <v>46078.276550925926</v>
      </c>
      <c r="P4105" s="334" t="str">
        <f t="shared" si="4"/>
        <v>大鉄　堺:産振Ｈ１(特A)</v>
      </c>
    </row>
    <row r="4106" ht="15.75" customHeight="1">
      <c r="A4106" s="335" t="s">
        <v>5253</v>
      </c>
      <c r="B4106" s="336">
        <v>46078.0</v>
      </c>
      <c r="C4106" s="335" t="s">
        <v>9</v>
      </c>
      <c r="D4106" s="335" t="s">
        <v>50</v>
      </c>
      <c r="E4106" s="337" t="str">
        <f t="shared" si="1"/>
        <v>大鉄　堺:産振</v>
      </c>
      <c r="F4106" s="338" t="s">
        <v>116</v>
      </c>
      <c r="G4106" s="339" t="str">
        <f t="shared" si="2"/>
        <v>大鉄　堺:産振Ｈ２(特級)</v>
      </c>
      <c r="H4106" s="340">
        <f t="shared" si="3"/>
        <v>45.7</v>
      </c>
      <c r="I4106" s="341">
        <v>1.5</v>
      </c>
      <c r="J4106" s="332">
        <f>IFERROR(__xludf.DUMMYFUNCTION("IF(IF(COUNTIF(P$2:P4105, P4106)=0, """", INDEX(H$2:H4105,
MAX(FILTER(ROW(H$2:H4105) - ROW(H$2) + 1, P$2:P4105 = P4106))))=""単価"","""",
IF(COUNTIF(P$2:P4105, P4106)=0, """", INDEX(H$2:H4105,
MAX(FILTER(ROW(H$2:H4105) - ROW(H$2) + 1, P$2:P4105 = P4106)))))"),44.2)</f>
        <v>44.2</v>
      </c>
      <c r="N4106" s="335" t="str">
        <f>IF(MAXIFS('単価履歴'!$O:$O,'単価履歴'!$E:$E,E4106,'単価履歴'!$F:$F,F4106)=O4106,"●","")</f>
        <v/>
      </c>
      <c r="O4106" s="346">
        <v>46078.276550925926</v>
      </c>
      <c r="P4106" s="334" t="str">
        <f t="shared" si="4"/>
        <v>大鉄　堺:産振Ｈ２(特級)</v>
      </c>
    </row>
    <row r="4107" ht="15.75" customHeight="1">
      <c r="A4107" s="335" t="s">
        <v>5254</v>
      </c>
      <c r="B4107" s="336">
        <v>46078.0</v>
      </c>
      <c r="C4107" s="335" t="s">
        <v>9</v>
      </c>
      <c r="D4107" s="335" t="s">
        <v>50</v>
      </c>
      <c r="E4107" s="337" t="str">
        <f t="shared" si="1"/>
        <v>大鉄　堺:産振</v>
      </c>
      <c r="F4107" s="338" t="s">
        <v>119</v>
      </c>
      <c r="G4107" s="339" t="str">
        <f t="shared" si="2"/>
        <v>大鉄　堺:産振Ｈ３(1級)</v>
      </c>
      <c r="H4107" s="340">
        <f t="shared" si="3"/>
        <v>42.7</v>
      </c>
      <c r="I4107" s="341">
        <v>1.5</v>
      </c>
      <c r="J4107" s="332">
        <f>IFERROR(__xludf.DUMMYFUNCTION("IF(IF(COUNTIF(P$2:P4106, P4107)=0, """", INDEX(H$2:H4106,
MAX(FILTER(ROW(H$2:H4106) - ROW(H$2) + 1, P$2:P4106 = P4107))))=""単価"","""",
IF(COUNTIF(P$2:P4106, P4107)=0, """", INDEX(H$2:H4106,
MAX(FILTER(ROW(H$2:H4106) - ROW(H$2) + 1, P$2:P4106 = P4107)))))"),41.2)</f>
        <v>41.2</v>
      </c>
      <c r="N4107" s="335" t="str">
        <f>IF(MAXIFS('単価履歴'!$O:$O,'単価履歴'!$E:$E,E4107,'単価履歴'!$F:$F,F4107)=O4107,"●","")</f>
        <v/>
      </c>
      <c r="O4107" s="346">
        <v>46078.276550925926</v>
      </c>
      <c r="P4107" s="334" t="str">
        <f t="shared" si="4"/>
        <v>大鉄　堺:産振Ｈ３(1級)</v>
      </c>
    </row>
    <row r="4108" ht="15.75" customHeight="1">
      <c r="A4108" s="335" t="s">
        <v>5255</v>
      </c>
      <c r="B4108" s="336">
        <v>46078.0</v>
      </c>
      <c r="C4108" s="335" t="s">
        <v>9</v>
      </c>
      <c r="D4108" s="335" t="s">
        <v>50</v>
      </c>
      <c r="E4108" s="337" t="str">
        <f t="shared" si="1"/>
        <v>大鉄　堺:産振</v>
      </c>
      <c r="F4108" s="338" t="s">
        <v>154</v>
      </c>
      <c r="G4108" s="339" t="str">
        <f t="shared" si="2"/>
        <v>大鉄　堺:産振ＣＰ Ａ</v>
      </c>
      <c r="H4108" s="340">
        <f t="shared" si="3"/>
        <v>47.7</v>
      </c>
      <c r="I4108" s="341">
        <v>1.5</v>
      </c>
      <c r="J4108" s="332">
        <f>IFERROR(__xludf.DUMMYFUNCTION("IF(IF(COUNTIF(P$2:P4107, P4108)=0, """", INDEX(H$2:H4107,
MAX(FILTER(ROW(H$2:H4107) - ROW(H$2) + 1, P$2:P4107 = P4108))))=""単価"","""",
IF(COUNTIF(P$2:P4107, P4108)=0, """", INDEX(H$2:H4107,
MAX(FILTER(ROW(H$2:H4107) - ROW(H$2) + 1, P$2:P4107 = P4108)))))"),46.2)</f>
        <v>46.2</v>
      </c>
      <c r="N4108" s="335" t="str">
        <f>IF(MAXIFS('単価履歴'!$O:$O,'単価履歴'!$E:$E,E4108,'単価履歴'!$F:$F,F4108)=O4108,"●","")</f>
        <v/>
      </c>
      <c r="O4108" s="346">
        <v>46078.276550925926</v>
      </c>
      <c r="P4108" s="334" t="str">
        <f t="shared" si="4"/>
        <v>大鉄　堺:産振ＣＰ Ａ</v>
      </c>
    </row>
    <row r="4109" ht="15.75" customHeight="1">
      <c r="A4109" s="335" t="s">
        <v>5256</v>
      </c>
      <c r="B4109" s="336">
        <v>46078.0</v>
      </c>
      <c r="C4109" s="335" t="s">
        <v>9</v>
      </c>
      <c r="D4109" s="335" t="s">
        <v>50</v>
      </c>
      <c r="E4109" s="337" t="str">
        <f t="shared" si="1"/>
        <v>大鉄　堺:産振</v>
      </c>
      <c r="F4109" s="338" t="s">
        <v>156</v>
      </c>
      <c r="G4109" s="339" t="str">
        <f t="shared" si="2"/>
        <v>大鉄　堺:産振ＣＰ Ｂ一斗缶</v>
      </c>
      <c r="H4109" s="340">
        <f t="shared" si="3"/>
        <v>37.5</v>
      </c>
      <c r="I4109" s="341">
        <v>1.5</v>
      </c>
      <c r="J4109" s="332">
        <f>IFERROR(__xludf.DUMMYFUNCTION("IF(IF(COUNTIF(P$2:P4108, P4109)=0, """", INDEX(H$2:H4108,
MAX(FILTER(ROW(H$2:H4108) - ROW(H$2) + 1, P$2:P4108 = P4109))))=""単価"","""",
IF(COUNTIF(P$2:P4108, P4109)=0, """", INDEX(H$2:H4108,
MAX(FILTER(ROW(H$2:H4108) - ROW(H$2) + 1, P$2:P4108 = P4109)))))"),36.0)</f>
        <v>36</v>
      </c>
      <c r="N4109" s="335" t="str">
        <f>IF(MAXIFS('単価履歴'!$O:$O,'単価履歴'!$E:$E,E4109,'単価履歴'!$F:$F,F4109)=O4109,"●","")</f>
        <v/>
      </c>
      <c r="O4109" s="346">
        <v>46078.276550925926</v>
      </c>
      <c r="P4109" s="334" t="str">
        <f t="shared" si="4"/>
        <v>大鉄　堺:産振ＣＰ Ｂ一斗缶</v>
      </c>
    </row>
    <row r="4110" ht="15.75" customHeight="1">
      <c r="A4110" s="335" t="s">
        <v>5257</v>
      </c>
      <c r="B4110" s="336">
        <v>46078.0</v>
      </c>
      <c r="C4110" s="335" t="s">
        <v>9</v>
      </c>
      <c r="D4110" s="335" t="s">
        <v>50</v>
      </c>
      <c r="E4110" s="337" t="str">
        <f t="shared" si="1"/>
        <v>大鉄　堺:産振</v>
      </c>
      <c r="F4110" s="338" t="s">
        <v>122</v>
      </c>
      <c r="G4110" s="339" t="str">
        <f t="shared" si="2"/>
        <v>大鉄　堺:産振Ｌ１(2級)</v>
      </c>
      <c r="H4110" s="340">
        <f t="shared" si="3"/>
        <v>41.7</v>
      </c>
      <c r="I4110" s="341">
        <v>1.5</v>
      </c>
      <c r="J4110" s="332">
        <f>IFERROR(__xludf.DUMMYFUNCTION("IF(IF(COUNTIF(P$2:P4109, P4110)=0, """", INDEX(H$2:H4109,
MAX(FILTER(ROW(H$2:H4109) - ROW(H$2) + 1, P$2:P4109 = P4110))))=""単価"","""",
IF(COUNTIF(P$2:P4109, P4110)=0, """", INDEX(H$2:H4109,
MAX(FILTER(ROW(H$2:H4109) - ROW(H$2) + 1, P$2:P4109 = P4110)))))"),40.2)</f>
        <v>40.2</v>
      </c>
      <c r="N4110" s="335" t="str">
        <f>IF(MAXIFS('単価履歴'!$O:$O,'単価履歴'!$E:$E,E4110,'単価履歴'!$F:$F,F4110)=O4110,"●","")</f>
        <v/>
      </c>
      <c r="O4110" s="346">
        <v>46078.276550925926</v>
      </c>
      <c r="P4110" s="334" t="str">
        <f t="shared" si="4"/>
        <v>大鉄　堺:産振Ｌ１(2級)</v>
      </c>
    </row>
    <row r="4111" ht="15.75" customHeight="1">
      <c r="A4111" s="335" t="s">
        <v>5258</v>
      </c>
      <c r="B4111" s="336">
        <v>46078.0</v>
      </c>
      <c r="C4111" s="335" t="s">
        <v>9</v>
      </c>
      <c r="D4111" s="335" t="s">
        <v>50</v>
      </c>
      <c r="E4111" s="337" t="str">
        <f t="shared" si="1"/>
        <v>大鉄　堺:産振</v>
      </c>
      <c r="F4111" s="338" t="s">
        <v>130</v>
      </c>
      <c r="G4111" s="339" t="str">
        <f t="shared" si="2"/>
        <v>大鉄　堺:産振新断Ａ</v>
      </c>
      <c r="H4111" s="340">
        <f t="shared" si="3"/>
        <v>43.7</v>
      </c>
      <c r="I4111" s="341">
        <v>1.5</v>
      </c>
      <c r="J4111" s="332">
        <f>IFERROR(__xludf.DUMMYFUNCTION("IF(IF(COUNTIF(P$2:P4110, P4111)=0, """", INDEX(H$2:H4110,
MAX(FILTER(ROW(H$2:H4110) - ROW(H$2) + 1, P$2:P4110 = P4111))))=""単価"","""",
IF(COUNTIF(P$2:P4110, P4111)=0, """", INDEX(H$2:H4110,
MAX(FILTER(ROW(H$2:H4110) - ROW(H$2) + 1, P$2:P4110 = P4111)))))"),42.2)</f>
        <v>42.2</v>
      </c>
      <c r="N4111" s="335" t="str">
        <f>IF(MAXIFS('単価履歴'!$O:$O,'単価履歴'!$E:$E,E4111,'単価履歴'!$F:$F,F4111)=O4111,"●","")</f>
        <v/>
      </c>
      <c r="O4111" s="346">
        <v>46078.276550925926</v>
      </c>
      <c r="P4111" s="334" t="str">
        <f t="shared" si="4"/>
        <v>大鉄　堺:産振新断Ａ</v>
      </c>
    </row>
    <row r="4112" ht="15.75" customHeight="1">
      <c r="A4112" s="335" t="s">
        <v>5259</v>
      </c>
      <c r="B4112" s="336">
        <v>46078.0</v>
      </c>
      <c r="C4112" s="335" t="s">
        <v>9</v>
      </c>
      <c r="D4112" s="335" t="s">
        <v>50</v>
      </c>
      <c r="E4112" s="337" t="str">
        <f t="shared" si="1"/>
        <v>大鉄　堺:産振</v>
      </c>
      <c r="F4112" s="338" t="s">
        <v>131</v>
      </c>
      <c r="G4112" s="339" t="str">
        <f t="shared" si="2"/>
        <v>大鉄　堺:産振新断Ｂ</v>
      </c>
      <c r="H4112" s="340">
        <f t="shared" si="3"/>
        <v>43.2</v>
      </c>
      <c r="I4112" s="341">
        <v>1.5</v>
      </c>
      <c r="J4112" s="332">
        <f>IFERROR(__xludf.DUMMYFUNCTION("IF(IF(COUNTIF(P$2:P4111, P4112)=0, """", INDEX(H$2:H4111,
MAX(FILTER(ROW(H$2:H4111) - ROW(H$2) + 1, P$2:P4111 = P4112))))=""単価"","""",
IF(COUNTIF(P$2:P4111, P4112)=0, """", INDEX(H$2:H4111,
MAX(FILTER(ROW(H$2:H4111) - ROW(H$2) + 1, P$2:P4111 = P4112)))))"),41.7)</f>
        <v>41.7</v>
      </c>
      <c r="N4112" s="335" t="str">
        <f>IF(MAXIFS('単価履歴'!$O:$O,'単価履歴'!$E:$E,E4112,'単価履歴'!$F:$F,F4112)=O4112,"●","")</f>
        <v/>
      </c>
      <c r="O4112" s="346">
        <v>46078.276550925926</v>
      </c>
      <c r="P4112" s="334" t="str">
        <f t="shared" si="4"/>
        <v>大鉄　堺:産振新断Ｂ</v>
      </c>
    </row>
    <row r="4113" ht="15.75" customHeight="1">
      <c r="A4113" s="335" t="s">
        <v>5260</v>
      </c>
      <c r="B4113" s="336">
        <v>46078.0</v>
      </c>
      <c r="C4113" s="335" t="s">
        <v>9</v>
      </c>
      <c r="D4113" s="335" t="s">
        <v>50</v>
      </c>
      <c r="E4113" s="337" t="str">
        <f t="shared" si="1"/>
        <v>大鉄　堺:産振</v>
      </c>
      <c r="F4113" s="338" t="s">
        <v>575</v>
      </c>
      <c r="G4113" s="339" t="str">
        <f t="shared" si="2"/>
        <v>大鉄　堺:産振鋼ダライＡ</v>
      </c>
      <c r="H4113" s="340">
        <f t="shared" si="3"/>
        <v>39.2</v>
      </c>
      <c r="I4113" s="341">
        <v>1.5</v>
      </c>
      <c r="J4113" s="332">
        <f>IFERROR(__xludf.DUMMYFUNCTION("IF(IF(COUNTIF(P$2:P4112, P4113)=0, """", INDEX(H$2:H4112,
MAX(FILTER(ROW(H$2:H4112) - ROW(H$2) + 1, P$2:P4112 = P4113))))=""単価"","""",
IF(COUNTIF(P$2:P4112, P4113)=0, """", INDEX(H$2:H4112,
MAX(FILTER(ROW(H$2:H4112) - ROW(H$2) + 1, P$2:P4112 = P4113)))))"),37.7)</f>
        <v>37.7</v>
      </c>
      <c r="N4113" s="335" t="str">
        <f>IF(MAXIFS('単価履歴'!$O:$O,'単価履歴'!$E:$E,E4113,'単価履歴'!$F:$F,F4113)=O4113,"●","")</f>
        <v/>
      </c>
      <c r="O4113" s="346">
        <v>46078.276550925926</v>
      </c>
      <c r="P4113" s="334" t="str">
        <f t="shared" si="4"/>
        <v>大鉄　堺:産振鋼ダライＡ</v>
      </c>
    </row>
    <row r="4114" ht="15.75" customHeight="1">
      <c r="A4114" s="335" t="s">
        <v>5261</v>
      </c>
      <c r="B4114" s="336">
        <v>46078.0</v>
      </c>
      <c r="C4114" s="335" t="s">
        <v>9</v>
      </c>
      <c r="D4114" s="335" t="s">
        <v>49</v>
      </c>
      <c r="E4114" s="337" t="str">
        <f t="shared" si="1"/>
        <v>大鉄　堺:伊藤忠</v>
      </c>
      <c r="F4114" s="338" t="s">
        <v>111</v>
      </c>
      <c r="G4114" s="339" t="str">
        <f t="shared" si="2"/>
        <v>大鉄　堺:伊藤忠Ｈ１(特A)</v>
      </c>
      <c r="H4114" s="340">
        <f t="shared" si="3"/>
        <v>30.3</v>
      </c>
      <c r="I4114" s="341">
        <v>1.5</v>
      </c>
      <c r="J4114" s="332">
        <f>IFERROR(__xludf.DUMMYFUNCTION("IF(IF(COUNTIF(P$2:P4113, P4114)=0, """", INDEX(H$2:H4113,
MAX(FILTER(ROW(H$2:H4113) - ROW(H$2) + 1, P$2:P4113 = P4114))))=""単価"","""",
IF(COUNTIF(P$2:P4113, P4114)=0, """", INDEX(H$2:H4113,
MAX(FILTER(ROW(H$2:H4113) - ROW(H$2) + 1, P$2:P4113 = P4114)))))"),28.8)</f>
        <v>28.8</v>
      </c>
      <c r="N4114" s="335" t="str">
        <f>IF(MAXIFS('単価履歴'!$O:$O,'単価履歴'!$E:$E,E4114,'単価履歴'!$F:$F,F4114)=O4114,"●","")</f>
        <v/>
      </c>
      <c r="O4114" s="346">
        <v>46078.27670138889</v>
      </c>
      <c r="P4114" s="334" t="str">
        <f t="shared" si="4"/>
        <v>大鉄　堺:伊藤忠Ｈ１(特A)</v>
      </c>
    </row>
    <row r="4115" ht="15.75" customHeight="1">
      <c r="A4115" s="335" t="s">
        <v>5262</v>
      </c>
      <c r="B4115" s="336">
        <v>46078.0</v>
      </c>
      <c r="C4115" s="335" t="s">
        <v>9</v>
      </c>
      <c r="D4115" s="335" t="s">
        <v>49</v>
      </c>
      <c r="E4115" s="337" t="str">
        <f t="shared" si="1"/>
        <v>大鉄　堺:伊藤忠</v>
      </c>
      <c r="F4115" s="338" t="s">
        <v>1237</v>
      </c>
      <c r="G4115" s="339" t="str">
        <f t="shared" si="2"/>
        <v>大鉄　堺:伊藤忠ＪＨ１(H2T山口)鍛造ﾊﾞﾘ</v>
      </c>
      <c r="H4115" s="340">
        <f t="shared" si="3"/>
        <v>37.7</v>
      </c>
      <c r="I4115" s="341">
        <v>1.5</v>
      </c>
      <c r="J4115" s="332">
        <f>IFERROR(__xludf.DUMMYFUNCTION("IF(IF(COUNTIF(P$2:P4114, P4115)=0, """", INDEX(H$2:H4114,
MAX(FILTER(ROW(H$2:H4114) - ROW(H$2) + 1, P$2:P4114 = P4115))))=""単価"","""",
IF(COUNTIF(P$2:P4114, P4115)=0, """", INDEX(H$2:H4114,
MAX(FILTER(ROW(H$2:H4114) - ROW(H$2) + 1, P$2:P4114 = P4115)))))"),36.2)</f>
        <v>36.2</v>
      </c>
      <c r="N4115" s="335" t="str">
        <f>IF(MAXIFS('単価履歴'!$O:$O,'単価履歴'!$E:$E,E4115,'単価履歴'!$F:$F,F4115)=O4115,"●","")</f>
        <v/>
      </c>
      <c r="O4115" s="346">
        <v>46078.27670138889</v>
      </c>
      <c r="P4115" s="334" t="str">
        <f t="shared" si="4"/>
        <v>大鉄　堺:伊藤忠ＪＨ１(H2T山口)鍛造ﾊﾞﾘ</v>
      </c>
    </row>
    <row r="4116" ht="15.75" customHeight="1">
      <c r="A4116" s="335" t="s">
        <v>5263</v>
      </c>
      <c r="B4116" s="336">
        <v>46078.0</v>
      </c>
      <c r="C4116" s="335" t="s">
        <v>9</v>
      </c>
      <c r="D4116" s="335" t="s">
        <v>49</v>
      </c>
      <c r="E4116" s="337" t="str">
        <f t="shared" si="1"/>
        <v>大鉄　堺:伊藤忠</v>
      </c>
      <c r="F4116" s="338" t="s">
        <v>116</v>
      </c>
      <c r="G4116" s="339" t="str">
        <f t="shared" si="2"/>
        <v>大鉄　堺:伊藤忠Ｈ２(特級)</v>
      </c>
      <c r="H4116" s="340">
        <f t="shared" si="3"/>
        <v>35.5</v>
      </c>
      <c r="I4116" s="341">
        <v>1.5</v>
      </c>
      <c r="J4116" s="332">
        <f>IFERROR(__xludf.DUMMYFUNCTION("IF(IF(COUNTIF(P$2:P4115, P4116)=0, """", INDEX(H$2:H4115,
MAX(FILTER(ROW(H$2:H4115) - ROW(H$2) + 1, P$2:P4115 = P4116))))=""単価"","""",
IF(COUNTIF(P$2:P4115, P4116)=0, """", INDEX(H$2:H4115,
MAX(FILTER(ROW(H$2:H4115) - ROW(H$2) + 1, P$2:P4115 = P4116)))))"),34.0)</f>
        <v>34</v>
      </c>
      <c r="N4116" s="335" t="str">
        <f>IF(MAXIFS('単価履歴'!$O:$O,'単価履歴'!$E:$E,E4116,'単価履歴'!$F:$F,F4116)=O4116,"●","")</f>
        <v/>
      </c>
      <c r="O4116" s="346">
        <v>46078.27670138889</v>
      </c>
      <c r="P4116" s="334" t="str">
        <f t="shared" si="4"/>
        <v>大鉄　堺:伊藤忠Ｈ２(特級)</v>
      </c>
    </row>
    <row r="4117" ht="15.75" customHeight="1">
      <c r="A4117" s="335" t="s">
        <v>5264</v>
      </c>
      <c r="B4117" s="336">
        <v>46078.0</v>
      </c>
      <c r="C4117" s="335" t="s">
        <v>9</v>
      </c>
      <c r="D4117" s="335" t="s">
        <v>49</v>
      </c>
      <c r="E4117" s="337" t="str">
        <f t="shared" si="1"/>
        <v>大鉄　堺:伊藤忠</v>
      </c>
      <c r="F4117" s="338" t="s">
        <v>119</v>
      </c>
      <c r="G4117" s="339" t="str">
        <f t="shared" si="2"/>
        <v>大鉄　堺:伊藤忠Ｈ３(1級)</v>
      </c>
      <c r="H4117" s="340">
        <f t="shared" si="3"/>
        <v>34.5</v>
      </c>
      <c r="I4117" s="341">
        <v>1.5</v>
      </c>
      <c r="J4117" s="332">
        <f>IFERROR(__xludf.DUMMYFUNCTION("IF(IF(COUNTIF(P$2:P4116, P4117)=0, """", INDEX(H$2:H4116,
MAX(FILTER(ROW(H$2:H4116) - ROW(H$2) + 1, P$2:P4116 = P4117))))=""単価"","""",
IF(COUNTIF(P$2:P4116, P4117)=0, """", INDEX(H$2:H4116,
MAX(FILTER(ROW(H$2:H4116) - ROW(H$2) + 1, P$2:P4116 = P4117)))))"),33.0)</f>
        <v>33</v>
      </c>
      <c r="N4117" s="335" t="str">
        <f>IF(MAXIFS('単価履歴'!$O:$O,'単価履歴'!$E:$E,E4117,'単価履歴'!$F:$F,F4117)=O4117,"●","")</f>
        <v/>
      </c>
      <c r="O4117" s="346">
        <v>46078.27670138889</v>
      </c>
      <c r="P4117" s="334" t="str">
        <f t="shared" si="4"/>
        <v>大鉄　堺:伊藤忠Ｈ３(1級)</v>
      </c>
    </row>
    <row r="4118" ht="15.75" customHeight="1">
      <c r="A4118" s="335" t="s">
        <v>5265</v>
      </c>
      <c r="B4118" s="336">
        <v>46078.0</v>
      </c>
      <c r="C4118" s="335" t="s">
        <v>9</v>
      </c>
      <c r="D4118" s="335" t="s">
        <v>49</v>
      </c>
      <c r="E4118" s="337" t="str">
        <f t="shared" si="1"/>
        <v>大鉄　堺:伊藤忠</v>
      </c>
      <c r="F4118" s="338" t="s">
        <v>122</v>
      </c>
      <c r="G4118" s="339" t="str">
        <f t="shared" si="2"/>
        <v>大鉄　堺:伊藤忠Ｌ１(2級)</v>
      </c>
      <c r="H4118" s="340">
        <f t="shared" si="3"/>
        <v>33.5</v>
      </c>
      <c r="I4118" s="341">
        <v>1.5</v>
      </c>
      <c r="J4118" s="332">
        <f>IFERROR(__xludf.DUMMYFUNCTION("IF(IF(COUNTIF(P$2:P4117, P4118)=0, """", INDEX(H$2:H4117,
MAX(FILTER(ROW(H$2:H4117) - ROW(H$2) + 1, P$2:P4117 = P4118))))=""単価"","""",
IF(COUNTIF(P$2:P4117, P4118)=0, """", INDEX(H$2:H4117,
MAX(FILTER(ROW(H$2:H4117) - ROW(H$2) + 1, P$2:P4117 = P4118)))))"),32.0)</f>
        <v>32</v>
      </c>
      <c r="N4118" s="335" t="str">
        <f>IF(MAXIFS('単価履歴'!$O:$O,'単価履歴'!$E:$E,E4118,'単価履歴'!$F:$F,F4118)=O4118,"●","")</f>
        <v/>
      </c>
      <c r="O4118" s="346">
        <v>46078.27670138889</v>
      </c>
      <c r="P4118" s="334" t="str">
        <f t="shared" si="4"/>
        <v>大鉄　堺:伊藤忠Ｌ１(2級)</v>
      </c>
    </row>
    <row r="4119" ht="15.75" customHeight="1">
      <c r="A4119" s="335" t="s">
        <v>5266</v>
      </c>
      <c r="B4119" s="336">
        <v>46078.0</v>
      </c>
      <c r="C4119" s="335" t="s">
        <v>9</v>
      </c>
      <c r="D4119" s="335" t="s">
        <v>49</v>
      </c>
      <c r="E4119" s="337" t="str">
        <f t="shared" si="1"/>
        <v>大鉄　堺:伊藤忠</v>
      </c>
      <c r="F4119" s="338" t="s">
        <v>130</v>
      </c>
      <c r="G4119" s="339" t="str">
        <f t="shared" si="2"/>
        <v>大鉄　堺:伊藤忠新断Ａ</v>
      </c>
      <c r="H4119" s="340">
        <f t="shared" si="3"/>
        <v>29.8</v>
      </c>
      <c r="I4119" s="341">
        <v>1.5</v>
      </c>
      <c r="J4119" s="332">
        <f>IFERROR(__xludf.DUMMYFUNCTION("IF(IF(COUNTIF(P$2:P4118, P4119)=0, """", INDEX(H$2:H4118,
MAX(FILTER(ROW(H$2:H4118) - ROW(H$2) + 1, P$2:P4118 = P4119))))=""単価"","""",
IF(COUNTIF(P$2:P4118, P4119)=0, """", INDEX(H$2:H4118,
MAX(FILTER(ROW(H$2:H4118) - ROW(H$2) + 1, P$2:P4118 = P4119)))))"),28.3)</f>
        <v>28.3</v>
      </c>
      <c r="N4119" s="335" t="str">
        <f>IF(MAXIFS('単価履歴'!$O:$O,'単価履歴'!$E:$E,E4119,'単価履歴'!$F:$F,F4119)=O4119,"●","")</f>
        <v/>
      </c>
      <c r="O4119" s="346">
        <v>46078.27670138889</v>
      </c>
      <c r="P4119" s="334" t="str">
        <f t="shared" si="4"/>
        <v>大鉄　堺:伊藤忠新断Ａ</v>
      </c>
    </row>
    <row r="4120" ht="15.75" customHeight="1">
      <c r="A4120" s="335" t="s">
        <v>5267</v>
      </c>
      <c r="B4120" s="336">
        <v>46078.0</v>
      </c>
      <c r="C4120" s="335" t="s">
        <v>9</v>
      </c>
      <c r="D4120" s="335" t="s">
        <v>49</v>
      </c>
      <c r="E4120" s="337" t="str">
        <f t="shared" si="1"/>
        <v>大鉄　堺:伊藤忠</v>
      </c>
      <c r="F4120" s="338" t="s">
        <v>131</v>
      </c>
      <c r="G4120" s="339" t="str">
        <f t="shared" si="2"/>
        <v>大鉄　堺:伊藤忠新断Ｂ</v>
      </c>
      <c r="H4120" s="340">
        <f t="shared" si="3"/>
        <v>29.3</v>
      </c>
      <c r="I4120" s="341">
        <v>1.5</v>
      </c>
      <c r="J4120" s="332">
        <f>IFERROR(__xludf.DUMMYFUNCTION("IF(IF(COUNTIF(P$2:P4119, P4120)=0, """", INDEX(H$2:H4119,
MAX(FILTER(ROW(H$2:H4119) - ROW(H$2) + 1, P$2:P4119 = P4120))))=""単価"","""",
IF(COUNTIF(P$2:P4119, P4120)=0, """", INDEX(H$2:H4119,
MAX(FILTER(ROW(H$2:H4119) - ROW(H$2) + 1, P$2:P4119 = P4120)))))"),27.8)</f>
        <v>27.8</v>
      </c>
      <c r="N4120" s="335" t="str">
        <f>IF(MAXIFS('単価履歴'!$O:$O,'単価履歴'!$E:$E,E4120,'単価履歴'!$F:$F,F4120)=O4120,"●","")</f>
        <v/>
      </c>
      <c r="O4120" s="346">
        <v>46078.27670138889</v>
      </c>
      <c r="P4120" s="334" t="str">
        <f t="shared" si="4"/>
        <v>大鉄　堺:伊藤忠新断Ｂ</v>
      </c>
    </row>
    <row r="4121" ht="15.75" customHeight="1">
      <c r="A4121" s="335" t="s">
        <v>5268</v>
      </c>
      <c r="B4121" s="336">
        <v>46078.0</v>
      </c>
      <c r="C4121" s="335" t="s">
        <v>9</v>
      </c>
      <c r="D4121" s="335" t="s">
        <v>48</v>
      </c>
      <c r="E4121" s="337" t="str">
        <f t="shared" si="1"/>
        <v>大鉄　堺:ナベ</v>
      </c>
      <c r="F4121" s="338" t="s">
        <v>111</v>
      </c>
      <c r="G4121" s="339" t="str">
        <f t="shared" si="2"/>
        <v>大鉄　堺:ナベＨ１(特A)</v>
      </c>
      <c r="H4121" s="340">
        <f t="shared" si="3"/>
        <v>1.5</v>
      </c>
      <c r="I4121" s="341">
        <v>1.5</v>
      </c>
      <c r="J4121" s="332">
        <f>IFERROR(__xludf.DUMMYFUNCTION("IF(IF(COUNTIF(P$2:P4120, P4121)=0, """", INDEX(H$2:H4120,
MAX(FILTER(ROW(H$2:H4120) - ROW(H$2) + 1, P$2:P4120 = P4121))))=""単価"","""",
IF(COUNTIF(P$2:P4120, P4121)=0, """", INDEX(H$2:H4120,
MAX(FILTER(ROW(H$2:H4120) - ROW(H$2) + 1, P$2:P4120 = P4121)))))"),0.0)</f>
        <v>0</v>
      </c>
      <c r="N4121" s="335" t="str">
        <f>IF(MAXIFS('単価履歴'!$O:$O,'単価履歴'!$E:$E,E4121,'単価履歴'!$F:$F,F4121)=O4121,"●","")</f>
        <v/>
      </c>
      <c r="O4121" s="346">
        <v>46078.27685185186</v>
      </c>
      <c r="P4121" s="334" t="str">
        <f t="shared" si="4"/>
        <v>大鉄　堺:ナベＨ１(特A)</v>
      </c>
    </row>
    <row r="4122" ht="15.75" customHeight="1">
      <c r="A4122" s="335" t="s">
        <v>5269</v>
      </c>
      <c r="B4122" s="336">
        <v>46078.0</v>
      </c>
      <c r="C4122" s="335" t="s">
        <v>9</v>
      </c>
      <c r="D4122" s="335" t="s">
        <v>48</v>
      </c>
      <c r="E4122" s="337" t="str">
        <f t="shared" si="1"/>
        <v>大鉄　堺:ナベ</v>
      </c>
      <c r="F4122" s="338" t="s">
        <v>116</v>
      </c>
      <c r="G4122" s="339" t="str">
        <f t="shared" si="2"/>
        <v>大鉄　堺:ナベＨ２(特級)</v>
      </c>
      <c r="H4122" s="340">
        <f t="shared" si="3"/>
        <v>45.7</v>
      </c>
      <c r="I4122" s="341">
        <v>1.5</v>
      </c>
      <c r="J4122" s="332">
        <f>IFERROR(__xludf.DUMMYFUNCTION("IF(IF(COUNTIF(P$2:P4121, P4122)=0, """", INDEX(H$2:H4121,
MAX(FILTER(ROW(H$2:H4121) - ROW(H$2) + 1, P$2:P4121 = P4122))))=""単価"","""",
IF(COUNTIF(P$2:P4121, P4122)=0, """", INDEX(H$2:H4121,
MAX(FILTER(ROW(H$2:H4121) - ROW(H$2) + 1, P$2:P4121 = P4122)))))"),44.2)</f>
        <v>44.2</v>
      </c>
      <c r="N4122" s="335" t="str">
        <f>IF(MAXIFS('単価履歴'!$O:$O,'単価履歴'!$E:$E,E4122,'単価履歴'!$F:$F,F4122)=O4122,"●","")</f>
        <v/>
      </c>
      <c r="O4122" s="346">
        <v>46078.27685185186</v>
      </c>
      <c r="P4122" s="334" t="str">
        <f t="shared" si="4"/>
        <v>大鉄　堺:ナベＨ２(特級)</v>
      </c>
    </row>
    <row r="4123" ht="15.75" customHeight="1">
      <c r="A4123" s="335" t="s">
        <v>5270</v>
      </c>
      <c r="B4123" s="336">
        <v>46078.0</v>
      </c>
      <c r="C4123" s="335" t="s">
        <v>9</v>
      </c>
      <c r="D4123" s="335" t="s">
        <v>48</v>
      </c>
      <c r="E4123" s="337" t="str">
        <f t="shared" si="1"/>
        <v>大鉄　堺:ナベ</v>
      </c>
      <c r="F4123" s="338" t="s">
        <v>119</v>
      </c>
      <c r="G4123" s="339" t="str">
        <f t="shared" si="2"/>
        <v>大鉄　堺:ナベＨ３(1級)</v>
      </c>
      <c r="H4123" s="340">
        <f t="shared" si="3"/>
        <v>45.2</v>
      </c>
      <c r="I4123" s="341">
        <v>1.5</v>
      </c>
      <c r="J4123" s="332">
        <f>IFERROR(__xludf.DUMMYFUNCTION("IF(IF(COUNTIF(P$2:P4122, P4123)=0, """", INDEX(H$2:H4122,
MAX(FILTER(ROW(H$2:H4122) - ROW(H$2) + 1, P$2:P4122 = P4123))))=""単価"","""",
IF(COUNTIF(P$2:P4122, P4123)=0, """", INDEX(H$2:H4122,
MAX(FILTER(ROW(H$2:H4122) - ROW(H$2) + 1, P$2:P4122 = P4123)))))"),43.7)</f>
        <v>43.7</v>
      </c>
      <c r="N4123" s="335" t="str">
        <f>IF(MAXIFS('単価履歴'!$O:$O,'単価履歴'!$E:$E,E4123,'単価履歴'!$F:$F,F4123)=O4123,"●","")</f>
        <v/>
      </c>
      <c r="O4123" s="346">
        <v>46078.27685185186</v>
      </c>
      <c r="P4123" s="334" t="str">
        <f t="shared" si="4"/>
        <v>大鉄　堺:ナベＨ３(1級)</v>
      </c>
    </row>
    <row r="4124" ht="15.75" customHeight="1">
      <c r="A4124" s="335" t="s">
        <v>5271</v>
      </c>
      <c r="B4124" s="336">
        <v>46078.0</v>
      </c>
      <c r="C4124" s="335" t="s">
        <v>9</v>
      </c>
      <c r="D4124" s="335" t="s">
        <v>48</v>
      </c>
      <c r="E4124" s="337" t="str">
        <f t="shared" si="1"/>
        <v>大鉄　堺:ナベ</v>
      </c>
      <c r="F4124" s="338" t="s">
        <v>122</v>
      </c>
      <c r="G4124" s="339" t="str">
        <f t="shared" si="2"/>
        <v>大鉄　堺:ナベＬ１(2級)</v>
      </c>
      <c r="H4124" s="340">
        <f t="shared" si="3"/>
        <v>44.7</v>
      </c>
      <c r="I4124" s="341">
        <v>1.5</v>
      </c>
      <c r="J4124" s="332">
        <f>IFERROR(__xludf.DUMMYFUNCTION("IF(IF(COUNTIF(P$2:P4123, P4124)=0, """", INDEX(H$2:H4123,
MAX(FILTER(ROW(H$2:H4123) - ROW(H$2) + 1, P$2:P4123 = P4124))))=""単価"","""",
IF(COUNTIF(P$2:P4123, P4124)=0, """", INDEX(H$2:H4123,
MAX(FILTER(ROW(H$2:H4123) - ROW(H$2) + 1, P$2:P4123 = P4124)))))"),43.2)</f>
        <v>43.2</v>
      </c>
      <c r="N4124" s="335" t="str">
        <f>IF(MAXIFS('単価履歴'!$O:$O,'単価履歴'!$E:$E,E4124,'単価履歴'!$F:$F,F4124)=O4124,"●","")</f>
        <v/>
      </c>
      <c r="O4124" s="346">
        <v>46078.27685185186</v>
      </c>
      <c r="P4124" s="334" t="str">
        <f t="shared" si="4"/>
        <v>大鉄　堺:ナベＬ１(2級)</v>
      </c>
    </row>
    <row r="4125" ht="15.75" customHeight="1">
      <c r="A4125" s="335" t="s">
        <v>5272</v>
      </c>
      <c r="B4125" s="336">
        <v>46078.0</v>
      </c>
      <c r="C4125" s="335" t="s">
        <v>534</v>
      </c>
      <c r="D4125" s="335" t="s">
        <v>46</v>
      </c>
      <c r="E4125" s="337" t="str">
        <f t="shared" si="1"/>
        <v>合同姫路:阪和</v>
      </c>
      <c r="F4125" s="338" t="s">
        <v>130</v>
      </c>
      <c r="G4125" s="339" t="str">
        <f t="shared" si="2"/>
        <v>合同姫路:阪和新断Ａ</v>
      </c>
      <c r="H4125" s="340">
        <f t="shared" si="3"/>
        <v>48.8</v>
      </c>
      <c r="I4125" s="341">
        <v>1.0</v>
      </c>
      <c r="J4125" s="332">
        <f>IFERROR(__xludf.DUMMYFUNCTION("IF(IF(COUNTIF(P$2:P4124, P4125)=0, """", INDEX(H$2:H4124,
MAX(FILTER(ROW(H$2:H4124) - ROW(H$2) + 1, P$2:P4124 = P4125))))=""単価"","""",
IF(COUNTIF(P$2:P4124, P4125)=0, """", INDEX(H$2:H4124,
MAX(FILTER(ROW(H$2:H4124) - ROW(H$2) + 1, P$2:P4124 = P4125)))))"),47.8)</f>
        <v>47.8</v>
      </c>
      <c r="N4125" s="335" t="str">
        <f>IF(MAXIFS('単価履歴'!$O:$O,'単価履歴'!$E:$E,E4125,'単価履歴'!$F:$F,F4125)=O4125,"●","")</f>
        <v/>
      </c>
      <c r="O4125" s="346">
        <v>46078.27701388889</v>
      </c>
      <c r="P4125" s="334" t="str">
        <f t="shared" si="4"/>
        <v>合同姫路:阪和新断Ａ</v>
      </c>
    </row>
    <row r="4126" ht="15.75" customHeight="1">
      <c r="A4126" s="335" t="s">
        <v>5273</v>
      </c>
      <c r="B4126" s="336">
        <v>46078.0</v>
      </c>
      <c r="C4126" s="335" t="s">
        <v>534</v>
      </c>
      <c r="D4126" s="335" t="s">
        <v>46</v>
      </c>
      <c r="E4126" s="337" t="str">
        <f t="shared" si="1"/>
        <v>合同姫路:阪和</v>
      </c>
      <c r="F4126" s="338" t="s">
        <v>131</v>
      </c>
      <c r="G4126" s="339" t="str">
        <f t="shared" si="2"/>
        <v>合同姫路:阪和新断Ｂ</v>
      </c>
      <c r="H4126" s="340">
        <f t="shared" si="3"/>
        <v>47.8</v>
      </c>
      <c r="I4126" s="341">
        <v>1.0</v>
      </c>
      <c r="J4126" s="332">
        <f>IFERROR(__xludf.DUMMYFUNCTION("IF(IF(COUNTIF(P$2:P4125, P4126)=0, """", INDEX(H$2:H4125,
MAX(FILTER(ROW(H$2:H4125) - ROW(H$2) + 1, P$2:P4125 = P4126))))=""単価"","""",
IF(COUNTIF(P$2:P4125, P4126)=0, """", INDEX(H$2:H4125,
MAX(FILTER(ROW(H$2:H4125) - ROW(H$2) + 1, P$2:P4125 = P4126)))))"),46.8)</f>
        <v>46.8</v>
      </c>
      <c r="N4126" s="335" t="str">
        <f>IF(MAXIFS('単価履歴'!$O:$O,'単価履歴'!$E:$E,E4126,'単価履歴'!$F:$F,F4126)=O4126,"●","")</f>
        <v/>
      </c>
      <c r="O4126" s="346">
        <v>46078.27701388889</v>
      </c>
      <c r="P4126" s="334" t="str">
        <f t="shared" si="4"/>
        <v>合同姫路:阪和新断Ｂ</v>
      </c>
    </row>
    <row r="4127" ht="15.75" customHeight="1">
      <c r="A4127" s="335" t="s">
        <v>5274</v>
      </c>
      <c r="B4127" s="336">
        <v>46078.0</v>
      </c>
      <c r="C4127" s="335" t="s">
        <v>534</v>
      </c>
      <c r="D4127" s="335" t="s">
        <v>46</v>
      </c>
      <c r="E4127" s="337" t="str">
        <f t="shared" si="1"/>
        <v>合同姫路:阪和</v>
      </c>
      <c r="F4127" s="338" t="s">
        <v>574</v>
      </c>
      <c r="G4127" s="339" t="str">
        <f t="shared" si="2"/>
        <v>合同姫路:阪和新断Ｃ</v>
      </c>
      <c r="H4127" s="340">
        <f t="shared" si="3"/>
        <v>0.5</v>
      </c>
      <c r="I4127" s="341">
        <v>1.0</v>
      </c>
      <c r="J4127" s="332">
        <f>IFERROR(__xludf.DUMMYFUNCTION("IF(IF(COUNTIF(P$2:P4126, P4127)=0, """", INDEX(H$2:H4126,
MAX(FILTER(ROW(H$2:H4126) - ROW(H$2) + 1, P$2:P4126 = P4127))))=""単価"","""",
IF(COUNTIF(P$2:P4126, P4127)=0, """", INDEX(H$2:H4126,
MAX(FILTER(ROW(H$2:H4126) - ROW(H$2) + 1, P$2:P4126 = P4127)))))"),-0.5)</f>
        <v>-0.5</v>
      </c>
      <c r="N4127" s="335" t="str">
        <f>IF(MAXIFS('単価履歴'!$O:$O,'単価履歴'!$E:$E,E4127,'単価履歴'!$F:$F,F4127)=O4127,"●","")</f>
        <v/>
      </c>
      <c r="O4127" s="346">
        <v>46078.27701388889</v>
      </c>
      <c r="P4127" s="334" t="str">
        <f t="shared" si="4"/>
        <v>合同姫路:阪和新断Ｃ</v>
      </c>
    </row>
    <row r="4128" ht="15.75" customHeight="1">
      <c r="A4128" s="335" t="s">
        <v>5275</v>
      </c>
      <c r="B4128" s="336">
        <v>46078.0</v>
      </c>
      <c r="C4128" s="335" t="s">
        <v>9</v>
      </c>
      <c r="D4128" s="335" t="s">
        <v>48</v>
      </c>
      <c r="E4128" s="337" t="str">
        <f t="shared" si="1"/>
        <v>大鉄　堺:ナベ</v>
      </c>
      <c r="F4128" s="338" t="s">
        <v>111</v>
      </c>
      <c r="G4128" s="339" t="str">
        <f t="shared" si="2"/>
        <v>大鉄　堺:ナベＨ１(特A)</v>
      </c>
      <c r="H4128" s="340">
        <f t="shared" si="3"/>
        <v>0</v>
      </c>
      <c r="I4128" s="341">
        <v>-1.5</v>
      </c>
      <c r="J4128" s="332">
        <f>IFERROR(__xludf.DUMMYFUNCTION("IF(IF(COUNTIF(P$2:P4127, P4128)=0, """", INDEX(H$2:H4127,
MAX(FILTER(ROW(H$2:H4127) - ROW(H$2) + 1, P$2:P4127 = P4128))))=""単価"","""",
IF(COUNTIF(P$2:P4127, P4128)=0, """", INDEX(H$2:H4127,
MAX(FILTER(ROW(H$2:H4127) - ROW(H$2) + 1, P$2:P4127 = P4128)))))"),1.5)</f>
        <v>1.5</v>
      </c>
      <c r="N4128" s="335" t="str">
        <f>IF(MAXIFS('単価履歴'!$O:$O,'単価履歴'!$E:$E,E4128,'単価履歴'!$F:$F,F4128)=O4128,"●","")</f>
        <v/>
      </c>
      <c r="O4128" s="346">
        <v>46078.28608796296</v>
      </c>
      <c r="P4128" s="334" t="str">
        <f t="shared" si="4"/>
        <v>大鉄　堺:ナベＨ１(特A)</v>
      </c>
    </row>
    <row r="4129" ht="15.75" customHeight="1">
      <c r="A4129" s="335" t="s">
        <v>5276</v>
      </c>
      <c r="B4129" s="336">
        <v>46078.0</v>
      </c>
      <c r="C4129" s="335" t="s">
        <v>534</v>
      </c>
      <c r="D4129" s="335" t="s">
        <v>46</v>
      </c>
      <c r="E4129" s="337" t="str">
        <f t="shared" si="1"/>
        <v>合同姫路:阪和</v>
      </c>
      <c r="F4129" s="338" t="s">
        <v>574</v>
      </c>
      <c r="G4129" s="339" t="str">
        <f t="shared" si="2"/>
        <v>合同姫路:阪和新断Ｃ</v>
      </c>
      <c r="H4129" s="340">
        <f t="shared" si="3"/>
        <v>0</v>
      </c>
      <c r="I4129" s="341">
        <v>-0.5</v>
      </c>
      <c r="J4129" s="332">
        <f>IFERROR(__xludf.DUMMYFUNCTION("IF(IF(COUNTIF(P$2:P4128, P4129)=0, """", INDEX(H$2:H4128,
MAX(FILTER(ROW(H$2:H4128) - ROW(H$2) + 1, P$2:P4128 = P4129))))=""単価"","""",
IF(COUNTIF(P$2:P4128, P4129)=0, """", INDEX(H$2:H4128,
MAX(FILTER(ROW(H$2:H4128) - ROW(H$2) + 1, P$2:P4128 = P4129)))))"),0.5)</f>
        <v>0.5</v>
      </c>
      <c r="N4129" s="335" t="str">
        <f>IF(MAXIFS('単価履歴'!$O:$O,'単価履歴'!$E:$E,E4129,'単価履歴'!$F:$F,F4129)=O4129,"●","")</f>
        <v>●</v>
      </c>
      <c r="O4129" s="346">
        <v>46078.28673611111</v>
      </c>
      <c r="P4129" s="334" t="str">
        <f t="shared" si="4"/>
        <v>合同姫路:阪和新断Ｃ</v>
      </c>
    </row>
    <row r="4130" ht="15.75" customHeight="1">
      <c r="A4130" s="335" t="s">
        <v>5277</v>
      </c>
      <c r="B4130" s="336">
        <v>46079.0</v>
      </c>
      <c r="C4130" s="335" t="s">
        <v>12</v>
      </c>
      <c r="D4130" s="335" t="s">
        <v>50</v>
      </c>
      <c r="E4130" s="337" t="str">
        <f t="shared" si="1"/>
        <v>山陽特殊:産振</v>
      </c>
      <c r="F4130" s="338" t="s">
        <v>1199</v>
      </c>
      <c r="G4130" s="339" t="str">
        <f t="shared" si="2"/>
        <v>山陽特殊:産振ＨＳ１(単体H1/電特A/HS))</v>
      </c>
      <c r="H4130" s="340">
        <f t="shared" si="3"/>
        <v>49.2</v>
      </c>
      <c r="I4130" s="341">
        <v>1.1</v>
      </c>
      <c r="J4130" s="332">
        <f>IFERROR(__xludf.DUMMYFUNCTION("IF(IF(COUNTIF(P$2:P4129, P4130)=0, """", INDEX(H$2:H4129,
MAX(FILTER(ROW(H$2:H4129) - ROW(H$2) + 1, P$2:P4129 = P4130))))=""単価"","""",
IF(COUNTIF(P$2:P4129, P4130)=0, """", INDEX(H$2:H4129,
MAX(FILTER(ROW(H$2:H4129) - ROW(H$2) + 1, P$2:P4129 = P4130)))))"),48.1)</f>
        <v>48.1</v>
      </c>
      <c r="N4130" s="335" t="str">
        <f>IF(MAXIFS('単価履歴'!$O:$O,'単価履歴'!$E:$E,E4130,'単価履歴'!$F:$F,F4130)=O4130,"●","")</f>
        <v/>
      </c>
      <c r="O4130" s="346">
        <v>46079.41116898148</v>
      </c>
      <c r="P4130" s="334" t="str">
        <f t="shared" si="4"/>
        <v>山陽特殊:産振ＨＳ１(単体H1/電特A/HS))</v>
      </c>
    </row>
    <row r="4131" ht="15.75" customHeight="1">
      <c r="A4131" s="335" t="s">
        <v>5278</v>
      </c>
      <c r="B4131" s="336">
        <v>46079.0</v>
      </c>
      <c r="C4131" s="335" t="s">
        <v>12</v>
      </c>
      <c r="D4131" s="335" t="s">
        <v>50</v>
      </c>
      <c r="E4131" s="337" t="str">
        <f t="shared" si="1"/>
        <v>山陽特殊:産振</v>
      </c>
      <c r="F4131" s="338" t="s">
        <v>101</v>
      </c>
      <c r="G4131" s="339" t="str">
        <f t="shared" si="2"/>
        <v>山陽特殊:産振ＨＳ２</v>
      </c>
      <c r="H4131" s="340">
        <f t="shared" si="3"/>
        <v>49</v>
      </c>
      <c r="I4131" s="341">
        <v>1.1</v>
      </c>
      <c r="J4131" s="332">
        <f>IFERROR(__xludf.DUMMYFUNCTION("IF(IF(COUNTIF(P$2:P4130, P4131)=0, """", INDEX(H$2:H4130,
MAX(FILTER(ROW(H$2:H4130) - ROW(H$2) + 1, P$2:P4130 = P4131))))=""単価"","""",
IF(COUNTIF(P$2:P4130, P4131)=0, """", INDEX(H$2:H4130,
MAX(FILTER(ROW(H$2:H4130) - ROW(H$2) + 1, P$2:P4130 = P4131)))))"),47.9)</f>
        <v>47.9</v>
      </c>
      <c r="N4131" s="335" t="str">
        <f>IF(MAXIFS('単価履歴'!$O:$O,'単価履歴'!$E:$E,E4131,'単価履歴'!$F:$F,F4131)=O4131,"●","")</f>
        <v/>
      </c>
      <c r="O4131" s="346">
        <v>46079.41116898148</v>
      </c>
      <c r="P4131" s="334" t="str">
        <f t="shared" si="4"/>
        <v>山陽特殊:産振ＨＳ２</v>
      </c>
    </row>
    <row r="4132" ht="15.75" customHeight="1">
      <c r="A4132" s="335" t="s">
        <v>5279</v>
      </c>
      <c r="B4132" s="336">
        <v>46079.0</v>
      </c>
      <c r="C4132" s="335" t="s">
        <v>12</v>
      </c>
      <c r="D4132" s="335" t="s">
        <v>50</v>
      </c>
      <c r="E4132" s="337" t="str">
        <f t="shared" si="1"/>
        <v>山陽特殊:産振</v>
      </c>
      <c r="F4132" s="338" t="s">
        <v>105</v>
      </c>
      <c r="G4132" s="339" t="str">
        <f t="shared" si="2"/>
        <v>山陽特殊:産振ＨＳ３</v>
      </c>
      <c r="H4132" s="340">
        <f t="shared" si="3"/>
        <v>47</v>
      </c>
      <c r="I4132" s="341">
        <v>1.1</v>
      </c>
      <c r="J4132" s="332">
        <f>IFERROR(__xludf.DUMMYFUNCTION("IF(IF(COUNTIF(P$2:P4131, P4132)=0, """", INDEX(H$2:H4131,
MAX(FILTER(ROW(H$2:H4131) - ROW(H$2) + 1, P$2:P4131 = P4132))))=""単価"","""",
IF(COUNTIF(P$2:P4131, P4132)=0, """", INDEX(H$2:H4131,
MAX(FILTER(ROW(H$2:H4131) - ROW(H$2) + 1, P$2:P4131 = P4132)))))"),45.9)</f>
        <v>45.9</v>
      </c>
      <c r="N4132" s="335" t="str">
        <f>IF(MAXIFS('単価履歴'!$O:$O,'単価履歴'!$E:$E,E4132,'単価履歴'!$F:$F,F4132)=O4132,"●","")</f>
        <v/>
      </c>
      <c r="O4132" s="346">
        <v>46079.41116898148</v>
      </c>
      <c r="P4132" s="334" t="str">
        <f t="shared" si="4"/>
        <v>山陽特殊:産振ＨＳ３</v>
      </c>
    </row>
    <row r="4133" ht="15.75" customHeight="1">
      <c r="A4133" s="335" t="s">
        <v>5280</v>
      </c>
      <c r="B4133" s="336">
        <v>46080.0</v>
      </c>
      <c r="C4133" s="335" t="s">
        <v>7</v>
      </c>
      <c r="D4133" s="335" t="s">
        <v>49</v>
      </c>
      <c r="E4133" s="337" t="str">
        <f t="shared" si="1"/>
        <v>合同大阪:伊藤忠</v>
      </c>
      <c r="F4133" s="338" t="s">
        <v>1199</v>
      </c>
      <c r="G4133" s="339" t="str">
        <f t="shared" si="2"/>
        <v>合同大阪:伊藤忠ＨＳ１(単体H1/電特A/HS))</v>
      </c>
      <c r="H4133" s="340">
        <f t="shared" si="3"/>
        <v>47.8</v>
      </c>
      <c r="I4133" s="341">
        <v>0.5</v>
      </c>
      <c r="J4133" s="332">
        <f>IFERROR(__xludf.DUMMYFUNCTION("IF(IF(COUNTIF(P$2:P4132, P4133)=0, """", INDEX(H$2:H4132,
MAX(FILTER(ROW(H$2:H4132) - ROW(H$2) + 1, P$2:P4132 = P4133))))=""単価"","""",
IF(COUNTIF(P$2:P4132, P4133)=0, """", INDEX(H$2:H4132,
MAX(FILTER(ROW(H$2:H4132) - ROW(H$2) + 1, P$2:P4132 = P4133)))))"),47.3)</f>
        <v>47.3</v>
      </c>
      <c r="N4133" s="335" t="str">
        <f>IF(MAXIFS('単価履歴'!$O:$O,'単価履歴'!$E:$E,E4133,'単価履歴'!$F:$F,F4133)=O4133,"●","")</f>
        <v/>
      </c>
      <c r="O4133" s="346">
        <v>46080.27604166667</v>
      </c>
      <c r="P4133" s="334" t="str">
        <f t="shared" si="4"/>
        <v>合同大阪:伊藤忠ＨＳ１(単体H1/電特A/HS))</v>
      </c>
    </row>
    <row r="4134" ht="15.75" customHeight="1">
      <c r="A4134" s="335" t="s">
        <v>5281</v>
      </c>
      <c r="B4134" s="336">
        <v>46080.0</v>
      </c>
      <c r="C4134" s="335" t="s">
        <v>7</v>
      </c>
      <c r="D4134" s="335" t="s">
        <v>49</v>
      </c>
      <c r="E4134" s="337" t="str">
        <f t="shared" si="1"/>
        <v>合同大阪:伊藤忠</v>
      </c>
      <c r="F4134" s="338" t="s">
        <v>101</v>
      </c>
      <c r="G4134" s="339" t="str">
        <f t="shared" si="2"/>
        <v>合同大阪:伊藤忠ＨＳ２</v>
      </c>
      <c r="H4134" s="340">
        <f t="shared" si="3"/>
        <v>47.3</v>
      </c>
      <c r="I4134" s="341">
        <v>0.5</v>
      </c>
      <c r="J4134" s="332">
        <f>IFERROR(__xludf.DUMMYFUNCTION("IF(IF(COUNTIF(P$2:P4133, P4134)=0, """", INDEX(H$2:H4133,
MAX(FILTER(ROW(H$2:H4133) - ROW(H$2) + 1, P$2:P4133 = P4134))))=""単価"","""",
IF(COUNTIF(P$2:P4133, P4134)=0, """", INDEX(H$2:H4133,
MAX(FILTER(ROW(H$2:H4133) - ROW(H$2) + 1, P$2:P4133 = P4134)))))"),46.8)</f>
        <v>46.8</v>
      </c>
      <c r="N4134" s="335" t="str">
        <f>IF(MAXIFS('単価履歴'!$O:$O,'単価履歴'!$E:$E,E4134,'単価履歴'!$F:$F,F4134)=O4134,"●","")</f>
        <v/>
      </c>
      <c r="O4134" s="346">
        <v>46080.27604166667</v>
      </c>
      <c r="P4134" s="334" t="str">
        <f t="shared" si="4"/>
        <v>合同大阪:伊藤忠ＨＳ２</v>
      </c>
    </row>
    <row r="4135" ht="15.75" customHeight="1">
      <c r="A4135" s="335" t="s">
        <v>5282</v>
      </c>
      <c r="B4135" s="336">
        <v>46080.0</v>
      </c>
      <c r="C4135" s="335" t="s">
        <v>7</v>
      </c>
      <c r="D4135" s="335" t="s">
        <v>49</v>
      </c>
      <c r="E4135" s="337" t="str">
        <f t="shared" si="1"/>
        <v>合同大阪:伊藤忠</v>
      </c>
      <c r="F4135" s="338" t="s">
        <v>111</v>
      </c>
      <c r="G4135" s="339" t="str">
        <f t="shared" si="2"/>
        <v>合同大阪:伊藤忠Ｈ１(特A)</v>
      </c>
      <c r="H4135" s="340">
        <f t="shared" si="3"/>
        <v>48.3</v>
      </c>
      <c r="I4135" s="341">
        <v>0.5</v>
      </c>
      <c r="J4135" s="332">
        <f>IFERROR(__xludf.DUMMYFUNCTION("IF(IF(COUNTIF(P$2:P4134, P4135)=0, """", INDEX(H$2:H4134,
MAX(FILTER(ROW(H$2:H4134) - ROW(H$2) + 1, P$2:P4134 = P4135))))=""単価"","""",
IF(COUNTIF(P$2:P4134, P4135)=0, """", INDEX(H$2:H4134,
MAX(FILTER(ROW(H$2:H4134) - ROW(H$2) + 1, P$2:P4134 = P4135)))))"),47.8)</f>
        <v>47.8</v>
      </c>
      <c r="N4135" s="335" t="str">
        <f>IF(MAXIFS('単価履歴'!$O:$O,'単価履歴'!$E:$E,E4135,'単価履歴'!$F:$F,F4135)=O4135,"●","")</f>
        <v/>
      </c>
      <c r="O4135" s="346">
        <v>46080.27604166667</v>
      </c>
      <c r="P4135" s="334" t="str">
        <f t="shared" si="4"/>
        <v>合同大阪:伊藤忠Ｈ１(特A)</v>
      </c>
    </row>
    <row r="4136" ht="15.75" customHeight="1">
      <c r="A4136" s="335" t="s">
        <v>5283</v>
      </c>
      <c r="B4136" s="336">
        <v>46080.0</v>
      </c>
      <c r="C4136" s="335" t="s">
        <v>7</v>
      </c>
      <c r="D4136" s="335" t="s">
        <v>49</v>
      </c>
      <c r="E4136" s="337" t="str">
        <f t="shared" si="1"/>
        <v>合同大阪:伊藤忠</v>
      </c>
      <c r="F4136" s="338" t="s">
        <v>116</v>
      </c>
      <c r="G4136" s="339" t="str">
        <f t="shared" si="2"/>
        <v>合同大阪:伊藤忠Ｈ２(特級)</v>
      </c>
      <c r="H4136" s="340">
        <f t="shared" si="3"/>
        <v>46.3</v>
      </c>
      <c r="I4136" s="341">
        <v>0.5</v>
      </c>
      <c r="J4136" s="332">
        <f>IFERROR(__xludf.DUMMYFUNCTION("IF(IF(COUNTIF(P$2:P4135, P4136)=0, """", INDEX(H$2:H4135,
MAX(FILTER(ROW(H$2:H4135) - ROW(H$2) + 1, P$2:P4135 = P4136))))=""単価"","""",
IF(COUNTIF(P$2:P4135, P4136)=0, """", INDEX(H$2:H4135,
MAX(FILTER(ROW(H$2:H4135) - ROW(H$2) + 1, P$2:P4135 = P4136)))))"),45.8)</f>
        <v>45.8</v>
      </c>
      <c r="N4136" s="335" t="str">
        <f>IF(MAXIFS('単価履歴'!$O:$O,'単価履歴'!$E:$E,E4136,'単価履歴'!$F:$F,F4136)=O4136,"●","")</f>
        <v/>
      </c>
      <c r="O4136" s="346">
        <v>46080.27604166667</v>
      </c>
      <c r="P4136" s="334" t="str">
        <f t="shared" si="4"/>
        <v>合同大阪:伊藤忠Ｈ２(特級)</v>
      </c>
    </row>
    <row r="4137" ht="15.75" customHeight="1">
      <c r="A4137" s="335" t="s">
        <v>5284</v>
      </c>
      <c r="B4137" s="336">
        <v>46080.0</v>
      </c>
      <c r="C4137" s="335" t="s">
        <v>7</v>
      </c>
      <c r="D4137" s="335" t="s">
        <v>49</v>
      </c>
      <c r="E4137" s="337" t="str">
        <f t="shared" si="1"/>
        <v>合同大阪:伊藤忠</v>
      </c>
      <c r="F4137" s="338" t="s">
        <v>119</v>
      </c>
      <c r="G4137" s="339" t="str">
        <f t="shared" si="2"/>
        <v>合同大阪:伊藤忠Ｈ３(1級)</v>
      </c>
      <c r="H4137" s="340">
        <f t="shared" si="3"/>
        <v>45.8</v>
      </c>
      <c r="I4137" s="341">
        <v>0.5</v>
      </c>
      <c r="J4137" s="332">
        <f>IFERROR(__xludf.DUMMYFUNCTION("IF(IF(COUNTIF(P$2:P4136, P4137)=0, """", INDEX(H$2:H4136,
MAX(FILTER(ROW(H$2:H4136) - ROW(H$2) + 1, P$2:P4136 = P4137))))=""単価"","""",
IF(COUNTIF(P$2:P4136, P4137)=0, """", INDEX(H$2:H4136,
MAX(FILTER(ROW(H$2:H4136) - ROW(H$2) + 1, P$2:P4136 = P4137)))))"),45.3)</f>
        <v>45.3</v>
      </c>
      <c r="N4137" s="335" t="str">
        <f>IF(MAXIFS('単価履歴'!$O:$O,'単価履歴'!$E:$E,E4137,'単価履歴'!$F:$F,F4137)=O4137,"●","")</f>
        <v/>
      </c>
      <c r="O4137" s="346">
        <v>46080.27604166667</v>
      </c>
      <c r="P4137" s="334" t="str">
        <f t="shared" si="4"/>
        <v>合同大阪:伊藤忠Ｈ３(1級)</v>
      </c>
    </row>
    <row r="4138" ht="15.75" customHeight="1">
      <c r="A4138" s="335" t="s">
        <v>5285</v>
      </c>
      <c r="B4138" s="336">
        <v>46080.0</v>
      </c>
      <c r="C4138" s="335" t="s">
        <v>7</v>
      </c>
      <c r="D4138" s="335" t="s">
        <v>49</v>
      </c>
      <c r="E4138" s="337" t="str">
        <f t="shared" si="1"/>
        <v>合同大阪:伊藤忠</v>
      </c>
      <c r="F4138" s="338" t="s">
        <v>122</v>
      </c>
      <c r="G4138" s="339" t="str">
        <f t="shared" si="2"/>
        <v>合同大阪:伊藤忠Ｌ１(2級)</v>
      </c>
      <c r="H4138" s="340">
        <f t="shared" si="3"/>
        <v>44.8</v>
      </c>
      <c r="I4138" s="341">
        <v>0.5</v>
      </c>
      <c r="J4138" s="332">
        <f>IFERROR(__xludf.DUMMYFUNCTION("IF(IF(COUNTIF(P$2:P4137, P4138)=0, """", INDEX(H$2:H4137,
MAX(FILTER(ROW(H$2:H4137) - ROW(H$2) + 1, P$2:P4137 = P4138))))=""単価"","""",
IF(COUNTIF(P$2:P4137, P4138)=0, """", INDEX(H$2:H4137,
MAX(FILTER(ROW(H$2:H4137) - ROW(H$2) + 1, P$2:P4137 = P4138)))))"),44.3)</f>
        <v>44.3</v>
      </c>
      <c r="N4138" s="335" t="str">
        <f>IF(MAXIFS('単価履歴'!$O:$O,'単価履歴'!$E:$E,E4138,'単価履歴'!$F:$F,F4138)=O4138,"●","")</f>
        <v/>
      </c>
      <c r="O4138" s="346">
        <v>46080.27604166667</v>
      </c>
      <c r="P4138" s="334" t="str">
        <f t="shared" si="4"/>
        <v>合同大阪:伊藤忠Ｌ１(2級)</v>
      </c>
    </row>
    <row r="4139" ht="15.75" customHeight="1">
      <c r="A4139" s="335" t="s">
        <v>5286</v>
      </c>
      <c r="B4139" s="336">
        <v>46080.0</v>
      </c>
      <c r="C4139" s="335" t="s">
        <v>7</v>
      </c>
      <c r="D4139" s="335" t="s">
        <v>49</v>
      </c>
      <c r="E4139" s="337" t="str">
        <f t="shared" si="1"/>
        <v>合同大阪:伊藤忠</v>
      </c>
      <c r="F4139" s="338" t="s">
        <v>575</v>
      </c>
      <c r="G4139" s="339" t="str">
        <f t="shared" si="2"/>
        <v>合同大阪:伊藤忠鋼ダライＡ</v>
      </c>
      <c r="H4139" s="340">
        <f t="shared" si="3"/>
        <v>36.3</v>
      </c>
      <c r="I4139" s="341">
        <v>0.5</v>
      </c>
      <c r="J4139" s="332">
        <f>IFERROR(__xludf.DUMMYFUNCTION("IF(IF(COUNTIF(P$2:P4138, P4139)=0, """", INDEX(H$2:H4138,
MAX(FILTER(ROW(H$2:H4138) - ROW(H$2) + 1, P$2:P4138 = P4139))))=""単価"","""",
IF(COUNTIF(P$2:P4138, P4139)=0, """", INDEX(H$2:H4138,
MAX(FILTER(ROW(H$2:H4138) - ROW(H$2) + 1, P$2:P4138 = P4139)))))"),35.8)</f>
        <v>35.8</v>
      </c>
      <c r="N4139" s="335" t="str">
        <f>IF(MAXIFS('単価履歴'!$O:$O,'単価履歴'!$E:$E,E4139,'単価履歴'!$F:$F,F4139)=O4139,"●","")</f>
        <v/>
      </c>
      <c r="O4139" s="346">
        <v>46080.27604166667</v>
      </c>
      <c r="P4139" s="334" t="str">
        <f t="shared" si="4"/>
        <v>合同大阪:伊藤忠鋼ダライＡ</v>
      </c>
    </row>
    <row r="4140" ht="15.75" customHeight="1">
      <c r="A4140" s="335" t="s">
        <v>5287</v>
      </c>
      <c r="B4140" s="336">
        <v>46080.0</v>
      </c>
      <c r="C4140" s="335" t="s">
        <v>7</v>
      </c>
      <c r="D4140" s="335" t="s">
        <v>49</v>
      </c>
      <c r="E4140" s="337" t="str">
        <f t="shared" si="1"/>
        <v>合同大阪:伊藤忠</v>
      </c>
      <c r="F4140" s="338" t="s">
        <v>576</v>
      </c>
      <c r="G4140" s="339" t="str">
        <f t="shared" si="2"/>
        <v>合同大阪:伊藤忠鋼ダライＢ</v>
      </c>
      <c r="H4140" s="340">
        <f t="shared" si="3"/>
        <v>35.8</v>
      </c>
      <c r="I4140" s="341">
        <v>0.5</v>
      </c>
      <c r="J4140" s="332">
        <f>IFERROR(__xludf.DUMMYFUNCTION("IF(IF(COUNTIF(P$2:P4139, P4140)=0, """", INDEX(H$2:H4139,
MAX(FILTER(ROW(H$2:H4139) - ROW(H$2) + 1, P$2:P4139 = P4140))))=""単価"","""",
IF(COUNTIF(P$2:P4139, P4140)=0, """", INDEX(H$2:H4139,
MAX(FILTER(ROW(H$2:H4139) - ROW(H$2) + 1, P$2:P4139 = P4140)))))"),35.3)</f>
        <v>35.3</v>
      </c>
      <c r="N4140" s="335" t="str">
        <f>IF(MAXIFS('単価履歴'!$O:$O,'単価履歴'!$E:$E,E4140,'単価履歴'!$F:$F,F4140)=O4140,"●","")</f>
        <v/>
      </c>
      <c r="O4140" s="346">
        <v>46080.27604166667</v>
      </c>
      <c r="P4140" s="334" t="str">
        <f t="shared" si="4"/>
        <v>合同大阪:伊藤忠鋼ダライＢ</v>
      </c>
    </row>
    <row r="4141" ht="15.75" customHeight="1">
      <c r="A4141" s="335" t="s">
        <v>5288</v>
      </c>
      <c r="B4141" s="336">
        <v>46080.0</v>
      </c>
      <c r="C4141" s="335" t="s">
        <v>7</v>
      </c>
      <c r="D4141" s="335" t="s">
        <v>49</v>
      </c>
      <c r="E4141" s="337" t="str">
        <f t="shared" si="1"/>
        <v>合同大阪:伊藤忠</v>
      </c>
      <c r="F4141" s="338" t="s">
        <v>130</v>
      </c>
      <c r="G4141" s="339" t="str">
        <f t="shared" si="2"/>
        <v>合同大阪:伊藤忠新断Ａ</v>
      </c>
      <c r="H4141" s="340">
        <f t="shared" si="3"/>
        <v>49.3</v>
      </c>
      <c r="I4141" s="341">
        <v>1.0</v>
      </c>
      <c r="J4141" s="332">
        <f>IFERROR(__xludf.DUMMYFUNCTION("IF(IF(COUNTIF(P$2:P4140, P4141)=0, """", INDEX(H$2:H4140,
MAX(FILTER(ROW(H$2:H4140) - ROW(H$2) + 1, P$2:P4140 = P4141))))=""単価"","""",
IF(COUNTIF(P$2:P4140, P4141)=0, """", INDEX(H$2:H4140,
MAX(FILTER(ROW(H$2:H4140) - ROW(H$2) + 1, P$2:P4140 = P4141)))))"),48.3)</f>
        <v>48.3</v>
      </c>
      <c r="N4141" s="335" t="str">
        <f>IF(MAXIFS('単価履歴'!$O:$O,'単価履歴'!$E:$E,E4141,'単価履歴'!$F:$F,F4141)=O4141,"●","")</f>
        <v/>
      </c>
      <c r="O4141" s="346">
        <v>46080.27642361111</v>
      </c>
      <c r="P4141" s="334" t="str">
        <f t="shared" si="4"/>
        <v>合同大阪:伊藤忠新断Ａ</v>
      </c>
    </row>
    <row r="4142" ht="15.75" customHeight="1">
      <c r="A4142" s="335" t="s">
        <v>5289</v>
      </c>
      <c r="B4142" s="336">
        <v>46080.0</v>
      </c>
      <c r="C4142" s="335" t="s">
        <v>7</v>
      </c>
      <c r="D4142" s="335" t="s">
        <v>49</v>
      </c>
      <c r="E4142" s="337" t="str">
        <f t="shared" si="1"/>
        <v>合同大阪:伊藤忠</v>
      </c>
      <c r="F4142" s="338" t="s">
        <v>131</v>
      </c>
      <c r="G4142" s="339" t="str">
        <f t="shared" si="2"/>
        <v>合同大阪:伊藤忠新断Ｂ</v>
      </c>
      <c r="H4142" s="340">
        <f t="shared" si="3"/>
        <v>48.8</v>
      </c>
      <c r="I4142" s="341">
        <v>1.0</v>
      </c>
      <c r="J4142" s="332">
        <f>IFERROR(__xludf.DUMMYFUNCTION("IF(IF(COUNTIF(P$2:P4141, P4142)=0, """", INDEX(H$2:H4141,
MAX(FILTER(ROW(H$2:H4141) - ROW(H$2) + 1, P$2:P4141 = P4142))))=""単価"","""",
IF(COUNTIF(P$2:P4141, P4142)=0, """", INDEX(H$2:H4141,
MAX(FILTER(ROW(H$2:H4141) - ROW(H$2) + 1, P$2:P4141 = P4142)))))"),47.8)</f>
        <v>47.8</v>
      </c>
      <c r="N4142" s="335" t="str">
        <f>IF(MAXIFS('単価履歴'!$O:$O,'単価履歴'!$E:$E,E4142,'単価履歴'!$F:$F,F4142)=O4142,"●","")</f>
        <v/>
      </c>
      <c r="O4142" s="346">
        <v>46080.27642361111</v>
      </c>
      <c r="P4142" s="334" t="str">
        <f t="shared" si="4"/>
        <v>合同大阪:伊藤忠新断Ｂ</v>
      </c>
    </row>
    <row r="4143" ht="15.75" customHeight="1">
      <c r="A4143" s="335" t="s">
        <v>5290</v>
      </c>
      <c r="B4143" s="336">
        <v>46081.0</v>
      </c>
      <c r="C4143" s="335" t="s">
        <v>13</v>
      </c>
      <c r="D4143" s="335" t="s">
        <v>49</v>
      </c>
      <c r="E4143" s="337" t="str">
        <f t="shared" si="1"/>
        <v>ｸﾎﾞﾀ:伊藤忠</v>
      </c>
      <c r="F4143" s="338" t="s">
        <v>130</v>
      </c>
      <c r="G4143" s="339" t="str">
        <f t="shared" si="2"/>
        <v>ｸﾎﾞﾀ:伊藤忠新断Ａ</v>
      </c>
      <c r="H4143" s="340">
        <f t="shared" si="3"/>
        <v>51.2</v>
      </c>
      <c r="I4143" s="341">
        <v>0.5</v>
      </c>
      <c r="J4143" s="332">
        <f>IFERROR(__xludf.DUMMYFUNCTION("IF(IF(COUNTIF(P$2:P4142, P4143)=0, """", INDEX(H$2:H4142,
MAX(FILTER(ROW(H$2:H4142) - ROW(H$2) + 1, P$2:P4142 = P4143))))=""単価"","""",
IF(COUNTIF(P$2:P4142, P4143)=0, """", INDEX(H$2:H4142,
MAX(FILTER(ROW(H$2:H4142) - ROW(H$2) + 1, P$2:P4142 = P4143)))))"),50.7)</f>
        <v>50.7</v>
      </c>
      <c r="N4143" s="335" t="str">
        <f>IF(MAXIFS('単価履歴'!$O:$O,'単価履歴'!$E:$E,E4143,'単価履歴'!$F:$F,F4143)=O4143,"●","")</f>
        <v/>
      </c>
      <c r="O4143" s="346">
        <v>46081.28224537037</v>
      </c>
      <c r="P4143" s="334" t="str">
        <f t="shared" si="4"/>
        <v>ｸﾎﾞﾀ:伊藤忠新断Ａ</v>
      </c>
    </row>
    <row r="4144" ht="15.75" customHeight="1">
      <c r="A4144" s="335" t="s">
        <v>5291</v>
      </c>
      <c r="B4144" s="336">
        <v>46081.0</v>
      </c>
      <c r="C4144" s="335" t="s">
        <v>5</v>
      </c>
      <c r="D4144" s="335" t="s">
        <v>46</v>
      </c>
      <c r="E4144" s="337" t="str">
        <f t="shared" si="1"/>
        <v>中山製鋼:阪和</v>
      </c>
      <c r="F4144" s="338" t="s">
        <v>101</v>
      </c>
      <c r="G4144" s="339" t="str">
        <f t="shared" si="2"/>
        <v>中山製鋼:阪和ＨＳ２</v>
      </c>
      <c r="H4144" s="340">
        <f t="shared" si="3"/>
        <v>49.4</v>
      </c>
      <c r="I4144" s="341">
        <v>1.0</v>
      </c>
      <c r="J4144" s="332">
        <f>IFERROR(__xludf.DUMMYFUNCTION("IF(IF(COUNTIF(P$2:P4143, P4144)=0, """", INDEX(H$2:H4143,
MAX(FILTER(ROW(H$2:H4143) - ROW(H$2) + 1, P$2:P4143 = P4144))))=""単価"","""",
IF(COUNTIF(P$2:P4143, P4144)=0, """", INDEX(H$2:H4143,
MAX(FILTER(ROW(H$2:H4143) - ROW(H$2) + 1, P$2:P4143 = P4144)))))"),48.4)</f>
        <v>48.4</v>
      </c>
      <c r="N4144" s="335" t="str">
        <f>IF(MAXIFS('単価履歴'!$O:$O,'単価履歴'!$E:$E,E4144,'単価履歴'!$F:$F,F4144)=O4144,"●","")</f>
        <v/>
      </c>
      <c r="O4144" s="346">
        <v>46081.282442129625</v>
      </c>
      <c r="P4144" s="334" t="str">
        <f t="shared" si="4"/>
        <v>中山製鋼:阪和ＨＳ２</v>
      </c>
    </row>
    <row r="4145" ht="15.75" customHeight="1">
      <c r="A4145" s="335" t="s">
        <v>5292</v>
      </c>
      <c r="B4145" s="336">
        <v>46081.0</v>
      </c>
      <c r="C4145" s="335" t="s">
        <v>5</v>
      </c>
      <c r="D4145" s="335" t="s">
        <v>46</v>
      </c>
      <c r="E4145" s="337" t="str">
        <f t="shared" si="1"/>
        <v>中山製鋼:阪和</v>
      </c>
      <c r="F4145" s="338" t="s">
        <v>108</v>
      </c>
      <c r="G4145" s="339" t="str">
        <f t="shared" si="2"/>
        <v>中山製鋼:阪和Ｈ１/ｻﾑﾃｯｸ</v>
      </c>
      <c r="H4145" s="340">
        <f t="shared" si="3"/>
        <v>2.5</v>
      </c>
      <c r="I4145" s="341">
        <v>1.0</v>
      </c>
      <c r="J4145" s="332">
        <f>IFERROR(__xludf.DUMMYFUNCTION("IF(IF(COUNTIF(P$2:P4144, P4145)=0, """", INDEX(H$2:H4144,
MAX(FILTER(ROW(H$2:H4144) - ROW(H$2) + 1, P$2:P4144 = P4145))))=""単価"","""",
IF(COUNTIF(P$2:P4144, P4145)=0, """", INDEX(H$2:H4144,
MAX(FILTER(ROW(H$2:H4144) - ROW(H$2) + 1, P$2:P4144 = P4145)))))"),1.5)</f>
        <v>1.5</v>
      </c>
      <c r="N4145" s="335" t="str">
        <f>IF(MAXIFS('単価履歴'!$O:$O,'単価履歴'!$E:$E,E4145,'単価履歴'!$F:$F,F4145)=O4145,"●","")</f>
        <v/>
      </c>
      <c r="O4145" s="346">
        <v>46081.282442129625</v>
      </c>
      <c r="P4145" s="334" t="str">
        <f t="shared" si="4"/>
        <v>中山製鋼:阪和Ｈ１/ｻﾑﾃｯｸ</v>
      </c>
    </row>
    <row r="4146" ht="15.75" customHeight="1">
      <c r="A4146" s="335" t="s">
        <v>5293</v>
      </c>
      <c r="B4146" s="336">
        <v>46081.0</v>
      </c>
      <c r="C4146" s="335" t="s">
        <v>5</v>
      </c>
      <c r="D4146" s="335" t="s">
        <v>46</v>
      </c>
      <c r="E4146" s="337" t="str">
        <f t="shared" si="1"/>
        <v>中山製鋼:阪和</v>
      </c>
      <c r="F4146" s="338" t="s">
        <v>111</v>
      </c>
      <c r="G4146" s="339" t="str">
        <f t="shared" si="2"/>
        <v>中山製鋼:阪和Ｈ１(特A)</v>
      </c>
      <c r="H4146" s="340">
        <f t="shared" si="3"/>
        <v>47.3</v>
      </c>
      <c r="I4146" s="341">
        <v>1.0</v>
      </c>
      <c r="J4146" s="332">
        <f>IFERROR(__xludf.DUMMYFUNCTION("IF(IF(COUNTIF(P$2:P4145, P4146)=0, """", INDEX(H$2:H4145,
MAX(FILTER(ROW(H$2:H4145) - ROW(H$2) + 1, P$2:P4145 = P4146))))=""単価"","""",
IF(COUNTIF(P$2:P4145, P4146)=0, """", INDEX(H$2:H4145,
MAX(FILTER(ROW(H$2:H4145) - ROW(H$2) + 1, P$2:P4145 = P4146)))))"),46.3)</f>
        <v>46.3</v>
      </c>
      <c r="N4146" s="335" t="str">
        <f>IF(MAXIFS('単価履歴'!$O:$O,'単価履歴'!$E:$E,E4146,'単価履歴'!$F:$F,F4146)=O4146,"●","")</f>
        <v/>
      </c>
      <c r="O4146" s="346">
        <v>46081.282442129625</v>
      </c>
      <c r="P4146" s="334" t="str">
        <f t="shared" si="4"/>
        <v>中山製鋼:阪和Ｈ１(特A)</v>
      </c>
    </row>
    <row r="4147" ht="15.75" customHeight="1">
      <c r="A4147" s="335" t="s">
        <v>5294</v>
      </c>
      <c r="B4147" s="336">
        <v>46081.0</v>
      </c>
      <c r="C4147" s="335" t="s">
        <v>5</v>
      </c>
      <c r="D4147" s="335" t="s">
        <v>46</v>
      </c>
      <c r="E4147" s="337" t="str">
        <f t="shared" si="1"/>
        <v>中山製鋼:阪和</v>
      </c>
      <c r="F4147" s="338" t="s">
        <v>116</v>
      </c>
      <c r="G4147" s="339" t="str">
        <f t="shared" si="2"/>
        <v>中山製鋼:阪和Ｈ２(特級)</v>
      </c>
      <c r="H4147" s="340">
        <f t="shared" si="3"/>
        <v>41.3</v>
      </c>
      <c r="I4147" s="341">
        <v>1.0</v>
      </c>
      <c r="J4147" s="332">
        <f>IFERROR(__xludf.DUMMYFUNCTION("IF(IF(COUNTIF(P$2:P4146, P4147)=0, """", INDEX(H$2:H4146,
MAX(FILTER(ROW(H$2:H4146) - ROW(H$2) + 1, P$2:P4146 = P4147))))=""単価"","""",
IF(COUNTIF(P$2:P4146, P4147)=0, """", INDEX(H$2:H4146,
MAX(FILTER(ROW(H$2:H4146) - ROW(H$2) + 1, P$2:P4146 = P4147)))))"),40.3)</f>
        <v>40.3</v>
      </c>
      <c r="N4147" s="335" t="str">
        <f>IF(MAXIFS('単価履歴'!$O:$O,'単価履歴'!$E:$E,E4147,'単価履歴'!$F:$F,F4147)=O4147,"●","")</f>
        <v/>
      </c>
      <c r="O4147" s="346">
        <v>46081.282442129625</v>
      </c>
      <c r="P4147" s="334" t="str">
        <f t="shared" si="4"/>
        <v>中山製鋼:阪和Ｈ２(特級)</v>
      </c>
    </row>
    <row r="4148" ht="15.75" customHeight="1">
      <c r="A4148" s="335" t="s">
        <v>5295</v>
      </c>
      <c r="B4148" s="336">
        <v>46081.0</v>
      </c>
      <c r="C4148" s="335" t="s">
        <v>5</v>
      </c>
      <c r="D4148" s="335" t="s">
        <v>46</v>
      </c>
      <c r="E4148" s="337" t="str">
        <f t="shared" si="1"/>
        <v>中山製鋼:阪和</v>
      </c>
      <c r="F4148" s="338" t="s">
        <v>119</v>
      </c>
      <c r="G4148" s="339" t="str">
        <f t="shared" si="2"/>
        <v>中山製鋼:阪和Ｈ３(1級)</v>
      </c>
      <c r="H4148" s="340">
        <f t="shared" si="3"/>
        <v>37.3</v>
      </c>
      <c r="I4148" s="341">
        <v>1.0</v>
      </c>
      <c r="J4148" s="332">
        <f>IFERROR(__xludf.DUMMYFUNCTION("IF(IF(COUNTIF(P$2:P4147, P4148)=0, """", INDEX(H$2:H4147,
MAX(FILTER(ROW(H$2:H4147) - ROW(H$2) + 1, P$2:P4147 = P4148))))=""単価"","""",
IF(COUNTIF(P$2:P4147, P4148)=0, """", INDEX(H$2:H4147,
MAX(FILTER(ROW(H$2:H4147) - ROW(H$2) + 1, P$2:P4147 = P4148)))))"),36.3)</f>
        <v>36.3</v>
      </c>
      <c r="N4148" s="335" t="str">
        <f>IF(MAXIFS('単価履歴'!$O:$O,'単価履歴'!$E:$E,E4148,'単価履歴'!$F:$F,F4148)=O4148,"●","")</f>
        <v/>
      </c>
      <c r="O4148" s="346">
        <v>46081.282442129625</v>
      </c>
      <c r="P4148" s="334" t="str">
        <f t="shared" si="4"/>
        <v>中山製鋼:阪和Ｈ３(1級)</v>
      </c>
    </row>
    <row r="4149" ht="15.75" customHeight="1">
      <c r="A4149" s="335" t="s">
        <v>5296</v>
      </c>
      <c r="B4149" s="336">
        <v>46081.0</v>
      </c>
      <c r="C4149" s="335" t="s">
        <v>5</v>
      </c>
      <c r="D4149" s="335" t="s">
        <v>46</v>
      </c>
      <c r="E4149" s="337" t="str">
        <f t="shared" si="1"/>
        <v>中山製鋼:阪和</v>
      </c>
      <c r="F4149" s="338" t="s">
        <v>122</v>
      </c>
      <c r="G4149" s="339" t="str">
        <f t="shared" si="2"/>
        <v>中山製鋼:阪和Ｌ１(2級)</v>
      </c>
      <c r="H4149" s="340">
        <f t="shared" si="3"/>
        <v>30.8</v>
      </c>
      <c r="I4149" s="341">
        <v>1.0</v>
      </c>
      <c r="J4149" s="332">
        <f>IFERROR(__xludf.DUMMYFUNCTION("IF(IF(COUNTIF(P$2:P4148, P4149)=0, """", INDEX(H$2:H4148,
MAX(FILTER(ROW(H$2:H4148) - ROW(H$2) + 1, P$2:P4148 = P4149))))=""単価"","""",
IF(COUNTIF(P$2:P4148, P4149)=0, """", INDEX(H$2:H4148,
MAX(FILTER(ROW(H$2:H4148) - ROW(H$2) + 1, P$2:P4148 = P4149)))))"),29.8)</f>
        <v>29.8</v>
      </c>
      <c r="N4149" s="335" t="str">
        <f>IF(MAXIFS('単価履歴'!$O:$O,'単価履歴'!$E:$E,E4149,'単価履歴'!$F:$F,F4149)=O4149,"●","")</f>
        <v/>
      </c>
      <c r="O4149" s="346">
        <v>46081.282442129625</v>
      </c>
      <c r="P4149" s="334" t="str">
        <f t="shared" si="4"/>
        <v>中山製鋼:阪和Ｌ１(2級)</v>
      </c>
    </row>
    <row r="4150" ht="15.75" customHeight="1">
      <c r="A4150" s="335" t="s">
        <v>5297</v>
      </c>
      <c r="B4150" s="336">
        <v>46081.0</v>
      </c>
      <c r="C4150" s="335" t="s">
        <v>5</v>
      </c>
      <c r="D4150" s="335" t="s">
        <v>46</v>
      </c>
      <c r="E4150" s="337" t="str">
        <f t="shared" si="1"/>
        <v>中山製鋼:阪和</v>
      </c>
      <c r="F4150" s="338" t="s">
        <v>130</v>
      </c>
      <c r="G4150" s="339" t="str">
        <f t="shared" si="2"/>
        <v>中山製鋼:阪和新断Ａ</v>
      </c>
      <c r="H4150" s="340">
        <f t="shared" si="3"/>
        <v>50.3</v>
      </c>
      <c r="I4150" s="341">
        <v>1.0</v>
      </c>
      <c r="J4150" s="332">
        <f>IFERROR(__xludf.DUMMYFUNCTION("IF(IF(COUNTIF(P$2:P4149, P4150)=0, """", INDEX(H$2:H4149,
MAX(FILTER(ROW(H$2:H4149) - ROW(H$2) + 1, P$2:P4149 = P4150))))=""単価"","""",
IF(COUNTIF(P$2:P4149, P4150)=0, """", INDEX(H$2:H4149,
MAX(FILTER(ROW(H$2:H4149) - ROW(H$2) + 1, P$2:P4149 = P4150)))))"),49.3)</f>
        <v>49.3</v>
      </c>
      <c r="N4150" s="335" t="str">
        <f>IF(MAXIFS('単価履歴'!$O:$O,'単価履歴'!$E:$E,E4150,'単価履歴'!$F:$F,F4150)=O4150,"●","")</f>
        <v/>
      </c>
      <c r="O4150" s="346">
        <v>46081.282442129625</v>
      </c>
      <c r="P4150" s="334" t="str">
        <f t="shared" si="4"/>
        <v>中山製鋼:阪和新断Ａ</v>
      </c>
    </row>
    <row r="4151" ht="15.75" customHeight="1">
      <c r="A4151" s="335" t="s">
        <v>5298</v>
      </c>
      <c r="B4151" s="336">
        <v>46081.0</v>
      </c>
      <c r="C4151" s="335" t="s">
        <v>5</v>
      </c>
      <c r="D4151" s="335" t="s">
        <v>46</v>
      </c>
      <c r="E4151" s="337" t="str">
        <f t="shared" si="1"/>
        <v>中山製鋼:阪和</v>
      </c>
      <c r="F4151" s="338" t="s">
        <v>131</v>
      </c>
      <c r="G4151" s="339" t="str">
        <f t="shared" si="2"/>
        <v>中山製鋼:阪和新断Ｂ</v>
      </c>
      <c r="H4151" s="340">
        <f t="shared" si="3"/>
        <v>49.3</v>
      </c>
      <c r="I4151" s="341">
        <v>1.0</v>
      </c>
      <c r="J4151" s="332">
        <f>IFERROR(__xludf.DUMMYFUNCTION("IF(IF(COUNTIF(P$2:P4150, P4151)=0, """", INDEX(H$2:H4150,
MAX(FILTER(ROW(H$2:H4150) - ROW(H$2) + 1, P$2:P4150 = P4151))))=""単価"","""",
IF(COUNTIF(P$2:P4150, P4151)=0, """", INDEX(H$2:H4150,
MAX(FILTER(ROW(H$2:H4150) - ROW(H$2) + 1, P$2:P4150 = P4151)))))"),48.3)</f>
        <v>48.3</v>
      </c>
      <c r="N4151" s="335" t="str">
        <f>IF(MAXIFS('単価履歴'!$O:$O,'単価履歴'!$E:$E,E4151,'単価履歴'!$F:$F,F4151)=O4151,"●","")</f>
        <v/>
      </c>
      <c r="O4151" s="346">
        <v>46081.282442129625</v>
      </c>
      <c r="P4151" s="334" t="str">
        <f t="shared" si="4"/>
        <v>中山製鋼:阪和新断Ｂ</v>
      </c>
    </row>
    <row r="4152" ht="15.75" customHeight="1">
      <c r="A4152" s="335" t="s">
        <v>5299</v>
      </c>
      <c r="B4152" s="336">
        <v>46081.0</v>
      </c>
      <c r="C4152" s="335" t="s">
        <v>5</v>
      </c>
      <c r="D4152" s="335" t="s">
        <v>46</v>
      </c>
      <c r="E4152" s="337" t="str">
        <f t="shared" si="1"/>
        <v>中山製鋼:阪和</v>
      </c>
      <c r="F4152" s="338" t="s">
        <v>574</v>
      </c>
      <c r="G4152" s="339" t="str">
        <f t="shared" si="2"/>
        <v>中山製鋼:阪和新断Ｃ</v>
      </c>
      <c r="H4152" s="340">
        <f t="shared" si="3"/>
        <v>48.3</v>
      </c>
      <c r="I4152" s="341">
        <v>1.0</v>
      </c>
      <c r="J4152" s="332">
        <f>IFERROR(__xludf.DUMMYFUNCTION("IF(IF(COUNTIF(P$2:P4151, P4152)=0, """", INDEX(H$2:H4151,
MAX(FILTER(ROW(H$2:H4151) - ROW(H$2) + 1, P$2:P4151 = P4152))))=""単価"","""",
IF(COUNTIF(P$2:P4151, P4152)=0, """", INDEX(H$2:H4151,
MAX(FILTER(ROW(H$2:H4151) - ROW(H$2) + 1, P$2:P4151 = P4152)))))"),47.3)</f>
        <v>47.3</v>
      </c>
      <c r="N4152" s="335" t="str">
        <f>IF(MAXIFS('単価履歴'!$O:$O,'単価履歴'!$E:$E,E4152,'単価履歴'!$F:$F,F4152)=O4152,"●","")</f>
        <v/>
      </c>
      <c r="O4152" s="346">
        <v>46081.282442129625</v>
      </c>
      <c r="P4152" s="334" t="str">
        <f t="shared" si="4"/>
        <v>中山製鋼:阪和新断Ｃ</v>
      </c>
    </row>
    <row r="4153" ht="15.75" customHeight="1">
      <c r="A4153" s="335" t="s">
        <v>5300</v>
      </c>
      <c r="B4153" s="336">
        <v>46081.0</v>
      </c>
      <c r="C4153" s="335" t="s">
        <v>5</v>
      </c>
      <c r="D4153" s="335" t="s">
        <v>47</v>
      </c>
      <c r="E4153" s="337" t="str">
        <f t="shared" si="1"/>
        <v>中山製鋼:豊通</v>
      </c>
      <c r="F4153" s="338" t="s">
        <v>1199</v>
      </c>
      <c r="G4153" s="339" t="str">
        <f t="shared" si="2"/>
        <v>中山製鋼:豊通ＨＳ１(単体H1/電特A/HS))</v>
      </c>
      <c r="H4153" s="340">
        <f t="shared" si="3"/>
        <v>49.3</v>
      </c>
      <c r="I4153" s="341">
        <v>1.0</v>
      </c>
      <c r="J4153" s="332">
        <f>IFERROR(__xludf.DUMMYFUNCTION("IF(IF(COUNTIF(P$2:P4152, P4153)=0, """", INDEX(H$2:H4152,
MAX(FILTER(ROW(H$2:H4152) - ROW(H$2) + 1, P$2:P4152 = P4153))))=""単価"","""",
IF(COUNTIF(P$2:P4152, P4153)=0, """", INDEX(H$2:H4152,
MAX(FILTER(ROW(H$2:H4152) - ROW(H$2) + 1, P$2:P4152 = P4153)))))"),48.3)</f>
        <v>48.3</v>
      </c>
      <c r="N4153" s="335" t="str">
        <f>IF(MAXIFS('単価履歴'!$O:$O,'単価履歴'!$E:$E,E4153,'単価履歴'!$F:$F,F4153)=O4153,"●","")</f>
        <v/>
      </c>
      <c r="O4153" s="346">
        <v>46081.28283564815</v>
      </c>
      <c r="P4153" s="334" t="str">
        <f t="shared" si="4"/>
        <v>中山製鋼:豊通ＨＳ１(単体H1/電特A/HS))</v>
      </c>
    </row>
    <row r="4154" ht="15.75" customHeight="1">
      <c r="A4154" s="335" t="s">
        <v>5301</v>
      </c>
      <c r="B4154" s="336">
        <v>46081.0</v>
      </c>
      <c r="C4154" s="335" t="s">
        <v>5</v>
      </c>
      <c r="D4154" s="335" t="s">
        <v>47</v>
      </c>
      <c r="E4154" s="337" t="str">
        <f t="shared" si="1"/>
        <v>中山製鋼:豊通</v>
      </c>
      <c r="F4154" s="338" t="s">
        <v>101</v>
      </c>
      <c r="G4154" s="339" t="str">
        <f t="shared" si="2"/>
        <v>中山製鋼:豊通ＨＳ２</v>
      </c>
      <c r="H4154" s="340">
        <f t="shared" si="3"/>
        <v>49.3</v>
      </c>
      <c r="I4154" s="341">
        <v>1.0</v>
      </c>
      <c r="J4154" s="332">
        <f>IFERROR(__xludf.DUMMYFUNCTION("IF(IF(COUNTIF(P$2:P4153, P4154)=0, """", INDEX(H$2:H4153,
MAX(FILTER(ROW(H$2:H4153) - ROW(H$2) + 1, P$2:P4153 = P4154))))=""単価"","""",
IF(COUNTIF(P$2:P4153, P4154)=0, """", INDEX(H$2:H4153,
MAX(FILTER(ROW(H$2:H4153) - ROW(H$2) + 1, P$2:P4153 = P4154)))))"),48.3)</f>
        <v>48.3</v>
      </c>
      <c r="N4154" s="335" t="str">
        <f>IF(MAXIFS('単価履歴'!$O:$O,'単価履歴'!$E:$E,E4154,'単価履歴'!$F:$F,F4154)=O4154,"●","")</f>
        <v/>
      </c>
      <c r="O4154" s="346">
        <v>46081.28283564815</v>
      </c>
      <c r="P4154" s="334" t="str">
        <f t="shared" si="4"/>
        <v>中山製鋼:豊通ＨＳ２</v>
      </c>
    </row>
    <row r="4155" ht="15.75" customHeight="1">
      <c r="A4155" s="335" t="s">
        <v>5302</v>
      </c>
      <c r="B4155" s="336">
        <v>46081.0</v>
      </c>
      <c r="C4155" s="335" t="s">
        <v>5</v>
      </c>
      <c r="D4155" s="335" t="s">
        <v>47</v>
      </c>
      <c r="E4155" s="337" t="str">
        <f t="shared" si="1"/>
        <v>中山製鋼:豊通</v>
      </c>
      <c r="F4155" s="338" t="s">
        <v>108</v>
      </c>
      <c r="G4155" s="339" t="str">
        <f t="shared" si="2"/>
        <v>中山製鋼:豊通Ｈ１/ｻﾑﾃｯｸ</v>
      </c>
      <c r="H4155" s="340">
        <f t="shared" si="3"/>
        <v>2.5</v>
      </c>
      <c r="I4155" s="341">
        <v>1.0</v>
      </c>
      <c r="J4155" s="332">
        <f>IFERROR(__xludf.DUMMYFUNCTION("IF(IF(COUNTIF(P$2:P4154, P4155)=0, """", INDEX(H$2:H4154,
MAX(FILTER(ROW(H$2:H4154) - ROW(H$2) + 1, P$2:P4154 = P4155))))=""単価"","""",
IF(COUNTIF(P$2:P4154, P4155)=0, """", INDEX(H$2:H4154,
MAX(FILTER(ROW(H$2:H4154) - ROW(H$2) + 1, P$2:P4154 = P4155)))))"),1.5)</f>
        <v>1.5</v>
      </c>
      <c r="N4155" s="335" t="str">
        <f>IF(MAXIFS('単価履歴'!$O:$O,'単価履歴'!$E:$E,E4155,'単価履歴'!$F:$F,F4155)=O4155,"●","")</f>
        <v/>
      </c>
      <c r="O4155" s="346">
        <v>46081.28283564815</v>
      </c>
      <c r="P4155" s="334" t="str">
        <f t="shared" si="4"/>
        <v>中山製鋼:豊通Ｈ１/ｻﾑﾃｯｸ</v>
      </c>
    </row>
    <row r="4156" ht="15.75" customHeight="1">
      <c r="A4156" s="335" t="s">
        <v>5303</v>
      </c>
      <c r="B4156" s="336">
        <v>46081.0</v>
      </c>
      <c r="C4156" s="335" t="s">
        <v>5</v>
      </c>
      <c r="D4156" s="335" t="s">
        <v>47</v>
      </c>
      <c r="E4156" s="337" t="str">
        <f t="shared" si="1"/>
        <v>中山製鋼:豊通</v>
      </c>
      <c r="F4156" s="338" t="s">
        <v>111</v>
      </c>
      <c r="G4156" s="339" t="str">
        <f t="shared" si="2"/>
        <v>中山製鋼:豊通Ｈ１(特A)</v>
      </c>
      <c r="H4156" s="340">
        <f t="shared" si="3"/>
        <v>47.3</v>
      </c>
      <c r="I4156" s="341">
        <v>1.0</v>
      </c>
      <c r="J4156" s="332">
        <f>IFERROR(__xludf.DUMMYFUNCTION("IF(IF(COUNTIF(P$2:P4155, P4156)=0, """", INDEX(H$2:H4155,
MAX(FILTER(ROW(H$2:H4155) - ROW(H$2) + 1, P$2:P4155 = P4156))))=""単価"","""",
IF(COUNTIF(P$2:P4155, P4156)=0, """", INDEX(H$2:H4155,
MAX(FILTER(ROW(H$2:H4155) - ROW(H$2) + 1, P$2:P4155 = P4156)))))"),46.3)</f>
        <v>46.3</v>
      </c>
      <c r="N4156" s="335" t="str">
        <f>IF(MAXIFS('単価履歴'!$O:$O,'単価履歴'!$E:$E,E4156,'単価履歴'!$F:$F,F4156)=O4156,"●","")</f>
        <v/>
      </c>
      <c r="O4156" s="346">
        <v>46081.28283564815</v>
      </c>
      <c r="P4156" s="334" t="str">
        <f t="shared" si="4"/>
        <v>中山製鋼:豊通Ｈ１(特A)</v>
      </c>
    </row>
    <row r="4157" ht="15.75" customHeight="1">
      <c r="A4157" s="335" t="s">
        <v>5304</v>
      </c>
      <c r="B4157" s="336">
        <v>46081.0</v>
      </c>
      <c r="C4157" s="335" t="s">
        <v>5</v>
      </c>
      <c r="D4157" s="335" t="s">
        <v>47</v>
      </c>
      <c r="E4157" s="337" t="str">
        <f t="shared" si="1"/>
        <v>中山製鋼:豊通</v>
      </c>
      <c r="F4157" s="338" t="s">
        <v>116</v>
      </c>
      <c r="G4157" s="339" t="str">
        <f t="shared" si="2"/>
        <v>中山製鋼:豊通Ｈ２(特級)</v>
      </c>
      <c r="H4157" s="340">
        <f t="shared" si="3"/>
        <v>41.3</v>
      </c>
      <c r="I4157" s="341">
        <v>1.0</v>
      </c>
      <c r="J4157" s="332">
        <f>IFERROR(__xludf.DUMMYFUNCTION("IF(IF(COUNTIF(P$2:P4156, P4157)=0, """", INDEX(H$2:H4156,
MAX(FILTER(ROW(H$2:H4156) - ROW(H$2) + 1, P$2:P4156 = P4157))))=""単価"","""",
IF(COUNTIF(P$2:P4156, P4157)=0, """", INDEX(H$2:H4156,
MAX(FILTER(ROW(H$2:H4156) - ROW(H$2) + 1, P$2:P4156 = P4157)))))"),40.3)</f>
        <v>40.3</v>
      </c>
      <c r="N4157" s="335" t="str">
        <f>IF(MAXIFS('単価履歴'!$O:$O,'単価履歴'!$E:$E,E4157,'単価履歴'!$F:$F,F4157)=O4157,"●","")</f>
        <v/>
      </c>
      <c r="O4157" s="346">
        <v>46081.28283564815</v>
      </c>
      <c r="P4157" s="334" t="str">
        <f t="shared" si="4"/>
        <v>中山製鋼:豊通Ｈ２(特級)</v>
      </c>
    </row>
    <row r="4158" ht="15.75" customHeight="1">
      <c r="A4158" s="335" t="s">
        <v>5305</v>
      </c>
      <c r="B4158" s="336">
        <v>46081.0</v>
      </c>
      <c r="C4158" s="335" t="s">
        <v>5</v>
      </c>
      <c r="D4158" s="335" t="s">
        <v>47</v>
      </c>
      <c r="E4158" s="337" t="str">
        <f t="shared" si="1"/>
        <v>中山製鋼:豊通</v>
      </c>
      <c r="F4158" s="338" t="s">
        <v>119</v>
      </c>
      <c r="G4158" s="339" t="str">
        <f t="shared" si="2"/>
        <v>中山製鋼:豊通Ｈ３(1級)</v>
      </c>
      <c r="H4158" s="340">
        <f t="shared" si="3"/>
        <v>37.3</v>
      </c>
      <c r="I4158" s="341">
        <v>1.0</v>
      </c>
      <c r="J4158" s="332">
        <f>IFERROR(__xludf.DUMMYFUNCTION("IF(IF(COUNTIF(P$2:P4157, P4158)=0, """", INDEX(H$2:H4157,
MAX(FILTER(ROW(H$2:H4157) - ROW(H$2) + 1, P$2:P4157 = P4158))))=""単価"","""",
IF(COUNTIF(P$2:P4157, P4158)=0, """", INDEX(H$2:H4157,
MAX(FILTER(ROW(H$2:H4157) - ROW(H$2) + 1, P$2:P4157 = P4158)))))"),36.3)</f>
        <v>36.3</v>
      </c>
      <c r="N4158" s="335" t="str">
        <f>IF(MAXIFS('単価履歴'!$O:$O,'単価履歴'!$E:$E,E4158,'単価履歴'!$F:$F,F4158)=O4158,"●","")</f>
        <v/>
      </c>
      <c r="O4158" s="346">
        <v>46081.28283564815</v>
      </c>
      <c r="P4158" s="334" t="str">
        <f t="shared" si="4"/>
        <v>中山製鋼:豊通Ｈ３(1級)</v>
      </c>
    </row>
    <row r="4159" ht="15.75" customHeight="1">
      <c r="A4159" s="335" t="s">
        <v>5306</v>
      </c>
      <c r="B4159" s="336">
        <v>46081.0</v>
      </c>
      <c r="C4159" s="335" t="s">
        <v>5</v>
      </c>
      <c r="D4159" s="335" t="s">
        <v>47</v>
      </c>
      <c r="E4159" s="337" t="str">
        <f t="shared" si="1"/>
        <v>中山製鋼:豊通</v>
      </c>
      <c r="F4159" s="338" t="s">
        <v>122</v>
      </c>
      <c r="G4159" s="339" t="str">
        <f t="shared" si="2"/>
        <v>中山製鋼:豊通Ｌ１(2級)</v>
      </c>
      <c r="H4159" s="340">
        <f t="shared" si="3"/>
        <v>30.8</v>
      </c>
      <c r="I4159" s="341">
        <v>1.0</v>
      </c>
      <c r="J4159" s="332">
        <f>IFERROR(__xludf.DUMMYFUNCTION("IF(IF(COUNTIF(P$2:P4158, P4159)=0, """", INDEX(H$2:H4158,
MAX(FILTER(ROW(H$2:H4158) - ROW(H$2) + 1, P$2:P4158 = P4159))))=""単価"","""",
IF(COUNTIF(P$2:P4158, P4159)=0, """", INDEX(H$2:H4158,
MAX(FILTER(ROW(H$2:H4158) - ROW(H$2) + 1, P$2:P4158 = P4159)))))"),29.8)</f>
        <v>29.8</v>
      </c>
      <c r="N4159" s="335" t="str">
        <f>IF(MAXIFS('単価履歴'!$O:$O,'単価履歴'!$E:$E,E4159,'単価履歴'!$F:$F,F4159)=O4159,"●","")</f>
        <v/>
      </c>
      <c r="O4159" s="346">
        <v>46081.28283564815</v>
      </c>
      <c r="P4159" s="334" t="str">
        <f t="shared" si="4"/>
        <v>中山製鋼:豊通Ｌ１(2級)</v>
      </c>
    </row>
    <row r="4160" ht="15.75" customHeight="1">
      <c r="A4160" s="335" t="s">
        <v>5307</v>
      </c>
      <c r="B4160" s="336">
        <v>46081.0</v>
      </c>
      <c r="C4160" s="335" t="s">
        <v>5</v>
      </c>
      <c r="D4160" s="335" t="s">
        <v>47</v>
      </c>
      <c r="E4160" s="337" t="str">
        <f t="shared" si="1"/>
        <v>中山製鋼:豊通</v>
      </c>
      <c r="F4160" s="338" t="s">
        <v>130</v>
      </c>
      <c r="G4160" s="339" t="str">
        <f t="shared" si="2"/>
        <v>中山製鋼:豊通新断Ａ</v>
      </c>
      <c r="H4160" s="340">
        <f t="shared" si="3"/>
        <v>50.3</v>
      </c>
      <c r="I4160" s="341">
        <v>1.0</v>
      </c>
      <c r="J4160" s="332">
        <f>IFERROR(__xludf.DUMMYFUNCTION("IF(IF(COUNTIF(P$2:P4159, P4160)=0, """", INDEX(H$2:H4159,
MAX(FILTER(ROW(H$2:H4159) - ROW(H$2) + 1, P$2:P4159 = P4160))))=""単価"","""",
IF(COUNTIF(P$2:P4159, P4160)=0, """", INDEX(H$2:H4159,
MAX(FILTER(ROW(H$2:H4159) - ROW(H$2) + 1, P$2:P4159 = P4160)))))"),49.3)</f>
        <v>49.3</v>
      </c>
      <c r="N4160" s="335" t="str">
        <f>IF(MAXIFS('単価履歴'!$O:$O,'単価履歴'!$E:$E,E4160,'単価履歴'!$F:$F,F4160)=O4160,"●","")</f>
        <v/>
      </c>
      <c r="O4160" s="346">
        <v>46081.28283564815</v>
      </c>
      <c r="P4160" s="334" t="str">
        <f t="shared" si="4"/>
        <v>中山製鋼:豊通新断Ａ</v>
      </c>
    </row>
    <row r="4161" ht="15.75" customHeight="1">
      <c r="A4161" s="335" t="s">
        <v>5308</v>
      </c>
      <c r="B4161" s="336">
        <v>46081.0</v>
      </c>
      <c r="C4161" s="335" t="s">
        <v>5</v>
      </c>
      <c r="D4161" s="335" t="s">
        <v>47</v>
      </c>
      <c r="E4161" s="337" t="str">
        <f t="shared" si="1"/>
        <v>中山製鋼:豊通</v>
      </c>
      <c r="F4161" s="338" t="s">
        <v>131</v>
      </c>
      <c r="G4161" s="339" t="str">
        <f t="shared" si="2"/>
        <v>中山製鋼:豊通新断Ｂ</v>
      </c>
      <c r="H4161" s="340">
        <f t="shared" si="3"/>
        <v>49.3</v>
      </c>
      <c r="I4161" s="341">
        <v>1.0</v>
      </c>
      <c r="J4161" s="332">
        <f>IFERROR(__xludf.DUMMYFUNCTION("IF(IF(COUNTIF(P$2:P4160, P4161)=0, """", INDEX(H$2:H4160,
MAX(FILTER(ROW(H$2:H4160) - ROW(H$2) + 1, P$2:P4160 = P4161))))=""単価"","""",
IF(COUNTIF(P$2:P4160, P4161)=0, """", INDEX(H$2:H4160,
MAX(FILTER(ROW(H$2:H4160) - ROW(H$2) + 1, P$2:P4160 = P4161)))))"),48.3)</f>
        <v>48.3</v>
      </c>
      <c r="N4161" s="335" t="str">
        <f>IF(MAXIFS('単価履歴'!$O:$O,'単価履歴'!$E:$E,E4161,'単価履歴'!$F:$F,F4161)=O4161,"●","")</f>
        <v/>
      </c>
      <c r="O4161" s="346">
        <v>46081.28283564815</v>
      </c>
      <c r="P4161" s="334" t="str">
        <f t="shared" si="4"/>
        <v>中山製鋼:豊通新断Ｂ</v>
      </c>
    </row>
    <row r="4162" ht="15.75" customHeight="1">
      <c r="A4162" s="335" t="s">
        <v>5309</v>
      </c>
      <c r="B4162" s="336">
        <v>46081.0</v>
      </c>
      <c r="C4162" s="335" t="s">
        <v>5</v>
      </c>
      <c r="D4162" s="335" t="s">
        <v>47</v>
      </c>
      <c r="E4162" s="337" t="str">
        <f t="shared" si="1"/>
        <v>中山製鋼:豊通</v>
      </c>
      <c r="F4162" s="338" t="s">
        <v>574</v>
      </c>
      <c r="G4162" s="339" t="str">
        <f t="shared" si="2"/>
        <v>中山製鋼:豊通新断Ｃ</v>
      </c>
      <c r="H4162" s="340">
        <f t="shared" si="3"/>
        <v>48.3</v>
      </c>
      <c r="I4162" s="341">
        <v>1.0</v>
      </c>
      <c r="J4162" s="332">
        <f>IFERROR(__xludf.DUMMYFUNCTION("IF(IF(COUNTIF(P$2:P4161, P4162)=0, """", INDEX(H$2:H4161,
MAX(FILTER(ROW(H$2:H4161) - ROW(H$2) + 1, P$2:P4161 = P4162))))=""単価"","""",
IF(COUNTIF(P$2:P4161, P4162)=0, """", INDEX(H$2:H4161,
MAX(FILTER(ROW(H$2:H4161) - ROW(H$2) + 1, P$2:P4161 = P4162)))))"),47.3)</f>
        <v>47.3</v>
      </c>
      <c r="N4162" s="335" t="str">
        <f>IF(MAXIFS('単価履歴'!$O:$O,'単価履歴'!$E:$E,E4162,'単価履歴'!$F:$F,F4162)=O4162,"●","")</f>
        <v/>
      </c>
      <c r="O4162" s="346">
        <v>46081.28283564815</v>
      </c>
      <c r="P4162" s="334" t="str">
        <f t="shared" si="4"/>
        <v>中山製鋼:豊通新断Ｃ</v>
      </c>
    </row>
    <row r="4163" ht="15.75" customHeight="1">
      <c r="A4163" s="335" t="s">
        <v>5310</v>
      </c>
      <c r="B4163" s="336">
        <v>46081.0</v>
      </c>
      <c r="C4163" s="335" t="s">
        <v>5</v>
      </c>
      <c r="D4163" s="335" t="s">
        <v>1232</v>
      </c>
      <c r="E4163" s="337" t="str">
        <f t="shared" si="1"/>
        <v>中山製鋼:豊通/出張商店</v>
      </c>
      <c r="F4163" s="338" t="s">
        <v>130</v>
      </c>
      <c r="G4163" s="339" t="str">
        <f t="shared" si="2"/>
        <v>中山製鋼:豊通/出張商店新断Ａ</v>
      </c>
      <c r="H4163" s="340">
        <f t="shared" si="3"/>
        <v>49.3</v>
      </c>
      <c r="I4163" s="341">
        <v>1.0</v>
      </c>
      <c r="J4163" s="332">
        <f>IFERROR(__xludf.DUMMYFUNCTION("IF(IF(COUNTIF(P$2:P4162, P4163)=0, """", INDEX(H$2:H4162,
MAX(FILTER(ROW(H$2:H4162) - ROW(H$2) + 1, P$2:P4162 = P4163))))=""単価"","""",
IF(COUNTIF(P$2:P4162, P4163)=0, """", INDEX(H$2:H4162,
MAX(FILTER(ROW(H$2:H4162) - ROW(H$2) + 1, P$2:P4162 = P4163)))))"),48.3)</f>
        <v>48.3</v>
      </c>
      <c r="N4163" s="335" t="str">
        <f>IF(MAXIFS('単価履歴'!$O:$O,'単価履歴'!$E:$E,E4163,'単価履歴'!$F:$F,F4163)=O4163,"●","")</f>
        <v/>
      </c>
      <c r="O4163" s="346">
        <v>46081.28297453704</v>
      </c>
      <c r="P4163" s="334" t="str">
        <f t="shared" si="4"/>
        <v>中山製鋼:豊通/出張商店新断Ａ</v>
      </c>
    </row>
    <row r="4164" ht="15.75" customHeight="1">
      <c r="A4164" s="335" t="s">
        <v>5311</v>
      </c>
      <c r="B4164" s="336">
        <v>46081.0</v>
      </c>
      <c r="C4164" s="335" t="s">
        <v>5</v>
      </c>
      <c r="D4164" s="335" t="s">
        <v>1234</v>
      </c>
      <c r="E4164" s="337" t="str">
        <f t="shared" si="1"/>
        <v>中山製鋼:豊通/中川嘉弘商店</v>
      </c>
      <c r="F4164" s="338" t="s">
        <v>130</v>
      </c>
      <c r="G4164" s="339" t="str">
        <f t="shared" si="2"/>
        <v>中山製鋼:豊通/中川嘉弘商店新断Ａ</v>
      </c>
      <c r="H4164" s="340">
        <f t="shared" si="3"/>
        <v>47.3</v>
      </c>
      <c r="I4164" s="341">
        <v>1.0</v>
      </c>
      <c r="J4164" s="332">
        <f>IFERROR(__xludf.DUMMYFUNCTION("IF(IF(COUNTIF(P$2:P4163, P4164)=0, """", INDEX(H$2:H4163,
MAX(FILTER(ROW(H$2:H4163) - ROW(H$2) + 1, P$2:P4163 = P4164))))=""単価"","""",
IF(COUNTIF(P$2:P4163, P4164)=0, """", INDEX(H$2:H4163,
MAX(FILTER(ROW(H$2:H4163) - ROW(H$2) + 1, P$2:P4163 = P4164)))))"),46.3)</f>
        <v>46.3</v>
      </c>
      <c r="N4164" s="335" t="str">
        <f>IF(MAXIFS('単価履歴'!$O:$O,'単価履歴'!$E:$E,E4164,'単価履歴'!$F:$F,F4164)=O4164,"●","")</f>
        <v/>
      </c>
      <c r="O4164" s="346">
        <v>46081.28297453704</v>
      </c>
      <c r="P4164" s="334" t="str">
        <f t="shared" si="4"/>
        <v>中山製鋼:豊通/中川嘉弘商店新断Ａ</v>
      </c>
    </row>
    <row r="4165" ht="15.75" customHeight="1">
      <c r="A4165" s="335" t="s">
        <v>5312</v>
      </c>
      <c r="B4165" s="336">
        <v>46081.0</v>
      </c>
      <c r="C4165" s="335" t="s">
        <v>14</v>
      </c>
      <c r="D4165" s="335" t="s">
        <v>46</v>
      </c>
      <c r="E4165" s="337" t="str">
        <f t="shared" si="1"/>
        <v>愛知:阪和</v>
      </c>
      <c r="F4165" s="338" t="s">
        <v>130</v>
      </c>
      <c r="G4165" s="339" t="str">
        <f t="shared" si="2"/>
        <v>愛知:阪和新断Ａ</v>
      </c>
      <c r="H4165" s="340">
        <f t="shared" si="3"/>
        <v>48.5</v>
      </c>
      <c r="I4165" s="341">
        <v>1.0</v>
      </c>
      <c r="J4165" s="332">
        <f>IFERROR(__xludf.DUMMYFUNCTION("IF(IF(COUNTIF(P$2:P4164, P4165)=0, """", INDEX(H$2:H4164,
MAX(FILTER(ROW(H$2:H4164) - ROW(H$2) + 1, P$2:P4164 = P4165))))=""単価"","""",
IF(COUNTIF(P$2:P4164, P4165)=0, """", INDEX(H$2:H4164,
MAX(FILTER(ROW(H$2:H4164) - ROW(H$2) + 1, P$2:P4164 = P4165)))))"),47.5)</f>
        <v>47.5</v>
      </c>
      <c r="N4165" s="335" t="str">
        <f>IF(MAXIFS('単価履歴'!$O:$O,'単価履歴'!$E:$E,E4165,'単価履歴'!$F:$F,F4165)=O4165,"●","")</f>
        <v/>
      </c>
      <c r="O4165" s="346">
        <v>46081.28335648148</v>
      </c>
      <c r="P4165" s="334" t="str">
        <f t="shared" si="4"/>
        <v>愛知:阪和新断Ａ</v>
      </c>
    </row>
    <row r="4166" ht="15.75" customHeight="1">
      <c r="A4166" s="335" t="s">
        <v>5313</v>
      </c>
      <c r="B4166" s="336">
        <v>46081.0</v>
      </c>
      <c r="C4166" s="335" t="s">
        <v>14</v>
      </c>
      <c r="D4166" s="335" t="s">
        <v>46</v>
      </c>
      <c r="E4166" s="337" t="str">
        <f t="shared" si="1"/>
        <v>愛知:阪和</v>
      </c>
      <c r="F4166" s="338" t="s">
        <v>131</v>
      </c>
      <c r="G4166" s="339" t="str">
        <f t="shared" si="2"/>
        <v>愛知:阪和新断Ｂ</v>
      </c>
      <c r="H4166" s="340">
        <f t="shared" si="3"/>
        <v>47.5</v>
      </c>
      <c r="I4166" s="341">
        <v>1.0</v>
      </c>
      <c r="J4166" s="332">
        <f>IFERROR(__xludf.DUMMYFUNCTION("IF(IF(COUNTIF(P$2:P4165, P4166)=0, """", INDEX(H$2:H4165,
MAX(FILTER(ROW(H$2:H4165) - ROW(H$2) + 1, P$2:P4165 = P4166))))=""単価"","""",
IF(COUNTIF(P$2:P4165, P4166)=0, """", INDEX(H$2:H4165,
MAX(FILTER(ROW(H$2:H4165) - ROW(H$2) + 1, P$2:P4165 = P4166)))))"),46.5)</f>
        <v>46.5</v>
      </c>
      <c r="N4166" s="335" t="str">
        <f>IF(MAXIFS('単価履歴'!$O:$O,'単価履歴'!$E:$E,E4166,'単価履歴'!$F:$F,F4166)=O4166,"●","")</f>
        <v/>
      </c>
      <c r="O4166" s="346">
        <v>46081.28335648148</v>
      </c>
      <c r="P4166" s="334" t="str">
        <f t="shared" si="4"/>
        <v>愛知:阪和新断Ｂ</v>
      </c>
    </row>
    <row r="4167" ht="15.75" customHeight="1">
      <c r="A4167" s="335" t="s">
        <v>5314</v>
      </c>
      <c r="B4167" s="336">
        <v>46081.0</v>
      </c>
      <c r="C4167" s="335" t="s">
        <v>14</v>
      </c>
      <c r="D4167" s="335" t="s">
        <v>46</v>
      </c>
      <c r="E4167" s="337" t="str">
        <f t="shared" si="1"/>
        <v>愛知:阪和</v>
      </c>
      <c r="F4167" s="338" t="s">
        <v>145</v>
      </c>
      <c r="G4167" s="339" t="str">
        <f t="shared" si="2"/>
        <v>愛知:阪和シュレＡ</v>
      </c>
      <c r="H4167" s="340">
        <f t="shared" si="3"/>
        <v>48.5</v>
      </c>
      <c r="I4167" s="341">
        <v>1.0</v>
      </c>
      <c r="J4167" s="332">
        <f>IFERROR(__xludf.DUMMYFUNCTION("IF(IF(COUNTIF(P$2:P4166, P4167)=0, """", INDEX(H$2:H4166,
MAX(FILTER(ROW(H$2:H4166) - ROW(H$2) + 1, P$2:P4166 = P4167))))=""単価"","""",
IF(COUNTIF(P$2:P4166, P4167)=0, """", INDEX(H$2:H4166,
MAX(FILTER(ROW(H$2:H4166) - ROW(H$2) + 1, P$2:P4166 = P4167)))))"),47.5)</f>
        <v>47.5</v>
      </c>
      <c r="N4167" s="335" t="str">
        <f>IF(MAXIFS('単価履歴'!$O:$O,'単価履歴'!$E:$E,E4167,'単価履歴'!$F:$F,F4167)=O4167,"●","")</f>
        <v/>
      </c>
      <c r="O4167" s="346">
        <v>46081.28335648148</v>
      </c>
      <c r="P4167" s="334" t="str">
        <f t="shared" si="4"/>
        <v>愛知:阪和シュレＡ</v>
      </c>
    </row>
    <row r="4168" ht="15.75" customHeight="1">
      <c r="A4168" s="335" t="s">
        <v>5315</v>
      </c>
      <c r="B4168" s="336">
        <v>46084.0</v>
      </c>
      <c r="C4168" s="335" t="s">
        <v>531</v>
      </c>
      <c r="D4168" s="335" t="s">
        <v>77</v>
      </c>
      <c r="E4168" s="337" t="str">
        <f t="shared" si="1"/>
        <v>東鐵関西:直納</v>
      </c>
      <c r="F4168" s="338" t="s">
        <v>1199</v>
      </c>
      <c r="G4168" s="339" t="str">
        <f t="shared" si="2"/>
        <v>東鐵関西:直納ＨＳ１(単体H1/電特A/HS))</v>
      </c>
      <c r="H4168" s="340">
        <f t="shared" si="3"/>
        <v>48</v>
      </c>
      <c r="I4168" s="341">
        <v>1.0</v>
      </c>
      <c r="J4168" s="332">
        <f>IFERROR(__xludf.DUMMYFUNCTION("IF(IF(COUNTIF(P$2:P4167, P4168)=0, """", INDEX(H$2:H4167,
MAX(FILTER(ROW(H$2:H4167) - ROW(H$2) + 1, P$2:P4167 = P4168))))=""単価"","""",
IF(COUNTIF(P$2:P4167, P4168)=0, """", INDEX(H$2:H4167,
MAX(FILTER(ROW(H$2:H4167) - ROW(H$2) + 1, P$2:P4167 = P4168)))))"),47.0)</f>
        <v>47</v>
      </c>
      <c r="N4168" s="335" t="str">
        <f>IF(MAXIFS('単価履歴'!$O:$O,'単価履歴'!$E:$E,E4168,'単価履歴'!$F:$F,F4168)=O4168,"●","")</f>
        <v/>
      </c>
      <c r="O4168" s="346">
        <v>46084.2791087963</v>
      </c>
      <c r="P4168" s="334" t="str">
        <f t="shared" si="4"/>
        <v>東鐵関西:直納ＨＳ１(単体H1/電特A/HS))</v>
      </c>
    </row>
    <row r="4169" ht="15.75" customHeight="1">
      <c r="A4169" s="335" t="s">
        <v>5316</v>
      </c>
      <c r="B4169" s="336">
        <v>46084.0</v>
      </c>
      <c r="C4169" s="335" t="s">
        <v>531</v>
      </c>
      <c r="D4169" s="335" t="s">
        <v>77</v>
      </c>
      <c r="E4169" s="337" t="str">
        <f t="shared" si="1"/>
        <v>東鐵関西:直納</v>
      </c>
      <c r="F4169" s="338" t="s">
        <v>111</v>
      </c>
      <c r="G4169" s="339" t="str">
        <f t="shared" si="2"/>
        <v>東鐵関西:直納Ｈ１(特A)</v>
      </c>
      <c r="H4169" s="340">
        <f t="shared" si="3"/>
        <v>47.5</v>
      </c>
      <c r="I4169" s="341">
        <v>1.0</v>
      </c>
      <c r="J4169" s="332">
        <f>IFERROR(__xludf.DUMMYFUNCTION("IF(IF(COUNTIF(P$2:P4168, P4169)=0, """", INDEX(H$2:H4168,
MAX(FILTER(ROW(H$2:H4168) - ROW(H$2) + 1, P$2:P4168 = P4169))))=""単価"","""",
IF(COUNTIF(P$2:P4168, P4169)=0, """", INDEX(H$2:H4168,
MAX(FILTER(ROW(H$2:H4168) - ROW(H$2) + 1, P$2:P4168 = P4169)))))"),46.5)</f>
        <v>46.5</v>
      </c>
      <c r="N4169" s="335" t="str">
        <f>IF(MAXIFS('単価履歴'!$O:$O,'単価履歴'!$E:$E,E4169,'単価履歴'!$F:$F,F4169)=O4169,"●","")</f>
        <v/>
      </c>
      <c r="O4169" s="346">
        <v>46084.2791087963</v>
      </c>
      <c r="P4169" s="334" t="str">
        <f t="shared" si="4"/>
        <v>東鐵関西:直納Ｈ１(特A)</v>
      </c>
    </row>
    <row r="4170" ht="15.75" customHeight="1">
      <c r="A4170" s="335" t="s">
        <v>5317</v>
      </c>
      <c r="B4170" s="336">
        <v>46084.0</v>
      </c>
      <c r="C4170" s="335" t="s">
        <v>531</v>
      </c>
      <c r="D4170" s="335" t="s">
        <v>77</v>
      </c>
      <c r="E4170" s="337" t="str">
        <f t="shared" si="1"/>
        <v>東鐵関西:直納</v>
      </c>
      <c r="F4170" s="338" t="s">
        <v>116</v>
      </c>
      <c r="G4170" s="339" t="str">
        <f t="shared" si="2"/>
        <v>東鐵関西:直納Ｈ２(特級)</v>
      </c>
      <c r="H4170" s="340">
        <f t="shared" si="3"/>
        <v>45.5</v>
      </c>
      <c r="I4170" s="341">
        <v>1.0</v>
      </c>
      <c r="J4170" s="332">
        <f>IFERROR(__xludf.DUMMYFUNCTION("IF(IF(COUNTIF(P$2:P4169, P4170)=0, """", INDEX(H$2:H4169,
MAX(FILTER(ROW(H$2:H4169) - ROW(H$2) + 1, P$2:P4169 = P4170))))=""単価"","""",
IF(COUNTIF(P$2:P4169, P4170)=0, """", INDEX(H$2:H4169,
MAX(FILTER(ROW(H$2:H4169) - ROW(H$2) + 1, P$2:P4169 = P4170)))))"),44.5)</f>
        <v>44.5</v>
      </c>
      <c r="N4170" s="335" t="str">
        <f>IF(MAXIFS('単価履歴'!$O:$O,'単価履歴'!$E:$E,E4170,'単価履歴'!$F:$F,F4170)=O4170,"●","")</f>
        <v/>
      </c>
      <c r="O4170" s="346">
        <v>46084.2791087963</v>
      </c>
      <c r="P4170" s="334" t="str">
        <f t="shared" si="4"/>
        <v>東鐵関西:直納Ｈ２(特級)</v>
      </c>
    </row>
    <row r="4171" ht="15.75" customHeight="1">
      <c r="A4171" s="335" t="s">
        <v>5318</v>
      </c>
      <c r="B4171" s="336">
        <v>46084.0</v>
      </c>
      <c r="C4171" s="335" t="s">
        <v>531</v>
      </c>
      <c r="D4171" s="335" t="s">
        <v>77</v>
      </c>
      <c r="E4171" s="337" t="str">
        <f t="shared" si="1"/>
        <v>東鐵関西:直納</v>
      </c>
      <c r="F4171" s="338" t="s">
        <v>119</v>
      </c>
      <c r="G4171" s="339" t="str">
        <f t="shared" si="2"/>
        <v>東鐵関西:直納Ｈ３(1級)</v>
      </c>
      <c r="H4171" s="340">
        <f t="shared" si="3"/>
        <v>45.5</v>
      </c>
      <c r="I4171" s="341">
        <v>1.0</v>
      </c>
      <c r="J4171" s="332">
        <f>IFERROR(__xludf.DUMMYFUNCTION("IF(IF(COUNTIF(P$2:P4170, P4171)=0, """", INDEX(H$2:H4170,
MAX(FILTER(ROW(H$2:H4170) - ROW(H$2) + 1, P$2:P4170 = P4171))))=""単価"","""",
IF(COUNTIF(P$2:P4170, P4171)=0, """", INDEX(H$2:H4170,
MAX(FILTER(ROW(H$2:H4170) - ROW(H$2) + 1, P$2:P4170 = P4171)))))"),44.5)</f>
        <v>44.5</v>
      </c>
      <c r="N4171" s="335" t="str">
        <f>IF(MAXIFS('単価履歴'!$O:$O,'単価履歴'!$E:$E,E4171,'単価履歴'!$F:$F,F4171)=O4171,"●","")</f>
        <v/>
      </c>
      <c r="O4171" s="346">
        <v>46084.2791087963</v>
      </c>
      <c r="P4171" s="334" t="str">
        <f t="shared" si="4"/>
        <v>東鐵関西:直納Ｈ３(1級)</v>
      </c>
    </row>
    <row r="4172" ht="15.75" customHeight="1">
      <c r="A4172" s="335" t="s">
        <v>5319</v>
      </c>
      <c r="B4172" s="336">
        <v>46084.0</v>
      </c>
      <c r="C4172" s="335" t="s">
        <v>531</v>
      </c>
      <c r="D4172" s="335" t="s">
        <v>77</v>
      </c>
      <c r="E4172" s="337" t="str">
        <f t="shared" si="1"/>
        <v>東鐵関西:直納</v>
      </c>
      <c r="F4172" s="338" t="s">
        <v>122</v>
      </c>
      <c r="G4172" s="339" t="str">
        <f t="shared" si="2"/>
        <v>東鐵関西:直納Ｌ１(2級)</v>
      </c>
      <c r="H4172" s="340">
        <f t="shared" si="3"/>
        <v>43.5</v>
      </c>
      <c r="I4172" s="341">
        <v>1.0</v>
      </c>
      <c r="J4172" s="332">
        <f>IFERROR(__xludf.DUMMYFUNCTION("IF(IF(COUNTIF(P$2:P4171, P4172)=0, """", INDEX(H$2:H4171,
MAX(FILTER(ROW(H$2:H4171) - ROW(H$2) + 1, P$2:P4171 = P4172))))=""単価"","""",
IF(COUNTIF(P$2:P4171, P4172)=0, """", INDEX(H$2:H4171,
MAX(FILTER(ROW(H$2:H4171) - ROW(H$2) + 1, P$2:P4171 = P4172)))))"),42.5)</f>
        <v>42.5</v>
      </c>
      <c r="N4172" s="335" t="str">
        <f>IF(MAXIFS('単価履歴'!$O:$O,'単価履歴'!$E:$E,E4172,'単価履歴'!$F:$F,F4172)=O4172,"●","")</f>
        <v/>
      </c>
      <c r="O4172" s="346">
        <v>46084.2791087963</v>
      </c>
      <c r="P4172" s="334" t="str">
        <f t="shared" si="4"/>
        <v>東鐵関西:直納Ｌ１(2級)</v>
      </c>
    </row>
    <row r="4173" ht="15.75" customHeight="1">
      <c r="A4173" s="335" t="s">
        <v>5320</v>
      </c>
      <c r="B4173" s="336">
        <v>46084.0</v>
      </c>
      <c r="C4173" s="335" t="s">
        <v>531</v>
      </c>
      <c r="D4173" s="335" t="s">
        <v>77</v>
      </c>
      <c r="E4173" s="337" t="str">
        <f t="shared" si="1"/>
        <v>東鐵関西:直納</v>
      </c>
      <c r="F4173" s="338" t="s">
        <v>573</v>
      </c>
      <c r="G4173" s="339" t="str">
        <f t="shared" si="2"/>
        <v>東鐵関西:直納Ｌ２(H4･級外･L1ﾊﾞﾗ)</v>
      </c>
      <c r="H4173" s="340">
        <f t="shared" si="3"/>
        <v>40.5</v>
      </c>
      <c r="I4173" s="341">
        <v>1.0</v>
      </c>
      <c r="J4173" s="332">
        <f>IFERROR(__xludf.DUMMYFUNCTION("IF(IF(COUNTIF(P$2:P4172, P4173)=0, """", INDEX(H$2:H4172,
MAX(FILTER(ROW(H$2:H4172) - ROW(H$2) + 1, P$2:P4172 = P4173))))=""単価"","""",
IF(COUNTIF(P$2:P4172, P4173)=0, """", INDEX(H$2:H4172,
MAX(FILTER(ROW(H$2:H4172) - ROW(H$2) + 1, P$2:P4172 = P4173)))))"),39.5)</f>
        <v>39.5</v>
      </c>
      <c r="N4173" s="335" t="str">
        <f>IF(MAXIFS('単価履歴'!$O:$O,'単価履歴'!$E:$E,E4173,'単価履歴'!$F:$F,F4173)=O4173,"●","")</f>
        <v/>
      </c>
      <c r="O4173" s="346">
        <v>46084.2791087963</v>
      </c>
      <c r="P4173" s="334" t="str">
        <f t="shared" si="4"/>
        <v>東鐵関西:直納Ｌ２(H4･級外･L1ﾊﾞﾗ)</v>
      </c>
    </row>
    <row r="4174" ht="15.75" customHeight="1">
      <c r="A4174" s="335" t="s">
        <v>5321</v>
      </c>
      <c r="B4174" s="336">
        <v>46084.0</v>
      </c>
      <c r="C4174" s="335" t="s">
        <v>531</v>
      </c>
      <c r="D4174" s="335" t="s">
        <v>77</v>
      </c>
      <c r="E4174" s="337" t="str">
        <f t="shared" si="1"/>
        <v>東鐵関西:直納</v>
      </c>
      <c r="F4174" s="338" t="s">
        <v>145</v>
      </c>
      <c r="G4174" s="339" t="str">
        <f t="shared" si="2"/>
        <v>東鐵関西:直納シュレＡ</v>
      </c>
      <c r="H4174" s="340">
        <f t="shared" si="3"/>
        <v>47</v>
      </c>
      <c r="I4174" s="341">
        <v>1.0</v>
      </c>
      <c r="J4174" s="332">
        <f>IFERROR(__xludf.DUMMYFUNCTION("IF(IF(COUNTIF(P$2:P4173, P4174)=0, """", INDEX(H$2:H4173,
MAX(FILTER(ROW(H$2:H4173) - ROW(H$2) + 1, P$2:P4173 = P4174))))=""単価"","""",
IF(COUNTIF(P$2:P4173, P4174)=0, """", INDEX(H$2:H4173,
MAX(FILTER(ROW(H$2:H4173) - ROW(H$2) + 1, P$2:P4173 = P4174)))))"),46.0)</f>
        <v>46</v>
      </c>
      <c r="N4174" s="335" t="str">
        <f>IF(MAXIFS('単価履歴'!$O:$O,'単価履歴'!$E:$E,E4174,'単価履歴'!$F:$F,F4174)=O4174,"●","")</f>
        <v/>
      </c>
      <c r="O4174" s="346">
        <v>46084.2791087963</v>
      </c>
      <c r="P4174" s="334" t="str">
        <f t="shared" si="4"/>
        <v>東鐵関西:直納シュレＡ</v>
      </c>
    </row>
    <row r="4175" ht="15.75" customHeight="1">
      <c r="A4175" s="335" t="s">
        <v>5322</v>
      </c>
      <c r="B4175" s="336">
        <v>46084.0</v>
      </c>
      <c r="C4175" s="335" t="s">
        <v>531</v>
      </c>
      <c r="D4175" s="335" t="s">
        <v>77</v>
      </c>
      <c r="E4175" s="337" t="str">
        <f t="shared" si="1"/>
        <v>東鐵関西:直納</v>
      </c>
      <c r="F4175" s="338" t="s">
        <v>151</v>
      </c>
      <c r="G4175" s="339" t="str">
        <f t="shared" si="2"/>
        <v>東鐵関西:直納シュレＣ</v>
      </c>
      <c r="H4175" s="340">
        <f t="shared" si="3"/>
        <v>46</v>
      </c>
      <c r="I4175" s="341">
        <v>1.0</v>
      </c>
      <c r="J4175" s="332">
        <f>IFERROR(__xludf.DUMMYFUNCTION("IF(IF(COUNTIF(P$2:P4174, P4175)=0, """", INDEX(H$2:H4174,
MAX(FILTER(ROW(H$2:H4174) - ROW(H$2) + 1, P$2:P4174 = P4175))))=""単価"","""",
IF(COUNTIF(P$2:P4174, P4175)=0, """", INDEX(H$2:H4174,
MAX(FILTER(ROW(H$2:H4174) - ROW(H$2) + 1, P$2:P4174 = P4175)))))"),45.0)</f>
        <v>45</v>
      </c>
      <c r="N4175" s="335" t="str">
        <f>IF(MAXIFS('単価履歴'!$O:$O,'単価履歴'!$E:$E,E4175,'単価履歴'!$F:$F,F4175)=O4175,"●","")</f>
        <v/>
      </c>
      <c r="O4175" s="346">
        <v>46084.2791087963</v>
      </c>
      <c r="P4175" s="334" t="str">
        <f t="shared" si="4"/>
        <v>東鐵関西:直納シュレＣ</v>
      </c>
    </row>
    <row r="4176" ht="15.75" customHeight="1">
      <c r="A4176" s="335" t="s">
        <v>5323</v>
      </c>
      <c r="B4176" s="336">
        <v>46084.0</v>
      </c>
      <c r="C4176" s="335" t="s">
        <v>535</v>
      </c>
      <c r="D4176" s="335" t="s">
        <v>77</v>
      </c>
      <c r="E4176" s="337" t="str">
        <f t="shared" si="1"/>
        <v>東鐵名古屋:直納</v>
      </c>
      <c r="F4176" s="338" t="s">
        <v>1199</v>
      </c>
      <c r="G4176" s="339" t="str">
        <f t="shared" si="2"/>
        <v>東鐵名古屋:直納ＨＳ１(単体H1/電特A/HS))</v>
      </c>
      <c r="H4176" s="340">
        <f t="shared" si="3"/>
        <v>48.5</v>
      </c>
      <c r="I4176" s="341">
        <v>1.0</v>
      </c>
      <c r="J4176" s="332">
        <f>IFERROR(__xludf.DUMMYFUNCTION("IF(IF(COUNTIF(P$2:P4175, P4176)=0, """", INDEX(H$2:H4175,
MAX(FILTER(ROW(H$2:H4175) - ROW(H$2) + 1, P$2:P4175 = P4176))))=""単価"","""",
IF(COUNTIF(P$2:P4175, P4176)=0, """", INDEX(H$2:H4175,
MAX(FILTER(ROW(H$2:H4175) - ROW(H$2) + 1, P$2:P4175 = P4176)))))"),47.5)</f>
        <v>47.5</v>
      </c>
      <c r="N4176" s="335" t="str">
        <f>IF(MAXIFS('単価履歴'!$O:$O,'単価履歴'!$E:$E,E4176,'単価履歴'!$F:$F,F4176)=O4176,"●","")</f>
        <v/>
      </c>
      <c r="O4176" s="346">
        <v>46084.27939814815</v>
      </c>
      <c r="P4176" s="334" t="str">
        <f t="shared" si="4"/>
        <v>東鐵名古屋:直納ＨＳ１(単体H1/電特A/HS))</v>
      </c>
    </row>
    <row r="4177" ht="15.75" customHeight="1">
      <c r="A4177" s="335" t="s">
        <v>5324</v>
      </c>
      <c r="B4177" s="336">
        <v>46084.0</v>
      </c>
      <c r="C4177" s="335" t="s">
        <v>535</v>
      </c>
      <c r="D4177" s="335" t="s">
        <v>77</v>
      </c>
      <c r="E4177" s="337" t="str">
        <f t="shared" si="1"/>
        <v>東鐵名古屋:直納</v>
      </c>
      <c r="F4177" s="338" t="s">
        <v>111</v>
      </c>
      <c r="G4177" s="339" t="str">
        <f t="shared" si="2"/>
        <v>東鐵名古屋:直納Ｈ１(特A)</v>
      </c>
      <c r="H4177" s="340">
        <f t="shared" si="3"/>
        <v>46.7</v>
      </c>
      <c r="I4177" s="341">
        <v>1.0</v>
      </c>
      <c r="J4177" s="332">
        <f>IFERROR(__xludf.DUMMYFUNCTION("IF(IF(COUNTIF(P$2:P4176, P4177)=0, """", INDEX(H$2:H4176,
MAX(FILTER(ROW(H$2:H4176) - ROW(H$2) + 1, P$2:P4176 = P4177))))=""単価"","""",
IF(COUNTIF(P$2:P4176, P4177)=0, """", INDEX(H$2:H4176,
MAX(FILTER(ROW(H$2:H4176) - ROW(H$2) + 1, P$2:P4176 = P4177)))))"),45.7)</f>
        <v>45.7</v>
      </c>
      <c r="N4177" s="335" t="str">
        <f>IF(MAXIFS('単価履歴'!$O:$O,'単価履歴'!$E:$E,E4177,'単価履歴'!$F:$F,F4177)=O4177,"●","")</f>
        <v/>
      </c>
      <c r="O4177" s="346">
        <v>46084.27939814815</v>
      </c>
      <c r="P4177" s="334" t="str">
        <f t="shared" si="4"/>
        <v>東鐵名古屋:直納Ｈ１(特A)</v>
      </c>
    </row>
    <row r="4178" ht="15.75" customHeight="1">
      <c r="A4178" s="335" t="s">
        <v>5325</v>
      </c>
      <c r="B4178" s="336">
        <v>46084.0</v>
      </c>
      <c r="C4178" s="335" t="s">
        <v>535</v>
      </c>
      <c r="D4178" s="335" t="s">
        <v>77</v>
      </c>
      <c r="E4178" s="337" t="str">
        <f t="shared" si="1"/>
        <v>東鐵名古屋:直納</v>
      </c>
      <c r="F4178" s="338" t="s">
        <v>116</v>
      </c>
      <c r="G4178" s="339" t="str">
        <f t="shared" si="2"/>
        <v>東鐵名古屋:直納Ｈ２(特級)</v>
      </c>
      <c r="H4178" s="340">
        <f t="shared" si="3"/>
        <v>46</v>
      </c>
      <c r="I4178" s="341">
        <v>1.0</v>
      </c>
      <c r="J4178" s="332">
        <f>IFERROR(__xludf.DUMMYFUNCTION("IF(IF(COUNTIF(P$2:P4177, P4178)=0, """", INDEX(H$2:H4177,
MAX(FILTER(ROW(H$2:H4177) - ROW(H$2) + 1, P$2:P4177 = P4178))))=""単価"","""",
IF(COUNTIF(P$2:P4177, P4178)=0, """", INDEX(H$2:H4177,
MAX(FILTER(ROW(H$2:H4177) - ROW(H$2) + 1, P$2:P4177 = P4178)))))"),45.0)</f>
        <v>45</v>
      </c>
      <c r="N4178" s="335" t="str">
        <f>IF(MAXIFS('単価履歴'!$O:$O,'単価履歴'!$E:$E,E4178,'単価履歴'!$F:$F,F4178)=O4178,"●","")</f>
        <v/>
      </c>
      <c r="O4178" s="346">
        <v>46084.27939814815</v>
      </c>
      <c r="P4178" s="334" t="str">
        <f t="shared" si="4"/>
        <v>東鐵名古屋:直納Ｈ２(特級)</v>
      </c>
    </row>
    <row r="4179" ht="15.75" customHeight="1">
      <c r="A4179" s="335" t="s">
        <v>5326</v>
      </c>
      <c r="B4179" s="336">
        <v>46084.0</v>
      </c>
      <c r="C4179" s="335" t="s">
        <v>535</v>
      </c>
      <c r="D4179" s="335" t="s">
        <v>77</v>
      </c>
      <c r="E4179" s="337" t="str">
        <f t="shared" si="1"/>
        <v>東鐵名古屋:直納</v>
      </c>
      <c r="F4179" s="338" t="s">
        <v>119</v>
      </c>
      <c r="G4179" s="339" t="str">
        <f t="shared" si="2"/>
        <v>東鐵名古屋:直納Ｈ３(1級)</v>
      </c>
      <c r="H4179" s="340">
        <f t="shared" si="3"/>
        <v>45.5</v>
      </c>
      <c r="I4179" s="341">
        <v>1.0</v>
      </c>
      <c r="J4179" s="332">
        <f>IFERROR(__xludf.DUMMYFUNCTION("IF(IF(COUNTIF(P$2:P4178, P4179)=0, """", INDEX(H$2:H4178,
MAX(FILTER(ROW(H$2:H4178) - ROW(H$2) + 1, P$2:P4178 = P4179))))=""単価"","""",
IF(COUNTIF(P$2:P4178, P4179)=0, """", INDEX(H$2:H4178,
MAX(FILTER(ROW(H$2:H4178) - ROW(H$2) + 1, P$2:P4178 = P4179)))))"),44.5)</f>
        <v>44.5</v>
      </c>
      <c r="N4179" s="335" t="str">
        <f>IF(MAXIFS('単価履歴'!$O:$O,'単価履歴'!$E:$E,E4179,'単価履歴'!$F:$F,F4179)=O4179,"●","")</f>
        <v/>
      </c>
      <c r="O4179" s="346">
        <v>46084.27939814815</v>
      </c>
      <c r="P4179" s="334" t="str">
        <f t="shared" si="4"/>
        <v>東鐵名古屋:直納Ｈ３(1級)</v>
      </c>
    </row>
    <row r="4180" ht="15.75" customHeight="1">
      <c r="A4180" s="335" t="s">
        <v>5327</v>
      </c>
      <c r="B4180" s="336">
        <v>46084.0</v>
      </c>
      <c r="C4180" s="335" t="s">
        <v>535</v>
      </c>
      <c r="D4180" s="335" t="s">
        <v>77</v>
      </c>
      <c r="E4180" s="337" t="str">
        <f t="shared" si="1"/>
        <v>東鐵名古屋:直納</v>
      </c>
      <c r="F4180" s="338" t="s">
        <v>122</v>
      </c>
      <c r="G4180" s="339" t="str">
        <f t="shared" si="2"/>
        <v>東鐵名古屋:直納Ｌ１(2級)</v>
      </c>
      <c r="H4180" s="340">
        <f t="shared" si="3"/>
        <v>44</v>
      </c>
      <c r="I4180" s="341">
        <v>1.0</v>
      </c>
      <c r="J4180" s="332">
        <f>IFERROR(__xludf.DUMMYFUNCTION("IF(IF(COUNTIF(P$2:P4179, P4180)=0, """", INDEX(H$2:H4179,
MAX(FILTER(ROW(H$2:H4179) - ROW(H$2) + 1, P$2:P4179 = P4180))))=""単価"","""",
IF(COUNTIF(P$2:P4179, P4180)=0, """", INDEX(H$2:H4179,
MAX(FILTER(ROW(H$2:H4179) - ROW(H$2) + 1, P$2:P4179 = P4180)))))"),43.0)</f>
        <v>43</v>
      </c>
      <c r="N4180" s="335" t="str">
        <f>IF(MAXIFS('単価履歴'!$O:$O,'単価履歴'!$E:$E,E4180,'単価履歴'!$F:$F,F4180)=O4180,"●","")</f>
        <v/>
      </c>
      <c r="O4180" s="346">
        <v>46084.27939814815</v>
      </c>
      <c r="P4180" s="334" t="str">
        <f t="shared" si="4"/>
        <v>東鐵名古屋:直納Ｌ１(2級)</v>
      </c>
    </row>
    <row r="4181" ht="15.75" customHeight="1">
      <c r="A4181" s="335" t="s">
        <v>5328</v>
      </c>
      <c r="B4181" s="336">
        <v>46084.0</v>
      </c>
      <c r="C4181" s="335" t="s">
        <v>535</v>
      </c>
      <c r="D4181" s="335" t="s">
        <v>77</v>
      </c>
      <c r="E4181" s="337" t="str">
        <f t="shared" si="1"/>
        <v>東鐵名古屋:直納</v>
      </c>
      <c r="F4181" s="338" t="s">
        <v>573</v>
      </c>
      <c r="G4181" s="339" t="str">
        <f t="shared" si="2"/>
        <v>東鐵名古屋:直納Ｌ２(H4･級外･L1ﾊﾞﾗ)</v>
      </c>
      <c r="H4181" s="340">
        <f t="shared" si="3"/>
        <v>41</v>
      </c>
      <c r="I4181" s="341">
        <v>1.0</v>
      </c>
      <c r="J4181" s="332">
        <f>IFERROR(__xludf.DUMMYFUNCTION("IF(IF(COUNTIF(P$2:P4180, P4181)=0, """", INDEX(H$2:H4180,
MAX(FILTER(ROW(H$2:H4180) - ROW(H$2) + 1, P$2:P4180 = P4181))))=""単価"","""",
IF(COUNTIF(P$2:P4180, P4181)=0, """", INDEX(H$2:H4180,
MAX(FILTER(ROW(H$2:H4180) - ROW(H$2) + 1, P$2:P4180 = P4181)))))"),40.0)</f>
        <v>40</v>
      </c>
      <c r="N4181" s="335" t="str">
        <f>IF(MAXIFS('単価履歴'!$O:$O,'単価履歴'!$E:$E,E4181,'単価履歴'!$F:$F,F4181)=O4181,"●","")</f>
        <v/>
      </c>
      <c r="O4181" s="346">
        <v>46084.27939814815</v>
      </c>
      <c r="P4181" s="334" t="str">
        <f t="shared" si="4"/>
        <v>東鐵名古屋:直納Ｌ２(H4･級外･L1ﾊﾞﾗ)</v>
      </c>
    </row>
    <row r="4182" ht="15.75" customHeight="1">
      <c r="A4182" s="335" t="s">
        <v>5329</v>
      </c>
      <c r="B4182" s="336">
        <v>46084.0</v>
      </c>
      <c r="C4182" s="335" t="s">
        <v>535</v>
      </c>
      <c r="D4182" s="335" t="s">
        <v>77</v>
      </c>
      <c r="E4182" s="337" t="str">
        <f t="shared" si="1"/>
        <v>東鐵名古屋:直納</v>
      </c>
      <c r="F4182" s="338" t="s">
        <v>145</v>
      </c>
      <c r="G4182" s="339" t="str">
        <f t="shared" si="2"/>
        <v>東鐵名古屋:直納シュレＡ</v>
      </c>
      <c r="H4182" s="340">
        <f t="shared" si="3"/>
        <v>47</v>
      </c>
      <c r="I4182" s="341">
        <v>1.0</v>
      </c>
      <c r="J4182" s="332">
        <f>IFERROR(__xludf.DUMMYFUNCTION("IF(IF(COUNTIF(P$2:P4181, P4182)=0, """", INDEX(H$2:H4181,
MAX(FILTER(ROW(H$2:H4181) - ROW(H$2) + 1, P$2:P4181 = P4182))))=""単価"","""",
IF(COUNTIF(P$2:P4181, P4182)=0, """", INDEX(H$2:H4181,
MAX(FILTER(ROW(H$2:H4181) - ROW(H$2) + 1, P$2:P4181 = P4182)))))"),46.0)</f>
        <v>46</v>
      </c>
      <c r="N4182" s="335" t="str">
        <f>IF(MAXIFS('単価履歴'!$O:$O,'単価履歴'!$E:$E,E4182,'単価履歴'!$F:$F,F4182)=O4182,"●","")</f>
        <v/>
      </c>
      <c r="O4182" s="346">
        <v>46084.27939814815</v>
      </c>
      <c r="P4182" s="334" t="str">
        <f t="shared" si="4"/>
        <v>東鐵名古屋:直納シュレＡ</v>
      </c>
    </row>
    <row r="4183" ht="15.75" customHeight="1">
      <c r="A4183" s="335" t="s">
        <v>5330</v>
      </c>
      <c r="B4183" s="336">
        <v>46084.0</v>
      </c>
      <c r="C4183" s="335" t="s">
        <v>535</v>
      </c>
      <c r="D4183" s="335" t="s">
        <v>77</v>
      </c>
      <c r="E4183" s="337" t="str">
        <f t="shared" si="1"/>
        <v>東鐵名古屋:直納</v>
      </c>
      <c r="F4183" s="338" t="s">
        <v>151</v>
      </c>
      <c r="G4183" s="339" t="str">
        <f t="shared" si="2"/>
        <v>東鐵名古屋:直納シュレＣ</v>
      </c>
      <c r="H4183" s="340">
        <f t="shared" si="3"/>
        <v>46.5</v>
      </c>
      <c r="I4183" s="341">
        <v>1.0</v>
      </c>
      <c r="J4183" s="332">
        <f>IFERROR(__xludf.DUMMYFUNCTION("IF(IF(COUNTIF(P$2:P4182, P4183)=0, """", INDEX(H$2:H4182,
MAX(FILTER(ROW(H$2:H4182) - ROW(H$2) + 1, P$2:P4182 = P4183))))=""単価"","""",
IF(COUNTIF(P$2:P4182, P4183)=0, """", INDEX(H$2:H4182,
MAX(FILTER(ROW(H$2:H4182) - ROW(H$2) + 1, P$2:P4182 = P4183)))))"),45.5)</f>
        <v>45.5</v>
      </c>
      <c r="N4183" s="335" t="str">
        <f>IF(MAXIFS('単価履歴'!$O:$O,'単価履歴'!$E:$E,E4183,'単価履歴'!$F:$F,F4183)=O4183,"●","")</f>
        <v/>
      </c>
      <c r="O4183" s="346">
        <v>46084.27939814815</v>
      </c>
      <c r="P4183" s="334" t="str">
        <f t="shared" si="4"/>
        <v>東鐵名古屋:直納シュレＣ</v>
      </c>
    </row>
    <row r="4184" ht="15.75" customHeight="1">
      <c r="A4184" s="335" t="s">
        <v>5331</v>
      </c>
      <c r="B4184" s="336">
        <v>46084.0</v>
      </c>
      <c r="C4184" s="335" t="s">
        <v>536</v>
      </c>
      <c r="D4184" s="335" t="s">
        <v>77</v>
      </c>
      <c r="E4184" s="337" t="str">
        <f t="shared" si="1"/>
        <v>東鐵田原:直納</v>
      </c>
      <c r="F4184" s="338" t="s">
        <v>1199</v>
      </c>
      <c r="G4184" s="339" t="str">
        <f t="shared" si="2"/>
        <v>東鐵田原:直納ＨＳ１(単体H1/電特A/HS))</v>
      </c>
      <c r="H4184" s="340">
        <f t="shared" si="3"/>
        <v>48.5</v>
      </c>
      <c r="I4184" s="341">
        <v>1.0</v>
      </c>
      <c r="J4184" s="332">
        <f>IFERROR(__xludf.DUMMYFUNCTION("IF(IF(COUNTIF(P$2:P4183, P4184)=0, """", INDEX(H$2:H4183,
MAX(FILTER(ROW(H$2:H4183) - ROW(H$2) + 1, P$2:P4183 = P4184))))=""単価"","""",
IF(COUNTIF(P$2:P4183, P4184)=0, """", INDEX(H$2:H4183,
MAX(FILTER(ROW(H$2:H4183) - ROW(H$2) + 1, P$2:P4183 = P4184)))))"),47.5)</f>
        <v>47.5</v>
      </c>
      <c r="N4184" s="335" t="str">
        <f>IF(MAXIFS('単価履歴'!$O:$O,'単価履歴'!$E:$E,E4184,'単価履歴'!$F:$F,F4184)=O4184,"●","")</f>
        <v/>
      </c>
      <c r="O4184" s="346">
        <v>46084.27960648148</v>
      </c>
      <c r="P4184" s="334" t="str">
        <f t="shared" si="4"/>
        <v>東鐵田原:直納ＨＳ１(単体H1/電特A/HS))</v>
      </c>
    </row>
    <row r="4185" ht="15.75" customHeight="1">
      <c r="A4185" s="335" t="s">
        <v>5332</v>
      </c>
      <c r="B4185" s="336">
        <v>46084.0</v>
      </c>
      <c r="C4185" s="335" t="s">
        <v>536</v>
      </c>
      <c r="D4185" s="335" t="s">
        <v>77</v>
      </c>
      <c r="E4185" s="337" t="str">
        <f t="shared" si="1"/>
        <v>東鐵田原:直納</v>
      </c>
      <c r="F4185" s="338" t="s">
        <v>111</v>
      </c>
      <c r="G4185" s="339" t="str">
        <f t="shared" si="2"/>
        <v>東鐵田原:直納Ｈ１(特A)</v>
      </c>
      <c r="H4185" s="340">
        <f t="shared" si="3"/>
        <v>47.7</v>
      </c>
      <c r="I4185" s="341">
        <v>1.0</v>
      </c>
      <c r="J4185" s="332">
        <f>IFERROR(__xludf.DUMMYFUNCTION("IF(IF(COUNTIF(P$2:P4184, P4185)=0, """", INDEX(H$2:H4184,
MAX(FILTER(ROW(H$2:H4184) - ROW(H$2) + 1, P$2:P4184 = P4185))))=""単価"","""",
IF(COUNTIF(P$2:P4184, P4185)=0, """", INDEX(H$2:H4184,
MAX(FILTER(ROW(H$2:H4184) - ROW(H$2) + 1, P$2:P4184 = P4185)))))"),46.7)</f>
        <v>46.7</v>
      </c>
      <c r="N4185" s="335" t="str">
        <f>IF(MAXIFS('単価履歴'!$O:$O,'単価履歴'!$E:$E,E4185,'単価履歴'!$F:$F,F4185)=O4185,"●","")</f>
        <v/>
      </c>
      <c r="O4185" s="346">
        <v>46084.27960648148</v>
      </c>
      <c r="P4185" s="334" t="str">
        <f t="shared" si="4"/>
        <v>東鐵田原:直納Ｈ１(特A)</v>
      </c>
    </row>
    <row r="4186" ht="15.75" customHeight="1">
      <c r="A4186" s="335" t="s">
        <v>5333</v>
      </c>
      <c r="B4186" s="336">
        <v>46084.0</v>
      </c>
      <c r="C4186" s="335" t="s">
        <v>536</v>
      </c>
      <c r="D4186" s="335" t="s">
        <v>77</v>
      </c>
      <c r="E4186" s="337" t="str">
        <f t="shared" si="1"/>
        <v>東鐵田原:直納</v>
      </c>
      <c r="F4186" s="338" t="s">
        <v>116</v>
      </c>
      <c r="G4186" s="339" t="str">
        <f t="shared" si="2"/>
        <v>東鐵田原:直納Ｈ２(特級)</v>
      </c>
      <c r="H4186" s="340">
        <f t="shared" si="3"/>
        <v>46</v>
      </c>
      <c r="I4186" s="341">
        <v>1.0</v>
      </c>
      <c r="J4186" s="332">
        <f>IFERROR(__xludf.DUMMYFUNCTION("IF(IF(COUNTIF(P$2:P4185, P4186)=0, """", INDEX(H$2:H4185,
MAX(FILTER(ROW(H$2:H4185) - ROW(H$2) + 1, P$2:P4185 = P4186))))=""単価"","""",
IF(COUNTIF(P$2:P4185, P4186)=0, """", INDEX(H$2:H4185,
MAX(FILTER(ROW(H$2:H4185) - ROW(H$2) + 1, P$2:P4185 = P4186)))))"),45.0)</f>
        <v>45</v>
      </c>
      <c r="N4186" s="335" t="str">
        <f>IF(MAXIFS('単価履歴'!$O:$O,'単価履歴'!$E:$E,E4186,'単価履歴'!$F:$F,F4186)=O4186,"●","")</f>
        <v/>
      </c>
      <c r="O4186" s="346">
        <v>46084.27960648148</v>
      </c>
      <c r="P4186" s="334" t="str">
        <f t="shared" si="4"/>
        <v>東鐵田原:直納Ｈ２(特級)</v>
      </c>
    </row>
    <row r="4187" ht="15.75" customHeight="1">
      <c r="A4187" s="335" t="s">
        <v>5334</v>
      </c>
      <c r="B4187" s="336">
        <v>46084.0</v>
      </c>
      <c r="C4187" s="335" t="s">
        <v>536</v>
      </c>
      <c r="D4187" s="335" t="s">
        <v>77</v>
      </c>
      <c r="E4187" s="337" t="str">
        <f t="shared" si="1"/>
        <v>東鐵田原:直納</v>
      </c>
      <c r="F4187" s="338" t="s">
        <v>119</v>
      </c>
      <c r="G4187" s="339" t="str">
        <f t="shared" si="2"/>
        <v>東鐵田原:直納Ｈ３(1級)</v>
      </c>
      <c r="H4187" s="340">
        <f t="shared" si="3"/>
        <v>45.5</v>
      </c>
      <c r="I4187" s="341">
        <v>1.0</v>
      </c>
      <c r="J4187" s="332">
        <f>IFERROR(__xludf.DUMMYFUNCTION("IF(IF(COUNTIF(P$2:P4186, P4187)=0, """", INDEX(H$2:H4186,
MAX(FILTER(ROW(H$2:H4186) - ROW(H$2) + 1, P$2:P4186 = P4187))))=""単価"","""",
IF(COUNTIF(P$2:P4186, P4187)=0, """", INDEX(H$2:H4186,
MAX(FILTER(ROW(H$2:H4186) - ROW(H$2) + 1, P$2:P4186 = P4187)))))"),44.5)</f>
        <v>44.5</v>
      </c>
      <c r="N4187" s="335" t="str">
        <f>IF(MAXIFS('単価履歴'!$O:$O,'単価履歴'!$E:$E,E4187,'単価履歴'!$F:$F,F4187)=O4187,"●","")</f>
        <v/>
      </c>
      <c r="O4187" s="346">
        <v>46084.27960648148</v>
      </c>
      <c r="P4187" s="334" t="str">
        <f t="shared" si="4"/>
        <v>東鐵田原:直納Ｈ３(1級)</v>
      </c>
    </row>
    <row r="4188" ht="15.75" customHeight="1">
      <c r="A4188" s="335" t="s">
        <v>5335</v>
      </c>
      <c r="B4188" s="336">
        <v>46084.0</v>
      </c>
      <c r="C4188" s="335" t="s">
        <v>536</v>
      </c>
      <c r="D4188" s="335" t="s">
        <v>77</v>
      </c>
      <c r="E4188" s="337" t="str">
        <f t="shared" si="1"/>
        <v>東鐵田原:直納</v>
      </c>
      <c r="F4188" s="338" t="s">
        <v>122</v>
      </c>
      <c r="G4188" s="339" t="str">
        <f t="shared" si="2"/>
        <v>東鐵田原:直納Ｌ１(2級)</v>
      </c>
      <c r="H4188" s="340">
        <f t="shared" si="3"/>
        <v>44</v>
      </c>
      <c r="I4188" s="341">
        <v>1.0</v>
      </c>
      <c r="J4188" s="332">
        <f>IFERROR(__xludf.DUMMYFUNCTION("IF(IF(COUNTIF(P$2:P4187, P4188)=0, """", INDEX(H$2:H4187,
MAX(FILTER(ROW(H$2:H4187) - ROW(H$2) + 1, P$2:P4187 = P4188))))=""単価"","""",
IF(COUNTIF(P$2:P4187, P4188)=0, """", INDEX(H$2:H4187,
MAX(FILTER(ROW(H$2:H4187) - ROW(H$2) + 1, P$2:P4187 = P4188)))))"),43.0)</f>
        <v>43</v>
      </c>
      <c r="N4188" s="335" t="str">
        <f>IF(MAXIFS('単価履歴'!$O:$O,'単価履歴'!$E:$E,E4188,'単価履歴'!$F:$F,F4188)=O4188,"●","")</f>
        <v/>
      </c>
      <c r="O4188" s="346">
        <v>46084.27960648148</v>
      </c>
      <c r="P4188" s="334" t="str">
        <f t="shared" si="4"/>
        <v>東鐵田原:直納Ｌ１(2級)</v>
      </c>
    </row>
    <row r="4189" ht="15.75" customHeight="1">
      <c r="A4189" s="335" t="s">
        <v>5336</v>
      </c>
      <c r="B4189" s="336">
        <v>46084.0</v>
      </c>
      <c r="C4189" s="335" t="s">
        <v>536</v>
      </c>
      <c r="D4189" s="335" t="s">
        <v>77</v>
      </c>
      <c r="E4189" s="337" t="str">
        <f t="shared" si="1"/>
        <v>東鐵田原:直納</v>
      </c>
      <c r="F4189" s="338" t="s">
        <v>573</v>
      </c>
      <c r="G4189" s="339" t="str">
        <f t="shared" si="2"/>
        <v>東鐵田原:直納Ｌ２(H4･級外･L1ﾊﾞﾗ)</v>
      </c>
      <c r="H4189" s="340">
        <f t="shared" si="3"/>
        <v>41</v>
      </c>
      <c r="I4189" s="341">
        <v>1.0</v>
      </c>
      <c r="J4189" s="332">
        <f>IFERROR(__xludf.DUMMYFUNCTION("IF(IF(COUNTIF(P$2:P4188, P4189)=0, """", INDEX(H$2:H4188,
MAX(FILTER(ROW(H$2:H4188) - ROW(H$2) + 1, P$2:P4188 = P4189))))=""単価"","""",
IF(COUNTIF(P$2:P4188, P4189)=0, """", INDEX(H$2:H4188,
MAX(FILTER(ROW(H$2:H4188) - ROW(H$2) + 1, P$2:P4188 = P4189)))))"),40.0)</f>
        <v>40</v>
      </c>
      <c r="N4189" s="335" t="str">
        <f>IF(MAXIFS('単価履歴'!$O:$O,'単価履歴'!$E:$E,E4189,'単価履歴'!$F:$F,F4189)=O4189,"●","")</f>
        <v/>
      </c>
      <c r="O4189" s="346">
        <v>46084.27960648148</v>
      </c>
      <c r="P4189" s="334" t="str">
        <f t="shared" si="4"/>
        <v>東鐵田原:直納Ｌ２(H4･級外･L1ﾊﾞﾗ)</v>
      </c>
    </row>
    <row r="4190" ht="15.75" customHeight="1">
      <c r="A4190" s="335" t="s">
        <v>5337</v>
      </c>
      <c r="B4190" s="336">
        <v>46084.0</v>
      </c>
      <c r="C4190" s="335" t="s">
        <v>536</v>
      </c>
      <c r="D4190" s="335" t="s">
        <v>77</v>
      </c>
      <c r="E4190" s="337" t="str">
        <f t="shared" si="1"/>
        <v>東鐵田原:直納</v>
      </c>
      <c r="F4190" s="338" t="s">
        <v>130</v>
      </c>
      <c r="G4190" s="339" t="str">
        <f t="shared" si="2"/>
        <v>東鐵田原:直納新断Ａ</v>
      </c>
      <c r="H4190" s="340">
        <f t="shared" si="3"/>
        <v>48.5</v>
      </c>
      <c r="I4190" s="341">
        <v>1.0</v>
      </c>
      <c r="J4190" s="332">
        <f>IFERROR(__xludf.DUMMYFUNCTION("IF(IF(COUNTIF(P$2:P4189, P4190)=0, """", INDEX(H$2:H4189,
MAX(FILTER(ROW(H$2:H4189) - ROW(H$2) + 1, P$2:P4189 = P4190))))=""単価"","""",
IF(COUNTIF(P$2:P4189, P4190)=0, """", INDEX(H$2:H4189,
MAX(FILTER(ROW(H$2:H4189) - ROW(H$2) + 1, P$2:P4189 = P4190)))))"),47.5)</f>
        <v>47.5</v>
      </c>
      <c r="N4190" s="335" t="str">
        <f>IF(MAXIFS('単価履歴'!$O:$O,'単価履歴'!$E:$E,E4190,'単価履歴'!$F:$F,F4190)=O4190,"●","")</f>
        <v/>
      </c>
      <c r="O4190" s="346">
        <v>46084.27960648148</v>
      </c>
      <c r="P4190" s="334" t="str">
        <f t="shared" si="4"/>
        <v>東鐵田原:直納新断Ａ</v>
      </c>
    </row>
    <row r="4191" ht="15.75" customHeight="1">
      <c r="A4191" s="335" t="s">
        <v>5338</v>
      </c>
      <c r="B4191" s="336">
        <v>46084.0</v>
      </c>
      <c r="C4191" s="335" t="s">
        <v>536</v>
      </c>
      <c r="D4191" s="335" t="s">
        <v>77</v>
      </c>
      <c r="E4191" s="337" t="str">
        <f t="shared" si="1"/>
        <v>東鐵田原:直納</v>
      </c>
      <c r="F4191" s="338" t="s">
        <v>131</v>
      </c>
      <c r="G4191" s="339" t="str">
        <f t="shared" si="2"/>
        <v>東鐵田原:直納新断Ｂ</v>
      </c>
      <c r="H4191" s="340">
        <f t="shared" si="3"/>
        <v>48.5</v>
      </c>
      <c r="I4191" s="341">
        <v>1.0</v>
      </c>
      <c r="J4191" s="332">
        <f>IFERROR(__xludf.DUMMYFUNCTION("IF(IF(COUNTIF(P$2:P4190, P4191)=0, """", INDEX(H$2:H4190,
MAX(FILTER(ROW(H$2:H4190) - ROW(H$2) + 1, P$2:P4190 = P4191))))=""単価"","""",
IF(COUNTIF(P$2:P4190, P4191)=0, """", INDEX(H$2:H4190,
MAX(FILTER(ROW(H$2:H4190) - ROW(H$2) + 1, P$2:P4190 = P4191)))))"),47.5)</f>
        <v>47.5</v>
      </c>
      <c r="N4191" s="335" t="str">
        <f>IF(MAXIFS('単価履歴'!$O:$O,'単価履歴'!$E:$E,E4191,'単価履歴'!$F:$F,F4191)=O4191,"●","")</f>
        <v/>
      </c>
      <c r="O4191" s="346">
        <v>46084.27960648148</v>
      </c>
      <c r="P4191" s="334" t="str">
        <f t="shared" si="4"/>
        <v>東鐵田原:直納新断Ｂ</v>
      </c>
    </row>
    <row r="4192" ht="15.75" customHeight="1">
      <c r="A4192" s="335" t="s">
        <v>5339</v>
      </c>
      <c r="B4192" s="336">
        <v>46084.0</v>
      </c>
      <c r="C4192" s="335" t="s">
        <v>536</v>
      </c>
      <c r="D4192" s="335" t="s">
        <v>77</v>
      </c>
      <c r="E4192" s="337" t="str">
        <f t="shared" si="1"/>
        <v>東鐵田原:直納</v>
      </c>
      <c r="F4192" s="338" t="s">
        <v>575</v>
      </c>
      <c r="G4192" s="339" t="str">
        <f t="shared" si="2"/>
        <v>東鐵田原:直納鋼ダライＡ</v>
      </c>
      <c r="H4192" s="340">
        <f t="shared" si="3"/>
        <v>44.5</v>
      </c>
      <c r="I4192" s="341">
        <v>1.0</v>
      </c>
      <c r="J4192" s="332">
        <f>IFERROR(__xludf.DUMMYFUNCTION("IF(IF(COUNTIF(P$2:P4191, P4192)=0, """", INDEX(H$2:H4191,
MAX(FILTER(ROW(H$2:H4191) - ROW(H$2) + 1, P$2:P4191 = P4192))))=""単価"","""",
IF(COUNTIF(P$2:P4191, P4192)=0, """", INDEX(H$2:H4191,
MAX(FILTER(ROW(H$2:H4191) - ROW(H$2) + 1, P$2:P4191 = P4192)))))"),43.5)</f>
        <v>43.5</v>
      </c>
      <c r="N4192" s="335" t="str">
        <f>IF(MAXIFS('単価履歴'!$O:$O,'単価履歴'!$E:$E,E4192,'単価履歴'!$F:$F,F4192)=O4192,"●","")</f>
        <v/>
      </c>
      <c r="O4192" s="346">
        <v>46084.27960648148</v>
      </c>
      <c r="P4192" s="334" t="str">
        <f t="shared" si="4"/>
        <v>東鐵田原:直納鋼ダライＡ</v>
      </c>
    </row>
    <row r="4193" ht="15.75" customHeight="1">
      <c r="A4193" s="335" t="s">
        <v>5340</v>
      </c>
      <c r="B4193" s="336">
        <v>46084.0</v>
      </c>
      <c r="C4193" s="335" t="s">
        <v>536</v>
      </c>
      <c r="D4193" s="335" t="s">
        <v>77</v>
      </c>
      <c r="E4193" s="337" t="str">
        <f t="shared" si="1"/>
        <v>東鐵田原:直納</v>
      </c>
      <c r="F4193" s="338" t="s">
        <v>145</v>
      </c>
      <c r="G4193" s="339" t="str">
        <f t="shared" si="2"/>
        <v>東鐵田原:直納シュレＡ</v>
      </c>
      <c r="H4193" s="340">
        <f t="shared" si="3"/>
        <v>47</v>
      </c>
      <c r="I4193" s="341">
        <v>1.0</v>
      </c>
      <c r="J4193" s="332">
        <f>IFERROR(__xludf.DUMMYFUNCTION("IF(IF(COUNTIF(P$2:P4192, P4193)=0, """", INDEX(H$2:H4192,
MAX(FILTER(ROW(H$2:H4192) - ROW(H$2) + 1, P$2:P4192 = P4193))))=""単価"","""",
IF(COUNTIF(P$2:P4192, P4193)=0, """", INDEX(H$2:H4192,
MAX(FILTER(ROW(H$2:H4192) - ROW(H$2) + 1, P$2:P4192 = P4193)))))"),46.0)</f>
        <v>46</v>
      </c>
      <c r="N4193" s="335" t="str">
        <f>IF(MAXIFS('単価履歴'!$O:$O,'単価履歴'!$E:$E,E4193,'単価履歴'!$F:$F,F4193)=O4193,"●","")</f>
        <v/>
      </c>
      <c r="O4193" s="346">
        <v>46084.27960648148</v>
      </c>
      <c r="P4193" s="334" t="str">
        <f t="shared" si="4"/>
        <v>東鐵田原:直納シュレＡ</v>
      </c>
    </row>
    <row r="4194" ht="15.75" customHeight="1">
      <c r="A4194" s="335" t="s">
        <v>5341</v>
      </c>
      <c r="B4194" s="336">
        <v>46084.0</v>
      </c>
      <c r="C4194" s="335" t="s">
        <v>536</v>
      </c>
      <c r="D4194" s="335" t="s">
        <v>77</v>
      </c>
      <c r="E4194" s="337" t="str">
        <f t="shared" si="1"/>
        <v>東鐵田原:直納</v>
      </c>
      <c r="F4194" s="338" t="s">
        <v>151</v>
      </c>
      <c r="G4194" s="339" t="str">
        <f t="shared" si="2"/>
        <v>東鐵田原:直納シュレＣ</v>
      </c>
      <c r="H4194" s="340">
        <f t="shared" si="3"/>
        <v>46.5</v>
      </c>
      <c r="I4194" s="341">
        <v>1.0</v>
      </c>
      <c r="J4194" s="332">
        <f>IFERROR(__xludf.DUMMYFUNCTION("IF(IF(COUNTIF(P$2:P4193, P4194)=0, """", INDEX(H$2:H4193,
MAX(FILTER(ROW(H$2:H4193) - ROW(H$2) + 1, P$2:P4193 = P4194))))=""単価"","""",
IF(COUNTIF(P$2:P4193, P4194)=0, """", INDEX(H$2:H4193,
MAX(FILTER(ROW(H$2:H4193) - ROW(H$2) + 1, P$2:P4193 = P4194)))))"),45.5)</f>
        <v>45.5</v>
      </c>
      <c r="N4194" s="335" t="str">
        <f>IF(MAXIFS('単価履歴'!$O:$O,'単価履歴'!$E:$E,E4194,'単価履歴'!$F:$F,F4194)=O4194,"●","")</f>
        <v/>
      </c>
      <c r="O4194" s="346">
        <v>46084.27960648148</v>
      </c>
      <c r="P4194" s="334" t="str">
        <f t="shared" si="4"/>
        <v>東鐵田原:直納シュレＣ</v>
      </c>
    </row>
    <row r="4195" ht="15.75" customHeight="1">
      <c r="A4195" s="335" t="s">
        <v>5342</v>
      </c>
      <c r="B4195" s="336">
        <v>46084.0</v>
      </c>
      <c r="C4195" s="335" t="s">
        <v>536</v>
      </c>
      <c r="D4195" s="335" t="s">
        <v>77</v>
      </c>
      <c r="E4195" s="337" t="str">
        <f t="shared" si="1"/>
        <v>東鐵田原:直納</v>
      </c>
      <c r="F4195" s="338" t="s">
        <v>154</v>
      </c>
      <c r="G4195" s="339" t="str">
        <f t="shared" si="2"/>
        <v>東鐵田原:直納ＣＰ Ａ</v>
      </c>
      <c r="H4195" s="340">
        <f t="shared" si="3"/>
        <v>44.5</v>
      </c>
      <c r="I4195" s="341">
        <v>1.0</v>
      </c>
      <c r="J4195" s="332">
        <f>IFERROR(__xludf.DUMMYFUNCTION("IF(IF(COUNTIF(P$2:P4194, P4195)=0, """", INDEX(H$2:H4194,
MAX(FILTER(ROW(H$2:H4194) - ROW(H$2) + 1, P$2:P4194 = P4195))))=""単価"","""",
IF(COUNTIF(P$2:P4194, P4195)=0, """", INDEX(H$2:H4194,
MAX(FILTER(ROW(H$2:H4194) - ROW(H$2) + 1, P$2:P4194 = P4195)))))"),43.5)</f>
        <v>43.5</v>
      </c>
      <c r="N4195" s="335" t="str">
        <f>IF(MAXIFS('単価履歴'!$O:$O,'単価履歴'!$E:$E,E4195,'単価履歴'!$F:$F,F4195)=O4195,"●","")</f>
        <v/>
      </c>
      <c r="O4195" s="346">
        <v>46084.27960648148</v>
      </c>
      <c r="P4195" s="334" t="str">
        <f t="shared" si="4"/>
        <v>東鐵田原:直納ＣＰ Ａ</v>
      </c>
    </row>
    <row r="4196" ht="15.75" customHeight="1">
      <c r="A4196" s="335" t="s">
        <v>5343</v>
      </c>
      <c r="B4196" s="336">
        <v>46084.0</v>
      </c>
      <c r="C4196" s="335" t="s">
        <v>532</v>
      </c>
      <c r="D4196" s="335" t="s">
        <v>77</v>
      </c>
      <c r="E4196" s="337" t="str">
        <f t="shared" si="1"/>
        <v>東鐵岡山:直納</v>
      </c>
      <c r="F4196" s="338" t="s">
        <v>1199</v>
      </c>
      <c r="G4196" s="339" t="str">
        <f t="shared" si="2"/>
        <v>東鐵岡山:直納ＨＳ１(単体H1/電特A/HS))</v>
      </c>
      <c r="H4196" s="340">
        <f t="shared" si="3"/>
        <v>48</v>
      </c>
      <c r="I4196" s="341">
        <v>1.0</v>
      </c>
      <c r="J4196" s="332">
        <f>IFERROR(__xludf.DUMMYFUNCTION("IF(IF(COUNTIF(P$2:P4195, P4196)=0, """", INDEX(H$2:H4195,
MAX(FILTER(ROW(H$2:H4195) - ROW(H$2) + 1, P$2:P4195 = P4196))))=""単価"","""",
IF(COUNTIF(P$2:P4195, P4196)=0, """", INDEX(H$2:H4195,
MAX(FILTER(ROW(H$2:H4195) - ROW(H$2) + 1, P$2:P4195 = P4196)))))"),47.0)</f>
        <v>47</v>
      </c>
      <c r="N4196" s="335" t="str">
        <f>IF(MAXIFS('単価履歴'!$O:$O,'単価履歴'!$E:$E,E4196,'単価履歴'!$F:$F,F4196)=O4196,"●","")</f>
        <v/>
      </c>
      <c r="O4196" s="346">
        <v>46084.279814814814</v>
      </c>
      <c r="P4196" s="334" t="str">
        <f t="shared" si="4"/>
        <v>東鐵岡山:直納ＨＳ１(単体H1/電特A/HS))</v>
      </c>
    </row>
    <row r="4197" ht="15.75" customHeight="1">
      <c r="A4197" s="335" t="s">
        <v>5344</v>
      </c>
      <c r="B4197" s="336">
        <v>46084.0</v>
      </c>
      <c r="C4197" s="335" t="s">
        <v>532</v>
      </c>
      <c r="D4197" s="335" t="s">
        <v>77</v>
      </c>
      <c r="E4197" s="337" t="str">
        <f t="shared" si="1"/>
        <v>東鐵岡山:直納</v>
      </c>
      <c r="F4197" s="338" t="s">
        <v>111</v>
      </c>
      <c r="G4197" s="339" t="str">
        <f t="shared" si="2"/>
        <v>東鐵岡山:直納Ｈ１(特A)</v>
      </c>
      <c r="H4197" s="340">
        <f t="shared" si="3"/>
        <v>46.7</v>
      </c>
      <c r="I4197" s="341">
        <v>1.0</v>
      </c>
      <c r="J4197" s="332">
        <f>IFERROR(__xludf.DUMMYFUNCTION("IF(IF(COUNTIF(P$2:P4196, P4197)=0, """", INDEX(H$2:H4196,
MAX(FILTER(ROW(H$2:H4196) - ROW(H$2) + 1, P$2:P4196 = P4197))))=""単価"","""",
IF(COUNTIF(P$2:P4196, P4197)=0, """", INDEX(H$2:H4196,
MAX(FILTER(ROW(H$2:H4196) - ROW(H$2) + 1, P$2:P4196 = P4197)))))"),45.7)</f>
        <v>45.7</v>
      </c>
      <c r="N4197" s="335" t="str">
        <f>IF(MAXIFS('単価履歴'!$O:$O,'単価履歴'!$E:$E,E4197,'単価履歴'!$F:$F,F4197)=O4197,"●","")</f>
        <v/>
      </c>
      <c r="O4197" s="346">
        <v>46084.279814814814</v>
      </c>
      <c r="P4197" s="334" t="str">
        <f t="shared" si="4"/>
        <v>東鐵岡山:直納Ｈ１(特A)</v>
      </c>
    </row>
    <row r="4198" ht="15.75" customHeight="1">
      <c r="A4198" s="335" t="s">
        <v>5345</v>
      </c>
      <c r="B4198" s="336">
        <v>46084.0</v>
      </c>
      <c r="C4198" s="335" t="s">
        <v>532</v>
      </c>
      <c r="D4198" s="335" t="s">
        <v>77</v>
      </c>
      <c r="E4198" s="337" t="str">
        <f t="shared" si="1"/>
        <v>東鐵岡山:直納</v>
      </c>
      <c r="F4198" s="338" t="s">
        <v>116</v>
      </c>
      <c r="G4198" s="339" t="str">
        <f t="shared" si="2"/>
        <v>東鐵岡山:直納Ｈ２(特級)</v>
      </c>
      <c r="H4198" s="340">
        <f t="shared" si="3"/>
        <v>46</v>
      </c>
      <c r="I4198" s="341">
        <v>1.0</v>
      </c>
      <c r="J4198" s="332">
        <f>IFERROR(__xludf.DUMMYFUNCTION("IF(IF(COUNTIF(P$2:P4197, P4198)=0, """", INDEX(H$2:H4197,
MAX(FILTER(ROW(H$2:H4197) - ROW(H$2) + 1, P$2:P4197 = P4198))))=""単価"","""",
IF(COUNTIF(P$2:P4197, P4198)=0, """", INDEX(H$2:H4197,
MAX(FILTER(ROW(H$2:H4197) - ROW(H$2) + 1, P$2:P4197 = P4198)))))"),45.0)</f>
        <v>45</v>
      </c>
      <c r="N4198" s="335" t="str">
        <f>IF(MAXIFS('単価履歴'!$O:$O,'単価履歴'!$E:$E,E4198,'単価履歴'!$F:$F,F4198)=O4198,"●","")</f>
        <v/>
      </c>
      <c r="O4198" s="346">
        <v>46084.279814814814</v>
      </c>
      <c r="P4198" s="334" t="str">
        <f t="shared" si="4"/>
        <v>東鐵岡山:直納Ｈ２(特級)</v>
      </c>
    </row>
    <row r="4199" ht="15.75" customHeight="1">
      <c r="A4199" s="335" t="s">
        <v>5346</v>
      </c>
      <c r="B4199" s="336">
        <v>46084.0</v>
      </c>
      <c r="C4199" s="335" t="s">
        <v>532</v>
      </c>
      <c r="D4199" s="335" t="s">
        <v>77</v>
      </c>
      <c r="E4199" s="337" t="str">
        <f t="shared" si="1"/>
        <v>東鐵岡山:直納</v>
      </c>
      <c r="F4199" s="338" t="s">
        <v>119</v>
      </c>
      <c r="G4199" s="339" t="str">
        <f t="shared" si="2"/>
        <v>東鐵岡山:直納Ｈ３(1級)</v>
      </c>
      <c r="H4199" s="340">
        <f t="shared" si="3"/>
        <v>45.5</v>
      </c>
      <c r="I4199" s="341">
        <v>1.0</v>
      </c>
      <c r="J4199" s="332">
        <f>IFERROR(__xludf.DUMMYFUNCTION("IF(IF(COUNTIF(P$2:P4198, P4199)=0, """", INDEX(H$2:H4198,
MAX(FILTER(ROW(H$2:H4198) - ROW(H$2) + 1, P$2:P4198 = P4199))))=""単価"","""",
IF(COUNTIF(P$2:P4198, P4199)=0, """", INDEX(H$2:H4198,
MAX(FILTER(ROW(H$2:H4198) - ROW(H$2) + 1, P$2:P4198 = P4199)))))"),44.5)</f>
        <v>44.5</v>
      </c>
      <c r="N4199" s="335" t="str">
        <f>IF(MAXIFS('単価履歴'!$O:$O,'単価履歴'!$E:$E,E4199,'単価履歴'!$F:$F,F4199)=O4199,"●","")</f>
        <v/>
      </c>
      <c r="O4199" s="346">
        <v>46084.279814814814</v>
      </c>
      <c r="P4199" s="334" t="str">
        <f t="shared" si="4"/>
        <v>東鐵岡山:直納Ｈ３(1級)</v>
      </c>
    </row>
    <row r="4200" ht="15.75" customHeight="1">
      <c r="A4200" s="335" t="s">
        <v>5347</v>
      </c>
      <c r="B4200" s="336">
        <v>46084.0</v>
      </c>
      <c r="C4200" s="335" t="s">
        <v>532</v>
      </c>
      <c r="D4200" s="335" t="s">
        <v>77</v>
      </c>
      <c r="E4200" s="337" t="str">
        <f t="shared" si="1"/>
        <v>東鐵岡山:直納</v>
      </c>
      <c r="F4200" s="338" t="s">
        <v>122</v>
      </c>
      <c r="G4200" s="339" t="str">
        <f t="shared" si="2"/>
        <v>東鐵岡山:直納Ｌ１(2級)</v>
      </c>
      <c r="H4200" s="340">
        <f t="shared" si="3"/>
        <v>44</v>
      </c>
      <c r="I4200" s="341">
        <v>1.0</v>
      </c>
      <c r="J4200" s="332">
        <f>IFERROR(__xludf.DUMMYFUNCTION("IF(IF(COUNTIF(P$2:P4199, P4200)=0, """", INDEX(H$2:H4199,
MAX(FILTER(ROW(H$2:H4199) - ROW(H$2) + 1, P$2:P4199 = P4200))))=""単価"","""",
IF(COUNTIF(P$2:P4199, P4200)=0, """", INDEX(H$2:H4199,
MAX(FILTER(ROW(H$2:H4199) - ROW(H$2) + 1, P$2:P4199 = P4200)))))"),43.0)</f>
        <v>43</v>
      </c>
      <c r="N4200" s="335" t="str">
        <f>IF(MAXIFS('単価履歴'!$O:$O,'単価履歴'!$E:$E,E4200,'単価履歴'!$F:$F,F4200)=O4200,"●","")</f>
        <v/>
      </c>
      <c r="O4200" s="346">
        <v>46084.279814814814</v>
      </c>
      <c r="P4200" s="334" t="str">
        <f t="shared" si="4"/>
        <v>東鐵岡山:直納Ｌ１(2級)</v>
      </c>
    </row>
    <row r="4201" ht="15.75" customHeight="1">
      <c r="A4201" s="335" t="s">
        <v>5348</v>
      </c>
      <c r="B4201" s="336">
        <v>46084.0</v>
      </c>
      <c r="C4201" s="335" t="s">
        <v>532</v>
      </c>
      <c r="D4201" s="335" t="s">
        <v>77</v>
      </c>
      <c r="E4201" s="337" t="str">
        <f t="shared" si="1"/>
        <v>東鐵岡山:直納</v>
      </c>
      <c r="F4201" s="338" t="s">
        <v>573</v>
      </c>
      <c r="G4201" s="339" t="str">
        <f t="shared" si="2"/>
        <v>東鐵岡山:直納Ｌ２(H4･級外･L1ﾊﾞﾗ)</v>
      </c>
      <c r="H4201" s="340">
        <f t="shared" si="3"/>
        <v>41</v>
      </c>
      <c r="I4201" s="341">
        <v>1.0</v>
      </c>
      <c r="J4201" s="332">
        <f>IFERROR(__xludf.DUMMYFUNCTION("IF(IF(COUNTIF(P$2:P4200, P4201)=0, """", INDEX(H$2:H4200,
MAX(FILTER(ROW(H$2:H4200) - ROW(H$2) + 1, P$2:P4200 = P4201))))=""単価"","""",
IF(COUNTIF(P$2:P4200, P4201)=0, """", INDEX(H$2:H4200,
MAX(FILTER(ROW(H$2:H4200) - ROW(H$2) + 1, P$2:P4200 = P4201)))))"),40.0)</f>
        <v>40</v>
      </c>
      <c r="N4201" s="335" t="str">
        <f>IF(MAXIFS('単価履歴'!$O:$O,'単価履歴'!$E:$E,E4201,'単価履歴'!$F:$F,F4201)=O4201,"●","")</f>
        <v/>
      </c>
      <c r="O4201" s="346">
        <v>46084.279814814814</v>
      </c>
      <c r="P4201" s="334" t="str">
        <f t="shared" si="4"/>
        <v>東鐵岡山:直納Ｌ２(H4･級外･L1ﾊﾞﾗ)</v>
      </c>
    </row>
    <row r="4202" ht="15.75" customHeight="1">
      <c r="A4202" s="335" t="s">
        <v>5349</v>
      </c>
      <c r="B4202" s="336">
        <v>46084.0</v>
      </c>
      <c r="C4202" s="335" t="s">
        <v>532</v>
      </c>
      <c r="D4202" s="335" t="s">
        <v>77</v>
      </c>
      <c r="E4202" s="337" t="str">
        <f t="shared" si="1"/>
        <v>東鐵岡山:直納</v>
      </c>
      <c r="F4202" s="338" t="s">
        <v>145</v>
      </c>
      <c r="G4202" s="339" t="str">
        <f t="shared" si="2"/>
        <v>東鐵岡山:直納シュレＡ</v>
      </c>
      <c r="H4202" s="340">
        <f t="shared" si="3"/>
        <v>46.5</v>
      </c>
      <c r="I4202" s="341">
        <v>1.0</v>
      </c>
      <c r="J4202" s="332">
        <f>IFERROR(__xludf.DUMMYFUNCTION("IF(IF(COUNTIF(P$2:P4201, P4202)=0, """", INDEX(H$2:H4201,
MAX(FILTER(ROW(H$2:H4201) - ROW(H$2) + 1, P$2:P4201 = P4202))))=""単価"","""",
IF(COUNTIF(P$2:P4201, P4202)=0, """", INDEX(H$2:H4201,
MAX(FILTER(ROW(H$2:H4201) - ROW(H$2) + 1, P$2:P4201 = P4202)))))"),45.5)</f>
        <v>45.5</v>
      </c>
      <c r="N4202" s="335" t="str">
        <f>IF(MAXIFS('単価履歴'!$O:$O,'単価履歴'!$E:$E,E4202,'単価履歴'!$F:$F,F4202)=O4202,"●","")</f>
        <v/>
      </c>
      <c r="O4202" s="346">
        <v>46084.279814814814</v>
      </c>
      <c r="P4202" s="334" t="str">
        <f t="shared" si="4"/>
        <v>東鐵岡山:直納シュレＡ</v>
      </c>
    </row>
    <row r="4203" ht="15.75" customHeight="1">
      <c r="A4203" s="335" t="s">
        <v>5350</v>
      </c>
      <c r="B4203" s="336">
        <v>46084.0</v>
      </c>
      <c r="C4203" s="335" t="s">
        <v>532</v>
      </c>
      <c r="D4203" s="335" t="s">
        <v>77</v>
      </c>
      <c r="E4203" s="337" t="str">
        <f t="shared" si="1"/>
        <v>東鐵岡山:直納</v>
      </c>
      <c r="F4203" s="338" t="s">
        <v>151</v>
      </c>
      <c r="G4203" s="339" t="str">
        <f t="shared" si="2"/>
        <v>東鐵岡山:直納シュレＣ</v>
      </c>
      <c r="H4203" s="340">
        <f t="shared" si="3"/>
        <v>46</v>
      </c>
      <c r="I4203" s="341">
        <v>1.0</v>
      </c>
      <c r="J4203" s="332">
        <f>IFERROR(__xludf.DUMMYFUNCTION("IF(IF(COUNTIF(P$2:P4202, P4203)=0, """", INDEX(H$2:H4202,
MAX(FILTER(ROW(H$2:H4202) - ROW(H$2) + 1, P$2:P4202 = P4203))))=""単価"","""",
IF(COUNTIF(P$2:P4202, P4203)=0, """", INDEX(H$2:H4202,
MAX(FILTER(ROW(H$2:H4202) - ROW(H$2) + 1, P$2:P4202 = P4203)))))"),45.0)</f>
        <v>45</v>
      </c>
      <c r="N4203" s="335" t="str">
        <f>IF(MAXIFS('単価履歴'!$O:$O,'単価履歴'!$E:$E,E4203,'単価履歴'!$F:$F,F4203)=O4203,"●","")</f>
        <v/>
      </c>
      <c r="O4203" s="346">
        <v>46084.279814814814</v>
      </c>
      <c r="P4203" s="334" t="str">
        <f t="shared" si="4"/>
        <v>東鐵岡山:直納シュレＣ</v>
      </c>
    </row>
    <row r="4204" ht="15.75" customHeight="1">
      <c r="A4204" s="335" t="s">
        <v>5351</v>
      </c>
      <c r="B4204" s="336">
        <v>46084.0</v>
      </c>
      <c r="C4204" s="335" t="s">
        <v>532</v>
      </c>
      <c r="D4204" s="335" t="s">
        <v>77</v>
      </c>
      <c r="E4204" s="337" t="str">
        <f t="shared" si="1"/>
        <v>東鐵岡山:直納</v>
      </c>
      <c r="F4204" s="338" t="s">
        <v>130</v>
      </c>
      <c r="G4204" s="339" t="str">
        <f t="shared" si="2"/>
        <v>東鐵岡山:直納新断Ａ</v>
      </c>
      <c r="H4204" s="340">
        <f t="shared" si="3"/>
        <v>47</v>
      </c>
      <c r="I4204" s="341">
        <v>1.0</v>
      </c>
      <c r="J4204" s="332">
        <f>IFERROR(__xludf.DUMMYFUNCTION("IF(IF(COUNTIF(P$2:P4203, P4204)=0, """", INDEX(H$2:H4203,
MAX(FILTER(ROW(H$2:H4203) - ROW(H$2) + 1, P$2:P4203 = P4204))))=""単価"","""",
IF(COUNTIF(P$2:P4203, P4204)=0, """", INDEX(H$2:H4203,
MAX(FILTER(ROW(H$2:H4203) - ROW(H$2) + 1, P$2:P4203 = P4204)))))"),46.0)</f>
        <v>46</v>
      </c>
      <c r="N4204" s="335" t="str">
        <f>IF(MAXIFS('単価履歴'!$O:$O,'単価履歴'!$E:$E,E4204,'単価履歴'!$F:$F,F4204)=O4204,"●","")</f>
        <v/>
      </c>
      <c r="O4204" s="346">
        <v>46084.279814814814</v>
      </c>
      <c r="P4204" s="334" t="str">
        <f t="shared" si="4"/>
        <v>東鐵岡山:直納新断Ａ</v>
      </c>
    </row>
    <row r="4205" ht="15.75" customHeight="1">
      <c r="A4205" s="335" t="s">
        <v>5352</v>
      </c>
      <c r="B4205" s="336">
        <v>46084.0</v>
      </c>
      <c r="C4205" s="335" t="s">
        <v>532</v>
      </c>
      <c r="D4205" s="335" t="s">
        <v>77</v>
      </c>
      <c r="E4205" s="337" t="str">
        <f t="shared" si="1"/>
        <v>東鐵岡山:直納</v>
      </c>
      <c r="F4205" s="338" t="s">
        <v>131</v>
      </c>
      <c r="G4205" s="339" t="str">
        <f t="shared" si="2"/>
        <v>東鐵岡山:直納新断Ｂ</v>
      </c>
      <c r="H4205" s="340">
        <f t="shared" si="3"/>
        <v>47</v>
      </c>
      <c r="I4205" s="341">
        <v>1.0</v>
      </c>
      <c r="J4205" s="332">
        <f>IFERROR(__xludf.DUMMYFUNCTION("IF(IF(COUNTIF(P$2:P4204, P4205)=0, """", INDEX(H$2:H4204,
MAX(FILTER(ROW(H$2:H4204) - ROW(H$2) + 1, P$2:P4204 = P4205))))=""単価"","""",
IF(COUNTIF(P$2:P4204, P4205)=0, """", INDEX(H$2:H4204,
MAX(FILTER(ROW(H$2:H4204) - ROW(H$2) + 1, P$2:P4204 = P4205)))))"),46.0)</f>
        <v>46</v>
      </c>
      <c r="N4205" s="335" t="str">
        <f>IF(MAXIFS('単価履歴'!$O:$O,'単価履歴'!$E:$E,E4205,'単価履歴'!$F:$F,F4205)=O4205,"●","")</f>
        <v/>
      </c>
      <c r="O4205" s="346">
        <v>46084.279814814814</v>
      </c>
      <c r="P4205" s="334" t="str">
        <f t="shared" si="4"/>
        <v>東鐵岡山:直納新断Ｂ</v>
      </c>
    </row>
    <row r="4206" ht="15.75" customHeight="1">
      <c r="A4206" s="335" t="s">
        <v>5353</v>
      </c>
      <c r="B4206" s="336">
        <v>46084.0</v>
      </c>
      <c r="C4206" s="335" t="s">
        <v>532</v>
      </c>
      <c r="D4206" s="335" t="s">
        <v>77</v>
      </c>
      <c r="E4206" s="337" t="str">
        <f t="shared" si="1"/>
        <v>東鐵岡山:直納</v>
      </c>
      <c r="F4206" s="338" t="s">
        <v>575</v>
      </c>
      <c r="G4206" s="339" t="str">
        <f t="shared" si="2"/>
        <v>東鐵岡山:直納鋼ダライＡ</v>
      </c>
      <c r="H4206" s="340">
        <f t="shared" si="3"/>
        <v>41.5</v>
      </c>
      <c r="I4206" s="341">
        <v>1.0</v>
      </c>
      <c r="J4206" s="332">
        <f>IFERROR(__xludf.DUMMYFUNCTION("IF(IF(COUNTIF(P$2:P4205, P4206)=0, """", INDEX(H$2:H4205,
MAX(FILTER(ROW(H$2:H4205) - ROW(H$2) + 1, P$2:P4205 = P4206))))=""単価"","""",
IF(COUNTIF(P$2:P4205, P4206)=0, """", INDEX(H$2:H4205,
MAX(FILTER(ROW(H$2:H4205) - ROW(H$2) + 1, P$2:P4205 = P4206)))))"),40.5)</f>
        <v>40.5</v>
      </c>
      <c r="N4206" s="335" t="str">
        <f>IF(MAXIFS('単価履歴'!$O:$O,'単価履歴'!$E:$E,E4206,'単価履歴'!$F:$F,F4206)=O4206,"●","")</f>
        <v/>
      </c>
      <c r="O4206" s="346">
        <v>46084.279814814814</v>
      </c>
      <c r="P4206" s="334" t="str">
        <f t="shared" si="4"/>
        <v>東鐵岡山:直納鋼ダライＡ</v>
      </c>
    </row>
    <row r="4207" ht="15.75" customHeight="1">
      <c r="A4207" s="335" t="s">
        <v>5354</v>
      </c>
      <c r="B4207" s="336">
        <v>46084.0</v>
      </c>
      <c r="C4207" s="335" t="s">
        <v>532</v>
      </c>
      <c r="D4207" s="335" t="s">
        <v>77</v>
      </c>
      <c r="E4207" s="337" t="str">
        <f t="shared" si="1"/>
        <v>東鐵岡山:直納</v>
      </c>
      <c r="F4207" s="338" t="s">
        <v>25</v>
      </c>
      <c r="G4207" s="339" t="str">
        <f t="shared" si="2"/>
        <v>東鐵岡山:直納銑ダライ</v>
      </c>
      <c r="H4207" s="340">
        <f t="shared" si="3"/>
        <v>38</v>
      </c>
      <c r="I4207" s="341">
        <v>1.0</v>
      </c>
      <c r="J4207" s="332">
        <f>IFERROR(__xludf.DUMMYFUNCTION("IF(IF(COUNTIF(P$2:P4206, P4207)=0, """", INDEX(H$2:H4206,
MAX(FILTER(ROW(H$2:H4206) - ROW(H$2) + 1, P$2:P4206 = P4207))))=""単価"","""",
IF(COUNTIF(P$2:P4206, P4207)=0, """", INDEX(H$2:H4206,
MAX(FILTER(ROW(H$2:H4206) - ROW(H$2) + 1, P$2:P4206 = P4207)))))"),37.0)</f>
        <v>37</v>
      </c>
      <c r="N4207" s="335" t="str">
        <f>IF(MAXIFS('単価履歴'!$O:$O,'単価履歴'!$E:$E,E4207,'単価履歴'!$F:$F,F4207)=O4207,"●","")</f>
        <v/>
      </c>
      <c r="O4207" s="346">
        <v>46084.279814814814</v>
      </c>
      <c r="P4207" s="334" t="str">
        <f t="shared" si="4"/>
        <v>東鐵岡山:直納銑ダライ</v>
      </c>
    </row>
    <row r="4208" ht="15.75" customHeight="1">
      <c r="A4208" s="335" t="s">
        <v>5355</v>
      </c>
      <c r="B4208" s="336">
        <v>46084.0</v>
      </c>
      <c r="C4208" s="335" t="s">
        <v>532</v>
      </c>
      <c r="D4208" s="335" t="s">
        <v>77</v>
      </c>
      <c r="E4208" s="337" t="str">
        <f t="shared" si="1"/>
        <v>東鐵岡山:直納</v>
      </c>
      <c r="F4208" s="338" t="s">
        <v>154</v>
      </c>
      <c r="G4208" s="339" t="str">
        <f t="shared" si="2"/>
        <v>東鐵岡山:直納ＣＰ Ａ</v>
      </c>
      <c r="H4208" s="340">
        <f t="shared" si="3"/>
        <v>44.5</v>
      </c>
      <c r="I4208" s="341">
        <v>1.0</v>
      </c>
      <c r="J4208" s="332">
        <f>IFERROR(__xludf.DUMMYFUNCTION("IF(IF(COUNTIF(P$2:P4207, P4208)=0, """", INDEX(H$2:H4207,
MAX(FILTER(ROW(H$2:H4207) - ROW(H$2) + 1, P$2:P4207 = P4208))))=""単価"","""",
IF(COUNTIF(P$2:P4207, P4208)=0, """", INDEX(H$2:H4207,
MAX(FILTER(ROW(H$2:H4207) - ROW(H$2) + 1, P$2:P4207 = P4208)))))"),43.5)</f>
        <v>43.5</v>
      </c>
      <c r="N4208" s="335" t="str">
        <f>IF(MAXIFS('単価履歴'!$O:$O,'単価履歴'!$E:$E,E4208,'単価履歴'!$F:$F,F4208)=O4208,"●","")</f>
        <v/>
      </c>
      <c r="O4208" s="346">
        <v>46084.279814814814</v>
      </c>
      <c r="P4208" s="334" t="str">
        <f t="shared" si="4"/>
        <v>東鐵岡山:直納ＣＰ Ａ</v>
      </c>
    </row>
    <row r="4209" ht="15.75" customHeight="1">
      <c r="A4209" s="335" t="s">
        <v>5356</v>
      </c>
      <c r="B4209" s="336">
        <v>46084.0</v>
      </c>
      <c r="C4209" s="335" t="s">
        <v>5</v>
      </c>
      <c r="D4209" s="335" t="s">
        <v>46</v>
      </c>
      <c r="E4209" s="337" t="str">
        <f t="shared" si="1"/>
        <v>中山製鋼:阪和</v>
      </c>
      <c r="F4209" s="338" t="s">
        <v>101</v>
      </c>
      <c r="G4209" s="339" t="str">
        <f t="shared" si="2"/>
        <v>中山製鋼:阪和ＨＳ２</v>
      </c>
      <c r="H4209" s="340">
        <f t="shared" si="3"/>
        <v>50.4</v>
      </c>
      <c r="I4209" s="341">
        <v>1.0</v>
      </c>
      <c r="J4209" s="332">
        <f>IFERROR(__xludf.DUMMYFUNCTION("IF(IF(COUNTIF(P$2:P4208, P4209)=0, """", INDEX(H$2:H4208,
MAX(FILTER(ROW(H$2:H4208) - ROW(H$2) + 1, P$2:P4208 = P4209))))=""単価"","""",
IF(COUNTIF(P$2:P4208, P4209)=0, """", INDEX(H$2:H4208,
MAX(FILTER(ROW(H$2:H4208) - ROW(H$2) + 1, P$2:P4208 = P4209)))))"),49.4)</f>
        <v>49.4</v>
      </c>
      <c r="N4209" s="335" t="str">
        <f>IF(MAXIFS('単価履歴'!$O:$O,'単価履歴'!$E:$E,E4209,'単価履歴'!$F:$F,F4209)=O4209,"●","")</f>
        <v/>
      </c>
      <c r="O4209" s="346">
        <v>46084.280127314814</v>
      </c>
      <c r="P4209" s="334" t="str">
        <f t="shared" si="4"/>
        <v>中山製鋼:阪和ＨＳ２</v>
      </c>
    </row>
    <row r="4210" ht="15.75" customHeight="1">
      <c r="A4210" s="335" t="s">
        <v>5357</v>
      </c>
      <c r="B4210" s="336">
        <v>46084.0</v>
      </c>
      <c r="C4210" s="335" t="s">
        <v>5</v>
      </c>
      <c r="D4210" s="335" t="s">
        <v>46</v>
      </c>
      <c r="E4210" s="337" t="str">
        <f t="shared" si="1"/>
        <v>中山製鋼:阪和</v>
      </c>
      <c r="F4210" s="338" t="s">
        <v>108</v>
      </c>
      <c r="G4210" s="339" t="str">
        <f t="shared" si="2"/>
        <v>中山製鋼:阪和Ｈ１/ｻﾑﾃｯｸ</v>
      </c>
      <c r="H4210" s="340">
        <f t="shared" si="3"/>
        <v>3.5</v>
      </c>
      <c r="I4210" s="341">
        <v>1.0</v>
      </c>
      <c r="J4210" s="332">
        <f>IFERROR(__xludf.DUMMYFUNCTION("IF(IF(COUNTIF(P$2:P4209, P4210)=0, """", INDEX(H$2:H4209,
MAX(FILTER(ROW(H$2:H4209) - ROW(H$2) + 1, P$2:P4209 = P4210))))=""単価"","""",
IF(COUNTIF(P$2:P4209, P4210)=0, """", INDEX(H$2:H4209,
MAX(FILTER(ROW(H$2:H4209) - ROW(H$2) + 1, P$2:P4209 = P4210)))))"),2.5)</f>
        <v>2.5</v>
      </c>
      <c r="N4210" s="335" t="str">
        <f>IF(MAXIFS('単価履歴'!$O:$O,'単価履歴'!$E:$E,E4210,'単価履歴'!$F:$F,F4210)=O4210,"●","")</f>
        <v/>
      </c>
      <c r="O4210" s="346">
        <v>46084.280127314814</v>
      </c>
      <c r="P4210" s="334" t="str">
        <f t="shared" si="4"/>
        <v>中山製鋼:阪和Ｈ１/ｻﾑﾃｯｸ</v>
      </c>
    </row>
    <row r="4211" ht="15.75" customHeight="1">
      <c r="A4211" s="335" t="s">
        <v>5358</v>
      </c>
      <c r="B4211" s="336">
        <v>46084.0</v>
      </c>
      <c r="C4211" s="335" t="s">
        <v>5</v>
      </c>
      <c r="D4211" s="335" t="s">
        <v>46</v>
      </c>
      <c r="E4211" s="337" t="str">
        <f t="shared" si="1"/>
        <v>中山製鋼:阪和</v>
      </c>
      <c r="F4211" s="338" t="s">
        <v>111</v>
      </c>
      <c r="G4211" s="339" t="str">
        <f t="shared" si="2"/>
        <v>中山製鋼:阪和Ｈ１(特A)</v>
      </c>
      <c r="H4211" s="340">
        <f t="shared" si="3"/>
        <v>48.3</v>
      </c>
      <c r="I4211" s="341">
        <v>1.0</v>
      </c>
      <c r="J4211" s="332">
        <f>IFERROR(__xludf.DUMMYFUNCTION("IF(IF(COUNTIF(P$2:P4210, P4211)=0, """", INDEX(H$2:H4210,
MAX(FILTER(ROW(H$2:H4210) - ROW(H$2) + 1, P$2:P4210 = P4211))))=""単価"","""",
IF(COUNTIF(P$2:P4210, P4211)=0, """", INDEX(H$2:H4210,
MAX(FILTER(ROW(H$2:H4210) - ROW(H$2) + 1, P$2:P4210 = P4211)))))"),47.3)</f>
        <v>47.3</v>
      </c>
      <c r="N4211" s="335" t="str">
        <f>IF(MAXIFS('単価履歴'!$O:$O,'単価履歴'!$E:$E,E4211,'単価履歴'!$F:$F,F4211)=O4211,"●","")</f>
        <v/>
      </c>
      <c r="O4211" s="346">
        <v>46084.280127314814</v>
      </c>
      <c r="P4211" s="334" t="str">
        <f t="shared" si="4"/>
        <v>中山製鋼:阪和Ｈ１(特A)</v>
      </c>
    </row>
    <row r="4212" ht="15.75" customHeight="1">
      <c r="A4212" s="335" t="s">
        <v>5359</v>
      </c>
      <c r="B4212" s="336">
        <v>46084.0</v>
      </c>
      <c r="C4212" s="335" t="s">
        <v>5</v>
      </c>
      <c r="D4212" s="335" t="s">
        <v>46</v>
      </c>
      <c r="E4212" s="337" t="str">
        <f t="shared" si="1"/>
        <v>中山製鋼:阪和</v>
      </c>
      <c r="F4212" s="338" t="s">
        <v>116</v>
      </c>
      <c r="G4212" s="339" t="str">
        <f t="shared" si="2"/>
        <v>中山製鋼:阪和Ｈ２(特級)</v>
      </c>
      <c r="H4212" s="340">
        <f t="shared" si="3"/>
        <v>42.3</v>
      </c>
      <c r="I4212" s="341">
        <v>1.0</v>
      </c>
      <c r="J4212" s="332">
        <f>IFERROR(__xludf.DUMMYFUNCTION("IF(IF(COUNTIF(P$2:P4211, P4212)=0, """", INDEX(H$2:H4211,
MAX(FILTER(ROW(H$2:H4211) - ROW(H$2) + 1, P$2:P4211 = P4212))))=""単価"","""",
IF(COUNTIF(P$2:P4211, P4212)=0, """", INDEX(H$2:H4211,
MAX(FILTER(ROW(H$2:H4211) - ROW(H$2) + 1, P$2:P4211 = P4212)))))"),41.3)</f>
        <v>41.3</v>
      </c>
      <c r="N4212" s="335" t="str">
        <f>IF(MAXIFS('単価履歴'!$O:$O,'単価履歴'!$E:$E,E4212,'単価履歴'!$F:$F,F4212)=O4212,"●","")</f>
        <v/>
      </c>
      <c r="O4212" s="346">
        <v>46084.280127314814</v>
      </c>
      <c r="P4212" s="334" t="str">
        <f t="shared" si="4"/>
        <v>中山製鋼:阪和Ｈ２(特級)</v>
      </c>
    </row>
    <row r="4213" ht="15.75" customHeight="1">
      <c r="A4213" s="335" t="s">
        <v>5360</v>
      </c>
      <c r="B4213" s="336">
        <v>46084.0</v>
      </c>
      <c r="C4213" s="335" t="s">
        <v>5</v>
      </c>
      <c r="D4213" s="335" t="s">
        <v>46</v>
      </c>
      <c r="E4213" s="337" t="str">
        <f t="shared" si="1"/>
        <v>中山製鋼:阪和</v>
      </c>
      <c r="F4213" s="338" t="s">
        <v>119</v>
      </c>
      <c r="G4213" s="339" t="str">
        <f t="shared" si="2"/>
        <v>中山製鋼:阪和Ｈ３(1級)</v>
      </c>
      <c r="H4213" s="340">
        <f t="shared" si="3"/>
        <v>38.3</v>
      </c>
      <c r="I4213" s="341">
        <v>1.0</v>
      </c>
      <c r="J4213" s="332">
        <f>IFERROR(__xludf.DUMMYFUNCTION("IF(IF(COUNTIF(P$2:P4212, P4213)=0, """", INDEX(H$2:H4212,
MAX(FILTER(ROW(H$2:H4212) - ROW(H$2) + 1, P$2:P4212 = P4213))))=""単価"","""",
IF(COUNTIF(P$2:P4212, P4213)=0, """", INDEX(H$2:H4212,
MAX(FILTER(ROW(H$2:H4212) - ROW(H$2) + 1, P$2:P4212 = P4213)))))"),37.3)</f>
        <v>37.3</v>
      </c>
      <c r="N4213" s="335" t="str">
        <f>IF(MAXIFS('単価履歴'!$O:$O,'単価履歴'!$E:$E,E4213,'単価履歴'!$F:$F,F4213)=O4213,"●","")</f>
        <v/>
      </c>
      <c r="O4213" s="346">
        <v>46084.280127314814</v>
      </c>
      <c r="P4213" s="334" t="str">
        <f t="shared" si="4"/>
        <v>中山製鋼:阪和Ｈ３(1級)</v>
      </c>
    </row>
    <row r="4214" ht="15.75" customHeight="1">
      <c r="A4214" s="335" t="s">
        <v>5361</v>
      </c>
      <c r="B4214" s="336">
        <v>46084.0</v>
      </c>
      <c r="C4214" s="335" t="s">
        <v>5</v>
      </c>
      <c r="D4214" s="335" t="s">
        <v>46</v>
      </c>
      <c r="E4214" s="337" t="str">
        <f t="shared" si="1"/>
        <v>中山製鋼:阪和</v>
      </c>
      <c r="F4214" s="338" t="s">
        <v>122</v>
      </c>
      <c r="G4214" s="339" t="str">
        <f t="shared" si="2"/>
        <v>中山製鋼:阪和Ｌ１(2級)</v>
      </c>
      <c r="H4214" s="340">
        <f t="shared" si="3"/>
        <v>31.8</v>
      </c>
      <c r="I4214" s="341">
        <v>1.0</v>
      </c>
      <c r="J4214" s="332">
        <f>IFERROR(__xludf.DUMMYFUNCTION("IF(IF(COUNTIF(P$2:P4213, P4214)=0, """", INDEX(H$2:H4213,
MAX(FILTER(ROW(H$2:H4213) - ROW(H$2) + 1, P$2:P4213 = P4214))))=""単価"","""",
IF(COUNTIF(P$2:P4213, P4214)=0, """", INDEX(H$2:H4213,
MAX(FILTER(ROW(H$2:H4213) - ROW(H$2) + 1, P$2:P4213 = P4214)))))"),30.8)</f>
        <v>30.8</v>
      </c>
      <c r="N4214" s="335" t="str">
        <f>IF(MAXIFS('単価履歴'!$O:$O,'単価履歴'!$E:$E,E4214,'単価履歴'!$F:$F,F4214)=O4214,"●","")</f>
        <v/>
      </c>
      <c r="O4214" s="346">
        <v>46084.280127314814</v>
      </c>
      <c r="P4214" s="334" t="str">
        <f t="shared" si="4"/>
        <v>中山製鋼:阪和Ｌ１(2級)</v>
      </c>
    </row>
    <row r="4215" ht="15.75" customHeight="1">
      <c r="A4215" s="335" t="s">
        <v>5362</v>
      </c>
      <c r="B4215" s="336">
        <v>46084.0</v>
      </c>
      <c r="C4215" s="335" t="s">
        <v>5</v>
      </c>
      <c r="D4215" s="335" t="s">
        <v>46</v>
      </c>
      <c r="E4215" s="337" t="str">
        <f t="shared" si="1"/>
        <v>中山製鋼:阪和</v>
      </c>
      <c r="F4215" s="338" t="s">
        <v>130</v>
      </c>
      <c r="G4215" s="339" t="str">
        <f t="shared" si="2"/>
        <v>中山製鋼:阪和新断Ａ</v>
      </c>
      <c r="H4215" s="340">
        <f t="shared" si="3"/>
        <v>51.3</v>
      </c>
      <c r="I4215" s="341">
        <v>1.0</v>
      </c>
      <c r="J4215" s="332">
        <f>IFERROR(__xludf.DUMMYFUNCTION("IF(IF(COUNTIF(P$2:P4214, P4215)=0, """", INDEX(H$2:H4214,
MAX(FILTER(ROW(H$2:H4214) - ROW(H$2) + 1, P$2:P4214 = P4215))))=""単価"","""",
IF(COUNTIF(P$2:P4214, P4215)=0, """", INDEX(H$2:H4214,
MAX(FILTER(ROW(H$2:H4214) - ROW(H$2) + 1, P$2:P4214 = P4215)))))"),50.3)</f>
        <v>50.3</v>
      </c>
      <c r="N4215" s="335" t="str">
        <f>IF(MAXIFS('単価履歴'!$O:$O,'単価履歴'!$E:$E,E4215,'単価履歴'!$F:$F,F4215)=O4215,"●","")</f>
        <v/>
      </c>
      <c r="O4215" s="346">
        <v>46084.280127314814</v>
      </c>
      <c r="P4215" s="334" t="str">
        <f t="shared" si="4"/>
        <v>中山製鋼:阪和新断Ａ</v>
      </c>
    </row>
    <row r="4216" ht="15.75" customHeight="1">
      <c r="A4216" s="335" t="s">
        <v>5363</v>
      </c>
      <c r="B4216" s="336">
        <v>46084.0</v>
      </c>
      <c r="C4216" s="335" t="s">
        <v>5</v>
      </c>
      <c r="D4216" s="335" t="s">
        <v>46</v>
      </c>
      <c r="E4216" s="337" t="str">
        <f t="shared" si="1"/>
        <v>中山製鋼:阪和</v>
      </c>
      <c r="F4216" s="338" t="s">
        <v>131</v>
      </c>
      <c r="G4216" s="339" t="str">
        <f t="shared" si="2"/>
        <v>中山製鋼:阪和新断Ｂ</v>
      </c>
      <c r="H4216" s="340">
        <f t="shared" si="3"/>
        <v>50.3</v>
      </c>
      <c r="I4216" s="341">
        <v>1.0</v>
      </c>
      <c r="J4216" s="332">
        <f>IFERROR(__xludf.DUMMYFUNCTION("IF(IF(COUNTIF(P$2:P4215, P4216)=0, """", INDEX(H$2:H4215,
MAX(FILTER(ROW(H$2:H4215) - ROW(H$2) + 1, P$2:P4215 = P4216))))=""単価"","""",
IF(COUNTIF(P$2:P4215, P4216)=0, """", INDEX(H$2:H4215,
MAX(FILTER(ROW(H$2:H4215) - ROW(H$2) + 1, P$2:P4215 = P4216)))))"),49.3)</f>
        <v>49.3</v>
      </c>
      <c r="N4216" s="335" t="str">
        <f>IF(MAXIFS('単価履歴'!$O:$O,'単価履歴'!$E:$E,E4216,'単価履歴'!$F:$F,F4216)=O4216,"●","")</f>
        <v/>
      </c>
      <c r="O4216" s="346">
        <v>46084.280127314814</v>
      </c>
      <c r="P4216" s="334" t="str">
        <f t="shared" si="4"/>
        <v>中山製鋼:阪和新断Ｂ</v>
      </c>
    </row>
    <row r="4217" ht="15.75" customHeight="1">
      <c r="A4217" s="335" t="s">
        <v>5364</v>
      </c>
      <c r="B4217" s="336">
        <v>46084.0</v>
      </c>
      <c r="C4217" s="335" t="s">
        <v>5</v>
      </c>
      <c r="D4217" s="335" t="s">
        <v>46</v>
      </c>
      <c r="E4217" s="337" t="str">
        <f t="shared" si="1"/>
        <v>中山製鋼:阪和</v>
      </c>
      <c r="F4217" s="338" t="s">
        <v>574</v>
      </c>
      <c r="G4217" s="339" t="str">
        <f t="shared" si="2"/>
        <v>中山製鋼:阪和新断Ｃ</v>
      </c>
      <c r="H4217" s="340">
        <f t="shared" si="3"/>
        <v>49.3</v>
      </c>
      <c r="I4217" s="341">
        <v>1.0</v>
      </c>
      <c r="J4217" s="332">
        <f>IFERROR(__xludf.DUMMYFUNCTION("IF(IF(COUNTIF(P$2:P4216, P4217)=0, """", INDEX(H$2:H4216,
MAX(FILTER(ROW(H$2:H4216) - ROW(H$2) + 1, P$2:P4216 = P4217))))=""単価"","""",
IF(COUNTIF(P$2:P4216, P4217)=0, """", INDEX(H$2:H4216,
MAX(FILTER(ROW(H$2:H4216) - ROW(H$2) + 1, P$2:P4216 = P4217)))))"),48.3)</f>
        <v>48.3</v>
      </c>
      <c r="N4217" s="335" t="str">
        <f>IF(MAXIFS('単価履歴'!$O:$O,'単価履歴'!$E:$E,E4217,'単価履歴'!$F:$F,F4217)=O4217,"●","")</f>
        <v/>
      </c>
      <c r="O4217" s="346">
        <v>46084.280127314814</v>
      </c>
      <c r="P4217" s="334" t="str">
        <f t="shared" si="4"/>
        <v>中山製鋼:阪和新断Ｃ</v>
      </c>
    </row>
    <row r="4218" ht="15.75" customHeight="1">
      <c r="A4218" s="335" t="s">
        <v>5365</v>
      </c>
      <c r="B4218" s="336">
        <v>46084.0</v>
      </c>
      <c r="C4218" s="335" t="s">
        <v>5</v>
      </c>
      <c r="D4218" s="335" t="s">
        <v>47</v>
      </c>
      <c r="E4218" s="337" t="str">
        <f t="shared" si="1"/>
        <v>中山製鋼:豊通</v>
      </c>
      <c r="F4218" s="338" t="s">
        <v>1199</v>
      </c>
      <c r="G4218" s="339" t="str">
        <f t="shared" si="2"/>
        <v>中山製鋼:豊通ＨＳ１(単体H1/電特A/HS))</v>
      </c>
      <c r="H4218" s="340">
        <f t="shared" si="3"/>
        <v>50.3</v>
      </c>
      <c r="I4218" s="341">
        <v>1.0</v>
      </c>
      <c r="J4218" s="332">
        <f>IFERROR(__xludf.DUMMYFUNCTION("IF(IF(COUNTIF(P$2:P4217, P4218)=0, """", INDEX(H$2:H4217,
MAX(FILTER(ROW(H$2:H4217) - ROW(H$2) + 1, P$2:P4217 = P4218))))=""単価"","""",
IF(COUNTIF(P$2:P4217, P4218)=0, """", INDEX(H$2:H4217,
MAX(FILTER(ROW(H$2:H4217) - ROW(H$2) + 1, P$2:P4217 = P4218)))))"),49.3)</f>
        <v>49.3</v>
      </c>
      <c r="N4218" s="335" t="str">
        <f>IF(MAXIFS('単価履歴'!$O:$O,'単価履歴'!$E:$E,E4218,'単価履歴'!$F:$F,F4218)=O4218,"●","")</f>
        <v/>
      </c>
      <c r="O4218" s="346">
        <v>46084.2803587963</v>
      </c>
      <c r="P4218" s="334" t="str">
        <f t="shared" si="4"/>
        <v>中山製鋼:豊通ＨＳ１(単体H1/電特A/HS))</v>
      </c>
    </row>
    <row r="4219" ht="15.75" customHeight="1">
      <c r="A4219" s="335" t="s">
        <v>5366</v>
      </c>
      <c r="B4219" s="336">
        <v>46084.0</v>
      </c>
      <c r="C4219" s="335" t="s">
        <v>5</v>
      </c>
      <c r="D4219" s="335" t="s">
        <v>47</v>
      </c>
      <c r="E4219" s="337" t="str">
        <f t="shared" si="1"/>
        <v>中山製鋼:豊通</v>
      </c>
      <c r="F4219" s="338" t="s">
        <v>101</v>
      </c>
      <c r="G4219" s="339" t="str">
        <f t="shared" si="2"/>
        <v>中山製鋼:豊通ＨＳ２</v>
      </c>
      <c r="H4219" s="340">
        <f t="shared" si="3"/>
        <v>50.3</v>
      </c>
      <c r="I4219" s="341">
        <v>1.0</v>
      </c>
      <c r="J4219" s="332">
        <f>IFERROR(__xludf.DUMMYFUNCTION("IF(IF(COUNTIF(P$2:P4218, P4219)=0, """", INDEX(H$2:H4218,
MAX(FILTER(ROW(H$2:H4218) - ROW(H$2) + 1, P$2:P4218 = P4219))))=""単価"","""",
IF(COUNTIF(P$2:P4218, P4219)=0, """", INDEX(H$2:H4218,
MAX(FILTER(ROW(H$2:H4218) - ROW(H$2) + 1, P$2:P4218 = P4219)))))"),49.3)</f>
        <v>49.3</v>
      </c>
      <c r="N4219" s="335" t="str">
        <f>IF(MAXIFS('単価履歴'!$O:$O,'単価履歴'!$E:$E,E4219,'単価履歴'!$F:$F,F4219)=O4219,"●","")</f>
        <v/>
      </c>
      <c r="O4219" s="346">
        <v>46084.2803587963</v>
      </c>
      <c r="P4219" s="334" t="str">
        <f t="shared" si="4"/>
        <v>中山製鋼:豊通ＨＳ２</v>
      </c>
    </row>
    <row r="4220" ht="15.75" customHeight="1">
      <c r="A4220" s="335" t="s">
        <v>5367</v>
      </c>
      <c r="B4220" s="336">
        <v>46084.0</v>
      </c>
      <c r="C4220" s="335" t="s">
        <v>5</v>
      </c>
      <c r="D4220" s="335" t="s">
        <v>47</v>
      </c>
      <c r="E4220" s="337" t="str">
        <f t="shared" si="1"/>
        <v>中山製鋼:豊通</v>
      </c>
      <c r="F4220" s="338" t="s">
        <v>108</v>
      </c>
      <c r="G4220" s="339" t="str">
        <f t="shared" si="2"/>
        <v>中山製鋼:豊通Ｈ１/ｻﾑﾃｯｸ</v>
      </c>
      <c r="H4220" s="340">
        <f t="shared" si="3"/>
        <v>3.5</v>
      </c>
      <c r="I4220" s="341">
        <v>1.0</v>
      </c>
      <c r="J4220" s="332">
        <f>IFERROR(__xludf.DUMMYFUNCTION("IF(IF(COUNTIF(P$2:P4219, P4220)=0, """", INDEX(H$2:H4219,
MAX(FILTER(ROW(H$2:H4219) - ROW(H$2) + 1, P$2:P4219 = P4220))))=""単価"","""",
IF(COUNTIF(P$2:P4219, P4220)=0, """", INDEX(H$2:H4219,
MAX(FILTER(ROW(H$2:H4219) - ROW(H$2) + 1, P$2:P4219 = P4220)))))"),2.5)</f>
        <v>2.5</v>
      </c>
      <c r="N4220" s="335" t="str">
        <f>IF(MAXIFS('単価履歴'!$O:$O,'単価履歴'!$E:$E,E4220,'単価履歴'!$F:$F,F4220)=O4220,"●","")</f>
        <v/>
      </c>
      <c r="O4220" s="346">
        <v>46084.2803587963</v>
      </c>
      <c r="P4220" s="334" t="str">
        <f t="shared" si="4"/>
        <v>中山製鋼:豊通Ｈ１/ｻﾑﾃｯｸ</v>
      </c>
    </row>
    <row r="4221" ht="15.75" customHeight="1">
      <c r="A4221" s="335" t="s">
        <v>5368</v>
      </c>
      <c r="B4221" s="336">
        <v>46084.0</v>
      </c>
      <c r="C4221" s="335" t="s">
        <v>5</v>
      </c>
      <c r="D4221" s="335" t="s">
        <v>47</v>
      </c>
      <c r="E4221" s="337" t="str">
        <f t="shared" si="1"/>
        <v>中山製鋼:豊通</v>
      </c>
      <c r="F4221" s="338" t="s">
        <v>111</v>
      </c>
      <c r="G4221" s="339" t="str">
        <f t="shared" si="2"/>
        <v>中山製鋼:豊通Ｈ１(特A)</v>
      </c>
      <c r="H4221" s="340">
        <f t="shared" si="3"/>
        <v>48.3</v>
      </c>
      <c r="I4221" s="341">
        <v>1.0</v>
      </c>
      <c r="J4221" s="332">
        <f>IFERROR(__xludf.DUMMYFUNCTION("IF(IF(COUNTIF(P$2:P4220, P4221)=0, """", INDEX(H$2:H4220,
MAX(FILTER(ROW(H$2:H4220) - ROW(H$2) + 1, P$2:P4220 = P4221))))=""単価"","""",
IF(COUNTIF(P$2:P4220, P4221)=0, """", INDEX(H$2:H4220,
MAX(FILTER(ROW(H$2:H4220) - ROW(H$2) + 1, P$2:P4220 = P4221)))))"),47.3)</f>
        <v>47.3</v>
      </c>
      <c r="N4221" s="335" t="str">
        <f>IF(MAXIFS('単価履歴'!$O:$O,'単価履歴'!$E:$E,E4221,'単価履歴'!$F:$F,F4221)=O4221,"●","")</f>
        <v/>
      </c>
      <c r="O4221" s="346">
        <v>46084.2803587963</v>
      </c>
      <c r="P4221" s="334" t="str">
        <f t="shared" si="4"/>
        <v>中山製鋼:豊通Ｈ１(特A)</v>
      </c>
    </row>
    <row r="4222" ht="15.75" customHeight="1">
      <c r="A4222" s="335" t="s">
        <v>5369</v>
      </c>
      <c r="B4222" s="336">
        <v>46084.0</v>
      </c>
      <c r="C4222" s="335" t="s">
        <v>5</v>
      </c>
      <c r="D4222" s="335" t="s">
        <v>47</v>
      </c>
      <c r="E4222" s="337" t="str">
        <f t="shared" si="1"/>
        <v>中山製鋼:豊通</v>
      </c>
      <c r="F4222" s="338" t="s">
        <v>116</v>
      </c>
      <c r="G4222" s="339" t="str">
        <f t="shared" si="2"/>
        <v>中山製鋼:豊通Ｈ２(特級)</v>
      </c>
      <c r="H4222" s="340">
        <f t="shared" si="3"/>
        <v>42.3</v>
      </c>
      <c r="I4222" s="341">
        <v>1.0</v>
      </c>
      <c r="J4222" s="332">
        <f>IFERROR(__xludf.DUMMYFUNCTION("IF(IF(COUNTIF(P$2:P4221, P4222)=0, """", INDEX(H$2:H4221,
MAX(FILTER(ROW(H$2:H4221) - ROW(H$2) + 1, P$2:P4221 = P4222))))=""単価"","""",
IF(COUNTIF(P$2:P4221, P4222)=0, """", INDEX(H$2:H4221,
MAX(FILTER(ROW(H$2:H4221) - ROW(H$2) + 1, P$2:P4221 = P4222)))))"),41.3)</f>
        <v>41.3</v>
      </c>
      <c r="N4222" s="335" t="str">
        <f>IF(MAXIFS('単価履歴'!$O:$O,'単価履歴'!$E:$E,E4222,'単価履歴'!$F:$F,F4222)=O4222,"●","")</f>
        <v/>
      </c>
      <c r="O4222" s="346">
        <v>46084.2803587963</v>
      </c>
      <c r="P4222" s="334" t="str">
        <f t="shared" si="4"/>
        <v>中山製鋼:豊通Ｈ２(特級)</v>
      </c>
    </row>
    <row r="4223" ht="15.75" customHeight="1">
      <c r="A4223" s="335" t="s">
        <v>5370</v>
      </c>
      <c r="B4223" s="336">
        <v>46084.0</v>
      </c>
      <c r="C4223" s="335" t="s">
        <v>5</v>
      </c>
      <c r="D4223" s="335" t="s">
        <v>47</v>
      </c>
      <c r="E4223" s="337" t="str">
        <f t="shared" si="1"/>
        <v>中山製鋼:豊通</v>
      </c>
      <c r="F4223" s="338" t="s">
        <v>119</v>
      </c>
      <c r="G4223" s="339" t="str">
        <f t="shared" si="2"/>
        <v>中山製鋼:豊通Ｈ３(1級)</v>
      </c>
      <c r="H4223" s="340">
        <f t="shared" si="3"/>
        <v>38.3</v>
      </c>
      <c r="I4223" s="341">
        <v>1.0</v>
      </c>
      <c r="J4223" s="332">
        <f>IFERROR(__xludf.DUMMYFUNCTION("IF(IF(COUNTIF(P$2:P4222, P4223)=0, """", INDEX(H$2:H4222,
MAX(FILTER(ROW(H$2:H4222) - ROW(H$2) + 1, P$2:P4222 = P4223))))=""単価"","""",
IF(COUNTIF(P$2:P4222, P4223)=0, """", INDEX(H$2:H4222,
MAX(FILTER(ROW(H$2:H4222) - ROW(H$2) + 1, P$2:P4222 = P4223)))))"),37.3)</f>
        <v>37.3</v>
      </c>
      <c r="N4223" s="335" t="str">
        <f>IF(MAXIFS('単価履歴'!$O:$O,'単価履歴'!$E:$E,E4223,'単価履歴'!$F:$F,F4223)=O4223,"●","")</f>
        <v/>
      </c>
      <c r="O4223" s="346">
        <v>46084.2803587963</v>
      </c>
      <c r="P4223" s="334" t="str">
        <f t="shared" si="4"/>
        <v>中山製鋼:豊通Ｈ３(1級)</v>
      </c>
    </row>
    <row r="4224" ht="15.75" customHeight="1">
      <c r="A4224" s="335" t="s">
        <v>5371</v>
      </c>
      <c r="B4224" s="336">
        <v>46084.0</v>
      </c>
      <c r="C4224" s="335" t="s">
        <v>5</v>
      </c>
      <c r="D4224" s="335" t="s">
        <v>47</v>
      </c>
      <c r="E4224" s="337" t="str">
        <f t="shared" si="1"/>
        <v>中山製鋼:豊通</v>
      </c>
      <c r="F4224" s="338" t="s">
        <v>122</v>
      </c>
      <c r="G4224" s="339" t="str">
        <f t="shared" si="2"/>
        <v>中山製鋼:豊通Ｌ１(2級)</v>
      </c>
      <c r="H4224" s="340">
        <f t="shared" si="3"/>
        <v>31.8</v>
      </c>
      <c r="I4224" s="341">
        <v>1.0</v>
      </c>
      <c r="J4224" s="332">
        <f>IFERROR(__xludf.DUMMYFUNCTION("IF(IF(COUNTIF(P$2:P4223, P4224)=0, """", INDEX(H$2:H4223,
MAX(FILTER(ROW(H$2:H4223) - ROW(H$2) + 1, P$2:P4223 = P4224))))=""単価"","""",
IF(COUNTIF(P$2:P4223, P4224)=0, """", INDEX(H$2:H4223,
MAX(FILTER(ROW(H$2:H4223) - ROW(H$2) + 1, P$2:P4223 = P4224)))))"),30.8)</f>
        <v>30.8</v>
      </c>
      <c r="N4224" s="335" t="str">
        <f>IF(MAXIFS('単価履歴'!$O:$O,'単価履歴'!$E:$E,E4224,'単価履歴'!$F:$F,F4224)=O4224,"●","")</f>
        <v/>
      </c>
      <c r="O4224" s="346">
        <v>46084.2803587963</v>
      </c>
      <c r="P4224" s="334" t="str">
        <f t="shared" si="4"/>
        <v>中山製鋼:豊通Ｌ１(2級)</v>
      </c>
    </row>
    <row r="4225" ht="15.75" customHeight="1">
      <c r="A4225" s="335" t="s">
        <v>5372</v>
      </c>
      <c r="B4225" s="336">
        <v>46084.0</v>
      </c>
      <c r="C4225" s="335" t="s">
        <v>5</v>
      </c>
      <c r="D4225" s="335" t="s">
        <v>47</v>
      </c>
      <c r="E4225" s="337" t="str">
        <f t="shared" si="1"/>
        <v>中山製鋼:豊通</v>
      </c>
      <c r="F4225" s="338" t="s">
        <v>130</v>
      </c>
      <c r="G4225" s="339" t="str">
        <f t="shared" si="2"/>
        <v>中山製鋼:豊通新断Ａ</v>
      </c>
      <c r="H4225" s="340">
        <f t="shared" si="3"/>
        <v>51.3</v>
      </c>
      <c r="I4225" s="341">
        <v>1.0</v>
      </c>
      <c r="J4225" s="332">
        <f>IFERROR(__xludf.DUMMYFUNCTION("IF(IF(COUNTIF(P$2:P4224, P4225)=0, """", INDEX(H$2:H4224,
MAX(FILTER(ROW(H$2:H4224) - ROW(H$2) + 1, P$2:P4224 = P4225))))=""単価"","""",
IF(COUNTIF(P$2:P4224, P4225)=0, """", INDEX(H$2:H4224,
MAX(FILTER(ROW(H$2:H4224) - ROW(H$2) + 1, P$2:P4224 = P4225)))))"),50.3)</f>
        <v>50.3</v>
      </c>
      <c r="N4225" s="335" t="str">
        <f>IF(MAXIFS('単価履歴'!$O:$O,'単価履歴'!$E:$E,E4225,'単価履歴'!$F:$F,F4225)=O4225,"●","")</f>
        <v/>
      </c>
      <c r="O4225" s="346">
        <v>46084.2803587963</v>
      </c>
      <c r="P4225" s="334" t="str">
        <f t="shared" si="4"/>
        <v>中山製鋼:豊通新断Ａ</v>
      </c>
    </row>
    <row r="4226" ht="15.75" customHeight="1">
      <c r="A4226" s="335" t="s">
        <v>5373</v>
      </c>
      <c r="B4226" s="336">
        <v>46084.0</v>
      </c>
      <c r="C4226" s="335" t="s">
        <v>5</v>
      </c>
      <c r="D4226" s="335" t="s">
        <v>47</v>
      </c>
      <c r="E4226" s="337" t="str">
        <f t="shared" si="1"/>
        <v>中山製鋼:豊通</v>
      </c>
      <c r="F4226" s="338" t="s">
        <v>131</v>
      </c>
      <c r="G4226" s="339" t="str">
        <f t="shared" si="2"/>
        <v>中山製鋼:豊通新断Ｂ</v>
      </c>
      <c r="H4226" s="340">
        <f t="shared" si="3"/>
        <v>50.3</v>
      </c>
      <c r="I4226" s="341">
        <v>1.0</v>
      </c>
      <c r="J4226" s="332">
        <f>IFERROR(__xludf.DUMMYFUNCTION("IF(IF(COUNTIF(P$2:P4225, P4226)=0, """", INDEX(H$2:H4225,
MAX(FILTER(ROW(H$2:H4225) - ROW(H$2) + 1, P$2:P4225 = P4226))))=""単価"","""",
IF(COUNTIF(P$2:P4225, P4226)=0, """", INDEX(H$2:H4225,
MAX(FILTER(ROW(H$2:H4225) - ROW(H$2) + 1, P$2:P4225 = P4226)))))"),49.3)</f>
        <v>49.3</v>
      </c>
      <c r="N4226" s="335" t="str">
        <f>IF(MAXIFS('単価履歴'!$O:$O,'単価履歴'!$E:$E,E4226,'単価履歴'!$F:$F,F4226)=O4226,"●","")</f>
        <v/>
      </c>
      <c r="O4226" s="346">
        <v>46084.2803587963</v>
      </c>
      <c r="P4226" s="334" t="str">
        <f t="shared" si="4"/>
        <v>中山製鋼:豊通新断Ｂ</v>
      </c>
    </row>
    <row r="4227" ht="15.75" customHeight="1">
      <c r="A4227" s="335" t="s">
        <v>5374</v>
      </c>
      <c r="B4227" s="336">
        <v>46084.0</v>
      </c>
      <c r="C4227" s="335" t="s">
        <v>5</v>
      </c>
      <c r="D4227" s="335" t="s">
        <v>47</v>
      </c>
      <c r="E4227" s="337" t="str">
        <f t="shared" si="1"/>
        <v>中山製鋼:豊通</v>
      </c>
      <c r="F4227" s="338" t="s">
        <v>574</v>
      </c>
      <c r="G4227" s="339" t="str">
        <f t="shared" si="2"/>
        <v>中山製鋼:豊通新断Ｃ</v>
      </c>
      <c r="H4227" s="340">
        <f t="shared" si="3"/>
        <v>49.3</v>
      </c>
      <c r="I4227" s="341">
        <v>1.0</v>
      </c>
      <c r="J4227" s="332">
        <f>IFERROR(__xludf.DUMMYFUNCTION("IF(IF(COUNTIF(P$2:P4226, P4227)=0, """", INDEX(H$2:H4226,
MAX(FILTER(ROW(H$2:H4226) - ROW(H$2) + 1, P$2:P4226 = P4227))))=""単価"","""",
IF(COUNTIF(P$2:P4226, P4227)=0, """", INDEX(H$2:H4226,
MAX(FILTER(ROW(H$2:H4226) - ROW(H$2) + 1, P$2:P4226 = P4227)))))"),48.3)</f>
        <v>48.3</v>
      </c>
      <c r="N4227" s="335" t="str">
        <f>IF(MAXIFS('単価履歴'!$O:$O,'単価履歴'!$E:$E,E4227,'単価履歴'!$F:$F,F4227)=O4227,"●","")</f>
        <v/>
      </c>
      <c r="O4227" s="346">
        <v>46084.2803587963</v>
      </c>
      <c r="P4227" s="334" t="str">
        <f t="shared" si="4"/>
        <v>中山製鋼:豊通新断Ｃ</v>
      </c>
    </row>
    <row r="4228" ht="15.75" customHeight="1">
      <c r="A4228" s="335" t="s">
        <v>5375</v>
      </c>
      <c r="B4228" s="336">
        <v>46084.0</v>
      </c>
      <c r="C4228" s="335" t="s">
        <v>5</v>
      </c>
      <c r="D4228" s="335" t="s">
        <v>1232</v>
      </c>
      <c r="E4228" s="337" t="str">
        <f t="shared" si="1"/>
        <v>中山製鋼:豊通/出張商店</v>
      </c>
      <c r="F4228" s="338" t="s">
        <v>130</v>
      </c>
      <c r="G4228" s="339" t="str">
        <f t="shared" si="2"/>
        <v>中山製鋼:豊通/出張商店新断Ａ</v>
      </c>
      <c r="H4228" s="340">
        <f t="shared" si="3"/>
        <v>50.3</v>
      </c>
      <c r="I4228" s="341">
        <v>1.0</v>
      </c>
      <c r="J4228" s="332">
        <f>IFERROR(__xludf.DUMMYFUNCTION("IF(IF(COUNTIF(P$2:P4227, P4228)=0, """", INDEX(H$2:H4227,
MAX(FILTER(ROW(H$2:H4227) - ROW(H$2) + 1, P$2:P4227 = P4228))))=""単価"","""",
IF(COUNTIF(P$2:P4227, P4228)=0, """", INDEX(H$2:H4227,
MAX(FILTER(ROW(H$2:H4227) - ROW(H$2) + 1, P$2:P4227 = P4228)))))"),49.3)</f>
        <v>49.3</v>
      </c>
      <c r="N4228" s="335" t="str">
        <f>IF(MAXIFS('単価履歴'!$O:$O,'単価履歴'!$E:$E,E4228,'単価履歴'!$F:$F,F4228)=O4228,"●","")</f>
        <v/>
      </c>
      <c r="O4228" s="346">
        <v>46084.28048611111</v>
      </c>
      <c r="P4228" s="334" t="str">
        <f t="shared" si="4"/>
        <v>中山製鋼:豊通/出張商店新断Ａ</v>
      </c>
    </row>
    <row r="4229" ht="15.75" customHeight="1">
      <c r="A4229" s="335" t="s">
        <v>5376</v>
      </c>
      <c r="B4229" s="336">
        <v>46084.0</v>
      </c>
      <c r="C4229" s="335" t="s">
        <v>5</v>
      </c>
      <c r="D4229" s="335" t="s">
        <v>1234</v>
      </c>
      <c r="E4229" s="337" t="str">
        <f t="shared" si="1"/>
        <v>中山製鋼:豊通/中川嘉弘商店</v>
      </c>
      <c r="F4229" s="338" t="s">
        <v>130</v>
      </c>
      <c r="G4229" s="339" t="str">
        <f t="shared" si="2"/>
        <v>中山製鋼:豊通/中川嘉弘商店新断Ａ</v>
      </c>
      <c r="H4229" s="340">
        <f t="shared" si="3"/>
        <v>48.3</v>
      </c>
      <c r="I4229" s="341">
        <v>1.0</v>
      </c>
      <c r="J4229" s="332">
        <f>IFERROR(__xludf.DUMMYFUNCTION("IF(IF(COUNTIF(P$2:P4228, P4229)=0, """", INDEX(H$2:H4228,
MAX(FILTER(ROW(H$2:H4228) - ROW(H$2) + 1, P$2:P4228 = P4229))))=""単価"","""",
IF(COUNTIF(P$2:P4228, P4229)=0, """", INDEX(H$2:H4228,
MAX(FILTER(ROW(H$2:H4228) - ROW(H$2) + 1, P$2:P4228 = P4229)))))"),47.3)</f>
        <v>47.3</v>
      </c>
      <c r="N4229" s="335" t="str">
        <f>IF(MAXIFS('単価履歴'!$O:$O,'単価履歴'!$E:$E,E4229,'単価履歴'!$F:$F,F4229)=O4229,"●","")</f>
        <v/>
      </c>
      <c r="O4229" s="346">
        <v>46084.28048611111</v>
      </c>
      <c r="P4229" s="334" t="str">
        <f t="shared" si="4"/>
        <v>中山製鋼:豊通/中川嘉弘商店新断Ａ</v>
      </c>
    </row>
    <row r="4230" ht="15.75" customHeight="1">
      <c r="A4230" s="335" t="s">
        <v>5377</v>
      </c>
      <c r="B4230" s="336">
        <v>46084.0</v>
      </c>
      <c r="C4230" s="335" t="s">
        <v>6</v>
      </c>
      <c r="D4230" s="335" t="s">
        <v>48</v>
      </c>
      <c r="E4230" s="337" t="str">
        <f t="shared" si="1"/>
        <v>中山鋼業:ナベ</v>
      </c>
      <c r="F4230" s="338" t="s">
        <v>111</v>
      </c>
      <c r="G4230" s="339" t="str">
        <f t="shared" si="2"/>
        <v>中山鋼業:ナベＨ１(特A)</v>
      </c>
      <c r="H4230" s="340">
        <f t="shared" si="3"/>
        <v>47.5</v>
      </c>
      <c r="I4230" s="341">
        <v>1.0</v>
      </c>
      <c r="J4230" s="332">
        <f>IFERROR(__xludf.DUMMYFUNCTION("IF(IF(COUNTIF(P$2:P4229, P4230)=0, """", INDEX(H$2:H4229,
MAX(FILTER(ROW(H$2:H4229) - ROW(H$2) + 1, P$2:P4229 = P4230))))=""単価"","""",
IF(COUNTIF(P$2:P4229, P4230)=0, """", INDEX(H$2:H4229,
MAX(FILTER(ROW(H$2:H4229) - ROW(H$2) + 1, P$2:P4229 = P4230)))))"),46.5)</f>
        <v>46.5</v>
      </c>
      <c r="N4230" s="335" t="str">
        <f>IF(MAXIFS('単価履歴'!$O:$O,'単価履歴'!$E:$E,E4230,'単価履歴'!$F:$F,F4230)=O4230,"●","")</f>
        <v/>
      </c>
      <c r="O4230" s="346">
        <v>46084.28067129629</v>
      </c>
      <c r="P4230" s="334" t="str">
        <f t="shared" si="4"/>
        <v>中山鋼業:ナベＨ１(特A)</v>
      </c>
    </row>
    <row r="4231" ht="15.75" customHeight="1">
      <c r="A4231" s="335" t="s">
        <v>5378</v>
      </c>
      <c r="B4231" s="336">
        <v>46084.0</v>
      </c>
      <c r="C4231" s="335" t="s">
        <v>6</v>
      </c>
      <c r="D4231" s="335" t="s">
        <v>48</v>
      </c>
      <c r="E4231" s="337" t="str">
        <f t="shared" si="1"/>
        <v>中山鋼業:ナベ</v>
      </c>
      <c r="F4231" s="338" t="s">
        <v>1237</v>
      </c>
      <c r="G4231" s="339" t="str">
        <f t="shared" si="2"/>
        <v>中山鋼業:ナベＪＨ１(H2T山口)鍛造ﾊﾞﾘ</v>
      </c>
      <c r="H4231" s="340">
        <f t="shared" si="3"/>
        <v>46.2</v>
      </c>
      <c r="I4231" s="341">
        <v>1.0</v>
      </c>
      <c r="J4231" s="332">
        <f>IFERROR(__xludf.DUMMYFUNCTION("IF(IF(COUNTIF(P$2:P4230, P4231)=0, """", INDEX(H$2:H4230,
MAX(FILTER(ROW(H$2:H4230) - ROW(H$2) + 1, P$2:P4230 = P4231))))=""単価"","""",
IF(COUNTIF(P$2:P4230, P4231)=0, """", INDEX(H$2:H4230,
MAX(FILTER(ROW(H$2:H4230) - ROW(H$2) + 1, P$2:P4230 = P4231)))))"),45.2)</f>
        <v>45.2</v>
      </c>
      <c r="N4231" s="335" t="str">
        <f>IF(MAXIFS('単価履歴'!$O:$O,'単価履歴'!$E:$E,E4231,'単価履歴'!$F:$F,F4231)=O4231,"●","")</f>
        <v/>
      </c>
      <c r="O4231" s="346">
        <v>46084.28067129629</v>
      </c>
      <c r="P4231" s="334" t="str">
        <f t="shared" si="4"/>
        <v>中山鋼業:ナベＪＨ１(H2T山口)鍛造ﾊﾞﾘ</v>
      </c>
    </row>
    <row r="4232" ht="15.75" customHeight="1">
      <c r="A4232" s="335" t="s">
        <v>5379</v>
      </c>
      <c r="B4232" s="336">
        <v>46084.0</v>
      </c>
      <c r="C4232" s="335" t="s">
        <v>6</v>
      </c>
      <c r="D4232" s="335" t="s">
        <v>48</v>
      </c>
      <c r="E4232" s="337" t="str">
        <f t="shared" si="1"/>
        <v>中山鋼業:ナベ</v>
      </c>
      <c r="F4232" s="338" t="s">
        <v>116</v>
      </c>
      <c r="G4232" s="339" t="str">
        <f t="shared" si="2"/>
        <v>中山鋼業:ナベＨ２(特級)</v>
      </c>
      <c r="H4232" s="340">
        <f t="shared" si="3"/>
        <v>45.5</v>
      </c>
      <c r="I4232" s="341">
        <v>1.0</v>
      </c>
      <c r="J4232" s="332">
        <f>IFERROR(__xludf.DUMMYFUNCTION("IF(IF(COUNTIF(P$2:P4231, P4232)=0, """", INDEX(H$2:H4231,
MAX(FILTER(ROW(H$2:H4231) - ROW(H$2) + 1, P$2:P4231 = P4232))))=""単価"","""",
IF(COUNTIF(P$2:P4231, P4232)=0, """", INDEX(H$2:H4231,
MAX(FILTER(ROW(H$2:H4231) - ROW(H$2) + 1, P$2:P4231 = P4232)))))"),44.5)</f>
        <v>44.5</v>
      </c>
      <c r="N4232" s="335" t="str">
        <f>IF(MAXIFS('単価履歴'!$O:$O,'単価履歴'!$E:$E,E4232,'単価履歴'!$F:$F,F4232)=O4232,"●","")</f>
        <v/>
      </c>
      <c r="O4232" s="346">
        <v>46084.28067129629</v>
      </c>
      <c r="P4232" s="334" t="str">
        <f t="shared" si="4"/>
        <v>中山鋼業:ナベＨ２(特級)</v>
      </c>
    </row>
    <row r="4233" ht="15.75" customHeight="1">
      <c r="A4233" s="335" t="s">
        <v>5380</v>
      </c>
      <c r="B4233" s="336">
        <v>46084.0</v>
      </c>
      <c r="C4233" s="335" t="s">
        <v>6</v>
      </c>
      <c r="D4233" s="335" t="s">
        <v>48</v>
      </c>
      <c r="E4233" s="337" t="str">
        <f t="shared" si="1"/>
        <v>中山鋼業:ナベ</v>
      </c>
      <c r="F4233" s="338" t="s">
        <v>119</v>
      </c>
      <c r="G4233" s="339" t="str">
        <f t="shared" si="2"/>
        <v>中山鋼業:ナベＨ３(1級)</v>
      </c>
      <c r="H4233" s="340">
        <f t="shared" si="3"/>
        <v>44</v>
      </c>
      <c r="I4233" s="341">
        <v>1.0</v>
      </c>
      <c r="J4233" s="332">
        <f>IFERROR(__xludf.DUMMYFUNCTION("IF(IF(COUNTIF(P$2:P4232, P4233)=0, """", INDEX(H$2:H4232,
MAX(FILTER(ROW(H$2:H4232) - ROW(H$2) + 1, P$2:P4232 = P4233))))=""単価"","""",
IF(COUNTIF(P$2:P4232, P4233)=0, """", INDEX(H$2:H4232,
MAX(FILTER(ROW(H$2:H4232) - ROW(H$2) + 1, P$2:P4232 = P4233)))))"),43.0)</f>
        <v>43</v>
      </c>
      <c r="N4233" s="335" t="str">
        <f>IF(MAXIFS('単価履歴'!$O:$O,'単価履歴'!$E:$E,E4233,'単価履歴'!$F:$F,F4233)=O4233,"●","")</f>
        <v/>
      </c>
      <c r="O4233" s="346">
        <v>46084.28067129629</v>
      </c>
      <c r="P4233" s="334" t="str">
        <f t="shared" si="4"/>
        <v>中山鋼業:ナベＨ３(1級)</v>
      </c>
    </row>
    <row r="4234" ht="15.75" customHeight="1">
      <c r="A4234" s="335" t="s">
        <v>5381</v>
      </c>
      <c r="B4234" s="336">
        <v>46084.0</v>
      </c>
      <c r="C4234" s="335" t="s">
        <v>6</v>
      </c>
      <c r="D4234" s="335" t="s">
        <v>48</v>
      </c>
      <c r="E4234" s="337" t="str">
        <f t="shared" si="1"/>
        <v>中山鋼業:ナベ</v>
      </c>
      <c r="F4234" s="338" t="s">
        <v>122</v>
      </c>
      <c r="G4234" s="339" t="str">
        <f t="shared" si="2"/>
        <v>中山鋼業:ナベＬ１(2級)</v>
      </c>
      <c r="H4234" s="340">
        <f t="shared" si="3"/>
        <v>43.5</v>
      </c>
      <c r="I4234" s="341">
        <v>1.0</v>
      </c>
      <c r="J4234" s="332">
        <f>IFERROR(__xludf.DUMMYFUNCTION("IF(IF(COUNTIF(P$2:P4233, P4234)=0, """", INDEX(H$2:H4233,
MAX(FILTER(ROW(H$2:H4233) - ROW(H$2) + 1, P$2:P4233 = P4234))))=""単価"","""",
IF(COUNTIF(P$2:P4233, P4234)=0, """", INDEX(H$2:H4233,
MAX(FILTER(ROW(H$2:H4233) - ROW(H$2) + 1, P$2:P4233 = P4234)))))"),42.5)</f>
        <v>42.5</v>
      </c>
      <c r="N4234" s="335" t="str">
        <f>IF(MAXIFS('単価履歴'!$O:$O,'単価履歴'!$E:$E,E4234,'単価履歴'!$F:$F,F4234)=O4234,"●","")</f>
        <v/>
      </c>
      <c r="O4234" s="346">
        <v>46084.28067129629</v>
      </c>
      <c r="P4234" s="334" t="str">
        <f t="shared" si="4"/>
        <v>中山鋼業:ナベＬ１(2級)</v>
      </c>
    </row>
    <row r="4235" ht="15.75" customHeight="1">
      <c r="A4235" s="335" t="s">
        <v>5382</v>
      </c>
      <c r="B4235" s="336">
        <v>46084.0</v>
      </c>
      <c r="C4235" s="335" t="s">
        <v>6</v>
      </c>
      <c r="D4235" s="335" t="s">
        <v>48</v>
      </c>
      <c r="E4235" s="337" t="str">
        <f t="shared" si="1"/>
        <v>中山鋼業:ナベ</v>
      </c>
      <c r="F4235" s="338" t="s">
        <v>573</v>
      </c>
      <c r="G4235" s="339" t="str">
        <f t="shared" si="2"/>
        <v>中山鋼業:ナベＬ２(H4･級外･L1ﾊﾞﾗ)</v>
      </c>
      <c r="H4235" s="340">
        <f t="shared" si="3"/>
        <v>40</v>
      </c>
      <c r="I4235" s="341">
        <v>1.0</v>
      </c>
      <c r="J4235" s="332">
        <f>IFERROR(__xludf.DUMMYFUNCTION("IF(IF(COUNTIF(P$2:P4234, P4235)=0, """", INDEX(H$2:H4234,
MAX(FILTER(ROW(H$2:H4234) - ROW(H$2) + 1, P$2:P4234 = P4235))))=""単価"","""",
IF(COUNTIF(P$2:P4234, P4235)=0, """", INDEX(H$2:H4234,
MAX(FILTER(ROW(H$2:H4234) - ROW(H$2) + 1, P$2:P4234 = P4235)))))"),39.0)</f>
        <v>39</v>
      </c>
      <c r="N4235" s="335" t="str">
        <f>IF(MAXIFS('単価履歴'!$O:$O,'単価履歴'!$E:$E,E4235,'単価履歴'!$F:$F,F4235)=O4235,"●","")</f>
        <v/>
      </c>
      <c r="O4235" s="346">
        <v>46084.28067129629</v>
      </c>
      <c r="P4235" s="334" t="str">
        <f t="shared" si="4"/>
        <v>中山鋼業:ナベＬ２(H4･級外･L1ﾊﾞﾗ)</v>
      </c>
    </row>
    <row r="4236" ht="15.75" customHeight="1">
      <c r="A4236" s="335" t="s">
        <v>5383</v>
      </c>
      <c r="B4236" s="336">
        <v>46084.0</v>
      </c>
      <c r="C4236" s="335" t="s">
        <v>6</v>
      </c>
      <c r="D4236" s="335" t="s">
        <v>48</v>
      </c>
      <c r="E4236" s="337" t="str">
        <f t="shared" si="1"/>
        <v>中山鋼業:ナベ</v>
      </c>
      <c r="F4236" s="338" t="s">
        <v>130</v>
      </c>
      <c r="G4236" s="339" t="str">
        <f t="shared" si="2"/>
        <v>中山鋼業:ナベ新断Ａ</v>
      </c>
      <c r="H4236" s="340">
        <f t="shared" si="3"/>
        <v>3.5</v>
      </c>
      <c r="I4236" s="341">
        <v>1.0</v>
      </c>
      <c r="J4236" s="332">
        <f>IFERROR(__xludf.DUMMYFUNCTION("IF(IF(COUNTIF(P$2:P4235, P4236)=0, """", INDEX(H$2:H4235,
MAX(FILTER(ROW(H$2:H4235) - ROW(H$2) + 1, P$2:P4235 = P4236))))=""単価"","""",
IF(COUNTIF(P$2:P4235, P4236)=0, """", INDEX(H$2:H4235,
MAX(FILTER(ROW(H$2:H4235) - ROW(H$2) + 1, P$2:P4235 = P4236)))))"),2.5)</f>
        <v>2.5</v>
      </c>
      <c r="N4236" s="335" t="str">
        <f>IF(MAXIFS('単価履歴'!$O:$O,'単価履歴'!$E:$E,E4236,'単価履歴'!$F:$F,F4236)=O4236,"●","")</f>
        <v/>
      </c>
      <c r="O4236" s="346">
        <v>46084.28067129629</v>
      </c>
      <c r="P4236" s="334" t="str">
        <f t="shared" si="4"/>
        <v>中山鋼業:ナベ新断Ａ</v>
      </c>
    </row>
    <row r="4237" ht="15.75" customHeight="1">
      <c r="A4237" s="335" t="s">
        <v>5384</v>
      </c>
      <c r="B4237" s="336">
        <v>46084.0</v>
      </c>
      <c r="C4237" s="335" t="s">
        <v>6</v>
      </c>
      <c r="D4237" s="335" t="s">
        <v>48</v>
      </c>
      <c r="E4237" s="337" t="str">
        <f t="shared" si="1"/>
        <v>中山鋼業:ナベ</v>
      </c>
      <c r="F4237" s="338" t="s">
        <v>575</v>
      </c>
      <c r="G4237" s="339" t="str">
        <f t="shared" si="2"/>
        <v>中山鋼業:ナベ鋼ダライＡ</v>
      </c>
      <c r="H4237" s="340">
        <f t="shared" si="3"/>
        <v>36.7</v>
      </c>
      <c r="I4237" s="341">
        <v>1.0</v>
      </c>
      <c r="J4237" s="332">
        <f>IFERROR(__xludf.DUMMYFUNCTION("IF(IF(COUNTIF(P$2:P4236, P4237)=0, """", INDEX(H$2:H4236,
MAX(FILTER(ROW(H$2:H4236) - ROW(H$2) + 1, P$2:P4236 = P4237))))=""単価"","""",
IF(COUNTIF(P$2:P4236, P4237)=0, """", INDEX(H$2:H4236,
MAX(FILTER(ROW(H$2:H4236) - ROW(H$2) + 1, P$2:P4236 = P4237)))))"),35.7)</f>
        <v>35.7</v>
      </c>
      <c r="N4237" s="335" t="str">
        <f>IF(MAXIFS('単価履歴'!$O:$O,'単価履歴'!$E:$E,E4237,'単価履歴'!$F:$F,F4237)=O4237,"●","")</f>
        <v/>
      </c>
      <c r="O4237" s="346">
        <v>46084.28067129629</v>
      </c>
      <c r="P4237" s="334" t="str">
        <f t="shared" si="4"/>
        <v>中山鋼業:ナベ鋼ダライＡ</v>
      </c>
    </row>
    <row r="4238" ht="15.75" customHeight="1">
      <c r="A4238" s="335" t="s">
        <v>5385</v>
      </c>
      <c r="B4238" s="336">
        <v>46084.0</v>
      </c>
      <c r="C4238" s="335" t="s">
        <v>9</v>
      </c>
      <c r="D4238" s="335" t="s">
        <v>51</v>
      </c>
      <c r="E4238" s="337" t="str">
        <f t="shared" si="1"/>
        <v>大鉄　堺:大鉄堺</v>
      </c>
      <c r="F4238" s="338" t="s">
        <v>111</v>
      </c>
      <c r="G4238" s="339" t="str">
        <f t="shared" si="2"/>
        <v>大鉄　堺:大鉄堺Ｈ１(特A)</v>
      </c>
      <c r="H4238" s="340">
        <f t="shared" si="3"/>
        <v>47.5</v>
      </c>
      <c r="I4238" s="341">
        <v>1.0</v>
      </c>
      <c r="J4238" s="332">
        <f>IFERROR(__xludf.DUMMYFUNCTION("IF(IF(COUNTIF(P$2:P4237, P4238)=0, """", INDEX(H$2:H4237,
MAX(FILTER(ROW(H$2:H4237) - ROW(H$2) + 1, P$2:P4237 = P4238))))=""単価"","""",
IF(COUNTIF(P$2:P4237, P4238)=0, """", INDEX(H$2:H4237,
MAX(FILTER(ROW(H$2:H4237) - ROW(H$2) + 1, P$2:P4237 = P4238)))))"),46.5)</f>
        <v>46.5</v>
      </c>
      <c r="N4238" s="335" t="str">
        <f>IF(MAXIFS('単価履歴'!$O:$O,'単価履歴'!$E:$E,E4238,'単価履歴'!$F:$F,F4238)=O4238,"●","")</f>
        <v/>
      </c>
      <c r="O4238" s="346">
        <v>46084.28094907408</v>
      </c>
      <c r="P4238" s="334" t="str">
        <f t="shared" si="4"/>
        <v>大鉄　堺:大鉄堺Ｈ１(特A)</v>
      </c>
    </row>
    <row r="4239" ht="15.75" customHeight="1">
      <c r="A4239" s="335" t="s">
        <v>5386</v>
      </c>
      <c r="B4239" s="336">
        <v>46084.0</v>
      </c>
      <c r="C4239" s="335" t="s">
        <v>9</v>
      </c>
      <c r="D4239" s="335" t="s">
        <v>51</v>
      </c>
      <c r="E4239" s="337" t="str">
        <f t="shared" si="1"/>
        <v>大鉄　堺:大鉄堺</v>
      </c>
      <c r="F4239" s="338" t="s">
        <v>116</v>
      </c>
      <c r="G4239" s="339" t="str">
        <f t="shared" si="2"/>
        <v>大鉄　堺:大鉄堺Ｈ２(特級)</v>
      </c>
      <c r="H4239" s="340">
        <f t="shared" si="3"/>
        <v>44.5</v>
      </c>
      <c r="I4239" s="341">
        <v>1.0</v>
      </c>
      <c r="J4239" s="332">
        <f>IFERROR(__xludf.DUMMYFUNCTION("IF(IF(COUNTIF(P$2:P4238, P4239)=0, """", INDEX(H$2:H4238,
MAX(FILTER(ROW(H$2:H4238) - ROW(H$2) + 1, P$2:P4238 = P4239))))=""単価"","""",
IF(COUNTIF(P$2:P4238, P4239)=0, """", INDEX(H$2:H4238,
MAX(FILTER(ROW(H$2:H4238) - ROW(H$2) + 1, P$2:P4238 = P4239)))))"),43.5)</f>
        <v>43.5</v>
      </c>
      <c r="N4239" s="335" t="str">
        <f>IF(MAXIFS('単価履歴'!$O:$O,'単価履歴'!$E:$E,E4239,'単価履歴'!$F:$F,F4239)=O4239,"●","")</f>
        <v/>
      </c>
      <c r="O4239" s="346">
        <v>46084.28094907408</v>
      </c>
      <c r="P4239" s="334" t="str">
        <f t="shared" si="4"/>
        <v>大鉄　堺:大鉄堺Ｈ２(特級)</v>
      </c>
    </row>
    <row r="4240" ht="15.75" customHeight="1">
      <c r="A4240" s="335" t="s">
        <v>5387</v>
      </c>
      <c r="B4240" s="336">
        <v>46084.0</v>
      </c>
      <c r="C4240" s="335" t="s">
        <v>9</v>
      </c>
      <c r="D4240" s="335" t="s">
        <v>51</v>
      </c>
      <c r="E4240" s="337" t="str">
        <f t="shared" si="1"/>
        <v>大鉄　堺:大鉄堺</v>
      </c>
      <c r="F4240" s="338" t="s">
        <v>1237</v>
      </c>
      <c r="G4240" s="339" t="str">
        <f t="shared" si="2"/>
        <v>大鉄　堺:大鉄堺ＪＨ１(H2T山口)鍛造ﾊﾞﾘ</v>
      </c>
      <c r="H4240" s="340">
        <f t="shared" si="3"/>
        <v>46.5</v>
      </c>
      <c r="I4240" s="341">
        <v>1.0</v>
      </c>
      <c r="J4240" s="332">
        <f>IFERROR(__xludf.DUMMYFUNCTION("IF(IF(COUNTIF(P$2:P4239, P4240)=0, """", INDEX(H$2:H4239,
MAX(FILTER(ROW(H$2:H4239) - ROW(H$2) + 1, P$2:P4239 = P4240))))=""単価"","""",
IF(COUNTIF(P$2:P4239, P4240)=0, """", INDEX(H$2:H4239,
MAX(FILTER(ROW(H$2:H4239) - ROW(H$2) + 1, P$2:P4239 = P4240)))))"),45.5)</f>
        <v>45.5</v>
      </c>
      <c r="N4240" s="335" t="str">
        <f>IF(MAXIFS('単価履歴'!$O:$O,'単価履歴'!$E:$E,E4240,'単価履歴'!$F:$F,F4240)=O4240,"●","")</f>
        <v/>
      </c>
      <c r="O4240" s="346">
        <v>46084.28094907408</v>
      </c>
      <c r="P4240" s="334" t="str">
        <f t="shared" si="4"/>
        <v>大鉄　堺:大鉄堺ＪＨ１(H2T山口)鍛造ﾊﾞﾘ</v>
      </c>
    </row>
    <row r="4241" ht="15.75" customHeight="1">
      <c r="A4241" s="335" t="s">
        <v>5388</v>
      </c>
      <c r="B4241" s="336">
        <v>46084.0</v>
      </c>
      <c r="C4241" s="335" t="s">
        <v>9</v>
      </c>
      <c r="D4241" s="335" t="s">
        <v>51</v>
      </c>
      <c r="E4241" s="337" t="str">
        <f t="shared" si="1"/>
        <v>大鉄　堺:大鉄堺</v>
      </c>
      <c r="F4241" s="338" t="s">
        <v>119</v>
      </c>
      <c r="G4241" s="339" t="str">
        <f t="shared" si="2"/>
        <v>大鉄　堺:大鉄堺Ｈ３(1級)</v>
      </c>
      <c r="H4241" s="340">
        <f t="shared" si="3"/>
        <v>44</v>
      </c>
      <c r="I4241" s="341">
        <v>1.0</v>
      </c>
      <c r="J4241" s="332">
        <f>IFERROR(__xludf.DUMMYFUNCTION("IF(IF(COUNTIF(P$2:P4240, P4241)=0, """", INDEX(H$2:H4240,
MAX(FILTER(ROW(H$2:H4240) - ROW(H$2) + 1, P$2:P4240 = P4241))))=""単価"","""",
IF(COUNTIF(P$2:P4240, P4241)=0, """", INDEX(H$2:H4240,
MAX(FILTER(ROW(H$2:H4240) - ROW(H$2) + 1, P$2:P4240 = P4241)))))"),43.0)</f>
        <v>43</v>
      </c>
      <c r="N4241" s="335" t="str">
        <f>IF(MAXIFS('単価履歴'!$O:$O,'単価履歴'!$E:$E,E4241,'単価履歴'!$F:$F,F4241)=O4241,"●","")</f>
        <v/>
      </c>
      <c r="O4241" s="346">
        <v>46084.28094907408</v>
      </c>
      <c r="P4241" s="334" t="str">
        <f t="shared" si="4"/>
        <v>大鉄　堺:大鉄堺Ｈ３(1級)</v>
      </c>
    </row>
    <row r="4242" ht="15.75" customHeight="1">
      <c r="A4242" s="335" t="s">
        <v>5389</v>
      </c>
      <c r="B4242" s="336">
        <v>46084.0</v>
      </c>
      <c r="C4242" s="335" t="s">
        <v>9</v>
      </c>
      <c r="D4242" s="335" t="s">
        <v>51</v>
      </c>
      <c r="E4242" s="337" t="str">
        <f t="shared" si="1"/>
        <v>大鉄　堺:大鉄堺</v>
      </c>
      <c r="F4242" s="338" t="s">
        <v>122</v>
      </c>
      <c r="G4242" s="339" t="str">
        <f t="shared" si="2"/>
        <v>大鉄　堺:大鉄堺Ｌ１(2級)</v>
      </c>
      <c r="H4242" s="340">
        <f t="shared" si="3"/>
        <v>43.5</v>
      </c>
      <c r="I4242" s="341">
        <v>1.0</v>
      </c>
      <c r="J4242" s="332">
        <f>IFERROR(__xludf.DUMMYFUNCTION("IF(IF(COUNTIF(P$2:P4241, P4242)=0, """", INDEX(H$2:H4241,
MAX(FILTER(ROW(H$2:H4241) - ROW(H$2) + 1, P$2:P4241 = P4242))))=""単価"","""",
IF(COUNTIF(P$2:P4241, P4242)=0, """", INDEX(H$2:H4241,
MAX(FILTER(ROW(H$2:H4241) - ROW(H$2) + 1, P$2:P4241 = P4242)))))"),42.5)</f>
        <v>42.5</v>
      </c>
      <c r="N4242" s="335" t="str">
        <f>IF(MAXIFS('単価履歴'!$O:$O,'単価履歴'!$E:$E,E4242,'単価履歴'!$F:$F,F4242)=O4242,"●","")</f>
        <v/>
      </c>
      <c r="O4242" s="346">
        <v>46084.28094907408</v>
      </c>
      <c r="P4242" s="334" t="str">
        <f t="shared" si="4"/>
        <v>大鉄　堺:大鉄堺Ｌ１(2級)</v>
      </c>
    </row>
    <row r="4243" ht="15.75" customHeight="1">
      <c r="A4243" s="335" t="s">
        <v>5390</v>
      </c>
      <c r="B4243" s="336">
        <v>46084.0</v>
      </c>
      <c r="C4243" s="335" t="s">
        <v>9</v>
      </c>
      <c r="D4243" s="335" t="s">
        <v>51</v>
      </c>
      <c r="E4243" s="337" t="str">
        <f t="shared" si="1"/>
        <v>大鉄　堺:大鉄堺</v>
      </c>
      <c r="F4243" s="338" t="s">
        <v>130</v>
      </c>
      <c r="G4243" s="339" t="str">
        <f t="shared" si="2"/>
        <v>大鉄　堺:大鉄堺新断Ａ</v>
      </c>
      <c r="H4243" s="340">
        <f t="shared" si="3"/>
        <v>31</v>
      </c>
      <c r="I4243" s="341">
        <v>1.0</v>
      </c>
      <c r="J4243" s="332">
        <f>IFERROR(__xludf.DUMMYFUNCTION("IF(IF(COUNTIF(P$2:P4242, P4243)=0, """", INDEX(H$2:H4242,
MAX(FILTER(ROW(H$2:H4242) - ROW(H$2) + 1, P$2:P4242 = P4243))))=""単価"","""",
IF(COUNTIF(P$2:P4242, P4243)=0, """", INDEX(H$2:H4242,
MAX(FILTER(ROW(H$2:H4242) - ROW(H$2) + 1, P$2:P4242 = P4243)))))"),30.0)</f>
        <v>30</v>
      </c>
      <c r="N4243" s="335" t="str">
        <f>IF(MAXIFS('単価履歴'!$O:$O,'単価履歴'!$E:$E,E4243,'単価履歴'!$F:$F,F4243)=O4243,"●","")</f>
        <v/>
      </c>
      <c r="O4243" s="346">
        <v>46084.28094907408</v>
      </c>
      <c r="P4243" s="334" t="str">
        <f t="shared" si="4"/>
        <v>大鉄　堺:大鉄堺新断Ａ</v>
      </c>
    </row>
    <row r="4244" ht="15.75" customHeight="1">
      <c r="A4244" s="335" t="s">
        <v>5391</v>
      </c>
      <c r="B4244" s="336">
        <v>46084.0</v>
      </c>
      <c r="C4244" s="335" t="s">
        <v>9</v>
      </c>
      <c r="D4244" s="335" t="s">
        <v>51</v>
      </c>
      <c r="E4244" s="337" t="str">
        <f t="shared" si="1"/>
        <v>大鉄　堺:大鉄堺</v>
      </c>
      <c r="F4244" s="338" t="s">
        <v>131</v>
      </c>
      <c r="G4244" s="339" t="str">
        <f t="shared" si="2"/>
        <v>大鉄　堺:大鉄堺新断Ｂ</v>
      </c>
      <c r="H4244" s="340">
        <f t="shared" si="3"/>
        <v>30.5</v>
      </c>
      <c r="I4244" s="341">
        <v>1.0</v>
      </c>
      <c r="J4244" s="332">
        <f>IFERROR(__xludf.DUMMYFUNCTION("IF(IF(COUNTIF(P$2:P4243, P4244)=0, """", INDEX(H$2:H4243,
MAX(FILTER(ROW(H$2:H4243) - ROW(H$2) + 1, P$2:P4243 = P4244))))=""単価"","""",
IF(COUNTIF(P$2:P4243, P4244)=0, """", INDEX(H$2:H4243,
MAX(FILTER(ROW(H$2:H4243) - ROW(H$2) + 1, P$2:P4243 = P4244)))))"),29.5)</f>
        <v>29.5</v>
      </c>
      <c r="N4244" s="335" t="str">
        <f>IF(MAXIFS('単価履歴'!$O:$O,'単価履歴'!$E:$E,E4244,'単価履歴'!$F:$F,F4244)=O4244,"●","")</f>
        <v/>
      </c>
      <c r="O4244" s="346">
        <v>46084.28094907408</v>
      </c>
      <c r="P4244" s="334" t="str">
        <f t="shared" si="4"/>
        <v>大鉄　堺:大鉄堺新断Ｂ</v>
      </c>
    </row>
    <row r="4245" ht="15.75" customHeight="1">
      <c r="A4245" s="335" t="s">
        <v>5392</v>
      </c>
      <c r="B4245" s="336">
        <v>46084.0</v>
      </c>
      <c r="C4245" s="335" t="s">
        <v>9</v>
      </c>
      <c r="D4245" s="335" t="s">
        <v>51</v>
      </c>
      <c r="E4245" s="337" t="str">
        <f t="shared" si="1"/>
        <v>大鉄　堺:大鉄堺</v>
      </c>
      <c r="F4245" s="338" t="s">
        <v>575</v>
      </c>
      <c r="G4245" s="339" t="str">
        <f t="shared" si="2"/>
        <v>大鉄　堺:大鉄堺鋼ダライＡ</v>
      </c>
      <c r="H4245" s="340">
        <f t="shared" si="3"/>
        <v>30.5</v>
      </c>
      <c r="I4245" s="341">
        <v>1.0</v>
      </c>
      <c r="J4245" s="332">
        <f>IFERROR(__xludf.DUMMYFUNCTION("IF(IF(COUNTIF(P$2:P4244, P4245)=0, """", INDEX(H$2:H4244,
MAX(FILTER(ROW(H$2:H4244) - ROW(H$2) + 1, P$2:P4244 = P4245))))=""単価"","""",
IF(COUNTIF(P$2:P4244, P4245)=0, """", INDEX(H$2:H4244,
MAX(FILTER(ROW(H$2:H4244) - ROW(H$2) + 1, P$2:P4244 = P4245)))))"),29.5)</f>
        <v>29.5</v>
      </c>
      <c r="N4245" s="335" t="str">
        <f>IF(MAXIFS('単価履歴'!$O:$O,'単価履歴'!$E:$E,E4245,'単価履歴'!$F:$F,F4245)=O4245,"●","")</f>
        <v/>
      </c>
      <c r="O4245" s="346">
        <v>46084.28094907408</v>
      </c>
      <c r="P4245" s="334" t="str">
        <f t="shared" si="4"/>
        <v>大鉄　堺:大鉄堺鋼ダライＡ</v>
      </c>
    </row>
    <row r="4246" ht="15.75" customHeight="1">
      <c r="A4246" s="335" t="s">
        <v>5393</v>
      </c>
      <c r="B4246" s="336">
        <v>46084.0</v>
      </c>
      <c r="C4246" s="335" t="s">
        <v>9</v>
      </c>
      <c r="D4246" s="335" t="s">
        <v>51</v>
      </c>
      <c r="E4246" s="337" t="str">
        <f t="shared" si="1"/>
        <v>大鉄　堺:大鉄堺</v>
      </c>
      <c r="F4246" s="338" t="s">
        <v>576</v>
      </c>
      <c r="G4246" s="339" t="str">
        <f t="shared" si="2"/>
        <v>大鉄　堺:大鉄堺鋼ダライＢ</v>
      </c>
      <c r="H4246" s="340">
        <f t="shared" si="3"/>
        <v>30.5</v>
      </c>
      <c r="I4246" s="341">
        <v>1.0</v>
      </c>
      <c r="J4246" s="332">
        <f>IFERROR(__xludf.DUMMYFUNCTION("IF(IF(COUNTIF(P$2:P4245, P4246)=0, """", INDEX(H$2:H4245,
MAX(FILTER(ROW(H$2:H4245) - ROW(H$2) + 1, P$2:P4245 = P4246))))=""単価"","""",
IF(COUNTIF(P$2:P4245, P4246)=0, """", INDEX(H$2:H4245,
MAX(FILTER(ROW(H$2:H4245) - ROW(H$2) + 1, P$2:P4245 = P4246)))))"),29.5)</f>
        <v>29.5</v>
      </c>
      <c r="N4246" s="335" t="str">
        <f>IF(MAXIFS('単価履歴'!$O:$O,'単価履歴'!$E:$E,E4246,'単価履歴'!$F:$F,F4246)=O4246,"●","")</f>
        <v/>
      </c>
      <c r="O4246" s="346">
        <v>46084.28094907408</v>
      </c>
      <c r="P4246" s="334" t="str">
        <f t="shared" si="4"/>
        <v>大鉄　堺:大鉄堺鋼ダライＢ</v>
      </c>
    </row>
    <row r="4247" ht="15.75" customHeight="1">
      <c r="A4247" s="335" t="s">
        <v>5394</v>
      </c>
      <c r="B4247" s="336">
        <v>46084.0</v>
      </c>
      <c r="C4247" s="335" t="s">
        <v>9</v>
      </c>
      <c r="D4247" s="335" t="s">
        <v>51</v>
      </c>
      <c r="E4247" s="337" t="str">
        <f t="shared" si="1"/>
        <v>大鉄　堺:大鉄堺</v>
      </c>
      <c r="F4247" s="338" t="s">
        <v>145</v>
      </c>
      <c r="G4247" s="339" t="str">
        <f t="shared" si="2"/>
        <v>大鉄　堺:大鉄堺シュレＡ</v>
      </c>
      <c r="H4247" s="340">
        <f t="shared" si="3"/>
        <v>33.5</v>
      </c>
      <c r="I4247" s="341">
        <v>1.0</v>
      </c>
      <c r="J4247" s="332">
        <f>IFERROR(__xludf.DUMMYFUNCTION("IF(IF(COUNTIF(P$2:P4246, P4247)=0, """", INDEX(H$2:H4246,
MAX(FILTER(ROW(H$2:H4246) - ROW(H$2) + 1, P$2:P4246 = P4247))))=""単価"","""",
IF(COUNTIF(P$2:P4246, P4247)=0, """", INDEX(H$2:H4246,
MAX(FILTER(ROW(H$2:H4246) - ROW(H$2) + 1, P$2:P4246 = P4247)))))"),32.5)</f>
        <v>32.5</v>
      </c>
      <c r="N4247" s="335" t="str">
        <f>IF(MAXIFS('単価履歴'!$O:$O,'単価履歴'!$E:$E,E4247,'単価履歴'!$F:$F,F4247)=O4247,"●","")</f>
        <v/>
      </c>
      <c r="O4247" s="346">
        <v>46084.28094907408</v>
      </c>
      <c r="P4247" s="334" t="str">
        <f t="shared" si="4"/>
        <v>大鉄　堺:大鉄堺シュレＡ</v>
      </c>
    </row>
    <row r="4248" ht="15.75" customHeight="1">
      <c r="A4248" s="335" t="s">
        <v>5395</v>
      </c>
      <c r="B4248" s="336">
        <v>46084.0</v>
      </c>
      <c r="C4248" s="335" t="s">
        <v>9</v>
      </c>
      <c r="D4248" s="335" t="s">
        <v>51</v>
      </c>
      <c r="E4248" s="337" t="str">
        <f t="shared" si="1"/>
        <v>大鉄　堺:大鉄堺</v>
      </c>
      <c r="F4248" s="338" t="s">
        <v>149</v>
      </c>
      <c r="G4248" s="339" t="str">
        <f t="shared" si="2"/>
        <v>大鉄　堺:大鉄堺シュレＢ</v>
      </c>
      <c r="H4248" s="340">
        <f t="shared" si="3"/>
        <v>32.8</v>
      </c>
      <c r="I4248" s="341">
        <v>1.0</v>
      </c>
      <c r="J4248" s="332">
        <f>IFERROR(__xludf.DUMMYFUNCTION("IF(IF(COUNTIF(P$2:P4247, P4248)=0, """", INDEX(H$2:H4247,
MAX(FILTER(ROW(H$2:H4247) - ROW(H$2) + 1, P$2:P4247 = P4248))))=""単価"","""",
IF(COUNTIF(P$2:P4247, P4248)=0, """", INDEX(H$2:H4247,
MAX(FILTER(ROW(H$2:H4247) - ROW(H$2) + 1, P$2:P4247 = P4248)))))"),31.8)</f>
        <v>31.8</v>
      </c>
      <c r="N4248" s="335" t="str">
        <f>IF(MAXIFS('単価履歴'!$O:$O,'単価履歴'!$E:$E,E4248,'単価履歴'!$F:$F,F4248)=O4248,"●","")</f>
        <v/>
      </c>
      <c r="O4248" s="346">
        <v>46084.28094907408</v>
      </c>
      <c r="P4248" s="334" t="str">
        <f t="shared" si="4"/>
        <v>大鉄　堺:大鉄堺シュレＢ</v>
      </c>
    </row>
    <row r="4249" ht="15.75" customHeight="1">
      <c r="A4249" s="335" t="s">
        <v>5396</v>
      </c>
      <c r="B4249" s="336">
        <v>46084.0</v>
      </c>
      <c r="C4249" s="335" t="s">
        <v>9</v>
      </c>
      <c r="D4249" s="335" t="s">
        <v>51</v>
      </c>
      <c r="E4249" s="337" t="str">
        <f t="shared" si="1"/>
        <v>大鉄　堺:大鉄堺</v>
      </c>
      <c r="F4249" s="338" t="s">
        <v>151</v>
      </c>
      <c r="G4249" s="339" t="str">
        <f t="shared" si="2"/>
        <v>大鉄　堺:大鉄堺シュレＣ</v>
      </c>
      <c r="H4249" s="340">
        <f t="shared" si="3"/>
        <v>31.4</v>
      </c>
      <c r="I4249" s="341">
        <v>1.0</v>
      </c>
      <c r="J4249" s="332">
        <f>IFERROR(__xludf.DUMMYFUNCTION("IF(IF(COUNTIF(P$2:P4248, P4249)=0, """", INDEX(H$2:H4248,
MAX(FILTER(ROW(H$2:H4248) - ROW(H$2) + 1, P$2:P4248 = P4249))))=""単価"","""",
IF(COUNTIF(P$2:P4248, P4249)=0, """", INDEX(H$2:H4248,
MAX(FILTER(ROW(H$2:H4248) - ROW(H$2) + 1, P$2:P4248 = P4249)))))"),30.4)</f>
        <v>30.4</v>
      </c>
      <c r="N4249" s="335" t="str">
        <f>IF(MAXIFS('単価履歴'!$O:$O,'単価履歴'!$E:$E,E4249,'単価履歴'!$F:$F,F4249)=O4249,"●","")</f>
        <v/>
      </c>
      <c r="O4249" s="346">
        <v>46084.28094907408</v>
      </c>
      <c r="P4249" s="334" t="str">
        <f t="shared" si="4"/>
        <v>大鉄　堺:大鉄堺シュレＣ</v>
      </c>
    </row>
    <row r="4250" ht="15.75" customHeight="1">
      <c r="A4250" s="335" t="s">
        <v>5397</v>
      </c>
      <c r="B4250" s="336">
        <v>46084.0</v>
      </c>
      <c r="C4250" s="335" t="s">
        <v>9</v>
      </c>
      <c r="D4250" s="335" t="s">
        <v>51</v>
      </c>
      <c r="E4250" s="337" t="str">
        <f t="shared" si="1"/>
        <v>大鉄　堺:大鉄堺</v>
      </c>
      <c r="F4250" s="338" t="s">
        <v>154</v>
      </c>
      <c r="G4250" s="339" t="str">
        <f t="shared" si="2"/>
        <v>大鉄　堺:大鉄堺ＣＰ Ａ</v>
      </c>
      <c r="H4250" s="340">
        <f t="shared" si="3"/>
        <v>39</v>
      </c>
      <c r="I4250" s="341">
        <v>1.0</v>
      </c>
      <c r="J4250" s="332">
        <f>IFERROR(__xludf.DUMMYFUNCTION("IF(IF(COUNTIF(P$2:P4249, P4250)=0, """", INDEX(H$2:H4249,
MAX(FILTER(ROW(H$2:H4249) - ROW(H$2) + 1, P$2:P4249 = P4250))))=""単価"","""",
IF(COUNTIF(P$2:P4249, P4250)=0, """", INDEX(H$2:H4249,
MAX(FILTER(ROW(H$2:H4249) - ROW(H$2) + 1, P$2:P4249 = P4250)))))"),38.0)</f>
        <v>38</v>
      </c>
      <c r="N4250" s="335" t="str">
        <f>IF(MAXIFS('単価履歴'!$O:$O,'単価履歴'!$E:$E,E4250,'単価履歴'!$F:$F,F4250)=O4250,"●","")</f>
        <v/>
      </c>
      <c r="O4250" s="346">
        <v>46084.28094907408</v>
      </c>
      <c r="P4250" s="334" t="str">
        <f t="shared" si="4"/>
        <v>大鉄　堺:大鉄堺ＣＰ Ａ</v>
      </c>
    </row>
    <row r="4251" ht="15.75" customHeight="1">
      <c r="A4251" s="335" t="s">
        <v>5398</v>
      </c>
      <c r="B4251" s="336">
        <v>46084.0</v>
      </c>
      <c r="C4251" s="335" t="s">
        <v>9</v>
      </c>
      <c r="D4251" s="335" t="s">
        <v>51</v>
      </c>
      <c r="E4251" s="337" t="str">
        <f t="shared" si="1"/>
        <v>大鉄　堺:大鉄堺</v>
      </c>
      <c r="F4251" s="338" t="s">
        <v>156</v>
      </c>
      <c r="G4251" s="339" t="str">
        <f t="shared" si="2"/>
        <v>大鉄　堺:大鉄堺ＣＰ Ｂ一斗缶</v>
      </c>
      <c r="H4251" s="340">
        <f t="shared" si="3"/>
        <v>32.5</v>
      </c>
      <c r="I4251" s="341">
        <v>1.0</v>
      </c>
      <c r="J4251" s="332">
        <f>IFERROR(__xludf.DUMMYFUNCTION("IF(IF(COUNTIF(P$2:P4250, P4251)=0, """", INDEX(H$2:H4250,
MAX(FILTER(ROW(H$2:H4250) - ROW(H$2) + 1, P$2:P4250 = P4251))))=""単価"","""",
IF(COUNTIF(P$2:P4250, P4251)=0, """", INDEX(H$2:H4250,
MAX(FILTER(ROW(H$2:H4250) - ROW(H$2) + 1, P$2:P4250 = P4251)))))"),31.5)</f>
        <v>31.5</v>
      </c>
      <c r="N4251" s="335" t="str">
        <f>IF(MAXIFS('単価履歴'!$O:$O,'単価履歴'!$E:$E,E4251,'単価履歴'!$F:$F,F4251)=O4251,"●","")</f>
        <v/>
      </c>
      <c r="O4251" s="346">
        <v>46084.28094907408</v>
      </c>
      <c r="P4251" s="334" t="str">
        <f t="shared" si="4"/>
        <v>大鉄　堺:大鉄堺ＣＰ Ｂ一斗缶</v>
      </c>
    </row>
    <row r="4252" ht="15.75" customHeight="1">
      <c r="A4252" s="335" t="s">
        <v>5399</v>
      </c>
      <c r="B4252" s="336">
        <v>46084.0</v>
      </c>
      <c r="C4252" s="335" t="s">
        <v>9</v>
      </c>
      <c r="D4252" s="335" t="s">
        <v>47</v>
      </c>
      <c r="E4252" s="337" t="str">
        <f t="shared" si="1"/>
        <v>大鉄　堺:豊通</v>
      </c>
      <c r="F4252" s="338" t="s">
        <v>111</v>
      </c>
      <c r="G4252" s="339" t="str">
        <f t="shared" si="2"/>
        <v>大鉄　堺:豊通Ｈ１(特A)</v>
      </c>
      <c r="H4252" s="340">
        <f t="shared" si="3"/>
        <v>32.4</v>
      </c>
      <c r="I4252" s="341">
        <v>1.0</v>
      </c>
      <c r="J4252" s="332">
        <f>IFERROR(__xludf.DUMMYFUNCTION("IF(IF(COUNTIF(P$2:P4251, P4252)=0, """", INDEX(H$2:H4251,
MAX(FILTER(ROW(H$2:H4251) - ROW(H$2) + 1, P$2:P4251 = P4252))))=""単価"","""",
IF(COUNTIF(P$2:P4251, P4252)=0, """", INDEX(H$2:H4251,
MAX(FILTER(ROW(H$2:H4251) - ROW(H$2) + 1, P$2:P4251 = P4252)))))"),31.4)</f>
        <v>31.4</v>
      </c>
      <c r="N4252" s="335" t="str">
        <f>IF(MAXIFS('単価履歴'!$O:$O,'単価履歴'!$E:$E,E4252,'単価履歴'!$F:$F,F4252)=O4252,"●","")</f>
        <v/>
      </c>
      <c r="O4252" s="346">
        <v>46084.281122685185</v>
      </c>
      <c r="P4252" s="334" t="str">
        <f t="shared" si="4"/>
        <v>大鉄　堺:豊通Ｈ１(特A)</v>
      </c>
    </row>
    <row r="4253" ht="15.75" customHeight="1">
      <c r="A4253" s="335" t="s">
        <v>5400</v>
      </c>
      <c r="B4253" s="336">
        <v>46084.0</v>
      </c>
      <c r="C4253" s="335" t="s">
        <v>9</v>
      </c>
      <c r="D4253" s="335" t="s">
        <v>47</v>
      </c>
      <c r="E4253" s="337" t="str">
        <f t="shared" si="1"/>
        <v>大鉄　堺:豊通</v>
      </c>
      <c r="F4253" s="338" t="s">
        <v>1237</v>
      </c>
      <c r="G4253" s="339" t="str">
        <f t="shared" si="2"/>
        <v>大鉄　堺:豊通ＪＨ１(H2T山口)鍛造ﾊﾞﾘ</v>
      </c>
      <c r="H4253" s="340">
        <f t="shared" si="3"/>
        <v>31.4</v>
      </c>
      <c r="I4253" s="341">
        <v>1.0</v>
      </c>
      <c r="J4253" s="332">
        <f>IFERROR(__xludf.DUMMYFUNCTION("IF(IF(COUNTIF(P$2:P4252, P4253)=0, """", INDEX(H$2:H4252,
MAX(FILTER(ROW(H$2:H4252) - ROW(H$2) + 1, P$2:P4252 = P4253))))=""単価"","""",
IF(COUNTIF(P$2:P4252, P4253)=0, """", INDEX(H$2:H4252,
MAX(FILTER(ROW(H$2:H4252) - ROW(H$2) + 1, P$2:P4252 = P4253)))))"),30.4)</f>
        <v>30.4</v>
      </c>
      <c r="N4253" s="335" t="str">
        <f>IF(MAXIFS('単価履歴'!$O:$O,'単価履歴'!$E:$E,E4253,'単価履歴'!$F:$F,F4253)=O4253,"●","")</f>
        <v/>
      </c>
      <c r="O4253" s="346">
        <v>46084.281122685185</v>
      </c>
      <c r="P4253" s="334" t="str">
        <f t="shared" si="4"/>
        <v>大鉄　堺:豊通ＪＨ１(H2T山口)鍛造ﾊﾞﾘ</v>
      </c>
    </row>
    <row r="4254" ht="15.75" customHeight="1">
      <c r="A4254" s="335" t="s">
        <v>5401</v>
      </c>
      <c r="B4254" s="336">
        <v>46084.0</v>
      </c>
      <c r="C4254" s="335" t="s">
        <v>9</v>
      </c>
      <c r="D4254" s="335" t="s">
        <v>47</v>
      </c>
      <c r="E4254" s="337" t="str">
        <f t="shared" si="1"/>
        <v>大鉄　堺:豊通</v>
      </c>
      <c r="F4254" s="338" t="s">
        <v>116</v>
      </c>
      <c r="G4254" s="339" t="str">
        <f t="shared" si="2"/>
        <v>大鉄　堺:豊通Ｈ２(特級)</v>
      </c>
      <c r="H4254" s="340">
        <f t="shared" si="3"/>
        <v>28.2</v>
      </c>
      <c r="I4254" s="341">
        <v>1.0</v>
      </c>
      <c r="J4254" s="332">
        <f>IFERROR(__xludf.DUMMYFUNCTION("IF(IF(COUNTIF(P$2:P4253, P4254)=0, """", INDEX(H$2:H4253,
MAX(FILTER(ROW(H$2:H4253) - ROW(H$2) + 1, P$2:P4253 = P4254))))=""単価"","""",
IF(COUNTIF(P$2:P4253, P4254)=0, """", INDEX(H$2:H4253,
MAX(FILTER(ROW(H$2:H4253) - ROW(H$2) + 1, P$2:P4253 = P4254)))))"),27.2)</f>
        <v>27.2</v>
      </c>
      <c r="N4254" s="335" t="str">
        <f>IF(MAXIFS('単価履歴'!$O:$O,'単価履歴'!$E:$E,E4254,'単価履歴'!$F:$F,F4254)=O4254,"●","")</f>
        <v/>
      </c>
      <c r="O4254" s="346">
        <v>46084.281122685185</v>
      </c>
      <c r="P4254" s="334" t="str">
        <f t="shared" si="4"/>
        <v>大鉄　堺:豊通Ｈ２(特級)</v>
      </c>
    </row>
    <row r="4255" ht="15.75" customHeight="1">
      <c r="A4255" s="335" t="s">
        <v>5402</v>
      </c>
      <c r="B4255" s="336">
        <v>46084.0</v>
      </c>
      <c r="C4255" s="335" t="s">
        <v>9</v>
      </c>
      <c r="D4255" s="335" t="s">
        <v>47</v>
      </c>
      <c r="E4255" s="337" t="str">
        <f t="shared" si="1"/>
        <v>大鉄　堺:豊通</v>
      </c>
      <c r="F4255" s="338" t="s">
        <v>119</v>
      </c>
      <c r="G4255" s="339" t="str">
        <f t="shared" si="2"/>
        <v>大鉄　堺:豊通Ｈ３(1級)</v>
      </c>
      <c r="H4255" s="340">
        <f t="shared" si="3"/>
        <v>27.2</v>
      </c>
      <c r="I4255" s="341">
        <v>1.0</v>
      </c>
      <c r="J4255" s="332">
        <f>IFERROR(__xludf.DUMMYFUNCTION("IF(IF(COUNTIF(P$2:P4254, P4255)=0, """", INDEX(H$2:H4254,
MAX(FILTER(ROW(H$2:H4254) - ROW(H$2) + 1, P$2:P4254 = P4255))))=""単価"","""",
IF(COUNTIF(P$2:P4254, P4255)=0, """", INDEX(H$2:H4254,
MAX(FILTER(ROW(H$2:H4254) - ROW(H$2) + 1, P$2:P4254 = P4255)))))"),26.2)</f>
        <v>26.2</v>
      </c>
      <c r="N4255" s="335" t="str">
        <f>IF(MAXIFS('単価履歴'!$O:$O,'単価履歴'!$E:$E,E4255,'単価履歴'!$F:$F,F4255)=O4255,"●","")</f>
        <v/>
      </c>
      <c r="O4255" s="346">
        <v>46084.281122685185</v>
      </c>
      <c r="P4255" s="334" t="str">
        <f t="shared" si="4"/>
        <v>大鉄　堺:豊通Ｈ３(1級)</v>
      </c>
    </row>
    <row r="4256" ht="15.75" customHeight="1">
      <c r="A4256" s="335" t="s">
        <v>5403</v>
      </c>
      <c r="B4256" s="336">
        <v>46084.0</v>
      </c>
      <c r="C4256" s="335" t="s">
        <v>9</v>
      </c>
      <c r="D4256" s="335" t="s">
        <v>47</v>
      </c>
      <c r="E4256" s="337" t="str">
        <f t="shared" si="1"/>
        <v>大鉄　堺:豊通</v>
      </c>
      <c r="F4256" s="338" t="s">
        <v>122</v>
      </c>
      <c r="G4256" s="339" t="str">
        <f t="shared" si="2"/>
        <v>大鉄　堺:豊通Ｌ１(2級)</v>
      </c>
      <c r="H4256" s="340">
        <f t="shared" si="3"/>
        <v>25.7</v>
      </c>
      <c r="I4256" s="341">
        <v>1.0</v>
      </c>
      <c r="J4256" s="332">
        <f>IFERROR(__xludf.DUMMYFUNCTION("IF(IF(COUNTIF(P$2:P4255, P4256)=0, """", INDEX(H$2:H4255,
MAX(FILTER(ROW(H$2:H4255) - ROW(H$2) + 1, P$2:P4255 = P4256))))=""単価"","""",
IF(COUNTIF(P$2:P4255, P4256)=0, """", INDEX(H$2:H4255,
MAX(FILTER(ROW(H$2:H4255) - ROW(H$2) + 1, P$2:P4255 = P4256)))))"),24.7)</f>
        <v>24.7</v>
      </c>
      <c r="N4256" s="335" t="str">
        <f>IF(MAXIFS('単価履歴'!$O:$O,'単価履歴'!$E:$E,E4256,'単価履歴'!$F:$F,F4256)=O4256,"●","")</f>
        <v/>
      </c>
      <c r="O4256" s="346">
        <v>46084.281122685185</v>
      </c>
      <c r="P4256" s="334" t="str">
        <f t="shared" si="4"/>
        <v>大鉄　堺:豊通Ｌ１(2級)</v>
      </c>
    </row>
    <row r="4257" ht="15.75" customHeight="1">
      <c r="A4257" s="335" t="s">
        <v>5404</v>
      </c>
      <c r="B4257" s="336">
        <v>46084.0</v>
      </c>
      <c r="C4257" s="335" t="s">
        <v>9</v>
      </c>
      <c r="D4257" s="335" t="s">
        <v>47</v>
      </c>
      <c r="E4257" s="337" t="str">
        <f t="shared" si="1"/>
        <v>大鉄　堺:豊通</v>
      </c>
      <c r="F4257" s="338" t="s">
        <v>130</v>
      </c>
      <c r="G4257" s="339" t="str">
        <f t="shared" si="2"/>
        <v>大鉄　堺:豊通新断Ａ</v>
      </c>
      <c r="H4257" s="340">
        <f t="shared" si="3"/>
        <v>29.2</v>
      </c>
      <c r="I4257" s="341">
        <v>1.0</v>
      </c>
      <c r="J4257" s="332">
        <f>IFERROR(__xludf.DUMMYFUNCTION("IF(IF(COUNTIF(P$2:P4256, P4257)=0, """", INDEX(H$2:H4256,
MAX(FILTER(ROW(H$2:H4256) - ROW(H$2) + 1, P$2:P4256 = P4257))))=""単価"","""",
IF(COUNTIF(P$2:P4256, P4257)=0, """", INDEX(H$2:H4256,
MAX(FILTER(ROW(H$2:H4256) - ROW(H$2) + 1, P$2:P4256 = P4257)))))"),28.2)</f>
        <v>28.2</v>
      </c>
      <c r="N4257" s="335" t="str">
        <f>IF(MAXIFS('単価履歴'!$O:$O,'単価履歴'!$E:$E,E4257,'単価履歴'!$F:$F,F4257)=O4257,"●","")</f>
        <v/>
      </c>
      <c r="O4257" s="346">
        <v>46084.281122685185</v>
      </c>
      <c r="P4257" s="334" t="str">
        <f t="shared" si="4"/>
        <v>大鉄　堺:豊通新断Ａ</v>
      </c>
    </row>
    <row r="4258" ht="15.75" customHeight="1">
      <c r="A4258" s="335" t="s">
        <v>5405</v>
      </c>
      <c r="B4258" s="336">
        <v>46084.0</v>
      </c>
      <c r="C4258" s="335" t="s">
        <v>9</v>
      </c>
      <c r="D4258" s="335" t="s">
        <v>47</v>
      </c>
      <c r="E4258" s="337" t="str">
        <f t="shared" si="1"/>
        <v>大鉄　堺:豊通</v>
      </c>
      <c r="F4258" s="338" t="s">
        <v>131</v>
      </c>
      <c r="G4258" s="339" t="str">
        <f t="shared" si="2"/>
        <v>大鉄　堺:豊通新断Ｂ</v>
      </c>
      <c r="H4258" s="340">
        <f t="shared" si="3"/>
        <v>28.7</v>
      </c>
      <c r="I4258" s="341">
        <v>1.0</v>
      </c>
      <c r="J4258" s="332">
        <f>IFERROR(__xludf.DUMMYFUNCTION("IF(IF(COUNTIF(P$2:P4257, P4258)=0, """", INDEX(H$2:H4257,
MAX(FILTER(ROW(H$2:H4257) - ROW(H$2) + 1, P$2:P4257 = P4258))))=""単価"","""",
IF(COUNTIF(P$2:P4257, P4258)=0, """", INDEX(H$2:H4257,
MAX(FILTER(ROW(H$2:H4257) - ROW(H$2) + 1, P$2:P4257 = P4258)))))"),27.7)</f>
        <v>27.7</v>
      </c>
      <c r="N4258" s="335" t="str">
        <f>IF(MAXIFS('単価履歴'!$O:$O,'単価履歴'!$E:$E,E4258,'単価履歴'!$F:$F,F4258)=O4258,"●","")</f>
        <v/>
      </c>
      <c r="O4258" s="346">
        <v>46084.281122685185</v>
      </c>
      <c r="P4258" s="334" t="str">
        <f t="shared" si="4"/>
        <v>大鉄　堺:豊通新断Ｂ</v>
      </c>
    </row>
    <row r="4259" ht="15.75" customHeight="1">
      <c r="A4259" s="335" t="s">
        <v>5406</v>
      </c>
      <c r="B4259" s="336">
        <v>46084.0</v>
      </c>
      <c r="C4259" s="335" t="s">
        <v>9</v>
      </c>
      <c r="D4259" s="335" t="s">
        <v>47</v>
      </c>
      <c r="E4259" s="337" t="str">
        <f t="shared" si="1"/>
        <v>大鉄　堺:豊通</v>
      </c>
      <c r="F4259" s="338" t="s">
        <v>575</v>
      </c>
      <c r="G4259" s="339" t="str">
        <f t="shared" si="2"/>
        <v>大鉄　堺:豊通鋼ダライＡ</v>
      </c>
      <c r="H4259" s="340">
        <f t="shared" si="3"/>
        <v>30.2</v>
      </c>
      <c r="I4259" s="341">
        <v>1.0</v>
      </c>
      <c r="J4259" s="332">
        <f>IFERROR(__xludf.DUMMYFUNCTION("IF(IF(COUNTIF(P$2:P4258, P4259)=0, """", INDEX(H$2:H4258,
MAX(FILTER(ROW(H$2:H4258) - ROW(H$2) + 1, P$2:P4258 = P4259))))=""単価"","""",
IF(COUNTIF(P$2:P4258, P4259)=0, """", INDEX(H$2:H4258,
MAX(FILTER(ROW(H$2:H4258) - ROW(H$2) + 1, P$2:P4258 = P4259)))))"),29.2)</f>
        <v>29.2</v>
      </c>
      <c r="N4259" s="335" t="str">
        <f>IF(MAXIFS('単価履歴'!$O:$O,'単価履歴'!$E:$E,E4259,'単価履歴'!$F:$F,F4259)=O4259,"●","")</f>
        <v/>
      </c>
      <c r="O4259" s="346">
        <v>46084.281122685185</v>
      </c>
      <c r="P4259" s="334" t="str">
        <f t="shared" si="4"/>
        <v>大鉄　堺:豊通鋼ダライＡ</v>
      </c>
    </row>
    <row r="4260" ht="15.75" customHeight="1">
      <c r="A4260" s="335" t="s">
        <v>5407</v>
      </c>
      <c r="B4260" s="336">
        <v>46084.0</v>
      </c>
      <c r="C4260" s="335" t="s">
        <v>9</v>
      </c>
      <c r="D4260" s="335" t="s">
        <v>47</v>
      </c>
      <c r="E4260" s="337" t="str">
        <f t="shared" si="1"/>
        <v>大鉄　堺:豊通</v>
      </c>
      <c r="F4260" s="338" t="s">
        <v>576</v>
      </c>
      <c r="G4260" s="339" t="str">
        <f t="shared" si="2"/>
        <v>大鉄　堺:豊通鋼ダライＢ</v>
      </c>
      <c r="H4260" s="340">
        <f t="shared" si="3"/>
        <v>30.2</v>
      </c>
      <c r="I4260" s="341">
        <v>1.0</v>
      </c>
      <c r="J4260" s="332">
        <f>IFERROR(__xludf.DUMMYFUNCTION("IF(IF(COUNTIF(P$2:P4259, P4260)=0, """", INDEX(H$2:H4259,
MAX(FILTER(ROW(H$2:H4259) - ROW(H$2) + 1, P$2:P4259 = P4260))))=""単価"","""",
IF(COUNTIF(P$2:P4259, P4260)=0, """", INDEX(H$2:H4259,
MAX(FILTER(ROW(H$2:H4259) - ROW(H$2) + 1, P$2:P4259 = P4260)))))"),29.2)</f>
        <v>29.2</v>
      </c>
      <c r="N4260" s="335" t="str">
        <f>IF(MAXIFS('単価履歴'!$O:$O,'単価履歴'!$E:$E,E4260,'単価履歴'!$F:$F,F4260)=O4260,"●","")</f>
        <v/>
      </c>
      <c r="O4260" s="346">
        <v>46084.281122685185</v>
      </c>
      <c r="P4260" s="334" t="str">
        <f t="shared" si="4"/>
        <v>大鉄　堺:豊通鋼ダライＢ</v>
      </c>
    </row>
    <row r="4261" ht="15.75" customHeight="1">
      <c r="A4261" s="335" t="s">
        <v>5408</v>
      </c>
      <c r="B4261" s="336">
        <v>46084.0</v>
      </c>
      <c r="C4261" s="335" t="s">
        <v>9</v>
      </c>
      <c r="D4261" s="335" t="s">
        <v>47</v>
      </c>
      <c r="E4261" s="337" t="str">
        <f t="shared" si="1"/>
        <v>大鉄　堺:豊通</v>
      </c>
      <c r="F4261" s="338" t="s">
        <v>145</v>
      </c>
      <c r="G4261" s="339" t="str">
        <f t="shared" si="2"/>
        <v>大鉄　堺:豊通シュレＡ</v>
      </c>
      <c r="H4261" s="340">
        <f t="shared" si="3"/>
        <v>32.7</v>
      </c>
      <c r="I4261" s="341">
        <v>1.0</v>
      </c>
      <c r="J4261" s="332">
        <f>IFERROR(__xludf.DUMMYFUNCTION("IF(IF(COUNTIF(P$2:P4260, P4261)=0, """", INDEX(H$2:H4260,
MAX(FILTER(ROW(H$2:H4260) - ROW(H$2) + 1, P$2:P4260 = P4261))))=""単価"","""",
IF(COUNTIF(P$2:P4260, P4261)=0, """", INDEX(H$2:H4260,
MAX(FILTER(ROW(H$2:H4260) - ROW(H$2) + 1, P$2:P4260 = P4261)))))"),31.7)</f>
        <v>31.7</v>
      </c>
      <c r="N4261" s="335" t="str">
        <f>IF(MAXIFS('単価履歴'!$O:$O,'単価履歴'!$E:$E,E4261,'単価履歴'!$F:$F,F4261)=O4261,"●","")</f>
        <v/>
      </c>
      <c r="O4261" s="346">
        <v>46084.281122685185</v>
      </c>
      <c r="P4261" s="334" t="str">
        <f t="shared" si="4"/>
        <v>大鉄　堺:豊通シュレＡ</v>
      </c>
    </row>
    <row r="4262" ht="15.75" customHeight="1">
      <c r="A4262" s="335" t="s">
        <v>5409</v>
      </c>
      <c r="B4262" s="336">
        <v>46084.0</v>
      </c>
      <c r="C4262" s="335" t="s">
        <v>9</v>
      </c>
      <c r="D4262" s="335" t="s">
        <v>47</v>
      </c>
      <c r="E4262" s="337" t="str">
        <f t="shared" si="1"/>
        <v>大鉄　堺:豊通</v>
      </c>
      <c r="F4262" s="338" t="s">
        <v>149</v>
      </c>
      <c r="G4262" s="339" t="str">
        <f t="shared" si="2"/>
        <v>大鉄　堺:豊通シュレＢ</v>
      </c>
      <c r="H4262" s="340">
        <f t="shared" si="3"/>
        <v>32</v>
      </c>
      <c r="I4262" s="341">
        <v>1.0</v>
      </c>
      <c r="J4262" s="332">
        <f>IFERROR(__xludf.DUMMYFUNCTION("IF(IF(COUNTIF(P$2:P4261, P4262)=0, """", INDEX(H$2:H4261,
MAX(FILTER(ROW(H$2:H4261) - ROW(H$2) + 1, P$2:P4261 = P4262))))=""単価"","""",
IF(COUNTIF(P$2:P4261, P4262)=0, """", INDEX(H$2:H4261,
MAX(FILTER(ROW(H$2:H4261) - ROW(H$2) + 1, P$2:P4261 = P4262)))))"),31.0)</f>
        <v>31</v>
      </c>
      <c r="N4262" s="335" t="str">
        <f>IF(MAXIFS('単価履歴'!$O:$O,'単価履歴'!$E:$E,E4262,'単価履歴'!$F:$F,F4262)=O4262,"●","")</f>
        <v/>
      </c>
      <c r="O4262" s="346">
        <v>46084.281122685185</v>
      </c>
      <c r="P4262" s="334" t="str">
        <f t="shared" si="4"/>
        <v>大鉄　堺:豊通シュレＢ</v>
      </c>
    </row>
    <row r="4263" ht="15.75" customHeight="1">
      <c r="A4263" s="335" t="s">
        <v>5410</v>
      </c>
      <c r="B4263" s="336">
        <v>46084.0</v>
      </c>
      <c r="C4263" s="335" t="s">
        <v>9</v>
      </c>
      <c r="D4263" s="335" t="s">
        <v>47</v>
      </c>
      <c r="E4263" s="337" t="str">
        <f t="shared" si="1"/>
        <v>大鉄　堺:豊通</v>
      </c>
      <c r="F4263" s="338" t="s">
        <v>151</v>
      </c>
      <c r="G4263" s="339" t="str">
        <f t="shared" si="2"/>
        <v>大鉄　堺:豊通シュレＣ</v>
      </c>
      <c r="H4263" s="340">
        <f t="shared" si="3"/>
        <v>30.6</v>
      </c>
      <c r="I4263" s="341">
        <v>1.0</v>
      </c>
      <c r="J4263" s="332">
        <f>IFERROR(__xludf.DUMMYFUNCTION("IF(IF(COUNTIF(P$2:P4262, P4263)=0, """", INDEX(H$2:H4262,
MAX(FILTER(ROW(H$2:H4262) - ROW(H$2) + 1, P$2:P4262 = P4263))))=""単価"","""",
IF(COUNTIF(P$2:P4262, P4263)=0, """", INDEX(H$2:H4262,
MAX(FILTER(ROW(H$2:H4262) - ROW(H$2) + 1, P$2:P4262 = P4263)))))"),29.6)</f>
        <v>29.6</v>
      </c>
      <c r="N4263" s="335" t="str">
        <f>IF(MAXIFS('単価履歴'!$O:$O,'単価履歴'!$E:$E,E4263,'単価履歴'!$F:$F,F4263)=O4263,"●","")</f>
        <v/>
      </c>
      <c r="O4263" s="346">
        <v>46084.281122685185</v>
      </c>
      <c r="P4263" s="334" t="str">
        <f t="shared" si="4"/>
        <v>大鉄　堺:豊通シュレＣ</v>
      </c>
    </row>
    <row r="4264" ht="15.75" customHeight="1">
      <c r="A4264" s="335" t="s">
        <v>5411</v>
      </c>
      <c r="B4264" s="336">
        <v>46084.0</v>
      </c>
      <c r="C4264" s="335" t="s">
        <v>9</v>
      </c>
      <c r="D4264" s="335" t="s">
        <v>47</v>
      </c>
      <c r="E4264" s="337" t="str">
        <f t="shared" si="1"/>
        <v>大鉄　堺:豊通</v>
      </c>
      <c r="F4264" s="338" t="s">
        <v>154</v>
      </c>
      <c r="G4264" s="339" t="str">
        <f t="shared" si="2"/>
        <v>大鉄　堺:豊通ＣＰ Ａ</v>
      </c>
      <c r="H4264" s="340">
        <f t="shared" si="3"/>
        <v>43.2</v>
      </c>
      <c r="I4264" s="341">
        <v>1.0</v>
      </c>
      <c r="J4264" s="332">
        <f>IFERROR(__xludf.DUMMYFUNCTION("IF(IF(COUNTIF(P$2:P4263, P4264)=0, """", INDEX(H$2:H4263,
MAX(FILTER(ROW(H$2:H4263) - ROW(H$2) + 1, P$2:P4263 = P4264))))=""単価"","""",
IF(COUNTIF(P$2:P4263, P4264)=0, """", INDEX(H$2:H4263,
MAX(FILTER(ROW(H$2:H4263) - ROW(H$2) + 1, P$2:P4263 = P4264)))))"),42.2)</f>
        <v>42.2</v>
      </c>
      <c r="N4264" s="335" t="str">
        <f>IF(MAXIFS('単価履歴'!$O:$O,'単価履歴'!$E:$E,E4264,'単価履歴'!$F:$F,F4264)=O4264,"●","")</f>
        <v/>
      </c>
      <c r="O4264" s="346">
        <v>46084.281122685185</v>
      </c>
      <c r="P4264" s="334" t="str">
        <f t="shared" si="4"/>
        <v>大鉄　堺:豊通ＣＰ Ａ</v>
      </c>
    </row>
    <row r="4265" ht="15.75" customHeight="1">
      <c r="A4265" s="335" t="s">
        <v>5412</v>
      </c>
      <c r="B4265" s="336">
        <v>46084.0</v>
      </c>
      <c r="C4265" s="335" t="s">
        <v>9</v>
      </c>
      <c r="D4265" s="335" t="s">
        <v>47</v>
      </c>
      <c r="E4265" s="337" t="str">
        <f t="shared" si="1"/>
        <v>大鉄　堺:豊通</v>
      </c>
      <c r="F4265" s="338" t="s">
        <v>156</v>
      </c>
      <c r="G4265" s="339" t="str">
        <f t="shared" si="2"/>
        <v>大鉄　堺:豊通ＣＰ Ｂ一斗缶</v>
      </c>
      <c r="H4265" s="340">
        <f t="shared" si="3"/>
        <v>36.7</v>
      </c>
      <c r="I4265" s="341">
        <v>1.0</v>
      </c>
      <c r="J4265" s="332">
        <f>IFERROR(__xludf.DUMMYFUNCTION("IF(IF(COUNTIF(P$2:P4264, P4265)=0, """", INDEX(H$2:H4264,
MAX(FILTER(ROW(H$2:H4264) - ROW(H$2) + 1, P$2:P4264 = P4265))))=""単価"","""",
IF(COUNTIF(P$2:P4264, P4265)=0, """", INDEX(H$2:H4264,
MAX(FILTER(ROW(H$2:H4264) - ROW(H$2) + 1, P$2:P4264 = P4265)))))"),35.7)</f>
        <v>35.7</v>
      </c>
      <c r="N4265" s="335" t="str">
        <f>IF(MAXIFS('単価履歴'!$O:$O,'単価履歴'!$E:$E,E4265,'単価履歴'!$F:$F,F4265)=O4265,"●","")</f>
        <v/>
      </c>
      <c r="O4265" s="346">
        <v>46084.281122685185</v>
      </c>
      <c r="P4265" s="334" t="str">
        <f t="shared" si="4"/>
        <v>大鉄　堺:豊通ＣＰ Ｂ一斗缶</v>
      </c>
    </row>
    <row r="4266" ht="15.75" customHeight="1">
      <c r="A4266" s="335" t="s">
        <v>5413</v>
      </c>
      <c r="B4266" s="336">
        <v>46084.0</v>
      </c>
      <c r="C4266" s="335" t="s">
        <v>9</v>
      </c>
      <c r="D4266" s="335" t="s">
        <v>50</v>
      </c>
      <c r="E4266" s="337" t="str">
        <f t="shared" si="1"/>
        <v>大鉄　堺:産振</v>
      </c>
      <c r="F4266" s="338" t="s">
        <v>111</v>
      </c>
      <c r="G4266" s="339" t="str">
        <f t="shared" si="2"/>
        <v>大鉄　堺:産振Ｈ１(特A)</v>
      </c>
      <c r="H4266" s="340">
        <f t="shared" si="3"/>
        <v>49.2</v>
      </c>
      <c r="I4266" s="341">
        <v>1.0</v>
      </c>
      <c r="J4266" s="332">
        <f>IFERROR(__xludf.DUMMYFUNCTION("IF(IF(COUNTIF(P$2:P4265, P4266)=0, """", INDEX(H$2:H4265,
MAX(FILTER(ROW(H$2:H4265) - ROW(H$2) + 1, P$2:P4265 = P4266))))=""単価"","""",
IF(COUNTIF(P$2:P4265, P4266)=0, """", INDEX(H$2:H4265,
MAX(FILTER(ROW(H$2:H4265) - ROW(H$2) + 1, P$2:P4265 = P4266)))))"),48.2)</f>
        <v>48.2</v>
      </c>
      <c r="N4266" s="335" t="str">
        <f>IF(MAXIFS('単価履歴'!$O:$O,'単価履歴'!$E:$E,E4266,'単価履歴'!$F:$F,F4266)=O4266,"●","")</f>
        <v/>
      </c>
      <c r="O4266" s="346">
        <v>46084.28128472222</v>
      </c>
      <c r="P4266" s="334" t="str">
        <f t="shared" si="4"/>
        <v>大鉄　堺:産振Ｈ１(特A)</v>
      </c>
    </row>
    <row r="4267" ht="15.75" customHeight="1">
      <c r="A4267" s="335" t="s">
        <v>5414</v>
      </c>
      <c r="B4267" s="336">
        <v>46084.0</v>
      </c>
      <c r="C4267" s="335" t="s">
        <v>9</v>
      </c>
      <c r="D4267" s="335" t="s">
        <v>50</v>
      </c>
      <c r="E4267" s="337" t="str">
        <f t="shared" si="1"/>
        <v>大鉄　堺:産振</v>
      </c>
      <c r="F4267" s="338" t="s">
        <v>116</v>
      </c>
      <c r="G4267" s="339" t="str">
        <f t="shared" si="2"/>
        <v>大鉄　堺:産振Ｈ２(特級)</v>
      </c>
      <c r="H4267" s="340">
        <f t="shared" si="3"/>
        <v>46.7</v>
      </c>
      <c r="I4267" s="341">
        <v>1.0</v>
      </c>
      <c r="J4267" s="332">
        <f>IFERROR(__xludf.DUMMYFUNCTION("IF(IF(COUNTIF(P$2:P4266, P4267)=0, """", INDEX(H$2:H4266,
MAX(FILTER(ROW(H$2:H4266) - ROW(H$2) + 1, P$2:P4266 = P4267))))=""単価"","""",
IF(COUNTIF(P$2:P4266, P4267)=0, """", INDEX(H$2:H4266,
MAX(FILTER(ROW(H$2:H4266) - ROW(H$2) + 1, P$2:P4266 = P4267)))))"),45.7)</f>
        <v>45.7</v>
      </c>
      <c r="N4267" s="335" t="str">
        <f>IF(MAXIFS('単価履歴'!$O:$O,'単価履歴'!$E:$E,E4267,'単価履歴'!$F:$F,F4267)=O4267,"●","")</f>
        <v/>
      </c>
      <c r="O4267" s="346">
        <v>46084.28128472222</v>
      </c>
      <c r="P4267" s="334" t="str">
        <f t="shared" si="4"/>
        <v>大鉄　堺:産振Ｈ２(特級)</v>
      </c>
    </row>
    <row r="4268" ht="15.75" customHeight="1">
      <c r="A4268" s="335" t="s">
        <v>5415</v>
      </c>
      <c r="B4268" s="336">
        <v>46084.0</v>
      </c>
      <c r="C4268" s="335" t="s">
        <v>9</v>
      </c>
      <c r="D4268" s="335" t="s">
        <v>50</v>
      </c>
      <c r="E4268" s="337" t="str">
        <f t="shared" si="1"/>
        <v>大鉄　堺:産振</v>
      </c>
      <c r="F4268" s="338" t="s">
        <v>119</v>
      </c>
      <c r="G4268" s="339" t="str">
        <f t="shared" si="2"/>
        <v>大鉄　堺:産振Ｈ３(1級)</v>
      </c>
      <c r="H4268" s="340">
        <f t="shared" si="3"/>
        <v>43.7</v>
      </c>
      <c r="I4268" s="341">
        <v>1.0</v>
      </c>
      <c r="J4268" s="332">
        <f>IFERROR(__xludf.DUMMYFUNCTION("IF(IF(COUNTIF(P$2:P4267, P4268)=0, """", INDEX(H$2:H4267,
MAX(FILTER(ROW(H$2:H4267) - ROW(H$2) + 1, P$2:P4267 = P4268))))=""単価"","""",
IF(COUNTIF(P$2:P4267, P4268)=0, """", INDEX(H$2:H4267,
MAX(FILTER(ROW(H$2:H4267) - ROW(H$2) + 1, P$2:P4267 = P4268)))))"),42.7)</f>
        <v>42.7</v>
      </c>
      <c r="N4268" s="335" t="str">
        <f>IF(MAXIFS('単価履歴'!$O:$O,'単価履歴'!$E:$E,E4268,'単価履歴'!$F:$F,F4268)=O4268,"●","")</f>
        <v/>
      </c>
      <c r="O4268" s="346">
        <v>46084.28128472222</v>
      </c>
      <c r="P4268" s="334" t="str">
        <f t="shared" si="4"/>
        <v>大鉄　堺:産振Ｈ３(1級)</v>
      </c>
    </row>
    <row r="4269" ht="15.75" customHeight="1">
      <c r="A4269" s="335" t="s">
        <v>5416</v>
      </c>
      <c r="B4269" s="336">
        <v>46084.0</v>
      </c>
      <c r="C4269" s="335" t="s">
        <v>9</v>
      </c>
      <c r="D4269" s="335" t="s">
        <v>50</v>
      </c>
      <c r="E4269" s="337" t="str">
        <f t="shared" si="1"/>
        <v>大鉄　堺:産振</v>
      </c>
      <c r="F4269" s="338" t="s">
        <v>154</v>
      </c>
      <c r="G4269" s="339" t="str">
        <f t="shared" si="2"/>
        <v>大鉄　堺:産振ＣＰ Ａ</v>
      </c>
      <c r="H4269" s="340">
        <f t="shared" si="3"/>
        <v>48.7</v>
      </c>
      <c r="I4269" s="341">
        <v>1.0</v>
      </c>
      <c r="J4269" s="332">
        <f>IFERROR(__xludf.DUMMYFUNCTION("IF(IF(COUNTIF(P$2:P4268, P4269)=0, """", INDEX(H$2:H4268,
MAX(FILTER(ROW(H$2:H4268) - ROW(H$2) + 1, P$2:P4268 = P4269))))=""単価"","""",
IF(COUNTIF(P$2:P4268, P4269)=0, """", INDEX(H$2:H4268,
MAX(FILTER(ROW(H$2:H4268) - ROW(H$2) + 1, P$2:P4268 = P4269)))))"),47.7)</f>
        <v>47.7</v>
      </c>
      <c r="N4269" s="335" t="str">
        <f>IF(MAXIFS('単価履歴'!$O:$O,'単価履歴'!$E:$E,E4269,'単価履歴'!$F:$F,F4269)=O4269,"●","")</f>
        <v/>
      </c>
      <c r="O4269" s="346">
        <v>46084.28128472222</v>
      </c>
      <c r="P4269" s="334" t="str">
        <f t="shared" si="4"/>
        <v>大鉄　堺:産振ＣＰ Ａ</v>
      </c>
    </row>
    <row r="4270" ht="15.75" customHeight="1">
      <c r="A4270" s="335" t="s">
        <v>5417</v>
      </c>
      <c r="B4270" s="336">
        <v>46084.0</v>
      </c>
      <c r="C4270" s="335" t="s">
        <v>9</v>
      </c>
      <c r="D4270" s="335" t="s">
        <v>50</v>
      </c>
      <c r="E4270" s="337" t="str">
        <f t="shared" si="1"/>
        <v>大鉄　堺:産振</v>
      </c>
      <c r="F4270" s="338" t="s">
        <v>156</v>
      </c>
      <c r="G4270" s="339" t="str">
        <f t="shared" si="2"/>
        <v>大鉄　堺:産振ＣＰ Ｂ一斗缶</v>
      </c>
      <c r="H4270" s="340">
        <f t="shared" si="3"/>
        <v>38.5</v>
      </c>
      <c r="I4270" s="341">
        <v>1.0</v>
      </c>
      <c r="J4270" s="332">
        <f>IFERROR(__xludf.DUMMYFUNCTION("IF(IF(COUNTIF(P$2:P4269, P4270)=0, """", INDEX(H$2:H4269,
MAX(FILTER(ROW(H$2:H4269) - ROW(H$2) + 1, P$2:P4269 = P4270))))=""単価"","""",
IF(COUNTIF(P$2:P4269, P4270)=0, """", INDEX(H$2:H4269,
MAX(FILTER(ROW(H$2:H4269) - ROW(H$2) + 1, P$2:P4269 = P4270)))))"),37.5)</f>
        <v>37.5</v>
      </c>
      <c r="N4270" s="335" t="str">
        <f>IF(MAXIFS('単価履歴'!$O:$O,'単価履歴'!$E:$E,E4270,'単価履歴'!$F:$F,F4270)=O4270,"●","")</f>
        <v/>
      </c>
      <c r="O4270" s="346">
        <v>46084.28128472222</v>
      </c>
      <c r="P4270" s="334" t="str">
        <f t="shared" si="4"/>
        <v>大鉄　堺:産振ＣＰ Ｂ一斗缶</v>
      </c>
    </row>
    <row r="4271" ht="15.75" customHeight="1">
      <c r="A4271" s="335" t="s">
        <v>5418</v>
      </c>
      <c r="B4271" s="336">
        <v>46084.0</v>
      </c>
      <c r="C4271" s="335" t="s">
        <v>9</v>
      </c>
      <c r="D4271" s="335" t="s">
        <v>50</v>
      </c>
      <c r="E4271" s="337" t="str">
        <f t="shared" si="1"/>
        <v>大鉄　堺:産振</v>
      </c>
      <c r="F4271" s="338" t="s">
        <v>122</v>
      </c>
      <c r="G4271" s="339" t="str">
        <f t="shared" si="2"/>
        <v>大鉄　堺:産振Ｌ１(2級)</v>
      </c>
      <c r="H4271" s="340">
        <f t="shared" si="3"/>
        <v>42.7</v>
      </c>
      <c r="I4271" s="341">
        <v>1.0</v>
      </c>
      <c r="J4271" s="332">
        <f>IFERROR(__xludf.DUMMYFUNCTION("IF(IF(COUNTIF(P$2:P4270, P4271)=0, """", INDEX(H$2:H4270,
MAX(FILTER(ROW(H$2:H4270) - ROW(H$2) + 1, P$2:P4270 = P4271))))=""単価"","""",
IF(COUNTIF(P$2:P4270, P4271)=0, """", INDEX(H$2:H4270,
MAX(FILTER(ROW(H$2:H4270) - ROW(H$2) + 1, P$2:P4270 = P4271)))))"),41.7)</f>
        <v>41.7</v>
      </c>
      <c r="N4271" s="335" t="str">
        <f>IF(MAXIFS('単価履歴'!$O:$O,'単価履歴'!$E:$E,E4271,'単価履歴'!$F:$F,F4271)=O4271,"●","")</f>
        <v/>
      </c>
      <c r="O4271" s="346">
        <v>46084.28128472222</v>
      </c>
      <c r="P4271" s="334" t="str">
        <f t="shared" si="4"/>
        <v>大鉄　堺:産振Ｌ１(2級)</v>
      </c>
    </row>
    <row r="4272" ht="15.75" customHeight="1">
      <c r="A4272" s="335" t="s">
        <v>5419</v>
      </c>
      <c r="B4272" s="336">
        <v>46084.0</v>
      </c>
      <c r="C4272" s="335" t="s">
        <v>9</v>
      </c>
      <c r="D4272" s="335" t="s">
        <v>50</v>
      </c>
      <c r="E4272" s="337" t="str">
        <f t="shared" si="1"/>
        <v>大鉄　堺:産振</v>
      </c>
      <c r="F4272" s="338" t="s">
        <v>130</v>
      </c>
      <c r="G4272" s="339" t="str">
        <f t="shared" si="2"/>
        <v>大鉄　堺:産振新断Ａ</v>
      </c>
      <c r="H4272" s="340">
        <f t="shared" si="3"/>
        <v>44.7</v>
      </c>
      <c r="I4272" s="341">
        <v>1.0</v>
      </c>
      <c r="J4272" s="332">
        <f>IFERROR(__xludf.DUMMYFUNCTION("IF(IF(COUNTIF(P$2:P4271, P4272)=0, """", INDEX(H$2:H4271,
MAX(FILTER(ROW(H$2:H4271) - ROW(H$2) + 1, P$2:P4271 = P4272))))=""単価"","""",
IF(COUNTIF(P$2:P4271, P4272)=0, """", INDEX(H$2:H4271,
MAX(FILTER(ROW(H$2:H4271) - ROW(H$2) + 1, P$2:P4271 = P4272)))))"),43.7)</f>
        <v>43.7</v>
      </c>
      <c r="N4272" s="335" t="str">
        <f>IF(MAXIFS('単価履歴'!$O:$O,'単価履歴'!$E:$E,E4272,'単価履歴'!$F:$F,F4272)=O4272,"●","")</f>
        <v/>
      </c>
      <c r="O4272" s="346">
        <v>46084.28128472222</v>
      </c>
      <c r="P4272" s="334" t="str">
        <f t="shared" si="4"/>
        <v>大鉄　堺:産振新断Ａ</v>
      </c>
    </row>
    <row r="4273" ht="15.75" customHeight="1">
      <c r="A4273" s="335" t="s">
        <v>5420</v>
      </c>
      <c r="B4273" s="336">
        <v>46084.0</v>
      </c>
      <c r="C4273" s="335" t="s">
        <v>9</v>
      </c>
      <c r="D4273" s="335" t="s">
        <v>50</v>
      </c>
      <c r="E4273" s="337" t="str">
        <f t="shared" si="1"/>
        <v>大鉄　堺:産振</v>
      </c>
      <c r="F4273" s="338" t="s">
        <v>131</v>
      </c>
      <c r="G4273" s="339" t="str">
        <f t="shared" si="2"/>
        <v>大鉄　堺:産振新断Ｂ</v>
      </c>
      <c r="H4273" s="340">
        <f t="shared" si="3"/>
        <v>44.2</v>
      </c>
      <c r="I4273" s="341">
        <v>1.0</v>
      </c>
      <c r="J4273" s="332">
        <f>IFERROR(__xludf.DUMMYFUNCTION("IF(IF(COUNTIF(P$2:P4272, P4273)=0, """", INDEX(H$2:H4272,
MAX(FILTER(ROW(H$2:H4272) - ROW(H$2) + 1, P$2:P4272 = P4273))))=""単価"","""",
IF(COUNTIF(P$2:P4272, P4273)=0, """", INDEX(H$2:H4272,
MAX(FILTER(ROW(H$2:H4272) - ROW(H$2) + 1, P$2:P4272 = P4273)))))"),43.2)</f>
        <v>43.2</v>
      </c>
      <c r="N4273" s="335" t="str">
        <f>IF(MAXIFS('単価履歴'!$O:$O,'単価履歴'!$E:$E,E4273,'単価履歴'!$F:$F,F4273)=O4273,"●","")</f>
        <v/>
      </c>
      <c r="O4273" s="346">
        <v>46084.28128472222</v>
      </c>
      <c r="P4273" s="334" t="str">
        <f t="shared" si="4"/>
        <v>大鉄　堺:産振新断Ｂ</v>
      </c>
    </row>
    <row r="4274" ht="15.75" customHeight="1">
      <c r="A4274" s="335" t="s">
        <v>5421</v>
      </c>
      <c r="B4274" s="336">
        <v>46084.0</v>
      </c>
      <c r="C4274" s="335" t="s">
        <v>9</v>
      </c>
      <c r="D4274" s="335" t="s">
        <v>50</v>
      </c>
      <c r="E4274" s="337" t="str">
        <f t="shared" si="1"/>
        <v>大鉄　堺:産振</v>
      </c>
      <c r="F4274" s="338" t="s">
        <v>575</v>
      </c>
      <c r="G4274" s="339" t="str">
        <f t="shared" si="2"/>
        <v>大鉄　堺:産振鋼ダライＡ</v>
      </c>
      <c r="H4274" s="340">
        <f t="shared" si="3"/>
        <v>40.2</v>
      </c>
      <c r="I4274" s="341">
        <v>1.0</v>
      </c>
      <c r="J4274" s="332">
        <f>IFERROR(__xludf.DUMMYFUNCTION("IF(IF(COUNTIF(P$2:P4273, P4274)=0, """", INDEX(H$2:H4273,
MAX(FILTER(ROW(H$2:H4273) - ROW(H$2) + 1, P$2:P4273 = P4274))))=""単価"","""",
IF(COUNTIF(P$2:P4273, P4274)=0, """", INDEX(H$2:H4273,
MAX(FILTER(ROW(H$2:H4273) - ROW(H$2) + 1, P$2:P4273 = P4274)))))"),39.2)</f>
        <v>39.2</v>
      </c>
      <c r="N4274" s="335" t="str">
        <f>IF(MAXIFS('単価履歴'!$O:$O,'単価履歴'!$E:$E,E4274,'単価履歴'!$F:$F,F4274)=O4274,"●","")</f>
        <v/>
      </c>
      <c r="O4274" s="346">
        <v>46084.28128472222</v>
      </c>
      <c r="P4274" s="334" t="str">
        <f t="shared" si="4"/>
        <v>大鉄　堺:産振鋼ダライＡ</v>
      </c>
    </row>
    <row r="4275" ht="15.75" customHeight="1">
      <c r="A4275" s="335" t="s">
        <v>5422</v>
      </c>
      <c r="B4275" s="336">
        <v>46084.0</v>
      </c>
      <c r="C4275" s="335" t="s">
        <v>9</v>
      </c>
      <c r="D4275" s="335" t="s">
        <v>49</v>
      </c>
      <c r="E4275" s="337" t="str">
        <f t="shared" si="1"/>
        <v>大鉄　堺:伊藤忠</v>
      </c>
      <c r="F4275" s="338" t="s">
        <v>111</v>
      </c>
      <c r="G4275" s="339" t="str">
        <f t="shared" si="2"/>
        <v>大鉄　堺:伊藤忠Ｈ１(特A)</v>
      </c>
      <c r="H4275" s="340">
        <f t="shared" si="3"/>
        <v>31.3</v>
      </c>
      <c r="I4275" s="341">
        <v>1.0</v>
      </c>
      <c r="J4275" s="332">
        <f>IFERROR(__xludf.DUMMYFUNCTION("IF(IF(COUNTIF(P$2:P4274, P4275)=0, """", INDEX(H$2:H4274,
MAX(FILTER(ROW(H$2:H4274) - ROW(H$2) + 1, P$2:P4274 = P4275))))=""単価"","""",
IF(COUNTIF(P$2:P4274, P4275)=0, """", INDEX(H$2:H4274,
MAX(FILTER(ROW(H$2:H4274) - ROW(H$2) + 1, P$2:P4274 = P4275)))))"),30.3)</f>
        <v>30.3</v>
      </c>
      <c r="N4275" s="335" t="str">
        <f>IF(MAXIFS('単価履歴'!$O:$O,'単価履歴'!$E:$E,E4275,'単価履歴'!$F:$F,F4275)=O4275,"●","")</f>
        <v/>
      </c>
      <c r="O4275" s="346">
        <v>46084.28141203704</v>
      </c>
      <c r="P4275" s="334" t="str">
        <f t="shared" si="4"/>
        <v>大鉄　堺:伊藤忠Ｈ１(特A)</v>
      </c>
    </row>
    <row r="4276" ht="15.75" customHeight="1">
      <c r="A4276" s="335" t="s">
        <v>5423</v>
      </c>
      <c r="B4276" s="336">
        <v>46084.0</v>
      </c>
      <c r="C4276" s="335" t="s">
        <v>9</v>
      </c>
      <c r="D4276" s="335" t="s">
        <v>49</v>
      </c>
      <c r="E4276" s="337" t="str">
        <f t="shared" si="1"/>
        <v>大鉄　堺:伊藤忠</v>
      </c>
      <c r="F4276" s="338" t="s">
        <v>1237</v>
      </c>
      <c r="G4276" s="339" t="str">
        <f t="shared" si="2"/>
        <v>大鉄　堺:伊藤忠ＪＨ１(H2T山口)鍛造ﾊﾞﾘ</v>
      </c>
      <c r="H4276" s="340">
        <f t="shared" si="3"/>
        <v>38.7</v>
      </c>
      <c r="I4276" s="341">
        <v>1.0</v>
      </c>
      <c r="J4276" s="332">
        <f>IFERROR(__xludf.DUMMYFUNCTION("IF(IF(COUNTIF(P$2:P4275, P4276)=0, """", INDEX(H$2:H4275,
MAX(FILTER(ROW(H$2:H4275) - ROW(H$2) + 1, P$2:P4275 = P4276))))=""単価"","""",
IF(COUNTIF(P$2:P4275, P4276)=0, """", INDEX(H$2:H4275,
MAX(FILTER(ROW(H$2:H4275) - ROW(H$2) + 1, P$2:P4275 = P4276)))))"),37.7)</f>
        <v>37.7</v>
      </c>
      <c r="N4276" s="335" t="str">
        <f>IF(MAXIFS('単価履歴'!$O:$O,'単価履歴'!$E:$E,E4276,'単価履歴'!$F:$F,F4276)=O4276,"●","")</f>
        <v/>
      </c>
      <c r="O4276" s="346">
        <v>46084.28141203704</v>
      </c>
      <c r="P4276" s="334" t="str">
        <f t="shared" si="4"/>
        <v>大鉄　堺:伊藤忠ＪＨ１(H2T山口)鍛造ﾊﾞﾘ</v>
      </c>
    </row>
    <row r="4277" ht="15.75" customHeight="1">
      <c r="A4277" s="335" t="s">
        <v>5424</v>
      </c>
      <c r="B4277" s="336">
        <v>46084.0</v>
      </c>
      <c r="C4277" s="335" t="s">
        <v>9</v>
      </c>
      <c r="D4277" s="335" t="s">
        <v>49</v>
      </c>
      <c r="E4277" s="337" t="str">
        <f t="shared" si="1"/>
        <v>大鉄　堺:伊藤忠</v>
      </c>
      <c r="F4277" s="338" t="s">
        <v>116</v>
      </c>
      <c r="G4277" s="339" t="str">
        <f t="shared" si="2"/>
        <v>大鉄　堺:伊藤忠Ｈ２(特級)</v>
      </c>
      <c r="H4277" s="340">
        <f t="shared" si="3"/>
        <v>36.5</v>
      </c>
      <c r="I4277" s="341">
        <v>1.0</v>
      </c>
      <c r="J4277" s="332">
        <f>IFERROR(__xludf.DUMMYFUNCTION("IF(IF(COUNTIF(P$2:P4276, P4277)=0, """", INDEX(H$2:H4276,
MAX(FILTER(ROW(H$2:H4276) - ROW(H$2) + 1, P$2:P4276 = P4277))))=""単価"","""",
IF(COUNTIF(P$2:P4276, P4277)=0, """", INDEX(H$2:H4276,
MAX(FILTER(ROW(H$2:H4276) - ROW(H$2) + 1, P$2:P4276 = P4277)))))"),35.5)</f>
        <v>35.5</v>
      </c>
      <c r="N4277" s="335" t="str">
        <f>IF(MAXIFS('単価履歴'!$O:$O,'単価履歴'!$E:$E,E4277,'単価履歴'!$F:$F,F4277)=O4277,"●","")</f>
        <v/>
      </c>
      <c r="O4277" s="346">
        <v>46084.28141203704</v>
      </c>
      <c r="P4277" s="334" t="str">
        <f t="shared" si="4"/>
        <v>大鉄　堺:伊藤忠Ｈ２(特級)</v>
      </c>
    </row>
    <row r="4278" ht="15.75" customHeight="1">
      <c r="A4278" s="335" t="s">
        <v>5425</v>
      </c>
      <c r="B4278" s="336">
        <v>46084.0</v>
      </c>
      <c r="C4278" s="335" t="s">
        <v>9</v>
      </c>
      <c r="D4278" s="335" t="s">
        <v>49</v>
      </c>
      <c r="E4278" s="337" t="str">
        <f t="shared" si="1"/>
        <v>大鉄　堺:伊藤忠</v>
      </c>
      <c r="F4278" s="338" t="s">
        <v>119</v>
      </c>
      <c r="G4278" s="339" t="str">
        <f t="shared" si="2"/>
        <v>大鉄　堺:伊藤忠Ｈ３(1級)</v>
      </c>
      <c r="H4278" s="340">
        <f t="shared" si="3"/>
        <v>35.5</v>
      </c>
      <c r="I4278" s="341">
        <v>1.0</v>
      </c>
      <c r="J4278" s="332">
        <f>IFERROR(__xludf.DUMMYFUNCTION("IF(IF(COUNTIF(P$2:P4277, P4278)=0, """", INDEX(H$2:H4277,
MAX(FILTER(ROW(H$2:H4277) - ROW(H$2) + 1, P$2:P4277 = P4278))))=""単価"","""",
IF(COUNTIF(P$2:P4277, P4278)=0, """", INDEX(H$2:H4277,
MAX(FILTER(ROW(H$2:H4277) - ROW(H$2) + 1, P$2:P4277 = P4278)))))"),34.5)</f>
        <v>34.5</v>
      </c>
      <c r="N4278" s="335" t="str">
        <f>IF(MAXIFS('単価履歴'!$O:$O,'単価履歴'!$E:$E,E4278,'単価履歴'!$F:$F,F4278)=O4278,"●","")</f>
        <v/>
      </c>
      <c r="O4278" s="346">
        <v>46084.28141203704</v>
      </c>
      <c r="P4278" s="334" t="str">
        <f t="shared" si="4"/>
        <v>大鉄　堺:伊藤忠Ｈ３(1級)</v>
      </c>
    </row>
    <row r="4279" ht="15.75" customHeight="1">
      <c r="A4279" s="335" t="s">
        <v>5426</v>
      </c>
      <c r="B4279" s="336">
        <v>46084.0</v>
      </c>
      <c r="C4279" s="335" t="s">
        <v>9</v>
      </c>
      <c r="D4279" s="335" t="s">
        <v>49</v>
      </c>
      <c r="E4279" s="337" t="str">
        <f t="shared" si="1"/>
        <v>大鉄　堺:伊藤忠</v>
      </c>
      <c r="F4279" s="338" t="s">
        <v>122</v>
      </c>
      <c r="G4279" s="339" t="str">
        <f t="shared" si="2"/>
        <v>大鉄　堺:伊藤忠Ｌ１(2級)</v>
      </c>
      <c r="H4279" s="340">
        <f t="shared" si="3"/>
        <v>34.5</v>
      </c>
      <c r="I4279" s="341">
        <v>1.0</v>
      </c>
      <c r="J4279" s="332">
        <f>IFERROR(__xludf.DUMMYFUNCTION("IF(IF(COUNTIF(P$2:P4278, P4279)=0, """", INDEX(H$2:H4278,
MAX(FILTER(ROW(H$2:H4278) - ROW(H$2) + 1, P$2:P4278 = P4279))))=""単価"","""",
IF(COUNTIF(P$2:P4278, P4279)=0, """", INDEX(H$2:H4278,
MAX(FILTER(ROW(H$2:H4278) - ROW(H$2) + 1, P$2:P4278 = P4279)))))"),33.5)</f>
        <v>33.5</v>
      </c>
      <c r="N4279" s="335" t="str">
        <f>IF(MAXIFS('単価履歴'!$O:$O,'単価履歴'!$E:$E,E4279,'単価履歴'!$F:$F,F4279)=O4279,"●","")</f>
        <v/>
      </c>
      <c r="O4279" s="346">
        <v>46084.28141203704</v>
      </c>
      <c r="P4279" s="334" t="str">
        <f t="shared" si="4"/>
        <v>大鉄　堺:伊藤忠Ｌ１(2級)</v>
      </c>
    </row>
    <row r="4280" ht="15.75" customHeight="1">
      <c r="A4280" s="335" t="s">
        <v>5427</v>
      </c>
      <c r="B4280" s="336">
        <v>46084.0</v>
      </c>
      <c r="C4280" s="335" t="s">
        <v>9</v>
      </c>
      <c r="D4280" s="335" t="s">
        <v>49</v>
      </c>
      <c r="E4280" s="337" t="str">
        <f t="shared" si="1"/>
        <v>大鉄　堺:伊藤忠</v>
      </c>
      <c r="F4280" s="338" t="s">
        <v>130</v>
      </c>
      <c r="G4280" s="339" t="str">
        <f t="shared" si="2"/>
        <v>大鉄　堺:伊藤忠新断Ａ</v>
      </c>
      <c r="H4280" s="340">
        <f t="shared" si="3"/>
        <v>30.8</v>
      </c>
      <c r="I4280" s="341">
        <v>1.0</v>
      </c>
      <c r="J4280" s="332">
        <f>IFERROR(__xludf.DUMMYFUNCTION("IF(IF(COUNTIF(P$2:P4279, P4280)=0, """", INDEX(H$2:H4279,
MAX(FILTER(ROW(H$2:H4279) - ROW(H$2) + 1, P$2:P4279 = P4280))))=""単価"","""",
IF(COUNTIF(P$2:P4279, P4280)=0, """", INDEX(H$2:H4279,
MAX(FILTER(ROW(H$2:H4279) - ROW(H$2) + 1, P$2:P4279 = P4280)))))"),29.8)</f>
        <v>29.8</v>
      </c>
      <c r="N4280" s="335" t="str">
        <f>IF(MAXIFS('単価履歴'!$O:$O,'単価履歴'!$E:$E,E4280,'単価履歴'!$F:$F,F4280)=O4280,"●","")</f>
        <v/>
      </c>
      <c r="O4280" s="346">
        <v>46084.28141203704</v>
      </c>
      <c r="P4280" s="334" t="str">
        <f t="shared" si="4"/>
        <v>大鉄　堺:伊藤忠新断Ａ</v>
      </c>
    </row>
    <row r="4281" ht="15.75" customHeight="1">
      <c r="A4281" s="335" t="s">
        <v>5428</v>
      </c>
      <c r="B4281" s="336">
        <v>46084.0</v>
      </c>
      <c r="C4281" s="335" t="s">
        <v>9</v>
      </c>
      <c r="D4281" s="335" t="s">
        <v>49</v>
      </c>
      <c r="E4281" s="337" t="str">
        <f t="shared" si="1"/>
        <v>大鉄　堺:伊藤忠</v>
      </c>
      <c r="F4281" s="338" t="s">
        <v>131</v>
      </c>
      <c r="G4281" s="339" t="str">
        <f t="shared" si="2"/>
        <v>大鉄　堺:伊藤忠新断Ｂ</v>
      </c>
      <c r="H4281" s="340">
        <f t="shared" si="3"/>
        <v>30.3</v>
      </c>
      <c r="I4281" s="341">
        <v>1.0</v>
      </c>
      <c r="J4281" s="332">
        <f>IFERROR(__xludf.DUMMYFUNCTION("IF(IF(COUNTIF(P$2:P4280, P4281)=0, """", INDEX(H$2:H4280,
MAX(FILTER(ROW(H$2:H4280) - ROW(H$2) + 1, P$2:P4280 = P4281))))=""単価"","""",
IF(COUNTIF(P$2:P4280, P4281)=0, """", INDEX(H$2:H4280,
MAX(FILTER(ROW(H$2:H4280) - ROW(H$2) + 1, P$2:P4280 = P4281)))))"),29.3)</f>
        <v>29.3</v>
      </c>
      <c r="N4281" s="335" t="str">
        <f>IF(MAXIFS('単価履歴'!$O:$O,'単価履歴'!$E:$E,E4281,'単価履歴'!$F:$F,F4281)=O4281,"●","")</f>
        <v/>
      </c>
      <c r="O4281" s="346">
        <v>46084.28141203704</v>
      </c>
      <c r="P4281" s="334" t="str">
        <f t="shared" si="4"/>
        <v>大鉄　堺:伊藤忠新断Ｂ</v>
      </c>
    </row>
    <row r="4282" ht="15.75" customHeight="1">
      <c r="A4282" s="335" t="s">
        <v>5429</v>
      </c>
      <c r="B4282" s="336">
        <v>46084.0</v>
      </c>
      <c r="C4282" s="335" t="s">
        <v>9</v>
      </c>
      <c r="D4282" s="335" t="s">
        <v>48</v>
      </c>
      <c r="E4282" s="337" t="str">
        <f t="shared" si="1"/>
        <v>大鉄　堺:ナベ</v>
      </c>
      <c r="F4282" s="338" t="s">
        <v>116</v>
      </c>
      <c r="G4282" s="339" t="str">
        <f t="shared" si="2"/>
        <v>大鉄　堺:ナベＨ２(特級)</v>
      </c>
      <c r="H4282" s="340">
        <f t="shared" si="3"/>
        <v>46.7</v>
      </c>
      <c r="I4282" s="341">
        <v>1.0</v>
      </c>
      <c r="J4282" s="332">
        <f>IFERROR(__xludf.DUMMYFUNCTION("IF(IF(COUNTIF(P$2:P4281, P4282)=0, """", INDEX(H$2:H4281,
MAX(FILTER(ROW(H$2:H4281) - ROW(H$2) + 1, P$2:P4281 = P4282))))=""単価"","""",
IF(COUNTIF(P$2:P4281, P4282)=0, """", INDEX(H$2:H4281,
MAX(FILTER(ROW(H$2:H4281) - ROW(H$2) + 1, P$2:P4281 = P4282)))))"),45.7)</f>
        <v>45.7</v>
      </c>
      <c r="N4282" s="335" t="str">
        <f>IF(MAXIFS('単価履歴'!$O:$O,'単価履歴'!$E:$E,E4282,'単価履歴'!$F:$F,F4282)=O4282,"●","")</f>
        <v/>
      </c>
      <c r="O4282" s="346">
        <v>46084.28158564815</v>
      </c>
      <c r="P4282" s="334" t="str">
        <f t="shared" si="4"/>
        <v>大鉄　堺:ナベＨ２(特級)</v>
      </c>
    </row>
    <row r="4283" ht="15.75" customHeight="1">
      <c r="A4283" s="335" t="s">
        <v>5430</v>
      </c>
      <c r="B4283" s="336">
        <v>46084.0</v>
      </c>
      <c r="C4283" s="335" t="s">
        <v>9</v>
      </c>
      <c r="D4283" s="335" t="s">
        <v>48</v>
      </c>
      <c r="E4283" s="337" t="str">
        <f t="shared" si="1"/>
        <v>大鉄　堺:ナベ</v>
      </c>
      <c r="F4283" s="338" t="s">
        <v>119</v>
      </c>
      <c r="G4283" s="339" t="str">
        <f t="shared" si="2"/>
        <v>大鉄　堺:ナベＨ３(1級)</v>
      </c>
      <c r="H4283" s="340">
        <f t="shared" si="3"/>
        <v>46.2</v>
      </c>
      <c r="I4283" s="341">
        <v>1.0</v>
      </c>
      <c r="J4283" s="332">
        <f>IFERROR(__xludf.DUMMYFUNCTION("IF(IF(COUNTIF(P$2:P4282, P4283)=0, """", INDEX(H$2:H4282,
MAX(FILTER(ROW(H$2:H4282) - ROW(H$2) + 1, P$2:P4282 = P4283))))=""単価"","""",
IF(COUNTIF(P$2:P4282, P4283)=0, """", INDEX(H$2:H4282,
MAX(FILTER(ROW(H$2:H4282) - ROW(H$2) + 1, P$2:P4282 = P4283)))))"),45.2)</f>
        <v>45.2</v>
      </c>
      <c r="N4283" s="335" t="str">
        <f>IF(MAXIFS('単価履歴'!$O:$O,'単価履歴'!$E:$E,E4283,'単価履歴'!$F:$F,F4283)=O4283,"●","")</f>
        <v/>
      </c>
      <c r="O4283" s="346">
        <v>46084.28158564815</v>
      </c>
      <c r="P4283" s="334" t="str">
        <f t="shared" si="4"/>
        <v>大鉄　堺:ナベＨ３(1級)</v>
      </c>
    </row>
    <row r="4284" ht="15.75" customHeight="1">
      <c r="A4284" s="335" t="s">
        <v>5431</v>
      </c>
      <c r="B4284" s="336">
        <v>46084.0</v>
      </c>
      <c r="C4284" s="335" t="s">
        <v>9</v>
      </c>
      <c r="D4284" s="335" t="s">
        <v>48</v>
      </c>
      <c r="E4284" s="337" t="str">
        <f t="shared" si="1"/>
        <v>大鉄　堺:ナベ</v>
      </c>
      <c r="F4284" s="338" t="s">
        <v>122</v>
      </c>
      <c r="G4284" s="339" t="str">
        <f t="shared" si="2"/>
        <v>大鉄　堺:ナベＬ１(2級)</v>
      </c>
      <c r="H4284" s="340">
        <f t="shared" si="3"/>
        <v>45.7</v>
      </c>
      <c r="I4284" s="341">
        <v>1.0</v>
      </c>
      <c r="J4284" s="332">
        <f>IFERROR(__xludf.DUMMYFUNCTION("IF(IF(COUNTIF(P$2:P4283, P4284)=0, """", INDEX(H$2:H4283,
MAX(FILTER(ROW(H$2:H4283) - ROW(H$2) + 1, P$2:P4283 = P4284))))=""単価"","""",
IF(COUNTIF(P$2:P4283, P4284)=0, """", INDEX(H$2:H4283,
MAX(FILTER(ROW(H$2:H4283) - ROW(H$2) + 1, P$2:P4283 = P4284)))))"),44.7)</f>
        <v>44.7</v>
      </c>
      <c r="N4284" s="335" t="str">
        <f>IF(MAXIFS('単価履歴'!$O:$O,'単価履歴'!$E:$E,E4284,'単価履歴'!$F:$F,F4284)=O4284,"●","")</f>
        <v/>
      </c>
      <c r="O4284" s="346">
        <v>46084.28158564815</v>
      </c>
      <c r="P4284" s="334" t="str">
        <f t="shared" si="4"/>
        <v>大鉄　堺:ナベＬ１(2級)</v>
      </c>
    </row>
    <row r="4285" ht="15.75" customHeight="1">
      <c r="A4285" s="335" t="s">
        <v>5432</v>
      </c>
      <c r="B4285" s="336">
        <v>46084.0</v>
      </c>
      <c r="C4285" s="335" t="s">
        <v>10</v>
      </c>
      <c r="D4285" s="335" t="s">
        <v>47</v>
      </c>
      <c r="E4285" s="337" t="str">
        <f t="shared" si="1"/>
        <v>岸和田:豊通</v>
      </c>
      <c r="F4285" s="338" t="s">
        <v>111</v>
      </c>
      <c r="G4285" s="339" t="str">
        <f t="shared" si="2"/>
        <v>岸和田:豊通Ｈ１(特A)</v>
      </c>
      <c r="H4285" s="340">
        <f t="shared" si="3"/>
        <v>46.5</v>
      </c>
      <c r="I4285" s="341">
        <v>1.0</v>
      </c>
      <c r="J4285" s="332">
        <f>IFERROR(__xludf.DUMMYFUNCTION("IF(IF(COUNTIF(P$2:P4284, P4285)=0, """", INDEX(H$2:H4284,
MAX(FILTER(ROW(H$2:H4284) - ROW(H$2) + 1, P$2:P4284 = P4285))))=""単価"","""",
IF(COUNTIF(P$2:P4284, P4285)=0, """", INDEX(H$2:H4284,
MAX(FILTER(ROW(H$2:H4284) - ROW(H$2) + 1, P$2:P4284 = P4285)))))"),45.5)</f>
        <v>45.5</v>
      </c>
      <c r="N4285" s="335" t="str">
        <f>IF(MAXIFS('単価履歴'!$O:$O,'単価履歴'!$E:$E,E4285,'単価履歴'!$F:$F,F4285)=O4285,"●","")</f>
        <v/>
      </c>
      <c r="O4285" s="346">
        <v>46084.28188657407</v>
      </c>
      <c r="P4285" s="334" t="str">
        <f t="shared" si="4"/>
        <v>岸和田:豊通Ｈ１(特A)</v>
      </c>
    </row>
    <row r="4286" ht="15.75" customHeight="1">
      <c r="A4286" s="335" t="s">
        <v>5433</v>
      </c>
      <c r="B4286" s="336">
        <v>46084.0</v>
      </c>
      <c r="C4286" s="335" t="s">
        <v>10</v>
      </c>
      <c r="D4286" s="335" t="s">
        <v>47</v>
      </c>
      <c r="E4286" s="337" t="str">
        <f t="shared" si="1"/>
        <v>岸和田:豊通</v>
      </c>
      <c r="F4286" s="338" t="s">
        <v>116</v>
      </c>
      <c r="G4286" s="339" t="str">
        <f t="shared" si="2"/>
        <v>岸和田:豊通Ｈ２(特級)</v>
      </c>
      <c r="H4286" s="340">
        <f t="shared" si="3"/>
        <v>44</v>
      </c>
      <c r="I4286" s="341">
        <v>1.0</v>
      </c>
      <c r="J4286" s="332">
        <f>IFERROR(__xludf.DUMMYFUNCTION("IF(IF(COUNTIF(P$2:P4285, P4286)=0, """", INDEX(H$2:H4285,
MAX(FILTER(ROW(H$2:H4285) - ROW(H$2) + 1, P$2:P4285 = P4286))))=""単価"","""",
IF(COUNTIF(P$2:P4285, P4286)=0, """", INDEX(H$2:H4285,
MAX(FILTER(ROW(H$2:H4285) - ROW(H$2) + 1, P$2:P4285 = P4286)))))"),43.0)</f>
        <v>43</v>
      </c>
      <c r="N4286" s="335" t="str">
        <f>IF(MAXIFS('単価履歴'!$O:$O,'単価履歴'!$E:$E,E4286,'単価履歴'!$F:$F,F4286)=O4286,"●","")</f>
        <v/>
      </c>
      <c r="O4286" s="346">
        <v>46084.28188657407</v>
      </c>
      <c r="P4286" s="334" t="str">
        <f t="shared" si="4"/>
        <v>岸和田:豊通Ｈ２(特級)</v>
      </c>
    </row>
    <row r="4287" ht="15.75" customHeight="1">
      <c r="A4287" s="335" t="s">
        <v>5434</v>
      </c>
      <c r="B4287" s="336">
        <v>46084.0</v>
      </c>
      <c r="C4287" s="335" t="s">
        <v>10</v>
      </c>
      <c r="D4287" s="335" t="s">
        <v>47</v>
      </c>
      <c r="E4287" s="337" t="str">
        <f t="shared" si="1"/>
        <v>岸和田:豊通</v>
      </c>
      <c r="F4287" s="338" t="s">
        <v>119</v>
      </c>
      <c r="G4287" s="339" t="str">
        <f t="shared" si="2"/>
        <v>岸和田:豊通Ｈ３(1級)</v>
      </c>
      <c r="H4287" s="340">
        <f t="shared" si="3"/>
        <v>43.5</v>
      </c>
      <c r="I4287" s="341">
        <v>1.0</v>
      </c>
      <c r="J4287" s="332">
        <f>IFERROR(__xludf.DUMMYFUNCTION("IF(IF(COUNTIF(P$2:P4286, P4287)=0, """", INDEX(H$2:H4286,
MAX(FILTER(ROW(H$2:H4286) - ROW(H$2) + 1, P$2:P4286 = P4287))))=""単価"","""",
IF(COUNTIF(P$2:P4286, P4287)=0, """", INDEX(H$2:H4286,
MAX(FILTER(ROW(H$2:H4286) - ROW(H$2) + 1, P$2:P4286 = P4287)))))"),42.5)</f>
        <v>42.5</v>
      </c>
      <c r="N4287" s="335" t="str">
        <f>IF(MAXIFS('単価履歴'!$O:$O,'単価履歴'!$E:$E,E4287,'単価履歴'!$F:$F,F4287)=O4287,"●","")</f>
        <v/>
      </c>
      <c r="O4287" s="346">
        <v>46084.28188657407</v>
      </c>
      <c r="P4287" s="334" t="str">
        <f t="shared" si="4"/>
        <v>岸和田:豊通Ｈ３(1級)</v>
      </c>
    </row>
    <row r="4288" ht="15.75" customHeight="1">
      <c r="A4288" s="335" t="s">
        <v>5435</v>
      </c>
      <c r="B4288" s="336">
        <v>46084.0</v>
      </c>
      <c r="C4288" s="335" t="s">
        <v>10</v>
      </c>
      <c r="D4288" s="335" t="s">
        <v>47</v>
      </c>
      <c r="E4288" s="337" t="str">
        <f t="shared" si="1"/>
        <v>岸和田:豊通</v>
      </c>
      <c r="F4288" s="338" t="s">
        <v>122</v>
      </c>
      <c r="G4288" s="339" t="str">
        <f t="shared" si="2"/>
        <v>岸和田:豊通Ｌ１(2級)</v>
      </c>
      <c r="H4288" s="340">
        <f t="shared" si="3"/>
        <v>43</v>
      </c>
      <c r="I4288" s="341">
        <v>1.0</v>
      </c>
      <c r="J4288" s="332">
        <f>IFERROR(__xludf.DUMMYFUNCTION("IF(IF(COUNTIF(P$2:P4287, P4288)=0, """", INDEX(H$2:H4287,
MAX(FILTER(ROW(H$2:H4287) - ROW(H$2) + 1, P$2:P4287 = P4288))))=""単価"","""",
IF(COUNTIF(P$2:P4287, P4288)=0, """", INDEX(H$2:H4287,
MAX(FILTER(ROW(H$2:H4287) - ROW(H$2) + 1, P$2:P4287 = P4288)))))"),42.0)</f>
        <v>42</v>
      </c>
      <c r="N4288" s="335" t="str">
        <f>IF(MAXIFS('単価履歴'!$O:$O,'単価履歴'!$E:$E,E4288,'単価履歴'!$F:$F,F4288)=O4288,"●","")</f>
        <v/>
      </c>
      <c r="O4288" s="346">
        <v>46084.28188657407</v>
      </c>
      <c r="P4288" s="334" t="str">
        <f t="shared" si="4"/>
        <v>岸和田:豊通Ｌ１(2級)</v>
      </c>
    </row>
    <row r="4289" ht="15.75" customHeight="1">
      <c r="A4289" s="335" t="s">
        <v>5436</v>
      </c>
      <c r="B4289" s="336">
        <v>46084.0</v>
      </c>
      <c r="C4289" s="335" t="s">
        <v>10</v>
      </c>
      <c r="D4289" s="335" t="s">
        <v>47</v>
      </c>
      <c r="E4289" s="337" t="str">
        <f t="shared" si="1"/>
        <v>岸和田:豊通</v>
      </c>
      <c r="F4289" s="338" t="s">
        <v>154</v>
      </c>
      <c r="G4289" s="339" t="str">
        <f t="shared" si="2"/>
        <v>岸和田:豊通ＣＰ Ａ</v>
      </c>
      <c r="H4289" s="340">
        <f t="shared" si="3"/>
        <v>46.2</v>
      </c>
      <c r="I4289" s="341">
        <v>1.0</v>
      </c>
      <c r="J4289" s="332">
        <f>IFERROR(__xludf.DUMMYFUNCTION("IF(IF(COUNTIF(P$2:P4288, P4289)=0, """", INDEX(H$2:H4288,
MAX(FILTER(ROW(H$2:H4288) - ROW(H$2) + 1, P$2:P4288 = P4289))))=""単価"","""",
IF(COUNTIF(P$2:P4288, P4289)=0, """", INDEX(H$2:H4288,
MAX(FILTER(ROW(H$2:H4288) - ROW(H$2) + 1, P$2:P4288 = P4289)))))"),45.2)</f>
        <v>45.2</v>
      </c>
      <c r="N4289" s="335" t="str">
        <f>IF(MAXIFS('単価履歴'!$O:$O,'単価履歴'!$E:$E,E4289,'単価履歴'!$F:$F,F4289)=O4289,"●","")</f>
        <v/>
      </c>
      <c r="O4289" s="346">
        <v>46084.28188657407</v>
      </c>
      <c r="P4289" s="334" t="str">
        <f t="shared" si="4"/>
        <v>岸和田:豊通ＣＰ Ａ</v>
      </c>
    </row>
    <row r="4290" ht="15.75" customHeight="1">
      <c r="A4290" s="335" t="s">
        <v>5437</v>
      </c>
      <c r="B4290" s="336">
        <v>46084.0</v>
      </c>
      <c r="C4290" s="335" t="s">
        <v>10</v>
      </c>
      <c r="D4290" s="335" t="s">
        <v>46</v>
      </c>
      <c r="E4290" s="337" t="str">
        <f t="shared" si="1"/>
        <v>岸和田:阪和</v>
      </c>
      <c r="F4290" s="338" t="s">
        <v>149</v>
      </c>
      <c r="G4290" s="339" t="str">
        <f t="shared" si="2"/>
        <v>岸和田:阪和シュレＢ</v>
      </c>
      <c r="H4290" s="340">
        <f t="shared" si="3"/>
        <v>45.8</v>
      </c>
      <c r="I4290" s="341">
        <v>1.0</v>
      </c>
      <c r="J4290" s="332">
        <f>IFERROR(__xludf.DUMMYFUNCTION("IF(IF(COUNTIF(P$2:P4289, P4290)=0, """", INDEX(H$2:H4289,
MAX(FILTER(ROW(H$2:H4289) - ROW(H$2) + 1, P$2:P4289 = P4290))))=""単価"","""",
IF(COUNTIF(P$2:P4289, P4290)=0, """", INDEX(H$2:H4289,
MAX(FILTER(ROW(H$2:H4289) - ROW(H$2) + 1, P$2:P4289 = P4290)))))"),44.8)</f>
        <v>44.8</v>
      </c>
      <c r="N4290" s="335" t="str">
        <f>IF(MAXIFS('単価履歴'!$O:$O,'単価履歴'!$E:$E,E4290,'単価履歴'!$F:$F,F4290)=O4290,"●","")</f>
        <v/>
      </c>
      <c r="O4290" s="346">
        <v>46084.2822337963</v>
      </c>
      <c r="P4290" s="334" t="str">
        <f t="shared" si="4"/>
        <v>岸和田:阪和シュレＢ</v>
      </c>
    </row>
    <row r="4291" ht="15.75" customHeight="1">
      <c r="A4291" s="335" t="s">
        <v>5438</v>
      </c>
      <c r="B4291" s="336">
        <v>46084.0</v>
      </c>
      <c r="C4291" s="335" t="s">
        <v>22</v>
      </c>
      <c r="D4291" s="335" t="s">
        <v>47</v>
      </c>
      <c r="E4291" s="337" t="str">
        <f t="shared" si="1"/>
        <v>栗本鐵工:豊通</v>
      </c>
      <c r="F4291" s="338" t="s">
        <v>1199</v>
      </c>
      <c r="G4291" s="339" t="str">
        <f t="shared" si="2"/>
        <v>栗本鐵工:豊通ＨＳ１(単体H1/電特A/HS))</v>
      </c>
      <c r="H4291" s="340">
        <f t="shared" si="3"/>
        <v>51.3</v>
      </c>
      <c r="I4291" s="341">
        <v>1.0</v>
      </c>
      <c r="J4291" s="332">
        <f>IFERROR(__xludf.DUMMYFUNCTION("IF(IF(COUNTIF(P$2:P4290, P4291)=0, """", INDEX(H$2:H4290,
MAX(FILTER(ROW(H$2:H4290) - ROW(H$2) + 1, P$2:P4290 = P4291))))=""単価"","""",
IF(COUNTIF(P$2:P4290, P4291)=0, """", INDEX(H$2:H4290,
MAX(FILTER(ROW(H$2:H4290) - ROW(H$2) + 1, P$2:P4290 = P4291)))))"),50.3)</f>
        <v>50.3</v>
      </c>
      <c r="N4291" s="335" t="str">
        <f>IF(MAXIFS('単価履歴'!$O:$O,'単価履歴'!$E:$E,E4291,'単価履歴'!$F:$F,F4291)=O4291,"●","")</f>
        <v/>
      </c>
      <c r="O4291" s="346">
        <v>46084.282997685186</v>
      </c>
      <c r="P4291" s="334" t="str">
        <f t="shared" si="4"/>
        <v>栗本鐵工:豊通ＨＳ１(単体H1/電特A/HS))</v>
      </c>
    </row>
    <row r="4292" ht="15.75" customHeight="1">
      <c r="A4292" s="335" t="s">
        <v>5439</v>
      </c>
      <c r="B4292" s="336">
        <v>46084.0</v>
      </c>
      <c r="C4292" s="335" t="s">
        <v>22</v>
      </c>
      <c r="D4292" s="335" t="s">
        <v>47</v>
      </c>
      <c r="E4292" s="337" t="str">
        <f t="shared" si="1"/>
        <v>栗本鐵工:豊通</v>
      </c>
      <c r="F4292" s="338" t="s">
        <v>101</v>
      </c>
      <c r="G4292" s="339" t="str">
        <f t="shared" si="2"/>
        <v>栗本鐵工:豊通ＨＳ２</v>
      </c>
      <c r="H4292" s="340">
        <f t="shared" si="3"/>
        <v>51</v>
      </c>
      <c r="I4292" s="341">
        <v>1.0</v>
      </c>
      <c r="J4292" s="332">
        <f>IFERROR(__xludf.DUMMYFUNCTION("IF(IF(COUNTIF(P$2:P4291, P4292)=0, """", INDEX(H$2:H4291,
MAX(FILTER(ROW(H$2:H4291) - ROW(H$2) + 1, P$2:P4291 = P4292))))=""単価"","""",
IF(COUNTIF(P$2:P4291, P4292)=0, """", INDEX(H$2:H4291,
MAX(FILTER(ROW(H$2:H4291) - ROW(H$2) + 1, P$2:P4291 = P4292)))))"),50.0)</f>
        <v>50</v>
      </c>
      <c r="N4292" s="335" t="str">
        <f>IF(MAXIFS('単価履歴'!$O:$O,'単価履歴'!$E:$E,E4292,'単価履歴'!$F:$F,F4292)=O4292,"●","")</f>
        <v/>
      </c>
      <c r="O4292" s="346">
        <v>46084.282997685186</v>
      </c>
      <c r="P4292" s="334" t="str">
        <f t="shared" si="4"/>
        <v>栗本鐵工:豊通ＨＳ２</v>
      </c>
    </row>
    <row r="4293" ht="15.75" customHeight="1">
      <c r="A4293" s="335" t="s">
        <v>5440</v>
      </c>
      <c r="B4293" s="336">
        <v>46084.0</v>
      </c>
      <c r="C4293" s="335" t="s">
        <v>22</v>
      </c>
      <c r="D4293" s="335" t="s">
        <v>47</v>
      </c>
      <c r="E4293" s="337" t="str">
        <f t="shared" si="1"/>
        <v>栗本鐵工:豊通</v>
      </c>
      <c r="F4293" s="338" t="s">
        <v>105</v>
      </c>
      <c r="G4293" s="339" t="str">
        <f t="shared" si="2"/>
        <v>栗本鐵工:豊通ＨＳ３</v>
      </c>
      <c r="H4293" s="340">
        <f t="shared" si="3"/>
        <v>50.1</v>
      </c>
      <c r="I4293" s="341">
        <v>1.0</v>
      </c>
      <c r="J4293" s="332">
        <f>IFERROR(__xludf.DUMMYFUNCTION("IF(IF(COUNTIF(P$2:P4292, P4293)=0, """", INDEX(H$2:H4292,
MAX(FILTER(ROW(H$2:H4292) - ROW(H$2) + 1, P$2:P4292 = P4293))))=""単価"","""",
IF(COUNTIF(P$2:P4292, P4293)=0, """", INDEX(H$2:H4292,
MAX(FILTER(ROW(H$2:H4292) - ROW(H$2) + 1, P$2:P4292 = P4293)))))"),49.1)</f>
        <v>49.1</v>
      </c>
      <c r="N4293" s="335" t="str">
        <f>IF(MAXIFS('単価履歴'!$O:$O,'単価履歴'!$E:$E,E4293,'単価履歴'!$F:$F,F4293)=O4293,"●","")</f>
        <v/>
      </c>
      <c r="O4293" s="346">
        <v>46084.282997685186</v>
      </c>
      <c r="P4293" s="334" t="str">
        <f t="shared" si="4"/>
        <v>栗本鐵工:豊通ＨＳ３</v>
      </c>
    </row>
    <row r="4294" ht="15.75" customHeight="1">
      <c r="A4294" s="335" t="s">
        <v>5441</v>
      </c>
      <c r="B4294" s="336">
        <v>46084.0</v>
      </c>
      <c r="C4294" s="335" t="s">
        <v>22</v>
      </c>
      <c r="D4294" s="335" t="s">
        <v>47</v>
      </c>
      <c r="E4294" s="337" t="str">
        <f t="shared" si="1"/>
        <v>栗本鐵工:豊通</v>
      </c>
      <c r="F4294" s="338" t="s">
        <v>577</v>
      </c>
      <c r="G4294" s="339" t="str">
        <f t="shared" si="2"/>
        <v>栗本鐵工:豊通鋳物・ﾀﾞｸﾀｲﾙ</v>
      </c>
      <c r="H4294" s="340">
        <f t="shared" si="3"/>
        <v>49.9</v>
      </c>
      <c r="I4294" s="341">
        <v>1.0</v>
      </c>
      <c r="J4294" s="332">
        <f>IFERROR(__xludf.DUMMYFUNCTION("IF(IF(COUNTIF(P$2:P4293, P4294)=0, """", INDEX(H$2:H4293,
MAX(FILTER(ROW(H$2:H4293) - ROW(H$2) + 1, P$2:P4293 = P4294))))=""単価"","""",
IF(COUNTIF(P$2:P4293, P4294)=0, """", INDEX(H$2:H4293,
MAX(FILTER(ROW(H$2:H4293) - ROW(H$2) + 1, P$2:P4293 = P4294)))))"),48.9)</f>
        <v>48.9</v>
      </c>
      <c r="N4294" s="335" t="str">
        <f>IF(MAXIFS('単価履歴'!$O:$O,'単価履歴'!$E:$E,E4294,'単価履歴'!$F:$F,F4294)=O4294,"●","")</f>
        <v/>
      </c>
      <c r="O4294" s="346">
        <v>46084.282997685186</v>
      </c>
      <c r="P4294" s="334" t="str">
        <f t="shared" si="4"/>
        <v>栗本鐵工:豊通鋳物・ﾀﾞｸﾀｲﾙ</v>
      </c>
    </row>
    <row r="4295" ht="15.75" customHeight="1">
      <c r="A4295" s="335" t="s">
        <v>5442</v>
      </c>
      <c r="B4295" s="336">
        <v>46084.0</v>
      </c>
      <c r="C4295" s="335" t="s">
        <v>36</v>
      </c>
      <c r="D4295" s="335" t="s">
        <v>1303</v>
      </c>
      <c r="E4295" s="337" t="str">
        <f t="shared" si="1"/>
        <v>共英枚方:ナベ/置場単価</v>
      </c>
      <c r="F4295" s="338" t="s">
        <v>111</v>
      </c>
      <c r="G4295" s="339" t="str">
        <f t="shared" si="2"/>
        <v>共英枚方:ナベ/置場単価Ｈ１(特A)</v>
      </c>
      <c r="H4295" s="340">
        <f t="shared" si="3"/>
        <v>46</v>
      </c>
      <c r="I4295" s="341">
        <v>1.0</v>
      </c>
      <c r="J4295" s="332">
        <f>IFERROR(__xludf.DUMMYFUNCTION("IF(IF(COUNTIF(P$2:P4294, P4295)=0, """", INDEX(H$2:H4294,
MAX(FILTER(ROW(H$2:H4294) - ROW(H$2) + 1, P$2:P4294 = P4295))))=""単価"","""",
IF(COUNTIF(P$2:P4294, P4295)=0, """", INDEX(H$2:H4294,
MAX(FILTER(ROW(H$2:H4294) - ROW(H$2) + 1, P$2:P4294 = P4295)))))"),45.0)</f>
        <v>45</v>
      </c>
      <c r="N4295" s="335" t="str">
        <f>IF(MAXIFS('単価履歴'!$O:$O,'単価履歴'!$E:$E,E4295,'単価履歴'!$F:$F,F4295)=O4295,"●","")</f>
        <v/>
      </c>
      <c r="O4295" s="346">
        <v>46084.283321759256</v>
      </c>
      <c r="P4295" s="334" t="str">
        <f t="shared" si="4"/>
        <v>共英枚方:ナベ/置場単価Ｈ１(特A)</v>
      </c>
    </row>
    <row r="4296" ht="15.75" customHeight="1">
      <c r="A4296" s="335" t="s">
        <v>5443</v>
      </c>
      <c r="B4296" s="336">
        <v>46084.0</v>
      </c>
      <c r="C4296" s="335" t="s">
        <v>36</v>
      </c>
      <c r="D4296" s="335" t="s">
        <v>1303</v>
      </c>
      <c r="E4296" s="337" t="str">
        <f t="shared" si="1"/>
        <v>共英枚方:ナベ/置場単価</v>
      </c>
      <c r="F4296" s="338" t="s">
        <v>116</v>
      </c>
      <c r="G4296" s="339" t="str">
        <f t="shared" si="2"/>
        <v>共英枚方:ナベ/置場単価Ｈ２(特級)</v>
      </c>
      <c r="H4296" s="340">
        <f t="shared" si="3"/>
        <v>44.5</v>
      </c>
      <c r="I4296" s="341">
        <v>1.0</v>
      </c>
      <c r="J4296" s="332">
        <f>IFERROR(__xludf.DUMMYFUNCTION("IF(IF(COUNTIF(P$2:P4295, P4296)=0, """", INDEX(H$2:H4295,
MAX(FILTER(ROW(H$2:H4295) - ROW(H$2) + 1, P$2:P4295 = P4296))))=""単価"","""",
IF(COUNTIF(P$2:P4295, P4296)=0, """", INDEX(H$2:H4295,
MAX(FILTER(ROW(H$2:H4295) - ROW(H$2) + 1, P$2:P4295 = P4296)))))"),43.5)</f>
        <v>43.5</v>
      </c>
      <c r="N4296" s="335" t="str">
        <f>IF(MAXIFS('単価履歴'!$O:$O,'単価履歴'!$E:$E,E4296,'単価履歴'!$F:$F,F4296)=O4296,"●","")</f>
        <v/>
      </c>
      <c r="O4296" s="346">
        <v>46084.283321759256</v>
      </c>
      <c r="P4296" s="334" t="str">
        <f t="shared" si="4"/>
        <v>共英枚方:ナベ/置場単価Ｈ２(特級)</v>
      </c>
    </row>
    <row r="4297" ht="15.75" customHeight="1">
      <c r="A4297" s="335" t="s">
        <v>5444</v>
      </c>
      <c r="B4297" s="336">
        <v>46084.0</v>
      </c>
      <c r="C4297" s="335" t="s">
        <v>36</v>
      </c>
      <c r="D4297" s="335" t="s">
        <v>1303</v>
      </c>
      <c r="E4297" s="337" t="str">
        <f t="shared" si="1"/>
        <v>共英枚方:ナベ/置場単価</v>
      </c>
      <c r="F4297" s="338" t="s">
        <v>119</v>
      </c>
      <c r="G4297" s="339" t="str">
        <f t="shared" si="2"/>
        <v>共英枚方:ナベ/置場単価Ｈ３(1級)</v>
      </c>
      <c r="H4297" s="340">
        <f t="shared" si="3"/>
        <v>44.5</v>
      </c>
      <c r="I4297" s="341">
        <v>1.0</v>
      </c>
      <c r="J4297" s="332">
        <f>IFERROR(__xludf.DUMMYFUNCTION("IF(IF(COUNTIF(P$2:P4296, P4297)=0, """", INDEX(H$2:H4296,
MAX(FILTER(ROW(H$2:H4296) - ROW(H$2) + 1, P$2:P4296 = P4297))))=""単価"","""",
IF(COUNTIF(P$2:P4296, P4297)=0, """", INDEX(H$2:H4296,
MAX(FILTER(ROW(H$2:H4296) - ROW(H$2) + 1, P$2:P4296 = P4297)))))"),43.5)</f>
        <v>43.5</v>
      </c>
      <c r="N4297" s="335" t="str">
        <f>IF(MAXIFS('単価履歴'!$O:$O,'単価履歴'!$E:$E,E4297,'単価履歴'!$F:$F,F4297)=O4297,"●","")</f>
        <v/>
      </c>
      <c r="O4297" s="346">
        <v>46084.283321759256</v>
      </c>
      <c r="P4297" s="334" t="str">
        <f t="shared" si="4"/>
        <v>共英枚方:ナベ/置場単価Ｈ３(1級)</v>
      </c>
    </row>
    <row r="4298" ht="15.75" customHeight="1">
      <c r="A4298" s="335" t="s">
        <v>5445</v>
      </c>
      <c r="B4298" s="336">
        <v>46084.0</v>
      </c>
      <c r="C4298" s="335" t="s">
        <v>36</v>
      </c>
      <c r="D4298" s="335" t="s">
        <v>1303</v>
      </c>
      <c r="E4298" s="337" t="str">
        <f t="shared" si="1"/>
        <v>共英枚方:ナベ/置場単価</v>
      </c>
      <c r="F4298" s="338" t="s">
        <v>122</v>
      </c>
      <c r="G4298" s="339" t="str">
        <f t="shared" si="2"/>
        <v>共英枚方:ナベ/置場単価Ｌ１(2級)</v>
      </c>
      <c r="H4298" s="340">
        <f t="shared" si="3"/>
        <v>44.5</v>
      </c>
      <c r="I4298" s="341">
        <v>1.0</v>
      </c>
      <c r="J4298" s="332">
        <f>IFERROR(__xludf.DUMMYFUNCTION("IF(IF(COUNTIF(P$2:P4297, P4298)=0, """", INDEX(H$2:H4297,
MAX(FILTER(ROW(H$2:H4297) - ROW(H$2) + 1, P$2:P4297 = P4298))))=""単価"","""",
IF(COUNTIF(P$2:P4297, P4298)=0, """", INDEX(H$2:H4297,
MAX(FILTER(ROW(H$2:H4297) - ROW(H$2) + 1, P$2:P4297 = P4298)))))"),43.5)</f>
        <v>43.5</v>
      </c>
      <c r="N4298" s="335" t="str">
        <f>IF(MAXIFS('単価履歴'!$O:$O,'単価履歴'!$E:$E,E4298,'単価履歴'!$F:$F,F4298)=O4298,"●","")</f>
        <v/>
      </c>
      <c r="O4298" s="346">
        <v>46084.283321759256</v>
      </c>
      <c r="P4298" s="334" t="str">
        <f t="shared" si="4"/>
        <v>共英枚方:ナベ/置場単価Ｌ１(2級)</v>
      </c>
    </row>
    <row r="4299" ht="15.75" customHeight="1">
      <c r="A4299" s="335" t="s">
        <v>5446</v>
      </c>
      <c r="B4299" s="336">
        <v>46084.0</v>
      </c>
      <c r="C4299" s="335" t="s">
        <v>36</v>
      </c>
      <c r="D4299" s="335" t="s">
        <v>1303</v>
      </c>
      <c r="E4299" s="337" t="str">
        <f t="shared" si="1"/>
        <v>共英枚方:ナベ/置場単価</v>
      </c>
      <c r="F4299" s="338" t="s">
        <v>154</v>
      </c>
      <c r="G4299" s="339" t="str">
        <f t="shared" si="2"/>
        <v>共英枚方:ナベ/置場単価ＣＰ Ａ</v>
      </c>
      <c r="H4299" s="340">
        <f t="shared" si="3"/>
        <v>48</v>
      </c>
      <c r="I4299" s="341">
        <v>1.0</v>
      </c>
      <c r="J4299" s="332">
        <f>IFERROR(__xludf.DUMMYFUNCTION("IF(IF(COUNTIF(P$2:P4298, P4299)=0, """", INDEX(H$2:H4298,
MAX(FILTER(ROW(H$2:H4298) - ROW(H$2) + 1, P$2:P4298 = P4299))))=""単価"","""",
IF(COUNTIF(P$2:P4298, P4299)=0, """", INDEX(H$2:H4298,
MAX(FILTER(ROW(H$2:H4298) - ROW(H$2) + 1, P$2:P4298 = P4299)))))"),47.0)</f>
        <v>47</v>
      </c>
      <c r="N4299" s="335" t="str">
        <f>IF(MAXIFS('単価履歴'!$O:$O,'単価履歴'!$E:$E,E4299,'単価履歴'!$F:$F,F4299)=O4299,"●","")</f>
        <v/>
      </c>
      <c r="O4299" s="346">
        <v>46084.283321759256</v>
      </c>
      <c r="P4299" s="334" t="str">
        <f t="shared" si="4"/>
        <v>共英枚方:ナベ/置場単価ＣＰ Ａ</v>
      </c>
    </row>
    <row r="4300" ht="15.75" customHeight="1">
      <c r="A4300" s="335" t="s">
        <v>5447</v>
      </c>
      <c r="B4300" s="336">
        <v>46084.0</v>
      </c>
      <c r="C4300" s="335" t="s">
        <v>31</v>
      </c>
      <c r="D4300" s="335" t="s">
        <v>47</v>
      </c>
      <c r="E4300" s="337" t="str">
        <f t="shared" si="1"/>
        <v>泉北中谷:豊通</v>
      </c>
      <c r="F4300" s="338" t="s">
        <v>130</v>
      </c>
      <c r="G4300" s="339" t="str">
        <f t="shared" si="2"/>
        <v>泉北中谷:豊通新断Ａ</v>
      </c>
      <c r="H4300" s="340">
        <f t="shared" si="3"/>
        <v>50.8</v>
      </c>
      <c r="I4300" s="341">
        <v>1.0</v>
      </c>
      <c r="J4300" s="332">
        <f>IFERROR(__xludf.DUMMYFUNCTION("IF(IF(COUNTIF(P$2:P4299, P4300)=0, """", INDEX(H$2:H4299,
MAX(FILTER(ROW(H$2:H4299) - ROW(H$2) + 1, P$2:P4299 = P4300))))=""単価"","""",
IF(COUNTIF(P$2:P4299, P4300)=0, """", INDEX(H$2:H4299,
MAX(FILTER(ROW(H$2:H4299) - ROW(H$2) + 1, P$2:P4299 = P4300)))))"),49.8)</f>
        <v>49.8</v>
      </c>
      <c r="N4300" s="335" t="str">
        <f>IF(MAXIFS('単価履歴'!$O:$O,'単価履歴'!$E:$E,E4300,'単価履歴'!$F:$F,F4300)=O4300,"●","")</f>
        <v/>
      </c>
      <c r="O4300" s="346">
        <v>46084.28418981482</v>
      </c>
      <c r="P4300" s="334" t="str">
        <f t="shared" si="4"/>
        <v>泉北中谷:豊通新断Ａ</v>
      </c>
    </row>
    <row r="4301" ht="15.75" customHeight="1">
      <c r="A4301" s="335" t="s">
        <v>5448</v>
      </c>
      <c r="B4301" s="336">
        <v>46084.0</v>
      </c>
      <c r="C4301" s="335" t="s">
        <v>7</v>
      </c>
      <c r="D4301" s="335" t="s">
        <v>49</v>
      </c>
      <c r="E4301" s="337" t="str">
        <f t="shared" si="1"/>
        <v>合同大阪:伊藤忠</v>
      </c>
      <c r="F4301" s="338" t="s">
        <v>1199</v>
      </c>
      <c r="G4301" s="339" t="str">
        <f t="shared" si="2"/>
        <v>合同大阪:伊藤忠ＨＳ１(単体H1/電特A/HS))</v>
      </c>
      <c r="H4301" s="340">
        <f t="shared" si="3"/>
        <v>48.8</v>
      </c>
      <c r="I4301" s="341">
        <v>1.0</v>
      </c>
      <c r="J4301" s="332">
        <f>IFERROR(__xludf.DUMMYFUNCTION("IF(IF(COUNTIF(P$2:P4300, P4301)=0, """", INDEX(H$2:H4300,
MAX(FILTER(ROW(H$2:H4300) - ROW(H$2) + 1, P$2:P4300 = P4301))))=""単価"","""",
IF(COUNTIF(P$2:P4300, P4301)=0, """", INDEX(H$2:H4300,
MAX(FILTER(ROW(H$2:H4300) - ROW(H$2) + 1, P$2:P4300 = P4301)))))"),47.8)</f>
        <v>47.8</v>
      </c>
      <c r="N4301" s="335" t="str">
        <f>IF(MAXIFS('単価履歴'!$O:$O,'単価履歴'!$E:$E,E4301,'単価履歴'!$F:$F,F4301)=O4301,"●","")</f>
        <v/>
      </c>
      <c r="O4301" s="346">
        <v>46084.28503472223</v>
      </c>
      <c r="P4301" s="334" t="str">
        <f t="shared" si="4"/>
        <v>合同大阪:伊藤忠ＨＳ１(単体H1/電特A/HS))</v>
      </c>
    </row>
    <row r="4302" ht="15.75" customHeight="1">
      <c r="A4302" s="335" t="s">
        <v>5449</v>
      </c>
      <c r="B4302" s="336">
        <v>46084.0</v>
      </c>
      <c r="C4302" s="335" t="s">
        <v>7</v>
      </c>
      <c r="D4302" s="335" t="s">
        <v>49</v>
      </c>
      <c r="E4302" s="337" t="str">
        <f t="shared" si="1"/>
        <v>合同大阪:伊藤忠</v>
      </c>
      <c r="F4302" s="338" t="s">
        <v>101</v>
      </c>
      <c r="G4302" s="339" t="str">
        <f t="shared" si="2"/>
        <v>合同大阪:伊藤忠ＨＳ２</v>
      </c>
      <c r="H4302" s="340">
        <f t="shared" si="3"/>
        <v>48.3</v>
      </c>
      <c r="I4302" s="341">
        <v>1.0</v>
      </c>
      <c r="J4302" s="332">
        <f>IFERROR(__xludf.DUMMYFUNCTION("IF(IF(COUNTIF(P$2:P4301, P4302)=0, """", INDEX(H$2:H4301,
MAX(FILTER(ROW(H$2:H4301) - ROW(H$2) + 1, P$2:P4301 = P4302))))=""単価"","""",
IF(COUNTIF(P$2:P4301, P4302)=0, """", INDEX(H$2:H4301,
MAX(FILTER(ROW(H$2:H4301) - ROW(H$2) + 1, P$2:P4301 = P4302)))))"),47.3)</f>
        <v>47.3</v>
      </c>
      <c r="N4302" s="335" t="str">
        <f>IF(MAXIFS('単価履歴'!$O:$O,'単価履歴'!$E:$E,E4302,'単価履歴'!$F:$F,F4302)=O4302,"●","")</f>
        <v/>
      </c>
      <c r="O4302" s="346">
        <v>46084.28503472223</v>
      </c>
      <c r="P4302" s="334" t="str">
        <f t="shared" si="4"/>
        <v>合同大阪:伊藤忠ＨＳ２</v>
      </c>
    </row>
    <row r="4303" ht="15.75" customHeight="1">
      <c r="A4303" s="335" t="s">
        <v>5450</v>
      </c>
      <c r="B4303" s="336">
        <v>46084.0</v>
      </c>
      <c r="C4303" s="335" t="s">
        <v>7</v>
      </c>
      <c r="D4303" s="335" t="s">
        <v>49</v>
      </c>
      <c r="E4303" s="337" t="str">
        <f t="shared" si="1"/>
        <v>合同大阪:伊藤忠</v>
      </c>
      <c r="F4303" s="338" t="s">
        <v>111</v>
      </c>
      <c r="G4303" s="339" t="str">
        <f t="shared" si="2"/>
        <v>合同大阪:伊藤忠Ｈ１(特A)</v>
      </c>
      <c r="H4303" s="340">
        <f t="shared" si="3"/>
        <v>49.3</v>
      </c>
      <c r="I4303" s="341">
        <v>1.0</v>
      </c>
      <c r="J4303" s="332">
        <f>IFERROR(__xludf.DUMMYFUNCTION("IF(IF(COUNTIF(P$2:P4302, P4303)=0, """", INDEX(H$2:H4302,
MAX(FILTER(ROW(H$2:H4302) - ROW(H$2) + 1, P$2:P4302 = P4303))))=""単価"","""",
IF(COUNTIF(P$2:P4302, P4303)=0, """", INDEX(H$2:H4302,
MAX(FILTER(ROW(H$2:H4302) - ROW(H$2) + 1, P$2:P4302 = P4303)))))"),48.3)</f>
        <v>48.3</v>
      </c>
      <c r="N4303" s="335" t="str">
        <f>IF(MAXIFS('単価履歴'!$O:$O,'単価履歴'!$E:$E,E4303,'単価履歴'!$F:$F,F4303)=O4303,"●","")</f>
        <v/>
      </c>
      <c r="O4303" s="346">
        <v>46084.28503472223</v>
      </c>
      <c r="P4303" s="334" t="str">
        <f t="shared" si="4"/>
        <v>合同大阪:伊藤忠Ｈ１(特A)</v>
      </c>
    </row>
    <row r="4304" ht="15.75" customHeight="1">
      <c r="A4304" s="335" t="s">
        <v>5451</v>
      </c>
      <c r="B4304" s="336">
        <v>46084.0</v>
      </c>
      <c r="C4304" s="335" t="s">
        <v>7</v>
      </c>
      <c r="D4304" s="335" t="s">
        <v>49</v>
      </c>
      <c r="E4304" s="337" t="str">
        <f t="shared" si="1"/>
        <v>合同大阪:伊藤忠</v>
      </c>
      <c r="F4304" s="338" t="s">
        <v>116</v>
      </c>
      <c r="G4304" s="339" t="str">
        <f t="shared" si="2"/>
        <v>合同大阪:伊藤忠Ｈ２(特級)</v>
      </c>
      <c r="H4304" s="340">
        <f t="shared" si="3"/>
        <v>47.3</v>
      </c>
      <c r="I4304" s="341">
        <v>1.0</v>
      </c>
      <c r="J4304" s="332">
        <f>IFERROR(__xludf.DUMMYFUNCTION("IF(IF(COUNTIF(P$2:P4303, P4304)=0, """", INDEX(H$2:H4303,
MAX(FILTER(ROW(H$2:H4303) - ROW(H$2) + 1, P$2:P4303 = P4304))))=""単価"","""",
IF(COUNTIF(P$2:P4303, P4304)=0, """", INDEX(H$2:H4303,
MAX(FILTER(ROW(H$2:H4303) - ROW(H$2) + 1, P$2:P4303 = P4304)))))"),46.3)</f>
        <v>46.3</v>
      </c>
      <c r="N4304" s="335" t="str">
        <f>IF(MAXIFS('単価履歴'!$O:$O,'単価履歴'!$E:$E,E4304,'単価履歴'!$F:$F,F4304)=O4304,"●","")</f>
        <v/>
      </c>
      <c r="O4304" s="346">
        <v>46084.28503472223</v>
      </c>
      <c r="P4304" s="334" t="str">
        <f t="shared" si="4"/>
        <v>合同大阪:伊藤忠Ｈ２(特級)</v>
      </c>
    </row>
    <row r="4305" ht="15.75" customHeight="1">
      <c r="A4305" s="335" t="s">
        <v>5452</v>
      </c>
      <c r="B4305" s="336">
        <v>46084.0</v>
      </c>
      <c r="C4305" s="335" t="s">
        <v>7</v>
      </c>
      <c r="D4305" s="335" t="s">
        <v>49</v>
      </c>
      <c r="E4305" s="337" t="str">
        <f t="shared" si="1"/>
        <v>合同大阪:伊藤忠</v>
      </c>
      <c r="F4305" s="338" t="s">
        <v>119</v>
      </c>
      <c r="G4305" s="339" t="str">
        <f t="shared" si="2"/>
        <v>合同大阪:伊藤忠Ｈ３(1級)</v>
      </c>
      <c r="H4305" s="340">
        <f t="shared" si="3"/>
        <v>46.8</v>
      </c>
      <c r="I4305" s="341">
        <v>1.0</v>
      </c>
      <c r="J4305" s="332">
        <f>IFERROR(__xludf.DUMMYFUNCTION("IF(IF(COUNTIF(P$2:P4304, P4305)=0, """", INDEX(H$2:H4304,
MAX(FILTER(ROW(H$2:H4304) - ROW(H$2) + 1, P$2:P4304 = P4305))))=""単価"","""",
IF(COUNTIF(P$2:P4304, P4305)=0, """", INDEX(H$2:H4304,
MAX(FILTER(ROW(H$2:H4304) - ROW(H$2) + 1, P$2:P4304 = P4305)))))"),45.8)</f>
        <v>45.8</v>
      </c>
      <c r="N4305" s="335" t="str">
        <f>IF(MAXIFS('単価履歴'!$O:$O,'単価履歴'!$E:$E,E4305,'単価履歴'!$F:$F,F4305)=O4305,"●","")</f>
        <v/>
      </c>
      <c r="O4305" s="346">
        <v>46084.28503472223</v>
      </c>
      <c r="P4305" s="334" t="str">
        <f t="shared" si="4"/>
        <v>合同大阪:伊藤忠Ｈ３(1級)</v>
      </c>
    </row>
    <row r="4306" ht="15.75" customHeight="1">
      <c r="A4306" s="335" t="s">
        <v>5453</v>
      </c>
      <c r="B4306" s="336">
        <v>46084.0</v>
      </c>
      <c r="C4306" s="335" t="s">
        <v>7</v>
      </c>
      <c r="D4306" s="335" t="s">
        <v>49</v>
      </c>
      <c r="E4306" s="337" t="str">
        <f t="shared" si="1"/>
        <v>合同大阪:伊藤忠</v>
      </c>
      <c r="F4306" s="338" t="s">
        <v>122</v>
      </c>
      <c r="G4306" s="339" t="str">
        <f t="shared" si="2"/>
        <v>合同大阪:伊藤忠Ｌ１(2級)</v>
      </c>
      <c r="H4306" s="340">
        <f t="shared" si="3"/>
        <v>45.8</v>
      </c>
      <c r="I4306" s="341">
        <v>1.0</v>
      </c>
      <c r="J4306" s="332">
        <f>IFERROR(__xludf.DUMMYFUNCTION("IF(IF(COUNTIF(P$2:P4305, P4306)=0, """", INDEX(H$2:H4305,
MAX(FILTER(ROW(H$2:H4305) - ROW(H$2) + 1, P$2:P4305 = P4306))))=""単価"","""",
IF(COUNTIF(P$2:P4305, P4306)=0, """", INDEX(H$2:H4305,
MAX(FILTER(ROW(H$2:H4305) - ROW(H$2) + 1, P$2:P4305 = P4306)))))"),44.8)</f>
        <v>44.8</v>
      </c>
      <c r="N4306" s="335" t="str">
        <f>IF(MAXIFS('単価履歴'!$O:$O,'単価履歴'!$E:$E,E4306,'単価履歴'!$F:$F,F4306)=O4306,"●","")</f>
        <v/>
      </c>
      <c r="O4306" s="346">
        <v>46084.28503472223</v>
      </c>
      <c r="P4306" s="334" t="str">
        <f t="shared" si="4"/>
        <v>合同大阪:伊藤忠Ｌ１(2級)</v>
      </c>
    </row>
    <row r="4307" ht="15.75" customHeight="1">
      <c r="A4307" s="335" t="s">
        <v>5454</v>
      </c>
      <c r="B4307" s="336">
        <v>46084.0</v>
      </c>
      <c r="C4307" s="335" t="s">
        <v>7</v>
      </c>
      <c r="D4307" s="335" t="s">
        <v>49</v>
      </c>
      <c r="E4307" s="337" t="str">
        <f t="shared" si="1"/>
        <v>合同大阪:伊藤忠</v>
      </c>
      <c r="F4307" s="338" t="s">
        <v>130</v>
      </c>
      <c r="G4307" s="339" t="str">
        <f t="shared" si="2"/>
        <v>合同大阪:伊藤忠新断Ａ</v>
      </c>
      <c r="H4307" s="340">
        <f t="shared" si="3"/>
        <v>50.3</v>
      </c>
      <c r="I4307" s="341">
        <v>1.0</v>
      </c>
      <c r="J4307" s="332">
        <f>IFERROR(__xludf.DUMMYFUNCTION("IF(IF(COUNTIF(P$2:P4306, P4307)=0, """", INDEX(H$2:H4306,
MAX(FILTER(ROW(H$2:H4306) - ROW(H$2) + 1, P$2:P4306 = P4307))))=""単価"","""",
IF(COUNTIF(P$2:P4306, P4307)=0, """", INDEX(H$2:H4306,
MAX(FILTER(ROW(H$2:H4306) - ROW(H$2) + 1, P$2:P4306 = P4307)))))"),49.3)</f>
        <v>49.3</v>
      </c>
      <c r="N4307" s="335" t="str">
        <f>IF(MAXIFS('単価履歴'!$O:$O,'単価履歴'!$E:$E,E4307,'単価履歴'!$F:$F,F4307)=O4307,"●","")</f>
        <v/>
      </c>
      <c r="O4307" s="346">
        <v>46084.28503472223</v>
      </c>
      <c r="P4307" s="334" t="str">
        <f t="shared" si="4"/>
        <v>合同大阪:伊藤忠新断Ａ</v>
      </c>
    </row>
    <row r="4308" ht="15.75" customHeight="1">
      <c r="A4308" s="335" t="s">
        <v>5455</v>
      </c>
      <c r="B4308" s="336">
        <v>46084.0</v>
      </c>
      <c r="C4308" s="335" t="s">
        <v>7</v>
      </c>
      <c r="D4308" s="335" t="s">
        <v>49</v>
      </c>
      <c r="E4308" s="337" t="str">
        <f t="shared" si="1"/>
        <v>合同大阪:伊藤忠</v>
      </c>
      <c r="F4308" s="338" t="s">
        <v>131</v>
      </c>
      <c r="G4308" s="339" t="str">
        <f t="shared" si="2"/>
        <v>合同大阪:伊藤忠新断Ｂ</v>
      </c>
      <c r="H4308" s="340">
        <f t="shared" si="3"/>
        <v>49.8</v>
      </c>
      <c r="I4308" s="341">
        <v>1.0</v>
      </c>
      <c r="J4308" s="332">
        <f>IFERROR(__xludf.DUMMYFUNCTION("IF(IF(COUNTIF(P$2:P4307, P4308)=0, """", INDEX(H$2:H4307,
MAX(FILTER(ROW(H$2:H4307) - ROW(H$2) + 1, P$2:P4307 = P4308))))=""単価"","""",
IF(COUNTIF(P$2:P4307, P4308)=0, """", INDEX(H$2:H4307,
MAX(FILTER(ROW(H$2:H4307) - ROW(H$2) + 1, P$2:P4307 = P4308)))))"),48.8)</f>
        <v>48.8</v>
      </c>
      <c r="N4308" s="335" t="str">
        <f>IF(MAXIFS('単価履歴'!$O:$O,'単価履歴'!$E:$E,E4308,'単価履歴'!$F:$F,F4308)=O4308,"●","")</f>
        <v/>
      </c>
      <c r="O4308" s="346">
        <v>46084.28503472223</v>
      </c>
      <c r="P4308" s="334" t="str">
        <f t="shared" si="4"/>
        <v>合同大阪:伊藤忠新断Ｂ</v>
      </c>
    </row>
    <row r="4309" ht="15.75" customHeight="1">
      <c r="A4309" s="335" t="s">
        <v>5456</v>
      </c>
      <c r="B4309" s="336">
        <v>46084.0</v>
      </c>
      <c r="C4309" s="335" t="s">
        <v>7</v>
      </c>
      <c r="D4309" s="335" t="s">
        <v>49</v>
      </c>
      <c r="E4309" s="337" t="str">
        <f t="shared" si="1"/>
        <v>合同大阪:伊藤忠</v>
      </c>
      <c r="F4309" s="338" t="s">
        <v>575</v>
      </c>
      <c r="G4309" s="339" t="str">
        <f t="shared" si="2"/>
        <v>合同大阪:伊藤忠鋼ダライＡ</v>
      </c>
      <c r="H4309" s="340">
        <f t="shared" si="3"/>
        <v>37.3</v>
      </c>
      <c r="I4309" s="341">
        <v>1.0</v>
      </c>
      <c r="J4309" s="332">
        <f>IFERROR(__xludf.DUMMYFUNCTION("IF(IF(COUNTIF(P$2:P4308, P4309)=0, """", INDEX(H$2:H4308,
MAX(FILTER(ROW(H$2:H4308) - ROW(H$2) + 1, P$2:P4308 = P4309))))=""単価"","""",
IF(COUNTIF(P$2:P4308, P4309)=0, """", INDEX(H$2:H4308,
MAX(FILTER(ROW(H$2:H4308) - ROW(H$2) + 1, P$2:P4308 = P4309)))))"),36.3)</f>
        <v>36.3</v>
      </c>
      <c r="N4309" s="335" t="str">
        <f>IF(MAXIFS('単価履歴'!$O:$O,'単価履歴'!$E:$E,E4309,'単価履歴'!$F:$F,F4309)=O4309,"●","")</f>
        <v/>
      </c>
      <c r="O4309" s="346">
        <v>46084.28503472223</v>
      </c>
      <c r="P4309" s="334" t="str">
        <f t="shared" si="4"/>
        <v>合同大阪:伊藤忠鋼ダライＡ</v>
      </c>
    </row>
    <row r="4310" ht="15.75" customHeight="1">
      <c r="A4310" s="335" t="s">
        <v>5457</v>
      </c>
      <c r="B4310" s="336">
        <v>46084.0</v>
      </c>
      <c r="C4310" s="335" t="s">
        <v>7</v>
      </c>
      <c r="D4310" s="335" t="s">
        <v>49</v>
      </c>
      <c r="E4310" s="337" t="str">
        <f t="shared" si="1"/>
        <v>合同大阪:伊藤忠</v>
      </c>
      <c r="F4310" s="338" t="s">
        <v>576</v>
      </c>
      <c r="G4310" s="339" t="str">
        <f t="shared" si="2"/>
        <v>合同大阪:伊藤忠鋼ダライＢ</v>
      </c>
      <c r="H4310" s="340">
        <f t="shared" si="3"/>
        <v>36.8</v>
      </c>
      <c r="I4310" s="341">
        <v>1.0</v>
      </c>
      <c r="J4310" s="332">
        <f>IFERROR(__xludf.DUMMYFUNCTION("IF(IF(COUNTIF(P$2:P4309, P4310)=0, """", INDEX(H$2:H4309,
MAX(FILTER(ROW(H$2:H4309) - ROW(H$2) + 1, P$2:P4309 = P4310))))=""単価"","""",
IF(COUNTIF(P$2:P4309, P4310)=0, """", INDEX(H$2:H4309,
MAX(FILTER(ROW(H$2:H4309) - ROW(H$2) + 1, P$2:P4309 = P4310)))))"),35.8)</f>
        <v>35.8</v>
      </c>
      <c r="N4310" s="335" t="str">
        <f>IF(MAXIFS('単価履歴'!$O:$O,'単価履歴'!$E:$E,E4310,'単価履歴'!$F:$F,F4310)=O4310,"●","")</f>
        <v/>
      </c>
      <c r="O4310" s="346">
        <v>46084.28503472223</v>
      </c>
      <c r="P4310" s="334" t="str">
        <f t="shared" si="4"/>
        <v>合同大阪:伊藤忠鋼ダライＢ</v>
      </c>
    </row>
    <row r="4311" ht="15.75" customHeight="1">
      <c r="A4311" s="335" t="s">
        <v>5458</v>
      </c>
      <c r="B4311" s="336">
        <v>46084.0</v>
      </c>
      <c r="C4311" s="335" t="s">
        <v>11</v>
      </c>
      <c r="D4311" s="335" t="s">
        <v>46</v>
      </c>
      <c r="E4311" s="337" t="str">
        <f t="shared" si="1"/>
        <v>ﾔﾏﾄ:阪和</v>
      </c>
      <c r="F4311" s="338" t="s">
        <v>116</v>
      </c>
      <c r="G4311" s="339" t="str">
        <f t="shared" si="2"/>
        <v>ﾔﾏﾄ:阪和Ｈ２(特級)</v>
      </c>
      <c r="H4311" s="340">
        <f t="shared" si="3"/>
        <v>47.1</v>
      </c>
      <c r="I4311" s="341">
        <v>1.0</v>
      </c>
      <c r="J4311" s="332">
        <f>IFERROR(__xludf.DUMMYFUNCTION("IF(IF(COUNTIF(P$2:P4310, P4311)=0, """", INDEX(H$2:H4310,
MAX(FILTER(ROW(H$2:H4310) - ROW(H$2) + 1, P$2:P4310 = P4311))))=""単価"","""",
IF(COUNTIF(P$2:P4310, P4311)=0, """", INDEX(H$2:H4310,
MAX(FILTER(ROW(H$2:H4310) - ROW(H$2) + 1, P$2:P4310 = P4311)))))"),46.1)</f>
        <v>46.1</v>
      </c>
      <c r="N4311" s="335" t="str">
        <f>IF(MAXIFS('単価履歴'!$O:$O,'単価履歴'!$E:$E,E4311,'単価履歴'!$F:$F,F4311)=O4311,"●","")</f>
        <v/>
      </c>
      <c r="O4311" s="346">
        <v>46084.28533564815</v>
      </c>
      <c r="P4311" s="334" t="str">
        <f t="shared" si="4"/>
        <v>ﾔﾏﾄ:阪和Ｈ２(特級)</v>
      </c>
    </row>
    <row r="4312" ht="15.75" customHeight="1">
      <c r="A4312" s="335" t="s">
        <v>5459</v>
      </c>
      <c r="B4312" s="336">
        <v>46084.0</v>
      </c>
      <c r="C4312" s="335" t="s">
        <v>11</v>
      </c>
      <c r="D4312" s="335" t="s">
        <v>46</v>
      </c>
      <c r="E4312" s="337" t="str">
        <f t="shared" si="1"/>
        <v>ﾔﾏﾄ:阪和</v>
      </c>
      <c r="F4312" s="338" t="s">
        <v>119</v>
      </c>
      <c r="G4312" s="339" t="str">
        <f t="shared" si="2"/>
        <v>ﾔﾏﾄ:阪和Ｈ３(1級)</v>
      </c>
      <c r="H4312" s="340">
        <f t="shared" si="3"/>
        <v>46.1</v>
      </c>
      <c r="I4312" s="341">
        <v>1.0</v>
      </c>
      <c r="J4312" s="332">
        <f>IFERROR(__xludf.DUMMYFUNCTION("IF(IF(COUNTIF(P$2:P4311, P4312)=0, """", INDEX(H$2:H4311,
MAX(FILTER(ROW(H$2:H4311) - ROW(H$2) + 1, P$2:P4311 = P4312))))=""単価"","""",
IF(COUNTIF(P$2:P4311, P4312)=0, """", INDEX(H$2:H4311,
MAX(FILTER(ROW(H$2:H4311) - ROW(H$2) + 1, P$2:P4311 = P4312)))))"),45.1)</f>
        <v>45.1</v>
      </c>
      <c r="N4312" s="335" t="str">
        <f>IF(MAXIFS('単価履歴'!$O:$O,'単価履歴'!$E:$E,E4312,'単価履歴'!$F:$F,F4312)=O4312,"●","")</f>
        <v/>
      </c>
      <c r="O4312" s="346">
        <v>46084.28533564815</v>
      </c>
      <c r="P4312" s="334" t="str">
        <f t="shared" si="4"/>
        <v>ﾔﾏﾄ:阪和Ｈ３(1級)</v>
      </c>
    </row>
    <row r="4313" ht="15.75" customHeight="1">
      <c r="A4313" s="335" t="s">
        <v>5460</v>
      </c>
      <c r="B4313" s="336">
        <v>46084.0</v>
      </c>
      <c r="C4313" s="335" t="s">
        <v>11</v>
      </c>
      <c r="D4313" s="335" t="s">
        <v>46</v>
      </c>
      <c r="E4313" s="337" t="str">
        <f t="shared" si="1"/>
        <v>ﾔﾏﾄ:阪和</v>
      </c>
      <c r="F4313" s="338" t="s">
        <v>122</v>
      </c>
      <c r="G4313" s="339" t="str">
        <f t="shared" si="2"/>
        <v>ﾔﾏﾄ:阪和Ｌ１(2級)</v>
      </c>
      <c r="H4313" s="340">
        <f t="shared" si="3"/>
        <v>44.1</v>
      </c>
      <c r="I4313" s="341">
        <v>1.0</v>
      </c>
      <c r="J4313" s="332">
        <f>IFERROR(__xludf.DUMMYFUNCTION("IF(IF(COUNTIF(P$2:P4312, P4313)=0, """", INDEX(H$2:H4312,
MAX(FILTER(ROW(H$2:H4312) - ROW(H$2) + 1, P$2:P4312 = P4313))))=""単価"","""",
IF(COUNTIF(P$2:P4312, P4313)=0, """", INDEX(H$2:H4312,
MAX(FILTER(ROW(H$2:H4312) - ROW(H$2) + 1, P$2:P4312 = P4313)))))"),43.1)</f>
        <v>43.1</v>
      </c>
      <c r="N4313" s="335" t="str">
        <f>IF(MAXIFS('単価履歴'!$O:$O,'単価履歴'!$E:$E,E4313,'単価履歴'!$F:$F,F4313)=O4313,"●","")</f>
        <v/>
      </c>
      <c r="O4313" s="346">
        <v>46084.28533564815</v>
      </c>
      <c r="P4313" s="334" t="str">
        <f t="shared" si="4"/>
        <v>ﾔﾏﾄ:阪和Ｌ１(2級)</v>
      </c>
    </row>
    <row r="4314" ht="15.75" customHeight="1">
      <c r="A4314" s="335" t="s">
        <v>5461</v>
      </c>
      <c r="B4314" s="336">
        <v>46084.0</v>
      </c>
      <c r="C4314" s="335" t="s">
        <v>11</v>
      </c>
      <c r="D4314" s="335" t="s">
        <v>46</v>
      </c>
      <c r="E4314" s="337" t="str">
        <f t="shared" si="1"/>
        <v>ﾔﾏﾄ:阪和</v>
      </c>
      <c r="F4314" s="338" t="s">
        <v>111</v>
      </c>
      <c r="G4314" s="339" t="str">
        <f t="shared" si="2"/>
        <v>ﾔﾏﾄ:阪和Ｈ１(特A)</v>
      </c>
      <c r="H4314" s="340">
        <f t="shared" si="3"/>
        <v>48.1</v>
      </c>
      <c r="I4314" s="341">
        <v>1.0</v>
      </c>
      <c r="J4314" s="332">
        <f>IFERROR(__xludf.DUMMYFUNCTION("IF(IF(COUNTIF(P$2:P4313, P4314)=0, """", INDEX(H$2:H4313,
MAX(FILTER(ROW(H$2:H4313) - ROW(H$2) + 1, P$2:P4313 = P4314))))=""単価"","""",
IF(COUNTIF(P$2:P4313, P4314)=0, """", INDEX(H$2:H4313,
MAX(FILTER(ROW(H$2:H4313) - ROW(H$2) + 1, P$2:P4313 = P4314)))))"),47.1)</f>
        <v>47.1</v>
      </c>
      <c r="N4314" s="335" t="str">
        <f>IF(MAXIFS('単価履歴'!$O:$O,'単価履歴'!$E:$E,E4314,'単価履歴'!$F:$F,F4314)=O4314,"●","")</f>
        <v/>
      </c>
      <c r="O4314" s="346">
        <v>46084.28533564815</v>
      </c>
      <c r="P4314" s="334" t="str">
        <f t="shared" si="4"/>
        <v>ﾔﾏﾄ:阪和Ｈ１(特A)</v>
      </c>
    </row>
    <row r="4315" ht="15.75" customHeight="1">
      <c r="A4315" s="335" t="s">
        <v>5462</v>
      </c>
      <c r="B4315" s="336">
        <v>46084.0</v>
      </c>
      <c r="C4315" s="335" t="s">
        <v>11</v>
      </c>
      <c r="D4315" s="335" t="s">
        <v>46</v>
      </c>
      <c r="E4315" s="337" t="str">
        <f t="shared" si="1"/>
        <v>ﾔﾏﾄ:阪和</v>
      </c>
      <c r="F4315" s="338" t="s">
        <v>573</v>
      </c>
      <c r="G4315" s="339" t="str">
        <f t="shared" si="2"/>
        <v>ﾔﾏﾄ:阪和Ｌ２(H4･級外･L1ﾊﾞﾗ)</v>
      </c>
      <c r="H4315" s="340">
        <f t="shared" si="3"/>
        <v>41.6</v>
      </c>
      <c r="I4315" s="341">
        <v>1.0</v>
      </c>
      <c r="J4315" s="332">
        <f>IFERROR(__xludf.DUMMYFUNCTION("IF(IF(COUNTIF(P$2:P4314, P4315)=0, """", INDEX(H$2:H4314,
MAX(FILTER(ROW(H$2:H4314) - ROW(H$2) + 1, P$2:P4314 = P4315))))=""単価"","""",
IF(COUNTIF(P$2:P4314, P4315)=0, """", INDEX(H$2:H4314,
MAX(FILTER(ROW(H$2:H4314) - ROW(H$2) + 1, P$2:P4314 = P4315)))))"),40.6)</f>
        <v>40.6</v>
      </c>
      <c r="N4315" s="335" t="str">
        <f>IF(MAXIFS('単価履歴'!$O:$O,'単価履歴'!$E:$E,E4315,'単価履歴'!$F:$F,F4315)=O4315,"●","")</f>
        <v/>
      </c>
      <c r="O4315" s="346">
        <v>46084.28533564815</v>
      </c>
      <c r="P4315" s="334" t="str">
        <f t="shared" si="4"/>
        <v>ﾔﾏﾄ:阪和Ｌ２(H4･級外･L1ﾊﾞﾗ)</v>
      </c>
    </row>
    <row r="4316" ht="15.75" customHeight="1">
      <c r="A4316" s="335" t="s">
        <v>5463</v>
      </c>
      <c r="B4316" s="336">
        <v>46081.0</v>
      </c>
      <c r="C4316" s="335" t="s">
        <v>12</v>
      </c>
      <c r="D4316" s="335" t="s">
        <v>53</v>
      </c>
      <c r="E4316" s="337" t="str">
        <f t="shared" si="1"/>
        <v>山陽特殊:MM</v>
      </c>
      <c r="F4316" s="338" t="s">
        <v>130</v>
      </c>
      <c r="G4316" s="339" t="str">
        <f t="shared" si="2"/>
        <v>山陽特殊:MM新断Ａ</v>
      </c>
      <c r="H4316" s="340">
        <f t="shared" si="3"/>
        <v>50.5</v>
      </c>
      <c r="I4316" s="341">
        <v>1.0</v>
      </c>
      <c r="J4316" s="332">
        <f>IFERROR(__xludf.DUMMYFUNCTION("IF(IF(COUNTIF(P$2:P4315, P4316)=0, """", INDEX(H$2:H4315,
MAX(FILTER(ROW(H$2:H4315) - ROW(H$2) + 1, P$2:P4315 = P4316))))=""単価"","""",
IF(COUNTIF(P$2:P4315, P4316)=0, """", INDEX(H$2:H4315,
MAX(FILTER(ROW(H$2:H4315) - ROW(H$2) + 1, P$2:P4315 = P4316)))))"),49.5)</f>
        <v>49.5</v>
      </c>
      <c r="N4316" s="335" t="str">
        <f>IF(MAXIFS('単価履歴'!$O:$O,'単価履歴'!$E:$E,E4316,'単価履歴'!$F:$F,F4316)=O4316,"●","")</f>
        <v/>
      </c>
      <c r="O4316" s="346">
        <v>46084.288148148145</v>
      </c>
      <c r="P4316" s="334" t="str">
        <f t="shared" si="4"/>
        <v>山陽特殊:MM新断Ａ</v>
      </c>
    </row>
    <row r="4317" ht="15.75" customHeight="1">
      <c r="A4317" s="335" t="s">
        <v>5464</v>
      </c>
      <c r="B4317" s="336">
        <v>46081.0</v>
      </c>
      <c r="C4317" s="335" t="s">
        <v>12</v>
      </c>
      <c r="D4317" s="335" t="s">
        <v>53</v>
      </c>
      <c r="E4317" s="337" t="str">
        <f t="shared" si="1"/>
        <v>山陽特殊:MM</v>
      </c>
      <c r="F4317" s="338" t="s">
        <v>131</v>
      </c>
      <c r="G4317" s="339" t="str">
        <f t="shared" si="2"/>
        <v>山陽特殊:MM新断Ｂ</v>
      </c>
      <c r="H4317" s="340">
        <f t="shared" si="3"/>
        <v>49.5</v>
      </c>
      <c r="I4317" s="341">
        <v>1.0</v>
      </c>
      <c r="J4317" s="332">
        <f>IFERROR(__xludf.DUMMYFUNCTION("IF(IF(COUNTIF(P$2:P4316, P4317)=0, """", INDEX(H$2:H4316,
MAX(FILTER(ROW(H$2:H4316) - ROW(H$2) + 1, P$2:P4316 = P4317))))=""単価"","""",
IF(COUNTIF(P$2:P4316, P4317)=0, """", INDEX(H$2:H4316,
MAX(FILTER(ROW(H$2:H4316) - ROW(H$2) + 1, P$2:P4316 = P4317)))))"),48.5)</f>
        <v>48.5</v>
      </c>
      <c r="N4317" s="335" t="str">
        <f>IF(MAXIFS('単価履歴'!$O:$O,'単価履歴'!$E:$E,E4317,'単価履歴'!$F:$F,F4317)=O4317,"●","")</f>
        <v/>
      </c>
      <c r="O4317" s="346">
        <v>46084.288148148145</v>
      </c>
      <c r="P4317" s="334" t="str">
        <f t="shared" si="4"/>
        <v>山陽特殊:MM新断Ｂ</v>
      </c>
    </row>
    <row r="4318" ht="15.75" customHeight="1">
      <c r="A4318" s="335" t="s">
        <v>5465</v>
      </c>
      <c r="B4318" s="336">
        <v>46081.0</v>
      </c>
      <c r="C4318" s="335" t="s">
        <v>12</v>
      </c>
      <c r="D4318" s="335" t="s">
        <v>53</v>
      </c>
      <c r="E4318" s="337" t="str">
        <f t="shared" si="1"/>
        <v>山陽特殊:MM</v>
      </c>
      <c r="F4318" s="338" t="s">
        <v>574</v>
      </c>
      <c r="G4318" s="339" t="str">
        <f t="shared" si="2"/>
        <v>山陽特殊:MM新断Ｃ</v>
      </c>
      <c r="H4318" s="340">
        <f t="shared" si="3"/>
        <v>48.2</v>
      </c>
      <c r="I4318" s="341">
        <v>1.0</v>
      </c>
      <c r="J4318" s="332">
        <f>IFERROR(__xludf.DUMMYFUNCTION("IF(IF(COUNTIF(P$2:P4317, P4318)=0, """", INDEX(H$2:H4317,
MAX(FILTER(ROW(H$2:H4317) - ROW(H$2) + 1, P$2:P4317 = P4318))))=""単価"","""",
IF(COUNTIF(P$2:P4317, P4318)=0, """", INDEX(H$2:H4317,
MAX(FILTER(ROW(H$2:H4317) - ROW(H$2) + 1, P$2:P4317 = P4318)))))"),47.199999999999996)</f>
        <v>47.2</v>
      </c>
      <c r="N4318" s="335" t="str">
        <f>IF(MAXIFS('単価履歴'!$O:$O,'単価履歴'!$E:$E,E4318,'単価履歴'!$F:$F,F4318)=O4318,"●","")</f>
        <v/>
      </c>
      <c r="O4318" s="346">
        <v>46084.288148148145</v>
      </c>
      <c r="P4318" s="334" t="str">
        <f t="shared" si="4"/>
        <v>山陽特殊:MM新断Ｃ</v>
      </c>
    </row>
    <row r="4319" ht="15.75" customHeight="1">
      <c r="A4319" s="335" t="s">
        <v>5466</v>
      </c>
      <c r="B4319" s="336">
        <v>46084.0</v>
      </c>
      <c r="C4319" s="335" t="s">
        <v>12</v>
      </c>
      <c r="D4319" s="335" t="s">
        <v>53</v>
      </c>
      <c r="E4319" s="337" t="str">
        <f t="shared" si="1"/>
        <v>山陽特殊:MM</v>
      </c>
      <c r="F4319" s="338" t="s">
        <v>1199</v>
      </c>
      <c r="G4319" s="339" t="str">
        <f t="shared" si="2"/>
        <v>山陽特殊:MMＨＳ１(単体H1/電特A/HS))</v>
      </c>
      <c r="H4319" s="340">
        <f t="shared" si="3"/>
        <v>51.5</v>
      </c>
      <c r="I4319" s="341">
        <v>1.0</v>
      </c>
      <c r="J4319" s="332">
        <f>IFERROR(__xludf.DUMMYFUNCTION("IF(IF(COUNTIF(P$2:P4318, P4319)=0, """", INDEX(H$2:H4318,
MAX(FILTER(ROW(H$2:H4318) - ROW(H$2) + 1, P$2:P4318 = P4319))))=""単価"","""",
IF(COUNTIF(P$2:P4318, P4319)=0, """", INDEX(H$2:H4318,
MAX(FILTER(ROW(H$2:H4318) - ROW(H$2) + 1, P$2:P4318 = P4319)))))"),50.5)</f>
        <v>50.5</v>
      </c>
      <c r="N4319" s="335" t="str">
        <f>IF(MAXIFS('単価履歴'!$O:$O,'単価履歴'!$E:$E,E4319,'単価履歴'!$F:$F,F4319)=O4319,"●","")</f>
        <v/>
      </c>
      <c r="O4319" s="346">
        <v>46084.28855324074</v>
      </c>
      <c r="P4319" s="334" t="str">
        <f t="shared" si="4"/>
        <v>山陽特殊:MMＨＳ１(単体H1/電特A/HS))</v>
      </c>
    </row>
    <row r="4320" ht="15.75" customHeight="1">
      <c r="A4320" s="335" t="s">
        <v>5467</v>
      </c>
      <c r="B4320" s="336">
        <v>46084.0</v>
      </c>
      <c r="C4320" s="335" t="s">
        <v>12</v>
      </c>
      <c r="D4320" s="335" t="s">
        <v>53</v>
      </c>
      <c r="E4320" s="337" t="str">
        <f t="shared" si="1"/>
        <v>山陽特殊:MM</v>
      </c>
      <c r="F4320" s="338" t="s">
        <v>101</v>
      </c>
      <c r="G4320" s="339" t="str">
        <f t="shared" si="2"/>
        <v>山陽特殊:MMＨＳ２</v>
      </c>
      <c r="H4320" s="340">
        <f t="shared" si="3"/>
        <v>51.3</v>
      </c>
      <c r="I4320" s="341">
        <v>1.0</v>
      </c>
      <c r="J4320" s="332">
        <f>IFERROR(__xludf.DUMMYFUNCTION("IF(IF(COUNTIF(P$2:P4319, P4320)=0, """", INDEX(H$2:H4319,
MAX(FILTER(ROW(H$2:H4319) - ROW(H$2) + 1, P$2:P4319 = P4320))))=""単価"","""",
IF(COUNTIF(P$2:P4319, P4320)=0, """", INDEX(H$2:H4319,
MAX(FILTER(ROW(H$2:H4319) - ROW(H$2) + 1, P$2:P4319 = P4320)))))"),50.3)</f>
        <v>50.3</v>
      </c>
      <c r="N4320" s="335" t="str">
        <f>IF(MAXIFS('単価履歴'!$O:$O,'単価履歴'!$E:$E,E4320,'単価履歴'!$F:$F,F4320)=O4320,"●","")</f>
        <v/>
      </c>
      <c r="O4320" s="346">
        <v>46084.28855324074</v>
      </c>
      <c r="P4320" s="334" t="str">
        <f t="shared" si="4"/>
        <v>山陽特殊:MMＨＳ２</v>
      </c>
    </row>
    <row r="4321" ht="15.75" customHeight="1">
      <c r="A4321" s="335" t="s">
        <v>5468</v>
      </c>
      <c r="B4321" s="336">
        <v>46084.0</v>
      </c>
      <c r="C4321" s="335" t="s">
        <v>12</v>
      </c>
      <c r="D4321" s="335" t="s">
        <v>53</v>
      </c>
      <c r="E4321" s="337" t="str">
        <f t="shared" si="1"/>
        <v>山陽特殊:MM</v>
      </c>
      <c r="F4321" s="338" t="s">
        <v>105</v>
      </c>
      <c r="G4321" s="339" t="str">
        <f t="shared" si="2"/>
        <v>山陽特殊:MMＨＳ３</v>
      </c>
      <c r="H4321" s="340">
        <f t="shared" si="3"/>
        <v>49.3</v>
      </c>
      <c r="I4321" s="341">
        <v>1.0</v>
      </c>
      <c r="J4321" s="332">
        <f>IFERROR(__xludf.DUMMYFUNCTION("IF(IF(COUNTIF(P$2:P4320, P4321)=0, """", INDEX(H$2:H4320,
MAX(FILTER(ROW(H$2:H4320) - ROW(H$2) + 1, P$2:P4320 = P4321))))=""単価"","""",
IF(COUNTIF(P$2:P4320, P4321)=0, """", INDEX(H$2:H4320,
MAX(FILTER(ROW(H$2:H4320) - ROW(H$2) + 1, P$2:P4320 = P4321)))))"),48.3)</f>
        <v>48.3</v>
      </c>
      <c r="N4321" s="335" t="str">
        <f>IF(MAXIFS('単価履歴'!$O:$O,'単価履歴'!$E:$E,E4321,'単価履歴'!$F:$F,F4321)=O4321,"●","")</f>
        <v/>
      </c>
      <c r="O4321" s="346">
        <v>46084.28855324074</v>
      </c>
      <c r="P4321" s="334" t="str">
        <f t="shared" si="4"/>
        <v>山陽特殊:MMＨＳ３</v>
      </c>
    </row>
    <row r="4322" ht="15.75" customHeight="1">
      <c r="A4322" s="335" t="s">
        <v>5469</v>
      </c>
      <c r="B4322" s="336">
        <v>46084.0</v>
      </c>
      <c r="C4322" s="335" t="s">
        <v>12</v>
      </c>
      <c r="D4322" s="335" t="s">
        <v>53</v>
      </c>
      <c r="E4322" s="337" t="str">
        <f t="shared" si="1"/>
        <v>山陽特殊:MM</v>
      </c>
      <c r="F4322" s="338" t="s">
        <v>122</v>
      </c>
      <c r="G4322" s="339" t="str">
        <f t="shared" si="2"/>
        <v>山陽特殊:MMＬ１(2級)</v>
      </c>
      <c r="H4322" s="340">
        <f t="shared" si="3"/>
        <v>7.5</v>
      </c>
      <c r="I4322" s="341">
        <v>1.0</v>
      </c>
      <c r="J4322" s="332">
        <f>IFERROR(__xludf.DUMMYFUNCTION("IF(IF(COUNTIF(P$2:P4321, P4322)=0, """", INDEX(H$2:H4321,
MAX(FILTER(ROW(H$2:H4321) - ROW(H$2) + 1, P$2:P4321 = P4322))))=""単価"","""",
IF(COUNTIF(P$2:P4321, P4322)=0, """", INDEX(H$2:H4321,
MAX(FILTER(ROW(H$2:H4321) - ROW(H$2) + 1, P$2:P4321 = P4322)))))"),6.5)</f>
        <v>6.5</v>
      </c>
      <c r="N4322" s="335" t="str">
        <f>IF(MAXIFS('単価履歴'!$O:$O,'単価履歴'!$E:$E,E4322,'単価履歴'!$F:$F,F4322)=O4322,"●","")</f>
        <v/>
      </c>
      <c r="O4322" s="346">
        <v>46084.28855324074</v>
      </c>
      <c r="P4322" s="334" t="str">
        <f t="shared" si="4"/>
        <v>山陽特殊:MMＬ１(2級)</v>
      </c>
    </row>
    <row r="4323" ht="15.75" customHeight="1">
      <c r="A4323" s="335" t="s">
        <v>5470</v>
      </c>
      <c r="B4323" s="336">
        <v>46084.0</v>
      </c>
      <c r="C4323" s="335" t="s">
        <v>14</v>
      </c>
      <c r="D4323" s="335" t="s">
        <v>46</v>
      </c>
      <c r="E4323" s="337" t="str">
        <f t="shared" si="1"/>
        <v>愛知:阪和</v>
      </c>
      <c r="F4323" s="338" t="s">
        <v>1199</v>
      </c>
      <c r="G4323" s="339" t="str">
        <f t="shared" si="2"/>
        <v>愛知:阪和ＨＳ１(単体H1/電特A/HS))</v>
      </c>
      <c r="H4323" s="340">
        <f t="shared" si="3"/>
        <v>48.2</v>
      </c>
      <c r="I4323" s="341">
        <v>1.0</v>
      </c>
      <c r="J4323" s="332">
        <f>IFERROR(__xludf.DUMMYFUNCTION("IF(IF(COUNTIF(P$2:P4322, P4323)=0, """", INDEX(H$2:H4322,
MAX(FILTER(ROW(H$2:H4322) - ROW(H$2) + 1, P$2:P4322 = P4323))))=""単価"","""",
IF(COUNTIF(P$2:P4322, P4323)=0, """", INDEX(H$2:H4322,
MAX(FILTER(ROW(H$2:H4322) - ROW(H$2) + 1, P$2:P4322 = P4323)))))"),47.2)</f>
        <v>47.2</v>
      </c>
      <c r="N4323" s="335" t="str">
        <f>IF(MAXIFS('単価履歴'!$O:$O,'単価履歴'!$E:$E,E4323,'単価履歴'!$F:$F,F4323)=O4323,"●","")</f>
        <v/>
      </c>
      <c r="O4323" s="346">
        <v>46084.288935185185</v>
      </c>
      <c r="P4323" s="334" t="str">
        <f t="shared" si="4"/>
        <v>愛知:阪和ＨＳ１(単体H1/電特A/HS))</v>
      </c>
    </row>
    <row r="4324" ht="15.75" customHeight="1">
      <c r="A4324" s="335" t="s">
        <v>5471</v>
      </c>
      <c r="B4324" s="336">
        <v>46084.0</v>
      </c>
      <c r="C4324" s="335" t="s">
        <v>14</v>
      </c>
      <c r="D4324" s="335" t="s">
        <v>46</v>
      </c>
      <c r="E4324" s="337" t="str">
        <f t="shared" si="1"/>
        <v>愛知:阪和</v>
      </c>
      <c r="F4324" s="338" t="s">
        <v>101</v>
      </c>
      <c r="G4324" s="339" t="str">
        <f t="shared" si="2"/>
        <v>愛知:阪和ＨＳ２</v>
      </c>
      <c r="H4324" s="340">
        <f t="shared" si="3"/>
        <v>47.7</v>
      </c>
      <c r="I4324" s="341">
        <v>1.0</v>
      </c>
      <c r="J4324" s="332">
        <f>IFERROR(__xludf.DUMMYFUNCTION("IF(IF(COUNTIF(P$2:P4323, P4324)=0, """", INDEX(H$2:H4323,
MAX(FILTER(ROW(H$2:H4323) - ROW(H$2) + 1, P$2:P4323 = P4324))))=""単価"","""",
IF(COUNTIF(P$2:P4323, P4324)=0, """", INDEX(H$2:H4323,
MAX(FILTER(ROW(H$2:H4323) - ROW(H$2) + 1, P$2:P4323 = P4324)))))"),46.7)</f>
        <v>46.7</v>
      </c>
      <c r="N4324" s="335" t="str">
        <f>IF(MAXIFS('単価履歴'!$O:$O,'単価履歴'!$E:$E,E4324,'単価履歴'!$F:$F,F4324)=O4324,"●","")</f>
        <v/>
      </c>
      <c r="O4324" s="346">
        <v>46084.288935185185</v>
      </c>
      <c r="P4324" s="334" t="str">
        <f t="shared" si="4"/>
        <v>愛知:阪和ＨＳ２</v>
      </c>
    </row>
    <row r="4325" ht="15.75" customHeight="1">
      <c r="A4325" s="335" t="s">
        <v>5472</v>
      </c>
      <c r="B4325" s="336">
        <v>46084.0</v>
      </c>
      <c r="C4325" s="335" t="s">
        <v>14</v>
      </c>
      <c r="D4325" s="335" t="s">
        <v>46</v>
      </c>
      <c r="E4325" s="337" t="str">
        <f t="shared" si="1"/>
        <v>愛知:阪和</v>
      </c>
      <c r="F4325" s="338" t="s">
        <v>111</v>
      </c>
      <c r="G4325" s="339" t="str">
        <f t="shared" si="2"/>
        <v>愛知:阪和Ｈ１(特A)</v>
      </c>
      <c r="H4325" s="340">
        <f t="shared" si="3"/>
        <v>43.2</v>
      </c>
      <c r="I4325" s="341">
        <v>1.0</v>
      </c>
      <c r="J4325" s="332">
        <f>IFERROR(__xludf.DUMMYFUNCTION("IF(IF(COUNTIF(P$2:P4324, P4325)=0, """", INDEX(H$2:H4324,
MAX(FILTER(ROW(H$2:H4324) - ROW(H$2) + 1, P$2:P4324 = P4325))))=""単価"","""",
IF(COUNTIF(P$2:P4324, P4325)=0, """", INDEX(H$2:H4324,
MAX(FILTER(ROW(H$2:H4324) - ROW(H$2) + 1, P$2:P4324 = P4325)))))"),42.2)</f>
        <v>42.2</v>
      </c>
      <c r="N4325" s="335" t="str">
        <f>IF(MAXIFS('単価履歴'!$O:$O,'単価履歴'!$E:$E,E4325,'単価履歴'!$F:$F,F4325)=O4325,"●","")</f>
        <v/>
      </c>
      <c r="O4325" s="346">
        <v>46084.288935185185</v>
      </c>
      <c r="P4325" s="334" t="str">
        <f t="shared" si="4"/>
        <v>愛知:阪和Ｈ１(特A)</v>
      </c>
    </row>
    <row r="4326" ht="15.75" customHeight="1">
      <c r="A4326" s="335" t="s">
        <v>5473</v>
      </c>
      <c r="B4326" s="336">
        <v>46084.0</v>
      </c>
      <c r="C4326" s="335" t="s">
        <v>14</v>
      </c>
      <c r="D4326" s="335" t="s">
        <v>46</v>
      </c>
      <c r="E4326" s="337" t="str">
        <f t="shared" si="1"/>
        <v>愛知:阪和</v>
      </c>
      <c r="F4326" s="338" t="s">
        <v>116</v>
      </c>
      <c r="G4326" s="339" t="str">
        <f t="shared" si="2"/>
        <v>愛知:阪和Ｈ２(特級)</v>
      </c>
      <c r="H4326" s="340">
        <f t="shared" si="3"/>
        <v>42.7</v>
      </c>
      <c r="I4326" s="341">
        <v>1.0</v>
      </c>
      <c r="J4326" s="332">
        <f>IFERROR(__xludf.DUMMYFUNCTION("IF(IF(COUNTIF(P$2:P4325, P4326)=0, """", INDEX(H$2:H4325,
MAX(FILTER(ROW(H$2:H4325) - ROW(H$2) + 1, P$2:P4325 = P4326))))=""単価"","""",
IF(COUNTIF(P$2:P4325, P4326)=0, """", INDEX(H$2:H4325,
MAX(FILTER(ROW(H$2:H4325) - ROW(H$2) + 1, P$2:P4325 = P4326)))))"),41.7)</f>
        <v>41.7</v>
      </c>
      <c r="N4326" s="335" t="str">
        <f>IF(MAXIFS('単価履歴'!$O:$O,'単価履歴'!$E:$E,E4326,'単価履歴'!$F:$F,F4326)=O4326,"●","")</f>
        <v/>
      </c>
      <c r="O4326" s="346">
        <v>46084.288935185185</v>
      </c>
      <c r="P4326" s="334" t="str">
        <f t="shared" si="4"/>
        <v>愛知:阪和Ｈ２(特級)</v>
      </c>
    </row>
    <row r="4327" ht="15.75" customHeight="1">
      <c r="A4327" s="335" t="s">
        <v>5474</v>
      </c>
      <c r="B4327" s="336">
        <v>46084.0</v>
      </c>
      <c r="C4327" s="335" t="s">
        <v>14</v>
      </c>
      <c r="D4327" s="335" t="s">
        <v>46</v>
      </c>
      <c r="E4327" s="337" t="str">
        <f t="shared" si="1"/>
        <v>愛知:阪和</v>
      </c>
      <c r="F4327" s="338" t="s">
        <v>119</v>
      </c>
      <c r="G4327" s="339" t="str">
        <f t="shared" si="2"/>
        <v>愛知:阪和Ｈ３(1級)</v>
      </c>
      <c r="H4327" s="340">
        <f t="shared" si="3"/>
        <v>41.7</v>
      </c>
      <c r="I4327" s="341">
        <v>1.0</v>
      </c>
      <c r="J4327" s="332">
        <f>IFERROR(__xludf.DUMMYFUNCTION("IF(IF(COUNTIF(P$2:P4326, P4327)=0, """", INDEX(H$2:H4326,
MAX(FILTER(ROW(H$2:H4326) - ROW(H$2) + 1, P$2:P4326 = P4327))))=""単価"","""",
IF(COUNTIF(P$2:P4326, P4327)=0, """", INDEX(H$2:H4326,
MAX(FILTER(ROW(H$2:H4326) - ROW(H$2) + 1, P$2:P4326 = P4327)))))"),40.7)</f>
        <v>40.7</v>
      </c>
      <c r="N4327" s="335" t="str">
        <f>IF(MAXIFS('単価履歴'!$O:$O,'単価履歴'!$E:$E,E4327,'単価履歴'!$F:$F,F4327)=O4327,"●","")</f>
        <v/>
      </c>
      <c r="O4327" s="346">
        <v>46084.288935185185</v>
      </c>
      <c r="P4327" s="334" t="str">
        <f t="shared" si="4"/>
        <v>愛知:阪和Ｈ３(1級)</v>
      </c>
    </row>
    <row r="4328" ht="15.75" customHeight="1">
      <c r="A4328" s="335" t="s">
        <v>5475</v>
      </c>
      <c r="B4328" s="336">
        <v>46084.0</v>
      </c>
      <c r="C4328" s="335" t="s">
        <v>14</v>
      </c>
      <c r="D4328" s="335" t="s">
        <v>46</v>
      </c>
      <c r="E4328" s="337" t="str">
        <f t="shared" si="1"/>
        <v>愛知:阪和</v>
      </c>
      <c r="F4328" s="338" t="s">
        <v>573</v>
      </c>
      <c r="G4328" s="339" t="str">
        <f t="shared" si="2"/>
        <v>愛知:阪和Ｌ２(H4･級外･L1ﾊﾞﾗ)</v>
      </c>
      <c r="H4328" s="340">
        <f t="shared" si="3"/>
        <v>38.3</v>
      </c>
      <c r="I4328" s="341">
        <v>1.0</v>
      </c>
      <c r="J4328" s="332">
        <f>IFERROR(__xludf.DUMMYFUNCTION("IF(IF(COUNTIF(P$2:P4327, P4328)=0, """", INDEX(H$2:H4327,
MAX(FILTER(ROW(H$2:H4327) - ROW(H$2) + 1, P$2:P4327 = P4328))))=""単価"","""",
IF(COUNTIF(P$2:P4327, P4328)=0, """", INDEX(H$2:H4327,
MAX(FILTER(ROW(H$2:H4327) - ROW(H$2) + 1, P$2:P4327 = P4328)))))"),37.3)</f>
        <v>37.3</v>
      </c>
      <c r="N4328" s="335" t="str">
        <f>IF(MAXIFS('単価履歴'!$O:$O,'単価履歴'!$E:$E,E4328,'単価履歴'!$F:$F,F4328)=O4328,"●","")</f>
        <v/>
      </c>
      <c r="O4328" s="346">
        <v>46084.288935185185</v>
      </c>
      <c r="P4328" s="334" t="str">
        <f t="shared" si="4"/>
        <v>愛知:阪和Ｌ２(H4･級外･L1ﾊﾞﾗ)</v>
      </c>
    </row>
    <row r="4329" ht="15.75" customHeight="1">
      <c r="A4329" s="335" t="s">
        <v>5476</v>
      </c>
      <c r="B4329" s="336">
        <v>46084.0</v>
      </c>
      <c r="C4329" s="335" t="s">
        <v>537</v>
      </c>
      <c r="D4329" s="335" t="s">
        <v>59</v>
      </c>
      <c r="E4329" s="337" t="str">
        <f t="shared" si="1"/>
        <v>大同特殊鋼:大同興業</v>
      </c>
      <c r="F4329" s="338" t="s">
        <v>1199</v>
      </c>
      <c r="G4329" s="339" t="str">
        <f t="shared" si="2"/>
        <v>大同特殊鋼:大同興業ＨＳ１(単体H1/電特A/HS))</v>
      </c>
      <c r="H4329" s="340">
        <f t="shared" si="3"/>
        <v>48.5</v>
      </c>
      <c r="I4329" s="341">
        <v>1.0</v>
      </c>
      <c r="J4329" s="332">
        <f>IFERROR(__xludf.DUMMYFUNCTION("IF(IF(COUNTIF(P$2:P4328, P4329)=0, """", INDEX(H$2:H4328,
MAX(FILTER(ROW(H$2:H4328) - ROW(H$2) + 1, P$2:P4328 = P4329))))=""単価"","""",
IF(COUNTIF(P$2:P4328, P4329)=0, """", INDEX(H$2:H4328,
MAX(FILTER(ROW(H$2:H4328) - ROW(H$2) + 1, P$2:P4328 = P4329)))))"),47.5)</f>
        <v>47.5</v>
      </c>
      <c r="N4329" s="335" t="str">
        <f>IF(MAXIFS('単価履歴'!$O:$O,'単価履歴'!$E:$E,E4329,'単価履歴'!$F:$F,F4329)=O4329,"●","")</f>
        <v/>
      </c>
      <c r="O4329" s="346">
        <v>46084.28966435185</v>
      </c>
      <c r="P4329" s="334" t="str">
        <f t="shared" si="4"/>
        <v>大同特殊鋼:大同興業ＨＳ１(単体H1/電特A/HS))</v>
      </c>
    </row>
    <row r="4330" ht="15.75" customHeight="1">
      <c r="A4330" s="335" t="s">
        <v>5477</v>
      </c>
      <c r="B4330" s="336">
        <v>46084.0</v>
      </c>
      <c r="C4330" s="335" t="s">
        <v>537</v>
      </c>
      <c r="D4330" s="335" t="s">
        <v>59</v>
      </c>
      <c r="E4330" s="337" t="str">
        <f t="shared" si="1"/>
        <v>大同特殊鋼:大同興業</v>
      </c>
      <c r="F4330" s="338" t="s">
        <v>575</v>
      </c>
      <c r="G4330" s="339" t="str">
        <f t="shared" si="2"/>
        <v>大同特殊鋼:大同興業鋼ダライＡ</v>
      </c>
      <c r="H4330" s="340">
        <f t="shared" si="3"/>
        <v>41.4</v>
      </c>
      <c r="I4330" s="341">
        <v>1.0</v>
      </c>
      <c r="J4330" s="332">
        <f>IFERROR(__xludf.DUMMYFUNCTION("IF(IF(COUNTIF(P$2:P4329, P4330)=0, """", INDEX(H$2:H4329,
MAX(FILTER(ROW(H$2:H4329) - ROW(H$2) + 1, P$2:P4329 = P4330))))=""単価"","""",
IF(COUNTIF(P$2:P4329, P4330)=0, """", INDEX(H$2:H4329,
MAX(FILTER(ROW(H$2:H4329) - ROW(H$2) + 1, P$2:P4329 = P4330)))))"),40.4)</f>
        <v>40.4</v>
      </c>
      <c r="N4330" s="335" t="str">
        <f>IF(MAXIFS('単価履歴'!$O:$O,'単価履歴'!$E:$E,E4330,'単価履歴'!$F:$F,F4330)=O4330,"●","")</f>
        <v/>
      </c>
      <c r="O4330" s="346">
        <v>46084.28966435185</v>
      </c>
      <c r="P4330" s="334" t="str">
        <f t="shared" si="4"/>
        <v>大同特殊鋼:大同興業鋼ダライＡ</v>
      </c>
    </row>
    <row r="4331" ht="15.75" customHeight="1">
      <c r="A4331" s="335" t="s">
        <v>5478</v>
      </c>
      <c r="B4331" s="336">
        <v>46084.0</v>
      </c>
      <c r="C4331" s="335" t="s">
        <v>537</v>
      </c>
      <c r="D4331" s="335" t="s">
        <v>1404</v>
      </c>
      <c r="E4331" s="337" t="str">
        <f t="shared" si="1"/>
        <v>大同特殊鋼:JSE/大和ﾘﾃｯｸ</v>
      </c>
      <c r="F4331" s="338" t="s">
        <v>1199</v>
      </c>
      <c r="G4331" s="339" t="str">
        <f t="shared" si="2"/>
        <v>大同特殊鋼:JSE/大和ﾘﾃｯｸＨＳ１(単体H1/電特A/HS))</v>
      </c>
      <c r="H4331" s="340">
        <f t="shared" si="3"/>
        <v>47.8</v>
      </c>
      <c r="I4331" s="341">
        <v>1.0</v>
      </c>
      <c r="J4331" s="332">
        <f>IFERROR(__xludf.DUMMYFUNCTION("IF(IF(COUNTIF(P$2:P4330, P4331)=0, """", INDEX(H$2:H4330,
MAX(FILTER(ROW(H$2:H4330) - ROW(H$2) + 1, P$2:P4330 = P4331))))=""単価"","""",
IF(COUNTIF(P$2:P4330, P4331)=0, """", INDEX(H$2:H4330,
MAX(FILTER(ROW(H$2:H4330) - ROW(H$2) + 1, P$2:P4330 = P4331)))))"),46.8)</f>
        <v>46.8</v>
      </c>
      <c r="N4331" s="335" t="str">
        <f>IF(MAXIFS('単価履歴'!$O:$O,'単価履歴'!$E:$E,E4331,'単価履歴'!$F:$F,F4331)=O4331,"●","")</f>
        <v/>
      </c>
      <c r="O4331" s="346">
        <v>46084.289988425924</v>
      </c>
      <c r="P4331" s="334" t="str">
        <f t="shared" si="4"/>
        <v>大同特殊鋼:JSE/大和ﾘﾃｯｸＨＳ１(単体H1/電特A/HS))</v>
      </c>
    </row>
    <row r="4332" ht="15.75" customHeight="1">
      <c r="A4332" s="335" t="s">
        <v>5479</v>
      </c>
      <c r="B4332" s="336">
        <v>46084.0</v>
      </c>
      <c r="C4332" s="335" t="s">
        <v>537</v>
      </c>
      <c r="D4332" s="335" t="s">
        <v>1404</v>
      </c>
      <c r="E4332" s="337" t="str">
        <f t="shared" si="1"/>
        <v>大同特殊鋼:JSE/大和ﾘﾃｯｸ</v>
      </c>
      <c r="F4332" s="338" t="s">
        <v>116</v>
      </c>
      <c r="G4332" s="339" t="str">
        <f t="shared" si="2"/>
        <v>大同特殊鋼:JSE/大和ﾘﾃｯｸＨ２(特級)</v>
      </c>
      <c r="H4332" s="340">
        <f t="shared" si="3"/>
        <v>44.7</v>
      </c>
      <c r="I4332" s="341">
        <v>1.0</v>
      </c>
      <c r="J4332" s="332">
        <f>IFERROR(__xludf.DUMMYFUNCTION("IF(IF(COUNTIF(P$2:P4331, P4332)=0, """", INDEX(H$2:H4331,
MAX(FILTER(ROW(H$2:H4331) - ROW(H$2) + 1, P$2:P4331 = P4332))))=""単価"","""",
IF(COUNTIF(P$2:P4331, P4332)=0, """", INDEX(H$2:H4331,
MAX(FILTER(ROW(H$2:H4331) - ROW(H$2) + 1, P$2:P4331 = P4332)))))"),43.7)</f>
        <v>43.7</v>
      </c>
      <c r="N4332" s="335" t="str">
        <f>IF(MAXIFS('単価履歴'!$O:$O,'単価履歴'!$E:$E,E4332,'単価履歴'!$F:$F,F4332)=O4332,"●","")</f>
        <v/>
      </c>
      <c r="O4332" s="346">
        <v>46084.289988425924</v>
      </c>
      <c r="P4332" s="334" t="str">
        <f t="shared" si="4"/>
        <v>大同特殊鋼:JSE/大和ﾘﾃｯｸＨ２(特級)</v>
      </c>
    </row>
    <row r="4333" ht="15.75" customHeight="1">
      <c r="A4333" s="335" t="s">
        <v>5480</v>
      </c>
      <c r="B4333" s="336">
        <v>46084.0</v>
      </c>
      <c r="C4333" s="335" t="s">
        <v>537</v>
      </c>
      <c r="D4333" s="335" t="s">
        <v>1404</v>
      </c>
      <c r="E4333" s="337" t="str">
        <f t="shared" si="1"/>
        <v>大同特殊鋼:JSE/大和ﾘﾃｯｸ</v>
      </c>
      <c r="F4333" s="338" t="s">
        <v>575</v>
      </c>
      <c r="G4333" s="339" t="str">
        <f t="shared" si="2"/>
        <v>大同特殊鋼:JSE/大和ﾘﾃｯｸ鋼ダライＡ</v>
      </c>
      <c r="H4333" s="340">
        <f t="shared" si="3"/>
        <v>43.5</v>
      </c>
      <c r="I4333" s="341">
        <v>1.0</v>
      </c>
      <c r="J4333" s="332">
        <f>IFERROR(__xludf.DUMMYFUNCTION("IF(IF(COUNTIF(P$2:P4332, P4333)=0, """", INDEX(H$2:H4332,
MAX(FILTER(ROW(H$2:H4332) - ROW(H$2) + 1, P$2:P4332 = P4333))))=""単価"","""",
IF(COUNTIF(P$2:P4332, P4333)=0, """", INDEX(H$2:H4332,
MAX(FILTER(ROW(H$2:H4332) - ROW(H$2) + 1, P$2:P4332 = P4333)))))"),42.5)</f>
        <v>42.5</v>
      </c>
      <c r="N4333" s="335" t="str">
        <f>IF(MAXIFS('単価履歴'!$O:$O,'単価履歴'!$E:$E,E4333,'単価履歴'!$F:$F,F4333)=O4333,"●","")</f>
        <v/>
      </c>
      <c r="O4333" s="346">
        <v>46084.289988425924</v>
      </c>
      <c r="P4333" s="334" t="str">
        <f t="shared" si="4"/>
        <v>大同特殊鋼:JSE/大和ﾘﾃｯｸ鋼ダライＡ</v>
      </c>
    </row>
    <row r="4334" ht="15.75" customHeight="1">
      <c r="A4334" s="335" t="s">
        <v>5481</v>
      </c>
      <c r="B4334" s="336">
        <v>46084.0</v>
      </c>
      <c r="C4334" s="335" t="s">
        <v>537</v>
      </c>
      <c r="D4334" s="335" t="s">
        <v>1407</v>
      </c>
      <c r="E4334" s="337" t="str">
        <f t="shared" si="1"/>
        <v>大同特殊鋼:JSE/第二＠2.3</v>
      </c>
      <c r="F4334" s="338" t="s">
        <v>1199</v>
      </c>
      <c r="G4334" s="339" t="str">
        <f t="shared" si="2"/>
        <v>大同特殊鋼:JSE/第二＠2.3ＨＳ１(単体H1/電特A/HS))</v>
      </c>
      <c r="H4334" s="340">
        <f t="shared" si="3"/>
        <v>45.5</v>
      </c>
      <c r="I4334" s="341">
        <v>1.0</v>
      </c>
      <c r="J4334" s="332">
        <f>IFERROR(__xludf.DUMMYFUNCTION("IF(IF(COUNTIF(P$2:P4333, P4334)=0, """", INDEX(H$2:H4333,
MAX(FILTER(ROW(H$2:H4333) - ROW(H$2) + 1, P$2:P4333 = P4334))))=""単価"","""",
IF(COUNTIF(P$2:P4333, P4334)=0, """", INDEX(H$2:H4333,
MAX(FILTER(ROW(H$2:H4333) - ROW(H$2) + 1, P$2:P4333 = P4334)))))"),44.5)</f>
        <v>44.5</v>
      </c>
      <c r="N4334" s="335" t="str">
        <f>IF(MAXIFS('単価履歴'!$O:$O,'単価履歴'!$E:$E,E4334,'単価履歴'!$F:$F,F4334)=O4334,"●","")</f>
        <v/>
      </c>
      <c r="O4334" s="346">
        <v>46084.289988425924</v>
      </c>
      <c r="P4334" s="334" t="str">
        <f t="shared" si="4"/>
        <v>大同特殊鋼:JSE/第二＠2.3ＨＳ１(単体H1/電特A/HS))</v>
      </c>
    </row>
    <row r="4335" ht="15.75" customHeight="1">
      <c r="A4335" s="335" t="s">
        <v>5482</v>
      </c>
      <c r="B4335" s="336">
        <v>46084.0</v>
      </c>
      <c r="C4335" s="335" t="s">
        <v>537</v>
      </c>
      <c r="D4335" s="335" t="s">
        <v>1407</v>
      </c>
      <c r="E4335" s="337" t="str">
        <f t="shared" si="1"/>
        <v>大同特殊鋼:JSE/第二＠2.3</v>
      </c>
      <c r="F4335" s="338" t="s">
        <v>116</v>
      </c>
      <c r="G4335" s="339" t="str">
        <f t="shared" si="2"/>
        <v>大同特殊鋼:JSE/第二＠2.3Ｈ２(特級)</v>
      </c>
      <c r="H4335" s="340">
        <f t="shared" si="3"/>
        <v>42.4</v>
      </c>
      <c r="I4335" s="341">
        <v>1.0</v>
      </c>
      <c r="J4335" s="332">
        <f>IFERROR(__xludf.DUMMYFUNCTION("IF(IF(COUNTIF(P$2:P4334, P4335)=0, """", INDEX(H$2:H4334,
MAX(FILTER(ROW(H$2:H4334) - ROW(H$2) + 1, P$2:P4334 = P4335))))=""単価"","""",
IF(COUNTIF(P$2:P4334, P4335)=0, """", INDEX(H$2:H4334,
MAX(FILTER(ROW(H$2:H4334) - ROW(H$2) + 1, P$2:P4334 = P4335)))))"),41.400000000000006)</f>
        <v>41.4</v>
      </c>
      <c r="N4335" s="335" t="str">
        <f>IF(MAXIFS('単価履歴'!$O:$O,'単価履歴'!$E:$E,E4335,'単価履歴'!$F:$F,F4335)=O4335,"●","")</f>
        <v/>
      </c>
      <c r="O4335" s="346">
        <v>46084.289988425924</v>
      </c>
      <c r="P4335" s="334" t="str">
        <f t="shared" si="4"/>
        <v>大同特殊鋼:JSE/第二＠2.3Ｈ２(特級)</v>
      </c>
    </row>
    <row r="4336" ht="15.75" customHeight="1">
      <c r="A4336" s="335" t="s">
        <v>5483</v>
      </c>
      <c r="B4336" s="336">
        <v>46084.0</v>
      </c>
      <c r="C4336" s="335" t="s">
        <v>537</v>
      </c>
      <c r="D4336" s="335" t="s">
        <v>1407</v>
      </c>
      <c r="E4336" s="337" t="str">
        <f t="shared" si="1"/>
        <v>大同特殊鋼:JSE/第二＠2.3</v>
      </c>
      <c r="F4336" s="338" t="s">
        <v>575</v>
      </c>
      <c r="G4336" s="339" t="str">
        <f t="shared" si="2"/>
        <v>大同特殊鋼:JSE/第二＠2.3鋼ダライＡ</v>
      </c>
      <c r="H4336" s="340">
        <f t="shared" si="3"/>
        <v>41.2</v>
      </c>
      <c r="I4336" s="341">
        <v>1.0</v>
      </c>
      <c r="J4336" s="332">
        <f>IFERROR(__xludf.DUMMYFUNCTION("IF(IF(COUNTIF(P$2:P4335, P4336)=0, """", INDEX(H$2:H4335,
MAX(FILTER(ROW(H$2:H4335) - ROW(H$2) + 1, P$2:P4335 = P4336))))=""単価"","""",
IF(COUNTIF(P$2:P4335, P4336)=0, """", INDEX(H$2:H4335,
MAX(FILTER(ROW(H$2:H4335) - ROW(H$2) + 1, P$2:P4335 = P4336)))))"),40.2)</f>
        <v>40.2</v>
      </c>
      <c r="N4336" s="335" t="str">
        <f>IF(MAXIFS('単価履歴'!$O:$O,'単価履歴'!$E:$E,E4336,'単価履歴'!$F:$F,F4336)=O4336,"●","")</f>
        <v/>
      </c>
      <c r="O4336" s="346">
        <v>46084.289988425924</v>
      </c>
      <c r="P4336" s="334" t="str">
        <f t="shared" si="4"/>
        <v>大同特殊鋼:JSE/第二＠2.3鋼ダライＡ</v>
      </c>
    </row>
    <row r="4337" ht="15.75" customHeight="1">
      <c r="A4337" s="335" t="s">
        <v>5484</v>
      </c>
      <c r="B4337" s="336">
        <v>46084.0</v>
      </c>
      <c r="C4337" s="335" t="s">
        <v>537</v>
      </c>
      <c r="D4337" s="335" t="s">
        <v>1410</v>
      </c>
      <c r="E4337" s="337" t="str">
        <f t="shared" si="1"/>
        <v>大同特殊鋼:JSE/岐阜＠1.5</v>
      </c>
      <c r="F4337" s="338" t="s">
        <v>1199</v>
      </c>
      <c r="G4337" s="339" t="str">
        <f t="shared" si="2"/>
        <v>大同特殊鋼:JSE/岐阜＠1.5ＨＳ１(単体H1/電特A/HS))</v>
      </c>
      <c r="H4337" s="340">
        <f t="shared" si="3"/>
        <v>46.3</v>
      </c>
      <c r="I4337" s="341">
        <v>1.0</v>
      </c>
      <c r="J4337" s="332">
        <f>IFERROR(__xludf.DUMMYFUNCTION("IF(IF(COUNTIF(P$2:P4336, P4337)=0, """", INDEX(H$2:H4336,
MAX(FILTER(ROW(H$2:H4336) - ROW(H$2) + 1, P$2:P4336 = P4337))))=""単価"","""",
IF(COUNTIF(P$2:P4336, P4337)=0, """", INDEX(H$2:H4336,
MAX(FILTER(ROW(H$2:H4336) - ROW(H$2) + 1, P$2:P4336 = P4337)))))"),45.3)</f>
        <v>45.3</v>
      </c>
      <c r="N4337" s="335" t="str">
        <f>IF(MAXIFS('単価履歴'!$O:$O,'単価履歴'!$E:$E,E4337,'単価履歴'!$F:$F,F4337)=O4337,"●","")</f>
        <v/>
      </c>
      <c r="O4337" s="346">
        <v>46084.289988425924</v>
      </c>
      <c r="P4337" s="334" t="str">
        <f t="shared" si="4"/>
        <v>大同特殊鋼:JSE/岐阜＠1.5ＨＳ１(単体H1/電特A/HS))</v>
      </c>
    </row>
    <row r="4338" ht="15.75" customHeight="1">
      <c r="A4338" s="335" t="s">
        <v>5485</v>
      </c>
      <c r="B4338" s="336">
        <v>46084.0</v>
      </c>
      <c r="C4338" s="335" t="s">
        <v>537</v>
      </c>
      <c r="D4338" s="335" t="s">
        <v>1410</v>
      </c>
      <c r="E4338" s="337" t="str">
        <f t="shared" si="1"/>
        <v>大同特殊鋼:JSE/岐阜＠1.5</v>
      </c>
      <c r="F4338" s="338" t="s">
        <v>116</v>
      </c>
      <c r="G4338" s="339" t="str">
        <f t="shared" si="2"/>
        <v>大同特殊鋼:JSE/岐阜＠1.5Ｈ２(特級)</v>
      </c>
      <c r="H4338" s="340">
        <f t="shared" si="3"/>
        <v>43.2</v>
      </c>
      <c r="I4338" s="341">
        <v>1.0</v>
      </c>
      <c r="J4338" s="332">
        <f>IFERROR(__xludf.DUMMYFUNCTION("IF(IF(COUNTIF(P$2:P4337, P4338)=0, """", INDEX(H$2:H4337,
MAX(FILTER(ROW(H$2:H4337) - ROW(H$2) + 1, P$2:P4337 = P4338))))=""単価"","""",
IF(COUNTIF(P$2:P4337, P4338)=0, """", INDEX(H$2:H4337,
MAX(FILTER(ROW(H$2:H4337) - ROW(H$2) + 1, P$2:P4337 = P4338)))))"),42.2)</f>
        <v>42.2</v>
      </c>
      <c r="N4338" s="335" t="str">
        <f>IF(MAXIFS('単価履歴'!$O:$O,'単価履歴'!$E:$E,E4338,'単価履歴'!$F:$F,F4338)=O4338,"●","")</f>
        <v/>
      </c>
      <c r="O4338" s="346">
        <v>46084.289988425924</v>
      </c>
      <c r="P4338" s="334" t="str">
        <f t="shared" si="4"/>
        <v>大同特殊鋼:JSE/岐阜＠1.5Ｈ２(特級)</v>
      </c>
    </row>
    <row r="4339" ht="15.75" customHeight="1">
      <c r="A4339" s="335" t="s">
        <v>5486</v>
      </c>
      <c r="B4339" s="336">
        <v>46084.0</v>
      </c>
      <c r="C4339" s="335" t="s">
        <v>537</v>
      </c>
      <c r="D4339" s="335" t="s">
        <v>1410</v>
      </c>
      <c r="E4339" s="337" t="str">
        <f t="shared" si="1"/>
        <v>大同特殊鋼:JSE/岐阜＠1.5</v>
      </c>
      <c r="F4339" s="338" t="s">
        <v>575</v>
      </c>
      <c r="G4339" s="339" t="str">
        <f t="shared" si="2"/>
        <v>大同特殊鋼:JSE/岐阜＠1.5鋼ダライＡ</v>
      </c>
      <c r="H4339" s="340">
        <f t="shared" si="3"/>
        <v>42</v>
      </c>
      <c r="I4339" s="341">
        <v>1.0</v>
      </c>
      <c r="J4339" s="332">
        <f>IFERROR(__xludf.DUMMYFUNCTION("IF(IF(COUNTIF(P$2:P4338, P4339)=0, """", INDEX(H$2:H4338,
MAX(FILTER(ROW(H$2:H4338) - ROW(H$2) + 1, P$2:P4338 = P4339))))=""単価"","""",
IF(COUNTIF(P$2:P4338, P4339)=0, """", INDEX(H$2:H4338,
MAX(FILTER(ROW(H$2:H4338) - ROW(H$2) + 1, P$2:P4338 = P4339)))))"),41.0)</f>
        <v>41</v>
      </c>
      <c r="N4339" s="335" t="str">
        <f>IF(MAXIFS('単価履歴'!$O:$O,'単価履歴'!$E:$E,E4339,'単価履歴'!$F:$F,F4339)=O4339,"●","")</f>
        <v/>
      </c>
      <c r="O4339" s="346">
        <v>46084.289988425924</v>
      </c>
      <c r="P4339" s="334" t="str">
        <f t="shared" si="4"/>
        <v>大同特殊鋼:JSE/岐阜＠1.5鋼ダライＡ</v>
      </c>
    </row>
    <row r="4340" ht="15.75" customHeight="1">
      <c r="A4340" s="335" t="s">
        <v>5487</v>
      </c>
      <c r="B4340" s="336">
        <v>46084.0</v>
      </c>
      <c r="C4340" s="335" t="s">
        <v>37</v>
      </c>
      <c r="D4340" s="335" t="s">
        <v>48</v>
      </c>
      <c r="E4340" s="337" t="str">
        <f t="shared" si="1"/>
        <v>共英名古屋:ナベ</v>
      </c>
      <c r="F4340" s="338" t="s">
        <v>111</v>
      </c>
      <c r="G4340" s="339" t="str">
        <f t="shared" si="2"/>
        <v>共英名古屋:ナベＨ１(特A)</v>
      </c>
      <c r="H4340" s="340">
        <f t="shared" si="3"/>
        <v>47.2</v>
      </c>
      <c r="I4340" s="341">
        <v>1.0</v>
      </c>
      <c r="J4340" s="332">
        <f>IFERROR(__xludf.DUMMYFUNCTION("IF(IF(COUNTIF(P$2:P4339, P4340)=0, """", INDEX(H$2:H4339,
MAX(FILTER(ROW(H$2:H4339) - ROW(H$2) + 1, P$2:P4339 = P4340))))=""単価"","""",
IF(COUNTIF(P$2:P4339, P4340)=0, """", INDEX(H$2:H4339,
MAX(FILTER(ROW(H$2:H4339) - ROW(H$2) + 1, P$2:P4339 = P4340)))))"),46.2)</f>
        <v>46.2</v>
      </c>
      <c r="N4340" s="335" t="str">
        <f>IF(MAXIFS('単価履歴'!$O:$O,'単価履歴'!$E:$E,E4340,'単価履歴'!$F:$F,F4340)=O4340,"●","")</f>
        <v/>
      </c>
      <c r="O4340" s="346">
        <v>46084.290497685186</v>
      </c>
      <c r="P4340" s="334" t="str">
        <f t="shared" si="4"/>
        <v>共英名古屋:ナベＨ１(特A)</v>
      </c>
    </row>
    <row r="4341" ht="15.75" customHeight="1">
      <c r="A4341" s="335" t="s">
        <v>5488</v>
      </c>
      <c r="B4341" s="336">
        <v>46084.0</v>
      </c>
      <c r="C4341" s="335" t="s">
        <v>37</v>
      </c>
      <c r="D4341" s="335" t="s">
        <v>48</v>
      </c>
      <c r="E4341" s="337" t="str">
        <f t="shared" si="1"/>
        <v>共英名古屋:ナベ</v>
      </c>
      <c r="F4341" s="338" t="s">
        <v>116</v>
      </c>
      <c r="G4341" s="339" t="str">
        <f t="shared" si="2"/>
        <v>共英名古屋:ナベＨ２(特級)</v>
      </c>
      <c r="H4341" s="340">
        <f t="shared" si="3"/>
        <v>44.5</v>
      </c>
      <c r="I4341" s="341">
        <v>1.0</v>
      </c>
      <c r="J4341" s="332">
        <f>IFERROR(__xludf.DUMMYFUNCTION("IF(IF(COUNTIF(P$2:P4340, P4341)=0, """", INDEX(H$2:H4340,
MAX(FILTER(ROW(H$2:H4340) - ROW(H$2) + 1, P$2:P4340 = P4341))))=""単価"","""",
IF(COUNTIF(P$2:P4340, P4341)=0, """", INDEX(H$2:H4340,
MAX(FILTER(ROW(H$2:H4340) - ROW(H$2) + 1, P$2:P4340 = P4341)))))"),43.5)</f>
        <v>43.5</v>
      </c>
      <c r="N4341" s="335" t="str">
        <f>IF(MAXIFS('単価履歴'!$O:$O,'単価履歴'!$E:$E,E4341,'単価履歴'!$F:$F,F4341)=O4341,"●","")</f>
        <v/>
      </c>
      <c r="O4341" s="346">
        <v>46084.290497685186</v>
      </c>
      <c r="P4341" s="334" t="str">
        <f t="shared" si="4"/>
        <v>共英名古屋:ナベＨ２(特級)</v>
      </c>
    </row>
    <row r="4342" ht="15.75" customHeight="1">
      <c r="A4342" s="335" t="s">
        <v>5489</v>
      </c>
      <c r="B4342" s="336">
        <v>46084.0</v>
      </c>
      <c r="C4342" s="335" t="s">
        <v>37</v>
      </c>
      <c r="D4342" s="335" t="s">
        <v>48</v>
      </c>
      <c r="E4342" s="337" t="str">
        <f t="shared" si="1"/>
        <v>共英名古屋:ナベ</v>
      </c>
      <c r="F4342" s="338" t="s">
        <v>119</v>
      </c>
      <c r="G4342" s="339" t="str">
        <f t="shared" si="2"/>
        <v>共英名古屋:ナベＨ３(1級)</v>
      </c>
      <c r="H4342" s="340">
        <f t="shared" si="3"/>
        <v>43.5</v>
      </c>
      <c r="I4342" s="341">
        <v>1.0</v>
      </c>
      <c r="J4342" s="332">
        <f>IFERROR(__xludf.DUMMYFUNCTION("IF(IF(COUNTIF(P$2:P4341, P4342)=0, """", INDEX(H$2:H4341,
MAX(FILTER(ROW(H$2:H4341) - ROW(H$2) + 1, P$2:P4341 = P4342))))=""単価"","""",
IF(COUNTIF(P$2:P4341, P4342)=0, """", INDEX(H$2:H4341,
MAX(FILTER(ROW(H$2:H4341) - ROW(H$2) + 1, P$2:P4341 = P4342)))))"),42.5)</f>
        <v>42.5</v>
      </c>
      <c r="N4342" s="335" t="str">
        <f>IF(MAXIFS('単価履歴'!$O:$O,'単価履歴'!$E:$E,E4342,'単価履歴'!$F:$F,F4342)=O4342,"●","")</f>
        <v/>
      </c>
      <c r="O4342" s="346">
        <v>46084.290497685186</v>
      </c>
      <c r="P4342" s="334" t="str">
        <f t="shared" si="4"/>
        <v>共英名古屋:ナベＨ３(1級)</v>
      </c>
    </row>
    <row r="4343" ht="15.75" customHeight="1">
      <c r="A4343" s="335" t="s">
        <v>5490</v>
      </c>
      <c r="B4343" s="336">
        <v>46084.0</v>
      </c>
      <c r="C4343" s="335" t="s">
        <v>37</v>
      </c>
      <c r="D4343" s="335" t="s">
        <v>48</v>
      </c>
      <c r="E4343" s="337" t="str">
        <f t="shared" si="1"/>
        <v>共英名古屋:ナベ</v>
      </c>
      <c r="F4343" s="338" t="s">
        <v>122</v>
      </c>
      <c r="G4343" s="339" t="str">
        <f t="shared" si="2"/>
        <v>共英名古屋:ナベＬ１(2級)</v>
      </c>
      <c r="H4343" s="340">
        <f t="shared" si="3"/>
        <v>40.5</v>
      </c>
      <c r="I4343" s="341">
        <v>1.0</v>
      </c>
      <c r="J4343" s="332">
        <f>IFERROR(__xludf.DUMMYFUNCTION("IF(IF(COUNTIF(P$2:P4342, P4343)=0, """", INDEX(H$2:H4342,
MAX(FILTER(ROW(H$2:H4342) - ROW(H$2) + 1, P$2:P4342 = P4343))))=""単価"","""",
IF(COUNTIF(P$2:P4342, P4343)=0, """", INDEX(H$2:H4342,
MAX(FILTER(ROW(H$2:H4342) - ROW(H$2) + 1, P$2:P4342 = P4343)))))"),39.5)</f>
        <v>39.5</v>
      </c>
      <c r="N4343" s="335" t="str">
        <f>IF(MAXIFS('単価履歴'!$O:$O,'単価履歴'!$E:$E,E4343,'単価履歴'!$F:$F,F4343)=O4343,"●","")</f>
        <v/>
      </c>
      <c r="O4343" s="346">
        <v>46084.290497685186</v>
      </c>
      <c r="P4343" s="334" t="str">
        <f t="shared" si="4"/>
        <v>共英名古屋:ナベＬ１(2級)</v>
      </c>
    </row>
    <row r="4344" ht="15.75" customHeight="1">
      <c r="A4344" s="335" t="s">
        <v>5491</v>
      </c>
      <c r="B4344" s="336">
        <v>46084.0</v>
      </c>
      <c r="C4344" s="335" t="s">
        <v>14</v>
      </c>
      <c r="D4344" s="335" t="s">
        <v>48</v>
      </c>
      <c r="E4344" s="337" t="str">
        <f t="shared" si="1"/>
        <v>愛知:ナベ</v>
      </c>
      <c r="F4344" s="338" t="s">
        <v>1199</v>
      </c>
      <c r="G4344" s="339" t="str">
        <f t="shared" si="2"/>
        <v>愛知:ナベＨＳ１(単体H1/電特A/HS))</v>
      </c>
      <c r="H4344" s="340">
        <f t="shared" si="3"/>
        <v>46</v>
      </c>
      <c r="I4344" s="341">
        <v>1.0</v>
      </c>
      <c r="J4344" s="332">
        <f>IFERROR(__xludf.DUMMYFUNCTION("IF(IF(COUNTIF(P$2:P4343, P4344)=0, """", INDEX(H$2:H4343,
MAX(FILTER(ROW(H$2:H4343) - ROW(H$2) + 1, P$2:P4343 = P4344))))=""単価"","""",
IF(COUNTIF(P$2:P4343, P4344)=0, """", INDEX(H$2:H4343,
MAX(FILTER(ROW(H$2:H4343) - ROW(H$2) + 1, P$2:P4343 = P4344)))))"),45.0)</f>
        <v>45</v>
      </c>
      <c r="N4344" s="335" t="str">
        <f>IF(MAXIFS('単価履歴'!$O:$O,'単価履歴'!$E:$E,E4344,'単価履歴'!$F:$F,F4344)=O4344,"●","")</f>
        <v/>
      </c>
      <c r="O4344" s="346">
        <v>46084.36550925926</v>
      </c>
      <c r="P4344" s="334" t="str">
        <f t="shared" si="4"/>
        <v>愛知:ナベＨＳ１(単体H1/電特A/HS))</v>
      </c>
    </row>
    <row r="4345" ht="15.75" customHeight="1">
      <c r="A4345" s="335" t="s">
        <v>5492</v>
      </c>
      <c r="B4345" s="336">
        <v>46084.0</v>
      </c>
      <c r="C4345" s="335" t="s">
        <v>14</v>
      </c>
      <c r="D4345" s="335" t="s">
        <v>48</v>
      </c>
      <c r="E4345" s="337" t="str">
        <f t="shared" si="1"/>
        <v>愛知:ナベ</v>
      </c>
      <c r="F4345" s="338" t="s">
        <v>101</v>
      </c>
      <c r="G4345" s="339" t="str">
        <f t="shared" si="2"/>
        <v>愛知:ナベＨＳ２</v>
      </c>
      <c r="H4345" s="340">
        <f t="shared" si="3"/>
        <v>45.5</v>
      </c>
      <c r="I4345" s="341">
        <v>1.0</v>
      </c>
      <c r="J4345" s="332">
        <f>IFERROR(__xludf.DUMMYFUNCTION("IF(IF(COUNTIF(P$2:P4344, P4345)=0, """", INDEX(H$2:H4344,
MAX(FILTER(ROW(H$2:H4344) - ROW(H$2) + 1, P$2:P4344 = P4345))))=""単価"","""",
IF(COUNTIF(P$2:P4344, P4345)=0, """", INDEX(H$2:H4344,
MAX(FILTER(ROW(H$2:H4344) - ROW(H$2) + 1, P$2:P4344 = P4345)))))"),44.5)</f>
        <v>44.5</v>
      </c>
      <c r="N4345" s="335" t="str">
        <f>IF(MAXIFS('単価履歴'!$O:$O,'単価履歴'!$E:$E,E4345,'単価履歴'!$F:$F,F4345)=O4345,"●","")</f>
        <v/>
      </c>
      <c r="O4345" s="346">
        <v>46084.36550925926</v>
      </c>
      <c r="P4345" s="334" t="str">
        <f t="shared" si="4"/>
        <v>愛知:ナベＨＳ２</v>
      </c>
    </row>
    <row r="4346" ht="15.75" customHeight="1">
      <c r="A4346" s="335" t="s">
        <v>5493</v>
      </c>
      <c r="B4346" s="336">
        <v>46084.0</v>
      </c>
      <c r="C4346" s="335" t="s">
        <v>14</v>
      </c>
      <c r="D4346" s="335" t="s">
        <v>48</v>
      </c>
      <c r="E4346" s="337" t="str">
        <f t="shared" si="1"/>
        <v>愛知:ナベ</v>
      </c>
      <c r="F4346" s="338" t="s">
        <v>111</v>
      </c>
      <c r="G4346" s="339" t="str">
        <f t="shared" si="2"/>
        <v>愛知:ナベＨ１(特A)</v>
      </c>
      <c r="H4346" s="340">
        <f t="shared" si="3"/>
        <v>45</v>
      </c>
      <c r="I4346" s="341">
        <v>1.0</v>
      </c>
      <c r="J4346" s="332">
        <f>IFERROR(__xludf.DUMMYFUNCTION("IF(IF(COUNTIF(P$2:P4345, P4346)=0, """", INDEX(H$2:H4345,
MAX(FILTER(ROW(H$2:H4345) - ROW(H$2) + 1, P$2:P4345 = P4346))))=""単価"","""",
IF(COUNTIF(P$2:P4345, P4346)=0, """", INDEX(H$2:H4345,
MAX(FILTER(ROW(H$2:H4345) - ROW(H$2) + 1, P$2:P4345 = P4346)))))"),44.0)</f>
        <v>44</v>
      </c>
      <c r="N4346" s="335" t="str">
        <f>IF(MAXIFS('単価履歴'!$O:$O,'単価履歴'!$E:$E,E4346,'単価履歴'!$F:$F,F4346)=O4346,"●","")</f>
        <v/>
      </c>
      <c r="O4346" s="346">
        <v>46084.36550925926</v>
      </c>
      <c r="P4346" s="334" t="str">
        <f t="shared" si="4"/>
        <v>愛知:ナベＨ１(特A)</v>
      </c>
    </row>
    <row r="4347" ht="15.75" customHeight="1">
      <c r="A4347" s="335" t="s">
        <v>5494</v>
      </c>
      <c r="B4347" s="336">
        <v>46084.0</v>
      </c>
      <c r="C4347" s="335" t="s">
        <v>14</v>
      </c>
      <c r="D4347" s="335" t="s">
        <v>48</v>
      </c>
      <c r="E4347" s="337" t="str">
        <f t="shared" si="1"/>
        <v>愛知:ナベ</v>
      </c>
      <c r="F4347" s="338" t="s">
        <v>116</v>
      </c>
      <c r="G4347" s="339" t="str">
        <f t="shared" si="2"/>
        <v>愛知:ナベＨ２(特級)</v>
      </c>
      <c r="H4347" s="340">
        <f t="shared" si="3"/>
        <v>43.4</v>
      </c>
      <c r="I4347" s="341">
        <v>1.0</v>
      </c>
      <c r="J4347" s="332">
        <f>IFERROR(__xludf.DUMMYFUNCTION("IF(IF(COUNTIF(P$2:P4346, P4347)=0, """", INDEX(H$2:H4346,
MAX(FILTER(ROW(H$2:H4346) - ROW(H$2) + 1, P$2:P4346 = P4347))))=""単価"","""",
IF(COUNTIF(P$2:P4346, P4347)=0, """", INDEX(H$2:H4346,
MAX(FILTER(ROW(H$2:H4346) - ROW(H$2) + 1, P$2:P4346 = P4347)))))"),42.4)</f>
        <v>42.4</v>
      </c>
      <c r="N4347" s="335" t="str">
        <f>IF(MAXIFS('単価履歴'!$O:$O,'単価履歴'!$E:$E,E4347,'単価履歴'!$F:$F,F4347)=O4347,"●","")</f>
        <v/>
      </c>
      <c r="O4347" s="346">
        <v>46084.36550925926</v>
      </c>
      <c r="P4347" s="334" t="str">
        <f t="shared" si="4"/>
        <v>愛知:ナベＨ２(特級)</v>
      </c>
    </row>
    <row r="4348" ht="15.75" customHeight="1">
      <c r="A4348" s="335" t="s">
        <v>5495</v>
      </c>
      <c r="B4348" s="336">
        <v>46084.0</v>
      </c>
      <c r="C4348" s="335" t="s">
        <v>14</v>
      </c>
      <c r="D4348" s="335" t="s">
        <v>48</v>
      </c>
      <c r="E4348" s="337" t="str">
        <f t="shared" si="1"/>
        <v>愛知:ナベ</v>
      </c>
      <c r="F4348" s="338" t="s">
        <v>119</v>
      </c>
      <c r="G4348" s="339" t="str">
        <f t="shared" si="2"/>
        <v>愛知:ナベＨ３(1級)</v>
      </c>
      <c r="H4348" s="340">
        <f t="shared" si="3"/>
        <v>42.4</v>
      </c>
      <c r="I4348" s="341">
        <v>1.0</v>
      </c>
      <c r="J4348" s="332">
        <f>IFERROR(__xludf.DUMMYFUNCTION("IF(IF(COUNTIF(P$2:P4347, P4348)=0, """", INDEX(H$2:H4347,
MAX(FILTER(ROW(H$2:H4347) - ROW(H$2) + 1, P$2:P4347 = P4348))))=""単価"","""",
IF(COUNTIF(P$2:P4347, P4348)=0, """", INDEX(H$2:H4347,
MAX(FILTER(ROW(H$2:H4347) - ROW(H$2) + 1, P$2:P4347 = P4348)))))"),41.4)</f>
        <v>41.4</v>
      </c>
      <c r="N4348" s="335" t="str">
        <f>IF(MAXIFS('単価履歴'!$O:$O,'単価履歴'!$E:$E,E4348,'単価履歴'!$F:$F,F4348)=O4348,"●","")</f>
        <v/>
      </c>
      <c r="O4348" s="346">
        <v>46084.36550925926</v>
      </c>
      <c r="P4348" s="334" t="str">
        <f t="shared" si="4"/>
        <v>愛知:ナベＨ３(1級)</v>
      </c>
    </row>
    <row r="4349" ht="15.75" customHeight="1">
      <c r="A4349" s="335" t="s">
        <v>5496</v>
      </c>
      <c r="B4349" s="336">
        <v>46084.0</v>
      </c>
      <c r="C4349" s="335" t="s">
        <v>14</v>
      </c>
      <c r="D4349" s="335" t="s">
        <v>48</v>
      </c>
      <c r="E4349" s="337" t="str">
        <f t="shared" si="1"/>
        <v>愛知:ナベ</v>
      </c>
      <c r="F4349" s="338" t="s">
        <v>573</v>
      </c>
      <c r="G4349" s="339" t="str">
        <f t="shared" si="2"/>
        <v>愛知:ナベＬ２(H4･級外･L1ﾊﾞﾗ)</v>
      </c>
      <c r="H4349" s="340">
        <f t="shared" si="3"/>
        <v>38.4</v>
      </c>
      <c r="I4349" s="341">
        <v>1.0</v>
      </c>
      <c r="J4349" s="332">
        <f>IFERROR(__xludf.DUMMYFUNCTION("IF(IF(COUNTIF(P$2:P4348, P4349)=0, """", INDEX(H$2:H4348,
MAX(FILTER(ROW(H$2:H4348) - ROW(H$2) + 1, P$2:P4348 = P4349))))=""単価"","""",
IF(COUNTIF(P$2:P4348, P4349)=0, """", INDEX(H$2:H4348,
MAX(FILTER(ROW(H$2:H4348) - ROW(H$2) + 1, P$2:P4348 = P4349)))))"),37.4)</f>
        <v>37.4</v>
      </c>
      <c r="N4349" s="335" t="str">
        <f>IF(MAXIFS('単価履歴'!$O:$O,'単価履歴'!$E:$E,E4349,'単価履歴'!$F:$F,F4349)=O4349,"●","")</f>
        <v/>
      </c>
      <c r="O4349" s="346">
        <v>46084.36550925926</v>
      </c>
      <c r="P4349" s="334" t="str">
        <f t="shared" si="4"/>
        <v>愛知:ナベＬ２(H4･級外･L1ﾊﾞﾗ)</v>
      </c>
    </row>
    <row r="4350" ht="15.75" customHeight="1">
      <c r="A4350" s="335" t="s">
        <v>5497</v>
      </c>
      <c r="B4350" s="336">
        <v>46084.0</v>
      </c>
      <c r="C4350" s="335" t="s">
        <v>14</v>
      </c>
      <c r="D4350" s="335" t="s">
        <v>48</v>
      </c>
      <c r="E4350" s="337" t="str">
        <f t="shared" si="1"/>
        <v>愛知:ナベ</v>
      </c>
      <c r="F4350" s="338" t="s">
        <v>575</v>
      </c>
      <c r="G4350" s="339" t="str">
        <f t="shared" si="2"/>
        <v>愛知:ナベ鋼ダライＡ</v>
      </c>
      <c r="H4350" s="340">
        <f t="shared" si="3"/>
        <v>4.5</v>
      </c>
      <c r="I4350" s="341">
        <v>1.0</v>
      </c>
      <c r="J4350" s="332">
        <f>IFERROR(__xludf.DUMMYFUNCTION("IF(IF(COUNTIF(P$2:P4349, P4350)=0, """", INDEX(H$2:H4349,
MAX(FILTER(ROW(H$2:H4349) - ROW(H$2) + 1, P$2:P4349 = P4350))))=""単価"","""",
IF(COUNTIF(P$2:P4349, P4350)=0, """", INDEX(H$2:H4349,
MAX(FILTER(ROW(H$2:H4349) - ROW(H$2) + 1, P$2:P4349 = P4350)))))"),3.5)</f>
        <v>3.5</v>
      </c>
      <c r="N4350" s="335" t="str">
        <f>IF(MAXIFS('単価履歴'!$O:$O,'単価履歴'!$E:$E,E4350,'単価履歴'!$F:$F,F4350)=O4350,"●","")</f>
        <v/>
      </c>
      <c r="O4350" s="346">
        <v>46084.36550925926</v>
      </c>
      <c r="P4350" s="334" t="str">
        <f t="shared" si="4"/>
        <v>愛知:ナベ鋼ダライＡ</v>
      </c>
    </row>
    <row r="4351" ht="15.75" customHeight="1">
      <c r="A4351" s="335" t="s">
        <v>5498</v>
      </c>
      <c r="B4351" s="336">
        <v>46084.0</v>
      </c>
      <c r="C4351" s="335" t="s">
        <v>22</v>
      </c>
      <c r="D4351" s="335" t="s">
        <v>47</v>
      </c>
      <c r="E4351" s="337" t="str">
        <f t="shared" si="1"/>
        <v>栗本鐵工:豊通</v>
      </c>
      <c r="F4351" s="338" t="s">
        <v>1199</v>
      </c>
      <c r="G4351" s="339" t="str">
        <f t="shared" si="2"/>
        <v>栗本鐵工:豊通ＨＳ１(単体H1/電特A/HS))</v>
      </c>
      <c r="H4351" s="340">
        <f t="shared" si="3"/>
        <v>51.8</v>
      </c>
      <c r="I4351" s="341">
        <v>0.5</v>
      </c>
      <c r="J4351" s="332">
        <f>IFERROR(__xludf.DUMMYFUNCTION("IF(IF(COUNTIF(P$2:P4350, P4351)=0, """", INDEX(H$2:H4350,
MAX(FILTER(ROW(H$2:H4350) - ROW(H$2) + 1, P$2:P4350 = P4351))))=""単価"","""",
IF(COUNTIF(P$2:P4350, P4351)=0, """", INDEX(H$2:H4350,
MAX(FILTER(ROW(H$2:H4350) - ROW(H$2) + 1, P$2:P4350 = P4351)))))"),51.3)</f>
        <v>51.3</v>
      </c>
      <c r="N4351" s="335" t="str">
        <f>IF(MAXIFS('単価履歴'!$O:$O,'単価履歴'!$E:$E,E4351,'単価履歴'!$F:$F,F4351)=O4351,"●","")</f>
        <v/>
      </c>
      <c r="O4351" s="346">
        <v>46084.36662037037</v>
      </c>
      <c r="P4351" s="334" t="str">
        <f t="shared" si="4"/>
        <v>栗本鐵工:豊通ＨＳ１(単体H1/電特A/HS))</v>
      </c>
    </row>
    <row r="4352" ht="15.75" customHeight="1">
      <c r="A4352" s="335" t="s">
        <v>5499</v>
      </c>
      <c r="B4352" s="336">
        <v>46084.0</v>
      </c>
      <c r="C4352" s="335" t="s">
        <v>22</v>
      </c>
      <c r="D4352" s="335" t="s">
        <v>47</v>
      </c>
      <c r="E4352" s="337" t="str">
        <f t="shared" si="1"/>
        <v>栗本鐵工:豊通</v>
      </c>
      <c r="F4352" s="338" t="s">
        <v>101</v>
      </c>
      <c r="G4352" s="339" t="str">
        <f t="shared" si="2"/>
        <v>栗本鐵工:豊通ＨＳ２</v>
      </c>
      <c r="H4352" s="340">
        <f t="shared" si="3"/>
        <v>51.5</v>
      </c>
      <c r="I4352" s="341">
        <v>0.5</v>
      </c>
      <c r="J4352" s="332">
        <f>IFERROR(__xludf.DUMMYFUNCTION("IF(IF(COUNTIF(P$2:P4351, P4352)=0, """", INDEX(H$2:H4351,
MAX(FILTER(ROW(H$2:H4351) - ROW(H$2) + 1, P$2:P4351 = P4352))))=""単価"","""",
IF(COUNTIF(P$2:P4351, P4352)=0, """", INDEX(H$2:H4351,
MAX(FILTER(ROW(H$2:H4351) - ROW(H$2) + 1, P$2:P4351 = P4352)))))"),51.0)</f>
        <v>51</v>
      </c>
      <c r="N4352" s="335" t="str">
        <f>IF(MAXIFS('単価履歴'!$O:$O,'単価履歴'!$E:$E,E4352,'単価履歴'!$F:$F,F4352)=O4352,"●","")</f>
        <v/>
      </c>
      <c r="O4352" s="346">
        <v>46084.36662037037</v>
      </c>
      <c r="P4352" s="334" t="str">
        <f t="shared" si="4"/>
        <v>栗本鐵工:豊通ＨＳ２</v>
      </c>
    </row>
    <row r="4353" ht="15.75" customHeight="1">
      <c r="A4353" s="335" t="s">
        <v>5500</v>
      </c>
      <c r="B4353" s="336">
        <v>46084.0</v>
      </c>
      <c r="C4353" s="335" t="s">
        <v>22</v>
      </c>
      <c r="D4353" s="335" t="s">
        <v>47</v>
      </c>
      <c r="E4353" s="337" t="str">
        <f t="shared" si="1"/>
        <v>栗本鐵工:豊通</v>
      </c>
      <c r="F4353" s="338" t="s">
        <v>105</v>
      </c>
      <c r="G4353" s="339" t="str">
        <f t="shared" si="2"/>
        <v>栗本鐵工:豊通ＨＳ３</v>
      </c>
      <c r="H4353" s="340">
        <f t="shared" si="3"/>
        <v>50.6</v>
      </c>
      <c r="I4353" s="341">
        <v>0.5</v>
      </c>
      <c r="J4353" s="332">
        <f>IFERROR(__xludf.DUMMYFUNCTION("IF(IF(COUNTIF(P$2:P4352, P4353)=0, """", INDEX(H$2:H4352,
MAX(FILTER(ROW(H$2:H4352) - ROW(H$2) + 1, P$2:P4352 = P4353))))=""単価"","""",
IF(COUNTIF(P$2:P4352, P4353)=0, """", INDEX(H$2:H4352,
MAX(FILTER(ROW(H$2:H4352) - ROW(H$2) + 1, P$2:P4352 = P4353)))))"),50.1)</f>
        <v>50.1</v>
      </c>
      <c r="N4353" s="335" t="str">
        <f>IF(MAXIFS('単価履歴'!$O:$O,'単価履歴'!$E:$E,E4353,'単価履歴'!$F:$F,F4353)=O4353,"●","")</f>
        <v/>
      </c>
      <c r="O4353" s="346">
        <v>46084.36662037037</v>
      </c>
      <c r="P4353" s="334" t="str">
        <f t="shared" si="4"/>
        <v>栗本鐵工:豊通ＨＳ３</v>
      </c>
    </row>
    <row r="4354" ht="15.75" customHeight="1">
      <c r="A4354" s="335" t="s">
        <v>5501</v>
      </c>
      <c r="B4354" s="336">
        <v>46084.0</v>
      </c>
      <c r="C4354" s="335" t="s">
        <v>22</v>
      </c>
      <c r="D4354" s="335" t="s">
        <v>47</v>
      </c>
      <c r="E4354" s="337" t="str">
        <f t="shared" si="1"/>
        <v>栗本鐵工:豊通</v>
      </c>
      <c r="F4354" s="338" t="s">
        <v>577</v>
      </c>
      <c r="G4354" s="339" t="str">
        <f t="shared" si="2"/>
        <v>栗本鐵工:豊通鋳物・ﾀﾞｸﾀｲﾙ</v>
      </c>
      <c r="H4354" s="340">
        <f t="shared" si="3"/>
        <v>50.4</v>
      </c>
      <c r="I4354" s="341">
        <v>0.5</v>
      </c>
      <c r="J4354" s="332">
        <f>IFERROR(__xludf.DUMMYFUNCTION("IF(IF(COUNTIF(P$2:P4353, P4354)=0, """", INDEX(H$2:H4353,
MAX(FILTER(ROW(H$2:H4353) - ROW(H$2) + 1, P$2:P4353 = P4354))))=""単価"","""",
IF(COUNTIF(P$2:P4353, P4354)=0, """", INDEX(H$2:H4353,
MAX(FILTER(ROW(H$2:H4353) - ROW(H$2) + 1, P$2:P4353 = P4354)))))"),49.9)</f>
        <v>49.9</v>
      </c>
      <c r="N4354" s="335" t="str">
        <f>IF(MAXIFS('単価履歴'!$O:$O,'単価履歴'!$E:$E,E4354,'単価履歴'!$F:$F,F4354)=O4354,"●","")</f>
        <v/>
      </c>
      <c r="O4354" s="346">
        <v>46084.36662037037</v>
      </c>
      <c r="P4354" s="334" t="str">
        <f t="shared" si="4"/>
        <v>栗本鐵工:豊通鋳物・ﾀﾞｸﾀｲﾙ</v>
      </c>
    </row>
    <row r="4355" ht="15.75" customHeight="1">
      <c r="A4355" s="335" t="s">
        <v>5502</v>
      </c>
      <c r="B4355" s="336">
        <v>46074.0</v>
      </c>
      <c r="C4355" s="335" t="s">
        <v>28</v>
      </c>
      <c r="D4355" s="335" t="s">
        <v>52</v>
      </c>
      <c r="E4355" s="337" t="str">
        <f t="shared" si="1"/>
        <v>ＪＦＥ条鋼:リバイブ</v>
      </c>
      <c r="F4355" s="338" t="s">
        <v>111</v>
      </c>
      <c r="G4355" s="339" t="str">
        <f t="shared" si="2"/>
        <v>ＪＦＥ条鋼:リバイブＨ１(特A)</v>
      </c>
      <c r="H4355" s="340">
        <f t="shared" si="3"/>
        <v>46.5</v>
      </c>
      <c r="I4355" s="341">
        <v>1.0</v>
      </c>
      <c r="J4355" s="332">
        <f>IFERROR(__xludf.DUMMYFUNCTION("IF(IF(COUNTIF(P$2:P4354, P4355)=0, """", INDEX(H$2:H4354,
MAX(FILTER(ROW(H$2:H4354) - ROW(H$2) + 1, P$2:P4354 = P4355))))=""単価"","""",
IF(COUNTIF(P$2:P4354, P4355)=0, """", INDEX(H$2:H4354,
MAX(FILTER(ROW(H$2:H4354) - ROW(H$2) + 1, P$2:P4354 = P4355)))))"),45.5)</f>
        <v>45.5</v>
      </c>
      <c r="N4355" s="335" t="str">
        <f>IF(MAXIFS('単価履歴'!$O:$O,'単価履歴'!$E:$E,E4355,'単価履歴'!$F:$F,F4355)=O4355,"●","")</f>
        <v/>
      </c>
      <c r="O4355" s="346">
        <v>46084.57988425926</v>
      </c>
      <c r="P4355" s="334" t="str">
        <f t="shared" si="4"/>
        <v>ＪＦＥ条鋼:リバイブＨ１(特A)</v>
      </c>
    </row>
    <row r="4356" ht="15.75" customHeight="1">
      <c r="A4356" s="335" t="s">
        <v>5503</v>
      </c>
      <c r="B4356" s="336">
        <v>46074.0</v>
      </c>
      <c r="C4356" s="335" t="s">
        <v>28</v>
      </c>
      <c r="D4356" s="335" t="s">
        <v>52</v>
      </c>
      <c r="E4356" s="337" t="str">
        <f t="shared" si="1"/>
        <v>ＪＦＥ条鋼:リバイブ</v>
      </c>
      <c r="F4356" s="338" t="s">
        <v>116</v>
      </c>
      <c r="G4356" s="339" t="str">
        <f t="shared" si="2"/>
        <v>ＪＦＥ条鋼:リバイブＨ２(特級)</v>
      </c>
      <c r="H4356" s="340">
        <f t="shared" si="3"/>
        <v>46.5</v>
      </c>
      <c r="I4356" s="341">
        <v>1.0</v>
      </c>
      <c r="J4356" s="332">
        <f>IFERROR(__xludf.DUMMYFUNCTION("IF(IF(COUNTIF(P$2:P4355, P4356)=0, """", INDEX(H$2:H4355,
MAX(FILTER(ROW(H$2:H4355) - ROW(H$2) + 1, P$2:P4355 = P4356))))=""単価"","""",
IF(COUNTIF(P$2:P4355, P4356)=0, """", INDEX(H$2:H4355,
MAX(FILTER(ROW(H$2:H4355) - ROW(H$2) + 1, P$2:P4355 = P4356)))))"),45.5)</f>
        <v>45.5</v>
      </c>
      <c r="N4356" s="335" t="str">
        <f>IF(MAXIFS('単価履歴'!$O:$O,'単価履歴'!$E:$E,E4356,'単価履歴'!$F:$F,F4356)=O4356,"●","")</f>
        <v/>
      </c>
      <c r="O4356" s="346">
        <v>46084.57988425926</v>
      </c>
      <c r="P4356" s="334" t="str">
        <f t="shared" si="4"/>
        <v>ＪＦＥ条鋼:リバイブＨ２(特級)</v>
      </c>
    </row>
    <row r="4357" ht="15.75" customHeight="1">
      <c r="A4357" s="335" t="s">
        <v>5504</v>
      </c>
      <c r="B4357" s="336">
        <v>46074.0</v>
      </c>
      <c r="C4357" s="335" t="s">
        <v>28</v>
      </c>
      <c r="D4357" s="335" t="s">
        <v>52</v>
      </c>
      <c r="E4357" s="337" t="str">
        <f t="shared" si="1"/>
        <v>ＪＦＥ条鋼:リバイブ</v>
      </c>
      <c r="F4357" s="338" t="s">
        <v>119</v>
      </c>
      <c r="G4357" s="339" t="str">
        <f t="shared" si="2"/>
        <v>ＪＦＥ条鋼:リバイブＨ３(1級)</v>
      </c>
      <c r="H4357" s="340">
        <f t="shared" si="3"/>
        <v>45.5</v>
      </c>
      <c r="I4357" s="341">
        <v>1.0</v>
      </c>
      <c r="J4357" s="332">
        <f>IFERROR(__xludf.DUMMYFUNCTION("IF(IF(COUNTIF(P$2:P4356, P4357)=0, """", INDEX(H$2:H4356,
MAX(FILTER(ROW(H$2:H4356) - ROW(H$2) + 1, P$2:P4356 = P4357))))=""単価"","""",
IF(COUNTIF(P$2:P4356, P4357)=0, """", INDEX(H$2:H4356,
MAX(FILTER(ROW(H$2:H4356) - ROW(H$2) + 1, P$2:P4356 = P4357)))))"),44.5)</f>
        <v>44.5</v>
      </c>
      <c r="N4357" s="335" t="str">
        <f>IF(MAXIFS('単価履歴'!$O:$O,'単価履歴'!$E:$E,E4357,'単価履歴'!$F:$F,F4357)=O4357,"●","")</f>
        <v/>
      </c>
      <c r="O4357" s="346">
        <v>46084.57988425926</v>
      </c>
      <c r="P4357" s="334" t="str">
        <f t="shared" si="4"/>
        <v>ＪＦＥ条鋼:リバイブＨ３(1級)</v>
      </c>
    </row>
    <row r="4358" ht="15.75" customHeight="1">
      <c r="A4358" s="335" t="s">
        <v>5505</v>
      </c>
      <c r="B4358" s="336">
        <v>46074.0</v>
      </c>
      <c r="C4358" s="335" t="s">
        <v>28</v>
      </c>
      <c r="D4358" s="335" t="s">
        <v>52</v>
      </c>
      <c r="E4358" s="337" t="str">
        <f t="shared" si="1"/>
        <v>ＪＦＥ条鋼:リバイブ</v>
      </c>
      <c r="F4358" s="338" t="s">
        <v>122</v>
      </c>
      <c r="G4358" s="339" t="str">
        <f t="shared" si="2"/>
        <v>ＪＦＥ条鋼:リバイブＬ１(2級)</v>
      </c>
      <c r="H4358" s="340">
        <f t="shared" si="3"/>
        <v>42.5</v>
      </c>
      <c r="I4358" s="341">
        <v>1.0</v>
      </c>
      <c r="J4358" s="332">
        <f>IFERROR(__xludf.DUMMYFUNCTION("IF(IF(COUNTIF(P$2:P4357, P4358)=0, """", INDEX(H$2:H4357,
MAX(FILTER(ROW(H$2:H4357) - ROW(H$2) + 1, P$2:P4357 = P4358))))=""単価"","""",
IF(COUNTIF(P$2:P4357, P4358)=0, """", INDEX(H$2:H4357,
MAX(FILTER(ROW(H$2:H4357) - ROW(H$2) + 1, P$2:P4357 = P4358)))))"),41.5)</f>
        <v>41.5</v>
      </c>
      <c r="N4358" s="335" t="str">
        <f>IF(MAXIFS('単価履歴'!$O:$O,'単価履歴'!$E:$E,E4358,'単価履歴'!$F:$F,F4358)=O4358,"●","")</f>
        <v/>
      </c>
      <c r="O4358" s="346">
        <v>46084.57988425926</v>
      </c>
      <c r="P4358" s="334" t="str">
        <f t="shared" si="4"/>
        <v>ＪＦＥ条鋼:リバイブＬ１(2級)</v>
      </c>
    </row>
    <row r="4359" ht="15.75" customHeight="1">
      <c r="A4359" s="335" t="s">
        <v>5506</v>
      </c>
      <c r="B4359" s="336">
        <v>46074.0</v>
      </c>
      <c r="C4359" s="335" t="s">
        <v>28</v>
      </c>
      <c r="D4359" s="335" t="s">
        <v>52</v>
      </c>
      <c r="E4359" s="337" t="str">
        <f t="shared" si="1"/>
        <v>ＪＦＥ条鋼:リバイブ</v>
      </c>
      <c r="F4359" s="338" t="s">
        <v>573</v>
      </c>
      <c r="G4359" s="339" t="str">
        <f t="shared" si="2"/>
        <v>ＪＦＥ条鋼:リバイブＬ２(H4･級外･L1ﾊﾞﾗ)</v>
      </c>
      <c r="H4359" s="340">
        <f t="shared" si="3"/>
        <v>35.5</v>
      </c>
      <c r="I4359" s="341">
        <v>1.0</v>
      </c>
      <c r="J4359" s="332">
        <f>IFERROR(__xludf.DUMMYFUNCTION("IF(IF(COUNTIF(P$2:P4358, P4359)=0, """", INDEX(H$2:H4358,
MAX(FILTER(ROW(H$2:H4358) - ROW(H$2) + 1, P$2:P4358 = P4359))))=""単価"","""",
IF(COUNTIF(P$2:P4358, P4359)=0, """", INDEX(H$2:H4358,
MAX(FILTER(ROW(H$2:H4358) - ROW(H$2) + 1, P$2:P4358 = P4359)))))"),34.5)</f>
        <v>34.5</v>
      </c>
      <c r="N4359" s="335" t="str">
        <f>IF(MAXIFS('単価履歴'!$O:$O,'単価履歴'!$E:$E,E4359,'単価履歴'!$F:$F,F4359)=O4359,"●","")</f>
        <v/>
      </c>
      <c r="O4359" s="346">
        <v>46084.57988425926</v>
      </c>
      <c r="P4359" s="334" t="str">
        <f t="shared" si="4"/>
        <v>ＪＦＥ条鋼:リバイブＬ２(H4･級外･L1ﾊﾞﾗ)</v>
      </c>
    </row>
    <row r="4360" ht="15.75" customHeight="1">
      <c r="A4360" s="335" t="s">
        <v>5507</v>
      </c>
      <c r="B4360" s="336">
        <v>46074.0</v>
      </c>
      <c r="C4360" s="335" t="s">
        <v>28</v>
      </c>
      <c r="D4360" s="335" t="s">
        <v>52</v>
      </c>
      <c r="E4360" s="337" t="str">
        <f t="shared" si="1"/>
        <v>ＪＦＥ条鋼:リバイブ</v>
      </c>
      <c r="F4360" s="338" t="s">
        <v>130</v>
      </c>
      <c r="G4360" s="339" t="str">
        <f t="shared" si="2"/>
        <v>ＪＦＥ条鋼:リバイブ新断Ａ</v>
      </c>
      <c r="H4360" s="340">
        <f t="shared" si="3"/>
        <v>49</v>
      </c>
      <c r="I4360" s="341">
        <v>1.0</v>
      </c>
      <c r="J4360" s="332">
        <f>IFERROR(__xludf.DUMMYFUNCTION("IF(IF(COUNTIF(P$2:P4359, P4360)=0, """", INDEX(H$2:H4359,
MAX(FILTER(ROW(H$2:H4359) - ROW(H$2) + 1, P$2:P4359 = P4360))))=""単価"","""",
IF(COUNTIF(P$2:P4359, P4360)=0, """", INDEX(H$2:H4359,
MAX(FILTER(ROW(H$2:H4359) - ROW(H$2) + 1, P$2:P4359 = P4360)))))"),48.0)</f>
        <v>48</v>
      </c>
      <c r="N4360" s="335" t="str">
        <f>IF(MAXIFS('単価履歴'!$O:$O,'単価履歴'!$E:$E,E4360,'単価履歴'!$F:$F,F4360)=O4360,"●","")</f>
        <v/>
      </c>
      <c r="O4360" s="346">
        <v>46084.57988425926</v>
      </c>
      <c r="P4360" s="334" t="str">
        <f t="shared" si="4"/>
        <v>ＪＦＥ条鋼:リバイブ新断Ａ</v>
      </c>
    </row>
    <row r="4361" ht="15.75" customHeight="1">
      <c r="A4361" s="335" t="s">
        <v>5508</v>
      </c>
      <c r="B4361" s="336">
        <v>46074.0</v>
      </c>
      <c r="C4361" s="335" t="s">
        <v>28</v>
      </c>
      <c r="D4361" s="335" t="s">
        <v>52</v>
      </c>
      <c r="E4361" s="337" t="str">
        <f t="shared" si="1"/>
        <v>ＪＦＥ条鋼:リバイブ</v>
      </c>
      <c r="F4361" s="338" t="s">
        <v>131</v>
      </c>
      <c r="G4361" s="339" t="str">
        <f t="shared" si="2"/>
        <v>ＪＦＥ条鋼:リバイブ新断Ｂ</v>
      </c>
      <c r="H4361" s="340">
        <f t="shared" si="3"/>
        <v>48</v>
      </c>
      <c r="I4361" s="341">
        <v>1.0</v>
      </c>
      <c r="J4361" s="332">
        <f>IFERROR(__xludf.DUMMYFUNCTION("IF(IF(COUNTIF(P$2:P4360, P4361)=0, """", INDEX(H$2:H4360,
MAX(FILTER(ROW(H$2:H4360) - ROW(H$2) + 1, P$2:P4360 = P4361))))=""単価"","""",
IF(COUNTIF(P$2:P4360, P4361)=0, """", INDEX(H$2:H4360,
MAX(FILTER(ROW(H$2:H4360) - ROW(H$2) + 1, P$2:P4360 = P4361)))))"),47.0)</f>
        <v>47</v>
      </c>
      <c r="N4361" s="335" t="str">
        <f>IF(MAXIFS('単価履歴'!$O:$O,'単価履歴'!$E:$E,E4361,'単価履歴'!$F:$F,F4361)=O4361,"●","")</f>
        <v/>
      </c>
      <c r="O4361" s="346">
        <v>46084.57988425926</v>
      </c>
      <c r="P4361" s="334" t="str">
        <f t="shared" si="4"/>
        <v>ＪＦＥ条鋼:リバイブ新断Ｂ</v>
      </c>
    </row>
    <row r="4362" ht="15.75" customHeight="1">
      <c r="A4362" s="335" t="s">
        <v>5509</v>
      </c>
      <c r="B4362" s="336">
        <v>46074.0</v>
      </c>
      <c r="C4362" s="335" t="s">
        <v>28</v>
      </c>
      <c r="D4362" s="335" t="s">
        <v>52</v>
      </c>
      <c r="E4362" s="337" t="str">
        <f t="shared" si="1"/>
        <v>ＪＦＥ条鋼:リバイブ</v>
      </c>
      <c r="F4362" s="338" t="s">
        <v>575</v>
      </c>
      <c r="G4362" s="339" t="str">
        <f t="shared" si="2"/>
        <v>ＪＦＥ条鋼:リバイブ鋼ダライＡ</v>
      </c>
      <c r="H4362" s="340">
        <f t="shared" si="3"/>
        <v>40.5</v>
      </c>
      <c r="I4362" s="341">
        <v>1.0</v>
      </c>
      <c r="J4362" s="332">
        <f>IFERROR(__xludf.DUMMYFUNCTION("IF(IF(COUNTIF(P$2:P4361, P4362)=0, """", INDEX(H$2:H4361,
MAX(FILTER(ROW(H$2:H4361) - ROW(H$2) + 1, P$2:P4361 = P4362))))=""単価"","""",
IF(COUNTIF(P$2:P4361, P4362)=0, """", INDEX(H$2:H4361,
MAX(FILTER(ROW(H$2:H4361) - ROW(H$2) + 1, P$2:P4361 = P4362)))))"),39.5)</f>
        <v>39.5</v>
      </c>
      <c r="N4362" s="335" t="str">
        <f>IF(MAXIFS('単価履歴'!$O:$O,'単価履歴'!$E:$E,E4362,'単価履歴'!$F:$F,F4362)=O4362,"●","")</f>
        <v/>
      </c>
      <c r="O4362" s="346">
        <v>46084.57988425926</v>
      </c>
      <c r="P4362" s="334" t="str">
        <f t="shared" si="4"/>
        <v>ＪＦＥ条鋼:リバイブ鋼ダライＡ</v>
      </c>
    </row>
    <row r="4363" ht="15.75" customHeight="1">
      <c r="A4363" s="335" t="s">
        <v>5510</v>
      </c>
      <c r="B4363" s="336">
        <v>46074.0</v>
      </c>
      <c r="C4363" s="335" t="s">
        <v>28</v>
      </c>
      <c r="D4363" s="335" t="s">
        <v>52</v>
      </c>
      <c r="E4363" s="337" t="str">
        <f t="shared" si="1"/>
        <v>ＪＦＥ条鋼:リバイブ</v>
      </c>
      <c r="F4363" s="338" t="s">
        <v>154</v>
      </c>
      <c r="G4363" s="339" t="str">
        <f t="shared" si="2"/>
        <v>ＪＦＥ条鋼:リバイブＣＰ Ａ</v>
      </c>
      <c r="H4363" s="340">
        <f t="shared" si="3"/>
        <v>47.5</v>
      </c>
      <c r="I4363" s="341">
        <v>1.0</v>
      </c>
      <c r="J4363" s="332">
        <f>IFERROR(__xludf.DUMMYFUNCTION("IF(IF(COUNTIF(P$2:P4362, P4363)=0, """", INDEX(H$2:H4362,
MAX(FILTER(ROW(H$2:H4362) - ROW(H$2) + 1, P$2:P4362 = P4363))))=""単価"","""",
IF(COUNTIF(P$2:P4362, P4363)=0, """", INDEX(H$2:H4362,
MAX(FILTER(ROW(H$2:H4362) - ROW(H$2) + 1, P$2:P4362 = P4363)))))"),46.5)</f>
        <v>46.5</v>
      </c>
      <c r="N4363" s="335" t="str">
        <f>IF(MAXIFS('単価履歴'!$O:$O,'単価履歴'!$E:$E,E4363,'単価履歴'!$F:$F,F4363)=O4363,"●","")</f>
        <v/>
      </c>
      <c r="O4363" s="346">
        <v>46084.57988425926</v>
      </c>
      <c r="P4363" s="334" t="str">
        <f t="shared" si="4"/>
        <v>ＪＦＥ条鋼:リバイブＣＰ Ａ</v>
      </c>
    </row>
    <row r="4364" ht="15.75" customHeight="1">
      <c r="A4364" s="335" t="s">
        <v>5511</v>
      </c>
      <c r="B4364" s="336">
        <v>46084.0</v>
      </c>
      <c r="C4364" s="335" t="s">
        <v>28</v>
      </c>
      <c r="D4364" s="335" t="s">
        <v>52</v>
      </c>
      <c r="E4364" s="337" t="str">
        <f t="shared" si="1"/>
        <v>ＪＦＥ条鋼:リバイブ</v>
      </c>
      <c r="F4364" s="338" t="s">
        <v>111</v>
      </c>
      <c r="G4364" s="339" t="str">
        <f t="shared" si="2"/>
        <v>ＪＦＥ条鋼:リバイブＨ１(特A)</v>
      </c>
      <c r="H4364" s="340">
        <f t="shared" si="3"/>
        <v>47.5</v>
      </c>
      <c r="I4364" s="341">
        <v>1.0</v>
      </c>
      <c r="J4364" s="332">
        <f>IFERROR(__xludf.DUMMYFUNCTION("IF(IF(COUNTIF(P$2:P4363, P4364)=0, """", INDEX(H$2:H4363,
MAX(FILTER(ROW(H$2:H4363) - ROW(H$2) + 1, P$2:P4363 = P4364))))=""単価"","""",
IF(COUNTIF(P$2:P4363, P4364)=0, """", INDEX(H$2:H4363,
MAX(FILTER(ROW(H$2:H4363) - ROW(H$2) + 1, P$2:P4363 = P4364)))))"),46.5)</f>
        <v>46.5</v>
      </c>
      <c r="N4364" s="335" t="str">
        <f>IF(MAXIFS('単価履歴'!$O:$O,'単価履歴'!$E:$E,E4364,'単価履歴'!$F:$F,F4364)=O4364,"●","")</f>
        <v/>
      </c>
      <c r="O4364" s="346">
        <v>46084.583506944444</v>
      </c>
      <c r="P4364" s="334" t="str">
        <f t="shared" si="4"/>
        <v>ＪＦＥ条鋼:リバイブＨ１(特A)</v>
      </c>
    </row>
    <row r="4365" ht="15.75" customHeight="1">
      <c r="A4365" s="335" t="s">
        <v>5512</v>
      </c>
      <c r="B4365" s="336">
        <v>46084.0</v>
      </c>
      <c r="C4365" s="335" t="s">
        <v>28</v>
      </c>
      <c r="D4365" s="335" t="s">
        <v>52</v>
      </c>
      <c r="E4365" s="337" t="str">
        <f t="shared" si="1"/>
        <v>ＪＦＥ条鋼:リバイブ</v>
      </c>
      <c r="F4365" s="338" t="s">
        <v>116</v>
      </c>
      <c r="G4365" s="339" t="str">
        <f t="shared" si="2"/>
        <v>ＪＦＥ条鋼:リバイブＨ２(特級)</v>
      </c>
      <c r="H4365" s="340">
        <f t="shared" si="3"/>
        <v>47.5</v>
      </c>
      <c r="I4365" s="341">
        <v>1.0</v>
      </c>
      <c r="J4365" s="332">
        <f>IFERROR(__xludf.DUMMYFUNCTION("IF(IF(COUNTIF(P$2:P4364, P4365)=0, """", INDEX(H$2:H4364,
MAX(FILTER(ROW(H$2:H4364) - ROW(H$2) + 1, P$2:P4364 = P4365))))=""単価"","""",
IF(COUNTIF(P$2:P4364, P4365)=0, """", INDEX(H$2:H4364,
MAX(FILTER(ROW(H$2:H4364) - ROW(H$2) + 1, P$2:P4364 = P4365)))))"),46.5)</f>
        <v>46.5</v>
      </c>
      <c r="N4365" s="335" t="str">
        <f>IF(MAXIFS('単価履歴'!$O:$O,'単価履歴'!$E:$E,E4365,'単価履歴'!$F:$F,F4365)=O4365,"●","")</f>
        <v/>
      </c>
      <c r="O4365" s="346">
        <v>46084.583506944444</v>
      </c>
      <c r="P4365" s="334" t="str">
        <f t="shared" si="4"/>
        <v>ＪＦＥ条鋼:リバイブＨ２(特級)</v>
      </c>
    </row>
    <row r="4366" ht="15.75" customHeight="1">
      <c r="A4366" s="335" t="s">
        <v>5513</v>
      </c>
      <c r="B4366" s="336">
        <v>46084.0</v>
      </c>
      <c r="C4366" s="335" t="s">
        <v>28</v>
      </c>
      <c r="D4366" s="335" t="s">
        <v>52</v>
      </c>
      <c r="E4366" s="337" t="str">
        <f t="shared" si="1"/>
        <v>ＪＦＥ条鋼:リバイブ</v>
      </c>
      <c r="F4366" s="338" t="s">
        <v>119</v>
      </c>
      <c r="G4366" s="339" t="str">
        <f t="shared" si="2"/>
        <v>ＪＦＥ条鋼:リバイブＨ３(1級)</v>
      </c>
      <c r="H4366" s="340">
        <f t="shared" si="3"/>
        <v>46.5</v>
      </c>
      <c r="I4366" s="341">
        <v>1.0</v>
      </c>
      <c r="J4366" s="332">
        <f>IFERROR(__xludf.DUMMYFUNCTION("IF(IF(COUNTIF(P$2:P4365, P4366)=0, """", INDEX(H$2:H4365,
MAX(FILTER(ROW(H$2:H4365) - ROW(H$2) + 1, P$2:P4365 = P4366))))=""単価"","""",
IF(COUNTIF(P$2:P4365, P4366)=0, """", INDEX(H$2:H4365,
MAX(FILTER(ROW(H$2:H4365) - ROW(H$2) + 1, P$2:P4365 = P4366)))))"),45.5)</f>
        <v>45.5</v>
      </c>
      <c r="N4366" s="335" t="str">
        <f>IF(MAXIFS('単価履歴'!$O:$O,'単価履歴'!$E:$E,E4366,'単価履歴'!$F:$F,F4366)=O4366,"●","")</f>
        <v/>
      </c>
      <c r="O4366" s="346">
        <v>46084.583506944444</v>
      </c>
      <c r="P4366" s="334" t="str">
        <f t="shared" si="4"/>
        <v>ＪＦＥ条鋼:リバイブＨ３(1級)</v>
      </c>
    </row>
    <row r="4367" ht="15.75" customHeight="1">
      <c r="A4367" s="335" t="s">
        <v>5514</v>
      </c>
      <c r="B4367" s="336">
        <v>46084.0</v>
      </c>
      <c r="C4367" s="335" t="s">
        <v>28</v>
      </c>
      <c r="D4367" s="335" t="s">
        <v>52</v>
      </c>
      <c r="E4367" s="337" t="str">
        <f t="shared" si="1"/>
        <v>ＪＦＥ条鋼:リバイブ</v>
      </c>
      <c r="F4367" s="338" t="s">
        <v>122</v>
      </c>
      <c r="G4367" s="339" t="str">
        <f t="shared" si="2"/>
        <v>ＪＦＥ条鋼:リバイブＬ１(2級)</v>
      </c>
      <c r="H4367" s="340">
        <f t="shared" si="3"/>
        <v>43.5</v>
      </c>
      <c r="I4367" s="341">
        <v>1.0</v>
      </c>
      <c r="J4367" s="332">
        <f>IFERROR(__xludf.DUMMYFUNCTION("IF(IF(COUNTIF(P$2:P4366, P4367)=0, """", INDEX(H$2:H4366,
MAX(FILTER(ROW(H$2:H4366) - ROW(H$2) + 1, P$2:P4366 = P4367))))=""単価"","""",
IF(COUNTIF(P$2:P4366, P4367)=0, """", INDEX(H$2:H4366,
MAX(FILTER(ROW(H$2:H4366) - ROW(H$2) + 1, P$2:P4366 = P4367)))))"),42.5)</f>
        <v>42.5</v>
      </c>
      <c r="N4367" s="335" t="str">
        <f>IF(MAXIFS('単価履歴'!$O:$O,'単価履歴'!$E:$E,E4367,'単価履歴'!$F:$F,F4367)=O4367,"●","")</f>
        <v/>
      </c>
      <c r="O4367" s="346">
        <v>46084.583506944444</v>
      </c>
      <c r="P4367" s="334" t="str">
        <f t="shared" si="4"/>
        <v>ＪＦＥ条鋼:リバイブＬ１(2級)</v>
      </c>
    </row>
    <row r="4368" ht="15.75" customHeight="1">
      <c r="A4368" s="335" t="s">
        <v>5515</v>
      </c>
      <c r="B4368" s="336">
        <v>46084.0</v>
      </c>
      <c r="C4368" s="335" t="s">
        <v>28</v>
      </c>
      <c r="D4368" s="335" t="s">
        <v>52</v>
      </c>
      <c r="E4368" s="337" t="str">
        <f t="shared" si="1"/>
        <v>ＪＦＥ条鋼:リバイブ</v>
      </c>
      <c r="F4368" s="338" t="s">
        <v>573</v>
      </c>
      <c r="G4368" s="339" t="str">
        <f t="shared" si="2"/>
        <v>ＪＦＥ条鋼:リバイブＬ２(H4･級外･L1ﾊﾞﾗ)</v>
      </c>
      <c r="H4368" s="340">
        <f t="shared" si="3"/>
        <v>36.5</v>
      </c>
      <c r="I4368" s="341">
        <v>1.0</v>
      </c>
      <c r="J4368" s="332">
        <f>IFERROR(__xludf.DUMMYFUNCTION("IF(IF(COUNTIF(P$2:P4367, P4368)=0, """", INDEX(H$2:H4367,
MAX(FILTER(ROW(H$2:H4367) - ROW(H$2) + 1, P$2:P4367 = P4368))))=""単価"","""",
IF(COUNTIF(P$2:P4367, P4368)=0, """", INDEX(H$2:H4367,
MAX(FILTER(ROW(H$2:H4367) - ROW(H$2) + 1, P$2:P4367 = P4368)))))"),35.5)</f>
        <v>35.5</v>
      </c>
      <c r="N4368" s="335" t="str">
        <f>IF(MAXIFS('単価履歴'!$O:$O,'単価履歴'!$E:$E,E4368,'単価履歴'!$F:$F,F4368)=O4368,"●","")</f>
        <v/>
      </c>
      <c r="O4368" s="346">
        <v>46084.583506944444</v>
      </c>
      <c r="P4368" s="334" t="str">
        <f t="shared" si="4"/>
        <v>ＪＦＥ条鋼:リバイブＬ２(H4･級外･L1ﾊﾞﾗ)</v>
      </c>
    </row>
    <row r="4369" ht="15.75" customHeight="1">
      <c r="A4369" s="335" t="s">
        <v>5516</v>
      </c>
      <c r="B4369" s="336">
        <v>46084.0</v>
      </c>
      <c r="C4369" s="335" t="s">
        <v>28</v>
      </c>
      <c r="D4369" s="335" t="s">
        <v>52</v>
      </c>
      <c r="E4369" s="337" t="str">
        <f t="shared" si="1"/>
        <v>ＪＦＥ条鋼:リバイブ</v>
      </c>
      <c r="F4369" s="338" t="s">
        <v>130</v>
      </c>
      <c r="G4369" s="339" t="str">
        <f t="shared" si="2"/>
        <v>ＪＦＥ条鋼:リバイブ新断Ａ</v>
      </c>
      <c r="H4369" s="340">
        <f t="shared" si="3"/>
        <v>50</v>
      </c>
      <c r="I4369" s="341">
        <v>1.0</v>
      </c>
      <c r="J4369" s="332">
        <f>IFERROR(__xludf.DUMMYFUNCTION("IF(IF(COUNTIF(P$2:P4368, P4369)=0, """", INDEX(H$2:H4368,
MAX(FILTER(ROW(H$2:H4368) - ROW(H$2) + 1, P$2:P4368 = P4369))))=""単価"","""",
IF(COUNTIF(P$2:P4368, P4369)=0, """", INDEX(H$2:H4368,
MAX(FILTER(ROW(H$2:H4368) - ROW(H$2) + 1, P$2:P4368 = P4369)))))"),49.0)</f>
        <v>49</v>
      </c>
      <c r="N4369" s="335" t="str">
        <f>IF(MAXIFS('単価履歴'!$O:$O,'単価履歴'!$E:$E,E4369,'単価履歴'!$F:$F,F4369)=O4369,"●","")</f>
        <v/>
      </c>
      <c r="O4369" s="346">
        <v>46084.583506944444</v>
      </c>
      <c r="P4369" s="334" t="str">
        <f t="shared" si="4"/>
        <v>ＪＦＥ条鋼:リバイブ新断Ａ</v>
      </c>
    </row>
    <row r="4370" ht="15.75" customHeight="1">
      <c r="A4370" s="335" t="s">
        <v>5517</v>
      </c>
      <c r="B4370" s="336">
        <v>46084.0</v>
      </c>
      <c r="C4370" s="335" t="s">
        <v>28</v>
      </c>
      <c r="D4370" s="335" t="s">
        <v>52</v>
      </c>
      <c r="E4370" s="337" t="str">
        <f t="shared" si="1"/>
        <v>ＪＦＥ条鋼:リバイブ</v>
      </c>
      <c r="F4370" s="338" t="s">
        <v>131</v>
      </c>
      <c r="G4370" s="339" t="str">
        <f t="shared" si="2"/>
        <v>ＪＦＥ条鋼:リバイブ新断Ｂ</v>
      </c>
      <c r="H4370" s="340">
        <f t="shared" si="3"/>
        <v>49</v>
      </c>
      <c r="I4370" s="341">
        <v>1.0</v>
      </c>
      <c r="J4370" s="332">
        <f>IFERROR(__xludf.DUMMYFUNCTION("IF(IF(COUNTIF(P$2:P4369, P4370)=0, """", INDEX(H$2:H4369,
MAX(FILTER(ROW(H$2:H4369) - ROW(H$2) + 1, P$2:P4369 = P4370))))=""単価"","""",
IF(COUNTIF(P$2:P4369, P4370)=0, """", INDEX(H$2:H4369,
MAX(FILTER(ROW(H$2:H4369) - ROW(H$2) + 1, P$2:P4369 = P4370)))))"),48.0)</f>
        <v>48</v>
      </c>
      <c r="N4370" s="335" t="str">
        <f>IF(MAXIFS('単価履歴'!$O:$O,'単価履歴'!$E:$E,E4370,'単価履歴'!$F:$F,F4370)=O4370,"●","")</f>
        <v/>
      </c>
      <c r="O4370" s="346">
        <v>46084.583506944444</v>
      </c>
      <c r="P4370" s="334" t="str">
        <f t="shared" si="4"/>
        <v>ＪＦＥ条鋼:リバイブ新断Ｂ</v>
      </c>
    </row>
    <row r="4371" ht="15.75" customHeight="1">
      <c r="A4371" s="335" t="s">
        <v>5518</v>
      </c>
      <c r="B4371" s="336">
        <v>46084.0</v>
      </c>
      <c r="C4371" s="335" t="s">
        <v>28</v>
      </c>
      <c r="D4371" s="335" t="s">
        <v>52</v>
      </c>
      <c r="E4371" s="337" t="str">
        <f t="shared" si="1"/>
        <v>ＪＦＥ条鋼:リバイブ</v>
      </c>
      <c r="F4371" s="338" t="s">
        <v>575</v>
      </c>
      <c r="G4371" s="339" t="str">
        <f t="shared" si="2"/>
        <v>ＪＦＥ条鋼:リバイブ鋼ダライＡ</v>
      </c>
      <c r="H4371" s="340">
        <f t="shared" si="3"/>
        <v>41.5</v>
      </c>
      <c r="I4371" s="341">
        <v>1.0</v>
      </c>
      <c r="J4371" s="332">
        <f>IFERROR(__xludf.DUMMYFUNCTION("IF(IF(COUNTIF(P$2:P4370, P4371)=0, """", INDEX(H$2:H4370,
MAX(FILTER(ROW(H$2:H4370) - ROW(H$2) + 1, P$2:P4370 = P4371))))=""単価"","""",
IF(COUNTIF(P$2:P4370, P4371)=0, """", INDEX(H$2:H4370,
MAX(FILTER(ROW(H$2:H4370) - ROW(H$2) + 1, P$2:P4370 = P4371)))))"),40.5)</f>
        <v>40.5</v>
      </c>
      <c r="N4371" s="335" t="str">
        <f>IF(MAXIFS('単価履歴'!$O:$O,'単価履歴'!$E:$E,E4371,'単価履歴'!$F:$F,F4371)=O4371,"●","")</f>
        <v/>
      </c>
      <c r="O4371" s="346">
        <v>46084.583506944444</v>
      </c>
      <c r="P4371" s="334" t="str">
        <f t="shared" si="4"/>
        <v>ＪＦＥ条鋼:リバイブ鋼ダライＡ</v>
      </c>
    </row>
    <row r="4372" ht="15.75" customHeight="1">
      <c r="A4372" s="335" t="s">
        <v>5519</v>
      </c>
      <c r="B4372" s="336">
        <v>46084.0</v>
      </c>
      <c r="C4372" s="335" t="s">
        <v>28</v>
      </c>
      <c r="D4372" s="335" t="s">
        <v>52</v>
      </c>
      <c r="E4372" s="337" t="str">
        <f t="shared" si="1"/>
        <v>ＪＦＥ条鋼:リバイブ</v>
      </c>
      <c r="F4372" s="338" t="s">
        <v>154</v>
      </c>
      <c r="G4372" s="339" t="str">
        <f t="shared" si="2"/>
        <v>ＪＦＥ条鋼:リバイブＣＰ Ａ</v>
      </c>
      <c r="H4372" s="340">
        <f t="shared" si="3"/>
        <v>48.5</v>
      </c>
      <c r="I4372" s="341">
        <v>1.0</v>
      </c>
      <c r="J4372" s="332">
        <f>IFERROR(__xludf.DUMMYFUNCTION("IF(IF(COUNTIF(P$2:P4371, P4372)=0, """", INDEX(H$2:H4371,
MAX(FILTER(ROW(H$2:H4371) - ROW(H$2) + 1, P$2:P4371 = P4372))))=""単価"","""",
IF(COUNTIF(P$2:P4371, P4372)=0, """", INDEX(H$2:H4371,
MAX(FILTER(ROW(H$2:H4371) - ROW(H$2) + 1, P$2:P4371 = P4372)))))"),47.5)</f>
        <v>47.5</v>
      </c>
      <c r="N4372" s="335" t="str">
        <f>IF(MAXIFS('単価履歴'!$O:$O,'単価履歴'!$E:$E,E4372,'単価履歴'!$F:$F,F4372)=O4372,"●","")</f>
        <v/>
      </c>
      <c r="O4372" s="346">
        <v>46084.583506944444</v>
      </c>
      <c r="P4372" s="334" t="str">
        <f t="shared" si="4"/>
        <v>ＪＦＥ条鋼:リバイブＣＰ Ａ</v>
      </c>
    </row>
    <row r="4373" ht="15.75" customHeight="1">
      <c r="A4373" s="335" t="s">
        <v>5520</v>
      </c>
      <c r="B4373" s="336">
        <v>46084.0</v>
      </c>
      <c r="C4373" s="335" t="s">
        <v>10</v>
      </c>
      <c r="D4373" s="335" t="s">
        <v>539</v>
      </c>
      <c r="E4373" s="337" t="str">
        <f t="shared" si="1"/>
        <v>岸和田:岡谷鋼機</v>
      </c>
      <c r="F4373" s="338" t="s">
        <v>111</v>
      </c>
      <c r="G4373" s="339" t="str">
        <f t="shared" si="2"/>
        <v>岸和田:岡谷鋼機Ｈ１(特A)</v>
      </c>
      <c r="H4373" s="340">
        <f t="shared" si="3"/>
        <v>50.2</v>
      </c>
      <c r="I4373" s="341">
        <v>1.0</v>
      </c>
      <c r="J4373" s="332">
        <f>IFERROR(__xludf.DUMMYFUNCTION("IF(IF(COUNTIF(P$2:P4372, P4373)=0, """", INDEX(H$2:H4372,
MAX(FILTER(ROW(H$2:H4372) - ROW(H$2) + 1, P$2:P4372 = P4373))))=""単価"","""",
IF(COUNTIF(P$2:P4372, P4373)=0, """", INDEX(H$2:H4372,
MAX(FILTER(ROW(H$2:H4372) - ROW(H$2) + 1, P$2:P4372 = P4373)))))"),49.2)</f>
        <v>49.2</v>
      </c>
      <c r="N4373" s="335" t="str">
        <f>IF(MAXIFS('単価履歴'!$O:$O,'単価履歴'!$E:$E,E4373,'単価履歴'!$F:$F,F4373)=O4373,"●","")</f>
        <v/>
      </c>
      <c r="O4373" s="346">
        <v>46084.58366898148</v>
      </c>
      <c r="P4373" s="334" t="str">
        <f t="shared" si="4"/>
        <v>岸和田:岡谷鋼機Ｈ１(特A)</v>
      </c>
    </row>
    <row r="4374" ht="15.75" customHeight="1">
      <c r="A4374" s="335" t="s">
        <v>5521</v>
      </c>
      <c r="B4374" s="336">
        <v>46084.0</v>
      </c>
      <c r="C4374" s="335" t="s">
        <v>10</v>
      </c>
      <c r="D4374" s="335" t="s">
        <v>539</v>
      </c>
      <c r="E4374" s="337" t="str">
        <f t="shared" si="1"/>
        <v>岸和田:岡谷鋼機</v>
      </c>
      <c r="F4374" s="338" t="s">
        <v>116</v>
      </c>
      <c r="G4374" s="339" t="str">
        <f t="shared" si="2"/>
        <v>岸和田:岡谷鋼機Ｈ２(特級)</v>
      </c>
      <c r="H4374" s="340">
        <f t="shared" si="3"/>
        <v>48.2</v>
      </c>
      <c r="I4374" s="341">
        <v>1.0</v>
      </c>
      <c r="J4374" s="332">
        <f>IFERROR(__xludf.DUMMYFUNCTION("IF(IF(COUNTIF(P$2:P4373, P4374)=0, """", INDEX(H$2:H4373,
MAX(FILTER(ROW(H$2:H4373) - ROW(H$2) + 1, P$2:P4373 = P4374))))=""単価"","""",
IF(COUNTIF(P$2:P4373, P4374)=0, """", INDEX(H$2:H4373,
MAX(FILTER(ROW(H$2:H4373) - ROW(H$2) + 1, P$2:P4373 = P4374)))))"),47.2)</f>
        <v>47.2</v>
      </c>
      <c r="N4374" s="335" t="str">
        <f>IF(MAXIFS('単価履歴'!$O:$O,'単価履歴'!$E:$E,E4374,'単価履歴'!$F:$F,F4374)=O4374,"●","")</f>
        <v/>
      </c>
      <c r="O4374" s="346">
        <v>46084.58366898148</v>
      </c>
      <c r="P4374" s="334" t="str">
        <f t="shared" si="4"/>
        <v>岸和田:岡谷鋼機Ｈ２(特級)</v>
      </c>
    </row>
    <row r="4375" ht="15.75" customHeight="1">
      <c r="A4375" s="335" t="s">
        <v>5522</v>
      </c>
      <c r="B4375" s="336">
        <v>46084.0</v>
      </c>
      <c r="C4375" s="335" t="s">
        <v>10</v>
      </c>
      <c r="D4375" s="335" t="s">
        <v>539</v>
      </c>
      <c r="E4375" s="337" t="str">
        <f t="shared" si="1"/>
        <v>岸和田:岡谷鋼機</v>
      </c>
      <c r="F4375" s="338" t="s">
        <v>119</v>
      </c>
      <c r="G4375" s="339" t="str">
        <f t="shared" si="2"/>
        <v>岸和田:岡谷鋼機Ｈ３(1級)</v>
      </c>
      <c r="H4375" s="340">
        <f t="shared" si="3"/>
        <v>46.7</v>
      </c>
      <c r="I4375" s="341">
        <v>1.0</v>
      </c>
      <c r="J4375" s="332">
        <f>IFERROR(__xludf.DUMMYFUNCTION("IF(IF(COUNTIF(P$2:P4374, P4375)=0, """", INDEX(H$2:H4374,
MAX(FILTER(ROW(H$2:H4374) - ROW(H$2) + 1, P$2:P4374 = P4375))))=""単価"","""",
IF(COUNTIF(P$2:P4374, P4375)=0, """", INDEX(H$2:H4374,
MAX(FILTER(ROW(H$2:H4374) - ROW(H$2) + 1, P$2:P4374 = P4375)))))"),45.7)</f>
        <v>45.7</v>
      </c>
      <c r="N4375" s="335" t="str">
        <f>IF(MAXIFS('単価履歴'!$O:$O,'単価履歴'!$E:$E,E4375,'単価履歴'!$F:$F,F4375)=O4375,"●","")</f>
        <v/>
      </c>
      <c r="O4375" s="346">
        <v>46084.58366898148</v>
      </c>
      <c r="P4375" s="334" t="str">
        <f t="shared" si="4"/>
        <v>岸和田:岡谷鋼機Ｈ３(1級)</v>
      </c>
    </row>
    <row r="4376" ht="15.75" customHeight="1">
      <c r="A4376" s="335" t="s">
        <v>5523</v>
      </c>
      <c r="B4376" s="336">
        <v>46084.0</v>
      </c>
      <c r="C4376" s="335" t="s">
        <v>12</v>
      </c>
      <c r="D4376" s="335" t="s">
        <v>541</v>
      </c>
      <c r="E4376" s="337" t="str">
        <f t="shared" si="1"/>
        <v>山陽特殊:大同</v>
      </c>
      <c r="F4376" s="338" t="s">
        <v>1199</v>
      </c>
      <c r="G4376" s="339" t="str">
        <f t="shared" si="2"/>
        <v>山陽特殊:大同ＨＳ１(単体H1/電特A/HS))</v>
      </c>
      <c r="H4376" s="340">
        <f t="shared" si="3"/>
        <v>52.7</v>
      </c>
      <c r="I4376" s="341">
        <v>1.0</v>
      </c>
      <c r="J4376" s="332">
        <f>IFERROR(__xludf.DUMMYFUNCTION("IF(IF(COUNTIF(P$2:P4375, P4376)=0, """", INDEX(H$2:H4375,
MAX(FILTER(ROW(H$2:H4375) - ROW(H$2) + 1, P$2:P4375 = P4376))))=""単価"","""",
IF(COUNTIF(P$2:P4375, P4376)=0, """", INDEX(H$2:H4375,
MAX(FILTER(ROW(H$2:H4375) - ROW(H$2) + 1, P$2:P4375 = P4376)))))"),51.7)</f>
        <v>51.7</v>
      </c>
      <c r="N4376" s="335" t="str">
        <f>IF(MAXIFS('単価履歴'!$O:$O,'単価履歴'!$E:$E,E4376,'単価履歴'!$F:$F,F4376)=O4376,"●","")</f>
        <v/>
      </c>
      <c r="O4376" s="346">
        <v>46084.83331018519</v>
      </c>
      <c r="P4376" s="334" t="str">
        <f t="shared" si="4"/>
        <v>山陽特殊:大同ＨＳ１(単体H1/電特A/HS))</v>
      </c>
    </row>
    <row r="4377" ht="15.75" customHeight="1">
      <c r="A4377" s="335" t="s">
        <v>5524</v>
      </c>
      <c r="B4377" s="336">
        <v>46084.0</v>
      </c>
      <c r="C4377" s="335" t="s">
        <v>12</v>
      </c>
      <c r="D4377" s="335" t="s">
        <v>541</v>
      </c>
      <c r="E4377" s="337" t="str">
        <f t="shared" si="1"/>
        <v>山陽特殊:大同</v>
      </c>
      <c r="F4377" s="338" t="s">
        <v>101</v>
      </c>
      <c r="G4377" s="339" t="str">
        <f t="shared" si="2"/>
        <v>山陽特殊:大同ＨＳ２</v>
      </c>
      <c r="H4377" s="340">
        <f t="shared" si="3"/>
        <v>52.5</v>
      </c>
      <c r="I4377" s="341">
        <v>1.0</v>
      </c>
      <c r="J4377" s="332">
        <f>IFERROR(__xludf.DUMMYFUNCTION("IF(IF(COUNTIF(P$2:P4376, P4377)=0, """", INDEX(H$2:H4376,
MAX(FILTER(ROW(H$2:H4376) - ROW(H$2) + 1, P$2:P4376 = P4377))))=""単価"","""",
IF(COUNTIF(P$2:P4376, P4377)=0, """", INDEX(H$2:H4376,
MAX(FILTER(ROW(H$2:H4376) - ROW(H$2) + 1, P$2:P4376 = P4377)))))"),51.5)</f>
        <v>51.5</v>
      </c>
      <c r="N4377" s="335" t="str">
        <f>IF(MAXIFS('単価履歴'!$O:$O,'単価履歴'!$E:$E,E4377,'単価履歴'!$F:$F,F4377)=O4377,"●","")</f>
        <v/>
      </c>
      <c r="O4377" s="346">
        <v>46084.83331018519</v>
      </c>
      <c r="P4377" s="334" t="str">
        <f t="shared" si="4"/>
        <v>山陽特殊:大同ＨＳ２</v>
      </c>
    </row>
    <row r="4378" ht="15.75" customHeight="1">
      <c r="A4378" s="335" t="s">
        <v>5525</v>
      </c>
      <c r="B4378" s="336">
        <v>46084.0</v>
      </c>
      <c r="C4378" s="335" t="s">
        <v>12</v>
      </c>
      <c r="D4378" s="335" t="s">
        <v>541</v>
      </c>
      <c r="E4378" s="337" t="str">
        <f t="shared" si="1"/>
        <v>山陽特殊:大同</v>
      </c>
      <c r="F4378" s="338" t="s">
        <v>105</v>
      </c>
      <c r="G4378" s="339" t="str">
        <f t="shared" si="2"/>
        <v>山陽特殊:大同ＨＳ３</v>
      </c>
      <c r="H4378" s="340">
        <f t="shared" si="3"/>
        <v>50.5</v>
      </c>
      <c r="I4378" s="341">
        <v>1.0</v>
      </c>
      <c r="J4378" s="332">
        <f>IFERROR(__xludf.DUMMYFUNCTION("IF(IF(COUNTIF(P$2:P4377, P4378)=0, """", INDEX(H$2:H4377,
MAX(FILTER(ROW(H$2:H4377) - ROW(H$2) + 1, P$2:P4377 = P4378))))=""単価"","""",
IF(COUNTIF(P$2:P4377, P4378)=0, """", INDEX(H$2:H4377,
MAX(FILTER(ROW(H$2:H4377) - ROW(H$2) + 1, P$2:P4377 = P4378)))))"),49.5)</f>
        <v>49.5</v>
      </c>
      <c r="N4378" s="335" t="str">
        <f>IF(MAXIFS('単価履歴'!$O:$O,'単価履歴'!$E:$E,E4378,'単価履歴'!$F:$F,F4378)=O4378,"●","")</f>
        <v/>
      </c>
      <c r="O4378" s="346">
        <v>46084.83331018519</v>
      </c>
      <c r="P4378" s="334" t="str">
        <f t="shared" si="4"/>
        <v>山陽特殊:大同ＨＳ３</v>
      </c>
    </row>
    <row r="4379" ht="15.75" customHeight="1">
      <c r="A4379" s="335" t="s">
        <v>5526</v>
      </c>
      <c r="B4379" s="336">
        <v>46085.0</v>
      </c>
      <c r="C4379" s="335" t="s">
        <v>19</v>
      </c>
      <c r="D4379" s="335" t="s">
        <v>61</v>
      </c>
      <c r="E4379" s="337" t="str">
        <f t="shared" si="1"/>
        <v>トピー工業:ＭＭ</v>
      </c>
      <c r="F4379" s="338" t="s">
        <v>116</v>
      </c>
      <c r="G4379" s="339" t="str">
        <f t="shared" si="2"/>
        <v>トピー工業:ＭＭＨ２(特級)</v>
      </c>
      <c r="H4379" s="340">
        <f t="shared" si="3"/>
        <v>40</v>
      </c>
      <c r="I4379" s="341">
        <v>1.0</v>
      </c>
      <c r="J4379" s="332">
        <f>IFERROR(__xludf.DUMMYFUNCTION("IF(IF(COUNTIF(P$2:P4378, P4379)=0, """", INDEX(H$2:H4378,
MAX(FILTER(ROW(H$2:H4378) - ROW(H$2) + 1, P$2:P4378 = P4379))))=""単価"","""",
IF(COUNTIF(P$2:P4378, P4379)=0, """", INDEX(H$2:H4378,
MAX(FILTER(ROW(H$2:H4378) - ROW(H$2) + 1, P$2:P4378 = P4379)))))"),39.0)</f>
        <v>39</v>
      </c>
      <c r="N4379" s="335" t="str">
        <f>IF(MAXIFS('単価履歴'!$O:$O,'単価履歴'!$E:$E,E4379,'単価履歴'!$F:$F,F4379)=O4379,"●","")</f>
        <v/>
      </c>
      <c r="O4379" s="346">
        <v>46084.83503472222</v>
      </c>
      <c r="P4379" s="334" t="str">
        <f t="shared" si="4"/>
        <v>トピー工業:ＭＭＨ２(特級)</v>
      </c>
    </row>
    <row r="4380" ht="15.75" customHeight="1">
      <c r="A4380" s="335" t="s">
        <v>5527</v>
      </c>
      <c r="B4380" s="336">
        <v>46085.0</v>
      </c>
      <c r="C4380" s="335" t="s">
        <v>15</v>
      </c>
      <c r="D4380" s="335" t="s">
        <v>58</v>
      </c>
      <c r="E4380" s="337" t="str">
        <f t="shared" si="1"/>
        <v>山口鋼業:MM建材</v>
      </c>
      <c r="F4380" s="338" t="s">
        <v>1199</v>
      </c>
      <c r="G4380" s="339" t="str">
        <f t="shared" si="2"/>
        <v>山口鋼業:MM建材ＨＳ１(単体H1/電特A/HS))</v>
      </c>
      <c r="H4380" s="340">
        <f t="shared" si="3"/>
        <v>45</v>
      </c>
      <c r="I4380" s="341">
        <v>1.0</v>
      </c>
      <c r="J4380" s="332">
        <f>IFERROR(__xludf.DUMMYFUNCTION("IF(IF(COUNTIF(P$2:P4379, P4380)=0, """", INDEX(H$2:H4379,
MAX(FILTER(ROW(H$2:H4379) - ROW(H$2) + 1, P$2:P4379 = P4380))))=""単価"","""",
IF(COUNTIF(P$2:P4379, P4380)=0, """", INDEX(H$2:H4379,
MAX(FILTER(ROW(H$2:H4379) - ROW(H$2) + 1, P$2:P4379 = P4380)))))"),44.0)</f>
        <v>44</v>
      </c>
      <c r="N4380" s="335" t="str">
        <f>IF(MAXIFS('単価履歴'!$O:$O,'単価履歴'!$E:$E,E4380,'単価履歴'!$F:$F,F4380)=O4380,"●","")</f>
        <v/>
      </c>
      <c r="O4380" s="346">
        <v>46084.83534722222</v>
      </c>
      <c r="P4380" s="334" t="str">
        <f t="shared" si="4"/>
        <v>山口鋼業:MM建材ＨＳ１(単体H1/電特A/HS))</v>
      </c>
    </row>
    <row r="4381" ht="15.75" customHeight="1">
      <c r="A4381" s="335" t="s">
        <v>5528</v>
      </c>
      <c r="B4381" s="336">
        <v>46085.0</v>
      </c>
      <c r="C4381" s="335" t="s">
        <v>15</v>
      </c>
      <c r="D4381" s="335" t="s">
        <v>58</v>
      </c>
      <c r="E4381" s="337" t="str">
        <f t="shared" si="1"/>
        <v>山口鋼業:MM建材</v>
      </c>
      <c r="F4381" s="338" t="s">
        <v>1237</v>
      </c>
      <c r="G4381" s="339" t="str">
        <f t="shared" si="2"/>
        <v>山口鋼業:MM建材ＪＨ１(H2T山口)鍛造ﾊﾞﾘ</v>
      </c>
      <c r="H4381" s="340">
        <f t="shared" si="3"/>
        <v>44.5</v>
      </c>
      <c r="I4381" s="341">
        <v>1.0</v>
      </c>
      <c r="J4381" s="332">
        <f>IFERROR(__xludf.DUMMYFUNCTION("IF(IF(COUNTIF(P$2:P4380, P4381)=0, """", INDEX(H$2:H4380,
MAX(FILTER(ROW(H$2:H4380) - ROW(H$2) + 1, P$2:P4380 = P4381))))=""単価"","""",
IF(COUNTIF(P$2:P4380, P4381)=0, """", INDEX(H$2:H4380,
MAX(FILTER(ROW(H$2:H4380) - ROW(H$2) + 1, P$2:P4380 = P4381)))))"),43.5)</f>
        <v>43.5</v>
      </c>
      <c r="N4381" s="335" t="str">
        <f>IF(MAXIFS('単価履歴'!$O:$O,'単価履歴'!$E:$E,E4381,'単価履歴'!$F:$F,F4381)=O4381,"●","")</f>
        <v/>
      </c>
      <c r="O4381" s="346">
        <v>46084.83534722222</v>
      </c>
      <c r="P4381" s="334" t="str">
        <f t="shared" si="4"/>
        <v>山口鋼業:MM建材ＪＨ１(H2T山口)鍛造ﾊﾞﾘ</v>
      </c>
    </row>
    <row r="4382" ht="15.75" customHeight="1">
      <c r="A4382" s="335" t="s">
        <v>5529</v>
      </c>
      <c r="B4382" s="336">
        <v>46085.0</v>
      </c>
      <c r="C4382" s="335" t="s">
        <v>15</v>
      </c>
      <c r="D4382" s="335" t="s">
        <v>58</v>
      </c>
      <c r="E4382" s="337" t="str">
        <f t="shared" si="1"/>
        <v>山口鋼業:MM建材</v>
      </c>
      <c r="F4382" s="338" t="s">
        <v>116</v>
      </c>
      <c r="G4382" s="339" t="str">
        <f t="shared" si="2"/>
        <v>山口鋼業:MM建材Ｈ２(特級)</v>
      </c>
      <c r="H4382" s="340">
        <f t="shared" si="3"/>
        <v>43.5</v>
      </c>
      <c r="I4382" s="341">
        <v>1.0</v>
      </c>
      <c r="J4382" s="332">
        <f>IFERROR(__xludf.DUMMYFUNCTION("IF(IF(COUNTIF(P$2:P4381, P4382)=0, """", INDEX(H$2:H4381,
MAX(FILTER(ROW(H$2:H4381) - ROW(H$2) + 1, P$2:P4381 = P4382))))=""単価"","""",
IF(COUNTIF(P$2:P4381, P4382)=0, """", INDEX(H$2:H4381,
MAX(FILTER(ROW(H$2:H4381) - ROW(H$2) + 1, P$2:P4381 = P4382)))))"),42.5)</f>
        <v>42.5</v>
      </c>
      <c r="N4382" s="335" t="str">
        <f>IF(MAXIFS('単価履歴'!$O:$O,'単価履歴'!$E:$E,E4382,'単価履歴'!$F:$F,F4382)=O4382,"●","")</f>
        <v/>
      </c>
      <c r="O4382" s="346">
        <v>46084.83534722222</v>
      </c>
      <c r="P4382" s="334" t="str">
        <f t="shared" si="4"/>
        <v>山口鋼業:MM建材Ｈ２(特級)</v>
      </c>
    </row>
    <row r="4383" ht="15.75" customHeight="1">
      <c r="A4383" s="335" t="s">
        <v>5530</v>
      </c>
      <c r="B4383" s="336">
        <v>46085.0</v>
      </c>
      <c r="C4383" s="335" t="s">
        <v>15</v>
      </c>
      <c r="D4383" s="335" t="s">
        <v>58</v>
      </c>
      <c r="E4383" s="337" t="str">
        <f t="shared" si="1"/>
        <v>山口鋼業:MM建材</v>
      </c>
      <c r="F4383" s="338" t="s">
        <v>119</v>
      </c>
      <c r="G4383" s="339" t="str">
        <f t="shared" si="2"/>
        <v>山口鋼業:MM建材Ｈ３(1級)</v>
      </c>
      <c r="H4383" s="340">
        <f t="shared" si="3"/>
        <v>42.5</v>
      </c>
      <c r="I4383" s="341">
        <v>1.0</v>
      </c>
      <c r="J4383" s="332">
        <f>IFERROR(__xludf.DUMMYFUNCTION("IF(IF(COUNTIF(P$2:P4382, P4383)=0, """", INDEX(H$2:H4382,
MAX(FILTER(ROW(H$2:H4382) - ROW(H$2) + 1, P$2:P4382 = P4383))))=""単価"","""",
IF(COUNTIF(P$2:P4382, P4383)=0, """", INDEX(H$2:H4382,
MAX(FILTER(ROW(H$2:H4382) - ROW(H$2) + 1, P$2:P4382 = P4383)))))"),41.5)</f>
        <v>41.5</v>
      </c>
      <c r="N4383" s="335" t="str">
        <f>IF(MAXIFS('単価履歴'!$O:$O,'単価履歴'!$E:$E,E4383,'単価履歴'!$F:$F,F4383)=O4383,"●","")</f>
        <v/>
      </c>
      <c r="O4383" s="346">
        <v>46084.83534722222</v>
      </c>
      <c r="P4383" s="334" t="str">
        <f t="shared" si="4"/>
        <v>山口鋼業:MM建材Ｈ３(1級)</v>
      </c>
    </row>
    <row r="4384" ht="15.75" customHeight="1">
      <c r="A4384" s="335" t="s">
        <v>5531</v>
      </c>
      <c r="B4384" s="336">
        <v>46085.0</v>
      </c>
      <c r="C4384" s="335" t="s">
        <v>15</v>
      </c>
      <c r="D4384" s="335" t="s">
        <v>58</v>
      </c>
      <c r="E4384" s="337" t="str">
        <f t="shared" si="1"/>
        <v>山口鋼業:MM建材</v>
      </c>
      <c r="F4384" s="338" t="s">
        <v>573</v>
      </c>
      <c r="G4384" s="339" t="str">
        <f t="shared" si="2"/>
        <v>山口鋼業:MM建材Ｌ２(H4･級外･L1ﾊﾞﾗ)</v>
      </c>
      <c r="H4384" s="340">
        <f t="shared" si="3"/>
        <v>41</v>
      </c>
      <c r="I4384" s="341">
        <v>1.0</v>
      </c>
      <c r="J4384" s="332">
        <f>IFERROR(__xludf.DUMMYFUNCTION("IF(IF(COUNTIF(P$2:P4383, P4384)=0, """", INDEX(H$2:H4383,
MAX(FILTER(ROW(H$2:H4383) - ROW(H$2) + 1, P$2:P4383 = P4384))))=""単価"","""",
IF(COUNTIF(P$2:P4383, P4384)=0, """", INDEX(H$2:H4383,
MAX(FILTER(ROW(H$2:H4383) - ROW(H$2) + 1, P$2:P4383 = P4384)))))"),40.0)</f>
        <v>40</v>
      </c>
      <c r="N4384" s="335" t="str">
        <f>IF(MAXIFS('単価履歴'!$O:$O,'単価履歴'!$E:$E,E4384,'単価履歴'!$F:$F,F4384)=O4384,"●","")</f>
        <v/>
      </c>
      <c r="O4384" s="346">
        <v>46084.83534722222</v>
      </c>
      <c r="P4384" s="334" t="str">
        <f t="shared" si="4"/>
        <v>山口鋼業:MM建材Ｌ２(H4･級外･L1ﾊﾞﾗ)</v>
      </c>
    </row>
    <row r="4385" ht="15.75" customHeight="1">
      <c r="A4385" s="335" t="s">
        <v>5532</v>
      </c>
      <c r="B4385" s="336">
        <v>46085.0</v>
      </c>
      <c r="C4385" s="335" t="s">
        <v>15</v>
      </c>
      <c r="D4385" s="335" t="s">
        <v>58</v>
      </c>
      <c r="E4385" s="337" t="str">
        <f t="shared" si="1"/>
        <v>山口鋼業:MM建材</v>
      </c>
      <c r="F4385" s="338" t="s">
        <v>575</v>
      </c>
      <c r="G4385" s="339" t="str">
        <f t="shared" si="2"/>
        <v>山口鋼業:MM建材鋼ダライＡ</v>
      </c>
      <c r="H4385" s="340">
        <f t="shared" si="3"/>
        <v>40.6</v>
      </c>
      <c r="I4385" s="341">
        <v>1.0</v>
      </c>
      <c r="J4385" s="332">
        <f>IFERROR(__xludf.DUMMYFUNCTION("IF(IF(COUNTIF(P$2:P4384, P4385)=0, """", INDEX(H$2:H4384,
MAX(FILTER(ROW(H$2:H4384) - ROW(H$2) + 1, P$2:P4384 = P4385))))=""単価"","""",
IF(COUNTIF(P$2:P4384, P4385)=0, """", INDEX(H$2:H4384,
MAX(FILTER(ROW(H$2:H4384) - ROW(H$2) + 1, P$2:P4384 = P4385)))))"),39.6)</f>
        <v>39.6</v>
      </c>
      <c r="N4385" s="335" t="str">
        <f>IF(MAXIFS('単価履歴'!$O:$O,'単価履歴'!$E:$E,E4385,'単価履歴'!$F:$F,F4385)=O4385,"●","")</f>
        <v/>
      </c>
      <c r="O4385" s="346">
        <v>46084.83534722222</v>
      </c>
      <c r="P4385" s="334" t="str">
        <f t="shared" si="4"/>
        <v>山口鋼業:MM建材鋼ダライＡ</v>
      </c>
    </row>
    <row r="4386" ht="15.75" customHeight="1">
      <c r="A4386" s="335" t="s">
        <v>5533</v>
      </c>
      <c r="B4386" s="336">
        <v>46085.0</v>
      </c>
      <c r="C4386" s="335" t="s">
        <v>15</v>
      </c>
      <c r="D4386" s="335" t="s">
        <v>58</v>
      </c>
      <c r="E4386" s="337" t="str">
        <f t="shared" si="1"/>
        <v>山口鋼業:MM建材</v>
      </c>
      <c r="F4386" s="338" t="s">
        <v>577</v>
      </c>
      <c r="G4386" s="339" t="str">
        <f t="shared" si="2"/>
        <v>山口鋼業:MM建材鋳物・ﾀﾞｸﾀｲﾙ</v>
      </c>
      <c r="H4386" s="340">
        <f t="shared" si="3"/>
        <v>44.5</v>
      </c>
      <c r="I4386" s="341">
        <v>1.0</v>
      </c>
      <c r="J4386" s="332">
        <f>IFERROR(__xludf.DUMMYFUNCTION("IF(IF(COUNTIF(P$2:P4385, P4386)=0, """", INDEX(H$2:H4385,
MAX(FILTER(ROW(H$2:H4385) - ROW(H$2) + 1, P$2:P4385 = P4386))))=""単価"","""",
IF(COUNTIF(P$2:P4385, P4386)=0, """", INDEX(H$2:H4385,
MAX(FILTER(ROW(H$2:H4385) - ROW(H$2) + 1, P$2:P4385 = P4386)))))"),43.5)</f>
        <v>43.5</v>
      </c>
      <c r="N4386" s="335" t="str">
        <f>IF(MAXIFS('単価履歴'!$O:$O,'単価履歴'!$E:$E,E4386,'単価履歴'!$F:$F,F4386)=O4386,"●","")</f>
        <v/>
      </c>
      <c r="O4386" s="346">
        <v>46084.83534722222</v>
      </c>
      <c r="P4386" s="334" t="str">
        <f t="shared" si="4"/>
        <v>山口鋼業:MM建材鋳物・ﾀﾞｸﾀｲﾙ</v>
      </c>
    </row>
    <row r="4387" ht="15.75" customHeight="1">
      <c r="A4387" s="335" t="s">
        <v>5534</v>
      </c>
      <c r="B4387" s="336">
        <v>46085.0</v>
      </c>
      <c r="C4387" s="335" t="s">
        <v>15</v>
      </c>
      <c r="D4387" s="335" t="s">
        <v>46</v>
      </c>
      <c r="E4387" s="337" t="str">
        <f t="shared" si="1"/>
        <v>山口鋼業:阪和</v>
      </c>
      <c r="F4387" s="338" t="s">
        <v>1199</v>
      </c>
      <c r="G4387" s="339" t="str">
        <f t="shared" si="2"/>
        <v>山口鋼業:阪和ＨＳ１(単体H1/電特A/HS))</v>
      </c>
      <c r="H4387" s="340">
        <f t="shared" si="3"/>
        <v>46.5</v>
      </c>
      <c r="I4387" s="341">
        <v>1.0</v>
      </c>
      <c r="J4387" s="332">
        <f>IFERROR(__xludf.DUMMYFUNCTION("IF(IF(COUNTIF(P$2:P4386, P4387)=0, """", INDEX(H$2:H4386,
MAX(FILTER(ROW(H$2:H4386) - ROW(H$2) + 1, P$2:P4386 = P4387))))=""単価"","""",
IF(COUNTIF(P$2:P4386, P4387)=0, """", INDEX(H$2:H4386,
MAX(FILTER(ROW(H$2:H4386) - ROW(H$2) + 1, P$2:P4386 = P4387)))))"),45.5)</f>
        <v>45.5</v>
      </c>
      <c r="N4387" s="335" t="str">
        <f>IF(MAXIFS('単価履歴'!$O:$O,'単価履歴'!$E:$E,E4387,'単価履歴'!$F:$F,F4387)=O4387,"●","")</f>
        <v/>
      </c>
      <c r="O4387" s="346">
        <v>46084.83570601852</v>
      </c>
      <c r="P4387" s="334" t="str">
        <f t="shared" si="4"/>
        <v>山口鋼業:阪和ＨＳ１(単体H1/電特A/HS))</v>
      </c>
    </row>
    <row r="4388" ht="15.75" customHeight="1">
      <c r="A4388" s="335" t="s">
        <v>5535</v>
      </c>
      <c r="B4388" s="336">
        <v>46085.0</v>
      </c>
      <c r="C4388" s="335" t="s">
        <v>15</v>
      </c>
      <c r="D4388" s="335" t="s">
        <v>46</v>
      </c>
      <c r="E4388" s="337" t="str">
        <f t="shared" si="1"/>
        <v>山口鋼業:阪和</v>
      </c>
      <c r="F4388" s="338" t="s">
        <v>111</v>
      </c>
      <c r="G4388" s="339" t="str">
        <f t="shared" si="2"/>
        <v>山口鋼業:阪和Ｈ１(特A)</v>
      </c>
      <c r="H4388" s="340">
        <f t="shared" si="3"/>
        <v>45</v>
      </c>
      <c r="I4388" s="341">
        <v>1.0</v>
      </c>
      <c r="J4388" s="332">
        <f>IFERROR(__xludf.DUMMYFUNCTION("IF(IF(COUNTIF(P$2:P4387, P4388)=0, """", INDEX(H$2:H4387,
MAX(FILTER(ROW(H$2:H4387) - ROW(H$2) + 1, P$2:P4387 = P4388))))=""単価"","""",
IF(COUNTIF(P$2:P4387, P4388)=0, """", INDEX(H$2:H4387,
MAX(FILTER(ROW(H$2:H4387) - ROW(H$2) + 1, P$2:P4387 = P4388)))))"),44.0)</f>
        <v>44</v>
      </c>
      <c r="N4388" s="335" t="str">
        <f>IF(MAXIFS('単価履歴'!$O:$O,'単価履歴'!$E:$E,E4388,'単価履歴'!$F:$F,F4388)=O4388,"●","")</f>
        <v/>
      </c>
      <c r="O4388" s="346">
        <v>46084.83570601852</v>
      </c>
      <c r="P4388" s="334" t="str">
        <f t="shared" si="4"/>
        <v>山口鋼業:阪和Ｈ１(特A)</v>
      </c>
    </row>
    <row r="4389" ht="15.75" customHeight="1">
      <c r="A4389" s="335" t="s">
        <v>5536</v>
      </c>
      <c r="B4389" s="336">
        <v>46085.0</v>
      </c>
      <c r="C4389" s="335" t="s">
        <v>15</v>
      </c>
      <c r="D4389" s="335" t="s">
        <v>46</v>
      </c>
      <c r="E4389" s="337" t="str">
        <f t="shared" si="1"/>
        <v>山口鋼業:阪和</v>
      </c>
      <c r="F4389" s="338" t="s">
        <v>116</v>
      </c>
      <c r="G4389" s="339" t="str">
        <f t="shared" si="2"/>
        <v>山口鋼業:阪和Ｈ２(特級)</v>
      </c>
      <c r="H4389" s="340">
        <f t="shared" si="3"/>
        <v>44.5</v>
      </c>
      <c r="I4389" s="341">
        <v>1.0</v>
      </c>
      <c r="J4389" s="332">
        <f>IFERROR(__xludf.DUMMYFUNCTION("IF(IF(COUNTIF(P$2:P4388, P4389)=0, """", INDEX(H$2:H4388,
MAX(FILTER(ROW(H$2:H4388) - ROW(H$2) + 1, P$2:P4388 = P4389))))=""単価"","""",
IF(COUNTIF(P$2:P4388, P4389)=0, """", INDEX(H$2:H4388,
MAX(FILTER(ROW(H$2:H4388) - ROW(H$2) + 1, P$2:P4388 = P4389)))))"),43.5)</f>
        <v>43.5</v>
      </c>
      <c r="N4389" s="335" t="str">
        <f>IF(MAXIFS('単価履歴'!$O:$O,'単価履歴'!$E:$E,E4389,'単価履歴'!$F:$F,F4389)=O4389,"●","")</f>
        <v/>
      </c>
      <c r="O4389" s="346">
        <v>46084.83570601852</v>
      </c>
      <c r="P4389" s="334" t="str">
        <f t="shared" si="4"/>
        <v>山口鋼業:阪和Ｈ２(特級)</v>
      </c>
    </row>
    <row r="4390" ht="15.75" customHeight="1">
      <c r="A4390" s="335" t="s">
        <v>5537</v>
      </c>
      <c r="B4390" s="336">
        <v>46085.0</v>
      </c>
      <c r="C4390" s="335" t="s">
        <v>15</v>
      </c>
      <c r="D4390" s="335" t="s">
        <v>46</v>
      </c>
      <c r="E4390" s="337" t="str">
        <f t="shared" si="1"/>
        <v>山口鋼業:阪和</v>
      </c>
      <c r="F4390" s="338" t="s">
        <v>119</v>
      </c>
      <c r="G4390" s="339" t="str">
        <f t="shared" si="2"/>
        <v>山口鋼業:阪和Ｈ３(1級)</v>
      </c>
      <c r="H4390" s="340">
        <f t="shared" si="3"/>
        <v>43.5</v>
      </c>
      <c r="I4390" s="341">
        <v>1.0</v>
      </c>
      <c r="J4390" s="332">
        <f>IFERROR(__xludf.DUMMYFUNCTION("IF(IF(COUNTIF(P$2:P4389, P4390)=0, """", INDEX(H$2:H4389,
MAX(FILTER(ROW(H$2:H4389) - ROW(H$2) + 1, P$2:P4389 = P4390))))=""単価"","""",
IF(COUNTIF(P$2:P4389, P4390)=0, """", INDEX(H$2:H4389,
MAX(FILTER(ROW(H$2:H4389) - ROW(H$2) + 1, P$2:P4389 = P4390)))))"),42.5)</f>
        <v>42.5</v>
      </c>
      <c r="N4390" s="335" t="str">
        <f>IF(MAXIFS('単価履歴'!$O:$O,'単価履歴'!$E:$E,E4390,'単価履歴'!$F:$F,F4390)=O4390,"●","")</f>
        <v/>
      </c>
      <c r="O4390" s="346">
        <v>46084.83570601852</v>
      </c>
      <c r="P4390" s="334" t="str">
        <f t="shared" si="4"/>
        <v>山口鋼業:阪和Ｈ３(1級)</v>
      </c>
    </row>
    <row r="4391" ht="15.75" customHeight="1">
      <c r="A4391" s="335" t="s">
        <v>5538</v>
      </c>
      <c r="B4391" s="336">
        <v>46085.0</v>
      </c>
      <c r="C4391" s="335" t="s">
        <v>15</v>
      </c>
      <c r="D4391" s="335" t="s">
        <v>46</v>
      </c>
      <c r="E4391" s="337" t="str">
        <f t="shared" si="1"/>
        <v>山口鋼業:阪和</v>
      </c>
      <c r="F4391" s="338" t="s">
        <v>573</v>
      </c>
      <c r="G4391" s="339" t="str">
        <f t="shared" si="2"/>
        <v>山口鋼業:阪和Ｌ２(H4･級外･L1ﾊﾞﾗ)</v>
      </c>
      <c r="H4391" s="340">
        <f t="shared" si="3"/>
        <v>42</v>
      </c>
      <c r="I4391" s="341">
        <v>1.0</v>
      </c>
      <c r="J4391" s="332">
        <f>IFERROR(__xludf.DUMMYFUNCTION("IF(IF(COUNTIF(P$2:P4390, P4391)=0, """", INDEX(H$2:H4390,
MAX(FILTER(ROW(H$2:H4390) - ROW(H$2) + 1, P$2:P4390 = P4391))))=""単価"","""",
IF(COUNTIF(P$2:P4390, P4391)=0, """", INDEX(H$2:H4390,
MAX(FILTER(ROW(H$2:H4390) - ROW(H$2) + 1, P$2:P4390 = P4391)))))"),41.0)</f>
        <v>41</v>
      </c>
      <c r="N4391" s="335" t="str">
        <f>IF(MAXIFS('単価履歴'!$O:$O,'単価履歴'!$E:$E,E4391,'単価履歴'!$F:$F,F4391)=O4391,"●","")</f>
        <v/>
      </c>
      <c r="O4391" s="346">
        <v>46084.83570601852</v>
      </c>
      <c r="P4391" s="334" t="str">
        <f t="shared" si="4"/>
        <v>山口鋼業:阪和Ｌ２(H4･級外･L1ﾊﾞﾗ)</v>
      </c>
    </row>
    <row r="4392" ht="15.75" customHeight="1">
      <c r="A4392" s="335" t="s">
        <v>5539</v>
      </c>
      <c r="B4392" s="336">
        <v>46085.0</v>
      </c>
      <c r="C4392" s="335" t="s">
        <v>12</v>
      </c>
      <c r="D4392" s="335" t="s">
        <v>50</v>
      </c>
      <c r="E4392" s="337" t="str">
        <f t="shared" si="1"/>
        <v>山陽特殊:産振</v>
      </c>
      <c r="F4392" s="338" t="s">
        <v>1199</v>
      </c>
      <c r="G4392" s="339" t="str">
        <f t="shared" si="2"/>
        <v>山陽特殊:産振ＨＳ１(単体H1/電特A/HS))</v>
      </c>
      <c r="H4392" s="340">
        <f t="shared" si="3"/>
        <v>49.1</v>
      </c>
      <c r="I4392" s="341">
        <v>-0.1</v>
      </c>
      <c r="J4392" s="332">
        <f>IFERROR(__xludf.DUMMYFUNCTION("IF(IF(COUNTIF(P$2:P4391, P4392)=0, """", INDEX(H$2:H4391,
MAX(FILTER(ROW(H$2:H4391) - ROW(H$2) + 1, P$2:P4391 = P4392))))=""単価"","""",
IF(COUNTIF(P$2:P4391, P4392)=0, """", INDEX(H$2:H4391,
MAX(FILTER(ROW(H$2:H4391) - ROW(H$2) + 1, P$2:P4391 = P4392)))))"),49.2)</f>
        <v>49.2</v>
      </c>
      <c r="N4392" s="335" t="str">
        <f>IF(MAXIFS('単価履歴'!$O:$O,'単価履歴'!$E:$E,E4392,'単価履歴'!$F:$F,F4392)=O4392,"●","")</f>
        <v/>
      </c>
      <c r="O4392" s="346">
        <v>46084.83978009259</v>
      </c>
      <c r="P4392" s="334" t="str">
        <f t="shared" si="4"/>
        <v>山陽特殊:産振ＨＳ１(単体H1/電特A/HS))</v>
      </c>
    </row>
    <row r="4393" ht="15.75" customHeight="1">
      <c r="A4393" s="335" t="s">
        <v>5540</v>
      </c>
      <c r="B4393" s="336">
        <v>46085.0</v>
      </c>
      <c r="C4393" s="335" t="s">
        <v>12</v>
      </c>
      <c r="D4393" s="335" t="s">
        <v>50</v>
      </c>
      <c r="E4393" s="337" t="str">
        <f t="shared" si="1"/>
        <v>山陽特殊:産振</v>
      </c>
      <c r="F4393" s="338" t="s">
        <v>101</v>
      </c>
      <c r="G4393" s="339" t="str">
        <f t="shared" si="2"/>
        <v>山陽特殊:産振ＨＳ２</v>
      </c>
      <c r="H4393" s="340">
        <f t="shared" si="3"/>
        <v>48.9</v>
      </c>
      <c r="I4393" s="341">
        <v>-0.1</v>
      </c>
      <c r="J4393" s="332">
        <f>IFERROR(__xludf.DUMMYFUNCTION("IF(IF(COUNTIF(P$2:P4392, P4393)=0, """", INDEX(H$2:H4392,
MAX(FILTER(ROW(H$2:H4392) - ROW(H$2) + 1, P$2:P4392 = P4393))))=""単価"","""",
IF(COUNTIF(P$2:P4392, P4393)=0, """", INDEX(H$2:H4392,
MAX(FILTER(ROW(H$2:H4392) - ROW(H$2) + 1, P$2:P4392 = P4393)))))"),49.0)</f>
        <v>49</v>
      </c>
      <c r="N4393" s="335" t="str">
        <f>IF(MAXIFS('単価履歴'!$O:$O,'単価履歴'!$E:$E,E4393,'単価履歴'!$F:$F,F4393)=O4393,"●","")</f>
        <v/>
      </c>
      <c r="O4393" s="346">
        <v>46084.83978009259</v>
      </c>
      <c r="P4393" s="334" t="str">
        <f t="shared" si="4"/>
        <v>山陽特殊:産振ＨＳ２</v>
      </c>
    </row>
    <row r="4394" ht="15.75" customHeight="1">
      <c r="A4394" s="335" t="s">
        <v>5541</v>
      </c>
      <c r="B4394" s="336">
        <v>46085.0</v>
      </c>
      <c r="C4394" s="335" t="s">
        <v>12</v>
      </c>
      <c r="D4394" s="335" t="s">
        <v>50</v>
      </c>
      <c r="E4394" s="337" t="str">
        <f t="shared" si="1"/>
        <v>山陽特殊:産振</v>
      </c>
      <c r="F4394" s="338" t="s">
        <v>105</v>
      </c>
      <c r="G4394" s="339" t="str">
        <f t="shared" si="2"/>
        <v>山陽特殊:産振ＨＳ３</v>
      </c>
      <c r="H4394" s="340">
        <f t="shared" si="3"/>
        <v>46.9</v>
      </c>
      <c r="I4394" s="341">
        <v>-0.1</v>
      </c>
      <c r="J4394" s="332">
        <f>IFERROR(__xludf.DUMMYFUNCTION("IF(IF(COUNTIF(P$2:P4393, P4394)=0, """", INDEX(H$2:H4393,
MAX(FILTER(ROW(H$2:H4393) - ROW(H$2) + 1, P$2:P4393 = P4394))))=""単価"","""",
IF(COUNTIF(P$2:P4393, P4394)=0, """", INDEX(H$2:H4393,
MAX(FILTER(ROW(H$2:H4393) - ROW(H$2) + 1, P$2:P4393 = P4394)))))"),47.0)</f>
        <v>47</v>
      </c>
      <c r="N4394" s="335" t="str">
        <f>IF(MAXIFS('単価履歴'!$O:$O,'単価履歴'!$E:$E,E4394,'単価履歴'!$F:$F,F4394)=O4394,"●","")</f>
        <v/>
      </c>
      <c r="O4394" s="346">
        <v>46084.83978009259</v>
      </c>
      <c r="P4394" s="334" t="str">
        <f t="shared" si="4"/>
        <v>山陽特殊:産振ＨＳ３</v>
      </c>
    </row>
    <row r="4395" ht="15.75" customHeight="1">
      <c r="A4395" s="335" t="s">
        <v>5542</v>
      </c>
      <c r="B4395" s="336">
        <v>46086.0</v>
      </c>
      <c r="C4395" s="335" t="s">
        <v>7</v>
      </c>
      <c r="D4395" s="335" t="s">
        <v>49</v>
      </c>
      <c r="E4395" s="337" t="str">
        <f t="shared" si="1"/>
        <v>合同大阪:伊藤忠</v>
      </c>
      <c r="F4395" s="338" t="s">
        <v>130</v>
      </c>
      <c r="G4395" s="339" t="str">
        <f t="shared" si="2"/>
        <v>合同大阪:伊藤忠新断Ａ</v>
      </c>
      <c r="H4395" s="340">
        <f t="shared" si="3"/>
        <v>51.3</v>
      </c>
      <c r="I4395" s="341">
        <v>1.0</v>
      </c>
      <c r="J4395" s="332">
        <f>IFERROR(__xludf.DUMMYFUNCTION("IF(IF(COUNTIF(P$2:P4394, P4395)=0, """", INDEX(H$2:H4394,
MAX(FILTER(ROW(H$2:H4394) - ROW(H$2) + 1, P$2:P4394 = P4395))))=""単価"","""",
IF(COUNTIF(P$2:P4394, P4395)=0, """", INDEX(H$2:H4394,
MAX(FILTER(ROW(H$2:H4394) - ROW(H$2) + 1, P$2:P4394 = P4395)))))"),50.3)</f>
        <v>50.3</v>
      </c>
      <c r="N4395" s="335" t="str">
        <f>IF(MAXIFS('単価履歴'!$O:$O,'単価履歴'!$E:$E,E4395,'単価履歴'!$F:$F,F4395)=O4395,"●","")</f>
        <v/>
      </c>
      <c r="O4395" s="346">
        <v>46086.27606481481</v>
      </c>
      <c r="P4395" s="334" t="str">
        <f t="shared" si="4"/>
        <v>合同大阪:伊藤忠新断Ａ</v>
      </c>
    </row>
    <row r="4396" ht="15.75" customHeight="1">
      <c r="A4396" s="335" t="s">
        <v>5543</v>
      </c>
      <c r="B4396" s="336">
        <v>46086.0</v>
      </c>
      <c r="C4396" s="335" t="s">
        <v>7</v>
      </c>
      <c r="D4396" s="335" t="s">
        <v>49</v>
      </c>
      <c r="E4396" s="337" t="str">
        <f t="shared" si="1"/>
        <v>合同大阪:伊藤忠</v>
      </c>
      <c r="F4396" s="338" t="s">
        <v>131</v>
      </c>
      <c r="G4396" s="339" t="str">
        <f t="shared" si="2"/>
        <v>合同大阪:伊藤忠新断Ｂ</v>
      </c>
      <c r="H4396" s="340">
        <f t="shared" si="3"/>
        <v>50.8</v>
      </c>
      <c r="I4396" s="341">
        <v>1.0</v>
      </c>
      <c r="J4396" s="332">
        <f>IFERROR(__xludf.DUMMYFUNCTION("IF(IF(COUNTIF(P$2:P4395, P4396)=0, """", INDEX(H$2:H4395,
MAX(FILTER(ROW(H$2:H4395) - ROW(H$2) + 1, P$2:P4395 = P4396))))=""単価"","""",
IF(COUNTIF(P$2:P4395, P4396)=0, """", INDEX(H$2:H4395,
MAX(FILTER(ROW(H$2:H4395) - ROW(H$2) + 1, P$2:P4395 = P4396)))))"),49.8)</f>
        <v>49.8</v>
      </c>
      <c r="N4396" s="335" t="str">
        <f>IF(MAXIFS('単価履歴'!$O:$O,'単価履歴'!$E:$E,E4396,'単価履歴'!$F:$F,F4396)=O4396,"●","")</f>
        <v/>
      </c>
      <c r="O4396" s="346">
        <v>46086.27606481481</v>
      </c>
      <c r="P4396" s="334" t="str">
        <f t="shared" si="4"/>
        <v>合同大阪:伊藤忠新断Ｂ</v>
      </c>
    </row>
    <row r="4397" ht="15.75" customHeight="1">
      <c r="A4397" s="335" t="s">
        <v>5544</v>
      </c>
      <c r="B4397" s="336">
        <v>46086.0</v>
      </c>
      <c r="C4397" s="335" t="s">
        <v>30</v>
      </c>
      <c r="D4397" s="335" t="s">
        <v>52</v>
      </c>
      <c r="E4397" s="337" t="str">
        <f t="shared" si="1"/>
        <v>北港:リバイブ</v>
      </c>
      <c r="F4397" s="338" t="s">
        <v>1199</v>
      </c>
      <c r="G4397" s="339" t="str">
        <f t="shared" si="2"/>
        <v>北港:リバイブＨＳ１(単体H1/電特A/HS))</v>
      </c>
      <c r="H4397" s="340">
        <f t="shared" si="3"/>
        <v>50</v>
      </c>
      <c r="I4397" s="341">
        <v>0.5</v>
      </c>
      <c r="J4397" s="332">
        <f>IFERROR(__xludf.DUMMYFUNCTION("IF(IF(COUNTIF(P$2:P4396, P4397)=0, """", INDEX(H$2:H4396,
MAX(FILTER(ROW(H$2:H4396) - ROW(H$2) + 1, P$2:P4396 = P4397))))=""単価"","""",
IF(COUNTIF(P$2:P4396, P4397)=0, """", INDEX(H$2:H4396,
MAX(FILTER(ROW(H$2:H4396) - ROW(H$2) + 1, P$2:P4396 = P4397)))))"),49.5)</f>
        <v>49.5</v>
      </c>
      <c r="N4397" s="335" t="str">
        <f>IF(MAXIFS('単価履歴'!$O:$O,'単価履歴'!$E:$E,E4397,'単価履歴'!$F:$F,F4397)=O4397,"●","")</f>
        <v/>
      </c>
      <c r="O4397" s="346">
        <v>46086.276770833334</v>
      </c>
      <c r="P4397" s="334" t="str">
        <f t="shared" si="4"/>
        <v>北港:リバイブＨＳ１(単体H1/電特A/HS))</v>
      </c>
    </row>
    <row r="4398" ht="15.75" customHeight="1">
      <c r="A4398" s="335" t="s">
        <v>5545</v>
      </c>
      <c r="B4398" s="336">
        <v>46084.0</v>
      </c>
      <c r="C4398" s="335" t="s">
        <v>29</v>
      </c>
      <c r="D4398" s="335" t="s">
        <v>50</v>
      </c>
      <c r="E4398" s="337" t="str">
        <f t="shared" si="1"/>
        <v>南港:産振</v>
      </c>
      <c r="F4398" s="338" t="s">
        <v>130</v>
      </c>
      <c r="G4398" s="339" t="str">
        <f t="shared" si="2"/>
        <v>南港:産振新断Ａ</v>
      </c>
      <c r="H4398" s="340">
        <f t="shared" si="3"/>
        <v>52.5</v>
      </c>
      <c r="I4398" s="341">
        <v>3.0</v>
      </c>
      <c r="J4398" s="332">
        <f>IFERROR(__xludf.DUMMYFUNCTION("IF(IF(COUNTIF(P$2:P4397, P4398)=0, """", INDEX(H$2:H4397,
MAX(FILTER(ROW(H$2:H4397) - ROW(H$2) + 1, P$2:P4397 = P4398))))=""単価"","""",
IF(COUNTIF(P$2:P4397, P4398)=0, """", INDEX(H$2:H4397,
MAX(FILTER(ROW(H$2:H4397) - ROW(H$2) + 1, P$2:P4397 = P4398)))))"),49.5)</f>
        <v>49.5</v>
      </c>
      <c r="N4398" s="335" t="str">
        <f>IF(MAXIFS('単価履歴'!$O:$O,'単価履歴'!$E:$E,E4398,'単価履歴'!$F:$F,F4398)=O4398,"●","")</f>
        <v/>
      </c>
      <c r="O4398" s="346">
        <v>46086.278958333336</v>
      </c>
      <c r="P4398" s="334" t="str">
        <f t="shared" si="4"/>
        <v>南港:産振新断Ａ</v>
      </c>
    </row>
    <row r="4399" ht="15.75" customHeight="1">
      <c r="A4399" s="335" t="s">
        <v>5546</v>
      </c>
      <c r="B4399" s="336">
        <v>46085.0</v>
      </c>
      <c r="C4399" s="335" t="s">
        <v>534</v>
      </c>
      <c r="D4399" s="335" t="s">
        <v>46</v>
      </c>
      <c r="E4399" s="337" t="str">
        <f t="shared" si="1"/>
        <v>合同姫路:阪和</v>
      </c>
      <c r="F4399" s="338" t="s">
        <v>130</v>
      </c>
      <c r="G4399" s="339" t="str">
        <f t="shared" si="2"/>
        <v>合同姫路:阪和新断Ａ</v>
      </c>
      <c r="H4399" s="340">
        <f t="shared" si="3"/>
        <v>49.8</v>
      </c>
      <c r="I4399" s="341">
        <v>1.0</v>
      </c>
      <c r="J4399" s="332">
        <f>IFERROR(__xludf.DUMMYFUNCTION("IF(IF(COUNTIF(P$2:P4398, P4399)=0, """", INDEX(H$2:H4398,
MAX(FILTER(ROW(H$2:H4398) - ROW(H$2) + 1, P$2:P4398 = P4399))))=""単価"","""",
IF(COUNTIF(P$2:P4398, P4399)=0, """", INDEX(H$2:H4398,
MAX(FILTER(ROW(H$2:H4398) - ROW(H$2) + 1, P$2:P4398 = P4399)))))"),48.8)</f>
        <v>48.8</v>
      </c>
      <c r="N4399" s="335" t="str">
        <f>IF(MAXIFS('単価履歴'!$O:$O,'単価履歴'!$E:$E,E4399,'単価履歴'!$F:$F,F4399)=O4399,"●","")</f>
        <v/>
      </c>
      <c r="O4399" s="346">
        <v>46086.73888888889</v>
      </c>
      <c r="P4399" s="334" t="str">
        <f t="shared" si="4"/>
        <v>合同姫路:阪和新断Ａ</v>
      </c>
    </row>
    <row r="4400" ht="15.75" customHeight="1">
      <c r="A4400" s="335" t="s">
        <v>5547</v>
      </c>
      <c r="B4400" s="336">
        <v>46085.0</v>
      </c>
      <c r="C4400" s="335" t="s">
        <v>534</v>
      </c>
      <c r="D4400" s="335" t="s">
        <v>46</v>
      </c>
      <c r="E4400" s="337" t="str">
        <f t="shared" si="1"/>
        <v>合同姫路:阪和</v>
      </c>
      <c r="F4400" s="338" t="s">
        <v>131</v>
      </c>
      <c r="G4400" s="339" t="str">
        <f t="shared" si="2"/>
        <v>合同姫路:阪和新断Ｂ</v>
      </c>
      <c r="H4400" s="340">
        <f t="shared" si="3"/>
        <v>48.8</v>
      </c>
      <c r="I4400" s="341">
        <v>1.0</v>
      </c>
      <c r="J4400" s="332">
        <f>IFERROR(__xludf.DUMMYFUNCTION("IF(IF(COUNTIF(P$2:P4399, P4400)=0, """", INDEX(H$2:H4399,
MAX(FILTER(ROW(H$2:H4399) - ROW(H$2) + 1, P$2:P4399 = P4400))))=""単価"","""",
IF(COUNTIF(P$2:P4399, P4400)=0, """", INDEX(H$2:H4399,
MAX(FILTER(ROW(H$2:H4399) - ROW(H$2) + 1, P$2:P4399 = P4400)))))"),47.8)</f>
        <v>47.8</v>
      </c>
      <c r="N4400" s="335" t="str">
        <f>IF(MAXIFS('単価履歴'!$O:$O,'単価履歴'!$E:$E,E4400,'単価履歴'!$F:$F,F4400)=O4400,"●","")</f>
        <v/>
      </c>
      <c r="O4400" s="346">
        <v>46086.73888888889</v>
      </c>
      <c r="P4400" s="334" t="str">
        <f t="shared" si="4"/>
        <v>合同姫路:阪和新断Ｂ</v>
      </c>
    </row>
    <row r="4401" ht="15.75" customHeight="1">
      <c r="A4401" s="335" t="s">
        <v>5548</v>
      </c>
      <c r="B4401" s="336">
        <v>46087.0</v>
      </c>
      <c r="C4401" s="335" t="s">
        <v>534</v>
      </c>
      <c r="D4401" s="335" t="s">
        <v>46</v>
      </c>
      <c r="E4401" s="337" t="str">
        <f t="shared" si="1"/>
        <v>合同姫路:阪和</v>
      </c>
      <c r="F4401" s="338" t="s">
        <v>130</v>
      </c>
      <c r="G4401" s="339" t="str">
        <f t="shared" si="2"/>
        <v>合同姫路:阪和新断Ａ</v>
      </c>
      <c r="H4401" s="340">
        <f t="shared" si="3"/>
        <v>50.3</v>
      </c>
      <c r="I4401" s="341">
        <v>0.5</v>
      </c>
      <c r="J4401" s="332">
        <f>IFERROR(__xludf.DUMMYFUNCTION("IF(IF(COUNTIF(P$2:P4400, P4401)=0, """", INDEX(H$2:H4400,
MAX(FILTER(ROW(H$2:H4400) - ROW(H$2) + 1, P$2:P4400 = P4401))))=""単価"","""",
IF(COUNTIF(P$2:P4400, P4401)=0, """", INDEX(H$2:H4400,
MAX(FILTER(ROW(H$2:H4400) - ROW(H$2) + 1, P$2:P4400 = P4401)))))"),49.8)</f>
        <v>49.8</v>
      </c>
      <c r="N4401" s="335" t="str">
        <f>IF(MAXIFS('単価履歴'!$O:$O,'単価履歴'!$E:$E,E4401,'単価履歴'!$F:$F,F4401)=O4401,"●","")</f>
        <v/>
      </c>
      <c r="O4401" s="346">
        <v>46086.74023148148</v>
      </c>
      <c r="P4401" s="334" t="str">
        <f t="shared" si="4"/>
        <v>合同姫路:阪和新断Ａ</v>
      </c>
    </row>
    <row r="4402" ht="15.75" customHeight="1">
      <c r="A4402" s="335" t="s">
        <v>5549</v>
      </c>
      <c r="B4402" s="336">
        <v>46087.0</v>
      </c>
      <c r="C4402" s="335" t="s">
        <v>534</v>
      </c>
      <c r="D4402" s="335" t="s">
        <v>46</v>
      </c>
      <c r="E4402" s="337" t="str">
        <f t="shared" si="1"/>
        <v>合同姫路:阪和</v>
      </c>
      <c r="F4402" s="338" t="s">
        <v>131</v>
      </c>
      <c r="G4402" s="339" t="str">
        <f t="shared" si="2"/>
        <v>合同姫路:阪和新断Ｂ</v>
      </c>
      <c r="H4402" s="340">
        <f t="shared" si="3"/>
        <v>49.3</v>
      </c>
      <c r="I4402" s="341">
        <v>0.5</v>
      </c>
      <c r="J4402" s="332">
        <f>IFERROR(__xludf.DUMMYFUNCTION("IF(IF(COUNTIF(P$2:P4401, P4402)=0, """", INDEX(H$2:H4401,
MAX(FILTER(ROW(H$2:H4401) - ROW(H$2) + 1, P$2:P4401 = P4402))))=""単価"","""",
IF(COUNTIF(P$2:P4401, P4402)=0, """", INDEX(H$2:H4401,
MAX(FILTER(ROW(H$2:H4401) - ROW(H$2) + 1, P$2:P4401 = P4402)))))"),48.8)</f>
        <v>48.8</v>
      </c>
      <c r="N4402" s="335" t="str">
        <f>IF(MAXIFS('単価履歴'!$O:$O,'単価履歴'!$E:$E,E4402,'単価履歴'!$F:$F,F4402)=O4402,"●","")</f>
        <v/>
      </c>
      <c r="O4402" s="346">
        <v>46086.74023148148</v>
      </c>
      <c r="P4402" s="334" t="str">
        <f t="shared" si="4"/>
        <v>合同姫路:阪和新断Ｂ</v>
      </c>
    </row>
    <row r="4403" ht="15.75" customHeight="1">
      <c r="A4403" s="335" t="s">
        <v>5550</v>
      </c>
      <c r="B4403" s="336">
        <v>46087.0</v>
      </c>
      <c r="C4403" s="335" t="s">
        <v>30</v>
      </c>
      <c r="D4403" s="335" t="s">
        <v>52</v>
      </c>
      <c r="E4403" s="337" t="str">
        <f t="shared" si="1"/>
        <v>北港:リバイブ</v>
      </c>
      <c r="F4403" s="338" t="s">
        <v>1199</v>
      </c>
      <c r="G4403" s="339" t="str">
        <f t="shared" si="2"/>
        <v>北港:リバイブＨＳ１(単体H1/電特A/HS))</v>
      </c>
      <c r="H4403" s="340">
        <f t="shared" si="3"/>
        <v>51.5</v>
      </c>
      <c r="I4403" s="341">
        <v>1.5</v>
      </c>
      <c r="J4403" s="332">
        <f>IFERROR(__xludf.DUMMYFUNCTION("IF(IF(COUNTIF(P$2:P4402, P4403)=0, """", INDEX(H$2:H4402,
MAX(FILTER(ROW(H$2:H4402) - ROW(H$2) + 1, P$2:P4402 = P4403))))=""単価"","""",
IF(COUNTIF(P$2:P4402, P4403)=0, """", INDEX(H$2:H4402,
MAX(FILTER(ROW(H$2:H4402) - ROW(H$2) + 1, P$2:P4402 = P4403)))))"),50.0)</f>
        <v>50</v>
      </c>
      <c r="N4403" s="335" t="str">
        <f>IF(MAXIFS('単価履歴'!$O:$O,'単価履歴'!$E:$E,E4403,'単価履歴'!$F:$F,F4403)=O4403,"●","")</f>
        <v/>
      </c>
      <c r="O4403" s="346">
        <v>46086.74275462963</v>
      </c>
      <c r="P4403" s="334" t="str">
        <f t="shared" si="4"/>
        <v>北港:リバイブＨＳ１(単体H1/電特A/HS))</v>
      </c>
    </row>
    <row r="4404" ht="15.75" customHeight="1">
      <c r="A4404" s="335" t="s">
        <v>5551</v>
      </c>
      <c r="B4404" s="336">
        <v>46087.0</v>
      </c>
      <c r="C4404" s="335" t="s">
        <v>34</v>
      </c>
      <c r="D4404" s="335" t="s">
        <v>48</v>
      </c>
      <c r="E4404" s="337" t="str">
        <f t="shared" si="1"/>
        <v>ﾆｭｰｽｺﾝ尼崎:ナベ</v>
      </c>
      <c r="F4404" s="338" t="s">
        <v>130</v>
      </c>
      <c r="G4404" s="339" t="str">
        <f t="shared" si="2"/>
        <v>ﾆｭｰｽｺﾝ尼崎:ナベ新断Ａ</v>
      </c>
      <c r="H4404" s="340">
        <f t="shared" si="3"/>
        <v>51.5</v>
      </c>
      <c r="I4404" s="341">
        <v>51.5</v>
      </c>
      <c r="J4404" s="332" t="str">
        <f>IFERROR(__xludf.DUMMYFUNCTION("IF(IF(COUNTIF(P$2:P4403, P4404)=0, """", INDEX(H$2:H4403,
MAX(FILTER(ROW(H$2:H4403) - ROW(H$2) + 1, P$2:P4403 = P4404))))=""単価"","""",
IF(COUNTIF(P$2:P4403, P4404)=0, """", INDEX(H$2:H4403,
MAX(FILTER(ROW(H$2:H4403) - ROW(H$2) + 1, P$2:P4403 = P4404)))))"),"")</f>
        <v/>
      </c>
      <c r="N4404" s="335" t="str">
        <f>IF(MAXIFS('単価履歴'!$O:$O,'単価履歴'!$E:$E,E4404,'単価履歴'!$F:$F,F4404)=O4404,"●","")</f>
        <v/>
      </c>
      <c r="O4404" s="346">
        <v>46087.64476851852</v>
      </c>
      <c r="P4404" s="334" t="str">
        <f t="shared" si="4"/>
        <v>ﾆｭｰｽｺﾝ尼崎:ナベ新断Ａ</v>
      </c>
    </row>
    <row r="4405" ht="15.75" customHeight="1">
      <c r="A4405" s="335" t="s">
        <v>5552</v>
      </c>
      <c r="B4405" s="336">
        <v>46088.0</v>
      </c>
      <c r="C4405" s="335" t="s">
        <v>13</v>
      </c>
      <c r="D4405" s="335" t="s">
        <v>49</v>
      </c>
      <c r="E4405" s="337" t="str">
        <f t="shared" si="1"/>
        <v>ｸﾎﾞﾀ:伊藤忠</v>
      </c>
      <c r="F4405" s="338" t="s">
        <v>130</v>
      </c>
      <c r="G4405" s="339" t="str">
        <f t="shared" si="2"/>
        <v>ｸﾎﾞﾀ:伊藤忠新断Ａ</v>
      </c>
      <c r="H4405" s="340">
        <f t="shared" si="3"/>
        <v>51.7</v>
      </c>
      <c r="I4405" s="341">
        <v>0.5</v>
      </c>
      <c r="J4405" s="332">
        <f>IFERROR(__xludf.DUMMYFUNCTION("IF(IF(COUNTIF(P$2:P4404, P4405)=0, """", INDEX(H$2:H4404,
MAX(FILTER(ROW(H$2:H4404) - ROW(H$2) + 1, P$2:P4404 = P4405))))=""単価"","""",
IF(COUNTIF(P$2:P4404, P4405)=0, """", INDEX(H$2:H4404,
MAX(FILTER(ROW(H$2:H4404) - ROW(H$2) + 1, P$2:P4404 = P4405)))))"),51.2)</f>
        <v>51.2</v>
      </c>
      <c r="N4405" s="335" t="str">
        <f>IF(MAXIFS('単価履歴'!$O:$O,'単価履歴'!$E:$E,E4405,'単価履歴'!$F:$F,F4405)=O4405,"●","")</f>
        <v/>
      </c>
      <c r="O4405" s="346">
        <v>46087.707824074074</v>
      </c>
      <c r="P4405" s="334" t="str">
        <f t="shared" si="4"/>
        <v>ｸﾎﾞﾀ:伊藤忠新断Ａ</v>
      </c>
    </row>
    <row r="4406" ht="15.75" customHeight="1">
      <c r="A4406" s="335" t="s">
        <v>5553</v>
      </c>
      <c r="B4406" s="336">
        <v>46091.0</v>
      </c>
      <c r="C4406" s="335" t="s">
        <v>534</v>
      </c>
      <c r="D4406" s="335" t="s">
        <v>46</v>
      </c>
      <c r="E4406" s="337" t="str">
        <f t="shared" si="1"/>
        <v>合同姫路:阪和</v>
      </c>
      <c r="F4406" s="338" t="s">
        <v>130</v>
      </c>
      <c r="G4406" s="339" t="str">
        <f t="shared" si="2"/>
        <v>合同姫路:阪和新断Ａ</v>
      </c>
      <c r="H4406" s="340">
        <f t="shared" si="3"/>
        <v>50.8</v>
      </c>
      <c r="I4406" s="341">
        <v>0.5</v>
      </c>
      <c r="J4406" s="332">
        <f>IFERROR(__xludf.DUMMYFUNCTION("IF(IF(COUNTIF(P$2:P4405, P4406)=0, """", INDEX(H$2:H4405,
MAX(FILTER(ROW(H$2:H4405) - ROW(H$2) + 1, P$2:P4405 = P4406))))=""単価"","""",
IF(COUNTIF(P$2:P4405, P4406)=0, """", INDEX(H$2:H4405,
MAX(FILTER(ROW(H$2:H4405) - ROW(H$2) + 1, P$2:P4405 = P4406)))))"),50.3)</f>
        <v>50.3</v>
      </c>
      <c r="N4406" s="335" t="str">
        <f>IF(MAXIFS('単価履歴'!$O:$O,'単価履歴'!$E:$E,E4406,'単価履歴'!$F:$F,F4406)=O4406,"●","")</f>
        <v/>
      </c>
      <c r="O4406" s="346">
        <v>46090.71643518518</v>
      </c>
      <c r="P4406" s="334" t="str">
        <f t="shared" si="4"/>
        <v>合同姫路:阪和新断Ａ</v>
      </c>
    </row>
    <row r="4407" ht="15.75" customHeight="1">
      <c r="A4407" s="335" t="s">
        <v>5554</v>
      </c>
      <c r="B4407" s="336">
        <v>46091.0</v>
      </c>
      <c r="C4407" s="335" t="s">
        <v>534</v>
      </c>
      <c r="D4407" s="335" t="s">
        <v>46</v>
      </c>
      <c r="E4407" s="337" t="str">
        <f t="shared" si="1"/>
        <v>合同姫路:阪和</v>
      </c>
      <c r="F4407" s="338" t="s">
        <v>131</v>
      </c>
      <c r="G4407" s="339" t="str">
        <f t="shared" si="2"/>
        <v>合同姫路:阪和新断Ｂ</v>
      </c>
      <c r="H4407" s="340">
        <f t="shared" si="3"/>
        <v>49.8</v>
      </c>
      <c r="I4407" s="341">
        <v>0.5</v>
      </c>
      <c r="J4407" s="332">
        <f>IFERROR(__xludf.DUMMYFUNCTION("IF(IF(COUNTIF(P$2:P4406, P4407)=0, """", INDEX(H$2:H4406,
MAX(FILTER(ROW(H$2:H4406) - ROW(H$2) + 1, P$2:P4406 = P4407))))=""単価"","""",
IF(COUNTIF(P$2:P4406, P4407)=0, """", INDEX(H$2:H4406,
MAX(FILTER(ROW(H$2:H4406) - ROW(H$2) + 1, P$2:P4406 = P4407)))))"),49.3)</f>
        <v>49.3</v>
      </c>
      <c r="N4407" s="335" t="str">
        <f>IF(MAXIFS('単価履歴'!$O:$O,'単価履歴'!$E:$E,E4407,'単価履歴'!$F:$F,F4407)=O4407,"●","")</f>
        <v/>
      </c>
      <c r="O4407" s="346">
        <v>46090.71643518518</v>
      </c>
      <c r="P4407" s="334" t="str">
        <f t="shared" si="4"/>
        <v>合同姫路:阪和新断Ｂ</v>
      </c>
    </row>
    <row r="4408" ht="15.75" customHeight="1">
      <c r="A4408" s="335" t="s">
        <v>5555</v>
      </c>
      <c r="B4408" s="336">
        <v>46085.0</v>
      </c>
      <c r="C4408" s="335" t="s">
        <v>10</v>
      </c>
      <c r="D4408" s="335" t="s">
        <v>539</v>
      </c>
      <c r="E4408" s="337" t="str">
        <f t="shared" si="1"/>
        <v>岸和田:岡谷鋼機</v>
      </c>
      <c r="F4408" s="338" t="s">
        <v>111</v>
      </c>
      <c r="G4408" s="339" t="str">
        <f t="shared" si="2"/>
        <v>岸和田:岡谷鋼機Ｈ１(特A)</v>
      </c>
      <c r="H4408" s="340">
        <f t="shared" si="3"/>
        <v>50.7</v>
      </c>
      <c r="I4408" s="341">
        <v>0.5</v>
      </c>
      <c r="J4408" s="332">
        <f>IFERROR(__xludf.DUMMYFUNCTION("IF(IF(COUNTIF(P$2:P4407, P4408)=0, """", INDEX(H$2:H4407,
MAX(FILTER(ROW(H$2:H4407) - ROW(H$2) + 1, P$2:P4407 = P4408))))=""単価"","""",
IF(COUNTIF(P$2:P4407, P4408)=0, """", INDEX(H$2:H4407,
MAX(FILTER(ROW(H$2:H4407) - ROW(H$2) + 1, P$2:P4407 = P4408)))))"),50.2)</f>
        <v>50.2</v>
      </c>
      <c r="N4408" s="335" t="str">
        <f>IF(MAXIFS('単価履歴'!$O:$O,'単価履歴'!$E:$E,E4408,'単価履歴'!$F:$F,F4408)=O4408,"●","")</f>
        <v/>
      </c>
      <c r="O4408" s="346">
        <v>46092.66751157407</v>
      </c>
      <c r="P4408" s="334" t="str">
        <f t="shared" si="4"/>
        <v>岸和田:岡谷鋼機Ｈ１(特A)</v>
      </c>
    </row>
    <row r="4409" ht="15.75" customHeight="1">
      <c r="A4409" s="335" t="s">
        <v>5556</v>
      </c>
      <c r="B4409" s="336">
        <v>46085.0</v>
      </c>
      <c r="C4409" s="335" t="s">
        <v>10</v>
      </c>
      <c r="D4409" s="335" t="s">
        <v>539</v>
      </c>
      <c r="E4409" s="337" t="str">
        <f t="shared" si="1"/>
        <v>岸和田:岡谷鋼機</v>
      </c>
      <c r="F4409" s="338" t="s">
        <v>116</v>
      </c>
      <c r="G4409" s="339" t="str">
        <f t="shared" si="2"/>
        <v>岸和田:岡谷鋼機Ｈ２(特級)</v>
      </c>
      <c r="H4409" s="340">
        <f t="shared" si="3"/>
        <v>48.7</v>
      </c>
      <c r="I4409" s="341">
        <v>0.5</v>
      </c>
      <c r="J4409" s="332">
        <f>IFERROR(__xludf.DUMMYFUNCTION("IF(IF(COUNTIF(P$2:P4408, P4409)=0, """", INDEX(H$2:H4408,
MAX(FILTER(ROW(H$2:H4408) - ROW(H$2) + 1, P$2:P4408 = P4409))))=""単価"","""",
IF(COUNTIF(P$2:P4408, P4409)=0, """", INDEX(H$2:H4408,
MAX(FILTER(ROW(H$2:H4408) - ROW(H$2) + 1, P$2:P4408 = P4409)))))"),48.2)</f>
        <v>48.2</v>
      </c>
      <c r="N4409" s="335" t="str">
        <f>IF(MAXIFS('単価履歴'!$O:$O,'単価履歴'!$E:$E,E4409,'単価履歴'!$F:$F,F4409)=O4409,"●","")</f>
        <v/>
      </c>
      <c r="O4409" s="346">
        <v>46092.66751157407</v>
      </c>
      <c r="P4409" s="334" t="str">
        <f t="shared" si="4"/>
        <v>岸和田:岡谷鋼機Ｈ２(特級)</v>
      </c>
    </row>
    <row r="4410" ht="15.75" customHeight="1">
      <c r="A4410" s="335" t="s">
        <v>5557</v>
      </c>
      <c r="B4410" s="336">
        <v>46085.0</v>
      </c>
      <c r="C4410" s="335" t="s">
        <v>10</v>
      </c>
      <c r="D4410" s="335" t="s">
        <v>539</v>
      </c>
      <c r="E4410" s="337" t="str">
        <f t="shared" si="1"/>
        <v>岸和田:岡谷鋼機</v>
      </c>
      <c r="F4410" s="338" t="s">
        <v>119</v>
      </c>
      <c r="G4410" s="339" t="str">
        <f t="shared" si="2"/>
        <v>岸和田:岡谷鋼機Ｈ３(1級)</v>
      </c>
      <c r="H4410" s="340">
        <f t="shared" si="3"/>
        <v>47.2</v>
      </c>
      <c r="I4410" s="341">
        <v>0.5</v>
      </c>
      <c r="J4410" s="332">
        <f>IFERROR(__xludf.DUMMYFUNCTION("IF(IF(COUNTIF(P$2:P4409, P4410)=0, """", INDEX(H$2:H4409,
MAX(FILTER(ROW(H$2:H4409) - ROW(H$2) + 1, P$2:P4409 = P4410))))=""単価"","""",
IF(COUNTIF(P$2:P4409, P4410)=0, """", INDEX(H$2:H4409,
MAX(FILTER(ROW(H$2:H4409) - ROW(H$2) + 1, P$2:P4409 = P4410)))))"),46.7)</f>
        <v>46.7</v>
      </c>
      <c r="N4410" s="335" t="str">
        <f>IF(MAXIFS('単価履歴'!$O:$O,'単価履歴'!$E:$E,E4410,'単価履歴'!$F:$F,F4410)=O4410,"●","")</f>
        <v/>
      </c>
      <c r="O4410" s="346">
        <v>46092.66751157407</v>
      </c>
      <c r="P4410" s="334" t="str">
        <f t="shared" si="4"/>
        <v>岸和田:岡谷鋼機Ｈ３(1級)</v>
      </c>
    </row>
    <row r="4411" ht="15.75" customHeight="1">
      <c r="A4411" s="335" t="s">
        <v>5558</v>
      </c>
      <c r="B4411" s="336">
        <v>46093.0</v>
      </c>
      <c r="C4411" s="335" t="s">
        <v>531</v>
      </c>
      <c r="D4411" s="335" t="s">
        <v>77</v>
      </c>
      <c r="E4411" s="337" t="str">
        <f t="shared" si="1"/>
        <v>東鐵関西:直納</v>
      </c>
      <c r="F4411" s="338" t="s">
        <v>1199</v>
      </c>
      <c r="G4411" s="339" t="str">
        <f t="shared" si="2"/>
        <v>東鐵関西:直納ＨＳ１(単体H1/電特A/HS))</v>
      </c>
      <c r="H4411" s="340">
        <f t="shared" si="3"/>
        <v>50.5</v>
      </c>
      <c r="I4411" s="341">
        <v>2.5</v>
      </c>
      <c r="J4411" s="332">
        <f>IFERROR(__xludf.DUMMYFUNCTION("IF(IF(COUNTIF(P$2:P4410, P4411)=0, """", INDEX(H$2:H4410,
MAX(FILTER(ROW(H$2:H4410) - ROW(H$2) + 1, P$2:P4410 = P4411))))=""単価"","""",
IF(COUNTIF(P$2:P4410, P4411)=0, """", INDEX(H$2:H4410,
MAX(FILTER(ROW(H$2:H4410) - ROW(H$2) + 1, P$2:P4410 = P4411)))))"),48.0)</f>
        <v>48</v>
      </c>
      <c r="N4411" s="335" t="str">
        <f>IF(MAXIFS('単価履歴'!$O:$O,'単価履歴'!$E:$E,E4411,'単価履歴'!$F:$F,F4411)=O4411,"●","")</f>
        <v/>
      </c>
      <c r="O4411" s="346">
        <v>46093.34798611111</v>
      </c>
      <c r="P4411" s="334" t="str">
        <f t="shared" si="4"/>
        <v>東鐵関西:直納ＨＳ１(単体H1/電特A/HS))</v>
      </c>
    </row>
    <row r="4412" ht="15.75" customHeight="1">
      <c r="A4412" s="335" t="s">
        <v>5559</v>
      </c>
      <c r="B4412" s="336">
        <v>46093.0</v>
      </c>
      <c r="C4412" s="335" t="s">
        <v>531</v>
      </c>
      <c r="D4412" s="335" t="s">
        <v>77</v>
      </c>
      <c r="E4412" s="337" t="str">
        <f t="shared" si="1"/>
        <v>東鐵関西:直納</v>
      </c>
      <c r="F4412" s="338" t="s">
        <v>111</v>
      </c>
      <c r="G4412" s="339" t="str">
        <f t="shared" si="2"/>
        <v>東鐵関西:直納Ｈ１(特A)</v>
      </c>
      <c r="H4412" s="340">
        <f t="shared" si="3"/>
        <v>50</v>
      </c>
      <c r="I4412" s="341">
        <v>2.5</v>
      </c>
      <c r="J4412" s="332">
        <f>IFERROR(__xludf.DUMMYFUNCTION("IF(IF(COUNTIF(P$2:P4411, P4412)=0, """", INDEX(H$2:H4411,
MAX(FILTER(ROW(H$2:H4411) - ROW(H$2) + 1, P$2:P4411 = P4412))))=""単価"","""",
IF(COUNTIF(P$2:P4411, P4412)=0, """", INDEX(H$2:H4411,
MAX(FILTER(ROW(H$2:H4411) - ROW(H$2) + 1, P$2:P4411 = P4412)))))"),47.5)</f>
        <v>47.5</v>
      </c>
      <c r="N4412" s="335" t="str">
        <f>IF(MAXIFS('単価履歴'!$O:$O,'単価履歴'!$E:$E,E4412,'単価履歴'!$F:$F,F4412)=O4412,"●","")</f>
        <v/>
      </c>
      <c r="O4412" s="346">
        <v>46093.34798611111</v>
      </c>
      <c r="P4412" s="334" t="str">
        <f t="shared" si="4"/>
        <v>東鐵関西:直納Ｈ１(特A)</v>
      </c>
    </row>
    <row r="4413" ht="15.75" customHeight="1">
      <c r="A4413" s="335" t="s">
        <v>5560</v>
      </c>
      <c r="B4413" s="336">
        <v>46093.0</v>
      </c>
      <c r="C4413" s="335" t="s">
        <v>531</v>
      </c>
      <c r="D4413" s="335" t="s">
        <v>77</v>
      </c>
      <c r="E4413" s="337" t="str">
        <f t="shared" si="1"/>
        <v>東鐵関西:直納</v>
      </c>
      <c r="F4413" s="338" t="s">
        <v>116</v>
      </c>
      <c r="G4413" s="339" t="str">
        <f t="shared" si="2"/>
        <v>東鐵関西:直納Ｈ２(特級)</v>
      </c>
      <c r="H4413" s="340">
        <f t="shared" si="3"/>
        <v>48</v>
      </c>
      <c r="I4413" s="341">
        <v>2.5</v>
      </c>
      <c r="J4413" s="332">
        <f>IFERROR(__xludf.DUMMYFUNCTION("IF(IF(COUNTIF(P$2:P4412, P4413)=0, """", INDEX(H$2:H4412,
MAX(FILTER(ROW(H$2:H4412) - ROW(H$2) + 1, P$2:P4412 = P4413))))=""単価"","""",
IF(COUNTIF(P$2:P4412, P4413)=0, """", INDEX(H$2:H4412,
MAX(FILTER(ROW(H$2:H4412) - ROW(H$2) + 1, P$2:P4412 = P4413)))))"),45.5)</f>
        <v>45.5</v>
      </c>
      <c r="N4413" s="335" t="str">
        <f>IF(MAXIFS('単価履歴'!$O:$O,'単価履歴'!$E:$E,E4413,'単価履歴'!$F:$F,F4413)=O4413,"●","")</f>
        <v/>
      </c>
      <c r="O4413" s="346">
        <v>46093.34798611111</v>
      </c>
      <c r="P4413" s="334" t="str">
        <f t="shared" si="4"/>
        <v>東鐵関西:直納Ｈ２(特級)</v>
      </c>
    </row>
    <row r="4414" ht="15.75" customHeight="1">
      <c r="A4414" s="335" t="s">
        <v>5561</v>
      </c>
      <c r="B4414" s="336">
        <v>46093.0</v>
      </c>
      <c r="C4414" s="335" t="s">
        <v>531</v>
      </c>
      <c r="D4414" s="335" t="s">
        <v>77</v>
      </c>
      <c r="E4414" s="337" t="str">
        <f t="shared" si="1"/>
        <v>東鐵関西:直納</v>
      </c>
      <c r="F4414" s="338" t="s">
        <v>119</v>
      </c>
      <c r="G4414" s="339" t="str">
        <f t="shared" si="2"/>
        <v>東鐵関西:直納Ｈ３(1級)</v>
      </c>
      <c r="H4414" s="340">
        <f t="shared" si="3"/>
        <v>48</v>
      </c>
      <c r="I4414" s="341">
        <v>2.5</v>
      </c>
      <c r="J4414" s="332">
        <f>IFERROR(__xludf.DUMMYFUNCTION("IF(IF(COUNTIF(P$2:P4413, P4414)=0, """", INDEX(H$2:H4413,
MAX(FILTER(ROW(H$2:H4413) - ROW(H$2) + 1, P$2:P4413 = P4414))))=""単価"","""",
IF(COUNTIF(P$2:P4413, P4414)=0, """", INDEX(H$2:H4413,
MAX(FILTER(ROW(H$2:H4413) - ROW(H$2) + 1, P$2:P4413 = P4414)))))"),45.5)</f>
        <v>45.5</v>
      </c>
      <c r="N4414" s="335" t="str">
        <f>IF(MAXIFS('単価履歴'!$O:$O,'単価履歴'!$E:$E,E4414,'単価履歴'!$F:$F,F4414)=O4414,"●","")</f>
        <v/>
      </c>
      <c r="O4414" s="346">
        <v>46093.34798611111</v>
      </c>
      <c r="P4414" s="334" t="str">
        <f t="shared" si="4"/>
        <v>東鐵関西:直納Ｈ３(1級)</v>
      </c>
    </row>
    <row r="4415" ht="15.75" customHeight="1">
      <c r="A4415" s="335" t="s">
        <v>5562</v>
      </c>
      <c r="B4415" s="336">
        <v>46093.0</v>
      </c>
      <c r="C4415" s="335" t="s">
        <v>531</v>
      </c>
      <c r="D4415" s="335" t="s">
        <v>77</v>
      </c>
      <c r="E4415" s="337" t="str">
        <f t="shared" si="1"/>
        <v>東鐵関西:直納</v>
      </c>
      <c r="F4415" s="338" t="s">
        <v>122</v>
      </c>
      <c r="G4415" s="339" t="str">
        <f t="shared" si="2"/>
        <v>東鐵関西:直納Ｌ１(2級)</v>
      </c>
      <c r="H4415" s="340">
        <f t="shared" si="3"/>
        <v>46</v>
      </c>
      <c r="I4415" s="341">
        <v>2.5</v>
      </c>
      <c r="J4415" s="332">
        <f>IFERROR(__xludf.DUMMYFUNCTION("IF(IF(COUNTIF(P$2:P4414, P4415)=0, """", INDEX(H$2:H4414,
MAX(FILTER(ROW(H$2:H4414) - ROW(H$2) + 1, P$2:P4414 = P4415))))=""単価"","""",
IF(COUNTIF(P$2:P4414, P4415)=0, """", INDEX(H$2:H4414,
MAX(FILTER(ROW(H$2:H4414) - ROW(H$2) + 1, P$2:P4414 = P4415)))))"),43.5)</f>
        <v>43.5</v>
      </c>
      <c r="N4415" s="335" t="str">
        <f>IF(MAXIFS('単価履歴'!$O:$O,'単価履歴'!$E:$E,E4415,'単価履歴'!$F:$F,F4415)=O4415,"●","")</f>
        <v/>
      </c>
      <c r="O4415" s="346">
        <v>46093.34798611111</v>
      </c>
      <c r="P4415" s="334" t="str">
        <f t="shared" si="4"/>
        <v>東鐵関西:直納Ｌ１(2級)</v>
      </c>
    </row>
    <row r="4416" ht="15.75" customHeight="1">
      <c r="A4416" s="335" t="s">
        <v>5563</v>
      </c>
      <c r="B4416" s="336">
        <v>46093.0</v>
      </c>
      <c r="C4416" s="335" t="s">
        <v>531</v>
      </c>
      <c r="D4416" s="335" t="s">
        <v>77</v>
      </c>
      <c r="E4416" s="337" t="str">
        <f t="shared" si="1"/>
        <v>東鐵関西:直納</v>
      </c>
      <c r="F4416" s="338" t="s">
        <v>573</v>
      </c>
      <c r="G4416" s="339" t="str">
        <f t="shared" si="2"/>
        <v>東鐵関西:直納Ｌ２(H4･級外･L1ﾊﾞﾗ)</v>
      </c>
      <c r="H4416" s="340">
        <f t="shared" si="3"/>
        <v>43</v>
      </c>
      <c r="I4416" s="341">
        <v>2.5</v>
      </c>
      <c r="J4416" s="332">
        <f>IFERROR(__xludf.DUMMYFUNCTION("IF(IF(COUNTIF(P$2:P4415, P4416)=0, """", INDEX(H$2:H4415,
MAX(FILTER(ROW(H$2:H4415) - ROW(H$2) + 1, P$2:P4415 = P4416))))=""単価"","""",
IF(COUNTIF(P$2:P4415, P4416)=0, """", INDEX(H$2:H4415,
MAX(FILTER(ROW(H$2:H4415) - ROW(H$2) + 1, P$2:P4415 = P4416)))))"),40.5)</f>
        <v>40.5</v>
      </c>
      <c r="N4416" s="335" t="str">
        <f>IF(MAXIFS('単価履歴'!$O:$O,'単価履歴'!$E:$E,E4416,'単価履歴'!$F:$F,F4416)=O4416,"●","")</f>
        <v/>
      </c>
      <c r="O4416" s="346">
        <v>46093.34798611111</v>
      </c>
      <c r="P4416" s="334" t="str">
        <f t="shared" si="4"/>
        <v>東鐵関西:直納Ｌ２(H4･級外･L1ﾊﾞﾗ)</v>
      </c>
    </row>
    <row r="4417" ht="15.75" customHeight="1">
      <c r="A4417" s="335" t="s">
        <v>5564</v>
      </c>
      <c r="B4417" s="336">
        <v>46093.0</v>
      </c>
      <c r="C4417" s="335" t="s">
        <v>531</v>
      </c>
      <c r="D4417" s="335" t="s">
        <v>77</v>
      </c>
      <c r="E4417" s="337" t="str">
        <f t="shared" si="1"/>
        <v>東鐵関西:直納</v>
      </c>
      <c r="F4417" s="338" t="s">
        <v>145</v>
      </c>
      <c r="G4417" s="339" t="str">
        <f t="shared" si="2"/>
        <v>東鐵関西:直納シュレＡ</v>
      </c>
      <c r="H4417" s="340">
        <f t="shared" si="3"/>
        <v>49.5</v>
      </c>
      <c r="I4417" s="341">
        <v>2.5</v>
      </c>
      <c r="J4417" s="332">
        <f>IFERROR(__xludf.DUMMYFUNCTION("IF(IF(COUNTIF(P$2:P4416, P4417)=0, """", INDEX(H$2:H4416,
MAX(FILTER(ROW(H$2:H4416) - ROW(H$2) + 1, P$2:P4416 = P4417))))=""単価"","""",
IF(COUNTIF(P$2:P4416, P4417)=0, """", INDEX(H$2:H4416,
MAX(FILTER(ROW(H$2:H4416) - ROW(H$2) + 1, P$2:P4416 = P4417)))))"),47.0)</f>
        <v>47</v>
      </c>
      <c r="N4417" s="335" t="str">
        <f>IF(MAXIFS('単価履歴'!$O:$O,'単価履歴'!$E:$E,E4417,'単価履歴'!$F:$F,F4417)=O4417,"●","")</f>
        <v/>
      </c>
      <c r="O4417" s="346">
        <v>46093.34798611111</v>
      </c>
      <c r="P4417" s="334" t="str">
        <f t="shared" si="4"/>
        <v>東鐵関西:直納シュレＡ</v>
      </c>
    </row>
    <row r="4418" ht="15.75" customHeight="1">
      <c r="A4418" s="335" t="s">
        <v>5565</v>
      </c>
      <c r="B4418" s="336">
        <v>46093.0</v>
      </c>
      <c r="C4418" s="335" t="s">
        <v>531</v>
      </c>
      <c r="D4418" s="335" t="s">
        <v>77</v>
      </c>
      <c r="E4418" s="337" t="str">
        <f t="shared" si="1"/>
        <v>東鐵関西:直納</v>
      </c>
      <c r="F4418" s="338" t="s">
        <v>151</v>
      </c>
      <c r="G4418" s="339" t="str">
        <f t="shared" si="2"/>
        <v>東鐵関西:直納シュレＣ</v>
      </c>
      <c r="H4418" s="340">
        <f t="shared" si="3"/>
        <v>48.5</v>
      </c>
      <c r="I4418" s="341">
        <v>2.5</v>
      </c>
      <c r="J4418" s="332">
        <f>IFERROR(__xludf.DUMMYFUNCTION("IF(IF(COUNTIF(P$2:P4417, P4418)=0, """", INDEX(H$2:H4417,
MAX(FILTER(ROW(H$2:H4417) - ROW(H$2) + 1, P$2:P4417 = P4418))))=""単価"","""",
IF(COUNTIF(P$2:P4417, P4418)=0, """", INDEX(H$2:H4417,
MAX(FILTER(ROW(H$2:H4417) - ROW(H$2) + 1, P$2:P4417 = P4418)))))"),46.0)</f>
        <v>46</v>
      </c>
      <c r="N4418" s="335" t="str">
        <f>IF(MAXIFS('単価履歴'!$O:$O,'単価履歴'!$E:$E,E4418,'単価履歴'!$F:$F,F4418)=O4418,"●","")</f>
        <v/>
      </c>
      <c r="O4418" s="346">
        <v>46093.34798611111</v>
      </c>
      <c r="P4418" s="334" t="str">
        <f t="shared" si="4"/>
        <v>東鐵関西:直納シュレＣ</v>
      </c>
    </row>
    <row r="4419" ht="15.75" customHeight="1">
      <c r="A4419" s="335" t="s">
        <v>5566</v>
      </c>
      <c r="B4419" s="336">
        <v>46093.0</v>
      </c>
      <c r="C4419" s="335" t="s">
        <v>532</v>
      </c>
      <c r="D4419" s="335" t="s">
        <v>77</v>
      </c>
      <c r="E4419" s="337" t="str">
        <f t="shared" si="1"/>
        <v>東鐵岡山:直納</v>
      </c>
      <c r="F4419" s="338" t="s">
        <v>1199</v>
      </c>
      <c r="G4419" s="339" t="str">
        <f t="shared" si="2"/>
        <v>東鐵岡山:直納ＨＳ１(単体H1/電特A/HS))</v>
      </c>
      <c r="H4419" s="340">
        <f t="shared" si="3"/>
        <v>50</v>
      </c>
      <c r="I4419" s="341">
        <v>2.0</v>
      </c>
      <c r="J4419" s="332">
        <f>IFERROR(__xludf.DUMMYFUNCTION("IF(IF(COUNTIF(P$2:P4418, P4419)=0, """", INDEX(H$2:H4418,
MAX(FILTER(ROW(H$2:H4418) - ROW(H$2) + 1, P$2:P4418 = P4419))))=""単価"","""",
IF(COUNTIF(P$2:P4418, P4419)=0, """", INDEX(H$2:H4418,
MAX(FILTER(ROW(H$2:H4418) - ROW(H$2) + 1, P$2:P4418 = P4419)))))"),48.0)</f>
        <v>48</v>
      </c>
      <c r="N4419" s="335" t="str">
        <f>IF(MAXIFS('単価履歴'!$O:$O,'単価履歴'!$E:$E,E4419,'単価履歴'!$F:$F,F4419)=O4419,"●","")</f>
        <v/>
      </c>
      <c r="O4419" s="346">
        <v>46093.348541666666</v>
      </c>
      <c r="P4419" s="334" t="str">
        <f t="shared" si="4"/>
        <v>東鐵岡山:直納ＨＳ１(単体H1/電特A/HS))</v>
      </c>
    </row>
    <row r="4420" ht="15.75" customHeight="1">
      <c r="A4420" s="335" t="s">
        <v>5567</v>
      </c>
      <c r="B4420" s="336">
        <v>46093.0</v>
      </c>
      <c r="C4420" s="335" t="s">
        <v>532</v>
      </c>
      <c r="D4420" s="335" t="s">
        <v>77</v>
      </c>
      <c r="E4420" s="337" t="str">
        <f t="shared" si="1"/>
        <v>東鐵岡山:直納</v>
      </c>
      <c r="F4420" s="338" t="s">
        <v>111</v>
      </c>
      <c r="G4420" s="339" t="str">
        <f t="shared" si="2"/>
        <v>東鐵岡山:直納Ｈ１(特A)</v>
      </c>
      <c r="H4420" s="340">
        <f t="shared" si="3"/>
        <v>48.7</v>
      </c>
      <c r="I4420" s="341">
        <v>2.0</v>
      </c>
      <c r="J4420" s="332">
        <f>IFERROR(__xludf.DUMMYFUNCTION("IF(IF(COUNTIF(P$2:P4419, P4420)=0, """", INDEX(H$2:H4419,
MAX(FILTER(ROW(H$2:H4419) - ROW(H$2) + 1, P$2:P4419 = P4420))))=""単価"","""",
IF(COUNTIF(P$2:P4419, P4420)=0, """", INDEX(H$2:H4419,
MAX(FILTER(ROW(H$2:H4419) - ROW(H$2) + 1, P$2:P4419 = P4420)))))"),46.7)</f>
        <v>46.7</v>
      </c>
      <c r="N4420" s="335" t="str">
        <f>IF(MAXIFS('単価履歴'!$O:$O,'単価履歴'!$E:$E,E4420,'単価履歴'!$F:$F,F4420)=O4420,"●","")</f>
        <v/>
      </c>
      <c r="O4420" s="346">
        <v>46093.348541666666</v>
      </c>
      <c r="P4420" s="334" t="str">
        <f t="shared" si="4"/>
        <v>東鐵岡山:直納Ｈ１(特A)</v>
      </c>
    </row>
    <row r="4421" ht="15.75" customHeight="1">
      <c r="A4421" s="335" t="s">
        <v>5568</v>
      </c>
      <c r="B4421" s="336">
        <v>46093.0</v>
      </c>
      <c r="C4421" s="335" t="s">
        <v>532</v>
      </c>
      <c r="D4421" s="335" t="s">
        <v>77</v>
      </c>
      <c r="E4421" s="337" t="str">
        <f t="shared" si="1"/>
        <v>東鐵岡山:直納</v>
      </c>
      <c r="F4421" s="338" t="s">
        <v>116</v>
      </c>
      <c r="G4421" s="339" t="str">
        <f t="shared" si="2"/>
        <v>東鐵岡山:直納Ｈ２(特級)</v>
      </c>
      <c r="H4421" s="340">
        <f t="shared" si="3"/>
        <v>48</v>
      </c>
      <c r="I4421" s="341">
        <v>2.0</v>
      </c>
      <c r="J4421" s="332">
        <f>IFERROR(__xludf.DUMMYFUNCTION("IF(IF(COUNTIF(P$2:P4420, P4421)=0, """", INDEX(H$2:H4420,
MAX(FILTER(ROW(H$2:H4420) - ROW(H$2) + 1, P$2:P4420 = P4421))))=""単価"","""",
IF(COUNTIF(P$2:P4420, P4421)=0, """", INDEX(H$2:H4420,
MAX(FILTER(ROW(H$2:H4420) - ROW(H$2) + 1, P$2:P4420 = P4421)))))"),46.0)</f>
        <v>46</v>
      </c>
      <c r="N4421" s="335" t="str">
        <f>IF(MAXIFS('単価履歴'!$O:$O,'単価履歴'!$E:$E,E4421,'単価履歴'!$F:$F,F4421)=O4421,"●","")</f>
        <v/>
      </c>
      <c r="O4421" s="346">
        <v>46093.348541666666</v>
      </c>
      <c r="P4421" s="334" t="str">
        <f t="shared" si="4"/>
        <v>東鐵岡山:直納Ｈ２(特級)</v>
      </c>
    </row>
    <row r="4422" ht="15.75" customHeight="1">
      <c r="A4422" s="335" t="s">
        <v>5569</v>
      </c>
      <c r="B4422" s="336">
        <v>46093.0</v>
      </c>
      <c r="C4422" s="335" t="s">
        <v>532</v>
      </c>
      <c r="D4422" s="335" t="s">
        <v>77</v>
      </c>
      <c r="E4422" s="337" t="str">
        <f t="shared" si="1"/>
        <v>東鐵岡山:直納</v>
      </c>
      <c r="F4422" s="338" t="s">
        <v>119</v>
      </c>
      <c r="G4422" s="339" t="str">
        <f t="shared" si="2"/>
        <v>東鐵岡山:直納Ｈ３(1級)</v>
      </c>
      <c r="H4422" s="340">
        <f t="shared" si="3"/>
        <v>47.5</v>
      </c>
      <c r="I4422" s="341">
        <v>2.0</v>
      </c>
      <c r="J4422" s="332">
        <f>IFERROR(__xludf.DUMMYFUNCTION("IF(IF(COUNTIF(P$2:P4421, P4422)=0, """", INDEX(H$2:H4421,
MAX(FILTER(ROW(H$2:H4421) - ROW(H$2) + 1, P$2:P4421 = P4422))))=""単価"","""",
IF(COUNTIF(P$2:P4421, P4422)=0, """", INDEX(H$2:H4421,
MAX(FILTER(ROW(H$2:H4421) - ROW(H$2) + 1, P$2:P4421 = P4422)))))"),45.5)</f>
        <v>45.5</v>
      </c>
      <c r="N4422" s="335" t="str">
        <f>IF(MAXIFS('単価履歴'!$O:$O,'単価履歴'!$E:$E,E4422,'単価履歴'!$F:$F,F4422)=O4422,"●","")</f>
        <v/>
      </c>
      <c r="O4422" s="346">
        <v>46093.348541666666</v>
      </c>
      <c r="P4422" s="334" t="str">
        <f t="shared" si="4"/>
        <v>東鐵岡山:直納Ｈ３(1級)</v>
      </c>
    </row>
    <row r="4423" ht="15.75" customHeight="1">
      <c r="A4423" s="335" t="s">
        <v>5570</v>
      </c>
      <c r="B4423" s="336">
        <v>46093.0</v>
      </c>
      <c r="C4423" s="335" t="s">
        <v>532</v>
      </c>
      <c r="D4423" s="335" t="s">
        <v>77</v>
      </c>
      <c r="E4423" s="337" t="str">
        <f t="shared" si="1"/>
        <v>東鐵岡山:直納</v>
      </c>
      <c r="F4423" s="338" t="s">
        <v>122</v>
      </c>
      <c r="G4423" s="339" t="str">
        <f t="shared" si="2"/>
        <v>東鐵岡山:直納Ｌ１(2級)</v>
      </c>
      <c r="H4423" s="340">
        <f t="shared" si="3"/>
        <v>46</v>
      </c>
      <c r="I4423" s="341">
        <v>2.0</v>
      </c>
      <c r="J4423" s="332">
        <f>IFERROR(__xludf.DUMMYFUNCTION("IF(IF(COUNTIF(P$2:P4422, P4423)=0, """", INDEX(H$2:H4422,
MAX(FILTER(ROW(H$2:H4422) - ROW(H$2) + 1, P$2:P4422 = P4423))))=""単価"","""",
IF(COUNTIF(P$2:P4422, P4423)=0, """", INDEX(H$2:H4422,
MAX(FILTER(ROW(H$2:H4422) - ROW(H$2) + 1, P$2:P4422 = P4423)))))"),44.0)</f>
        <v>44</v>
      </c>
      <c r="N4423" s="335" t="str">
        <f>IF(MAXIFS('単価履歴'!$O:$O,'単価履歴'!$E:$E,E4423,'単価履歴'!$F:$F,F4423)=O4423,"●","")</f>
        <v/>
      </c>
      <c r="O4423" s="346">
        <v>46093.348541666666</v>
      </c>
      <c r="P4423" s="334" t="str">
        <f t="shared" si="4"/>
        <v>東鐵岡山:直納Ｌ１(2級)</v>
      </c>
    </row>
    <row r="4424" ht="15.75" customHeight="1">
      <c r="A4424" s="335" t="s">
        <v>5571</v>
      </c>
      <c r="B4424" s="336">
        <v>46093.0</v>
      </c>
      <c r="C4424" s="335" t="s">
        <v>532</v>
      </c>
      <c r="D4424" s="335" t="s">
        <v>77</v>
      </c>
      <c r="E4424" s="337" t="str">
        <f t="shared" si="1"/>
        <v>東鐵岡山:直納</v>
      </c>
      <c r="F4424" s="338" t="s">
        <v>573</v>
      </c>
      <c r="G4424" s="339" t="str">
        <f t="shared" si="2"/>
        <v>東鐵岡山:直納Ｌ２(H4･級外･L1ﾊﾞﾗ)</v>
      </c>
      <c r="H4424" s="340">
        <f t="shared" si="3"/>
        <v>43</v>
      </c>
      <c r="I4424" s="341">
        <v>2.0</v>
      </c>
      <c r="J4424" s="332">
        <f>IFERROR(__xludf.DUMMYFUNCTION("IF(IF(COUNTIF(P$2:P4423, P4424)=0, """", INDEX(H$2:H4423,
MAX(FILTER(ROW(H$2:H4423) - ROW(H$2) + 1, P$2:P4423 = P4424))))=""単価"","""",
IF(COUNTIF(P$2:P4423, P4424)=0, """", INDEX(H$2:H4423,
MAX(FILTER(ROW(H$2:H4423) - ROW(H$2) + 1, P$2:P4423 = P4424)))))"),41.0)</f>
        <v>41</v>
      </c>
      <c r="N4424" s="335" t="str">
        <f>IF(MAXIFS('単価履歴'!$O:$O,'単価履歴'!$E:$E,E4424,'単価履歴'!$F:$F,F4424)=O4424,"●","")</f>
        <v/>
      </c>
      <c r="O4424" s="346">
        <v>46093.348541666666</v>
      </c>
      <c r="P4424" s="334" t="str">
        <f t="shared" si="4"/>
        <v>東鐵岡山:直納Ｌ２(H4･級外･L1ﾊﾞﾗ)</v>
      </c>
    </row>
    <row r="4425" ht="15.75" customHeight="1">
      <c r="A4425" s="335" t="s">
        <v>5572</v>
      </c>
      <c r="B4425" s="336">
        <v>46093.0</v>
      </c>
      <c r="C4425" s="335" t="s">
        <v>532</v>
      </c>
      <c r="D4425" s="335" t="s">
        <v>77</v>
      </c>
      <c r="E4425" s="337" t="str">
        <f t="shared" si="1"/>
        <v>東鐵岡山:直納</v>
      </c>
      <c r="F4425" s="338" t="s">
        <v>145</v>
      </c>
      <c r="G4425" s="339" t="str">
        <f t="shared" si="2"/>
        <v>東鐵岡山:直納シュレＡ</v>
      </c>
      <c r="H4425" s="340">
        <f t="shared" si="3"/>
        <v>48.5</v>
      </c>
      <c r="I4425" s="341">
        <v>2.0</v>
      </c>
      <c r="J4425" s="332">
        <f>IFERROR(__xludf.DUMMYFUNCTION("IF(IF(COUNTIF(P$2:P4424, P4425)=0, """", INDEX(H$2:H4424,
MAX(FILTER(ROW(H$2:H4424) - ROW(H$2) + 1, P$2:P4424 = P4425))))=""単価"","""",
IF(COUNTIF(P$2:P4424, P4425)=0, """", INDEX(H$2:H4424,
MAX(FILTER(ROW(H$2:H4424) - ROW(H$2) + 1, P$2:P4424 = P4425)))))"),46.5)</f>
        <v>46.5</v>
      </c>
      <c r="N4425" s="335" t="str">
        <f>IF(MAXIFS('単価履歴'!$O:$O,'単価履歴'!$E:$E,E4425,'単価履歴'!$F:$F,F4425)=O4425,"●","")</f>
        <v/>
      </c>
      <c r="O4425" s="346">
        <v>46093.348541666666</v>
      </c>
      <c r="P4425" s="334" t="str">
        <f t="shared" si="4"/>
        <v>東鐵岡山:直納シュレＡ</v>
      </c>
    </row>
    <row r="4426" ht="15.75" customHeight="1">
      <c r="A4426" s="335" t="s">
        <v>5573</v>
      </c>
      <c r="B4426" s="336">
        <v>46093.0</v>
      </c>
      <c r="C4426" s="335" t="s">
        <v>532</v>
      </c>
      <c r="D4426" s="335" t="s">
        <v>77</v>
      </c>
      <c r="E4426" s="337" t="str">
        <f t="shared" si="1"/>
        <v>東鐵岡山:直納</v>
      </c>
      <c r="F4426" s="338" t="s">
        <v>151</v>
      </c>
      <c r="G4426" s="339" t="str">
        <f t="shared" si="2"/>
        <v>東鐵岡山:直納シュレＣ</v>
      </c>
      <c r="H4426" s="340">
        <f t="shared" si="3"/>
        <v>48</v>
      </c>
      <c r="I4426" s="341">
        <v>2.0</v>
      </c>
      <c r="J4426" s="332">
        <f>IFERROR(__xludf.DUMMYFUNCTION("IF(IF(COUNTIF(P$2:P4425, P4426)=0, """", INDEX(H$2:H4425,
MAX(FILTER(ROW(H$2:H4425) - ROW(H$2) + 1, P$2:P4425 = P4426))))=""単価"","""",
IF(COUNTIF(P$2:P4425, P4426)=0, """", INDEX(H$2:H4425,
MAX(FILTER(ROW(H$2:H4425) - ROW(H$2) + 1, P$2:P4425 = P4426)))))"),46.0)</f>
        <v>46</v>
      </c>
      <c r="N4426" s="335" t="str">
        <f>IF(MAXIFS('単価履歴'!$O:$O,'単価履歴'!$E:$E,E4426,'単価履歴'!$F:$F,F4426)=O4426,"●","")</f>
        <v/>
      </c>
      <c r="O4426" s="346">
        <v>46093.348541666666</v>
      </c>
      <c r="P4426" s="334" t="str">
        <f t="shared" si="4"/>
        <v>東鐵岡山:直納シュレＣ</v>
      </c>
    </row>
    <row r="4427" ht="15.75" customHeight="1">
      <c r="A4427" s="335" t="s">
        <v>5574</v>
      </c>
      <c r="B4427" s="336">
        <v>46093.0</v>
      </c>
      <c r="C4427" s="335" t="s">
        <v>532</v>
      </c>
      <c r="D4427" s="335" t="s">
        <v>77</v>
      </c>
      <c r="E4427" s="337" t="str">
        <f t="shared" si="1"/>
        <v>東鐵岡山:直納</v>
      </c>
      <c r="F4427" s="338" t="s">
        <v>130</v>
      </c>
      <c r="G4427" s="339" t="str">
        <f t="shared" si="2"/>
        <v>東鐵岡山:直納新断Ａ</v>
      </c>
      <c r="H4427" s="340">
        <f t="shared" si="3"/>
        <v>49</v>
      </c>
      <c r="I4427" s="341">
        <v>2.0</v>
      </c>
      <c r="J4427" s="332">
        <f>IFERROR(__xludf.DUMMYFUNCTION("IF(IF(COUNTIF(P$2:P4426, P4427)=0, """", INDEX(H$2:H4426,
MAX(FILTER(ROW(H$2:H4426) - ROW(H$2) + 1, P$2:P4426 = P4427))))=""単価"","""",
IF(COUNTIF(P$2:P4426, P4427)=0, """", INDEX(H$2:H4426,
MAX(FILTER(ROW(H$2:H4426) - ROW(H$2) + 1, P$2:P4426 = P4427)))))"),47.0)</f>
        <v>47</v>
      </c>
      <c r="N4427" s="335" t="str">
        <f>IF(MAXIFS('単価履歴'!$O:$O,'単価履歴'!$E:$E,E4427,'単価履歴'!$F:$F,F4427)=O4427,"●","")</f>
        <v/>
      </c>
      <c r="O4427" s="346">
        <v>46093.348541666666</v>
      </c>
      <c r="P4427" s="334" t="str">
        <f t="shared" si="4"/>
        <v>東鐵岡山:直納新断Ａ</v>
      </c>
    </row>
    <row r="4428" ht="15.75" customHeight="1">
      <c r="A4428" s="335" t="s">
        <v>5575</v>
      </c>
      <c r="B4428" s="336">
        <v>46093.0</v>
      </c>
      <c r="C4428" s="335" t="s">
        <v>532</v>
      </c>
      <c r="D4428" s="335" t="s">
        <v>77</v>
      </c>
      <c r="E4428" s="337" t="str">
        <f t="shared" si="1"/>
        <v>東鐵岡山:直納</v>
      </c>
      <c r="F4428" s="338" t="s">
        <v>131</v>
      </c>
      <c r="G4428" s="339" t="str">
        <f t="shared" si="2"/>
        <v>東鐵岡山:直納新断Ｂ</v>
      </c>
      <c r="H4428" s="340">
        <f t="shared" si="3"/>
        <v>49</v>
      </c>
      <c r="I4428" s="341">
        <v>2.0</v>
      </c>
      <c r="J4428" s="332">
        <f>IFERROR(__xludf.DUMMYFUNCTION("IF(IF(COUNTIF(P$2:P4427, P4428)=0, """", INDEX(H$2:H4427,
MAX(FILTER(ROW(H$2:H4427) - ROW(H$2) + 1, P$2:P4427 = P4428))))=""単価"","""",
IF(COUNTIF(P$2:P4427, P4428)=0, """", INDEX(H$2:H4427,
MAX(FILTER(ROW(H$2:H4427) - ROW(H$2) + 1, P$2:P4427 = P4428)))))"),47.0)</f>
        <v>47</v>
      </c>
      <c r="N4428" s="335" t="str">
        <f>IF(MAXIFS('単価履歴'!$O:$O,'単価履歴'!$E:$E,E4428,'単価履歴'!$F:$F,F4428)=O4428,"●","")</f>
        <v/>
      </c>
      <c r="O4428" s="346">
        <v>46093.348541666666</v>
      </c>
      <c r="P4428" s="334" t="str">
        <f t="shared" si="4"/>
        <v>東鐵岡山:直納新断Ｂ</v>
      </c>
    </row>
    <row r="4429" ht="15.75" customHeight="1">
      <c r="A4429" s="335" t="s">
        <v>5576</v>
      </c>
      <c r="B4429" s="336">
        <v>46093.0</v>
      </c>
      <c r="C4429" s="335" t="s">
        <v>532</v>
      </c>
      <c r="D4429" s="335" t="s">
        <v>77</v>
      </c>
      <c r="E4429" s="337" t="str">
        <f t="shared" si="1"/>
        <v>東鐵岡山:直納</v>
      </c>
      <c r="F4429" s="338" t="s">
        <v>575</v>
      </c>
      <c r="G4429" s="339" t="str">
        <f t="shared" si="2"/>
        <v>東鐵岡山:直納鋼ダライＡ</v>
      </c>
      <c r="H4429" s="340">
        <f t="shared" si="3"/>
        <v>43.5</v>
      </c>
      <c r="I4429" s="341">
        <v>2.0</v>
      </c>
      <c r="J4429" s="332">
        <f>IFERROR(__xludf.DUMMYFUNCTION("IF(IF(COUNTIF(P$2:P4428, P4429)=0, """", INDEX(H$2:H4428,
MAX(FILTER(ROW(H$2:H4428) - ROW(H$2) + 1, P$2:P4428 = P4429))))=""単価"","""",
IF(COUNTIF(P$2:P4428, P4429)=0, """", INDEX(H$2:H4428,
MAX(FILTER(ROW(H$2:H4428) - ROW(H$2) + 1, P$2:P4428 = P4429)))))"),41.5)</f>
        <v>41.5</v>
      </c>
      <c r="N4429" s="335" t="str">
        <f>IF(MAXIFS('単価履歴'!$O:$O,'単価履歴'!$E:$E,E4429,'単価履歴'!$F:$F,F4429)=O4429,"●","")</f>
        <v/>
      </c>
      <c r="O4429" s="346">
        <v>46093.348541666666</v>
      </c>
      <c r="P4429" s="334" t="str">
        <f t="shared" si="4"/>
        <v>東鐵岡山:直納鋼ダライＡ</v>
      </c>
    </row>
    <row r="4430" ht="15.75" customHeight="1">
      <c r="A4430" s="335" t="s">
        <v>5577</v>
      </c>
      <c r="B4430" s="336">
        <v>46093.0</v>
      </c>
      <c r="C4430" s="335" t="s">
        <v>532</v>
      </c>
      <c r="D4430" s="335" t="s">
        <v>77</v>
      </c>
      <c r="E4430" s="337" t="str">
        <f t="shared" si="1"/>
        <v>東鐵岡山:直納</v>
      </c>
      <c r="F4430" s="338" t="s">
        <v>25</v>
      </c>
      <c r="G4430" s="339" t="str">
        <f t="shared" si="2"/>
        <v>東鐵岡山:直納銑ダライ</v>
      </c>
      <c r="H4430" s="340">
        <f t="shared" si="3"/>
        <v>40</v>
      </c>
      <c r="I4430" s="341">
        <v>2.0</v>
      </c>
      <c r="J4430" s="332">
        <f>IFERROR(__xludf.DUMMYFUNCTION("IF(IF(COUNTIF(P$2:P4429, P4430)=0, """", INDEX(H$2:H4429,
MAX(FILTER(ROW(H$2:H4429) - ROW(H$2) + 1, P$2:P4429 = P4430))))=""単価"","""",
IF(COUNTIF(P$2:P4429, P4430)=0, """", INDEX(H$2:H4429,
MAX(FILTER(ROW(H$2:H4429) - ROW(H$2) + 1, P$2:P4429 = P4430)))))"),38.0)</f>
        <v>38</v>
      </c>
      <c r="N4430" s="335" t="str">
        <f>IF(MAXIFS('単価履歴'!$O:$O,'単価履歴'!$E:$E,E4430,'単価履歴'!$F:$F,F4430)=O4430,"●","")</f>
        <v/>
      </c>
      <c r="O4430" s="346">
        <v>46093.348541666666</v>
      </c>
      <c r="P4430" s="334" t="str">
        <f t="shared" si="4"/>
        <v>東鐵岡山:直納銑ダライ</v>
      </c>
    </row>
    <row r="4431" ht="15.75" customHeight="1">
      <c r="A4431" s="335" t="s">
        <v>5578</v>
      </c>
      <c r="B4431" s="336">
        <v>46093.0</v>
      </c>
      <c r="C4431" s="335" t="s">
        <v>532</v>
      </c>
      <c r="D4431" s="335" t="s">
        <v>77</v>
      </c>
      <c r="E4431" s="337" t="str">
        <f t="shared" si="1"/>
        <v>東鐵岡山:直納</v>
      </c>
      <c r="F4431" s="338" t="s">
        <v>154</v>
      </c>
      <c r="G4431" s="339" t="str">
        <f t="shared" si="2"/>
        <v>東鐵岡山:直納ＣＰ Ａ</v>
      </c>
      <c r="H4431" s="340">
        <f t="shared" si="3"/>
        <v>46.5</v>
      </c>
      <c r="I4431" s="341">
        <v>2.0</v>
      </c>
      <c r="J4431" s="332">
        <f>IFERROR(__xludf.DUMMYFUNCTION("IF(IF(COUNTIF(P$2:P4430, P4431)=0, """", INDEX(H$2:H4430,
MAX(FILTER(ROW(H$2:H4430) - ROW(H$2) + 1, P$2:P4430 = P4431))))=""単価"","""",
IF(COUNTIF(P$2:P4430, P4431)=0, """", INDEX(H$2:H4430,
MAX(FILTER(ROW(H$2:H4430) - ROW(H$2) + 1, P$2:P4430 = P4431)))))"),44.5)</f>
        <v>44.5</v>
      </c>
      <c r="N4431" s="335" t="str">
        <f>IF(MAXIFS('単価履歴'!$O:$O,'単価履歴'!$E:$E,E4431,'単価履歴'!$F:$F,F4431)=O4431,"●","")</f>
        <v/>
      </c>
      <c r="O4431" s="346">
        <v>46093.348541666666</v>
      </c>
      <c r="P4431" s="334" t="str">
        <f t="shared" si="4"/>
        <v>東鐵岡山:直納ＣＰ Ａ</v>
      </c>
    </row>
    <row r="4432" ht="15.75" customHeight="1">
      <c r="A4432" s="335" t="s">
        <v>5579</v>
      </c>
      <c r="B4432" s="336">
        <v>46093.0</v>
      </c>
      <c r="C4432" s="335" t="s">
        <v>535</v>
      </c>
      <c r="D4432" s="335" t="s">
        <v>77</v>
      </c>
      <c r="E4432" s="337" t="str">
        <f t="shared" si="1"/>
        <v>東鐵名古屋:直納</v>
      </c>
      <c r="F4432" s="338" t="s">
        <v>1199</v>
      </c>
      <c r="G4432" s="339" t="str">
        <f t="shared" si="2"/>
        <v>東鐵名古屋:直納ＨＳ１(単体H1/電特A/HS))</v>
      </c>
      <c r="H4432" s="340">
        <f t="shared" si="3"/>
        <v>50.5</v>
      </c>
      <c r="I4432" s="341">
        <v>2.0</v>
      </c>
      <c r="J4432" s="332">
        <f>IFERROR(__xludf.DUMMYFUNCTION("IF(IF(COUNTIF(P$2:P4431, P4432)=0, """", INDEX(H$2:H4431,
MAX(FILTER(ROW(H$2:H4431) - ROW(H$2) + 1, P$2:P4431 = P4432))))=""単価"","""",
IF(COUNTIF(P$2:P4431, P4432)=0, """", INDEX(H$2:H4431,
MAX(FILTER(ROW(H$2:H4431) - ROW(H$2) + 1, P$2:P4431 = P4432)))))"),48.5)</f>
        <v>48.5</v>
      </c>
      <c r="N4432" s="335" t="str">
        <f>IF(MAXIFS('単価履歴'!$O:$O,'単価履歴'!$E:$E,E4432,'単価履歴'!$F:$F,F4432)=O4432,"●","")</f>
        <v/>
      </c>
      <c r="O4432" s="346">
        <v>46093.34880787037</v>
      </c>
      <c r="P4432" s="334" t="str">
        <f t="shared" si="4"/>
        <v>東鐵名古屋:直納ＨＳ１(単体H1/電特A/HS))</v>
      </c>
    </row>
    <row r="4433" ht="15.75" customHeight="1">
      <c r="A4433" s="335" t="s">
        <v>5580</v>
      </c>
      <c r="B4433" s="336">
        <v>46093.0</v>
      </c>
      <c r="C4433" s="335" t="s">
        <v>535</v>
      </c>
      <c r="D4433" s="335" t="s">
        <v>77</v>
      </c>
      <c r="E4433" s="337" t="str">
        <f t="shared" si="1"/>
        <v>東鐵名古屋:直納</v>
      </c>
      <c r="F4433" s="338" t="s">
        <v>111</v>
      </c>
      <c r="G4433" s="339" t="str">
        <f t="shared" si="2"/>
        <v>東鐵名古屋:直納Ｈ１(特A)</v>
      </c>
      <c r="H4433" s="340">
        <f t="shared" si="3"/>
        <v>48.7</v>
      </c>
      <c r="I4433" s="341">
        <v>2.0</v>
      </c>
      <c r="J4433" s="332">
        <f>IFERROR(__xludf.DUMMYFUNCTION("IF(IF(COUNTIF(P$2:P4432, P4433)=0, """", INDEX(H$2:H4432,
MAX(FILTER(ROW(H$2:H4432) - ROW(H$2) + 1, P$2:P4432 = P4433))))=""単価"","""",
IF(COUNTIF(P$2:P4432, P4433)=0, """", INDEX(H$2:H4432,
MAX(FILTER(ROW(H$2:H4432) - ROW(H$2) + 1, P$2:P4432 = P4433)))))"),46.7)</f>
        <v>46.7</v>
      </c>
      <c r="N4433" s="335" t="str">
        <f>IF(MAXIFS('単価履歴'!$O:$O,'単価履歴'!$E:$E,E4433,'単価履歴'!$F:$F,F4433)=O4433,"●","")</f>
        <v/>
      </c>
      <c r="O4433" s="346">
        <v>46093.34880787037</v>
      </c>
      <c r="P4433" s="334" t="str">
        <f t="shared" si="4"/>
        <v>東鐵名古屋:直納Ｈ１(特A)</v>
      </c>
    </row>
    <row r="4434" ht="15.75" customHeight="1">
      <c r="A4434" s="335" t="s">
        <v>5581</v>
      </c>
      <c r="B4434" s="336">
        <v>46093.0</v>
      </c>
      <c r="C4434" s="335" t="s">
        <v>535</v>
      </c>
      <c r="D4434" s="335" t="s">
        <v>77</v>
      </c>
      <c r="E4434" s="337" t="str">
        <f t="shared" si="1"/>
        <v>東鐵名古屋:直納</v>
      </c>
      <c r="F4434" s="338" t="s">
        <v>116</v>
      </c>
      <c r="G4434" s="339" t="str">
        <f t="shared" si="2"/>
        <v>東鐵名古屋:直納Ｈ２(特級)</v>
      </c>
      <c r="H4434" s="340">
        <f t="shared" si="3"/>
        <v>48</v>
      </c>
      <c r="I4434" s="341">
        <v>2.0</v>
      </c>
      <c r="J4434" s="332">
        <f>IFERROR(__xludf.DUMMYFUNCTION("IF(IF(COUNTIF(P$2:P4433, P4434)=0, """", INDEX(H$2:H4433,
MAX(FILTER(ROW(H$2:H4433) - ROW(H$2) + 1, P$2:P4433 = P4434))))=""単価"","""",
IF(COUNTIF(P$2:P4433, P4434)=0, """", INDEX(H$2:H4433,
MAX(FILTER(ROW(H$2:H4433) - ROW(H$2) + 1, P$2:P4433 = P4434)))))"),46.0)</f>
        <v>46</v>
      </c>
      <c r="N4434" s="335" t="str">
        <f>IF(MAXIFS('単価履歴'!$O:$O,'単価履歴'!$E:$E,E4434,'単価履歴'!$F:$F,F4434)=O4434,"●","")</f>
        <v/>
      </c>
      <c r="O4434" s="346">
        <v>46093.34880787037</v>
      </c>
      <c r="P4434" s="334" t="str">
        <f t="shared" si="4"/>
        <v>東鐵名古屋:直納Ｈ２(特級)</v>
      </c>
    </row>
    <row r="4435" ht="15.75" customHeight="1">
      <c r="A4435" s="335" t="s">
        <v>5582</v>
      </c>
      <c r="B4435" s="336">
        <v>46093.0</v>
      </c>
      <c r="C4435" s="335" t="s">
        <v>535</v>
      </c>
      <c r="D4435" s="335" t="s">
        <v>77</v>
      </c>
      <c r="E4435" s="337" t="str">
        <f t="shared" si="1"/>
        <v>東鐵名古屋:直納</v>
      </c>
      <c r="F4435" s="338" t="s">
        <v>119</v>
      </c>
      <c r="G4435" s="339" t="str">
        <f t="shared" si="2"/>
        <v>東鐵名古屋:直納Ｈ３(1級)</v>
      </c>
      <c r="H4435" s="340">
        <f t="shared" si="3"/>
        <v>47.5</v>
      </c>
      <c r="I4435" s="341">
        <v>2.0</v>
      </c>
      <c r="J4435" s="332">
        <f>IFERROR(__xludf.DUMMYFUNCTION("IF(IF(COUNTIF(P$2:P4434, P4435)=0, """", INDEX(H$2:H4434,
MAX(FILTER(ROW(H$2:H4434) - ROW(H$2) + 1, P$2:P4434 = P4435))))=""単価"","""",
IF(COUNTIF(P$2:P4434, P4435)=0, """", INDEX(H$2:H4434,
MAX(FILTER(ROW(H$2:H4434) - ROW(H$2) + 1, P$2:P4434 = P4435)))))"),45.5)</f>
        <v>45.5</v>
      </c>
      <c r="N4435" s="335" t="str">
        <f>IF(MAXIFS('単価履歴'!$O:$O,'単価履歴'!$E:$E,E4435,'単価履歴'!$F:$F,F4435)=O4435,"●","")</f>
        <v/>
      </c>
      <c r="O4435" s="346">
        <v>46093.34880787037</v>
      </c>
      <c r="P4435" s="334" t="str">
        <f t="shared" si="4"/>
        <v>東鐵名古屋:直納Ｈ３(1級)</v>
      </c>
    </row>
    <row r="4436" ht="15.75" customHeight="1">
      <c r="A4436" s="335" t="s">
        <v>5583</v>
      </c>
      <c r="B4436" s="336">
        <v>46093.0</v>
      </c>
      <c r="C4436" s="335" t="s">
        <v>535</v>
      </c>
      <c r="D4436" s="335" t="s">
        <v>77</v>
      </c>
      <c r="E4436" s="337" t="str">
        <f t="shared" si="1"/>
        <v>東鐵名古屋:直納</v>
      </c>
      <c r="F4436" s="338" t="s">
        <v>122</v>
      </c>
      <c r="G4436" s="339" t="str">
        <f t="shared" si="2"/>
        <v>東鐵名古屋:直納Ｌ１(2級)</v>
      </c>
      <c r="H4436" s="340">
        <f t="shared" si="3"/>
        <v>46</v>
      </c>
      <c r="I4436" s="341">
        <v>2.0</v>
      </c>
      <c r="J4436" s="332">
        <f>IFERROR(__xludf.DUMMYFUNCTION("IF(IF(COUNTIF(P$2:P4435, P4436)=0, """", INDEX(H$2:H4435,
MAX(FILTER(ROW(H$2:H4435) - ROW(H$2) + 1, P$2:P4435 = P4436))))=""単価"","""",
IF(COUNTIF(P$2:P4435, P4436)=0, """", INDEX(H$2:H4435,
MAX(FILTER(ROW(H$2:H4435) - ROW(H$2) + 1, P$2:P4435 = P4436)))))"),44.0)</f>
        <v>44</v>
      </c>
      <c r="N4436" s="335" t="str">
        <f>IF(MAXIFS('単価履歴'!$O:$O,'単価履歴'!$E:$E,E4436,'単価履歴'!$F:$F,F4436)=O4436,"●","")</f>
        <v/>
      </c>
      <c r="O4436" s="346">
        <v>46093.34880787037</v>
      </c>
      <c r="P4436" s="334" t="str">
        <f t="shared" si="4"/>
        <v>東鐵名古屋:直納Ｌ１(2級)</v>
      </c>
    </row>
    <row r="4437" ht="15.75" customHeight="1">
      <c r="A4437" s="335" t="s">
        <v>5584</v>
      </c>
      <c r="B4437" s="336">
        <v>46093.0</v>
      </c>
      <c r="C4437" s="335" t="s">
        <v>535</v>
      </c>
      <c r="D4437" s="335" t="s">
        <v>77</v>
      </c>
      <c r="E4437" s="337" t="str">
        <f t="shared" si="1"/>
        <v>東鐵名古屋:直納</v>
      </c>
      <c r="F4437" s="338" t="s">
        <v>573</v>
      </c>
      <c r="G4437" s="339" t="str">
        <f t="shared" si="2"/>
        <v>東鐵名古屋:直納Ｌ２(H4･級外･L1ﾊﾞﾗ)</v>
      </c>
      <c r="H4437" s="340">
        <f t="shared" si="3"/>
        <v>43</v>
      </c>
      <c r="I4437" s="341">
        <v>2.0</v>
      </c>
      <c r="J4437" s="332">
        <f>IFERROR(__xludf.DUMMYFUNCTION("IF(IF(COUNTIF(P$2:P4436, P4437)=0, """", INDEX(H$2:H4436,
MAX(FILTER(ROW(H$2:H4436) - ROW(H$2) + 1, P$2:P4436 = P4437))))=""単価"","""",
IF(COUNTIF(P$2:P4436, P4437)=0, """", INDEX(H$2:H4436,
MAX(FILTER(ROW(H$2:H4436) - ROW(H$2) + 1, P$2:P4436 = P4437)))))"),41.0)</f>
        <v>41</v>
      </c>
      <c r="N4437" s="335" t="str">
        <f>IF(MAXIFS('単価履歴'!$O:$O,'単価履歴'!$E:$E,E4437,'単価履歴'!$F:$F,F4437)=O4437,"●","")</f>
        <v/>
      </c>
      <c r="O4437" s="346">
        <v>46093.34880787037</v>
      </c>
      <c r="P4437" s="334" t="str">
        <f t="shared" si="4"/>
        <v>東鐵名古屋:直納Ｌ２(H4･級外･L1ﾊﾞﾗ)</v>
      </c>
    </row>
    <row r="4438" ht="15.75" customHeight="1">
      <c r="A4438" s="335" t="s">
        <v>5585</v>
      </c>
      <c r="B4438" s="336">
        <v>46093.0</v>
      </c>
      <c r="C4438" s="335" t="s">
        <v>535</v>
      </c>
      <c r="D4438" s="335" t="s">
        <v>77</v>
      </c>
      <c r="E4438" s="337" t="str">
        <f t="shared" si="1"/>
        <v>東鐵名古屋:直納</v>
      </c>
      <c r="F4438" s="338" t="s">
        <v>145</v>
      </c>
      <c r="G4438" s="339" t="str">
        <f t="shared" si="2"/>
        <v>東鐵名古屋:直納シュレＡ</v>
      </c>
      <c r="H4438" s="340">
        <f t="shared" si="3"/>
        <v>49</v>
      </c>
      <c r="I4438" s="341">
        <v>2.0</v>
      </c>
      <c r="J4438" s="332">
        <f>IFERROR(__xludf.DUMMYFUNCTION("IF(IF(COUNTIF(P$2:P4437, P4438)=0, """", INDEX(H$2:H4437,
MAX(FILTER(ROW(H$2:H4437) - ROW(H$2) + 1, P$2:P4437 = P4438))))=""単価"","""",
IF(COUNTIF(P$2:P4437, P4438)=0, """", INDEX(H$2:H4437,
MAX(FILTER(ROW(H$2:H4437) - ROW(H$2) + 1, P$2:P4437 = P4438)))))"),47.0)</f>
        <v>47</v>
      </c>
      <c r="N4438" s="335" t="str">
        <f>IF(MAXIFS('単価履歴'!$O:$O,'単価履歴'!$E:$E,E4438,'単価履歴'!$F:$F,F4438)=O4438,"●","")</f>
        <v/>
      </c>
      <c r="O4438" s="346">
        <v>46093.34880787037</v>
      </c>
      <c r="P4438" s="334" t="str">
        <f t="shared" si="4"/>
        <v>東鐵名古屋:直納シュレＡ</v>
      </c>
    </row>
    <row r="4439" ht="15.75" customHeight="1">
      <c r="A4439" s="335" t="s">
        <v>5586</v>
      </c>
      <c r="B4439" s="336">
        <v>46093.0</v>
      </c>
      <c r="C4439" s="335" t="s">
        <v>535</v>
      </c>
      <c r="D4439" s="335" t="s">
        <v>77</v>
      </c>
      <c r="E4439" s="337" t="str">
        <f t="shared" si="1"/>
        <v>東鐵名古屋:直納</v>
      </c>
      <c r="F4439" s="338" t="s">
        <v>151</v>
      </c>
      <c r="G4439" s="339" t="str">
        <f t="shared" si="2"/>
        <v>東鐵名古屋:直納シュレＣ</v>
      </c>
      <c r="H4439" s="340">
        <f t="shared" si="3"/>
        <v>48.5</v>
      </c>
      <c r="I4439" s="341">
        <v>2.0</v>
      </c>
      <c r="J4439" s="332">
        <f>IFERROR(__xludf.DUMMYFUNCTION("IF(IF(COUNTIF(P$2:P4438, P4439)=0, """", INDEX(H$2:H4438,
MAX(FILTER(ROW(H$2:H4438) - ROW(H$2) + 1, P$2:P4438 = P4439))))=""単価"","""",
IF(COUNTIF(P$2:P4438, P4439)=0, """", INDEX(H$2:H4438,
MAX(FILTER(ROW(H$2:H4438) - ROW(H$2) + 1, P$2:P4438 = P4439)))))"),46.5)</f>
        <v>46.5</v>
      </c>
      <c r="N4439" s="335" t="str">
        <f>IF(MAXIFS('単価履歴'!$O:$O,'単価履歴'!$E:$E,E4439,'単価履歴'!$F:$F,F4439)=O4439,"●","")</f>
        <v/>
      </c>
      <c r="O4439" s="346">
        <v>46093.34880787037</v>
      </c>
      <c r="P4439" s="334" t="str">
        <f t="shared" si="4"/>
        <v>東鐵名古屋:直納シュレＣ</v>
      </c>
    </row>
    <row r="4440" ht="15.75" customHeight="1">
      <c r="A4440" s="335" t="s">
        <v>5587</v>
      </c>
      <c r="B4440" s="336">
        <v>46093.0</v>
      </c>
      <c r="C4440" s="335" t="s">
        <v>536</v>
      </c>
      <c r="D4440" s="335" t="s">
        <v>77</v>
      </c>
      <c r="E4440" s="337" t="str">
        <f t="shared" si="1"/>
        <v>東鐵田原:直納</v>
      </c>
      <c r="F4440" s="338" t="s">
        <v>1199</v>
      </c>
      <c r="G4440" s="339" t="str">
        <f t="shared" si="2"/>
        <v>東鐵田原:直納ＨＳ１(単体H1/電特A/HS))</v>
      </c>
      <c r="H4440" s="340">
        <f t="shared" si="3"/>
        <v>50.5</v>
      </c>
      <c r="I4440" s="341">
        <v>2.0</v>
      </c>
      <c r="J4440" s="332">
        <f>IFERROR(__xludf.DUMMYFUNCTION("IF(IF(COUNTIF(P$2:P4439, P4440)=0, """", INDEX(H$2:H4439,
MAX(FILTER(ROW(H$2:H4439) - ROW(H$2) + 1, P$2:P4439 = P4440))))=""単価"","""",
IF(COUNTIF(P$2:P4439, P4440)=0, """", INDEX(H$2:H4439,
MAX(FILTER(ROW(H$2:H4439) - ROW(H$2) + 1, P$2:P4439 = P4440)))))"),48.5)</f>
        <v>48.5</v>
      </c>
      <c r="N4440" s="335" t="str">
        <f>IF(MAXIFS('単価履歴'!$O:$O,'単価履歴'!$E:$E,E4440,'単価履歴'!$F:$F,F4440)=O4440,"●","")</f>
        <v/>
      </c>
      <c r="O4440" s="346">
        <v>46093.349074074074</v>
      </c>
      <c r="P4440" s="334" t="str">
        <f t="shared" si="4"/>
        <v>東鐵田原:直納ＨＳ１(単体H1/電特A/HS))</v>
      </c>
    </row>
    <row r="4441" ht="15.75" customHeight="1">
      <c r="A4441" s="335" t="s">
        <v>5588</v>
      </c>
      <c r="B4441" s="336">
        <v>46093.0</v>
      </c>
      <c r="C4441" s="335" t="s">
        <v>536</v>
      </c>
      <c r="D4441" s="335" t="s">
        <v>77</v>
      </c>
      <c r="E4441" s="337" t="str">
        <f t="shared" si="1"/>
        <v>東鐵田原:直納</v>
      </c>
      <c r="F4441" s="338" t="s">
        <v>111</v>
      </c>
      <c r="G4441" s="339" t="str">
        <f t="shared" si="2"/>
        <v>東鐵田原:直納Ｈ１(特A)</v>
      </c>
      <c r="H4441" s="340">
        <f t="shared" si="3"/>
        <v>49.7</v>
      </c>
      <c r="I4441" s="341">
        <v>2.0</v>
      </c>
      <c r="J4441" s="332">
        <f>IFERROR(__xludf.DUMMYFUNCTION("IF(IF(COUNTIF(P$2:P4440, P4441)=0, """", INDEX(H$2:H4440,
MAX(FILTER(ROW(H$2:H4440) - ROW(H$2) + 1, P$2:P4440 = P4441))))=""単価"","""",
IF(COUNTIF(P$2:P4440, P4441)=0, """", INDEX(H$2:H4440,
MAX(FILTER(ROW(H$2:H4440) - ROW(H$2) + 1, P$2:P4440 = P4441)))))"),47.7)</f>
        <v>47.7</v>
      </c>
      <c r="N4441" s="335" t="str">
        <f>IF(MAXIFS('単価履歴'!$O:$O,'単価履歴'!$E:$E,E4441,'単価履歴'!$F:$F,F4441)=O4441,"●","")</f>
        <v/>
      </c>
      <c r="O4441" s="346">
        <v>46093.349074074074</v>
      </c>
      <c r="P4441" s="334" t="str">
        <f t="shared" si="4"/>
        <v>東鐵田原:直納Ｈ１(特A)</v>
      </c>
    </row>
    <row r="4442" ht="15.75" customHeight="1">
      <c r="A4442" s="335" t="s">
        <v>5589</v>
      </c>
      <c r="B4442" s="336">
        <v>46093.0</v>
      </c>
      <c r="C4442" s="335" t="s">
        <v>536</v>
      </c>
      <c r="D4442" s="335" t="s">
        <v>77</v>
      </c>
      <c r="E4442" s="337" t="str">
        <f t="shared" si="1"/>
        <v>東鐵田原:直納</v>
      </c>
      <c r="F4442" s="338" t="s">
        <v>116</v>
      </c>
      <c r="G4442" s="339" t="str">
        <f t="shared" si="2"/>
        <v>東鐵田原:直納Ｈ２(特級)</v>
      </c>
      <c r="H4442" s="340">
        <f t="shared" si="3"/>
        <v>48</v>
      </c>
      <c r="I4442" s="341">
        <v>2.0</v>
      </c>
      <c r="J4442" s="332">
        <f>IFERROR(__xludf.DUMMYFUNCTION("IF(IF(COUNTIF(P$2:P4441, P4442)=0, """", INDEX(H$2:H4441,
MAX(FILTER(ROW(H$2:H4441) - ROW(H$2) + 1, P$2:P4441 = P4442))))=""単価"","""",
IF(COUNTIF(P$2:P4441, P4442)=0, """", INDEX(H$2:H4441,
MAX(FILTER(ROW(H$2:H4441) - ROW(H$2) + 1, P$2:P4441 = P4442)))))"),46.0)</f>
        <v>46</v>
      </c>
      <c r="N4442" s="335" t="str">
        <f>IF(MAXIFS('単価履歴'!$O:$O,'単価履歴'!$E:$E,E4442,'単価履歴'!$F:$F,F4442)=O4442,"●","")</f>
        <v/>
      </c>
      <c r="O4442" s="346">
        <v>46093.349074074074</v>
      </c>
      <c r="P4442" s="334" t="str">
        <f t="shared" si="4"/>
        <v>東鐵田原:直納Ｈ２(特級)</v>
      </c>
    </row>
    <row r="4443" ht="15.75" customHeight="1">
      <c r="A4443" s="335" t="s">
        <v>5590</v>
      </c>
      <c r="B4443" s="336">
        <v>46093.0</v>
      </c>
      <c r="C4443" s="335" t="s">
        <v>536</v>
      </c>
      <c r="D4443" s="335" t="s">
        <v>77</v>
      </c>
      <c r="E4443" s="337" t="str">
        <f t="shared" si="1"/>
        <v>東鐵田原:直納</v>
      </c>
      <c r="F4443" s="338" t="s">
        <v>119</v>
      </c>
      <c r="G4443" s="339" t="str">
        <f t="shared" si="2"/>
        <v>東鐵田原:直納Ｈ３(1級)</v>
      </c>
      <c r="H4443" s="340">
        <f t="shared" si="3"/>
        <v>47.5</v>
      </c>
      <c r="I4443" s="341">
        <v>2.0</v>
      </c>
      <c r="J4443" s="332">
        <f>IFERROR(__xludf.DUMMYFUNCTION("IF(IF(COUNTIF(P$2:P4442, P4443)=0, """", INDEX(H$2:H4442,
MAX(FILTER(ROW(H$2:H4442) - ROW(H$2) + 1, P$2:P4442 = P4443))))=""単価"","""",
IF(COUNTIF(P$2:P4442, P4443)=0, """", INDEX(H$2:H4442,
MAX(FILTER(ROW(H$2:H4442) - ROW(H$2) + 1, P$2:P4442 = P4443)))))"),45.5)</f>
        <v>45.5</v>
      </c>
      <c r="N4443" s="335" t="str">
        <f>IF(MAXIFS('単価履歴'!$O:$O,'単価履歴'!$E:$E,E4443,'単価履歴'!$F:$F,F4443)=O4443,"●","")</f>
        <v/>
      </c>
      <c r="O4443" s="346">
        <v>46093.349074074074</v>
      </c>
      <c r="P4443" s="334" t="str">
        <f t="shared" si="4"/>
        <v>東鐵田原:直納Ｈ３(1級)</v>
      </c>
    </row>
    <row r="4444" ht="15.75" customHeight="1">
      <c r="A4444" s="335" t="s">
        <v>5591</v>
      </c>
      <c r="B4444" s="336">
        <v>46093.0</v>
      </c>
      <c r="C4444" s="335" t="s">
        <v>536</v>
      </c>
      <c r="D4444" s="335" t="s">
        <v>77</v>
      </c>
      <c r="E4444" s="337" t="str">
        <f t="shared" si="1"/>
        <v>東鐵田原:直納</v>
      </c>
      <c r="F4444" s="338" t="s">
        <v>122</v>
      </c>
      <c r="G4444" s="339" t="str">
        <f t="shared" si="2"/>
        <v>東鐵田原:直納Ｌ１(2級)</v>
      </c>
      <c r="H4444" s="340">
        <f t="shared" si="3"/>
        <v>46</v>
      </c>
      <c r="I4444" s="341">
        <v>2.0</v>
      </c>
      <c r="J4444" s="332">
        <f>IFERROR(__xludf.DUMMYFUNCTION("IF(IF(COUNTIF(P$2:P4443, P4444)=0, """", INDEX(H$2:H4443,
MAX(FILTER(ROW(H$2:H4443) - ROW(H$2) + 1, P$2:P4443 = P4444))))=""単価"","""",
IF(COUNTIF(P$2:P4443, P4444)=0, """", INDEX(H$2:H4443,
MAX(FILTER(ROW(H$2:H4443) - ROW(H$2) + 1, P$2:P4443 = P4444)))))"),44.0)</f>
        <v>44</v>
      </c>
      <c r="N4444" s="335" t="str">
        <f>IF(MAXIFS('単価履歴'!$O:$O,'単価履歴'!$E:$E,E4444,'単価履歴'!$F:$F,F4444)=O4444,"●","")</f>
        <v/>
      </c>
      <c r="O4444" s="346">
        <v>46093.349074074074</v>
      </c>
      <c r="P4444" s="334" t="str">
        <f t="shared" si="4"/>
        <v>東鐵田原:直納Ｌ１(2級)</v>
      </c>
    </row>
    <row r="4445" ht="15.75" customHeight="1">
      <c r="A4445" s="335" t="s">
        <v>5592</v>
      </c>
      <c r="B4445" s="336">
        <v>46093.0</v>
      </c>
      <c r="C4445" s="335" t="s">
        <v>536</v>
      </c>
      <c r="D4445" s="335" t="s">
        <v>77</v>
      </c>
      <c r="E4445" s="337" t="str">
        <f t="shared" si="1"/>
        <v>東鐵田原:直納</v>
      </c>
      <c r="F4445" s="338" t="s">
        <v>573</v>
      </c>
      <c r="G4445" s="339" t="str">
        <f t="shared" si="2"/>
        <v>東鐵田原:直納Ｌ２(H4･級外･L1ﾊﾞﾗ)</v>
      </c>
      <c r="H4445" s="340">
        <f t="shared" si="3"/>
        <v>43</v>
      </c>
      <c r="I4445" s="341">
        <v>2.0</v>
      </c>
      <c r="J4445" s="332">
        <f>IFERROR(__xludf.DUMMYFUNCTION("IF(IF(COUNTIF(P$2:P4444, P4445)=0, """", INDEX(H$2:H4444,
MAX(FILTER(ROW(H$2:H4444) - ROW(H$2) + 1, P$2:P4444 = P4445))))=""単価"","""",
IF(COUNTIF(P$2:P4444, P4445)=0, """", INDEX(H$2:H4444,
MAX(FILTER(ROW(H$2:H4444) - ROW(H$2) + 1, P$2:P4444 = P4445)))))"),41.0)</f>
        <v>41</v>
      </c>
      <c r="N4445" s="335" t="str">
        <f>IF(MAXIFS('単価履歴'!$O:$O,'単価履歴'!$E:$E,E4445,'単価履歴'!$F:$F,F4445)=O4445,"●","")</f>
        <v/>
      </c>
      <c r="O4445" s="346">
        <v>46093.349074074074</v>
      </c>
      <c r="P4445" s="334" t="str">
        <f t="shared" si="4"/>
        <v>東鐵田原:直納Ｌ２(H4･級外･L1ﾊﾞﾗ)</v>
      </c>
    </row>
    <row r="4446" ht="15.75" customHeight="1">
      <c r="A4446" s="335" t="s">
        <v>5593</v>
      </c>
      <c r="B4446" s="336">
        <v>46093.0</v>
      </c>
      <c r="C4446" s="335" t="s">
        <v>536</v>
      </c>
      <c r="D4446" s="335" t="s">
        <v>77</v>
      </c>
      <c r="E4446" s="337" t="str">
        <f t="shared" si="1"/>
        <v>東鐵田原:直納</v>
      </c>
      <c r="F4446" s="338" t="s">
        <v>130</v>
      </c>
      <c r="G4446" s="339" t="str">
        <f t="shared" si="2"/>
        <v>東鐵田原:直納新断Ａ</v>
      </c>
      <c r="H4446" s="340">
        <f t="shared" si="3"/>
        <v>50.5</v>
      </c>
      <c r="I4446" s="341">
        <v>2.0</v>
      </c>
      <c r="J4446" s="332">
        <f>IFERROR(__xludf.DUMMYFUNCTION("IF(IF(COUNTIF(P$2:P4445, P4446)=0, """", INDEX(H$2:H4445,
MAX(FILTER(ROW(H$2:H4445) - ROW(H$2) + 1, P$2:P4445 = P4446))))=""単価"","""",
IF(COUNTIF(P$2:P4445, P4446)=0, """", INDEX(H$2:H4445,
MAX(FILTER(ROW(H$2:H4445) - ROW(H$2) + 1, P$2:P4445 = P4446)))))"),48.5)</f>
        <v>48.5</v>
      </c>
      <c r="N4446" s="335" t="str">
        <f>IF(MAXIFS('単価履歴'!$O:$O,'単価履歴'!$E:$E,E4446,'単価履歴'!$F:$F,F4446)=O4446,"●","")</f>
        <v/>
      </c>
      <c r="O4446" s="346">
        <v>46093.349074074074</v>
      </c>
      <c r="P4446" s="334" t="str">
        <f t="shared" si="4"/>
        <v>東鐵田原:直納新断Ａ</v>
      </c>
    </row>
    <row r="4447" ht="15.75" customHeight="1">
      <c r="A4447" s="335" t="s">
        <v>5594</v>
      </c>
      <c r="B4447" s="336">
        <v>46093.0</v>
      </c>
      <c r="C4447" s="335" t="s">
        <v>536</v>
      </c>
      <c r="D4447" s="335" t="s">
        <v>77</v>
      </c>
      <c r="E4447" s="337" t="str">
        <f t="shared" si="1"/>
        <v>東鐵田原:直納</v>
      </c>
      <c r="F4447" s="338" t="s">
        <v>131</v>
      </c>
      <c r="G4447" s="339" t="str">
        <f t="shared" si="2"/>
        <v>東鐵田原:直納新断Ｂ</v>
      </c>
      <c r="H4447" s="340">
        <f t="shared" si="3"/>
        <v>50.5</v>
      </c>
      <c r="I4447" s="341">
        <v>2.0</v>
      </c>
      <c r="J4447" s="332">
        <f>IFERROR(__xludf.DUMMYFUNCTION("IF(IF(COUNTIF(P$2:P4446, P4447)=0, """", INDEX(H$2:H4446,
MAX(FILTER(ROW(H$2:H4446) - ROW(H$2) + 1, P$2:P4446 = P4447))))=""単価"","""",
IF(COUNTIF(P$2:P4446, P4447)=0, """", INDEX(H$2:H4446,
MAX(FILTER(ROW(H$2:H4446) - ROW(H$2) + 1, P$2:P4446 = P4447)))))"),48.5)</f>
        <v>48.5</v>
      </c>
      <c r="N4447" s="335" t="str">
        <f>IF(MAXIFS('単価履歴'!$O:$O,'単価履歴'!$E:$E,E4447,'単価履歴'!$F:$F,F4447)=O4447,"●","")</f>
        <v/>
      </c>
      <c r="O4447" s="346">
        <v>46093.349074074074</v>
      </c>
      <c r="P4447" s="334" t="str">
        <f t="shared" si="4"/>
        <v>東鐵田原:直納新断Ｂ</v>
      </c>
    </row>
    <row r="4448" ht="15.75" customHeight="1">
      <c r="A4448" s="335" t="s">
        <v>5595</v>
      </c>
      <c r="B4448" s="336">
        <v>46093.0</v>
      </c>
      <c r="C4448" s="335" t="s">
        <v>536</v>
      </c>
      <c r="D4448" s="335" t="s">
        <v>77</v>
      </c>
      <c r="E4448" s="337" t="str">
        <f t="shared" si="1"/>
        <v>東鐵田原:直納</v>
      </c>
      <c r="F4448" s="338" t="s">
        <v>575</v>
      </c>
      <c r="G4448" s="339" t="str">
        <f t="shared" si="2"/>
        <v>東鐵田原:直納鋼ダライＡ</v>
      </c>
      <c r="H4448" s="340">
        <f t="shared" si="3"/>
        <v>46.5</v>
      </c>
      <c r="I4448" s="341">
        <v>2.0</v>
      </c>
      <c r="J4448" s="332">
        <f>IFERROR(__xludf.DUMMYFUNCTION("IF(IF(COUNTIF(P$2:P4447, P4448)=0, """", INDEX(H$2:H4447,
MAX(FILTER(ROW(H$2:H4447) - ROW(H$2) + 1, P$2:P4447 = P4448))))=""単価"","""",
IF(COUNTIF(P$2:P4447, P4448)=0, """", INDEX(H$2:H4447,
MAX(FILTER(ROW(H$2:H4447) - ROW(H$2) + 1, P$2:P4447 = P4448)))))"),44.5)</f>
        <v>44.5</v>
      </c>
      <c r="N4448" s="335" t="str">
        <f>IF(MAXIFS('単価履歴'!$O:$O,'単価履歴'!$E:$E,E4448,'単価履歴'!$F:$F,F4448)=O4448,"●","")</f>
        <v/>
      </c>
      <c r="O4448" s="346">
        <v>46093.349074074074</v>
      </c>
      <c r="P4448" s="334" t="str">
        <f t="shared" si="4"/>
        <v>東鐵田原:直納鋼ダライＡ</v>
      </c>
    </row>
    <row r="4449" ht="15.75" customHeight="1">
      <c r="A4449" s="335" t="s">
        <v>5596</v>
      </c>
      <c r="B4449" s="336">
        <v>46093.0</v>
      </c>
      <c r="C4449" s="335" t="s">
        <v>536</v>
      </c>
      <c r="D4449" s="335" t="s">
        <v>77</v>
      </c>
      <c r="E4449" s="337" t="str">
        <f t="shared" si="1"/>
        <v>東鐵田原:直納</v>
      </c>
      <c r="F4449" s="338" t="s">
        <v>145</v>
      </c>
      <c r="G4449" s="339" t="str">
        <f t="shared" si="2"/>
        <v>東鐵田原:直納シュレＡ</v>
      </c>
      <c r="H4449" s="340">
        <f t="shared" si="3"/>
        <v>49</v>
      </c>
      <c r="I4449" s="341">
        <v>2.0</v>
      </c>
      <c r="J4449" s="332">
        <f>IFERROR(__xludf.DUMMYFUNCTION("IF(IF(COUNTIF(P$2:P4448, P4449)=0, """", INDEX(H$2:H4448,
MAX(FILTER(ROW(H$2:H4448) - ROW(H$2) + 1, P$2:P4448 = P4449))))=""単価"","""",
IF(COUNTIF(P$2:P4448, P4449)=0, """", INDEX(H$2:H4448,
MAX(FILTER(ROW(H$2:H4448) - ROW(H$2) + 1, P$2:P4448 = P4449)))))"),47.0)</f>
        <v>47</v>
      </c>
      <c r="N4449" s="335" t="str">
        <f>IF(MAXIFS('単価履歴'!$O:$O,'単価履歴'!$E:$E,E4449,'単価履歴'!$F:$F,F4449)=O4449,"●","")</f>
        <v/>
      </c>
      <c r="O4449" s="346">
        <v>46093.349074074074</v>
      </c>
      <c r="P4449" s="334" t="str">
        <f t="shared" si="4"/>
        <v>東鐵田原:直納シュレＡ</v>
      </c>
    </row>
    <row r="4450" ht="15.75" customHeight="1">
      <c r="A4450" s="335" t="s">
        <v>5597</v>
      </c>
      <c r="B4450" s="336">
        <v>46093.0</v>
      </c>
      <c r="C4450" s="335" t="s">
        <v>536</v>
      </c>
      <c r="D4450" s="335" t="s">
        <v>77</v>
      </c>
      <c r="E4450" s="337" t="str">
        <f t="shared" si="1"/>
        <v>東鐵田原:直納</v>
      </c>
      <c r="F4450" s="338" t="s">
        <v>151</v>
      </c>
      <c r="G4450" s="339" t="str">
        <f t="shared" si="2"/>
        <v>東鐵田原:直納シュレＣ</v>
      </c>
      <c r="H4450" s="340">
        <f t="shared" si="3"/>
        <v>48.5</v>
      </c>
      <c r="I4450" s="341">
        <v>2.0</v>
      </c>
      <c r="J4450" s="332">
        <f>IFERROR(__xludf.DUMMYFUNCTION("IF(IF(COUNTIF(P$2:P4449, P4450)=0, """", INDEX(H$2:H4449,
MAX(FILTER(ROW(H$2:H4449) - ROW(H$2) + 1, P$2:P4449 = P4450))))=""単価"","""",
IF(COUNTIF(P$2:P4449, P4450)=0, """", INDEX(H$2:H4449,
MAX(FILTER(ROW(H$2:H4449) - ROW(H$2) + 1, P$2:P4449 = P4450)))))"),46.5)</f>
        <v>46.5</v>
      </c>
      <c r="N4450" s="335" t="str">
        <f>IF(MAXIFS('単価履歴'!$O:$O,'単価履歴'!$E:$E,E4450,'単価履歴'!$F:$F,F4450)=O4450,"●","")</f>
        <v/>
      </c>
      <c r="O4450" s="346">
        <v>46093.349074074074</v>
      </c>
      <c r="P4450" s="334" t="str">
        <f t="shared" si="4"/>
        <v>東鐵田原:直納シュレＣ</v>
      </c>
    </row>
    <row r="4451" ht="15.75" customHeight="1">
      <c r="A4451" s="335" t="s">
        <v>5598</v>
      </c>
      <c r="B4451" s="336">
        <v>46093.0</v>
      </c>
      <c r="C4451" s="335" t="s">
        <v>536</v>
      </c>
      <c r="D4451" s="335" t="s">
        <v>77</v>
      </c>
      <c r="E4451" s="337" t="str">
        <f t="shared" si="1"/>
        <v>東鐵田原:直納</v>
      </c>
      <c r="F4451" s="338" t="s">
        <v>154</v>
      </c>
      <c r="G4451" s="339" t="str">
        <f t="shared" si="2"/>
        <v>東鐵田原:直納ＣＰ Ａ</v>
      </c>
      <c r="H4451" s="340">
        <f t="shared" si="3"/>
        <v>46.5</v>
      </c>
      <c r="I4451" s="341">
        <v>2.0</v>
      </c>
      <c r="J4451" s="332">
        <f>IFERROR(__xludf.DUMMYFUNCTION("IF(IF(COUNTIF(P$2:P4450, P4451)=0, """", INDEX(H$2:H4450,
MAX(FILTER(ROW(H$2:H4450) - ROW(H$2) + 1, P$2:P4450 = P4451))))=""単価"","""",
IF(COUNTIF(P$2:P4450, P4451)=0, """", INDEX(H$2:H4450,
MAX(FILTER(ROW(H$2:H4450) - ROW(H$2) + 1, P$2:P4450 = P4451)))))"),44.5)</f>
        <v>44.5</v>
      </c>
      <c r="N4451" s="335" t="str">
        <f>IF(MAXIFS('単価履歴'!$O:$O,'単価履歴'!$E:$E,E4451,'単価履歴'!$F:$F,F4451)=O4451,"●","")</f>
        <v/>
      </c>
      <c r="O4451" s="346">
        <v>46093.349074074074</v>
      </c>
      <c r="P4451" s="334" t="str">
        <f t="shared" si="4"/>
        <v>東鐵田原:直納ＣＰ Ａ</v>
      </c>
    </row>
    <row r="4452" ht="15.75" customHeight="1">
      <c r="A4452" s="335" t="s">
        <v>5599</v>
      </c>
      <c r="B4452" s="336">
        <v>46093.0</v>
      </c>
      <c r="C4452" s="335" t="s">
        <v>5</v>
      </c>
      <c r="D4452" s="335" t="s">
        <v>46</v>
      </c>
      <c r="E4452" s="337" t="str">
        <f t="shared" si="1"/>
        <v>中山製鋼:阪和</v>
      </c>
      <c r="F4452" s="338" t="s">
        <v>101</v>
      </c>
      <c r="G4452" s="339" t="str">
        <f t="shared" si="2"/>
        <v>中山製鋼:阪和ＨＳ２</v>
      </c>
      <c r="H4452" s="340">
        <f t="shared" si="3"/>
        <v>52.4</v>
      </c>
      <c r="I4452" s="341">
        <v>2.0</v>
      </c>
      <c r="J4452" s="332">
        <f>IFERROR(__xludf.DUMMYFUNCTION("IF(IF(COUNTIF(P$2:P4451, P4452)=0, """", INDEX(H$2:H4451,
MAX(FILTER(ROW(H$2:H4451) - ROW(H$2) + 1, P$2:P4451 = P4452))))=""単価"","""",
IF(COUNTIF(P$2:P4451, P4452)=0, """", INDEX(H$2:H4451,
MAX(FILTER(ROW(H$2:H4451) - ROW(H$2) + 1, P$2:P4451 = P4452)))))"),50.4)</f>
        <v>50.4</v>
      </c>
      <c r="N4452" s="335" t="str">
        <f>IF(MAXIFS('単価履歴'!$O:$O,'単価履歴'!$E:$E,E4452,'単価履歴'!$F:$F,F4452)=O4452,"●","")</f>
        <v/>
      </c>
      <c r="O4452" s="346">
        <v>46093.349328703705</v>
      </c>
      <c r="P4452" s="334" t="str">
        <f t="shared" si="4"/>
        <v>中山製鋼:阪和ＨＳ２</v>
      </c>
    </row>
    <row r="4453" ht="15.75" customHeight="1">
      <c r="A4453" s="335" t="s">
        <v>5600</v>
      </c>
      <c r="B4453" s="336">
        <v>46093.0</v>
      </c>
      <c r="C4453" s="335" t="s">
        <v>5</v>
      </c>
      <c r="D4453" s="335" t="s">
        <v>46</v>
      </c>
      <c r="E4453" s="337" t="str">
        <f t="shared" si="1"/>
        <v>中山製鋼:阪和</v>
      </c>
      <c r="F4453" s="338" t="s">
        <v>108</v>
      </c>
      <c r="G4453" s="339" t="str">
        <f t="shared" si="2"/>
        <v>中山製鋼:阪和Ｈ１/ｻﾑﾃｯｸ</v>
      </c>
      <c r="H4453" s="340">
        <f t="shared" si="3"/>
        <v>5.5</v>
      </c>
      <c r="I4453" s="341">
        <v>2.0</v>
      </c>
      <c r="J4453" s="332">
        <f>IFERROR(__xludf.DUMMYFUNCTION("IF(IF(COUNTIF(P$2:P4452, P4453)=0, """", INDEX(H$2:H4452,
MAX(FILTER(ROW(H$2:H4452) - ROW(H$2) + 1, P$2:P4452 = P4453))))=""単価"","""",
IF(COUNTIF(P$2:P4452, P4453)=0, """", INDEX(H$2:H4452,
MAX(FILTER(ROW(H$2:H4452) - ROW(H$2) + 1, P$2:P4452 = P4453)))))"),3.5)</f>
        <v>3.5</v>
      </c>
      <c r="N4453" s="335" t="str">
        <f>IF(MAXIFS('単価履歴'!$O:$O,'単価履歴'!$E:$E,E4453,'単価履歴'!$F:$F,F4453)=O4453,"●","")</f>
        <v/>
      </c>
      <c r="O4453" s="346">
        <v>46093.349328703705</v>
      </c>
      <c r="P4453" s="334" t="str">
        <f t="shared" si="4"/>
        <v>中山製鋼:阪和Ｈ１/ｻﾑﾃｯｸ</v>
      </c>
    </row>
    <row r="4454" ht="15.75" customHeight="1">
      <c r="A4454" s="335" t="s">
        <v>5601</v>
      </c>
      <c r="B4454" s="336">
        <v>46093.0</v>
      </c>
      <c r="C4454" s="335" t="s">
        <v>5</v>
      </c>
      <c r="D4454" s="335" t="s">
        <v>46</v>
      </c>
      <c r="E4454" s="337" t="str">
        <f t="shared" si="1"/>
        <v>中山製鋼:阪和</v>
      </c>
      <c r="F4454" s="338" t="s">
        <v>111</v>
      </c>
      <c r="G4454" s="339" t="str">
        <f t="shared" si="2"/>
        <v>中山製鋼:阪和Ｈ１(特A)</v>
      </c>
      <c r="H4454" s="340">
        <f t="shared" si="3"/>
        <v>50.3</v>
      </c>
      <c r="I4454" s="341">
        <v>2.0</v>
      </c>
      <c r="J4454" s="332">
        <f>IFERROR(__xludf.DUMMYFUNCTION("IF(IF(COUNTIF(P$2:P4453, P4454)=0, """", INDEX(H$2:H4453,
MAX(FILTER(ROW(H$2:H4453) - ROW(H$2) + 1, P$2:P4453 = P4454))))=""単価"","""",
IF(COUNTIF(P$2:P4453, P4454)=0, """", INDEX(H$2:H4453,
MAX(FILTER(ROW(H$2:H4453) - ROW(H$2) + 1, P$2:P4453 = P4454)))))"),48.3)</f>
        <v>48.3</v>
      </c>
      <c r="N4454" s="335" t="str">
        <f>IF(MAXIFS('単価履歴'!$O:$O,'単価履歴'!$E:$E,E4454,'単価履歴'!$F:$F,F4454)=O4454,"●","")</f>
        <v/>
      </c>
      <c r="O4454" s="346">
        <v>46093.349328703705</v>
      </c>
      <c r="P4454" s="334" t="str">
        <f t="shared" si="4"/>
        <v>中山製鋼:阪和Ｈ１(特A)</v>
      </c>
    </row>
    <row r="4455" ht="15.75" customHeight="1">
      <c r="A4455" s="335" t="s">
        <v>5602</v>
      </c>
      <c r="B4455" s="336">
        <v>46093.0</v>
      </c>
      <c r="C4455" s="335" t="s">
        <v>5</v>
      </c>
      <c r="D4455" s="335" t="s">
        <v>46</v>
      </c>
      <c r="E4455" s="337" t="str">
        <f t="shared" si="1"/>
        <v>中山製鋼:阪和</v>
      </c>
      <c r="F4455" s="338" t="s">
        <v>116</v>
      </c>
      <c r="G4455" s="339" t="str">
        <f t="shared" si="2"/>
        <v>中山製鋼:阪和Ｈ２(特級)</v>
      </c>
      <c r="H4455" s="340">
        <f t="shared" si="3"/>
        <v>44.3</v>
      </c>
      <c r="I4455" s="341">
        <v>2.0</v>
      </c>
      <c r="J4455" s="332">
        <f>IFERROR(__xludf.DUMMYFUNCTION("IF(IF(COUNTIF(P$2:P4454, P4455)=0, """", INDEX(H$2:H4454,
MAX(FILTER(ROW(H$2:H4454) - ROW(H$2) + 1, P$2:P4454 = P4455))))=""単価"","""",
IF(COUNTIF(P$2:P4454, P4455)=0, """", INDEX(H$2:H4454,
MAX(FILTER(ROW(H$2:H4454) - ROW(H$2) + 1, P$2:P4454 = P4455)))))"),42.3)</f>
        <v>42.3</v>
      </c>
      <c r="N4455" s="335" t="str">
        <f>IF(MAXIFS('単価履歴'!$O:$O,'単価履歴'!$E:$E,E4455,'単価履歴'!$F:$F,F4455)=O4455,"●","")</f>
        <v/>
      </c>
      <c r="O4455" s="346">
        <v>46093.349328703705</v>
      </c>
      <c r="P4455" s="334" t="str">
        <f t="shared" si="4"/>
        <v>中山製鋼:阪和Ｈ２(特級)</v>
      </c>
    </row>
    <row r="4456" ht="15.75" customHeight="1">
      <c r="A4456" s="335" t="s">
        <v>5603</v>
      </c>
      <c r="B4456" s="336">
        <v>46093.0</v>
      </c>
      <c r="C4456" s="335" t="s">
        <v>5</v>
      </c>
      <c r="D4456" s="335" t="s">
        <v>46</v>
      </c>
      <c r="E4456" s="337" t="str">
        <f t="shared" si="1"/>
        <v>中山製鋼:阪和</v>
      </c>
      <c r="F4456" s="338" t="s">
        <v>119</v>
      </c>
      <c r="G4456" s="339" t="str">
        <f t="shared" si="2"/>
        <v>中山製鋼:阪和Ｈ３(1級)</v>
      </c>
      <c r="H4456" s="340">
        <f t="shared" si="3"/>
        <v>40.3</v>
      </c>
      <c r="I4456" s="341">
        <v>2.0</v>
      </c>
      <c r="J4456" s="332">
        <f>IFERROR(__xludf.DUMMYFUNCTION("IF(IF(COUNTIF(P$2:P4455, P4456)=0, """", INDEX(H$2:H4455,
MAX(FILTER(ROW(H$2:H4455) - ROW(H$2) + 1, P$2:P4455 = P4456))))=""単価"","""",
IF(COUNTIF(P$2:P4455, P4456)=0, """", INDEX(H$2:H4455,
MAX(FILTER(ROW(H$2:H4455) - ROW(H$2) + 1, P$2:P4455 = P4456)))))"),38.3)</f>
        <v>38.3</v>
      </c>
      <c r="N4456" s="335" t="str">
        <f>IF(MAXIFS('単価履歴'!$O:$O,'単価履歴'!$E:$E,E4456,'単価履歴'!$F:$F,F4456)=O4456,"●","")</f>
        <v/>
      </c>
      <c r="O4456" s="346">
        <v>46093.349328703705</v>
      </c>
      <c r="P4456" s="334" t="str">
        <f t="shared" si="4"/>
        <v>中山製鋼:阪和Ｈ３(1級)</v>
      </c>
    </row>
    <row r="4457" ht="15.75" customHeight="1">
      <c r="A4457" s="335" t="s">
        <v>5604</v>
      </c>
      <c r="B4457" s="336">
        <v>46093.0</v>
      </c>
      <c r="C4457" s="335" t="s">
        <v>5</v>
      </c>
      <c r="D4457" s="335" t="s">
        <v>46</v>
      </c>
      <c r="E4457" s="337" t="str">
        <f t="shared" si="1"/>
        <v>中山製鋼:阪和</v>
      </c>
      <c r="F4457" s="338" t="s">
        <v>122</v>
      </c>
      <c r="G4457" s="339" t="str">
        <f t="shared" si="2"/>
        <v>中山製鋼:阪和Ｌ１(2級)</v>
      </c>
      <c r="H4457" s="340">
        <f t="shared" si="3"/>
        <v>33.8</v>
      </c>
      <c r="I4457" s="341">
        <v>2.0</v>
      </c>
      <c r="J4457" s="332">
        <f>IFERROR(__xludf.DUMMYFUNCTION("IF(IF(COUNTIF(P$2:P4456, P4457)=0, """", INDEX(H$2:H4456,
MAX(FILTER(ROW(H$2:H4456) - ROW(H$2) + 1, P$2:P4456 = P4457))))=""単価"","""",
IF(COUNTIF(P$2:P4456, P4457)=0, """", INDEX(H$2:H4456,
MAX(FILTER(ROW(H$2:H4456) - ROW(H$2) + 1, P$2:P4456 = P4457)))))"),31.8)</f>
        <v>31.8</v>
      </c>
      <c r="N4457" s="335" t="str">
        <f>IF(MAXIFS('単価履歴'!$O:$O,'単価履歴'!$E:$E,E4457,'単価履歴'!$F:$F,F4457)=O4457,"●","")</f>
        <v/>
      </c>
      <c r="O4457" s="346">
        <v>46093.349328703705</v>
      </c>
      <c r="P4457" s="334" t="str">
        <f t="shared" si="4"/>
        <v>中山製鋼:阪和Ｌ１(2級)</v>
      </c>
    </row>
    <row r="4458" ht="15.75" customHeight="1">
      <c r="A4458" s="335" t="s">
        <v>5605</v>
      </c>
      <c r="B4458" s="336">
        <v>46093.0</v>
      </c>
      <c r="C4458" s="335" t="s">
        <v>5</v>
      </c>
      <c r="D4458" s="335" t="s">
        <v>46</v>
      </c>
      <c r="E4458" s="337" t="str">
        <f t="shared" si="1"/>
        <v>中山製鋼:阪和</v>
      </c>
      <c r="F4458" s="338" t="s">
        <v>130</v>
      </c>
      <c r="G4458" s="339" t="str">
        <f t="shared" si="2"/>
        <v>中山製鋼:阪和新断Ａ</v>
      </c>
      <c r="H4458" s="340">
        <f t="shared" si="3"/>
        <v>53.3</v>
      </c>
      <c r="I4458" s="341">
        <v>2.0</v>
      </c>
      <c r="J4458" s="332">
        <f>IFERROR(__xludf.DUMMYFUNCTION("IF(IF(COUNTIF(P$2:P4457, P4458)=0, """", INDEX(H$2:H4457,
MAX(FILTER(ROW(H$2:H4457) - ROW(H$2) + 1, P$2:P4457 = P4458))))=""単価"","""",
IF(COUNTIF(P$2:P4457, P4458)=0, """", INDEX(H$2:H4457,
MAX(FILTER(ROW(H$2:H4457) - ROW(H$2) + 1, P$2:P4457 = P4458)))))"),51.3)</f>
        <v>51.3</v>
      </c>
      <c r="N4458" s="335" t="str">
        <f>IF(MAXIFS('単価履歴'!$O:$O,'単価履歴'!$E:$E,E4458,'単価履歴'!$F:$F,F4458)=O4458,"●","")</f>
        <v/>
      </c>
      <c r="O4458" s="346">
        <v>46093.349328703705</v>
      </c>
      <c r="P4458" s="334" t="str">
        <f t="shared" si="4"/>
        <v>中山製鋼:阪和新断Ａ</v>
      </c>
    </row>
    <row r="4459" ht="15.75" customHeight="1">
      <c r="A4459" s="335" t="s">
        <v>5606</v>
      </c>
      <c r="B4459" s="336">
        <v>46093.0</v>
      </c>
      <c r="C4459" s="335" t="s">
        <v>5</v>
      </c>
      <c r="D4459" s="335" t="s">
        <v>46</v>
      </c>
      <c r="E4459" s="337" t="str">
        <f t="shared" si="1"/>
        <v>中山製鋼:阪和</v>
      </c>
      <c r="F4459" s="338" t="s">
        <v>131</v>
      </c>
      <c r="G4459" s="339" t="str">
        <f t="shared" si="2"/>
        <v>中山製鋼:阪和新断Ｂ</v>
      </c>
      <c r="H4459" s="340">
        <f t="shared" si="3"/>
        <v>52.3</v>
      </c>
      <c r="I4459" s="341">
        <v>2.0</v>
      </c>
      <c r="J4459" s="332">
        <f>IFERROR(__xludf.DUMMYFUNCTION("IF(IF(COUNTIF(P$2:P4458, P4459)=0, """", INDEX(H$2:H4458,
MAX(FILTER(ROW(H$2:H4458) - ROW(H$2) + 1, P$2:P4458 = P4459))))=""単価"","""",
IF(COUNTIF(P$2:P4458, P4459)=0, """", INDEX(H$2:H4458,
MAX(FILTER(ROW(H$2:H4458) - ROW(H$2) + 1, P$2:P4458 = P4459)))))"),50.3)</f>
        <v>50.3</v>
      </c>
      <c r="N4459" s="335" t="str">
        <f>IF(MAXIFS('単価履歴'!$O:$O,'単価履歴'!$E:$E,E4459,'単価履歴'!$F:$F,F4459)=O4459,"●","")</f>
        <v/>
      </c>
      <c r="O4459" s="346">
        <v>46093.349328703705</v>
      </c>
      <c r="P4459" s="334" t="str">
        <f t="shared" si="4"/>
        <v>中山製鋼:阪和新断Ｂ</v>
      </c>
    </row>
    <row r="4460" ht="15.75" customHeight="1">
      <c r="A4460" s="335" t="s">
        <v>5607</v>
      </c>
      <c r="B4460" s="336">
        <v>46093.0</v>
      </c>
      <c r="C4460" s="335" t="s">
        <v>5</v>
      </c>
      <c r="D4460" s="335" t="s">
        <v>46</v>
      </c>
      <c r="E4460" s="337" t="str">
        <f t="shared" si="1"/>
        <v>中山製鋼:阪和</v>
      </c>
      <c r="F4460" s="338" t="s">
        <v>574</v>
      </c>
      <c r="G4460" s="339" t="str">
        <f t="shared" si="2"/>
        <v>中山製鋼:阪和新断Ｃ</v>
      </c>
      <c r="H4460" s="340">
        <f t="shared" si="3"/>
        <v>51.3</v>
      </c>
      <c r="I4460" s="341">
        <v>2.0</v>
      </c>
      <c r="J4460" s="332">
        <f>IFERROR(__xludf.DUMMYFUNCTION("IF(IF(COUNTIF(P$2:P4459, P4460)=0, """", INDEX(H$2:H4459,
MAX(FILTER(ROW(H$2:H4459) - ROW(H$2) + 1, P$2:P4459 = P4460))))=""単価"","""",
IF(COUNTIF(P$2:P4459, P4460)=0, """", INDEX(H$2:H4459,
MAX(FILTER(ROW(H$2:H4459) - ROW(H$2) + 1, P$2:P4459 = P4460)))))"),49.3)</f>
        <v>49.3</v>
      </c>
      <c r="N4460" s="335" t="str">
        <f>IF(MAXIFS('単価履歴'!$O:$O,'単価履歴'!$E:$E,E4460,'単価履歴'!$F:$F,F4460)=O4460,"●","")</f>
        <v/>
      </c>
      <c r="O4460" s="346">
        <v>46093.349328703705</v>
      </c>
      <c r="P4460" s="334" t="str">
        <f t="shared" si="4"/>
        <v>中山製鋼:阪和新断Ｃ</v>
      </c>
    </row>
    <row r="4461" ht="15.75" customHeight="1">
      <c r="A4461" s="335" t="s">
        <v>5608</v>
      </c>
      <c r="B4461" s="336">
        <v>46093.0</v>
      </c>
      <c r="C4461" s="335" t="s">
        <v>5</v>
      </c>
      <c r="D4461" s="335" t="s">
        <v>47</v>
      </c>
      <c r="E4461" s="337" t="str">
        <f t="shared" si="1"/>
        <v>中山製鋼:豊通</v>
      </c>
      <c r="F4461" s="338" t="s">
        <v>1199</v>
      </c>
      <c r="G4461" s="339" t="str">
        <f t="shared" si="2"/>
        <v>中山製鋼:豊通ＨＳ１(単体H1/電特A/HS))</v>
      </c>
      <c r="H4461" s="340">
        <f t="shared" si="3"/>
        <v>52.3</v>
      </c>
      <c r="I4461" s="341">
        <v>2.0</v>
      </c>
      <c r="J4461" s="332">
        <f>IFERROR(__xludf.DUMMYFUNCTION("IF(IF(COUNTIF(P$2:P4460, P4461)=0, """", INDEX(H$2:H4460,
MAX(FILTER(ROW(H$2:H4460) - ROW(H$2) + 1, P$2:P4460 = P4461))))=""単価"","""",
IF(COUNTIF(P$2:P4460, P4461)=0, """", INDEX(H$2:H4460,
MAX(FILTER(ROW(H$2:H4460) - ROW(H$2) + 1, P$2:P4460 = P4461)))))"),50.3)</f>
        <v>50.3</v>
      </c>
      <c r="N4461" s="335" t="str">
        <f>IF(MAXIFS('単価履歴'!$O:$O,'単価履歴'!$E:$E,E4461,'単価履歴'!$F:$F,F4461)=O4461,"●","")</f>
        <v/>
      </c>
      <c r="O4461" s="346">
        <v>46093.34961805555</v>
      </c>
      <c r="P4461" s="334" t="str">
        <f t="shared" si="4"/>
        <v>中山製鋼:豊通ＨＳ１(単体H1/電特A/HS))</v>
      </c>
    </row>
    <row r="4462" ht="15.75" customHeight="1">
      <c r="A4462" s="335" t="s">
        <v>5609</v>
      </c>
      <c r="B4462" s="336">
        <v>46093.0</v>
      </c>
      <c r="C4462" s="335" t="s">
        <v>5</v>
      </c>
      <c r="D4462" s="335" t="s">
        <v>47</v>
      </c>
      <c r="E4462" s="337" t="str">
        <f t="shared" si="1"/>
        <v>中山製鋼:豊通</v>
      </c>
      <c r="F4462" s="338" t="s">
        <v>101</v>
      </c>
      <c r="G4462" s="339" t="str">
        <f t="shared" si="2"/>
        <v>中山製鋼:豊通ＨＳ２</v>
      </c>
      <c r="H4462" s="340">
        <f t="shared" si="3"/>
        <v>52.3</v>
      </c>
      <c r="I4462" s="341">
        <v>2.0</v>
      </c>
      <c r="J4462" s="332">
        <f>IFERROR(__xludf.DUMMYFUNCTION("IF(IF(COUNTIF(P$2:P4461, P4462)=0, """", INDEX(H$2:H4461,
MAX(FILTER(ROW(H$2:H4461) - ROW(H$2) + 1, P$2:P4461 = P4462))))=""単価"","""",
IF(COUNTIF(P$2:P4461, P4462)=0, """", INDEX(H$2:H4461,
MAX(FILTER(ROW(H$2:H4461) - ROW(H$2) + 1, P$2:P4461 = P4462)))))"),50.3)</f>
        <v>50.3</v>
      </c>
      <c r="N4462" s="335" t="str">
        <f>IF(MAXIFS('単価履歴'!$O:$O,'単価履歴'!$E:$E,E4462,'単価履歴'!$F:$F,F4462)=O4462,"●","")</f>
        <v/>
      </c>
      <c r="O4462" s="346">
        <v>46093.34961805555</v>
      </c>
      <c r="P4462" s="334" t="str">
        <f t="shared" si="4"/>
        <v>中山製鋼:豊通ＨＳ２</v>
      </c>
    </row>
    <row r="4463" ht="15.75" customHeight="1">
      <c r="A4463" s="335" t="s">
        <v>5610</v>
      </c>
      <c r="B4463" s="336">
        <v>46093.0</v>
      </c>
      <c r="C4463" s="335" t="s">
        <v>5</v>
      </c>
      <c r="D4463" s="335" t="s">
        <v>47</v>
      </c>
      <c r="E4463" s="337" t="str">
        <f t="shared" si="1"/>
        <v>中山製鋼:豊通</v>
      </c>
      <c r="F4463" s="338" t="s">
        <v>108</v>
      </c>
      <c r="G4463" s="339" t="str">
        <f t="shared" si="2"/>
        <v>中山製鋼:豊通Ｈ１/ｻﾑﾃｯｸ</v>
      </c>
      <c r="H4463" s="340">
        <f t="shared" si="3"/>
        <v>5.5</v>
      </c>
      <c r="I4463" s="341">
        <v>2.0</v>
      </c>
      <c r="J4463" s="332">
        <f>IFERROR(__xludf.DUMMYFUNCTION("IF(IF(COUNTIF(P$2:P4462, P4463)=0, """", INDEX(H$2:H4462,
MAX(FILTER(ROW(H$2:H4462) - ROW(H$2) + 1, P$2:P4462 = P4463))))=""単価"","""",
IF(COUNTIF(P$2:P4462, P4463)=0, """", INDEX(H$2:H4462,
MAX(FILTER(ROW(H$2:H4462) - ROW(H$2) + 1, P$2:P4462 = P4463)))))"),3.5)</f>
        <v>3.5</v>
      </c>
      <c r="N4463" s="335" t="str">
        <f>IF(MAXIFS('単価履歴'!$O:$O,'単価履歴'!$E:$E,E4463,'単価履歴'!$F:$F,F4463)=O4463,"●","")</f>
        <v/>
      </c>
      <c r="O4463" s="346">
        <v>46093.34961805555</v>
      </c>
      <c r="P4463" s="334" t="str">
        <f t="shared" si="4"/>
        <v>中山製鋼:豊通Ｈ１/ｻﾑﾃｯｸ</v>
      </c>
    </row>
    <row r="4464" ht="15.75" customHeight="1">
      <c r="A4464" s="335" t="s">
        <v>5611</v>
      </c>
      <c r="B4464" s="336">
        <v>46093.0</v>
      </c>
      <c r="C4464" s="335" t="s">
        <v>5</v>
      </c>
      <c r="D4464" s="335" t="s">
        <v>47</v>
      </c>
      <c r="E4464" s="337" t="str">
        <f t="shared" si="1"/>
        <v>中山製鋼:豊通</v>
      </c>
      <c r="F4464" s="338" t="s">
        <v>111</v>
      </c>
      <c r="G4464" s="339" t="str">
        <f t="shared" si="2"/>
        <v>中山製鋼:豊通Ｈ１(特A)</v>
      </c>
      <c r="H4464" s="340">
        <f t="shared" si="3"/>
        <v>50.3</v>
      </c>
      <c r="I4464" s="341">
        <v>2.0</v>
      </c>
      <c r="J4464" s="332">
        <f>IFERROR(__xludf.DUMMYFUNCTION("IF(IF(COUNTIF(P$2:P4463, P4464)=0, """", INDEX(H$2:H4463,
MAX(FILTER(ROW(H$2:H4463) - ROW(H$2) + 1, P$2:P4463 = P4464))))=""単価"","""",
IF(COUNTIF(P$2:P4463, P4464)=0, """", INDEX(H$2:H4463,
MAX(FILTER(ROW(H$2:H4463) - ROW(H$2) + 1, P$2:P4463 = P4464)))))"),48.3)</f>
        <v>48.3</v>
      </c>
      <c r="N4464" s="335" t="str">
        <f>IF(MAXIFS('単価履歴'!$O:$O,'単価履歴'!$E:$E,E4464,'単価履歴'!$F:$F,F4464)=O4464,"●","")</f>
        <v/>
      </c>
      <c r="O4464" s="346">
        <v>46093.34961805555</v>
      </c>
      <c r="P4464" s="334" t="str">
        <f t="shared" si="4"/>
        <v>中山製鋼:豊通Ｈ１(特A)</v>
      </c>
    </row>
    <row r="4465" ht="15.75" customHeight="1">
      <c r="A4465" s="335" t="s">
        <v>5612</v>
      </c>
      <c r="B4465" s="336">
        <v>46093.0</v>
      </c>
      <c r="C4465" s="335" t="s">
        <v>5</v>
      </c>
      <c r="D4465" s="335" t="s">
        <v>47</v>
      </c>
      <c r="E4465" s="337" t="str">
        <f t="shared" si="1"/>
        <v>中山製鋼:豊通</v>
      </c>
      <c r="F4465" s="338" t="s">
        <v>116</v>
      </c>
      <c r="G4465" s="339" t="str">
        <f t="shared" si="2"/>
        <v>中山製鋼:豊通Ｈ２(特級)</v>
      </c>
      <c r="H4465" s="340">
        <f t="shared" si="3"/>
        <v>44.3</v>
      </c>
      <c r="I4465" s="341">
        <v>2.0</v>
      </c>
      <c r="J4465" s="332">
        <f>IFERROR(__xludf.DUMMYFUNCTION("IF(IF(COUNTIF(P$2:P4464, P4465)=0, """", INDEX(H$2:H4464,
MAX(FILTER(ROW(H$2:H4464) - ROW(H$2) + 1, P$2:P4464 = P4465))))=""単価"","""",
IF(COUNTIF(P$2:P4464, P4465)=0, """", INDEX(H$2:H4464,
MAX(FILTER(ROW(H$2:H4464) - ROW(H$2) + 1, P$2:P4464 = P4465)))))"),42.3)</f>
        <v>42.3</v>
      </c>
      <c r="N4465" s="335" t="str">
        <f>IF(MAXIFS('単価履歴'!$O:$O,'単価履歴'!$E:$E,E4465,'単価履歴'!$F:$F,F4465)=O4465,"●","")</f>
        <v/>
      </c>
      <c r="O4465" s="346">
        <v>46093.34961805555</v>
      </c>
      <c r="P4465" s="334" t="str">
        <f t="shared" si="4"/>
        <v>中山製鋼:豊通Ｈ２(特級)</v>
      </c>
    </row>
    <row r="4466" ht="15.75" customHeight="1">
      <c r="A4466" s="335" t="s">
        <v>5613</v>
      </c>
      <c r="B4466" s="336">
        <v>46093.0</v>
      </c>
      <c r="C4466" s="335" t="s">
        <v>5</v>
      </c>
      <c r="D4466" s="335" t="s">
        <v>47</v>
      </c>
      <c r="E4466" s="337" t="str">
        <f t="shared" si="1"/>
        <v>中山製鋼:豊通</v>
      </c>
      <c r="F4466" s="338" t="s">
        <v>119</v>
      </c>
      <c r="G4466" s="339" t="str">
        <f t="shared" si="2"/>
        <v>中山製鋼:豊通Ｈ３(1級)</v>
      </c>
      <c r="H4466" s="340">
        <f t="shared" si="3"/>
        <v>40.3</v>
      </c>
      <c r="I4466" s="341">
        <v>2.0</v>
      </c>
      <c r="J4466" s="332">
        <f>IFERROR(__xludf.DUMMYFUNCTION("IF(IF(COUNTIF(P$2:P4465, P4466)=0, """", INDEX(H$2:H4465,
MAX(FILTER(ROW(H$2:H4465) - ROW(H$2) + 1, P$2:P4465 = P4466))))=""単価"","""",
IF(COUNTIF(P$2:P4465, P4466)=0, """", INDEX(H$2:H4465,
MAX(FILTER(ROW(H$2:H4465) - ROW(H$2) + 1, P$2:P4465 = P4466)))))"),38.3)</f>
        <v>38.3</v>
      </c>
      <c r="N4466" s="335" t="str">
        <f>IF(MAXIFS('単価履歴'!$O:$O,'単価履歴'!$E:$E,E4466,'単価履歴'!$F:$F,F4466)=O4466,"●","")</f>
        <v/>
      </c>
      <c r="O4466" s="346">
        <v>46093.34961805555</v>
      </c>
      <c r="P4466" s="334" t="str">
        <f t="shared" si="4"/>
        <v>中山製鋼:豊通Ｈ３(1級)</v>
      </c>
    </row>
    <row r="4467" ht="15.75" customHeight="1">
      <c r="A4467" s="335" t="s">
        <v>5614</v>
      </c>
      <c r="B4467" s="336">
        <v>46093.0</v>
      </c>
      <c r="C4467" s="335" t="s">
        <v>5</v>
      </c>
      <c r="D4467" s="335" t="s">
        <v>47</v>
      </c>
      <c r="E4467" s="337" t="str">
        <f t="shared" si="1"/>
        <v>中山製鋼:豊通</v>
      </c>
      <c r="F4467" s="338" t="s">
        <v>122</v>
      </c>
      <c r="G4467" s="339" t="str">
        <f t="shared" si="2"/>
        <v>中山製鋼:豊通Ｌ１(2級)</v>
      </c>
      <c r="H4467" s="340">
        <f t="shared" si="3"/>
        <v>33.8</v>
      </c>
      <c r="I4467" s="341">
        <v>2.0</v>
      </c>
      <c r="J4467" s="332">
        <f>IFERROR(__xludf.DUMMYFUNCTION("IF(IF(COUNTIF(P$2:P4466, P4467)=0, """", INDEX(H$2:H4466,
MAX(FILTER(ROW(H$2:H4466) - ROW(H$2) + 1, P$2:P4466 = P4467))))=""単価"","""",
IF(COUNTIF(P$2:P4466, P4467)=0, """", INDEX(H$2:H4466,
MAX(FILTER(ROW(H$2:H4466) - ROW(H$2) + 1, P$2:P4466 = P4467)))))"),31.8)</f>
        <v>31.8</v>
      </c>
      <c r="N4467" s="335" t="str">
        <f>IF(MAXIFS('単価履歴'!$O:$O,'単価履歴'!$E:$E,E4467,'単価履歴'!$F:$F,F4467)=O4467,"●","")</f>
        <v/>
      </c>
      <c r="O4467" s="346">
        <v>46093.34961805555</v>
      </c>
      <c r="P4467" s="334" t="str">
        <f t="shared" si="4"/>
        <v>中山製鋼:豊通Ｌ１(2級)</v>
      </c>
    </row>
    <row r="4468" ht="15.75" customHeight="1">
      <c r="A4468" s="335" t="s">
        <v>5615</v>
      </c>
      <c r="B4468" s="336">
        <v>46093.0</v>
      </c>
      <c r="C4468" s="335" t="s">
        <v>5</v>
      </c>
      <c r="D4468" s="335" t="s">
        <v>47</v>
      </c>
      <c r="E4468" s="337" t="str">
        <f t="shared" si="1"/>
        <v>中山製鋼:豊通</v>
      </c>
      <c r="F4468" s="338" t="s">
        <v>130</v>
      </c>
      <c r="G4468" s="339" t="str">
        <f t="shared" si="2"/>
        <v>中山製鋼:豊通新断Ａ</v>
      </c>
      <c r="H4468" s="340">
        <f t="shared" si="3"/>
        <v>53.3</v>
      </c>
      <c r="I4468" s="341">
        <v>2.0</v>
      </c>
      <c r="J4468" s="332">
        <f>IFERROR(__xludf.DUMMYFUNCTION("IF(IF(COUNTIF(P$2:P4467, P4468)=0, """", INDEX(H$2:H4467,
MAX(FILTER(ROW(H$2:H4467) - ROW(H$2) + 1, P$2:P4467 = P4468))))=""単価"","""",
IF(COUNTIF(P$2:P4467, P4468)=0, """", INDEX(H$2:H4467,
MAX(FILTER(ROW(H$2:H4467) - ROW(H$2) + 1, P$2:P4467 = P4468)))))"),51.3)</f>
        <v>51.3</v>
      </c>
      <c r="N4468" s="335" t="str">
        <f>IF(MAXIFS('単価履歴'!$O:$O,'単価履歴'!$E:$E,E4468,'単価履歴'!$F:$F,F4468)=O4468,"●","")</f>
        <v/>
      </c>
      <c r="O4468" s="346">
        <v>46093.34961805555</v>
      </c>
      <c r="P4468" s="334" t="str">
        <f t="shared" si="4"/>
        <v>中山製鋼:豊通新断Ａ</v>
      </c>
    </row>
    <row r="4469" ht="15.75" customHeight="1">
      <c r="A4469" s="335" t="s">
        <v>5616</v>
      </c>
      <c r="B4469" s="336">
        <v>46093.0</v>
      </c>
      <c r="C4469" s="335" t="s">
        <v>5</v>
      </c>
      <c r="D4469" s="335" t="s">
        <v>47</v>
      </c>
      <c r="E4469" s="337" t="str">
        <f t="shared" si="1"/>
        <v>中山製鋼:豊通</v>
      </c>
      <c r="F4469" s="338" t="s">
        <v>131</v>
      </c>
      <c r="G4469" s="339" t="str">
        <f t="shared" si="2"/>
        <v>中山製鋼:豊通新断Ｂ</v>
      </c>
      <c r="H4469" s="340">
        <f t="shared" si="3"/>
        <v>52.3</v>
      </c>
      <c r="I4469" s="341">
        <v>2.0</v>
      </c>
      <c r="J4469" s="332">
        <f>IFERROR(__xludf.DUMMYFUNCTION("IF(IF(COUNTIF(P$2:P4468, P4469)=0, """", INDEX(H$2:H4468,
MAX(FILTER(ROW(H$2:H4468) - ROW(H$2) + 1, P$2:P4468 = P4469))))=""単価"","""",
IF(COUNTIF(P$2:P4468, P4469)=0, """", INDEX(H$2:H4468,
MAX(FILTER(ROW(H$2:H4468) - ROW(H$2) + 1, P$2:P4468 = P4469)))))"),50.3)</f>
        <v>50.3</v>
      </c>
      <c r="N4469" s="335" t="str">
        <f>IF(MAXIFS('単価履歴'!$O:$O,'単価履歴'!$E:$E,E4469,'単価履歴'!$F:$F,F4469)=O4469,"●","")</f>
        <v/>
      </c>
      <c r="O4469" s="346">
        <v>46093.34961805555</v>
      </c>
      <c r="P4469" s="334" t="str">
        <f t="shared" si="4"/>
        <v>中山製鋼:豊通新断Ｂ</v>
      </c>
    </row>
    <row r="4470" ht="15.75" customHeight="1">
      <c r="A4470" s="335" t="s">
        <v>5617</v>
      </c>
      <c r="B4470" s="336">
        <v>46093.0</v>
      </c>
      <c r="C4470" s="335" t="s">
        <v>5</v>
      </c>
      <c r="D4470" s="335" t="s">
        <v>47</v>
      </c>
      <c r="E4470" s="337" t="str">
        <f t="shared" si="1"/>
        <v>中山製鋼:豊通</v>
      </c>
      <c r="F4470" s="338" t="s">
        <v>574</v>
      </c>
      <c r="G4470" s="339" t="str">
        <f t="shared" si="2"/>
        <v>中山製鋼:豊通新断Ｃ</v>
      </c>
      <c r="H4470" s="340">
        <f t="shared" si="3"/>
        <v>51.3</v>
      </c>
      <c r="I4470" s="341">
        <v>2.0</v>
      </c>
      <c r="J4470" s="332">
        <f>IFERROR(__xludf.DUMMYFUNCTION("IF(IF(COUNTIF(P$2:P4469, P4470)=0, """", INDEX(H$2:H4469,
MAX(FILTER(ROW(H$2:H4469) - ROW(H$2) + 1, P$2:P4469 = P4470))))=""単価"","""",
IF(COUNTIF(P$2:P4469, P4470)=0, """", INDEX(H$2:H4469,
MAX(FILTER(ROW(H$2:H4469) - ROW(H$2) + 1, P$2:P4469 = P4470)))))"),49.3)</f>
        <v>49.3</v>
      </c>
      <c r="N4470" s="335" t="str">
        <f>IF(MAXIFS('単価履歴'!$O:$O,'単価履歴'!$E:$E,E4470,'単価履歴'!$F:$F,F4470)=O4470,"●","")</f>
        <v/>
      </c>
      <c r="O4470" s="346">
        <v>46093.34961805555</v>
      </c>
      <c r="P4470" s="334" t="str">
        <f t="shared" si="4"/>
        <v>中山製鋼:豊通新断Ｃ</v>
      </c>
    </row>
    <row r="4471" ht="15.75" customHeight="1">
      <c r="A4471" s="335" t="s">
        <v>5618</v>
      </c>
      <c r="B4471" s="336">
        <v>46093.0</v>
      </c>
      <c r="C4471" s="335" t="s">
        <v>5</v>
      </c>
      <c r="D4471" s="335" t="s">
        <v>1232</v>
      </c>
      <c r="E4471" s="337" t="str">
        <f t="shared" si="1"/>
        <v>中山製鋼:豊通/出張商店</v>
      </c>
      <c r="F4471" s="338" t="s">
        <v>130</v>
      </c>
      <c r="G4471" s="339" t="str">
        <f t="shared" si="2"/>
        <v>中山製鋼:豊通/出張商店新断Ａ</v>
      </c>
      <c r="H4471" s="340">
        <f t="shared" si="3"/>
        <v>52.3</v>
      </c>
      <c r="I4471" s="341">
        <v>2.0</v>
      </c>
      <c r="J4471" s="332">
        <f>IFERROR(__xludf.DUMMYFUNCTION("IF(IF(COUNTIF(P$2:P4470, P4471)=0, """", INDEX(H$2:H4470,
MAX(FILTER(ROW(H$2:H4470) - ROW(H$2) + 1, P$2:P4470 = P4471))))=""単価"","""",
IF(COUNTIF(P$2:P4470, P4471)=0, """", INDEX(H$2:H4470,
MAX(FILTER(ROW(H$2:H4470) - ROW(H$2) + 1, P$2:P4470 = P4471)))))"),50.3)</f>
        <v>50.3</v>
      </c>
      <c r="N4471" s="335" t="str">
        <f>IF(MAXIFS('単価履歴'!$O:$O,'単価履歴'!$E:$E,E4471,'単価履歴'!$F:$F,F4471)=O4471,"●","")</f>
        <v/>
      </c>
      <c r="O4471" s="346">
        <v>46093.34982638889</v>
      </c>
      <c r="P4471" s="334" t="str">
        <f t="shared" si="4"/>
        <v>中山製鋼:豊通/出張商店新断Ａ</v>
      </c>
    </row>
    <row r="4472" ht="15.75" customHeight="1">
      <c r="A4472" s="335" t="s">
        <v>5619</v>
      </c>
      <c r="B4472" s="336">
        <v>46093.0</v>
      </c>
      <c r="C4472" s="335" t="s">
        <v>5</v>
      </c>
      <c r="D4472" s="335" t="s">
        <v>1234</v>
      </c>
      <c r="E4472" s="337" t="str">
        <f t="shared" si="1"/>
        <v>中山製鋼:豊通/中川嘉弘商店</v>
      </c>
      <c r="F4472" s="338" t="s">
        <v>130</v>
      </c>
      <c r="G4472" s="339" t="str">
        <f t="shared" si="2"/>
        <v>中山製鋼:豊通/中川嘉弘商店新断Ａ</v>
      </c>
      <c r="H4472" s="340">
        <f t="shared" si="3"/>
        <v>50.3</v>
      </c>
      <c r="I4472" s="341">
        <v>2.0</v>
      </c>
      <c r="J4472" s="332">
        <f>IFERROR(__xludf.DUMMYFUNCTION("IF(IF(COUNTIF(P$2:P4471, P4472)=0, """", INDEX(H$2:H4471,
MAX(FILTER(ROW(H$2:H4471) - ROW(H$2) + 1, P$2:P4471 = P4472))))=""単価"","""",
IF(COUNTIF(P$2:P4471, P4472)=0, """", INDEX(H$2:H4471,
MAX(FILTER(ROW(H$2:H4471) - ROW(H$2) + 1, P$2:P4471 = P4472)))))"),48.3)</f>
        <v>48.3</v>
      </c>
      <c r="N4472" s="335" t="str">
        <f>IF(MAXIFS('単価履歴'!$O:$O,'単価履歴'!$E:$E,E4472,'単価履歴'!$F:$F,F4472)=O4472,"●","")</f>
        <v/>
      </c>
      <c r="O4472" s="346">
        <v>46093.34982638889</v>
      </c>
      <c r="P4472" s="334" t="str">
        <f t="shared" si="4"/>
        <v>中山製鋼:豊通/中川嘉弘商店新断Ａ</v>
      </c>
    </row>
    <row r="4473" ht="15.75" customHeight="1">
      <c r="A4473" s="335" t="s">
        <v>5620</v>
      </c>
      <c r="B4473" s="336">
        <v>46093.0</v>
      </c>
      <c r="C4473" s="335" t="s">
        <v>6</v>
      </c>
      <c r="D4473" s="335" t="s">
        <v>48</v>
      </c>
      <c r="E4473" s="337" t="str">
        <f t="shared" si="1"/>
        <v>中山鋼業:ナベ</v>
      </c>
      <c r="F4473" s="338" t="s">
        <v>111</v>
      </c>
      <c r="G4473" s="339" t="str">
        <f t="shared" si="2"/>
        <v>中山鋼業:ナベＨ１(特A)</v>
      </c>
      <c r="H4473" s="340">
        <f t="shared" si="3"/>
        <v>49.5</v>
      </c>
      <c r="I4473" s="341">
        <v>2.0</v>
      </c>
      <c r="J4473" s="332">
        <f>IFERROR(__xludf.DUMMYFUNCTION("IF(IF(COUNTIF(P$2:P4472, P4473)=0, """", INDEX(H$2:H4472,
MAX(FILTER(ROW(H$2:H4472) - ROW(H$2) + 1, P$2:P4472 = P4473))))=""単価"","""",
IF(COUNTIF(P$2:P4472, P4473)=0, """", INDEX(H$2:H4472,
MAX(FILTER(ROW(H$2:H4472) - ROW(H$2) + 1, P$2:P4472 = P4473)))))"),47.5)</f>
        <v>47.5</v>
      </c>
      <c r="N4473" s="335" t="str">
        <f>IF(MAXIFS('単価履歴'!$O:$O,'単価履歴'!$E:$E,E4473,'単価履歴'!$F:$F,F4473)=O4473,"●","")</f>
        <v/>
      </c>
      <c r="O4473" s="346">
        <v>46093.35003472222</v>
      </c>
      <c r="P4473" s="334" t="str">
        <f t="shared" si="4"/>
        <v>中山鋼業:ナベＨ１(特A)</v>
      </c>
    </row>
    <row r="4474" ht="15.75" customHeight="1">
      <c r="A4474" s="335" t="s">
        <v>5621</v>
      </c>
      <c r="B4474" s="336">
        <v>46093.0</v>
      </c>
      <c r="C4474" s="335" t="s">
        <v>6</v>
      </c>
      <c r="D4474" s="335" t="s">
        <v>48</v>
      </c>
      <c r="E4474" s="337" t="str">
        <f t="shared" si="1"/>
        <v>中山鋼業:ナベ</v>
      </c>
      <c r="F4474" s="338" t="s">
        <v>1237</v>
      </c>
      <c r="G4474" s="339" t="str">
        <f t="shared" si="2"/>
        <v>中山鋼業:ナベＪＨ１(H2T山口)鍛造ﾊﾞﾘ</v>
      </c>
      <c r="H4474" s="340">
        <f t="shared" si="3"/>
        <v>48.2</v>
      </c>
      <c r="I4474" s="341">
        <v>2.0</v>
      </c>
      <c r="J4474" s="332">
        <f>IFERROR(__xludf.DUMMYFUNCTION("IF(IF(COUNTIF(P$2:P4473, P4474)=0, """", INDEX(H$2:H4473,
MAX(FILTER(ROW(H$2:H4473) - ROW(H$2) + 1, P$2:P4473 = P4474))))=""単価"","""",
IF(COUNTIF(P$2:P4473, P4474)=0, """", INDEX(H$2:H4473,
MAX(FILTER(ROW(H$2:H4473) - ROW(H$2) + 1, P$2:P4473 = P4474)))))"),46.2)</f>
        <v>46.2</v>
      </c>
      <c r="N4474" s="335" t="str">
        <f>IF(MAXIFS('単価履歴'!$O:$O,'単価履歴'!$E:$E,E4474,'単価履歴'!$F:$F,F4474)=O4474,"●","")</f>
        <v/>
      </c>
      <c r="O4474" s="346">
        <v>46093.35003472222</v>
      </c>
      <c r="P4474" s="334" t="str">
        <f t="shared" si="4"/>
        <v>中山鋼業:ナベＪＨ１(H2T山口)鍛造ﾊﾞﾘ</v>
      </c>
    </row>
    <row r="4475" ht="15.75" customHeight="1">
      <c r="A4475" s="335" t="s">
        <v>5622</v>
      </c>
      <c r="B4475" s="336">
        <v>46093.0</v>
      </c>
      <c r="C4475" s="335" t="s">
        <v>6</v>
      </c>
      <c r="D4475" s="335" t="s">
        <v>48</v>
      </c>
      <c r="E4475" s="337" t="str">
        <f t="shared" si="1"/>
        <v>中山鋼業:ナベ</v>
      </c>
      <c r="F4475" s="338" t="s">
        <v>116</v>
      </c>
      <c r="G4475" s="339" t="str">
        <f t="shared" si="2"/>
        <v>中山鋼業:ナベＨ２(特級)</v>
      </c>
      <c r="H4475" s="340">
        <f t="shared" si="3"/>
        <v>47.5</v>
      </c>
      <c r="I4475" s="341">
        <v>2.0</v>
      </c>
      <c r="J4475" s="332">
        <f>IFERROR(__xludf.DUMMYFUNCTION("IF(IF(COUNTIF(P$2:P4474, P4475)=0, """", INDEX(H$2:H4474,
MAX(FILTER(ROW(H$2:H4474) - ROW(H$2) + 1, P$2:P4474 = P4475))))=""単価"","""",
IF(COUNTIF(P$2:P4474, P4475)=0, """", INDEX(H$2:H4474,
MAX(FILTER(ROW(H$2:H4474) - ROW(H$2) + 1, P$2:P4474 = P4475)))))"),45.5)</f>
        <v>45.5</v>
      </c>
      <c r="N4475" s="335" t="str">
        <f>IF(MAXIFS('単価履歴'!$O:$O,'単価履歴'!$E:$E,E4475,'単価履歴'!$F:$F,F4475)=O4475,"●","")</f>
        <v/>
      </c>
      <c r="O4475" s="346">
        <v>46093.35003472222</v>
      </c>
      <c r="P4475" s="334" t="str">
        <f t="shared" si="4"/>
        <v>中山鋼業:ナベＨ２(特級)</v>
      </c>
    </row>
    <row r="4476" ht="15.75" customHeight="1">
      <c r="A4476" s="335" t="s">
        <v>5623</v>
      </c>
      <c r="B4476" s="336">
        <v>46093.0</v>
      </c>
      <c r="C4476" s="335" t="s">
        <v>6</v>
      </c>
      <c r="D4476" s="335" t="s">
        <v>48</v>
      </c>
      <c r="E4476" s="337" t="str">
        <f t="shared" si="1"/>
        <v>中山鋼業:ナベ</v>
      </c>
      <c r="F4476" s="338" t="s">
        <v>119</v>
      </c>
      <c r="G4476" s="339" t="str">
        <f t="shared" si="2"/>
        <v>中山鋼業:ナベＨ３(1級)</v>
      </c>
      <c r="H4476" s="340">
        <f t="shared" si="3"/>
        <v>46</v>
      </c>
      <c r="I4476" s="341">
        <v>2.0</v>
      </c>
      <c r="J4476" s="332">
        <f>IFERROR(__xludf.DUMMYFUNCTION("IF(IF(COUNTIF(P$2:P4475, P4476)=0, """", INDEX(H$2:H4475,
MAX(FILTER(ROW(H$2:H4475) - ROW(H$2) + 1, P$2:P4475 = P4476))))=""単価"","""",
IF(COUNTIF(P$2:P4475, P4476)=0, """", INDEX(H$2:H4475,
MAX(FILTER(ROW(H$2:H4475) - ROW(H$2) + 1, P$2:P4475 = P4476)))))"),44.0)</f>
        <v>44</v>
      </c>
      <c r="N4476" s="335" t="str">
        <f>IF(MAXIFS('単価履歴'!$O:$O,'単価履歴'!$E:$E,E4476,'単価履歴'!$F:$F,F4476)=O4476,"●","")</f>
        <v/>
      </c>
      <c r="O4476" s="346">
        <v>46093.35003472222</v>
      </c>
      <c r="P4476" s="334" t="str">
        <f t="shared" si="4"/>
        <v>中山鋼業:ナベＨ３(1級)</v>
      </c>
    </row>
    <row r="4477" ht="15.75" customHeight="1">
      <c r="A4477" s="335" t="s">
        <v>5624</v>
      </c>
      <c r="B4477" s="336">
        <v>46093.0</v>
      </c>
      <c r="C4477" s="335" t="s">
        <v>6</v>
      </c>
      <c r="D4477" s="335" t="s">
        <v>48</v>
      </c>
      <c r="E4477" s="337" t="str">
        <f t="shared" si="1"/>
        <v>中山鋼業:ナベ</v>
      </c>
      <c r="F4477" s="338" t="s">
        <v>122</v>
      </c>
      <c r="G4477" s="339" t="str">
        <f t="shared" si="2"/>
        <v>中山鋼業:ナベＬ１(2級)</v>
      </c>
      <c r="H4477" s="340">
        <f t="shared" si="3"/>
        <v>45.5</v>
      </c>
      <c r="I4477" s="341">
        <v>2.0</v>
      </c>
      <c r="J4477" s="332">
        <f>IFERROR(__xludf.DUMMYFUNCTION("IF(IF(COUNTIF(P$2:P4476, P4477)=0, """", INDEX(H$2:H4476,
MAX(FILTER(ROW(H$2:H4476) - ROW(H$2) + 1, P$2:P4476 = P4477))))=""単価"","""",
IF(COUNTIF(P$2:P4476, P4477)=0, """", INDEX(H$2:H4476,
MAX(FILTER(ROW(H$2:H4476) - ROW(H$2) + 1, P$2:P4476 = P4477)))))"),43.5)</f>
        <v>43.5</v>
      </c>
      <c r="N4477" s="335" t="str">
        <f>IF(MAXIFS('単価履歴'!$O:$O,'単価履歴'!$E:$E,E4477,'単価履歴'!$F:$F,F4477)=O4477,"●","")</f>
        <v/>
      </c>
      <c r="O4477" s="346">
        <v>46093.35003472222</v>
      </c>
      <c r="P4477" s="334" t="str">
        <f t="shared" si="4"/>
        <v>中山鋼業:ナベＬ１(2級)</v>
      </c>
    </row>
    <row r="4478" ht="15.75" customHeight="1">
      <c r="A4478" s="335" t="s">
        <v>5625</v>
      </c>
      <c r="B4478" s="336">
        <v>46093.0</v>
      </c>
      <c r="C4478" s="335" t="s">
        <v>6</v>
      </c>
      <c r="D4478" s="335" t="s">
        <v>48</v>
      </c>
      <c r="E4478" s="337" t="str">
        <f t="shared" si="1"/>
        <v>中山鋼業:ナベ</v>
      </c>
      <c r="F4478" s="338" t="s">
        <v>573</v>
      </c>
      <c r="G4478" s="339" t="str">
        <f t="shared" si="2"/>
        <v>中山鋼業:ナベＬ２(H4･級外･L1ﾊﾞﾗ)</v>
      </c>
      <c r="H4478" s="340">
        <f t="shared" si="3"/>
        <v>42</v>
      </c>
      <c r="I4478" s="341">
        <v>2.0</v>
      </c>
      <c r="J4478" s="332">
        <f>IFERROR(__xludf.DUMMYFUNCTION("IF(IF(COUNTIF(P$2:P4477, P4478)=0, """", INDEX(H$2:H4477,
MAX(FILTER(ROW(H$2:H4477) - ROW(H$2) + 1, P$2:P4477 = P4478))))=""単価"","""",
IF(COUNTIF(P$2:P4477, P4478)=0, """", INDEX(H$2:H4477,
MAX(FILTER(ROW(H$2:H4477) - ROW(H$2) + 1, P$2:P4477 = P4478)))))"),40.0)</f>
        <v>40</v>
      </c>
      <c r="N4478" s="335" t="str">
        <f>IF(MAXIFS('単価履歴'!$O:$O,'単価履歴'!$E:$E,E4478,'単価履歴'!$F:$F,F4478)=O4478,"●","")</f>
        <v/>
      </c>
      <c r="O4478" s="346">
        <v>46093.35003472222</v>
      </c>
      <c r="P4478" s="334" t="str">
        <f t="shared" si="4"/>
        <v>中山鋼業:ナベＬ２(H4･級外･L1ﾊﾞﾗ)</v>
      </c>
    </row>
    <row r="4479" ht="15.75" customHeight="1">
      <c r="A4479" s="335" t="s">
        <v>5626</v>
      </c>
      <c r="B4479" s="336">
        <v>46093.0</v>
      </c>
      <c r="C4479" s="335" t="s">
        <v>6</v>
      </c>
      <c r="D4479" s="335" t="s">
        <v>48</v>
      </c>
      <c r="E4479" s="337" t="str">
        <f t="shared" si="1"/>
        <v>中山鋼業:ナベ</v>
      </c>
      <c r="F4479" s="338" t="s">
        <v>130</v>
      </c>
      <c r="G4479" s="339" t="str">
        <f t="shared" si="2"/>
        <v>中山鋼業:ナベ新断Ａ</v>
      </c>
      <c r="H4479" s="340">
        <f t="shared" si="3"/>
        <v>5.5</v>
      </c>
      <c r="I4479" s="341">
        <v>2.0</v>
      </c>
      <c r="J4479" s="332">
        <f>IFERROR(__xludf.DUMMYFUNCTION("IF(IF(COUNTIF(P$2:P4478, P4479)=0, """", INDEX(H$2:H4478,
MAX(FILTER(ROW(H$2:H4478) - ROW(H$2) + 1, P$2:P4478 = P4479))))=""単価"","""",
IF(COUNTIF(P$2:P4478, P4479)=0, """", INDEX(H$2:H4478,
MAX(FILTER(ROW(H$2:H4478) - ROW(H$2) + 1, P$2:P4478 = P4479)))))"),3.5)</f>
        <v>3.5</v>
      </c>
      <c r="N4479" s="335" t="str">
        <f>IF(MAXIFS('単価履歴'!$O:$O,'単価履歴'!$E:$E,E4479,'単価履歴'!$F:$F,F4479)=O4479,"●","")</f>
        <v/>
      </c>
      <c r="O4479" s="346">
        <v>46093.35003472222</v>
      </c>
      <c r="P4479" s="334" t="str">
        <f t="shared" si="4"/>
        <v>中山鋼業:ナベ新断Ａ</v>
      </c>
    </row>
    <row r="4480" ht="15.75" customHeight="1">
      <c r="A4480" s="335" t="s">
        <v>5627</v>
      </c>
      <c r="B4480" s="336">
        <v>46093.0</v>
      </c>
      <c r="C4480" s="335" t="s">
        <v>6</v>
      </c>
      <c r="D4480" s="335" t="s">
        <v>48</v>
      </c>
      <c r="E4480" s="337" t="str">
        <f t="shared" si="1"/>
        <v>中山鋼業:ナベ</v>
      </c>
      <c r="F4480" s="338" t="s">
        <v>575</v>
      </c>
      <c r="G4480" s="339" t="str">
        <f t="shared" si="2"/>
        <v>中山鋼業:ナベ鋼ダライＡ</v>
      </c>
      <c r="H4480" s="340">
        <f t="shared" si="3"/>
        <v>38.7</v>
      </c>
      <c r="I4480" s="341">
        <v>2.0</v>
      </c>
      <c r="J4480" s="332">
        <f>IFERROR(__xludf.DUMMYFUNCTION("IF(IF(COUNTIF(P$2:P4479, P4480)=0, """", INDEX(H$2:H4479,
MAX(FILTER(ROW(H$2:H4479) - ROW(H$2) + 1, P$2:P4479 = P4480))))=""単価"","""",
IF(COUNTIF(P$2:P4479, P4480)=0, """", INDEX(H$2:H4479,
MAX(FILTER(ROW(H$2:H4479) - ROW(H$2) + 1, P$2:P4479 = P4480)))))"),36.7)</f>
        <v>36.7</v>
      </c>
      <c r="N4480" s="335" t="str">
        <f>IF(MAXIFS('単価履歴'!$O:$O,'単価履歴'!$E:$E,E4480,'単価履歴'!$F:$F,F4480)=O4480,"●","")</f>
        <v/>
      </c>
      <c r="O4480" s="346">
        <v>46093.35003472222</v>
      </c>
      <c r="P4480" s="334" t="str">
        <f t="shared" si="4"/>
        <v>中山鋼業:ナベ鋼ダライＡ</v>
      </c>
    </row>
    <row r="4481" ht="15.75" customHeight="1">
      <c r="A4481" s="335" t="s">
        <v>5628</v>
      </c>
      <c r="B4481" s="336">
        <v>46093.0</v>
      </c>
      <c r="C4481" s="335" t="s">
        <v>34</v>
      </c>
      <c r="D4481" s="335" t="s">
        <v>48</v>
      </c>
      <c r="E4481" s="337" t="str">
        <f t="shared" si="1"/>
        <v>ﾆｭｰｽｺﾝ尼崎:ナベ</v>
      </c>
      <c r="F4481" s="338" t="s">
        <v>130</v>
      </c>
      <c r="G4481" s="339" t="str">
        <f t="shared" si="2"/>
        <v>ﾆｭｰｽｺﾝ尼崎:ナベ新断Ａ</v>
      </c>
      <c r="H4481" s="340">
        <f t="shared" si="3"/>
        <v>53.5</v>
      </c>
      <c r="I4481" s="341">
        <v>2.0</v>
      </c>
      <c r="J4481" s="332">
        <f>IFERROR(__xludf.DUMMYFUNCTION("IF(IF(COUNTIF(P$2:P4480, P4481)=0, """", INDEX(H$2:H4480,
MAX(FILTER(ROW(H$2:H4480) - ROW(H$2) + 1, P$2:P4480 = P4481))))=""単価"","""",
IF(COUNTIF(P$2:P4480, P4481)=0, """", INDEX(H$2:H4480,
MAX(FILTER(ROW(H$2:H4480) - ROW(H$2) + 1, P$2:P4480 = P4481)))))"),51.5)</f>
        <v>51.5</v>
      </c>
      <c r="N4481" s="335" t="str">
        <f>IF(MAXIFS('単価履歴'!$O:$O,'単価履歴'!$E:$E,E4481,'単価履歴'!$F:$F,F4481)=O4481,"●","")</f>
        <v/>
      </c>
      <c r="O4481" s="346">
        <v>46093.35047453704</v>
      </c>
      <c r="P4481" s="334" t="str">
        <f t="shared" si="4"/>
        <v>ﾆｭｰｽｺﾝ尼崎:ナベ新断Ａ</v>
      </c>
    </row>
    <row r="4482" ht="15.75" customHeight="1">
      <c r="A4482" s="335" t="s">
        <v>5629</v>
      </c>
      <c r="B4482" s="336">
        <v>46093.0</v>
      </c>
      <c r="C4482" s="335" t="s">
        <v>7</v>
      </c>
      <c r="D4482" s="335" t="s">
        <v>49</v>
      </c>
      <c r="E4482" s="337" t="str">
        <f t="shared" si="1"/>
        <v>合同大阪:伊藤忠</v>
      </c>
      <c r="F4482" s="338" t="s">
        <v>1199</v>
      </c>
      <c r="G4482" s="339" t="str">
        <f t="shared" si="2"/>
        <v>合同大阪:伊藤忠ＨＳ１(単体H1/電特A/HS))</v>
      </c>
      <c r="H4482" s="340">
        <f t="shared" si="3"/>
        <v>50.8</v>
      </c>
      <c r="I4482" s="341">
        <v>2.0</v>
      </c>
      <c r="J4482" s="332">
        <f>IFERROR(__xludf.DUMMYFUNCTION("IF(IF(COUNTIF(P$2:P4481, P4482)=0, """", INDEX(H$2:H4481,
MAX(FILTER(ROW(H$2:H4481) - ROW(H$2) + 1, P$2:P4481 = P4482))))=""単価"","""",
IF(COUNTIF(P$2:P4481, P4482)=0, """", INDEX(H$2:H4481,
MAX(FILTER(ROW(H$2:H4481) - ROW(H$2) + 1, P$2:P4481 = P4482)))))"),48.8)</f>
        <v>48.8</v>
      </c>
      <c r="N4482" s="335" t="str">
        <f>IF(MAXIFS('単価履歴'!$O:$O,'単価履歴'!$E:$E,E4482,'単価履歴'!$F:$F,F4482)=O4482,"●","")</f>
        <v/>
      </c>
      <c r="O4482" s="346">
        <v>46093.350740740745</v>
      </c>
      <c r="P4482" s="334" t="str">
        <f t="shared" si="4"/>
        <v>合同大阪:伊藤忠ＨＳ１(単体H1/電特A/HS))</v>
      </c>
    </row>
    <row r="4483" ht="15.75" customHeight="1">
      <c r="A4483" s="335" t="s">
        <v>5630</v>
      </c>
      <c r="B4483" s="336">
        <v>46093.0</v>
      </c>
      <c r="C4483" s="335" t="s">
        <v>7</v>
      </c>
      <c r="D4483" s="335" t="s">
        <v>49</v>
      </c>
      <c r="E4483" s="337" t="str">
        <f t="shared" si="1"/>
        <v>合同大阪:伊藤忠</v>
      </c>
      <c r="F4483" s="338" t="s">
        <v>101</v>
      </c>
      <c r="G4483" s="339" t="str">
        <f t="shared" si="2"/>
        <v>合同大阪:伊藤忠ＨＳ２</v>
      </c>
      <c r="H4483" s="340">
        <f t="shared" si="3"/>
        <v>50.3</v>
      </c>
      <c r="I4483" s="341">
        <v>2.0</v>
      </c>
      <c r="J4483" s="332">
        <f>IFERROR(__xludf.DUMMYFUNCTION("IF(IF(COUNTIF(P$2:P4482, P4483)=0, """", INDEX(H$2:H4482,
MAX(FILTER(ROW(H$2:H4482) - ROW(H$2) + 1, P$2:P4482 = P4483))))=""単価"","""",
IF(COUNTIF(P$2:P4482, P4483)=0, """", INDEX(H$2:H4482,
MAX(FILTER(ROW(H$2:H4482) - ROW(H$2) + 1, P$2:P4482 = P4483)))))"),48.3)</f>
        <v>48.3</v>
      </c>
      <c r="N4483" s="335" t="str">
        <f>IF(MAXIFS('単価履歴'!$O:$O,'単価履歴'!$E:$E,E4483,'単価履歴'!$F:$F,F4483)=O4483,"●","")</f>
        <v/>
      </c>
      <c r="O4483" s="346">
        <v>46093.350740740745</v>
      </c>
      <c r="P4483" s="334" t="str">
        <f t="shared" si="4"/>
        <v>合同大阪:伊藤忠ＨＳ２</v>
      </c>
    </row>
    <row r="4484" ht="15.75" customHeight="1">
      <c r="A4484" s="335" t="s">
        <v>5631</v>
      </c>
      <c r="B4484" s="336">
        <v>46093.0</v>
      </c>
      <c r="C4484" s="335" t="s">
        <v>7</v>
      </c>
      <c r="D4484" s="335" t="s">
        <v>49</v>
      </c>
      <c r="E4484" s="337" t="str">
        <f t="shared" si="1"/>
        <v>合同大阪:伊藤忠</v>
      </c>
      <c r="F4484" s="338" t="s">
        <v>111</v>
      </c>
      <c r="G4484" s="339" t="str">
        <f t="shared" si="2"/>
        <v>合同大阪:伊藤忠Ｈ１(特A)</v>
      </c>
      <c r="H4484" s="340">
        <f t="shared" si="3"/>
        <v>51.3</v>
      </c>
      <c r="I4484" s="341">
        <v>2.0</v>
      </c>
      <c r="J4484" s="332">
        <f>IFERROR(__xludf.DUMMYFUNCTION("IF(IF(COUNTIF(P$2:P4483, P4484)=0, """", INDEX(H$2:H4483,
MAX(FILTER(ROW(H$2:H4483) - ROW(H$2) + 1, P$2:P4483 = P4484))))=""単価"","""",
IF(COUNTIF(P$2:P4483, P4484)=0, """", INDEX(H$2:H4483,
MAX(FILTER(ROW(H$2:H4483) - ROW(H$2) + 1, P$2:P4483 = P4484)))))"),49.3)</f>
        <v>49.3</v>
      </c>
      <c r="N4484" s="335" t="str">
        <f>IF(MAXIFS('単価履歴'!$O:$O,'単価履歴'!$E:$E,E4484,'単価履歴'!$F:$F,F4484)=O4484,"●","")</f>
        <v/>
      </c>
      <c r="O4484" s="346">
        <v>46093.350740740745</v>
      </c>
      <c r="P4484" s="334" t="str">
        <f t="shared" si="4"/>
        <v>合同大阪:伊藤忠Ｈ１(特A)</v>
      </c>
    </row>
    <row r="4485" ht="15.75" customHeight="1">
      <c r="A4485" s="335" t="s">
        <v>5632</v>
      </c>
      <c r="B4485" s="336">
        <v>46093.0</v>
      </c>
      <c r="C4485" s="335" t="s">
        <v>7</v>
      </c>
      <c r="D4485" s="335" t="s">
        <v>49</v>
      </c>
      <c r="E4485" s="337" t="str">
        <f t="shared" si="1"/>
        <v>合同大阪:伊藤忠</v>
      </c>
      <c r="F4485" s="338" t="s">
        <v>116</v>
      </c>
      <c r="G4485" s="339" t="str">
        <f t="shared" si="2"/>
        <v>合同大阪:伊藤忠Ｈ２(特級)</v>
      </c>
      <c r="H4485" s="340">
        <f t="shared" si="3"/>
        <v>49.3</v>
      </c>
      <c r="I4485" s="341">
        <v>2.0</v>
      </c>
      <c r="J4485" s="332">
        <f>IFERROR(__xludf.DUMMYFUNCTION("IF(IF(COUNTIF(P$2:P4484, P4485)=0, """", INDEX(H$2:H4484,
MAX(FILTER(ROW(H$2:H4484) - ROW(H$2) + 1, P$2:P4484 = P4485))))=""単価"","""",
IF(COUNTIF(P$2:P4484, P4485)=0, """", INDEX(H$2:H4484,
MAX(FILTER(ROW(H$2:H4484) - ROW(H$2) + 1, P$2:P4484 = P4485)))))"),47.3)</f>
        <v>47.3</v>
      </c>
      <c r="N4485" s="335" t="str">
        <f>IF(MAXIFS('単価履歴'!$O:$O,'単価履歴'!$E:$E,E4485,'単価履歴'!$F:$F,F4485)=O4485,"●","")</f>
        <v/>
      </c>
      <c r="O4485" s="346">
        <v>46093.350740740745</v>
      </c>
      <c r="P4485" s="334" t="str">
        <f t="shared" si="4"/>
        <v>合同大阪:伊藤忠Ｈ２(特級)</v>
      </c>
    </row>
    <row r="4486" ht="15.75" customHeight="1">
      <c r="A4486" s="335" t="s">
        <v>5633</v>
      </c>
      <c r="B4486" s="336">
        <v>46093.0</v>
      </c>
      <c r="C4486" s="335" t="s">
        <v>7</v>
      </c>
      <c r="D4486" s="335" t="s">
        <v>49</v>
      </c>
      <c r="E4486" s="337" t="str">
        <f t="shared" si="1"/>
        <v>合同大阪:伊藤忠</v>
      </c>
      <c r="F4486" s="338" t="s">
        <v>119</v>
      </c>
      <c r="G4486" s="339" t="str">
        <f t="shared" si="2"/>
        <v>合同大阪:伊藤忠Ｈ３(1級)</v>
      </c>
      <c r="H4486" s="340">
        <f t="shared" si="3"/>
        <v>48.8</v>
      </c>
      <c r="I4486" s="341">
        <v>2.0</v>
      </c>
      <c r="J4486" s="332">
        <f>IFERROR(__xludf.DUMMYFUNCTION("IF(IF(COUNTIF(P$2:P4485, P4486)=0, """", INDEX(H$2:H4485,
MAX(FILTER(ROW(H$2:H4485) - ROW(H$2) + 1, P$2:P4485 = P4486))))=""単価"","""",
IF(COUNTIF(P$2:P4485, P4486)=0, """", INDEX(H$2:H4485,
MAX(FILTER(ROW(H$2:H4485) - ROW(H$2) + 1, P$2:P4485 = P4486)))))"),46.8)</f>
        <v>46.8</v>
      </c>
      <c r="N4486" s="335" t="str">
        <f>IF(MAXIFS('単価履歴'!$O:$O,'単価履歴'!$E:$E,E4486,'単価履歴'!$F:$F,F4486)=O4486,"●","")</f>
        <v/>
      </c>
      <c r="O4486" s="346">
        <v>46093.350740740745</v>
      </c>
      <c r="P4486" s="334" t="str">
        <f t="shared" si="4"/>
        <v>合同大阪:伊藤忠Ｈ３(1級)</v>
      </c>
    </row>
    <row r="4487" ht="15.75" customHeight="1">
      <c r="A4487" s="335" t="s">
        <v>5634</v>
      </c>
      <c r="B4487" s="336">
        <v>46093.0</v>
      </c>
      <c r="C4487" s="335" t="s">
        <v>7</v>
      </c>
      <c r="D4487" s="335" t="s">
        <v>49</v>
      </c>
      <c r="E4487" s="337" t="str">
        <f t="shared" si="1"/>
        <v>合同大阪:伊藤忠</v>
      </c>
      <c r="F4487" s="338" t="s">
        <v>122</v>
      </c>
      <c r="G4487" s="339" t="str">
        <f t="shared" si="2"/>
        <v>合同大阪:伊藤忠Ｌ１(2級)</v>
      </c>
      <c r="H4487" s="340">
        <f t="shared" si="3"/>
        <v>47.8</v>
      </c>
      <c r="I4487" s="341">
        <v>2.0</v>
      </c>
      <c r="J4487" s="332">
        <f>IFERROR(__xludf.DUMMYFUNCTION("IF(IF(COUNTIF(P$2:P4486, P4487)=0, """", INDEX(H$2:H4486,
MAX(FILTER(ROW(H$2:H4486) - ROW(H$2) + 1, P$2:P4486 = P4487))))=""単価"","""",
IF(COUNTIF(P$2:P4486, P4487)=0, """", INDEX(H$2:H4486,
MAX(FILTER(ROW(H$2:H4486) - ROW(H$2) + 1, P$2:P4486 = P4487)))))"),45.8)</f>
        <v>45.8</v>
      </c>
      <c r="N4487" s="335" t="str">
        <f>IF(MAXIFS('単価履歴'!$O:$O,'単価履歴'!$E:$E,E4487,'単価履歴'!$F:$F,F4487)=O4487,"●","")</f>
        <v/>
      </c>
      <c r="O4487" s="346">
        <v>46093.350740740745</v>
      </c>
      <c r="P4487" s="334" t="str">
        <f t="shared" si="4"/>
        <v>合同大阪:伊藤忠Ｌ１(2級)</v>
      </c>
    </row>
    <row r="4488" ht="15.75" customHeight="1">
      <c r="A4488" s="335" t="s">
        <v>5635</v>
      </c>
      <c r="B4488" s="336">
        <v>46093.0</v>
      </c>
      <c r="C4488" s="335" t="s">
        <v>7</v>
      </c>
      <c r="D4488" s="335" t="s">
        <v>49</v>
      </c>
      <c r="E4488" s="337" t="str">
        <f t="shared" si="1"/>
        <v>合同大阪:伊藤忠</v>
      </c>
      <c r="F4488" s="338" t="s">
        <v>130</v>
      </c>
      <c r="G4488" s="339" t="str">
        <f t="shared" si="2"/>
        <v>合同大阪:伊藤忠新断Ａ</v>
      </c>
      <c r="H4488" s="340">
        <f t="shared" si="3"/>
        <v>53.3</v>
      </c>
      <c r="I4488" s="341">
        <v>2.0</v>
      </c>
      <c r="J4488" s="332">
        <f>IFERROR(__xludf.DUMMYFUNCTION("IF(IF(COUNTIF(P$2:P4487, P4488)=0, """", INDEX(H$2:H4487,
MAX(FILTER(ROW(H$2:H4487) - ROW(H$2) + 1, P$2:P4487 = P4488))))=""単価"","""",
IF(COUNTIF(P$2:P4487, P4488)=0, """", INDEX(H$2:H4487,
MAX(FILTER(ROW(H$2:H4487) - ROW(H$2) + 1, P$2:P4487 = P4488)))))"),51.3)</f>
        <v>51.3</v>
      </c>
      <c r="N4488" s="335" t="str">
        <f>IF(MAXIFS('単価履歴'!$O:$O,'単価履歴'!$E:$E,E4488,'単価履歴'!$F:$F,F4488)=O4488,"●","")</f>
        <v/>
      </c>
      <c r="O4488" s="346">
        <v>46093.350740740745</v>
      </c>
      <c r="P4488" s="334" t="str">
        <f t="shared" si="4"/>
        <v>合同大阪:伊藤忠新断Ａ</v>
      </c>
    </row>
    <row r="4489" ht="15.75" customHeight="1">
      <c r="A4489" s="335" t="s">
        <v>5636</v>
      </c>
      <c r="B4489" s="336">
        <v>46093.0</v>
      </c>
      <c r="C4489" s="335" t="s">
        <v>7</v>
      </c>
      <c r="D4489" s="335" t="s">
        <v>49</v>
      </c>
      <c r="E4489" s="337" t="str">
        <f t="shared" si="1"/>
        <v>合同大阪:伊藤忠</v>
      </c>
      <c r="F4489" s="338" t="s">
        <v>131</v>
      </c>
      <c r="G4489" s="339" t="str">
        <f t="shared" si="2"/>
        <v>合同大阪:伊藤忠新断Ｂ</v>
      </c>
      <c r="H4489" s="340">
        <f t="shared" si="3"/>
        <v>52.8</v>
      </c>
      <c r="I4489" s="341">
        <v>2.0</v>
      </c>
      <c r="J4489" s="332">
        <f>IFERROR(__xludf.DUMMYFUNCTION("IF(IF(COUNTIF(P$2:P4488, P4489)=0, """", INDEX(H$2:H4488,
MAX(FILTER(ROW(H$2:H4488) - ROW(H$2) + 1, P$2:P4488 = P4489))))=""単価"","""",
IF(COUNTIF(P$2:P4488, P4489)=0, """", INDEX(H$2:H4488,
MAX(FILTER(ROW(H$2:H4488) - ROW(H$2) + 1, P$2:P4488 = P4489)))))"),50.8)</f>
        <v>50.8</v>
      </c>
      <c r="N4489" s="335" t="str">
        <f>IF(MAXIFS('単価履歴'!$O:$O,'単価履歴'!$E:$E,E4489,'単価履歴'!$F:$F,F4489)=O4489,"●","")</f>
        <v/>
      </c>
      <c r="O4489" s="346">
        <v>46093.350740740745</v>
      </c>
      <c r="P4489" s="334" t="str">
        <f t="shared" si="4"/>
        <v>合同大阪:伊藤忠新断Ｂ</v>
      </c>
    </row>
    <row r="4490" ht="15.75" customHeight="1">
      <c r="A4490" s="335" t="s">
        <v>5637</v>
      </c>
      <c r="B4490" s="336">
        <v>46093.0</v>
      </c>
      <c r="C4490" s="335" t="s">
        <v>7</v>
      </c>
      <c r="D4490" s="335" t="s">
        <v>49</v>
      </c>
      <c r="E4490" s="337" t="str">
        <f t="shared" si="1"/>
        <v>合同大阪:伊藤忠</v>
      </c>
      <c r="F4490" s="338" t="s">
        <v>575</v>
      </c>
      <c r="G4490" s="339" t="str">
        <f t="shared" si="2"/>
        <v>合同大阪:伊藤忠鋼ダライＡ</v>
      </c>
      <c r="H4490" s="340">
        <f t="shared" si="3"/>
        <v>39.3</v>
      </c>
      <c r="I4490" s="341">
        <v>2.0</v>
      </c>
      <c r="J4490" s="332">
        <f>IFERROR(__xludf.DUMMYFUNCTION("IF(IF(COUNTIF(P$2:P4489, P4490)=0, """", INDEX(H$2:H4489,
MAX(FILTER(ROW(H$2:H4489) - ROW(H$2) + 1, P$2:P4489 = P4490))))=""単価"","""",
IF(COUNTIF(P$2:P4489, P4490)=0, """", INDEX(H$2:H4489,
MAX(FILTER(ROW(H$2:H4489) - ROW(H$2) + 1, P$2:P4489 = P4490)))))"),37.3)</f>
        <v>37.3</v>
      </c>
      <c r="N4490" s="335" t="str">
        <f>IF(MAXIFS('単価履歴'!$O:$O,'単価履歴'!$E:$E,E4490,'単価履歴'!$F:$F,F4490)=O4490,"●","")</f>
        <v/>
      </c>
      <c r="O4490" s="346">
        <v>46093.350740740745</v>
      </c>
      <c r="P4490" s="334" t="str">
        <f t="shared" si="4"/>
        <v>合同大阪:伊藤忠鋼ダライＡ</v>
      </c>
    </row>
    <row r="4491" ht="15.75" customHeight="1">
      <c r="A4491" s="335" t="s">
        <v>5638</v>
      </c>
      <c r="B4491" s="336">
        <v>46093.0</v>
      </c>
      <c r="C4491" s="335" t="s">
        <v>7</v>
      </c>
      <c r="D4491" s="335" t="s">
        <v>49</v>
      </c>
      <c r="E4491" s="337" t="str">
        <f t="shared" si="1"/>
        <v>合同大阪:伊藤忠</v>
      </c>
      <c r="F4491" s="338" t="s">
        <v>576</v>
      </c>
      <c r="G4491" s="339" t="str">
        <f t="shared" si="2"/>
        <v>合同大阪:伊藤忠鋼ダライＢ</v>
      </c>
      <c r="H4491" s="340">
        <f t="shared" si="3"/>
        <v>38.8</v>
      </c>
      <c r="I4491" s="341">
        <v>2.0</v>
      </c>
      <c r="J4491" s="332">
        <f>IFERROR(__xludf.DUMMYFUNCTION("IF(IF(COUNTIF(P$2:P4490, P4491)=0, """", INDEX(H$2:H4490,
MAX(FILTER(ROW(H$2:H4490) - ROW(H$2) + 1, P$2:P4490 = P4491))))=""単価"","""",
IF(COUNTIF(P$2:P4490, P4491)=0, """", INDEX(H$2:H4490,
MAX(FILTER(ROW(H$2:H4490) - ROW(H$2) + 1, P$2:P4490 = P4491)))))"),36.8)</f>
        <v>36.8</v>
      </c>
      <c r="N4491" s="335" t="str">
        <f>IF(MAXIFS('単価履歴'!$O:$O,'単価履歴'!$E:$E,E4491,'単価履歴'!$F:$F,F4491)=O4491,"●","")</f>
        <v/>
      </c>
      <c r="O4491" s="346">
        <v>46093.350740740745</v>
      </c>
      <c r="P4491" s="334" t="str">
        <f t="shared" si="4"/>
        <v>合同大阪:伊藤忠鋼ダライＢ</v>
      </c>
    </row>
    <row r="4492" ht="15.75" customHeight="1">
      <c r="A4492" s="335" t="s">
        <v>5639</v>
      </c>
      <c r="B4492" s="336">
        <v>46093.0</v>
      </c>
      <c r="C4492" s="335" t="s">
        <v>9</v>
      </c>
      <c r="D4492" s="335" t="s">
        <v>51</v>
      </c>
      <c r="E4492" s="337" t="str">
        <f t="shared" si="1"/>
        <v>大鉄　堺:大鉄堺</v>
      </c>
      <c r="F4492" s="338" t="s">
        <v>111</v>
      </c>
      <c r="G4492" s="339" t="str">
        <f t="shared" si="2"/>
        <v>大鉄　堺:大鉄堺Ｈ１(特A)</v>
      </c>
      <c r="H4492" s="340">
        <f t="shared" si="3"/>
        <v>49.5</v>
      </c>
      <c r="I4492" s="341">
        <v>2.0</v>
      </c>
      <c r="J4492" s="332">
        <f>IFERROR(__xludf.DUMMYFUNCTION("IF(IF(COUNTIF(P$2:P4491, P4492)=0, """", INDEX(H$2:H4491,
MAX(FILTER(ROW(H$2:H4491) - ROW(H$2) + 1, P$2:P4491 = P4492))))=""単価"","""",
IF(COUNTIF(P$2:P4491, P4492)=0, """", INDEX(H$2:H4491,
MAX(FILTER(ROW(H$2:H4491) - ROW(H$2) + 1, P$2:P4491 = P4492)))))"),47.5)</f>
        <v>47.5</v>
      </c>
      <c r="N4492" s="335" t="str">
        <f>IF(MAXIFS('単価履歴'!$O:$O,'単価履歴'!$E:$E,E4492,'単価履歴'!$F:$F,F4492)=O4492,"●","")</f>
        <v/>
      </c>
      <c r="O4492" s="346">
        <v>46093.35116898148</v>
      </c>
      <c r="P4492" s="334" t="str">
        <f t="shared" si="4"/>
        <v>大鉄　堺:大鉄堺Ｈ１(特A)</v>
      </c>
    </row>
    <row r="4493" ht="15.75" customHeight="1">
      <c r="A4493" s="335" t="s">
        <v>5640</v>
      </c>
      <c r="B4493" s="336">
        <v>46093.0</v>
      </c>
      <c r="C4493" s="335" t="s">
        <v>9</v>
      </c>
      <c r="D4493" s="335" t="s">
        <v>51</v>
      </c>
      <c r="E4493" s="337" t="str">
        <f t="shared" si="1"/>
        <v>大鉄　堺:大鉄堺</v>
      </c>
      <c r="F4493" s="338" t="s">
        <v>116</v>
      </c>
      <c r="G4493" s="339" t="str">
        <f t="shared" si="2"/>
        <v>大鉄　堺:大鉄堺Ｈ２(特級)</v>
      </c>
      <c r="H4493" s="340">
        <f t="shared" si="3"/>
        <v>46.5</v>
      </c>
      <c r="I4493" s="341">
        <v>2.0</v>
      </c>
      <c r="J4493" s="332">
        <f>IFERROR(__xludf.DUMMYFUNCTION("IF(IF(COUNTIF(P$2:P4492, P4493)=0, """", INDEX(H$2:H4492,
MAX(FILTER(ROW(H$2:H4492) - ROW(H$2) + 1, P$2:P4492 = P4493))))=""単価"","""",
IF(COUNTIF(P$2:P4492, P4493)=0, """", INDEX(H$2:H4492,
MAX(FILTER(ROW(H$2:H4492) - ROW(H$2) + 1, P$2:P4492 = P4493)))))"),44.5)</f>
        <v>44.5</v>
      </c>
      <c r="N4493" s="335" t="str">
        <f>IF(MAXIFS('単価履歴'!$O:$O,'単価履歴'!$E:$E,E4493,'単価履歴'!$F:$F,F4493)=O4493,"●","")</f>
        <v/>
      </c>
      <c r="O4493" s="346">
        <v>46093.35116898148</v>
      </c>
      <c r="P4493" s="334" t="str">
        <f t="shared" si="4"/>
        <v>大鉄　堺:大鉄堺Ｈ２(特級)</v>
      </c>
    </row>
    <row r="4494" ht="15.75" customHeight="1">
      <c r="A4494" s="335" t="s">
        <v>5641</v>
      </c>
      <c r="B4494" s="336">
        <v>46093.0</v>
      </c>
      <c r="C4494" s="335" t="s">
        <v>9</v>
      </c>
      <c r="D4494" s="335" t="s">
        <v>51</v>
      </c>
      <c r="E4494" s="337" t="str">
        <f t="shared" si="1"/>
        <v>大鉄　堺:大鉄堺</v>
      </c>
      <c r="F4494" s="338" t="s">
        <v>1237</v>
      </c>
      <c r="G4494" s="339" t="str">
        <f t="shared" si="2"/>
        <v>大鉄　堺:大鉄堺ＪＨ１(H2T山口)鍛造ﾊﾞﾘ</v>
      </c>
      <c r="H4494" s="340">
        <f t="shared" si="3"/>
        <v>48.5</v>
      </c>
      <c r="I4494" s="341">
        <v>2.0</v>
      </c>
      <c r="J4494" s="332">
        <f>IFERROR(__xludf.DUMMYFUNCTION("IF(IF(COUNTIF(P$2:P4493, P4494)=0, """", INDEX(H$2:H4493,
MAX(FILTER(ROW(H$2:H4493) - ROW(H$2) + 1, P$2:P4493 = P4494))))=""単価"","""",
IF(COUNTIF(P$2:P4493, P4494)=0, """", INDEX(H$2:H4493,
MAX(FILTER(ROW(H$2:H4493) - ROW(H$2) + 1, P$2:P4493 = P4494)))))"),46.5)</f>
        <v>46.5</v>
      </c>
      <c r="N4494" s="335" t="str">
        <f>IF(MAXIFS('単価履歴'!$O:$O,'単価履歴'!$E:$E,E4494,'単価履歴'!$F:$F,F4494)=O4494,"●","")</f>
        <v/>
      </c>
      <c r="O4494" s="346">
        <v>46093.35116898148</v>
      </c>
      <c r="P4494" s="334" t="str">
        <f t="shared" si="4"/>
        <v>大鉄　堺:大鉄堺ＪＨ１(H2T山口)鍛造ﾊﾞﾘ</v>
      </c>
    </row>
    <row r="4495" ht="15.75" customHeight="1">
      <c r="A4495" s="335" t="s">
        <v>5642</v>
      </c>
      <c r="B4495" s="336">
        <v>46093.0</v>
      </c>
      <c r="C4495" s="335" t="s">
        <v>9</v>
      </c>
      <c r="D4495" s="335" t="s">
        <v>51</v>
      </c>
      <c r="E4495" s="337" t="str">
        <f t="shared" si="1"/>
        <v>大鉄　堺:大鉄堺</v>
      </c>
      <c r="F4495" s="338" t="s">
        <v>119</v>
      </c>
      <c r="G4495" s="339" t="str">
        <f t="shared" si="2"/>
        <v>大鉄　堺:大鉄堺Ｈ３(1級)</v>
      </c>
      <c r="H4495" s="340">
        <f t="shared" si="3"/>
        <v>46</v>
      </c>
      <c r="I4495" s="341">
        <v>2.0</v>
      </c>
      <c r="J4495" s="332">
        <f>IFERROR(__xludf.DUMMYFUNCTION("IF(IF(COUNTIF(P$2:P4494, P4495)=0, """", INDEX(H$2:H4494,
MAX(FILTER(ROW(H$2:H4494) - ROW(H$2) + 1, P$2:P4494 = P4495))))=""単価"","""",
IF(COUNTIF(P$2:P4494, P4495)=0, """", INDEX(H$2:H4494,
MAX(FILTER(ROW(H$2:H4494) - ROW(H$2) + 1, P$2:P4494 = P4495)))))"),44.0)</f>
        <v>44</v>
      </c>
      <c r="N4495" s="335" t="str">
        <f>IF(MAXIFS('単価履歴'!$O:$O,'単価履歴'!$E:$E,E4495,'単価履歴'!$F:$F,F4495)=O4495,"●","")</f>
        <v/>
      </c>
      <c r="O4495" s="346">
        <v>46093.35116898148</v>
      </c>
      <c r="P4495" s="334" t="str">
        <f t="shared" si="4"/>
        <v>大鉄　堺:大鉄堺Ｈ３(1級)</v>
      </c>
    </row>
    <row r="4496" ht="15.75" customHeight="1">
      <c r="A4496" s="335" t="s">
        <v>5643</v>
      </c>
      <c r="B4496" s="336">
        <v>46093.0</v>
      </c>
      <c r="C4496" s="335" t="s">
        <v>9</v>
      </c>
      <c r="D4496" s="335" t="s">
        <v>51</v>
      </c>
      <c r="E4496" s="337" t="str">
        <f t="shared" si="1"/>
        <v>大鉄　堺:大鉄堺</v>
      </c>
      <c r="F4496" s="338" t="s">
        <v>122</v>
      </c>
      <c r="G4496" s="339" t="str">
        <f t="shared" si="2"/>
        <v>大鉄　堺:大鉄堺Ｌ１(2級)</v>
      </c>
      <c r="H4496" s="340">
        <f t="shared" si="3"/>
        <v>45.5</v>
      </c>
      <c r="I4496" s="341">
        <v>2.0</v>
      </c>
      <c r="J4496" s="332">
        <f>IFERROR(__xludf.DUMMYFUNCTION("IF(IF(COUNTIF(P$2:P4495, P4496)=0, """", INDEX(H$2:H4495,
MAX(FILTER(ROW(H$2:H4495) - ROW(H$2) + 1, P$2:P4495 = P4496))))=""単価"","""",
IF(COUNTIF(P$2:P4495, P4496)=0, """", INDEX(H$2:H4495,
MAX(FILTER(ROW(H$2:H4495) - ROW(H$2) + 1, P$2:P4495 = P4496)))))"),43.5)</f>
        <v>43.5</v>
      </c>
      <c r="N4496" s="335" t="str">
        <f>IF(MAXIFS('単価履歴'!$O:$O,'単価履歴'!$E:$E,E4496,'単価履歴'!$F:$F,F4496)=O4496,"●","")</f>
        <v/>
      </c>
      <c r="O4496" s="346">
        <v>46093.35116898148</v>
      </c>
      <c r="P4496" s="334" t="str">
        <f t="shared" si="4"/>
        <v>大鉄　堺:大鉄堺Ｌ１(2級)</v>
      </c>
    </row>
    <row r="4497" ht="15.75" customHeight="1">
      <c r="A4497" s="335" t="s">
        <v>5644</v>
      </c>
      <c r="B4497" s="336">
        <v>46093.0</v>
      </c>
      <c r="C4497" s="335" t="s">
        <v>9</v>
      </c>
      <c r="D4497" s="335" t="s">
        <v>51</v>
      </c>
      <c r="E4497" s="337" t="str">
        <f t="shared" si="1"/>
        <v>大鉄　堺:大鉄堺</v>
      </c>
      <c r="F4497" s="338" t="s">
        <v>130</v>
      </c>
      <c r="G4497" s="339" t="str">
        <f t="shared" si="2"/>
        <v>大鉄　堺:大鉄堺新断Ａ</v>
      </c>
      <c r="H4497" s="340">
        <f t="shared" si="3"/>
        <v>33</v>
      </c>
      <c r="I4497" s="341">
        <v>2.0</v>
      </c>
      <c r="J4497" s="332">
        <f>IFERROR(__xludf.DUMMYFUNCTION("IF(IF(COUNTIF(P$2:P4496, P4497)=0, """", INDEX(H$2:H4496,
MAX(FILTER(ROW(H$2:H4496) - ROW(H$2) + 1, P$2:P4496 = P4497))))=""単価"","""",
IF(COUNTIF(P$2:P4496, P4497)=0, """", INDEX(H$2:H4496,
MAX(FILTER(ROW(H$2:H4496) - ROW(H$2) + 1, P$2:P4496 = P4497)))))"),31.0)</f>
        <v>31</v>
      </c>
      <c r="N4497" s="335" t="str">
        <f>IF(MAXIFS('単価履歴'!$O:$O,'単価履歴'!$E:$E,E4497,'単価履歴'!$F:$F,F4497)=O4497,"●","")</f>
        <v/>
      </c>
      <c r="O4497" s="346">
        <v>46093.35116898148</v>
      </c>
      <c r="P4497" s="334" t="str">
        <f t="shared" si="4"/>
        <v>大鉄　堺:大鉄堺新断Ａ</v>
      </c>
    </row>
    <row r="4498" ht="15.75" customHeight="1">
      <c r="A4498" s="335" t="s">
        <v>5645</v>
      </c>
      <c r="B4498" s="336">
        <v>46093.0</v>
      </c>
      <c r="C4498" s="335" t="s">
        <v>9</v>
      </c>
      <c r="D4498" s="335" t="s">
        <v>51</v>
      </c>
      <c r="E4498" s="337" t="str">
        <f t="shared" si="1"/>
        <v>大鉄　堺:大鉄堺</v>
      </c>
      <c r="F4498" s="338" t="s">
        <v>131</v>
      </c>
      <c r="G4498" s="339" t="str">
        <f t="shared" si="2"/>
        <v>大鉄　堺:大鉄堺新断Ｂ</v>
      </c>
      <c r="H4498" s="340">
        <f t="shared" si="3"/>
        <v>32.5</v>
      </c>
      <c r="I4498" s="341">
        <v>2.0</v>
      </c>
      <c r="J4498" s="332">
        <f>IFERROR(__xludf.DUMMYFUNCTION("IF(IF(COUNTIF(P$2:P4497, P4498)=0, """", INDEX(H$2:H4497,
MAX(FILTER(ROW(H$2:H4497) - ROW(H$2) + 1, P$2:P4497 = P4498))))=""単価"","""",
IF(COUNTIF(P$2:P4497, P4498)=0, """", INDEX(H$2:H4497,
MAX(FILTER(ROW(H$2:H4497) - ROW(H$2) + 1, P$2:P4497 = P4498)))))"),30.5)</f>
        <v>30.5</v>
      </c>
      <c r="N4498" s="335" t="str">
        <f>IF(MAXIFS('単価履歴'!$O:$O,'単価履歴'!$E:$E,E4498,'単価履歴'!$F:$F,F4498)=O4498,"●","")</f>
        <v/>
      </c>
      <c r="O4498" s="346">
        <v>46093.35116898148</v>
      </c>
      <c r="P4498" s="334" t="str">
        <f t="shared" si="4"/>
        <v>大鉄　堺:大鉄堺新断Ｂ</v>
      </c>
    </row>
    <row r="4499" ht="15.75" customHeight="1">
      <c r="A4499" s="335" t="s">
        <v>5646</v>
      </c>
      <c r="B4499" s="336">
        <v>46093.0</v>
      </c>
      <c r="C4499" s="335" t="s">
        <v>9</v>
      </c>
      <c r="D4499" s="335" t="s">
        <v>51</v>
      </c>
      <c r="E4499" s="337" t="str">
        <f t="shared" si="1"/>
        <v>大鉄　堺:大鉄堺</v>
      </c>
      <c r="F4499" s="338" t="s">
        <v>575</v>
      </c>
      <c r="G4499" s="339" t="str">
        <f t="shared" si="2"/>
        <v>大鉄　堺:大鉄堺鋼ダライＡ</v>
      </c>
      <c r="H4499" s="340">
        <f t="shared" si="3"/>
        <v>32.5</v>
      </c>
      <c r="I4499" s="341">
        <v>2.0</v>
      </c>
      <c r="J4499" s="332">
        <f>IFERROR(__xludf.DUMMYFUNCTION("IF(IF(COUNTIF(P$2:P4498, P4499)=0, """", INDEX(H$2:H4498,
MAX(FILTER(ROW(H$2:H4498) - ROW(H$2) + 1, P$2:P4498 = P4499))))=""単価"","""",
IF(COUNTIF(P$2:P4498, P4499)=0, """", INDEX(H$2:H4498,
MAX(FILTER(ROW(H$2:H4498) - ROW(H$2) + 1, P$2:P4498 = P4499)))))"),30.5)</f>
        <v>30.5</v>
      </c>
      <c r="N4499" s="335" t="str">
        <f>IF(MAXIFS('単価履歴'!$O:$O,'単価履歴'!$E:$E,E4499,'単価履歴'!$F:$F,F4499)=O4499,"●","")</f>
        <v/>
      </c>
      <c r="O4499" s="346">
        <v>46093.35116898148</v>
      </c>
      <c r="P4499" s="334" t="str">
        <f t="shared" si="4"/>
        <v>大鉄　堺:大鉄堺鋼ダライＡ</v>
      </c>
    </row>
    <row r="4500" ht="15.75" customHeight="1">
      <c r="A4500" s="335" t="s">
        <v>5647</v>
      </c>
      <c r="B4500" s="336">
        <v>46093.0</v>
      </c>
      <c r="C4500" s="335" t="s">
        <v>9</v>
      </c>
      <c r="D4500" s="335" t="s">
        <v>51</v>
      </c>
      <c r="E4500" s="337" t="str">
        <f t="shared" si="1"/>
        <v>大鉄　堺:大鉄堺</v>
      </c>
      <c r="F4500" s="338" t="s">
        <v>576</v>
      </c>
      <c r="G4500" s="339" t="str">
        <f t="shared" si="2"/>
        <v>大鉄　堺:大鉄堺鋼ダライＢ</v>
      </c>
      <c r="H4500" s="340">
        <f t="shared" si="3"/>
        <v>32.5</v>
      </c>
      <c r="I4500" s="341">
        <v>2.0</v>
      </c>
      <c r="J4500" s="332">
        <f>IFERROR(__xludf.DUMMYFUNCTION("IF(IF(COUNTIF(P$2:P4499, P4500)=0, """", INDEX(H$2:H4499,
MAX(FILTER(ROW(H$2:H4499) - ROW(H$2) + 1, P$2:P4499 = P4500))))=""単価"","""",
IF(COUNTIF(P$2:P4499, P4500)=0, """", INDEX(H$2:H4499,
MAX(FILTER(ROW(H$2:H4499) - ROW(H$2) + 1, P$2:P4499 = P4500)))))"),30.5)</f>
        <v>30.5</v>
      </c>
      <c r="N4500" s="335" t="str">
        <f>IF(MAXIFS('単価履歴'!$O:$O,'単価履歴'!$E:$E,E4500,'単価履歴'!$F:$F,F4500)=O4500,"●","")</f>
        <v/>
      </c>
      <c r="O4500" s="346">
        <v>46093.35116898148</v>
      </c>
      <c r="P4500" s="334" t="str">
        <f t="shared" si="4"/>
        <v>大鉄　堺:大鉄堺鋼ダライＢ</v>
      </c>
    </row>
    <row r="4501" ht="15.75" customHeight="1">
      <c r="A4501" s="335" t="s">
        <v>5648</v>
      </c>
      <c r="B4501" s="336">
        <v>46093.0</v>
      </c>
      <c r="C4501" s="335" t="s">
        <v>9</v>
      </c>
      <c r="D4501" s="335" t="s">
        <v>51</v>
      </c>
      <c r="E4501" s="337" t="str">
        <f t="shared" si="1"/>
        <v>大鉄　堺:大鉄堺</v>
      </c>
      <c r="F4501" s="338" t="s">
        <v>145</v>
      </c>
      <c r="G4501" s="339" t="str">
        <f t="shared" si="2"/>
        <v>大鉄　堺:大鉄堺シュレＡ</v>
      </c>
      <c r="H4501" s="340">
        <f t="shared" si="3"/>
        <v>35.5</v>
      </c>
      <c r="I4501" s="341">
        <v>2.0</v>
      </c>
      <c r="J4501" s="332">
        <f>IFERROR(__xludf.DUMMYFUNCTION("IF(IF(COUNTIF(P$2:P4500, P4501)=0, """", INDEX(H$2:H4500,
MAX(FILTER(ROW(H$2:H4500) - ROW(H$2) + 1, P$2:P4500 = P4501))))=""単価"","""",
IF(COUNTIF(P$2:P4500, P4501)=0, """", INDEX(H$2:H4500,
MAX(FILTER(ROW(H$2:H4500) - ROW(H$2) + 1, P$2:P4500 = P4501)))))"),33.5)</f>
        <v>33.5</v>
      </c>
      <c r="N4501" s="335" t="str">
        <f>IF(MAXIFS('単価履歴'!$O:$O,'単価履歴'!$E:$E,E4501,'単価履歴'!$F:$F,F4501)=O4501,"●","")</f>
        <v/>
      </c>
      <c r="O4501" s="346">
        <v>46093.35116898148</v>
      </c>
      <c r="P4501" s="334" t="str">
        <f t="shared" si="4"/>
        <v>大鉄　堺:大鉄堺シュレＡ</v>
      </c>
    </row>
    <row r="4502" ht="15.75" customHeight="1">
      <c r="A4502" s="335" t="s">
        <v>5649</v>
      </c>
      <c r="B4502" s="336">
        <v>46093.0</v>
      </c>
      <c r="C4502" s="335" t="s">
        <v>9</v>
      </c>
      <c r="D4502" s="335" t="s">
        <v>51</v>
      </c>
      <c r="E4502" s="337" t="str">
        <f t="shared" si="1"/>
        <v>大鉄　堺:大鉄堺</v>
      </c>
      <c r="F4502" s="338" t="s">
        <v>149</v>
      </c>
      <c r="G4502" s="339" t="str">
        <f t="shared" si="2"/>
        <v>大鉄　堺:大鉄堺シュレＢ</v>
      </c>
      <c r="H4502" s="340">
        <f t="shared" si="3"/>
        <v>34.8</v>
      </c>
      <c r="I4502" s="341">
        <v>2.0</v>
      </c>
      <c r="J4502" s="332">
        <f>IFERROR(__xludf.DUMMYFUNCTION("IF(IF(COUNTIF(P$2:P4501, P4502)=0, """", INDEX(H$2:H4501,
MAX(FILTER(ROW(H$2:H4501) - ROW(H$2) + 1, P$2:P4501 = P4502))))=""単価"","""",
IF(COUNTIF(P$2:P4501, P4502)=0, """", INDEX(H$2:H4501,
MAX(FILTER(ROW(H$2:H4501) - ROW(H$2) + 1, P$2:P4501 = P4502)))))"),32.8)</f>
        <v>32.8</v>
      </c>
      <c r="N4502" s="335" t="str">
        <f>IF(MAXIFS('単価履歴'!$O:$O,'単価履歴'!$E:$E,E4502,'単価履歴'!$F:$F,F4502)=O4502,"●","")</f>
        <v/>
      </c>
      <c r="O4502" s="346">
        <v>46093.35116898148</v>
      </c>
      <c r="P4502" s="334" t="str">
        <f t="shared" si="4"/>
        <v>大鉄　堺:大鉄堺シュレＢ</v>
      </c>
    </row>
    <row r="4503" ht="15.75" customHeight="1">
      <c r="A4503" s="335" t="s">
        <v>5650</v>
      </c>
      <c r="B4503" s="336">
        <v>46093.0</v>
      </c>
      <c r="C4503" s="335" t="s">
        <v>9</v>
      </c>
      <c r="D4503" s="335" t="s">
        <v>51</v>
      </c>
      <c r="E4503" s="337" t="str">
        <f t="shared" si="1"/>
        <v>大鉄　堺:大鉄堺</v>
      </c>
      <c r="F4503" s="338" t="s">
        <v>151</v>
      </c>
      <c r="G4503" s="339" t="str">
        <f t="shared" si="2"/>
        <v>大鉄　堺:大鉄堺シュレＣ</v>
      </c>
      <c r="H4503" s="340">
        <f t="shared" si="3"/>
        <v>33.4</v>
      </c>
      <c r="I4503" s="341">
        <v>2.0</v>
      </c>
      <c r="J4503" s="332">
        <f>IFERROR(__xludf.DUMMYFUNCTION("IF(IF(COUNTIF(P$2:P4502, P4503)=0, """", INDEX(H$2:H4502,
MAX(FILTER(ROW(H$2:H4502) - ROW(H$2) + 1, P$2:P4502 = P4503))))=""単価"","""",
IF(COUNTIF(P$2:P4502, P4503)=0, """", INDEX(H$2:H4502,
MAX(FILTER(ROW(H$2:H4502) - ROW(H$2) + 1, P$2:P4502 = P4503)))))"),31.4)</f>
        <v>31.4</v>
      </c>
      <c r="N4503" s="335" t="str">
        <f>IF(MAXIFS('単価履歴'!$O:$O,'単価履歴'!$E:$E,E4503,'単価履歴'!$F:$F,F4503)=O4503,"●","")</f>
        <v/>
      </c>
      <c r="O4503" s="346">
        <v>46093.35116898148</v>
      </c>
      <c r="P4503" s="334" t="str">
        <f t="shared" si="4"/>
        <v>大鉄　堺:大鉄堺シュレＣ</v>
      </c>
    </row>
    <row r="4504" ht="15.75" customHeight="1">
      <c r="A4504" s="335" t="s">
        <v>5651</v>
      </c>
      <c r="B4504" s="336">
        <v>46093.0</v>
      </c>
      <c r="C4504" s="335" t="s">
        <v>9</v>
      </c>
      <c r="D4504" s="335" t="s">
        <v>51</v>
      </c>
      <c r="E4504" s="337" t="str">
        <f t="shared" si="1"/>
        <v>大鉄　堺:大鉄堺</v>
      </c>
      <c r="F4504" s="338" t="s">
        <v>154</v>
      </c>
      <c r="G4504" s="339" t="str">
        <f t="shared" si="2"/>
        <v>大鉄　堺:大鉄堺ＣＰ Ａ</v>
      </c>
      <c r="H4504" s="340">
        <f t="shared" si="3"/>
        <v>41</v>
      </c>
      <c r="I4504" s="341">
        <v>2.0</v>
      </c>
      <c r="J4504" s="332">
        <f>IFERROR(__xludf.DUMMYFUNCTION("IF(IF(COUNTIF(P$2:P4503, P4504)=0, """", INDEX(H$2:H4503,
MAX(FILTER(ROW(H$2:H4503) - ROW(H$2) + 1, P$2:P4503 = P4504))))=""単価"","""",
IF(COUNTIF(P$2:P4503, P4504)=0, """", INDEX(H$2:H4503,
MAX(FILTER(ROW(H$2:H4503) - ROW(H$2) + 1, P$2:P4503 = P4504)))))"),39.0)</f>
        <v>39</v>
      </c>
      <c r="N4504" s="335" t="str">
        <f>IF(MAXIFS('単価履歴'!$O:$O,'単価履歴'!$E:$E,E4504,'単価履歴'!$F:$F,F4504)=O4504,"●","")</f>
        <v/>
      </c>
      <c r="O4504" s="346">
        <v>46093.35116898148</v>
      </c>
      <c r="P4504" s="334" t="str">
        <f t="shared" si="4"/>
        <v>大鉄　堺:大鉄堺ＣＰ Ａ</v>
      </c>
    </row>
    <row r="4505" ht="15.75" customHeight="1">
      <c r="A4505" s="335" t="s">
        <v>5652</v>
      </c>
      <c r="B4505" s="336">
        <v>46093.0</v>
      </c>
      <c r="C4505" s="335" t="s">
        <v>9</v>
      </c>
      <c r="D4505" s="335" t="s">
        <v>51</v>
      </c>
      <c r="E4505" s="337" t="str">
        <f t="shared" si="1"/>
        <v>大鉄　堺:大鉄堺</v>
      </c>
      <c r="F4505" s="338" t="s">
        <v>156</v>
      </c>
      <c r="G4505" s="339" t="str">
        <f t="shared" si="2"/>
        <v>大鉄　堺:大鉄堺ＣＰ Ｂ一斗缶</v>
      </c>
      <c r="H4505" s="340">
        <f t="shared" si="3"/>
        <v>34.5</v>
      </c>
      <c r="I4505" s="341">
        <v>2.0</v>
      </c>
      <c r="J4505" s="332">
        <f>IFERROR(__xludf.DUMMYFUNCTION("IF(IF(COUNTIF(P$2:P4504, P4505)=0, """", INDEX(H$2:H4504,
MAX(FILTER(ROW(H$2:H4504) - ROW(H$2) + 1, P$2:P4504 = P4505))))=""単価"","""",
IF(COUNTIF(P$2:P4504, P4505)=0, """", INDEX(H$2:H4504,
MAX(FILTER(ROW(H$2:H4504) - ROW(H$2) + 1, P$2:P4504 = P4505)))))"),32.5)</f>
        <v>32.5</v>
      </c>
      <c r="N4505" s="335" t="str">
        <f>IF(MAXIFS('単価履歴'!$O:$O,'単価履歴'!$E:$E,E4505,'単価履歴'!$F:$F,F4505)=O4505,"●","")</f>
        <v/>
      </c>
      <c r="O4505" s="346">
        <v>46093.35116898148</v>
      </c>
      <c r="P4505" s="334" t="str">
        <f t="shared" si="4"/>
        <v>大鉄　堺:大鉄堺ＣＰ Ｂ一斗缶</v>
      </c>
    </row>
    <row r="4506" ht="15.75" customHeight="1">
      <c r="A4506" s="335" t="s">
        <v>5653</v>
      </c>
      <c r="B4506" s="336">
        <v>46093.0</v>
      </c>
      <c r="C4506" s="335" t="s">
        <v>9</v>
      </c>
      <c r="D4506" s="335" t="s">
        <v>47</v>
      </c>
      <c r="E4506" s="337" t="str">
        <f t="shared" si="1"/>
        <v>大鉄　堺:豊通</v>
      </c>
      <c r="F4506" s="338" t="s">
        <v>111</v>
      </c>
      <c r="G4506" s="339" t="str">
        <f t="shared" si="2"/>
        <v>大鉄　堺:豊通Ｈ１(特A)</v>
      </c>
      <c r="H4506" s="340">
        <f t="shared" si="3"/>
        <v>34.4</v>
      </c>
      <c r="I4506" s="341">
        <v>2.0</v>
      </c>
      <c r="J4506" s="332">
        <f>IFERROR(__xludf.DUMMYFUNCTION("IF(IF(COUNTIF(P$2:P4505, P4506)=0, """", INDEX(H$2:H4505,
MAX(FILTER(ROW(H$2:H4505) - ROW(H$2) + 1, P$2:P4505 = P4506))))=""単価"","""",
IF(COUNTIF(P$2:P4505, P4506)=0, """", INDEX(H$2:H4505,
MAX(FILTER(ROW(H$2:H4505) - ROW(H$2) + 1, P$2:P4505 = P4506)))))"),32.4)</f>
        <v>32.4</v>
      </c>
      <c r="N4506" s="335" t="str">
        <f>IF(MAXIFS('単価履歴'!$O:$O,'単価履歴'!$E:$E,E4506,'単価履歴'!$F:$F,F4506)=O4506,"●","")</f>
        <v/>
      </c>
      <c r="O4506" s="346">
        <v>46093.35146990741</v>
      </c>
      <c r="P4506" s="334" t="str">
        <f t="shared" si="4"/>
        <v>大鉄　堺:豊通Ｈ１(特A)</v>
      </c>
    </row>
    <row r="4507" ht="15.75" customHeight="1">
      <c r="A4507" s="335" t="s">
        <v>5654</v>
      </c>
      <c r="B4507" s="336">
        <v>46093.0</v>
      </c>
      <c r="C4507" s="335" t="s">
        <v>9</v>
      </c>
      <c r="D4507" s="335" t="s">
        <v>47</v>
      </c>
      <c r="E4507" s="337" t="str">
        <f t="shared" si="1"/>
        <v>大鉄　堺:豊通</v>
      </c>
      <c r="F4507" s="338" t="s">
        <v>1237</v>
      </c>
      <c r="G4507" s="339" t="str">
        <f t="shared" si="2"/>
        <v>大鉄　堺:豊通ＪＨ１(H2T山口)鍛造ﾊﾞﾘ</v>
      </c>
      <c r="H4507" s="340">
        <f t="shared" si="3"/>
        <v>33.4</v>
      </c>
      <c r="I4507" s="341">
        <v>2.0</v>
      </c>
      <c r="J4507" s="332">
        <f>IFERROR(__xludf.DUMMYFUNCTION("IF(IF(COUNTIF(P$2:P4506, P4507)=0, """", INDEX(H$2:H4506,
MAX(FILTER(ROW(H$2:H4506) - ROW(H$2) + 1, P$2:P4506 = P4507))))=""単価"","""",
IF(COUNTIF(P$2:P4506, P4507)=0, """", INDEX(H$2:H4506,
MAX(FILTER(ROW(H$2:H4506) - ROW(H$2) + 1, P$2:P4506 = P4507)))))"),31.4)</f>
        <v>31.4</v>
      </c>
      <c r="N4507" s="335" t="str">
        <f>IF(MAXIFS('単価履歴'!$O:$O,'単価履歴'!$E:$E,E4507,'単価履歴'!$F:$F,F4507)=O4507,"●","")</f>
        <v/>
      </c>
      <c r="O4507" s="346">
        <v>46093.35146990741</v>
      </c>
      <c r="P4507" s="334" t="str">
        <f t="shared" si="4"/>
        <v>大鉄　堺:豊通ＪＨ１(H2T山口)鍛造ﾊﾞﾘ</v>
      </c>
    </row>
    <row r="4508" ht="15.75" customHeight="1">
      <c r="A4508" s="335" t="s">
        <v>5655</v>
      </c>
      <c r="B4508" s="336">
        <v>46093.0</v>
      </c>
      <c r="C4508" s="335" t="s">
        <v>9</v>
      </c>
      <c r="D4508" s="335" t="s">
        <v>47</v>
      </c>
      <c r="E4508" s="337" t="str">
        <f t="shared" si="1"/>
        <v>大鉄　堺:豊通</v>
      </c>
      <c r="F4508" s="338" t="s">
        <v>116</v>
      </c>
      <c r="G4508" s="339" t="str">
        <f t="shared" si="2"/>
        <v>大鉄　堺:豊通Ｈ２(特級)</v>
      </c>
      <c r="H4508" s="340">
        <f t="shared" si="3"/>
        <v>30.2</v>
      </c>
      <c r="I4508" s="341">
        <v>2.0</v>
      </c>
      <c r="J4508" s="332">
        <f>IFERROR(__xludf.DUMMYFUNCTION("IF(IF(COUNTIF(P$2:P4507, P4508)=0, """", INDEX(H$2:H4507,
MAX(FILTER(ROW(H$2:H4507) - ROW(H$2) + 1, P$2:P4507 = P4508))))=""単価"","""",
IF(COUNTIF(P$2:P4507, P4508)=0, """", INDEX(H$2:H4507,
MAX(FILTER(ROW(H$2:H4507) - ROW(H$2) + 1, P$2:P4507 = P4508)))))"),28.2)</f>
        <v>28.2</v>
      </c>
      <c r="N4508" s="335" t="str">
        <f>IF(MAXIFS('単価履歴'!$O:$O,'単価履歴'!$E:$E,E4508,'単価履歴'!$F:$F,F4508)=O4508,"●","")</f>
        <v/>
      </c>
      <c r="O4508" s="346">
        <v>46093.35146990741</v>
      </c>
      <c r="P4508" s="334" t="str">
        <f t="shared" si="4"/>
        <v>大鉄　堺:豊通Ｈ２(特級)</v>
      </c>
    </row>
    <row r="4509" ht="15.75" customHeight="1">
      <c r="A4509" s="335" t="s">
        <v>5656</v>
      </c>
      <c r="B4509" s="336">
        <v>46093.0</v>
      </c>
      <c r="C4509" s="335" t="s">
        <v>9</v>
      </c>
      <c r="D4509" s="335" t="s">
        <v>47</v>
      </c>
      <c r="E4509" s="337" t="str">
        <f t="shared" si="1"/>
        <v>大鉄　堺:豊通</v>
      </c>
      <c r="F4509" s="338" t="s">
        <v>119</v>
      </c>
      <c r="G4509" s="339" t="str">
        <f t="shared" si="2"/>
        <v>大鉄　堺:豊通Ｈ３(1級)</v>
      </c>
      <c r="H4509" s="340">
        <f t="shared" si="3"/>
        <v>29.2</v>
      </c>
      <c r="I4509" s="341">
        <v>2.0</v>
      </c>
      <c r="J4509" s="332">
        <f>IFERROR(__xludf.DUMMYFUNCTION("IF(IF(COUNTIF(P$2:P4508, P4509)=0, """", INDEX(H$2:H4508,
MAX(FILTER(ROW(H$2:H4508) - ROW(H$2) + 1, P$2:P4508 = P4509))))=""単価"","""",
IF(COUNTIF(P$2:P4508, P4509)=0, """", INDEX(H$2:H4508,
MAX(FILTER(ROW(H$2:H4508) - ROW(H$2) + 1, P$2:P4508 = P4509)))))"),27.2)</f>
        <v>27.2</v>
      </c>
      <c r="N4509" s="335" t="str">
        <f>IF(MAXIFS('単価履歴'!$O:$O,'単価履歴'!$E:$E,E4509,'単価履歴'!$F:$F,F4509)=O4509,"●","")</f>
        <v/>
      </c>
      <c r="O4509" s="346">
        <v>46093.35146990741</v>
      </c>
      <c r="P4509" s="334" t="str">
        <f t="shared" si="4"/>
        <v>大鉄　堺:豊通Ｈ３(1級)</v>
      </c>
    </row>
    <row r="4510" ht="15.75" customHeight="1">
      <c r="A4510" s="335" t="s">
        <v>5657</v>
      </c>
      <c r="B4510" s="336">
        <v>46093.0</v>
      </c>
      <c r="C4510" s="335" t="s">
        <v>9</v>
      </c>
      <c r="D4510" s="335" t="s">
        <v>47</v>
      </c>
      <c r="E4510" s="337" t="str">
        <f t="shared" si="1"/>
        <v>大鉄　堺:豊通</v>
      </c>
      <c r="F4510" s="338" t="s">
        <v>122</v>
      </c>
      <c r="G4510" s="339" t="str">
        <f t="shared" si="2"/>
        <v>大鉄　堺:豊通Ｌ１(2級)</v>
      </c>
      <c r="H4510" s="340">
        <f t="shared" si="3"/>
        <v>27.7</v>
      </c>
      <c r="I4510" s="341">
        <v>2.0</v>
      </c>
      <c r="J4510" s="332">
        <f>IFERROR(__xludf.DUMMYFUNCTION("IF(IF(COUNTIF(P$2:P4509, P4510)=0, """", INDEX(H$2:H4509,
MAX(FILTER(ROW(H$2:H4509) - ROW(H$2) + 1, P$2:P4509 = P4510))))=""単価"","""",
IF(COUNTIF(P$2:P4509, P4510)=0, """", INDEX(H$2:H4509,
MAX(FILTER(ROW(H$2:H4509) - ROW(H$2) + 1, P$2:P4509 = P4510)))))"),25.7)</f>
        <v>25.7</v>
      </c>
      <c r="N4510" s="335" t="str">
        <f>IF(MAXIFS('単価履歴'!$O:$O,'単価履歴'!$E:$E,E4510,'単価履歴'!$F:$F,F4510)=O4510,"●","")</f>
        <v/>
      </c>
      <c r="O4510" s="346">
        <v>46093.35146990741</v>
      </c>
      <c r="P4510" s="334" t="str">
        <f t="shared" si="4"/>
        <v>大鉄　堺:豊通Ｌ１(2級)</v>
      </c>
    </row>
    <row r="4511" ht="15.75" customHeight="1">
      <c r="A4511" s="335" t="s">
        <v>5658</v>
      </c>
      <c r="B4511" s="336">
        <v>46093.0</v>
      </c>
      <c r="C4511" s="335" t="s">
        <v>9</v>
      </c>
      <c r="D4511" s="335" t="s">
        <v>47</v>
      </c>
      <c r="E4511" s="337" t="str">
        <f t="shared" si="1"/>
        <v>大鉄　堺:豊通</v>
      </c>
      <c r="F4511" s="338" t="s">
        <v>130</v>
      </c>
      <c r="G4511" s="339" t="str">
        <f t="shared" si="2"/>
        <v>大鉄　堺:豊通新断Ａ</v>
      </c>
      <c r="H4511" s="340">
        <f t="shared" si="3"/>
        <v>31.2</v>
      </c>
      <c r="I4511" s="341">
        <v>2.0</v>
      </c>
      <c r="J4511" s="332">
        <f>IFERROR(__xludf.DUMMYFUNCTION("IF(IF(COUNTIF(P$2:P4510, P4511)=0, """", INDEX(H$2:H4510,
MAX(FILTER(ROW(H$2:H4510) - ROW(H$2) + 1, P$2:P4510 = P4511))))=""単価"","""",
IF(COUNTIF(P$2:P4510, P4511)=0, """", INDEX(H$2:H4510,
MAX(FILTER(ROW(H$2:H4510) - ROW(H$2) + 1, P$2:P4510 = P4511)))))"),29.2)</f>
        <v>29.2</v>
      </c>
      <c r="N4511" s="335" t="str">
        <f>IF(MAXIFS('単価履歴'!$O:$O,'単価履歴'!$E:$E,E4511,'単価履歴'!$F:$F,F4511)=O4511,"●","")</f>
        <v/>
      </c>
      <c r="O4511" s="346">
        <v>46093.35146990741</v>
      </c>
      <c r="P4511" s="334" t="str">
        <f t="shared" si="4"/>
        <v>大鉄　堺:豊通新断Ａ</v>
      </c>
    </row>
    <row r="4512" ht="15.75" customHeight="1">
      <c r="A4512" s="335" t="s">
        <v>5659</v>
      </c>
      <c r="B4512" s="336">
        <v>46093.0</v>
      </c>
      <c r="C4512" s="335" t="s">
        <v>9</v>
      </c>
      <c r="D4512" s="335" t="s">
        <v>47</v>
      </c>
      <c r="E4512" s="337" t="str">
        <f t="shared" si="1"/>
        <v>大鉄　堺:豊通</v>
      </c>
      <c r="F4512" s="338" t="s">
        <v>131</v>
      </c>
      <c r="G4512" s="339" t="str">
        <f t="shared" si="2"/>
        <v>大鉄　堺:豊通新断Ｂ</v>
      </c>
      <c r="H4512" s="340">
        <f t="shared" si="3"/>
        <v>30.7</v>
      </c>
      <c r="I4512" s="341">
        <v>2.0</v>
      </c>
      <c r="J4512" s="332">
        <f>IFERROR(__xludf.DUMMYFUNCTION("IF(IF(COUNTIF(P$2:P4511, P4512)=0, """", INDEX(H$2:H4511,
MAX(FILTER(ROW(H$2:H4511) - ROW(H$2) + 1, P$2:P4511 = P4512))))=""単価"","""",
IF(COUNTIF(P$2:P4511, P4512)=0, """", INDEX(H$2:H4511,
MAX(FILTER(ROW(H$2:H4511) - ROW(H$2) + 1, P$2:P4511 = P4512)))))"),28.7)</f>
        <v>28.7</v>
      </c>
      <c r="N4512" s="335" t="str">
        <f>IF(MAXIFS('単価履歴'!$O:$O,'単価履歴'!$E:$E,E4512,'単価履歴'!$F:$F,F4512)=O4512,"●","")</f>
        <v/>
      </c>
      <c r="O4512" s="346">
        <v>46093.35146990741</v>
      </c>
      <c r="P4512" s="334" t="str">
        <f t="shared" si="4"/>
        <v>大鉄　堺:豊通新断Ｂ</v>
      </c>
    </row>
    <row r="4513" ht="15.75" customHeight="1">
      <c r="A4513" s="335" t="s">
        <v>5660</v>
      </c>
      <c r="B4513" s="336">
        <v>46093.0</v>
      </c>
      <c r="C4513" s="335" t="s">
        <v>9</v>
      </c>
      <c r="D4513" s="335" t="s">
        <v>47</v>
      </c>
      <c r="E4513" s="337" t="str">
        <f t="shared" si="1"/>
        <v>大鉄　堺:豊通</v>
      </c>
      <c r="F4513" s="338" t="s">
        <v>575</v>
      </c>
      <c r="G4513" s="339" t="str">
        <f t="shared" si="2"/>
        <v>大鉄　堺:豊通鋼ダライＡ</v>
      </c>
      <c r="H4513" s="340">
        <f t="shared" si="3"/>
        <v>32.2</v>
      </c>
      <c r="I4513" s="341">
        <v>2.0</v>
      </c>
      <c r="J4513" s="332">
        <f>IFERROR(__xludf.DUMMYFUNCTION("IF(IF(COUNTIF(P$2:P4512, P4513)=0, """", INDEX(H$2:H4512,
MAX(FILTER(ROW(H$2:H4512) - ROW(H$2) + 1, P$2:P4512 = P4513))))=""単価"","""",
IF(COUNTIF(P$2:P4512, P4513)=0, """", INDEX(H$2:H4512,
MAX(FILTER(ROW(H$2:H4512) - ROW(H$2) + 1, P$2:P4512 = P4513)))))"),30.2)</f>
        <v>30.2</v>
      </c>
      <c r="N4513" s="335" t="str">
        <f>IF(MAXIFS('単価履歴'!$O:$O,'単価履歴'!$E:$E,E4513,'単価履歴'!$F:$F,F4513)=O4513,"●","")</f>
        <v/>
      </c>
      <c r="O4513" s="346">
        <v>46093.35146990741</v>
      </c>
      <c r="P4513" s="334" t="str">
        <f t="shared" si="4"/>
        <v>大鉄　堺:豊通鋼ダライＡ</v>
      </c>
    </row>
    <row r="4514" ht="15.75" customHeight="1">
      <c r="A4514" s="335" t="s">
        <v>5661</v>
      </c>
      <c r="B4514" s="336">
        <v>46093.0</v>
      </c>
      <c r="C4514" s="335" t="s">
        <v>9</v>
      </c>
      <c r="D4514" s="335" t="s">
        <v>47</v>
      </c>
      <c r="E4514" s="337" t="str">
        <f t="shared" si="1"/>
        <v>大鉄　堺:豊通</v>
      </c>
      <c r="F4514" s="338" t="s">
        <v>576</v>
      </c>
      <c r="G4514" s="339" t="str">
        <f t="shared" si="2"/>
        <v>大鉄　堺:豊通鋼ダライＢ</v>
      </c>
      <c r="H4514" s="340">
        <f t="shared" si="3"/>
        <v>32.2</v>
      </c>
      <c r="I4514" s="341">
        <v>2.0</v>
      </c>
      <c r="J4514" s="332">
        <f>IFERROR(__xludf.DUMMYFUNCTION("IF(IF(COUNTIF(P$2:P4513, P4514)=0, """", INDEX(H$2:H4513,
MAX(FILTER(ROW(H$2:H4513) - ROW(H$2) + 1, P$2:P4513 = P4514))))=""単価"","""",
IF(COUNTIF(P$2:P4513, P4514)=0, """", INDEX(H$2:H4513,
MAX(FILTER(ROW(H$2:H4513) - ROW(H$2) + 1, P$2:P4513 = P4514)))))"),30.2)</f>
        <v>30.2</v>
      </c>
      <c r="N4514" s="335" t="str">
        <f>IF(MAXIFS('単価履歴'!$O:$O,'単価履歴'!$E:$E,E4514,'単価履歴'!$F:$F,F4514)=O4514,"●","")</f>
        <v/>
      </c>
      <c r="O4514" s="346">
        <v>46093.35146990741</v>
      </c>
      <c r="P4514" s="334" t="str">
        <f t="shared" si="4"/>
        <v>大鉄　堺:豊通鋼ダライＢ</v>
      </c>
    </row>
    <row r="4515" ht="15.75" customHeight="1">
      <c r="A4515" s="335" t="s">
        <v>5662</v>
      </c>
      <c r="B4515" s="336">
        <v>46093.0</v>
      </c>
      <c r="C4515" s="335" t="s">
        <v>9</v>
      </c>
      <c r="D4515" s="335" t="s">
        <v>47</v>
      </c>
      <c r="E4515" s="337" t="str">
        <f t="shared" si="1"/>
        <v>大鉄　堺:豊通</v>
      </c>
      <c r="F4515" s="338" t="s">
        <v>145</v>
      </c>
      <c r="G4515" s="339" t="str">
        <f t="shared" si="2"/>
        <v>大鉄　堺:豊通シュレＡ</v>
      </c>
      <c r="H4515" s="340">
        <f t="shared" si="3"/>
        <v>34.7</v>
      </c>
      <c r="I4515" s="341">
        <v>2.0</v>
      </c>
      <c r="J4515" s="332">
        <f>IFERROR(__xludf.DUMMYFUNCTION("IF(IF(COUNTIF(P$2:P4514, P4515)=0, """", INDEX(H$2:H4514,
MAX(FILTER(ROW(H$2:H4514) - ROW(H$2) + 1, P$2:P4514 = P4515))))=""単価"","""",
IF(COUNTIF(P$2:P4514, P4515)=0, """", INDEX(H$2:H4514,
MAX(FILTER(ROW(H$2:H4514) - ROW(H$2) + 1, P$2:P4514 = P4515)))))"),32.7)</f>
        <v>32.7</v>
      </c>
      <c r="N4515" s="335" t="str">
        <f>IF(MAXIFS('単価履歴'!$O:$O,'単価履歴'!$E:$E,E4515,'単価履歴'!$F:$F,F4515)=O4515,"●","")</f>
        <v/>
      </c>
      <c r="O4515" s="346">
        <v>46093.35146990741</v>
      </c>
      <c r="P4515" s="334" t="str">
        <f t="shared" si="4"/>
        <v>大鉄　堺:豊通シュレＡ</v>
      </c>
    </row>
    <row r="4516" ht="15.75" customHeight="1">
      <c r="A4516" s="335" t="s">
        <v>5663</v>
      </c>
      <c r="B4516" s="336">
        <v>46093.0</v>
      </c>
      <c r="C4516" s="335" t="s">
        <v>9</v>
      </c>
      <c r="D4516" s="335" t="s">
        <v>47</v>
      </c>
      <c r="E4516" s="337" t="str">
        <f t="shared" si="1"/>
        <v>大鉄　堺:豊通</v>
      </c>
      <c r="F4516" s="338" t="s">
        <v>149</v>
      </c>
      <c r="G4516" s="339" t="str">
        <f t="shared" si="2"/>
        <v>大鉄　堺:豊通シュレＢ</v>
      </c>
      <c r="H4516" s="340">
        <f t="shared" si="3"/>
        <v>34</v>
      </c>
      <c r="I4516" s="341">
        <v>2.0</v>
      </c>
      <c r="J4516" s="332">
        <f>IFERROR(__xludf.DUMMYFUNCTION("IF(IF(COUNTIF(P$2:P4515, P4516)=0, """", INDEX(H$2:H4515,
MAX(FILTER(ROW(H$2:H4515) - ROW(H$2) + 1, P$2:P4515 = P4516))))=""単価"","""",
IF(COUNTIF(P$2:P4515, P4516)=0, """", INDEX(H$2:H4515,
MAX(FILTER(ROW(H$2:H4515) - ROW(H$2) + 1, P$2:P4515 = P4516)))))"),32.0)</f>
        <v>32</v>
      </c>
      <c r="N4516" s="335" t="str">
        <f>IF(MAXIFS('単価履歴'!$O:$O,'単価履歴'!$E:$E,E4516,'単価履歴'!$F:$F,F4516)=O4516,"●","")</f>
        <v/>
      </c>
      <c r="O4516" s="346">
        <v>46093.35146990741</v>
      </c>
      <c r="P4516" s="334" t="str">
        <f t="shared" si="4"/>
        <v>大鉄　堺:豊通シュレＢ</v>
      </c>
    </row>
    <row r="4517" ht="15.75" customHeight="1">
      <c r="A4517" s="335" t="s">
        <v>5664</v>
      </c>
      <c r="B4517" s="336">
        <v>46093.0</v>
      </c>
      <c r="C4517" s="335" t="s">
        <v>9</v>
      </c>
      <c r="D4517" s="335" t="s">
        <v>47</v>
      </c>
      <c r="E4517" s="337" t="str">
        <f t="shared" si="1"/>
        <v>大鉄　堺:豊通</v>
      </c>
      <c r="F4517" s="338" t="s">
        <v>151</v>
      </c>
      <c r="G4517" s="339" t="str">
        <f t="shared" si="2"/>
        <v>大鉄　堺:豊通シュレＣ</v>
      </c>
      <c r="H4517" s="340">
        <f t="shared" si="3"/>
        <v>32.6</v>
      </c>
      <c r="I4517" s="341">
        <v>2.0</v>
      </c>
      <c r="J4517" s="332">
        <f>IFERROR(__xludf.DUMMYFUNCTION("IF(IF(COUNTIF(P$2:P4516, P4517)=0, """", INDEX(H$2:H4516,
MAX(FILTER(ROW(H$2:H4516) - ROW(H$2) + 1, P$2:P4516 = P4517))))=""単価"","""",
IF(COUNTIF(P$2:P4516, P4517)=0, """", INDEX(H$2:H4516,
MAX(FILTER(ROW(H$2:H4516) - ROW(H$2) + 1, P$2:P4516 = P4517)))))"),30.6)</f>
        <v>30.6</v>
      </c>
      <c r="N4517" s="335" t="str">
        <f>IF(MAXIFS('単価履歴'!$O:$O,'単価履歴'!$E:$E,E4517,'単価履歴'!$F:$F,F4517)=O4517,"●","")</f>
        <v/>
      </c>
      <c r="O4517" s="346">
        <v>46093.35146990741</v>
      </c>
      <c r="P4517" s="334" t="str">
        <f t="shared" si="4"/>
        <v>大鉄　堺:豊通シュレＣ</v>
      </c>
    </row>
    <row r="4518" ht="15.75" customHeight="1">
      <c r="A4518" s="335" t="s">
        <v>5665</v>
      </c>
      <c r="B4518" s="336">
        <v>46093.0</v>
      </c>
      <c r="C4518" s="335" t="s">
        <v>9</v>
      </c>
      <c r="D4518" s="335" t="s">
        <v>47</v>
      </c>
      <c r="E4518" s="337" t="str">
        <f t="shared" si="1"/>
        <v>大鉄　堺:豊通</v>
      </c>
      <c r="F4518" s="338" t="s">
        <v>154</v>
      </c>
      <c r="G4518" s="339" t="str">
        <f t="shared" si="2"/>
        <v>大鉄　堺:豊通ＣＰ Ａ</v>
      </c>
      <c r="H4518" s="340">
        <f t="shared" si="3"/>
        <v>45.2</v>
      </c>
      <c r="I4518" s="341">
        <v>2.0</v>
      </c>
      <c r="J4518" s="332">
        <f>IFERROR(__xludf.DUMMYFUNCTION("IF(IF(COUNTIF(P$2:P4517, P4518)=0, """", INDEX(H$2:H4517,
MAX(FILTER(ROW(H$2:H4517) - ROW(H$2) + 1, P$2:P4517 = P4518))))=""単価"","""",
IF(COUNTIF(P$2:P4517, P4518)=0, """", INDEX(H$2:H4517,
MAX(FILTER(ROW(H$2:H4517) - ROW(H$2) + 1, P$2:P4517 = P4518)))))"),43.2)</f>
        <v>43.2</v>
      </c>
      <c r="N4518" s="335" t="str">
        <f>IF(MAXIFS('単価履歴'!$O:$O,'単価履歴'!$E:$E,E4518,'単価履歴'!$F:$F,F4518)=O4518,"●","")</f>
        <v/>
      </c>
      <c r="O4518" s="346">
        <v>46093.35146990741</v>
      </c>
      <c r="P4518" s="334" t="str">
        <f t="shared" si="4"/>
        <v>大鉄　堺:豊通ＣＰ Ａ</v>
      </c>
    </row>
    <row r="4519" ht="15.75" customHeight="1">
      <c r="A4519" s="335" t="s">
        <v>5666</v>
      </c>
      <c r="B4519" s="336">
        <v>46093.0</v>
      </c>
      <c r="C4519" s="335" t="s">
        <v>9</v>
      </c>
      <c r="D4519" s="335" t="s">
        <v>47</v>
      </c>
      <c r="E4519" s="337" t="str">
        <f t="shared" si="1"/>
        <v>大鉄　堺:豊通</v>
      </c>
      <c r="F4519" s="338" t="s">
        <v>156</v>
      </c>
      <c r="G4519" s="339" t="str">
        <f t="shared" si="2"/>
        <v>大鉄　堺:豊通ＣＰ Ｂ一斗缶</v>
      </c>
      <c r="H4519" s="340">
        <f t="shared" si="3"/>
        <v>38.7</v>
      </c>
      <c r="I4519" s="341">
        <v>2.0</v>
      </c>
      <c r="J4519" s="332">
        <f>IFERROR(__xludf.DUMMYFUNCTION("IF(IF(COUNTIF(P$2:P4518, P4519)=0, """", INDEX(H$2:H4518,
MAX(FILTER(ROW(H$2:H4518) - ROW(H$2) + 1, P$2:P4518 = P4519))))=""単価"","""",
IF(COUNTIF(P$2:P4518, P4519)=0, """", INDEX(H$2:H4518,
MAX(FILTER(ROW(H$2:H4518) - ROW(H$2) + 1, P$2:P4518 = P4519)))))"),36.7)</f>
        <v>36.7</v>
      </c>
      <c r="N4519" s="335" t="str">
        <f>IF(MAXIFS('単価履歴'!$O:$O,'単価履歴'!$E:$E,E4519,'単価履歴'!$F:$F,F4519)=O4519,"●","")</f>
        <v/>
      </c>
      <c r="O4519" s="346">
        <v>46093.35146990741</v>
      </c>
      <c r="P4519" s="334" t="str">
        <f t="shared" si="4"/>
        <v>大鉄　堺:豊通ＣＰ Ｂ一斗缶</v>
      </c>
    </row>
    <row r="4520" ht="15.75" customHeight="1">
      <c r="A4520" s="335" t="s">
        <v>5667</v>
      </c>
      <c r="B4520" s="336">
        <v>46093.0</v>
      </c>
      <c r="C4520" s="335" t="s">
        <v>9</v>
      </c>
      <c r="D4520" s="335" t="s">
        <v>50</v>
      </c>
      <c r="E4520" s="337" t="str">
        <f t="shared" si="1"/>
        <v>大鉄　堺:産振</v>
      </c>
      <c r="F4520" s="338" t="s">
        <v>111</v>
      </c>
      <c r="G4520" s="339" t="str">
        <f t="shared" si="2"/>
        <v>大鉄　堺:産振Ｈ１(特A)</v>
      </c>
      <c r="H4520" s="340">
        <f t="shared" si="3"/>
        <v>51.2</v>
      </c>
      <c r="I4520" s="341">
        <v>2.0</v>
      </c>
      <c r="J4520" s="332">
        <f>IFERROR(__xludf.DUMMYFUNCTION("IF(IF(COUNTIF(P$2:P4519, P4520)=0, """", INDEX(H$2:H4519,
MAX(FILTER(ROW(H$2:H4519) - ROW(H$2) + 1, P$2:P4519 = P4520))))=""単価"","""",
IF(COUNTIF(P$2:P4519, P4520)=0, """", INDEX(H$2:H4519,
MAX(FILTER(ROW(H$2:H4519) - ROW(H$2) + 1, P$2:P4519 = P4520)))))"),49.2)</f>
        <v>49.2</v>
      </c>
      <c r="N4520" s="335" t="str">
        <f>IF(MAXIFS('単価履歴'!$O:$O,'単価履歴'!$E:$E,E4520,'単価履歴'!$F:$F,F4520)=O4520,"●","")</f>
        <v/>
      </c>
      <c r="O4520" s="346">
        <v>46093.35172453704</v>
      </c>
      <c r="P4520" s="334" t="str">
        <f t="shared" si="4"/>
        <v>大鉄　堺:産振Ｈ１(特A)</v>
      </c>
    </row>
    <row r="4521" ht="15.75" customHeight="1">
      <c r="A4521" s="335" t="s">
        <v>5668</v>
      </c>
      <c r="B4521" s="336">
        <v>46093.0</v>
      </c>
      <c r="C4521" s="335" t="s">
        <v>9</v>
      </c>
      <c r="D4521" s="335" t="s">
        <v>50</v>
      </c>
      <c r="E4521" s="337" t="str">
        <f t="shared" si="1"/>
        <v>大鉄　堺:産振</v>
      </c>
      <c r="F4521" s="338" t="s">
        <v>116</v>
      </c>
      <c r="G4521" s="339" t="str">
        <f t="shared" si="2"/>
        <v>大鉄　堺:産振Ｈ２(特級)</v>
      </c>
      <c r="H4521" s="340">
        <f t="shared" si="3"/>
        <v>48.7</v>
      </c>
      <c r="I4521" s="341">
        <v>2.0</v>
      </c>
      <c r="J4521" s="332">
        <f>IFERROR(__xludf.DUMMYFUNCTION("IF(IF(COUNTIF(P$2:P4520, P4521)=0, """", INDEX(H$2:H4520,
MAX(FILTER(ROW(H$2:H4520) - ROW(H$2) + 1, P$2:P4520 = P4521))))=""単価"","""",
IF(COUNTIF(P$2:P4520, P4521)=0, """", INDEX(H$2:H4520,
MAX(FILTER(ROW(H$2:H4520) - ROW(H$2) + 1, P$2:P4520 = P4521)))))"),46.7)</f>
        <v>46.7</v>
      </c>
      <c r="N4521" s="335" t="str">
        <f>IF(MAXIFS('単価履歴'!$O:$O,'単価履歴'!$E:$E,E4521,'単価履歴'!$F:$F,F4521)=O4521,"●","")</f>
        <v/>
      </c>
      <c r="O4521" s="346">
        <v>46093.35172453704</v>
      </c>
      <c r="P4521" s="334" t="str">
        <f t="shared" si="4"/>
        <v>大鉄　堺:産振Ｈ２(特級)</v>
      </c>
    </row>
    <row r="4522" ht="15.75" customHeight="1">
      <c r="A4522" s="335" t="s">
        <v>5669</v>
      </c>
      <c r="B4522" s="336">
        <v>46093.0</v>
      </c>
      <c r="C4522" s="335" t="s">
        <v>9</v>
      </c>
      <c r="D4522" s="335" t="s">
        <v>50</v>
      </c>
      <c r="E4522" s="337" t="str">
        <f t="shared" si="1"/>
        <v>大鉄　堺:産振</v>
      </c>
      <c r="F4522" s="338" t="s">
        <v>119</v>
      </c>
      <c r="G4522" s="339" t="str">
        <f t="shared" si="2"/>
        <v>大鉄　堺:産振Ｈ３(1級)</v>
      </c>
      <c r="H4522" s="340">
        <f t="shared" si="3"/>
        <v>45.7</v>
      </c>
      <c r="I4522" s="341">
        <v>2.0</v>
      </c>
      <c r="J4522" s="332">
        <f>IFERROR(__xludf.DUMMYFUNCTION("IF(IF(COUNTIF(P$2:P4521, P4522)=0, """", INDEX(H$2:H4521,
MAX(FILTER(ROW(H$2:H4521) - ROW(H$2) + 1, P$2:P4521 = P4522))))=""単価"","""",
IF(COUNTIF(P$2:P4521, P4522)=0, """", INDEX(H$2:H4521,
MAX(FILTER(ROW(H$2:H4521) - ROW(H$2) + 1, P$2:P4521 = P4522)))))"),43.7)</f>
        <v>43.7</v>
      </c>
      <c r="N4522" s="335" t="str">
        <f>IF(MAXIFS('単価履歴'!$O:$O,'単価履歴'!$E:$E,E4522,'単価履歴'!$F:$F,F4522)=O4522,"●","")</f>
        <v/>
      </c>
      <c r="O4522" s="346">
        <v>46093.35172453704</v>
      </c>
      <c r="P4522" s="334" t="str">
        <f t="shared" si="4"/>
        <v>大鉄　堺:産振Ｈ３(1級)</v>
      </c>
    </row>
    <row r="4523" ht="15.75" customHeight="1">
      <c r="A4523" s="335" t="s">
        <v>5670</v>
      </c>
      <c r="B4523" s="336">
        <v>46093.0</v>
      </c>
      <c r="C4523" s="335" t="s">
        <v>9</v>
      </c>
      <c r="D4523" s="335" t="s">
        <v>50</v>
      </c>
      <c r="E4523" s="337" t="str">
        <f t="shared" si="1"/>
        <v>大鉄　堺:産振</v>
      </c>
      <c r="F4523" s="338" t="s">
        <v>154</v>
      </c>
      <c r="G4523" s="339" t="str">
        <f t="shared" si="2"/>
        <v>大鉄　堺:産振ＣＰ Ａ</v>
      </c>
      <c r="H4523" s="340">
        <f t="shared" si="3"/>
        <v>50.7</v>
      </c>
      <c r="I4523" s="341">
        <v>2.0</v>
      </c>
      <c r="J4523" s="332">
        <f>IFERROR(__xludf.DUMMYFUNCTION("IF(IF(COUNTIF(P$2:P4522, P4523)=0, """", INDEX(H$2:H4522,
MAX(FILTER(ROW(H$2:H4522) - ROW(H$2) + 1, P$2:P4522 = P4523))))=""単価"","""",
IF(COUNTIF(P$2:P4522, P4523)=0, """", INDEX(H$2:H4522,
MAX(FILTER(ROW(H$2:H4522) - ROW(H$2) + 1, P$2:P4522 = P4523)))))"),48.7)</f>
        <v>48.7</v>
      </c>
      <c r="N4523" s="335" t="str">
        <f>IF(MAXIFS('単価履歴'!$O:$O,'単価履歴'!$E:$E,E4523,'単価履歴'!$F:$F,F4523)=O4523,"●","")</f>
        <v/>
      </c>
      <c r="O4523" s="346">
        <v>46093.35172453704</v>
      </c>
      <c r="P4523" s="334" t="str">
        <f t="shared" si="4"/>
        <v>大鉄　堺:産振ＣＰ Ａ</v>
      </c>
    </row>
    <row r="4524" ht="15.75" customHeight="1">
      <c r="A4524" s="335" t="s">
        <v>5671</v>
      </c>
      <c r="B4524" s="336">
        <v>46093.0</v>
      </c>
      <c r="C4524" s="335" t="s">
        <v>9</v>
      </c>
      <c r="D4524" s="335" t="s">
        <v>50</v>
      </c>
      <c r="E4524" s="337" t="str">
        <f t="shared" si="1"/>
        <v>大鉄　堺:産振</v>
      </c>
      <c r="F4524" s="338" t="s">
        <v>156</v>
      </c>
      <c r="G4524" s="339" t="str">
        <f t="shared" si="2"/>
        <v>大鉄　堺:産振ＣＰ Ｂ一斗缶</v>
      </c>
      <c r="H4524" s="340">
        <f t="shared" si="3"/>
        <v>40.5</v>
      </c>
      <c r="I4524" s="341">
        <v>2.0</v>
      </c>
      <c r="J4524" s="332">
        <f>IFERROR(__xludf.DUMMYFUNCTION("IF(IF(COUNTIF(P$2:P4523, P4524)=0, """", INDEX(H$2:H4523,
MAX(FILTER(ROW(H$2:H4523) - ROW(H$2) + 1, P$2:P4523 = P4524))))=""単価"","""",
IF(COUNTIF(P$2:P4523, P4524)=0, """", INDEX(H$2:H4523,
MAX(FILTER(ROW(H$2:H4523) - ROW(H$2) + 1, P$2:P4523 = P4524)))))"),38.5)</f>
        <v>38.5</v>
      </c>
      <c r="N4524" s="335" t="str">
        <f>IF(MAXIFS('単価履歴'!$O:$O,'単価履歴'!$E:$E,E4524,'単価履歴'!$F:$F,F4524)=O4524,"●","")</f>
        <v/>
      </c>
      <c r="O4524" s="346">
        <v>46093.35172453704</v>
      </c>
      <c r="P4524" s="334" t="str">
        <f t="shared" si="4"/>
        <v>大鉄　堺:産振ＣＰ Ｂ一斗缶</v>
      </c>
    </row>
    <row r="4525" ht="15.75" customHeight="1">
      <c r="A4525" s="335" t="s">
        <v>5672</v>
      </c>
      <c r="B4525" s="336">
        <v>46093.0</v>
      </c>
      <c r="C4525" s="335" t="s">
        <v>9</v>
      </c>
      <c r="D4525" s="335" t="s">
        <v>50</v>
      </c>
      <c r="E4525" s="337" t="str">
        <f t="shared" si="1"/>
        <v>大鉄　堺:産振</v>
      </c>
      <c r="F4525" s="338" t="s">
        <v>122</v>
      </c>
      <c r="G4525" s="339" t="str">
        <f t="shared" si="2"/>
        <v>大鉄　堺:産振Ｌ１(2級)</v>
      </c>
      <c r="H4525" s="340">
        <f t="shared" si="3"/>
        <v>44.7</v>
      </c>
      <c r="I4525" s="341">
        <v>2.0</v>
      </c>
      <c r="J4525" s="332">
        <f>IFERROR(__xludf.DUMMYFUNCTION("IF(IF(COUNTIF(P$2:P4524, P4525)=0, """", INDEX(H$2:H4524,
MAX(FILTER(ROW(H$2:H4524) - ROW(H$2) + 1, P$2:P4524 = P4525))))=""単価"","""",
IF(COUNTIF(P$2:P4524, P4525)=0, """", INDEX(H$2:H4524,
MAX(FILTER(ROW(H$2:H4524) - ROW(H$2) + 1, P$2:P4524 = P4525)))))"),42.7)</f>
        <v>42.7</v>
      </c>
      <c r="N4525" s="335" t="str">
        <f>IF(MAXIFS('単価履歴'!$O:$O,'単価履歴'!$E:$E,E4525,'単価履歴'!$F:$F,F4525)=O4525,"●","")</f>
        <v/>
      </c>
      <c r="O4525" s="346">
        <v>46093.35172453704</v>
      </c>
      <c r="P4525" s="334" t="str">
        <f t="shared" si="4"/>
        <v>大鉄　堺:産振Ｌ１(2級)</v>
      </c>
    </row>
    <row r="4526" ht="15.75" customHeight="1">
      <c r="A4526" s="335" t="s">
        <v>5673</v>
      </c>
      <c r="B4526" s="336">
        <v>46093.0</v>
      </c>
      <c r="C4526" s="335" t="s">
        <v>9</v>
      </c>
      <c r="D4526" s="335" t="s">
        <v>50</v>
      </c>
      <c r="E4526" s="337" t="str">
        <f t="shared" si="1"/>
        <v>大鉄　堺:産振</v>
      </c>
      <c r="F4526" s="338" t="s">
        <v>130</v>
      </c>
      <c r="G4526" s="339" t="str">
        <f t="shared" si="2"/>
        <v>大鉄　堺:産振新断Ａ</v>
      </c>
      <c r="H4526" s="340">
        <f t="shared" si="3"/>
        <v>46.7</v>
      </c>
      <c r="I4526" s="341">
        <v>2.0</v>
      </c>
      <c r="J4526" s="332">
        <f>IFERROR(__xludf.DUMMYFUNCTION("IF(IF(COUNTIF(P$2:P4525, P4526)=0, """", INDEX(H$2:H4525,
MAX(FILTER(ROW(H$2:H4525) - ROW(H$2) + 1, P$2:P4525 = P4526))))=""単価"","""",
IF(COUNTIF(P$2:P4525, P4526)=0, """", INDEX(H$2:H4525,
MAX(FILTER(ROW(H$2:H4525) - ROW(H$2) + 1, P$2:P4525 = P4526)))))"),44.7)</f>
        <v>44.7</v>
      </c>
      <c r="N4526" s="335" t="str">
        <f>IF(MAXIFS('単価履歴'!$O:$O,'単価履歴'!$E:$E,E4526,'単価履歴'!$F:$F,F4526)=O4526,"●","")</f>
        <v/>
      </c>
      <c r="O4526" s="346">
        <v>46093.35172453704</v>
      </c>
      <c r="P4526" s="334" t="str">
        <f t="shared" si="4"/>
        <v>大鉄　堺:産振新断Ａ</v>
      </c>
    </row>
    <row r="4527" ht="15.75" customHeight="1">
      <c r="A4527" s="335" t="s">
        <v>5674</v>
      </c>
      <c r="B4527" s="336">
        <v>46093.0</v>
      </c>
      <c r="C4527" s="335" t="s">
        <v>9</v>
      </c>
      <c r="D4527" s="335" t="s">
        <v>50</v>
      </c>
      <c r="E4527" s="337" t="str">
        <f t="shared" si="1"/>
        <v>大鉄　堺:産振</v>
      </c>
      <c r="F4527" s="338" t="s">
        <v>131</v>
      </c>
      <c r="G4527" s="339" t="str">
        <f t="shared" si="2"/>
        <v>大鉄　堺:産振新断Ｂ</v>
      </c>
      <c r="H4527" s="340">
        <f t="shared" si="3"/>
        <v>46.2</v>
      </c>
      <c r="I4527" s="341">
        <v>2.0</v>
      </c>
      <c r="J4527" s="332">
        <f>IFERROR(__xludf.DUMMYFUNCTION("IF(IF(COUNTIF(P$2:P4526, P4527)=0, """", INDEX(H$2:H4526,
MAX(FILTER(ROW(H$2:H4526) - ROW(H$2) + 1, P$2:P4526 = P4527))))=""単価"","""",
IF(COUNTIF(P$2:P4526, P4527)=0, """", INDEX(H$2:H4526,
MAX(FILTER(ROW(H$2:H4526) - ROW(H$2) + 1, P$2:P4526 = P4527)))))"),44.2)</f>
        <v>44.2</v>
      </c>
      <c r="N4527" s="335" t="str">
        <f>IF(MAXIFS('単価履歴'!$O:$O,'単価履歴'!$E:$E,E4527,'単価履歴'!$F:$F,F4527)=O4527,"●","")</f>
        <v/>
      </c>
      <c r="O4527" s="346">
        <v>46093.35172453704</v>
      </c>
      <c r="P4527" s="334" t="str">
        <f t="shared" si="4"/>
        <v>大鉄　堺:産振新断Ｂ</v>
      </c>
    </row>
    <row r="4528" ht="15.75" customHeight="1">
      <c r="A4528" s="335" t="s">
        <v>5675</v>
      </c>
      <c r="B4528" s="336">
        <v>46093.0</v>
      </c>
      <c r="C4528" s="335" t="s">
        <v>9</v>
      </c>
      <c r="D4528" s="335" t="s">
        <v>50</v>
      </c>
      <c r="E4528" s="337" t="str">
        <f t="shared" si="1"/>
        <v>大鉄　堺:産振</v>
      </c>
      <c r="F4528" s="338" t="s">
        <v>575</v>
      </c>
      <c r="G4528" s="339" t="str">
        <f t="shared" si="2"/>
        <v>大鉄　堺:産振鋼ダライＡ</v>
      </c>
      <c r="H4528" s="340">
        <f t="shared" si="3"/>
        <v>42.2</v>
      </c>
      <c r="I4528" s="341">
        <v>2.0</v>
      </c>
      <c r="J4528" s="332">
        <f>IFERROR(__xludf.DUMMYFUNCTION("IF(IF(COUNTIF(P$2:P4527, P4528)=0, """", INDEX(H$2:H4527,
MAX(FILTER(ROW(H$2:H4527) - ROW(H$2) + 1, P$2:P4527 = P4528))))=""単価"","""",
IF(COUNTIF(P$2:P4527, P4528)=0, """", INDEX(H$2:H4527,
MAX(FILTER(ROW(H$2:H4527) - ROW(H$2) + 1, P$2:P4527 = P4528)))))"),40.2)</f>
        <v>40.2</v>
      </c>
      <c r="N4528" s="335" t="str">
        <f>IF(MAXIFS('単価履歴'!$O:$O,'単価履歴'!$E:$E,E4528,'単価履歴'!$F:$F,F4528)=O4528,"●","")</f>
        <v/>
      </c>
      <c r="O4528" s="346">
        <v>46093.35172453704</v>
      </c>
      <c r="P4528" s="334" t="str">
        <f t="shared" si="4"/>
        <v>大鉄　堺:産振鋼ダライＡ</v>
      </c>
    </row>
    <row r="4529" ht="15.75" customHeight="1">
      <c r="A4529" s="335" t="s">
        <v>5676</v>
      </c>
      <c r="B4529" s="336">
        <v>46093.0</v>
      </c>
      <c r="C4529" s="335" t="s">
        <v>12</v>
      </c>
      <c r="D4529" s="335" t="s">
        <v>50</v>
      </c>
      <c r="E4529" s="337" t="str">
        <f t="shared" si="1"/>
        <v>山陽特殊:産振</v>
      </c>
      <c r="F4529" s="338" t="s">
        <v>1199</v>
      </c>
      <c r="G4529" s="339" t="str">
        <f t="shared" si="2"/>
        <v>山陽特殊:産振ＨＳ１(単体H1/電特A/HS))</v>
      </c>
      <c r="H4529" s="340">
        <f t="shared" si="3"/>
        <v>51.1</v>
      </c>
      <c r="I4529" s="341">
        <v>2.0</v>
      </c>
      <c r="J4529" s="332">
        <f>IFERROR(__xludf.DUMMYFUNCTION("IF(IF(COUNTIF(P$2:P4528, P4529)=0, """", INDEX(H$2:H4528,
MAX(FILTER(ROW(H$2:H4528) - ROW(H$2) + 1, P$2:P4528 = P4529))))=""単価"","""",
IF(COUNTIF(P$2:P4528, P4529)=0, """", INDEX(H$2:H4528,
MAX(FILTER(ROW(H$2:H4528) - ROW(H$2) + 1, P$2:P4528 = P4529)))))"),49.1)</f>
        <v>49.1</v>
      </c>
      <c r="N4529" s="335" t="str">
        <f>IF(MAXIFS('単価履歴'!$O:$O,'単価履歴'!$E:$E,E4529,'単価履歴'!$F:$F,F4529)=O4529,"●","")</f>
        <v/>
      </c>
      <c r="O4529" s="346">
        <v>46093.35309027778</v>
      </c>
      <c r="P4529" s="334" t="str">
        <f t="shared" si="4"/>
        <v>山陽特殊:産振ＨＳ１(単体H1/電特A/HS))</v>
      </c>
    </row>
    <row r="4530" ht="15.75" customHeight="1">
      <c r="A4530" s="335" t="s">
        <v>5677</v>
      </c>
      <c r="B4530" s="336">
        <v>46093.0</v>
      </c>
      <c r="C4530" s="335" t="s">
        <v>12</v>
      </c>
      <c r="D4530" s="335" t="s">
        <v>50</v>
      </c>
      <c r="E4530" s="337" t="str">
        <f t="shared" si="1"/>
        <v>山陽特殊:産振</v>
      </c>
      <c r="F4530" s="338" t="s">
        <v>101</v>
      </c>
      <c r="G4530" s="339" t="str">
        <f t="shared" si="2"/>
        <v>山陽特殊:産振ＨＳ２</v>
      </c>
      <c r="H4530" s="340">
        <f t="shared" si="3"/>
        <v>50.9</v>
      </c>
      <c r="I4530" s="341">
        <v>2.0</v>
      </c>
      <c r="J4530" s="332">
        <f>IFERROR(__xludf.DUMMYFUNCTION("IF(IF(COUNTIF(P$2:P4529, P4530)=0, """", INDEX(H$2:H4529,
MAX(FILTER(ROW(H$2:H4529) - ROW(H$2) + 1, P$2:P4529 = P4530))))=""単価"","""",
IF(COUNTIF(P$2:P4529, P4530)=0, """", INDEX(H$2:H4529,
MAX(FILTER(ROW(H$2:H4529) - ROW(H$2) + 1, P$2:P4529 = P4530)))))"),48.9)</f>
        <v>48.9</v>
      </c>
      <c r="N4530" s="335" t="str">
        <f>IF(MAXIFS('単価履歴'!$O:$O,'単価履歴'!$E:$E,E4530,'単価履歴'!$F:$F,F4530)=O4530,"●","")</f>
        <v/>
      </c>
      <c r="O4530" s="346">
        <v>46093.35309027778</v>
      </c>
      <c r="P4530" s="334" t="str">
        <f t="shared" si="4"/>
        <v>山陽特殊:産振ＨＳ２</v>
      </c>
    </row>
    <row r="4531" ht="15.75" customHeight="1">
      <c r="A4531" s="335" t="s">
        <v>5678</v>
      </c>
      <c r="B4531" s="336">
        <v>46093.0</v>
      </c>
      <c r="C4531" s="335" t="s">
        <v>12</v>
      </c>
      <c r="D4531" s="335" t="s">
        <v>50</v>
      </c>
      <c r="E4531" s="337" t="str">
        <f t="shared" si="1"/>
        <v>山陽特殊:産振</v>
      </c>
      <c r="F4531" s="338" t="s">
        <v>105</v>
      </c>
      <c r="G4531" s="339" t="str">
        <f t="shared" si="2"/>
        <v>山陽特殊:産振ＨＳ３</v>
      </c>
      <c r="H4531" s="340">
        <f t="shared" si="3"/>
        <v>48.9</v>
      </c>
      <c r="I4531" s="341">
        <v>2.0</v>
      </c>
      <c r="J4531" s="332">
        <f>IFERROR(__xludf.DUMMYFUNCTION("IF(IF(COUNTIF(P$2:P4530, P4531)=0, """", INDEX(H$2:H4530,
MAX(FILTER(ROW(H$2:H4530) - ROW(H$2) + 1, P$2:P4530 = P4531))))=""単価"","""",
IF(COUNTIF(P$2:P4530, P4531)=0, """", INDEX(H$2:H4530,
MAX(FILTER(ROW(H$2:H4530) - ROW(H$2) + 1, P$2:P4530 = P4531)))))"),46.9)</f>
        <v>46.9</v>
      </c>
      <c r="N4531" s="335" t="str">
        <f>IF(MAXIFS('単価履歴'!$O:$O,'単価履歴'!$E:$E,E4531,'単価履歴'!$F:$F,F4531)=O4531,"●","")</f>
        <v/>
      </c>
      <c r="O4531" s="346">
        <v>46093.35309027778</v>
      </c>
      <c r="P4531" s="334" t="str">
        <f t="shared" si="4"/>
        <v>山陽特殊:産振ＨＳ３</v>
      </c>
    </row>
    <row r="4532" ht="15.75" customHeight="1">
      <c r="A4532" s="335" t="s">
        <v>5679</v>
      </c>
      <c r="B4532" s="336">
        <v>46093.0</v>
      </c>
      <c r="C4532" s="335" t="s">
        <v>9</v>
      </c>
      <c r="D4532" s="335" t="s">
        <v>49</v>
      </c>
      <c r="E4532" s="337" t="str">
        <f t="shared" si="1"/>
        <v>大鉄　堺:伊藤忠</v>
      </c>
      <c r="F4532" s="338" t="s">
        <v>111</v>
      </c>
      <c r="G4532" s="339" t="str">
        <f t="shared" si="2"/>
        <v>大鉄　堺:伊藤忠Ｈ１(特A)</v>
      </c>
      <c r="H4532" s="340">
        <f t="shared" si="3"/>
        <v>33.3</v>
      </c>
      <c r="I4532" s="341">
        <v>2.0</v>
      </c>
      <c r="J4532" s="332">
        <f>IFERROR(__xludf.DUMMYFUNCTION("IF(IF(COUNTIF(P$2:P4531, P4532)=0, """", INDEX(H$2:H4531,
MAX(FILTER(ROW(H$2:H4531) - ROW(H$2) + 1, P$2:P4531 = P4532))))=""単価"","""",
IF(COUNTIF(P$2:P4531, P4532)=0, """", INDEX(H$2:H4531,
MAX(FILTER(ROW(H$2:H4531) - ROW(H$2) + 1, P$2:P4531 = P4532)))))"),31.3)</f>
        <v>31.3</v>
      </c>
      <c r="N4532" s="335" t="str">
        <f>IF(MAXIFS('単価履歴'!$O:$O,'単価履歴'!$E:$E,E4532,'単価履歴'!$F:$F,F4532)=O4532,"●","")</f>
        <v/>
      </c>
      <c r="O4532" s="346">
        <v>46093.35333333333</v>
      </c>
      <c r="P4532" s="334" t="str">
        <f t="shared" si="4"/>
        <v>大鉄　堺:伊藤忠Ｈ１(特A)</v>
      </c>
    </row>
    <row r="4533" ht="15.75" customHeight="1">
      <c r="A4533" s="335" t="s">
        <v>5680</v>
      </c>
      <c r="B4533" s="336">
        <v>46093.0</v>
      </c>
      <c r="C4533" s="335" t="s">
        <v>9</v>
      </c>
      <c r="D4533" s="335" t="s">
        <v>49</v>
      </c>
      <c r="E4533" s="337" t="str">
        <f t="shared" si="1"/>
        <v>大鉄　堺:伊藤忠</v>
      </c>
      <c r="F4533" s="338" t="s">
        <v>1237</v>
      </c>
      <c r="G4533" s="339" t="str">
        <f t="shared" si="2"/>
        <v>大鉄　堺:伊藤忠ＪＨ１(H2T山口)鍛造ﾊﾞﾘ</v>
      </c>
      <c r="H4533" s="340">
        <f t="shared" si="3"/>
        <v>40.7</v>
      </c>
      <c r="I4533" s="341">
        <v>2.0</v>
      </c>
      <c r="J4533" s="332">
        <f>IFERROR(__xludf.DUMMYFUNCTION("IF(IF(COUNTIF(P$2:P4532, P4533)=0, """", INDEX(H$2:H4532,
MAX(FILTER(ROW(H$2:H4532) - ROW(H$2) + 1, P$2:P4532 = P4533))))=""単価"","""",
IF(COUNTIF(P$2:P4532, P4533)=0, """", INDEX(H$2:H4532,
MAX(FILTER(ROW(H$2:H4532) - ROW(H$2) + 1, P$2:P4532 = P4533)))))"),38.7)</f>
        <v>38.7</v>
      </c>
      <c r="N4533" s="335" t="str">
        <f>IF(MAXIFS('単価履歴'!$O:$O,'単価履歴'!$E:$E,E4533,'単価履歴'!$F:$F,F4533)=O4533,"●","")</f>
        <v/>
      </c>
      <c r="O4533" s="346">
        <v>46093.35333333333</v>
      </c>
      <c r="P4533" s="334" t="str">
        <f t="shared" si="4"/>
        <v>大鉄　堺:伊藤忠ＪＨ１(H2T山口)鍛造ﾊﾞﾘ</v>
      </c>
    </row>
    <row r="4534" ht="15.75" customHeight="1">
      <c r="A4534" s="335" t="s">
        <v>5681</v>
      </c>
      <c r="B4534" s="336">
        <v>46093.0</v>
      </c>
      <c r="C4534" s="335" t="s">
        <v>9</v>
      </c>
      <c r="D4534" s="335" t="s">
        <v>49</v>
      </c>
      <c r="E4534" s="337" t="str">
        <f t="shared" si="1"/>
        <v>大鉄　堺:伊藤忠</v>
      </c>
      <c r="F4534" s="338" t="s">
        <v>116</v>
      </c>
      <c r="G4534" s="339" t="str">
        <f t="shared" si="2"/>
        <v>大鉄　堺:伊藤忠Ｈ２(特級)</v>
      </c>
      <c r="H4534" s="340">
        <f t="shared" si="3"/>
        <v>38.5</v>
      </c>
      <c r="I4534" s="341">
        <v>2.0</v>
      </c>
      <c r="J4534" s="332">
        <f>IFERROR(__xludf.DUMMYFUNCTION("IF(IF(COUNTIF(P$2:P4533, P4534)=0, """", INDEX(H$2:H4533,
MAX(FILTER(ROW(H$2:H4533) - ROW(H$2) + 1, P$2:P4533 = P4534))))=""単価"","""",
IF(COUNTIF(P$2:P4533, P4534)=0, """", INDEX(H$2:H4533,
MAX(FILTER(ROW(H$2:H4533) - ROW(H$2) + 1, P$2:P4533 = P4534)))))"),36.5)</f>
        <v>36.5</v>
      </c>
      <c r="N4534" s="335" t="str">
        <f>IF(MAXIFS('単価履歴'!$O:$O,'単価履歴'!$E:$E,E4534,'単価履歴'!$F:$F,F4534)=O4534,"●","")</f>
        <v/>
      </c>
      <c r="O4534" s="346">
        <v>46093.35333333333</v>
      </c>
      <c r="P4534" s="334" t="str">
        <f t="shared" si="4"/>
        <v>大鉄　堺:伊藤忠Ｈ２(特級)</v>
      </c>
    </row>
    <row r="4535" ht="15.75" customHeight="1">
      <c r="A4535" s="335" t="s">
        <v>5682</v>
      </c>
      <c r="B4535" s="336">
        <v>46093.0</v>
      </c>
      <c r="C4535" s="335" t="s">
        <v>9</v>
      </c>
      <c r="D4535" s="335" t="s">
        <v>49</v>
      </c>
      <c r="E4535" s="337" t="str">
        <f t="shared" si="1"/>
        <v>大鉄　堺:伊藤忠</v>
      </c>
      <c r="F4535" s="338" t="s">
        <v>119</v>
      </c>
      <c r="G4535" s="339" t="str">
        <f t="shared" si="2"/>
        <v>大鉄　堺:伊藤忠Ｈ３(1級)</v>
      </c>
      <c r="H4535" s="340">
        <f t="shared" si="3"/>
        <v>37.5</v>
      </c>
      <c r="I4535" s="341">
        <v>2.0</v>
      </c>
      <c r="J4535" s="332">
        <f>IFERROR(__xludf.DUMMYFUNCTION("IF(IF(COUNTIF(P$2:P4534, P4535)=0, """", INDEX(H$2:H4534,
MAX(FILTER(ROW(H$2:H4534) - ROW(H$2) + 1, P$2:P4534 = P4535))))=""単価"","""",
IF(COUNTIF(P$2:P4534, P4535)=0, """", INDEX(H$2:H4534,
MAX(FILTER(ROW(H$2:H4534) - ROW(H$2) + 1, P$2:P4534 = P4535)))))"),35.5)</f>
        <v>35.5</v>
      </c>
      <c r="N4535" s="335" t="str">
        <f>IF(MAXIFS('単価履歴'!$O:$O,'単価履歴'!$E:$E,E4535,'単価履歴'!$F:$F,F4535)=O4535,"●","")</f>
        <v/>
      </c>
      <c r="O4535" s="346">
        <v>46093.35333333333</v>
      </c>
      <c r="P4535" s="334" t="str">
        <f t="shared" si="4"/>
        <v>大鉄　堺:伊藤忠Ｈ３(1級)</v>
      </c>
    </row>
    <row r="4536" ht="15.75" customHeight="1">
      <c r="A4536" s="335" t="s">
        <v>5683</v>
      </c>
      <c r="B4536" s="336">
        <v>46093.0</v>
      </c>
      <c r="C4536" s="335" t="s">
        <v>9</v>
      </c>
      <c r="D4536" s="335" t="s">
        <v>49</v>
      </c>
      <c r="E4536" s="337" t="str">
        <f t="shared" si="1"/>
        <v>大鉄　堺:伊藤忠</v>
      </c>
      <c r="F4536" s="338" t="s">
        <v>122</v>
      </c>
      <c r="G4536" s="339" t="str">
        <f t="shared" si="2"/>
        <v>大鉄　堺:伊藤忠Ｌ１(2級)</v>
      </c>
      <c r="H4536" s="340">
        <f t="shared" si="3"/>
        <v>36.5</v>
      </c>
      <c r="I4536" s="341">
        <v>2.0</v>
      </c>
      <c r="J4536" s="332">
        <f>IFERROR(__xludf.DUMMYFUNCTION("IF(IF(COUNTIF(P$2:P4535, P4536)=0, """", INDEX(H$2:H4535,
MAX(FILTER(ROW(H$2:H4535) - ROW(H$2) + 1, P$2:P4535 = P4536))))=""単価"","""",
IF(COUNTIF(P$2:P4535, P4536)=0, """", INDEX(H$2:H4535,
MAX(FILTER(ROW(H$2:H4535) - ROW(H$2) + 1, P$2:P4535 = P4536)))))"),34.5)</f>
        <v>34.5</v>
      </c>
      <c r="N4536" s="335" t="str">
        <f>IF(MAXIFS('単価履歴'!$O:$O,'単価履歴'!$E:$E,E4536,'単価履歴'!$F:$F,F4536)=O4536,"●","")</f>
        <v/>
      </c>
      <c r="O4536" s="346">
        <v>46093.35333333333</v>
      </c>
      <c r="P4536" s="334" t="str">
        <f t="shared" si="4"/>
        <v>大鉄　堺:伊藤忠Ｌ１(2級)</v>
      </c>
    </row>
    <row r="4537" ht="15.75" customHeight="1">
      <c r="A4537" s="335" t="s">
        <v>5684</v>
      </c>
      <c r="B4537" s="336">
        <v>46093.0</v>
      </c>
      <c r="C4537" s="335" t="s">
        <v>9</v>
      </c>
      <c r="D4537" s="335" t="s">
        <v>49</v>
      </c>
      <c r="E4537" s="337" t="str">
        <f t="shared" si="1"/>
        <v>大鉄　堺:伊藤忠</v>
      </c>
      <c r="F4537" s="338" t="s">
        <v>130</v>
      </c>
      <c r="G4537" s="339" t="str">
        <f t="shared" si="2"/>
        <v>大鉄　堺:伊藤忠新断Ａ</v>
      </c>
      <c r="H4537" s="340">
        <f t="shared" si="3"/>
        <v>32.8</v>
      </c>
      <c r="I4537" s="341">
        <v>2.0</v>
      </c>
      <c r="J4537" s="332">
        <f>IFERROR(__xludf.DUMMYFUNCTION("IF(IF(COUNTIF(P$2:P4536, P4537)=0, """", INDEX(H$2:H4536,
MAX(FILTER(ROW(H$2:H4536) - ROW(H$2) + 1, P$2:P4536 = P4537))))=""単価"","""",
IF(COUNTIF(P$2:P4536, P4537)=0, """", INDEX(H$2:H4536,
MAX(FILTER(ROW(H$2:H4536) - ROW(H$2) + 1, P$2:P4536 = P4537)))))"),30.8)</f>
        <v>30.8</v>
      </c>
      <c r="N4537" s="335" t="str">
        <f>IF(MAXIFS('単価履歴'!$O:$O,'単価履歴'!$E:$E,E4537,'単価履歴'!$F:$F,F4537)=O4537,"●","")</f>
        <v/>
      </c>
      <c r="O4537" s="346">
        <v>46093.35333333333</v>
      </c>
      <c r="P4537" s="334" t="str">
        <f t="shared" si="4"/>
        <v>大鉄　堺:伊藤忠新断Ａ</v>
      </c>
    </row>
    <row r="4538" ht="15.75" customHeight="1">
      <c r="A4538" s="335" t="s">
        <v>5685</v>
      </c>
      <c r="B4538" s="336">
        <v>46093.0</v>
      </c>
      <c r="C4538" s="335" t="s">
        <v>9</v>
      </c>
      <c r="D4538" s="335" t="s">
        <v>49</v>
      </c>
      <c r="E4538" s="337" t="str">
        <f t="shared" si="1"/>
        <v>大鉄　堺:伊藤忠</v>
      </c>
      <c r="F4538" s="338" t="s">
        <v>131</v>
      </c>
      <c r="G4538" s="339" t="str">
        <f t="shared" si="2"/>
        <v>大鉄　堺:伊藤忠新断Ｂ</v>
      </c>
      <c r="H4538" s="340">
        <f t="shared" si="3"/>
        <v>32.3</v>
      </c>
      <c r="I4538" s="341">
        <v>2.0</v>
      </c>
      <c r="J4538" s="332">
        <f>IFERROR(__xludf.DUMMYFUNCTION("IF(IF(COUNTIF(P$2:P4537, P4538)=0, """", INDEX(H$2:H4537,
MAX(FILTER(ROW(H$2:H4537) - ROW(H$2) + 1, P$2:P4537 = P4538))))=""単価"","""",
IF(COUNTIF(P$2:P4537, P4538)=0, """", INDEX(H$2:H4537,
MAX(FILTER(ROW(H$2:H4537) - ROW(H$2) + 1, P$2:P4537 = P4538)))))"),30.3)</f>
        <v>30.3</v>
      </c>
      <c r="N4538" s="335" t="str">
        <f>IF(MAXIFS('単価履歴'!$O:$O,'単価履歴'!$E:$E,E4538,'単価履歴'!$F:$F,F4538)=O4538,"●","")</f>
        <v/>
      </c>
      <c r="O4538" s="346">
        <v>46093.35333333333</v>
      </c>
      <c r="P4538" s="334" t="str">
        <f t="shared" si="4"/>
        <v>大鉄　堺:伊藤忠新断Ｂ</v>
      </c>
    </row>
    <row r="4539" ht="15.75" customHeight="1">
      <c r="A4539" s="335" t="s">
        <v>5686</v>
      </c>
      <c r="B4539" s="336">
        <v>46093.0</v>
      </c>
      <c r="C4539" s="335" t="s">
        <v>9</v>
      </c>
      <c r="D4539" s="335" t="s">
        <v>48</v>
      </c>
      <c r="E4539" s="337" t="str">
        <f t="shared" si="1"/>
        <v>大鉄　堺:ナベ</v>
      </c>
      <c r="F4539" s="338" t="s">
        <v>111</v>
      </c>
      <c r="G4539" s="339" t="str">
        <f t="shared" si="2"/>
        <v>大鉄　堺:ナベＨ１(特A)</v>
      </c>
      <c r="H4539" s="340">
        <f t="shared" si="3"/>
        <v>2</v>
      </c>
      <c r="I4539" s="341">
        <v>2.0</v>
      </c>
      <c r="J4539" s="332">
        <f>IFERROR(__xludf.DUMMYFUNCTION("IF(IF(COUNTIF(P$2:P4538, P4539)=0, """", INDEX(H$2:H4538,
MAX(FILTER(ROW(H$2:H4538) - ROW(H$2) + 1, P$2:P4538 = P4539))))=""単価"","""",
IF(COUNTIF(P$2:P4538, P4539)=0, """", INDEX(H$2:H4538,
MAX(FILTER(ROW(H$2:H4538) - ROW(H$2) + 1, P$2:P4538 = P4539)))))"),0.0)</f>
        <v>0</v>
      </c>
      <c r="N4539" s="335" t="str">
        <f>IF(MAXIFS('単価履歴'!$O:$O,'単価履歴'!$E:$E,E4539,'単価履歴'!$F:$F,F4539)=O4539,"●","")</f>
        <v/>
      </c>
      <c r="O4539" s="346">
        <v>46093.35391203704</v>
      </c>
      <c r="P4539" s="334" t="str">
        <f t="shared" si="4"/>
        <v>大鉄　堺:ナベＨ１(特A)</v>
      </c>
    </row>
    <row r="4540" ht="15.75" customHeight="1">
      <c r="A4540" s="335" t="s">
        <v>5687</v>
      </c>
      <c r="B4540" s="336">
        <v>46093.0</v>
      </c>
      <c r="C4540" s="335" t="s">
        <v>9</v>
      </c>
      <c r="D4540" s="335" t="s">
        <v>48</v>
      </c>
      <c r="E4540" s="337" t="str">
        <f t="shared" si="1"/>
        <v>大鉄　堺:ナベ</v>
      </c>
      <c r="F4540" s="338" t="s">
        <v>116</v>
      </c>
      <c r="G4540" s="339" t="str">
        <f t="shared" si="2"/>
        <v>大鉄　堺:ナベＨ２(特級)</v>
      </c>
      <c r="H4540" s="340">
        <f t="shared" si="3"/>
        <v>48.7</v>
      </c>
      <c r="I4540" s="341">
        <v>2.0</v>
      </c>
      <c r="J4540" s="332">
        <f>IFERROR(__xludf.DUMMYFUNCTION("IF(IF(COUNTIF(P$2:P4539, P4540)=0, """", INDEX(H$2:H4539,
MAX(FILTER(ROW(H$2:H4539) - ROW(H$2) + 1, P$2:P4539 = P4540))))=""単価"","""",
IF(COUNTIF(P$2:P4539, P4540)=0, """", INDEX(H$2:H4539,
MAX(FILTER(ROW(H$2:H4539) - ROW(H$2) + 1, P$2:P4539 = P4540)))))"),46.7)</f>
        <v>46.7</v>
      </c>
      <c r="N4540" s="335" t="str">
        <f>IF(MAXIFS('単価履歴'!$O:$O,'単価履歴'!$E:$E,E4540,'単価履歴'!$F:$F,F4540)=O4540,"●","")</f>
        <v/>
      </c>
      <c r="O4540" s="346">
        <v>46093.35391203704</v>
      </c>
      <c r="P4540" s="334" t="str">
        <f t="shared" si="4"/>
        <v>大鉄　堺:ナベＨ２(特級)</v>
      </c>
    </row>
    <row r="4541" ht="15.75" customHeight="1">
      <c r="A4541" s="335" t="s">
        <v>5688</v>
      </c>
      <c r="B4541" s="336">
        <v>46093.0</v>
      </c>
      <c r="C4541" s="335" t="s">
        <v>9</v>
      </c>
      <c r="D4541" s="335" t="s">
        <v>48</v>
      </c>
      <c r="E4541" s="337" t="str">
        <f t="shared" si="1"/>
        <v>大鉄　堺:ナベ</v>
      </c>
      <c r="F4541" s="338" t="s">
        <v>119</v>
      </c>
      <c r="G4541" s="339" t="str">
        <f t="shared" si="2"/>
        <v>大鉄　堺:ナベＨ３(1級)</v>
      </c>
      <c r="H4541" s="340">
        <f t="shared" si="3"/>
        <v>48.2</v>
      </c>
      <c r="I4541" s="341">
        <v>2.0</v>
      </c>
      <c r="J4541" s="332">
        <f>IFERROR(__xludf.DUMMYFUNCTION("IF(IF(COUNTIF(P$2:P4540, P4541)=0, """", INDEX(H$2:H4540,
MAX(FILTER(ROW(H$2:H4540) - ROW(H$2) + 1, P$2:P4540 = P4541))))=""単価"","""",
IF(COUNTIF(P$2:P4540, P4541)=0, """", INDEX(H$2:H4540,
MAX(FILTER(ROW(H$2:H4540) - ROW(H$2) + 1, P$2:P4540 = P4541)))))"),46.2)</f>
        <v>46.2</v>
      </c>
      <c r="N4541" s="335" t="str">
        <f>IF(MAXIFS('単価履歴'!$O:$O,'単価履歴'!$E:$E,E4541,'単価履歴'!$F:$F,F4541)=O4541,"●","")</f>
        <v/>
      </c>
      <c r="O4541" s="346">
        <v>46093.35391203704</v>
      </c>
      <c r="P4541" s="334" t="str">
        <f t="shared" si="4"/>
        <v>大鉄　堺:ナベＨ３(1級)</v>
      </c>
    </row>
    <row r="4542" ht="15.75" customHeight="1">
      <c r="A4542" s="335" t="s">
        <v>5689</v>
      </c>
      <c r="B4542" s="336">
        <v>46093.0</v>
      </c>
      <c r="C4542" s="335" t="s">
        <v>9</v>
      </c>
      <c r="D4542" s="335" t="s">
        <v>48</v>
      </c>
      <c r="E4542" s="337" t="str">
        <f t="shared" si="1"/>
        <v>大鉄　堺:ナベ</v>
      </c>
      <c r="F4542" s="338" t="s">
        <v>122</v>
      </c>
      <c r="G4542" s="339" t="str">
        <f t="shared" si="2"/>
        <v>大鉄　堺:ナベＬ１(2級)</v>
      </c>
      <c r="H4542" s="340">
        <f t="shared" si="3"/>
        <v>47.7</v>
      </c>
      <c r="I4542" s="341">
        <v>2.0</v>
      </c>
      <c r="J4542" s="332">
        <f>IFERROR(__xludf.DUMMYFUNCTION("IF(IF(COUNTIF(P$2:P4541, P4542)=0, """", INDEX(H$2:H4541,
MAX(FILTER(ROW(H$2:H4541) - ROW(H$2) + 1, P$2:P4541 = P4542))))=""単価"","""",
IF(COUNTIF(P$2:P4541, P4542)=0, """", INDEX(H$2:H4541,
MAX(FILTER(ROW(H$2:H4541) - ROW(H$2) + 1, P$2:P4541 = P4542)))))"),45.7)</f>
        <v>45.7</v>
      </c>
      <c r="N4542" s="335" t="str">
        <f>IF(MAXIFS('単価履歴'!$O:$O,'単価履歴'!$E:$E,E4542,'単価履歴'!$F:$F,F4542)=O4542,"●","")</f>
        <v/>
      </c>
      <c r="O4542" s="346">
        <v>46093.35391203704</v>
      </c>
      <c r="P4542" s="334" t="str">
        <f t="shared" si="4"/>
        <v>大鉄　堺:ナベＬ１(2級)</v>
      </c>
    </row>
    <row r="4543" ht="15.75" customHeight="1">
      <c r="A4543" s="335" t="s">
        <v>5690</v>
      </c>
      <c r="B4543" s="336">
        <v>46093.0</v>
      </c>
      <c r="C4543" s="335" t="s">
        <v>10</v>
      </c>
      <c r="D4543" s="335" t="s">
        <v>47</v>
      </c>
      <c r="E4543" s="337" t="str">
        <f t="shared" si="1"/>
        <v>岸和田:豊通</v>
      </c>
      <c r="F4543" s="338" t="s">
        <v>111</v>
      </c>
      <c r="G4543" s="339" t="str">
        <f t="shared" si="2"/>
        <v>岸和田:豊通Ｈ１(特A)</v>
      </c>
      <c r="H4543" s="340">
        <f t="shared" si="3"/>
        <v>48.5</v>
      </c>
      <c r="I4543" s="341">
        <v>2.0</v>
      </c>
      <c r="J4543" s="332">
        <f>IFERROR(__xludf.DUMMYFUNCTION("IF(IF(COUNTIF(P$2:P4542, P4543)=0, """", INDEX(H$2:H4542,
MAX(FILTER(ROW(H$2:H4542) - ROW(H$2) + 1, P$2:P4542 = P4543))))=""単価"","""",
IF(COUNTIF(P$2:P4542, P4543)=0, """", INDEX(H$2:H4542,
MAX(FILTER(ROW(H$2:H4542) - ROW(H$2) + 1, P$2:P4542 = P4543)))))"),46.5)</f>
        <v>46.5</v>
      </c>
      <c r="N4543" s="335" t="str">
        <f>IF(MAXIFS('単価履歴'!$O:$O,'単価履歴'!$E:$E,E4543,'単価履歴'!$F:$F,F4543)=O4543,"●","")</f>
        <v/>
      </c>
      <c r="O4543" s="346">
        <v>46093.35423611111</v>
      </c>
      <c r="P4543" s="334" t="str">
        <f t="shared" si="4"/>
        <v>岸和田:豊通Ｈ１(特A)</v>
      </c>
    </row>
    <row r="4544" ht="15.75" customHeight="1">
      <c r="A4544" s="335" t="s">
        <v>5691</v>
      </c>
      <c r="B4544" s="336">
        <v>46093.0</v>
      </c>
      <c r="C4544" s="335" t="s">
        <v>10</v>
      </c>
      <c r="D4544" s="335" t="s">
        <v>47</v>
      </c>
      <c r="E4544" s="337" t="str">
        <f t="shared" si="1"/>
        <v>岸和田:豊通</v>
      </c>
      <c r="F4544" s="338" t="s">
        <v>116</v>
      </c>
      <c r="G4544" s="339" t="str">
        <f t="shared" si="2"/>
        <v>岸和田:豊通Ｈ２(特級)</v>
      </c>
      <c r="H4544" s="340">
        <f t="shared" si="3"/>
        <v>46</v>
      </c>
      <c r="I4544" s="341">
        <v>2.0</v>
      </c>
      <c r="J4544" s="332">
        <f>IFERROR(__xludf.DUMMYFUNCTION("IF(IF(COUNTIF(P$2:P4543, P4544)=0, """", INDEX(H$2:H4543,
MAX(FILTER(ROW(H$2:H4543) - ROW(H$2) + 1, P$2:P4543 = P4544))))=""単価"","""",
IF(COUNTIF(P$2:P4543, P4544)=0, """", INDEX(H$2:H4543,
MAX(FILTER(ROW(H$2:H4543) - ROW(H$2) + 1, P$2:P4543 = P4544)))))"),44.0)</f>
        <v>44</v>
      </c>
      <c r="N4544" s="335" t="str">
        <f>IF(MAXIFS('単価履歴'!$O:$O,'単価履歴'!$E:$E,E4544,'単価履歴'!$F:$F,F4544)=O4544,"●","")</f>
        <v/>
      </c>
      <c r="O4544" s="346">
        <v>46093.35423611111</v>
      </c>
      <c r="P4544" s="334" t="str">
        <f t="shared" si="4"/>
        <v>岸和田:豊通Ｈ２(特級)</v>
      </c>
    </row>
    <row r="4545" ht="15.75" customHeight="1">
      <c r="A4545" s="335" t="s">
        <v>5692</v>
      </c>
      <c r="B4545" s="336">
        <v>46093.0</v>
      </c>
      <c r="C4545" s="335" t="s">
        <v>10</v>
      </c>
      <c r="D4545" s="335" t="s">
        <v>47</v>
      </c>
      <c r="E4545" s="337" t="str">
        <f t="shared" si="1"/>
        <v>岸和田:豊通</v>
      </c>
      <c r="F4545" s="338" t="s">
        <v>119</v>
      </c>
      <c r="G4545" s="339" t="str">
        <f t="shared" si="2"/>
        <v>岸和田:豊通Ｈ３(1級)</v>
      </c>
      <c r="H4545" s="340">
        <f t="shared" si="3"/>
        <v>45.5</v>
      </c>
      <c r="I4545" s="341">
        <v>2.0</v>
      </c>
      <c r="J4545" s="332">
        <f>IFERROR(__xludf.DUMMYFUNCTION("IF(IF(COUNTIF(P$2:P4544, P4545)=0, """", INDEX(H$2:H4544,
MAX(FILTER(ROW(H$2:H4544) - ROW(H$2) + 1, P$2:P4544 = P4545))))=""単価"","""",
IF(COUNTIF(P$2:P4544, P4545)=0, """", INDEX(H$2:H4544,
MAX(FILTER(ROW(H$2:H4544) - ROW(H$2) + 1, P$2:P4544 = P4545)))))"),43.5)</f>
        <v>43.5</v>
      </c>
      <c r="N4545" s="335" t="str">
        <f>IF(MAXIFS('単価履歴'!$O:$O,'単価履歴'!$E:$E,E4545,'単価履歴'!$F:$F,F4545)=O4545,"●","")</f>
        <v/>
      </c>
      <c r="O4545" s="346">
        <v>46093.35423611111</v>
      </c>
      <c r="P4545" s="334" t="str">
        <f t="shared" si="4"/>
        <v>岸和田:豊通Ｈ３(1級)</v>
      </c>
    </row>
    <row r="4546" ht="15.75" customHeight="1">
      <c r="A4546" s="335" t="s">
        <v>5693</v>
      </c>
      <c r="B4546" s="336">
        <v>46093.0</v>
      </c>
      <c r="C4546" s="335" t="s">
        <v>10</v>
      </c>
      <c r="D4546" s="335" t="s">
        <v>47</v>
      </c>
      <c r="E4546" s="337" t="str">
        <f t="shared" si="1"/>
        <v>岸和田:豊通</v>
      </c>
      <c r="F4546" s="338" t="s">
        <v>122</v>
      </c>
      <c r="G4546" s="339" t="str">
        <f t="shared" si="2"/>
        <v>岸和田:豊通Ｌ１(2級)</v>
      </c>
      <c r="H4546" s="340">
        <f t="shared" si="3"/>
        <v>45</v>
      </c>
      <c r="I4546" s="341">
        <v>2.0</v>
      </c>
      <c r="J4546" s="332">
        <f>IFERROR(__xludf.DUMMYFUNCTION("IF(IF(COUNTIF(P$2:P4545, P4546)=0, """", INDEX(H$2:H4545,
MAX(FILTER(ROW(H$2:H4545) - ROW(H$2) + 1, P$2:P4545 = P4546))))=""単価"","""",
IF(COUNTIF(P$2:P4545, P4546)=0, """", INDEX(H$2:H4545,
MAX(FILTER(ROW(H$2:H4545) - ROW(H$2) + 1, P$2:P4545 = P4546)))))"),43.0)</f>
        <v>43</v>
      </c>
      <c r="N4546" s="335" t="str">
        <f>IF(MAXIFS('単価履歴'!$O:$O,'単価履歴'!$E:$E,E4546,'単価履歴'!$F:$F,F4546)=O4546,"●","")</f>
        <v/>
      </c>
      <c r="O4546" s="346">
        <v>46093.35423611111</v>
      </c>
      <c r="P4546" s="334" t="str">
        <f t="shared" si="4"/>
        <v>岸和田:豊通Ｌ１(2級)</v>
      </c>
    </row>
    <row r="4547" ht="15.75" customHeight="1">
      <c r="A4547" s="335" t="s">
        <v>5694</v>
      </c>
      <c r="B4547" s="336">
        <v>46093.0</v>
      </c>
      <c r="C4547" s="335" t="s">
        <v>10</v>
      </c>
      <c r="D4547" s="335" t="s">
        <v>47</v>
      </c>
      <c r="E4547" s="337" t="str">
        <f t="shared" si="1"/>
        <v>岸和田:豊通</v>
      </c>
      <c r="F4547" s="338" t="s">
        <v>154</v>
      </c>
      <c r="G4547" s="339" t="str">
        <f t="shared" si="2"/>
        <v>岸和田:豊通ＣＰ Ａ</v>
      </c>
      <c r="H4547" s="340">
        <f t="shared" si="3"/>
        <v>48.2</v>
      </c>
      <c r="I4547" s="341">
        <v>2.0</v>
      </c>
      <c r="J4547" s="332">
        <f>IFERROR(__xludf.DUMMYFUNCTION("IF(IF(COUNTIF(P$2:P4546, P4547)=0, """", INDEX(H$2:H4546,
MAX(FILTER(ROW(H$2:H4546) - ROW(H$2) + 1, P$2:P4546 = P4547))))=""単価"","""",
IF(COUNTIF(P$2:P4546, P4547)=0, """", INDEX(H$2:H4546,
MAX(FILTER(ROW(H$2:H4546) - ROW(H$2) + 1, P$2:P4546 = P4547)))))"),46.2)</f>
        <v>46.2</v>
      </c>
      <c r="N4547" s="335" t="str">
        <f>IF(MAXIFS('単価履歴'!$O:$O,'単価履歴'!$E:$E,E4547,'単価履歴'!$F:$F,F4547)=O4547,"●","")</f>
        <v/>
      </c>
      <c r="O4547" s="346">
        <v>46093.35423611111</v>
      </c>
      <c r="P4547" s="334" t="str">
        <f t="shared" si="4"/>
        <v>岸和田:豊通ＣＰ Ａ</v>
      </c>
    </row>
    <row r="4548" ht="15.75" customHeight="1">
      <c r="A4548" s="335" t="s">
        <v>5695</v>
      </c>
      <c r="B4548" s="336">
        <v>46093.0</v>
      </c>
      <c r="C4548" s="335" t="s">
        <v>10</v>
      </c>
      <c r="D4548" s="335" t="s">
        <v>46</v>
      </c>
      <c r="E4548" s="337" t="str">
        <f t="shared" si="1"/>
        <v>岸和田:阪和</v>
      </c>
      <c r="F4548" s="338" t="s">
        <v>149</v>
      </c>
      <c r="G4548" s="339" t="str">
        <f t="shared" si="2"/>
        <v>岸和田:阪和シュレＢ</v>
      </c>
      <c r="H4548" s="340">
        <f t="shared" si="3"/>
        <v>47.8</v>
      </c>
      <c r="I4548" s="341">
        <v>2.0</v>
      </c>
      <c r="J4548" s="332">
        <f>IFERROR(__xludf.DUMMYFUNCTION("IF(IF(COUNTIF(P$2:P4547, P4548)=0, """", INDEX(H$2:H4547,
MAX(FILTER(ROW(H$2:H4547) - ROW(H$2) + 1, P$2:P4547 = P4548))))=""単価"","""",
IF(COUNTIF(P$2:P4547, P4548)=0, """", INDEX(H$2:H4547,
MAX(FILTER(ROW(H$2:H4547) - ROW(H$2) + 1, P$2:P4547 = P4548)))))"),45.8)</f>
        <v>45.8</v>
      </c>
      <c r="N4548" s="335" t="str">
        <f>IF(MAXIFS('単価履歴'!$O:$O,'単価履歴'!$E:$E,E4548,'単価履歴'!$F:$F,F4548)=O4548,"●","")</f>
        <v/>
      </c>
      <c r="O4548" s="346">
        <v>46093.35465277778</v>
      </c>
      <c r="P4548" s="334" t="str">
        <f t="shared" si="4"/>
        <v>岸和田:阪和シュレＢ</v>
      </c>
    </row>
    <row r="4549" ht="15.75" customHeight="1">
      <c r="A4549" s="335" t="s">
        <v>5696</v>
      </c>
      <c r="B4549" s="336">
        <v>46093.0</v>
      </c>
      <c r="C4549" s="335" t="s">
        <v>10</v>
      </c>
      <c r="D4549" s="335" t="s">
        <v>539</v>
      </c>
      <c r="E4549" s="337" t="str">
        <f t="shared" si="1"/>
        <v>岸和田:岡谷鋼機</v>
      </c>
      <c r="F4549" s="338" t="s">
        <v>111</v>
      </c>
      <c r="G4549" s="339" t="str">
        <f t="shared" si="2"/>
        <v>岸和田:岡谷鋼機Ｈ１(特A)</v>
      </c>
      <c r="H4549" s="340">
        <f t="shared" si="3"/>
        <v>52.7</v>
      </c>
      <c r="I4549" s="341">
        <v>2.0</v>
      </c>
      <c r="J4549" s="332">
        <f>IFERROR(__xludf.DUMMYFUNCTION("IF(IF(COUNTIF(P$2:P4548, P4549)=0, """", INDEX(H$2:H4548,
MAX(FILTER(ROW(H$2:H4548) - ROW(H$2) + 1, P$2:P4548 = P4549))))=""単価"","""",
IF(COUNTIF(P$2:P4548, P4549)=0, """", INDEX(H$2:H4548,
MAX(FILTER(ROW(H$2:H4548) - ROW(H$2) + 1, P$2:P4548 = P4549)))))"),50.7)</f>
        <v>50.7</v>
      </c>
      <c r="N4549" s="335" t="str">
        <f>IF(MAXIFS('単価履歴'!$O:$O,'単価履歴'!$E:$E,E4549,'単価履歴'!$F:$F,F4549)=O4549,"●","")</f>
        <v/>
      </c>
      <c r="O4549" s="346">
        <v>46093.35513888889</v>
      </c>
      <c r="P4549" s="334" t="str">
        <f t="shared" si="4"/>
        <v>岸和田:岡谷鋼機Ｈ１(特A)</v>
      </c>
    </row>
    <row r="4550" ht="15.75" customHeight="1">
      <c r="A4550" s="335" t="s">
        <v>5697</v>
      </c>
      <c r="B4550" s="336">
        <v>46093.0</v>
      </c>
      <c r="C4550" s="335" t="s">
        <v>10</v>
      </c>
      <c r="D4550" s="335" t="s">
        <v>539</v>
      </c>
      <c r="E4550" s="337" t="str">
        <f t="shared" si="1"/>
        <v>岸和田:岡谷鋼機</v>
      </c>
      <c r="F4550" s="338" t="s">
        <v>116</v>
      </c>
      <c r="G4550" s="339" t="str">
        <f t="shared" si="2"/>
        <v>岸和田:岡谷鋼機Ｈ２(特級)</v>
      </c>
      <c r="H4550" s="340">
        <f t="shared" si="3"/>
        <v>50.7</v>
      </c>
      <c r="I4550" s="341">
        <v>2.0</v>
      </c>
      <c r="J4550" s="332">
        <f>IFERROR(__xludf.DUMMYFUNCTION("IF(IF(COUNTIF(P$2:P4549, P4550)=0, """", INDEX(H$2:H4549,
MAX(FILTER(ROW(H$2:H4549) - ROW(H$2) + 1, P$2:P4549 = P4550))))=""単価"","""",
IF(COUNTIF(P$2:P4549, P4550)=0, """", INDEX(H$2:H4549,
MAX(FILTER(ROW(H$2:H4549) - ROW(H$2) + 1, P$2:P4549 = P4550)))))"),48.7)</f>
        <v>48.7</v>
      </c>
      <c r="N4550" s="335" t="str">
        <f>IF(MAXIFS('単価履歴'!$O:$O,'単価履歴'!$E:$E,E4550,'単価履歴'!$F:$F,F4550)=O4550,"●","")</f>
        <v/>
      </c>
      <c r="O4550" s="346">
        <v>46093.35513888889</v>
      </c>
      <c r="P4550" s="334" t="str">
        <f t="shared" si="4"/>
        <v>岸和田:岡谷鋼機Ｈ２(特級)</v>
      </c>
    </row>
    <row r="4551" ht="15.75" customHeight="1">
      <c r="A4551" s="335" t="s">
        <v>5698</v>
      </c>
      <c r="B4551" s="336">
        <v>46093.0</v>
      </c>
      <c r="C4551" s="335" t="s">
        <v>10</v>
      </c>
      <c r="D4551" s="335" t="s">
        <v>539</v>
      </c>
      <c r="E4551" s="337" t="str">
        <f t="shared" si="1"/>
        <v>岸和田:岡谷鋼機</v>
      </c>
      <c r="F4551" s="338" t="s">
        <v>119</v>
      </c>
      <c r="G4551" s="339" t="str">
        <f t="shared" si="2"/>
        <v>岸和田:岡谷鋼機Ｈ３(1級)</v>
      </c>
      <c r="H4551" s="340">
        <f t="shared" si="3"/>
        <v>49.2</v>
      </c>
      <c r="I4551" s="341">
        <v>2.0</v>
      </c>
      <c r="J4551" s="332">
        <f>IFERROR(__xludf.DUMMYFUNCTION("IF(IF(COUNTIF(P$2:P4550, P4551)=0, """", INDEX(H$2:H4550,
MAX(FILTER(ROW(H$2:H4550) - ROW(H$2) + 1, P$2:P4550 = P4551))))=""単価"","""",
IF(COUNTIF(P$2:P4550, P4551)=0, """", INDEX(H$2:H4550,
MAX(FILTER(ROW(H$2:H4550) - ROW(H$2) + 1, P$2:P4550 = P4551)))))"),47.2)</f>
        <v>47.2</v>
      </c>
      <c r="N4551" s="335" t="str">
        <f>IF(MAXIFS('単価履歴'!$O:$O,'単価履歴'!$E:$E,E4551,'単価履歴'!$F:$F,F4551)=O4551,"●","")</f>
        <v/>
      </c>
      <c r="O4551" s="346">
        <v>46093.35513888889</v>
      </c>
      <c r="P4551" s="334" t="str">
        <f t="shared" si="4"/>
        <v>岸和田:岡谷鋼機Ｈ３(1級)</v>
      </c>
    </row>
    <row r="4552" ht="15.75" customHeight="1">
      <c r="A4552" s="335" t="s">
        <v>5699</v>
      </c>
      <c r="B4552" s="336">
        <v>46093.0</v>
      </c>
      <c r="C4552" s="335" t="s">
        <v>36</v>
      </c>
      <c r="D4552" s="335" t="s">
        <v>1303</v>
      </c>
      <c r="E4552" s="337" t="str">
        <f t="shared" si="1"/>
        <v>共英枚方:ナベ/置場単価</v>
      </c>
      <c r="F4552" s="338" t="s">
        <v>111</v>
      </c>
      <c r="G4552" s="339" t="str">
        <f t="shared" si="2"/>
        <v>共英枚方:ナベ/置場単価Ｈ１(特A)</v>
      </c>
      <c r="H4552" s="340">
        <f t="shared" si="3"/>
        <v>48</v>
      </c>
      <c r="I4552" s="341">
        <v>2.0</v>
      </c>
      <c r="J4552" s="332">
        <f>IFERROR(__xludf.DUMMYFUNCTION("IF(IF(COUNTIF(P$2:P4551, P4552)=0, """", INDEX(H$2:H4551,
MAX(FILTER(ROW(H$2:H4551) - ROW(H$2) + 1, P$2:P4551 = P4552))))=""単価"","""",
IF(COUNTIF(P$2:P4551, P4552)=0, """", INDEX(H$2:H4551,
MAX(FILTER(ROW(H$2:H4551) - ROW(H$2) + 1, P$2:P4551 = P4552)))))"),46.0)</f>
        <v>46</v>
      </c>
      <c r="N4552" s="335" t="str">
        <f>IF(MAXIFS('単価履歴'!$O:$O,'単価履歴'!$E:$E,E4552,'単価履歴'!$F:$F,F4552)=O4552,"●","")</f>
        <v/>
      </c>
      <c r="O4552" s="346">
        <v>46093.355358796296</v>
      </c>
      <c r="P4552" s="334" t="str">
        <f t="shared" si="4"/>
        <v>共英枚方:ナベ/置場単価Ｈ１(特A)</v>
      </c>
    </row>
    <row r="4553" ht="15.75" customHeight="1">
      <c r="A4553" s="335" t="s">
        <v>5700</v>
      </c>
      <c r="B4553" s="336">
        <v>46093.0</v>
      </c>
      <c r="C4553" s="335" t="s">
        <v>36</v>
      </c>
      <c r="D4553" s="335" t="s">
        <v>1303</v>
      </c>
      <c r="E4553" s="337" t="str">
        <f t="shared" si="1"/>
        <v>共英枚方:ナベ/置場単価</v>
      </c>
      <c r="F4553" s="338" t="s">
        <v>116</v>
      </c>
      <c r="G4553" s="339" t="str">
        <f t="shared" si="2"/>
        <v>共英枚方:ナベ/置場単価Ｈ２(特級)</v>
      </c>
      <c r="H4553" s="340">
        <f t="shared" si="3"/>
        <v>46.5</v>
      </c>
      <c r="I4553" s="341">
        <v>2.0</v>
      </c>
      <c r="J4553" s="332">
        <f>IFERROR(__xludf.DUMMYFUNCTION("IF(IF(COUNTIF(P$2:P4552, P4553)=0, """", INDEX(H$2:H4552,
MAX(FILTER(ROW(H$2:H4552) - ROW(H$2) + 1, P$2:P4552 = P4553))))=""単価"","""",
IF(COUNTIF(P$2:P4552, P4553)=0, """", INDEX(H$2:H4552,
MAX(FILTER(ROW(H$2:H4552) - ROW(H$2) + 1, P$2:P4552 = P4553)))))"),44.5)</f>
        <v>44.5</v>
      </c>
      <c r="N4553" s="335" t="str">
        <f>IF(MAXIFS('単価履歴'!$O:$O,'単価履歴'!$E:$E,E4553,'単価履歴'!$F:$F,F4553)=O4553,"●","")</f>
        <v/>
      </c>
      <c r="O4553" s="346">
        <v>46093.355358796296</v>
      </c>
      <c r="P4553" s="334" t="str">
        <f t="shared" si="4"/>
        <v>共英枚方:ナベ/置場単価Ｈ２(特級)</v>
      </c>
    </row>
    <row r="4554" ht="15.75" customHeight="1">
      <c r="A4554" s="335" t="s">
        <v>5701</v>
      </c>
      <c r="B4554" s="336">
        <v>46093.0</v>
      </c>
      <c r="C4554" s="335" t="s">
        <v>36</v>
      </c>
      <c r="D4554" s="335" t="s">
        <v>1303</v>
      </c>
      <c r="E4554" s="337" t="str">
        <f t="shared" si="1"/>
        <v>共英枚方:ナベ/置場単価</v>
      </c>
      <c r="F4554" s="338" t="s">
        <v>119</v>
      </c>
      <c r="G4554" s="339" t="str">
        <f t="shared" si="2"/>
        <v>共英枚方:ナベ/置場単価Ｈ３(1級)</v>
      </c>
      <c r="H4554" s="340">
        <f t="shared" si="3"/>
        <v>46.5</v>
      </c>
      <c r="I4554" s="341">
        <v>2.0</v>
      </c>
      <c r="J4554" s="332">
        <f>IFERROR(__xludf.DUMMYFUNCTION("IF(IF(COUNTIF(P$2:P4553, P4554)=0, """", INDEX(H$2:H4553,
MAX(FILTER(ROW(H$2:H4553) - ROW(H$2) + 1, P$2:P4553 = P4554))))=""単価"","""",
IF(COUNTIF(P$2:P4553, P4554)=0, """", INDEX(H$2:H4553,
MAX(FILTER(ROW(H$2:H4553) - ROW(H$2) + 1, P$2:P4553 = P4554)))))"),44.5)</f>
        <v>44.5</v>
      </c>
      <c r="N4554" s="335" t="str">
        <f>IF(MAXIFS('単価履歴'!$O:$O,'単価履歴'!$E:$E,E4554,'単価履歴'!$F:$F,F4554)=O4554,"●","")</f>
        <v/>
      </c>
      <c r="O4554" s="346">
        <v>46093.355358796296</v>
      </c>
      <c r="P4554" s="334" t="str">
        <f t="shared" si="4"/>
        <v>共英枚方:ナベ/置場単価Ｈ３(1級)</v>
      </c>
    </row>
    <row r="4555" ht="15.75" customHeight="1">
      <c r="A4555" s="335" t="s">
        <v>5702</v>
      </c>
      <c r="B4555" s="336">
        <v>46093.0</v>
      </c>
      <c r="C4555" s="335" t="s">
        <v>36</v>
      </c>
      <c r="D4555" s="335" t="s">
        <v>1303</v>
      </c>
      <c r="E4555" s="337" t="str">
        <f t="shared" si="1"/>
        <v>共英枚方:ナベ/置場単価</v>
      </c>
      <c r="F4555" s="338" t="s">
        <v>122</v>
      </c>
      <c r="G4555" s="339" t="str">
        <f t="shared" si="2"/>
        <v>共英枚方:ナベ/置場単価Ｌ１(2級)</v>
      </c>
      <c r="H4555" s="340">
        <f t="shared" si="3"/>
        <v>46.5</v>
      </c>
      <c r="I4555" s="341">
        <v>2.0</v>
      </c>
      <c r="J4555" s="332">
        <f>IFERROR(__xludf.DUMMYFUNCTION("IF(IF(COUNTIF(P$2:P4554, P4555)=0, """", INDEX(H$2:H4554,
MAX(FILTER(ROW(H$2:H4554) - ROW(H$2) + 1, P$2:P4554 = P4555))))=""単価"","""",
IF(COUNTIF(P$2:P4554, P4555)=0, """", INDEX(H$2:H4554,
MAX(FILTER(ROW(H$2:H4554) - ROW(H$2) + 1, P$2:P4554 = P4555)))))"),44.5)</f>
        <v>44.5</v>
      </c>
      <c r="N4555" s="335" t="str">
        <f>IF(MAXIFS('単価履歴'!$O:$O,'単価履歴'!$E:$E,E4555,'単価履歴'!$F:$F,F4555)=O4555,"●","")</f>
        <v/>
      </c>
      <c r="O4555" s="346">
        <v>46093.355358796296</v>
      </c>
      <c r="P4555" s="334" t="str">
        <f t="shared" si="4"/>
        <v>共英枚方:ナベ/置場単価Ｌ１(2級)</v>
      </c>
    </row>
    <row r="4556" ht="15.75" customHeight="1">
      <c r="A4556" s="335" t="s">
        <v>5703</v>
      </c>
      <c r="B4556" s="336">
        <v>46093.0</v>
      </c>
      <c r="C4556" s="335" t="s">
        <v>36</v>
      </c>
      <c r="D4556" s="335" t="s">
        <v>1303</v>
      </c>
      <c r="E4556" s="337" t="str">
        <f t="shared" si="1"/>
        <v>共英枚方:ナベ/置場単価</v>
      </c>
      <c r="F4556" s="338" t="s">
        <v>154</v>
      </c>
      <c r="G4556" s="339" t="str">
        <f t="shared" si="2"/>
        <v>共英枚方:ナベ/置場単価ＣＰ Ａ</v>
      </c>
      <c r="H4556" s="340">
        <f t="shared" si="3"/>
        <v>50</v>
      </c>
      <c r="I4556" s="341">
        <v>2.0</v>
      </c>
      <c r="J4556" s="332">
        <f>IFERROR(__xludf.DUMMYFUNCTION("IF(IF(COUNTIF(P$2:P4555, P4556)=0, """", INDEX(H$2:H4555,
MAX(FILTER(ROW(H$2:H4555) - ROW(H$2) + 1, P$2:P4555 = P4556))))=""単価"","""",
IF(COUNTIF(P$2:P4555, P4556)=0, """", INDEX(H$2:H4555,
MAX(FILTER(ROW(H$2:H4555) - ROW(H$2) + 1, P$2:P4555 = P4556)))))"),48.0)</f>
        <v>48</v>
      </c>
      <c r="N4556" s="335" t="str">
        <f>IF(MAXIFS('単価履歴'!$O:$O,'単価履歴'!$E:$E,E4556,'単価履歴'!$F:$F,F4556)=O4556,"●","")</f>
        <v/>
      </c>
      <c r="O4556" s="346">
        <v>46093.355358796296</v>
      </c>
      <c r="P4556" s="334" t="str">
        <f t="shared" si="4"/>
        <v>共英枚方:ナベ/置場単価ＣＰ Ａ</v>
      </c>
    </row>
    <row r="4557" ht="15.75" customHeight="1">
      <c r="A4557" s="335" t="s">
        <v>5704</v>
      </c>
      <c r="B4557" s="336">
        <v>46093.0</v>
      </c>
      <c r="C4557" s="335" t="s">
        <v>29</v>
      </c>
      <c r="D4557" s="335" t="s">
        <v>50</v>
      </c>
      <c r="E4557" s="337" t="str">
        <f t="shared" si="1"/>
        <v>南港:産振</v>
      </c>
      <c r="F4557" s="338" t="s">
        <v>130</v>
      </c>
      <c r="G4557" s="339" t="str">
        <f t="shared" si="2"/>
        <v>南港:産振新断Ａ</v>
      </c>
      <c r="H4557" s="340">
        <f t="shared" si="3"/>
        <v>54.5</v>
      </c>
      <c r="I4557" s="341">
        <v>2.0</v>
      </c>
      <c r="J4557" s="332">
        <f>IFERROR(__xludf.DUMMYFUNCTION("IF(IF(COUNTIF(P$2:P4556, P4557)=0, """", INDEX(H$2:H4556,
MAX(FILTER(ROW(H$2:H4556) - ROW(H$2) + 1, P$2:P4556 = P4557))))=""単価"","""",
IF(COUNTIF(P$2:P4556, P4557)=0, """", INDEX(H$2:H4556,
MAX(FILTER(ROW(H$2:H4556) - ROW(H$2) + 1, P$2:P4556 = P4557)))))"),52.5)</f>
        <v>52.5</v>
      </c>
      <c r="N4557" s="335" t="str">
        <f>IF(MAXIFS('単価履歴'!$O:$O,'単価履歴'!$E:$E,E4557,'単価履歴'!$F:$F,F4557)=O4557,"●","")</f>
        <v>●</v>
      </c>
      <c r="O4557" s="346">
        <v>46093.356099537035</v>
      </c>
      <c r="P4557" s="334" t="str">
        <f t="shared" si="4"/>
        <v>南港:産振新断Ａ</v>
      </c>
    </row>
    <row r="4558" ht="15.75" customHeight="1">
      <c r="A4558" s="335" t="s">
        <v>5705</v>
      </c>
      <c r="B4558" s="336">
        <v>46093.0</v>
      </c>
      <c r="C4558" s="335" t="s">
        <v>30</v>
      </c>
      <c r="D4558" s="335" t="s">
        <v>52</v>
      </c>
      <c r="E4558" s="337" t="str">
        <f t="shared" si="1"/>
        <v>北港:リバイブ</v>
      </c>
      <c r="F4558" s="338" t="s">
        <v>1199</v>
      </c>
      <c r="G4558" s="339" t="str">
        <f t="shared" si="2"/>
        <v>北港:リバイブＨＳ１(単体H1/電特A/HS))</v>
      </c>
      <c r="H4558" s="340">
        <f t="shared" si="3"/>
        <v>53</v>
      </c>
      <c r="I4558" s="341">
        <v>1.5</v>
      </c>
      <c r="J4558" s="332">
        <f>IFERROR(__xludf.DUMMYFUNCTION("IF(IF(COUNTIF(P$2:P4557, P4558)=0, """", INDEX(H$2:H4557,
MAX(FILTER(ROW(H$2:H4557) - ROW(H$2) + 1, P$2:P4557 = P4558))))=""単価"","""",
IF(COUNTIF(P$2:P4557, P4558)=0, """", INDEX(H$2:H4557,
MAX(FILTER(ROW(H$2:H4557) - ROW(H$2) + 1, P$2:P4557 = P4558)))))"),51.5)</f>
        <v>51.5</v>
      </c>
      <c r="N4558" s="335" t="str">
        <f>IF(MAXIFS('単価履歴'!$O:$O,'単価履歴'!$E:$E,E4558,'単価履歴'!$F:$F,F4558)=O4558,"●","")</f>
        <v>●</v>
      </c>
      <c r="O4558" s="346">
        <v>46093.35631944444</v>
      </c>
      <c r="P4558" s="334" t="str">
        <f t="shared" si="4"/>
        <v>北港:リバイブＨＳ１(単体H1/電特A/HS))</v>
      </c>
    </row>
    <row r="4559" ht="15.75" customHeight="1">
      <c r="A4559" s="335" t="s">
        <v>5706</v>
      </c>
      <c r="B4559" s="336">
        <v>46093.0</v>
      </c>
      <c r="C4559" s="335" t="s">
        <v>11</v>
      </c>
      <c r="D4559" s="335" t="s">
        <v>46</v>
      </c>
      <c r="E4559" s="337" t="str">
        <f t="shared" si="1"/>
        <v>ﾔﾏﾄ:阪和</v>
      </c>
      <c r="F4559" s="338" t="s">
        <v>116</v>
      </c>
      <c r="G4559" s="339" t="str">
        <f t="shared" si="2"/>
        <v>ﾔﾏﾄ:阪和Ｈ２(特級)</v>
      </c>
      <c r="H4559" s="340">
        <f t="shared" si="3"/>
        <v>49.1</v>
      </c>
      <c r="I4559" s="341">
        <v>2.0</v>
      </c>
      <c r="J4559" s="332">
        <f>IFERROR(__xludf.DUMMYFUNCTION("IF(IF(COUNTIF(P$2:P4558, P4559)=0, """", INDEX(H$2:H4558,
MAX(FILTER(ROW(H$2:H4558) - ROW(H$2) + 1, P$2:P4558 = P4559))))=""単価"","""",
IF(COUNTIF(P$2:P4558, P4559)=0, """", INDEX(H$2:H4558,
MAX(FILTER(ROW(H$2:H4558) - ROW(H$2) + 1, P$2:P4558 = P4559)))))"),47.1)</f>
        <v>47.1</v>
      </c>
      <c r="N4559" s="335" t="str">
        <f>IF(MAXIFS('単価履歴'!$O:$O,'単価履歴'!$E:$E,E4559,'単価履歴'!$F:$F,F4559)=O4559,"●","")</f>
        <v/>
      </c>
      <c r="O4559" s="346">
        <v>46093.35690972222</v>
      </c>
      <c r="P4559" s="334" t="str">
        <f t="shared" si="4"/>
        <v>ﾔﾏﾄ:阪和Ｈ２(特級)</v>
      </c>
    </row>
    <row r="4560" ht="15.75" customHeight="1">
      <c r="A4560" s="335" t="s">
        <v>5707</v>
      </c>
      <c r="B4560" s="336">
        <v>46093.0</v>
      </c>
      <c r="C4560" s="335" t="s">
        <v>11</v>
      </c>
      <c r="D4560" s="335" t="s">
        <v>46</v>
      </c>
      <c r="E4560" s="337" t="str">
        <f t="shared" si="1"/>
        <v>ﾔﾏﾄ:阪和</v>
      </c>
      <c r="F4560" s="338" t="s">
        <v>119</v>
      </c>
      <c r="G4560" s="339" t="str">
        <f t="shared" si="2"/>
        <v>ﾔﾏﾄ:阪和Ｈ３(1級)</v>
      </c>
      <c r="H4560" s="340">
        <f t="shared" si="3"/>
        <v>48.1</v>
      </c>
      <c r="I4560" s="341">
        <v>2.0</v>
      </c>
      <c r="J4560" s="332">
        <f>IFERROR(__xludf.DUMMYFUNCTION("IF(IF(COUNTIF(P$2:P4559, P4560)=0, """", INDEX(H$2:H4559,
MAX(FILTER(ROW(H$2:H4559) - ROW(H$2) + 1, P$2:P4559 = P4560))))=""単価"","""",
IF(COUNTIF(P$2:P4559, P4560)=0, """", INDEX(H$2:H4559,
MAX(FILTER(ROW(H$2:H4559) - ROW(H$2) + 1, P$2:P4559 = P4560)))))"),46.1)</f>
        <v>46.1</v>
      </c>
      <c r="N4560" s="335" t="str">
        <f>IF(MAXIFS('単価履歴'!$O:$O,'単価履歴'!$E:$E,E4560,'単価履歴'!$F:$F,F4560)=O4560,"●","")</f>
        <v/>
      </c>
      <c r="O4560" s="346">
        <v>46093.35690972222</v>
      </c>
      <c r="P4560" s="334" t="str">
        <f t="shared" si="4"/>
        <v>ﾔﾏﾄ:阪和Ｈ３(1級)</v>
      </c>
    </row>
    <row r="4561" ht="15.75" customHeight="1">
      <c r="A4561" s="335" t="s">
        <v>5708</v>
      </c>
      <c r="B4561" s="336">
        <v>46093.0</v>
      </c>
      <c r="C4561" s="335" t="s">
        <v>11</v>
      </c>
      <c r="D4561" s="335" t="s">
        <v>46</v>
      </c>
      <c r="E4561" s="337" t="str">
        <f t="shared" si="1"/>
        <v>ﾔﾏﾄ:阪和</v>
      </c>
      <c r="F4561" s="338" t="s">
        <v>122</v>
      </c>
      <c r="G4561" s="339" t="str">
        <f t="shared" si="2"/>
        <v>ﾔﾏﾄ:阪和Ｌ１(2級)</v>
      </c>
      <c r="H4561" s="340">
        <f t="shared" si="3"/>
        <v>46.1</v>
      </c>
      <c r="I4561" s="341">
        <v>2.0</v>
      </c>
      <c r="J4561" s="332">
        <f>IFERROR(__xludf.DUMMYFUNCTION("IF(IF(COUNTIF(P$2:P4560, P4561)=0, """", INDEX(H$2:H4560,
MAX(FILTER(ROW(H$2:H4560) - ROW(H$2) + 1, P$2:P4560 = P4561))))=""単価"","""",
IF(COUNTIF(P$2:P4560, P4561)=0, """", INDEX(H$2:H4560,
MAX(FILTER(ROW(H$2:H4560) - ROW(H$2) + 1, P$2:P4560 = P4561)))))"),44.1)</f>
        <v>44.1</v>
      </c>
      <c r="N4561" s="335" t="str">
        <f>IF(MAXIFS('単価履歴'!$O:$O,'単価履歴'!$E:$E,E4561,'単価履歴'!$F:$F,F4561)=O4561,"●","")</f>
        <v/>
      </c>
      <c r="O4561" s="346">
        <v>46093.35690972222</v>
      </c>
      <c r="P4561" s="334" t="str">
        <f t="shared" si="4"/>
        <v>ﾔﾏﾄ:阪和Ｌ１(2級)</v>
      </c>
    </row>
    <row r="4562" ht="15.75" customHeight="1">
      <c r="A4562" s="335" t="s">
        <v>5709</v>
      </c>
      <c r="B4562" s="336">
        <v>46093.0</v>
      </c>
      <c r="C4562" s="335" t="s">
        <v>11</v>
      </c>
      <c r="D4562" s="335" t="s">
        <v>46</v>
      </c>
      <c r="E4562" s="337" t="str">
        <f t="shared" si="1"/>
        <v>ﾔﾏﾄ:阪和</v>
      </c>
      <c r="F4562" s="338" t="s">
        <v>111</v>
      </c>
      <c r="G4562" s="339" t="str">
        <f t="shared" si="2"/>
        <v>ﾔﾏﾄ:阪和Ｈ１(特A)</v>
      </c>
      <c r="H4562" s="340">
        <f t="shared" si="3"/>
        <v>50.1</v>
      </c>
      <c r="I4562" s="341">
        <v>2.0</v>
      </c>
      <c r="J4562" s="332">
        <f>IFERROR(__xludf.DUMMYFUNCTION("IF(IF(COUNTIF(P$2:P4561, P4562)=0, """", INDEX(H$2:H4561,
MAX(FILTER(ROW(H$2:H4561) - ROW(H$2) + 1, P$2:P4561 = P4562))))=""単価"","""",
IF(COUNTIF(P$2:P4561, P4562)=0, """", INDEX(H$2:H4561,
MAX(FILTER(ROW(H$2:H4561) - ROW(H$2) + 1, P$2:P4561 = P4562)))))"),48.1)</f>
        <v>48.1</v>
      </c>
      <c r="N4562" s="335" t="str">
        <f>IF(MAXIFS('単価履歴'!$O:$O,'単価履歴'!$E:$E,E4562,'単価履歴'!$F:$F,F4562)=O4562,"●","")</f>
        <v/>
      </c>
      <c r="O4562" s="346">
        <v>46093.35690972222</v>
      </c>
      <c r="P4562" s="334" t="str">
        <f t="shared" si="4"/>
        <v>ﾔﾏﾄ:阪和Ｈ１(特A)</v>
      </c>
    </row>
    <row r="4563" ht="15.75" customHeight="1">
      <c r="A4563" s="335" t="s">
        <v>5710</v>
      </c>
      <c r="B4563" s="336">
        <v>46093.0</v>
      </c>
      <c r="C4563" s="335" t="s">
        <v>11</v>
      </c>
      <c r="D4563" s="335" t="s">
        <v>46</v>
      </c>
      <c r="E4563" s="337" t="str">
        <f t="shared" si="1"/>
        <v>ﾔﾏﾄ:阪和</v>
      </c>
      <c r="F4563" s="338" t="s">
        <v>573</v>
      </c>
      <c r="G4563" s="339" t="str">
        <f t="shared" si="2"/>
        <v>ﾔﾏﾄ:阪和Ｌ２(H4･級外･L1ﾊﾞﾗ)</v>
      </c>
      <c r="H4563" s="340">
        <f t="shared" si="3"/>
        <v>43.6</v>
      </c>
      <c r="I4563" s="341">
        <v>2.0</v>
      </c>
      <c r="J4563" s="332">
        <f>IFERROR(__xludf.DUMMYFUNCTION("IF(IF(COUNTIF(P$2:P4562, P4563)=0, """", INDEX(H$2:H4562,
MAX(FILTER(ROW(H$2:H4562) - ROW(H$2) + 1, P$2:P4562 = P4563))))=""単価"","""",
IF(COUNTIF(P$2:P4562, P4563)=0, """", INDEX(H$2:H4562,
MAX(FILTER(ROW(H$2:H4562) - ROW(H$2) + 1, P$2:P4562 = P4563)))))"),41.6)</f>
        <v>41.6</v>
      </c>
      <c r="N4563" s="335" t="str">
        <f>IF(MAXIFS('単価履歴'!$O:$O,'単価履歴'!$E:$E,E4563,'単価履歴'!$F:$F,F4563)=O4563,"●","")</f>
        <v/>
      </c>
      <c r="O4563" s="346">
        <v>46093.35690972222</v>
      </c>
      <c r="P4563" s="334" t="str">
        <f t="shared" si="4"/>
        <v>ﾔﾏﾄ:阪和Ｌ２(H4･級外･L1ﾊﾞﾗ)</v>
      </c>
    </row>
    <row r="4564" ht="15.75" customHeight="1">
      <c r="A4564" s="335" t="s">
        <v>5711</v>
      </c>
      <c r="B4564" s="336">
        <v>46093.0</v>
      </c>
      <c r="C4564" s="335" t="s">
        <v>12</v>
      </c>
      <c r="D4564" s="335" t="s">
        <v>53</v>
      </c>
      <c r="E4564" s="337" t="str">
        <f t="shared" si="1"/>
        <v>山陽特殊:MM</v>
      </c>
      <c r="F4564" s="338" t="s">
        <v>130</v>
      </c>
      <c r="G4564" s="339" t="str">
        <f t="shared" si="2"/>
        <v>山陽特殊:MM新断Ａ</v>
      </c>
      <c r="H4564" s="340">
        <f t="shared" si="3"/>
        <v>51.5</v>
      </c>
      <c r="I4564" s="341">
        <v>1.0</v>
      </c>
      <c r="J4564" s="332">
        <f>IFERROR(__xludf.DUMMYFUNCTION("IF(IF(COUNTIF(P$2:P4563, P4564)=0, """", INDEX(H$2:H4563,
MAX(FILTER(ROW(H$2:H4563) - ROW(H$2) + 1, P$2:P4563 = P4564))))=""単価"","""",
IF(COUNTIF(P$2:P4563, P4564)=0, """", INDEX(H$2:H4563,
MAX(FILTER(ROW(H$2:H4563) - ROW(H$2) + 1, P$2:P4563 = P4564)))))"),50.5)</f>
        <v>50.5</v>
      </c>
      <c r="N4564" s="335" t="str">
        <f>IF(MAXIFS('単価履歴'!$O:$O,'単価履歴'!$E:$E,E4564,'単価履歴'!$F:$F,F4564)=O4564,"●","")</f>
        <v/>
      </c>
      <c r="O4564" s="346">
        <v>46093.35731481481</v>
      </c>
      <c r="P4564" s="334" t="str">
        <f t="shared" si="4"/>
        <v>山陽特殊:MM新断Ａ</v>
      </c>
    </row>
    <row r="4565" ht="15.75" customHeight="1">
      <c r="A4565" s="335" t="s">
        <v>5712</v>
      </c>
      <c r="B4565" s="336">
        <v>46093.0</v>
      </c>
      <c r="C4565" s="335" t="s">
        <v>12</v>
      </c>
      <c r="D4565" s="335" t="s">
        <v>53</v>
      </c>
      <c r="E4565" s="337" t="str">
        <f t="shared" si="1"/>
        <v>山陽特殊:MM</v>
      </c>
      <c r="F4565" s="338" t="s">
        <v>131</v>
      </c>
      <c r="G4565" s="339" t="str">
        <f t="shared" si="2"/>
        <v>山陽特殊:MM新断Ｂ</v>
      </c>
      <c r="H4565" s="340">
        <f t="shared" si="3"/>
        <v>50.5</v>
      </c>
      <c r="I4565" s="341">
        <v>1.0</v>
      </c>
      <c r="J4565" s="332">
        <f>IFERROR(__xludf.DUMMYFUNCTION("IF(IF(COUNTIF(P$2:P4564, P4565)=0, """", INDEX(H$2:H4564,
MAX(FILTER(ROW(H$2:H4564) - ROW(H$2) + 1, P$2:P4564 = P4565))))=""単価"","""",
IF(COUNTIF(P$2:P4564, P4565)=0, """", INDEX(H$2:H4564,
MAX(FILTER(ROW(H$2:H4564) - ROW(H$2) + 1, P$2:P4564 = P4565)))))"),49.5)</f>
        <v>49.5</v>
      </c>
      <c r="N4565" s="335" t="str">
        <f>IF(MAXIFS('単価履歴'!$O:$O,'単価履歴'!$E:$E,E4565,'単価履歴'!$F:$F,F4565)=O4565,"●","")</f>
        <v/>
      </c>
      <c r="O4565" s="346">
        <v>46093.35731481481</v>
      </c>
      <c r="P4565" s="334" t="str">
        <f t="shared" si="4"/>
        <v>山陽特殊:MM新断Ｂ</v>
      </c>
    </row>
    <row r="4566" ht="15.75" customHeight="1">
      <c r="A4566" s="335" t="s">
        <v>5713</v>
      </c>
      <c r="B4566" s="336">
        <v>46093.0</v>
      </c>
      <c r="C4566" s="335" t="s">
        <v>12</v>
      </c>
      <c r="D4566" s="335" t="s">
        <v>53</v>
      </c>
      <c r="E4566" s="337" t="str">
        <f t="shared" si="1"/>
        <v>山陽特殊:MM</v>
      </c>
      <c r="F4566" s="338" t="s">
        <v>574</v>
      </c>
      <c r="G4566" s="339" t="str">
        <f t="shared" si="2"/>
        <v>山陽特殊:MM新断Ｃ</v>
      </c>
      <c r="H4566" s="340">
        <f t="shared" si="3"/>
        <v>49.2</v>
      </c>
      <c r="I4566" s="341">
        <v>1.0</v>
      </c>
      <c r="J4566" s="332">
        <f>IFERROR(__xludf.DUMMYFUNCTION("IF(IF(COUNTIF(P$2:P4565, P4566)=0, """", INDEX(H$2:H4565,
MAX(FILTER(ROW(H$2:H4565) - ROW(H$2) + 1, P$2:P4565 = P4566))))=""単価"","""",
IF(COUNTIF(P$2:P4565, P4566)=0, """", INDEX(H$2:H4565,
MAX(FILTER(ROW(H$2:H4565) - ROW(H$2) + 1, P$2:P4565 = P4566)))))"),48.199999999999996)</f>
        <v>48.2</v>
      </c>
      <c r="N4566" s="335" t="str">
        <f>IF(MAXIFS('単価履歴'!$O:$O,'単価履歴'!$E:$E,E4566,'単価履歴'!$F:$F,F4566)=O4566,"●","")</f>
        <v/>
      </c>
      <c r="O4566" s="346">
        <v>46093.35731481481</v>
      </c>
      <c r="P4566" s="334" t="str">
        <f t="shared" si="4"/>
        <v>山陽特殊:MM新断Ｃ</v>
      </c>
    </row>
    <row r="4567" ht="15.75" customHeight="1">
      <c r="A4567" s="335" t="s">
        <v>5714</v>
      </c>
      <c r="B4567" s="336">
        <v>46093.0</v>
      </c>
      <c r="C4567" s="335" t="s">
        <v>12</v>
      </c>
      <c r="D4567" s="335" t="s">
        <v>53</v>
      </c>
      <c r="E4567" s="337" t="str">
        <f t="shared" si="1"/>
        <v>山陽特殊:MM</v>
      </c>
      <c r="F4567" s="338" t="s">
        <v>1199</v>
      </c>
      <c r="G4567" s="339" t="str">
        <f t="shared" si="2"/>
        <v>山陽特殊:MMＨＳ１(単体H1/電特A/HS))</v>
      </c>
      <c r="H4567" s="340">
        <f t="shared" si="3"/>
        <v>53.5</v>
      </c>
      <c r="I4567" s="341">
        <v>2.0</v>
      </c>
      <c r="J4567" s="332">
        <f>IFERROR(__xludf.DUMMYFUNCTION("IF(IF(COUNTIF(P$2:P4566, P4567)=0, """", INDEX(H$2:H4566,
MAX(FILTER(ROW(H$2:H4566) - ROW(H$2) + 1, P$2:P4566 = P4567))))=""単価"","""",
IF(COUNTIF(P$2:P4566, P4567)=0, """", INDEX(H$2:H4566,
MAX(FILTER(ROW(H$2:H4566) - ROW(H$2) + 1, P$2:P4566 = P4567)))))"),51.5)</f>
        <v>51.5</v>
      </c>
      <c r="N4567" s="335" t="str">
        <f>IF(MAXIFS('単価履歴'!$O:$O,'単価履歴'!$E:$E,E4567,'単価履歴'!$F:$F,F4567)=O4567,"●","")</f>
        <v/>
      </c>
      <c r="O4567" s="346">
        <v>46093.3577662037</v>
      </c>
      <c r="P4567" s="334" t="str">
        <f t="shared" si="4"/>
        <v>山陽特殊:MMＨＳ１(単体H1/電特A/HS))</v>
      </c>
    </row>
    <row r="4568" ht="15.75" customHeight="1">
      <c r="A4568" s="335" t="s">
        <v>5715</v>
      </c>
      <c r="B4568" s="336">
        <v>46093.0</v>
      </c>
      <c r="C4568" s="335" t="s">
        <v>12</v>
      </c>
      <c r="D4568" s="335" t="s">
        <v>53</v>
      </c>
      <c r="E4568" s="337" t="str">
        <f t="shared" si="1"/>
        <v>山陽特殊:MM</v>
      </c>
      <c r="F4568" s="338" t="s">
        <v>101</v>
      </c>
      <c r="G4568" s="339" t="str">
        <f t="shared" si="2"/>
        <v>山陽特殊:MMＨＳ２</v>
      </c>
      <c r="H4568" s="340">
        <f t="shared" si="3"/>
        <v>53.3</v>
      </c>
      <c r="I4568" s="341">
        <v>2.0</v>
      </c>
      <c r="J4568" s="332">
        <f>IFERROR(__xludf.DUMMYFUNCTION("IF(IF(COUNTIF(P$2:P4567, P4568)=0, """", INDEX(H$2:H4567,
MAX(FILTER(ROW(H$2:H4567) - ROW(H$2) + 1, P$2:P4567 = P4568))))=""単価"","""",
IF(COUNTIF(P$2:P4567, P4568)=0, """", INDEX(H$2:H4567,
MAX(FILTER(ROW(H$2:H4567) - ROW(H$2) + 1, P$2:P4567 = P4568)))))"),51.3)</f>
        <v>51.3</v>
      </c>
      <c r="N4568" s="335" t="str">
        <f>IF(MAXIFS('単価履歴'!$O:$O,'単価履歴'!$E:$E,E4568,'単価履歴'!$F:$F,F4568)=O4568,"●","")</f>
        <v/>
      </c>
      <c r="O4568" s="346">
        <v>46093.3577662037</v>
      </c>
      <c r="P4568" s="334" t="str">
        <f t="shared" si="4"/>
        <v>山陽特殊:MMＨＳ２</v>
      </c>
    </row>
    <row r="4569" ht="15.75" customHeight="1">
      <c r="A4569" s="335" t="s">
        <v>5716</v>
      </c>
      <c r="B4569" s="336">
        <v>46093.0</v>
      </c>
      <c r="C4569" s="335" t="s">
        <v>12</v>
      </c>
      <c r="D4569" s="335" t="s">
        <v>53</v>
      </c>
      <c r="E4569" s="337" t="str">
        <f t="shared" si="1"/>
        <v>山陽特殊:MM</v>
      </c>
      <c r="F4569" s="338" t="s">
        <v>105</v>
      </c>
      <c r="G4569" s="339" t="str">
        <f t="shared" si="2"/>
        <v>山陽特殊:MMＨＳ３</v>
      </c>
      <c r="H4569" s="340">
        <f t="shared" si="3"/>
        <v>51.3</v>
      </c>
      <c r="I4569" s="341">
        <v>2.0</v>
      </c>
      <c r="J4569" s="332">
        <f>IFERROR(__xludf.DUMMYFUNCTION("IF(IF(COUNTIF(P$2:P4568, P4569)=0, """", INDEX(H$2:H4568,
MAX(FILTER(ROW(H$2:H4568) - ROW(H$2) + 1, P$2:P4568 = P4569))))=""単価"","""",
IF(COUNTIF(P$2:P4568, P4569)=0, """", INDEX(H$2:H4568,
MAX(FILTER(ROW(H$2:H4568) - ROW(H$2) + 1, P$2:P4568 = P4569)))))"),49.3)</f>
        <v>49.3</v>
      </c>
      <c r="N4569" s="335" t="str">
        <f>IF(MAXIFS('単価履歴'!$O:$O,'単価履歴'!$E:$E,E4569,'単価履歴'!$F:$F,F4569)=O4569,"●","")</f>
        <v/>
      </c>
      <c r="O4569" s="346">
        <v>46093.3577662037</v>
      </c>
      <c r="P4569" s="334" t="str">
        <f t="shared" si="4"/>
        <v>山陽特殊:MMＨＳ３</v>
      </c>
    </row>
    <row r="4570" ht="15.75" customHeight="1">
      <c r="A4570" s="335" t="s">
        <v>5717</v>
      </c>
      <c r="B4570" s="336">
        <v>46093.0</v>
      </c>
      <c r="C4570" s="335" t="s">
        <v>12</v>
      </c>
      <c r="D4570" s="335" t="s">
        <v>53</v>
      </c>
      <c r="E4570" s="337" t="str">
        <f t="shared" si="1"/>
        <v>山陽特殊:MM</v>
      </c>
      <c r="F4570" s="338" t="s">
        <v>122</v>
      </c>
      <c r="G4570" s="339" t="str">
        <f t="shared" si="2"/>
        <v>山陽特殊:MMＬ１(2級)</v>
      </c>
      <c r="H4570" s="340">
        <f t="shared" si="3"/>
        <v>9.5</v>
      </c>
      <c r="I4570" s="341">
        <v>2.0</v>
      </c>
      <c r="J4570" s="332">
        <f>IFERROR(__xludf.DUMMYFUNCTION("IF(IF(COUNTIF(P$2:P4569, P4570)=0, """", INDEX(H$2:H4569,
MAX(FILTER(ROW(H$2:H4569) - ROW(H$2) + 1, P$2:P4569 = P4570))))=""単価"","""",
IF(COUNTIF(P$2:P4569, P4570)=0, """", INDEX(H$2:H4569,
MAX(FILTER(ROW(H$2:H4569) - ROW(H$2) + 1, P$2:P4569 = P4570)))))"),7.5)</f>
        <v>7.5</v>
      </c>
      <c r="N4570" s="335" t="str">
        <f>IF(MAXIFS('単価履歴'!$O:$O,'単価履歴'!$E:$E,E4570,'単価履歴'!$F:$F,F4570)=O4570,"●","")</f>
        <v/>
      </c>
      <c r="O4570" s="346">
        <v>46093.3577662037</v>
      </c>
      <c r="P4570" s="334" t="str">
        <f t="shared" si="4"/>
        <v>山陽特殊:MMＬ１(2級)</v>
      </c>
    </row>
    <row r="4571" ht="15.75" customHeight="1">
      <c r="A4571" s="335" t="s">
        <v>5718</v>
      </c>
      <c r="B4571" s="336">
        <v>46093.0</v>
      </c>
      <c r="C4571" s="335" t="s">
        <v>12</v>
      </c>
      <c r="D4571" s="335" t="s">
        <v>541</v>
      </c>
      <c r="E4571" s="337" t="str">
        <f t="shared" si="1"/>
        <v>山陽特殊:大同</v>
      </c>
      <c r="F4571" s="338" t="s">
        <v>1199</v>
      </c>
      <c r="G4571" s="339" t="str">
        <f t="shared" si="2"/>
        <v>山陽特殊:大同ＨＳ１(単体H1/電特A/HS))</v>
      </c>
      <c r="H4571" s="340">
        <f t="shared" si="3"/>
        <v>54.7</v>
      </c>
      <c r="I4571" s="341">
        <v>2.0</v>
      </c>
      <c r="J4571" s="332">
        <f>IFERROR(__xludf.DUMMYFUNCTION("IF(IF(COUNTIF(P$2:P4570, P4571)=0, """", INDEX(H$2:H4570,
MAX(FILTER(ROW(H$2:H4570) - ROW(H$2) + 1, P$2:P4570 = P4571))))=""単価"","""",
IF(COUNTIF(P$2:P4570, P4571)=0, """", INDEX(H$2:H4570,
MAX(FILTER(ROW(H$2:H4570) - ROW(H$2) + 1, P$2:P4570 = P4571)))))"),52.7)</f>
        <v>52.7</v>
      </c>
      <c r="N4571" s="335" t="str">
        <f>IF(MAXIFS('単価履歴'!$O:$O,'単価履歴'!$E:$E,E4571,'単価履歴'!$F:$F,F4571)=O4571,"●","")</f>
        <v/>
      </c>
      <c r="O4571" s="346">
        <v>46093.35804398148</v>
      </c>
      <c r="P4571" s="334" t="str">
        <f t="shared" si="4"/>
        <v>山陽特殊:大同ＨＳ１(単体H1/電特A/HS))</v>
      </c>
    </row>
    <row r="4572" ht="15.75" customHeight="1">
      <c r="A4572" s="335" t="s">
        <v>5719</v>
      </c>
      <c r="B4572" s="336">
        <v>46093.0</v>
      </c>
      <c r="C4572" s="335" t="s">
        <v>12</v>
      </c>
      <c r="D4572" s="335" t="s">
        <v>541</v>
      </c>
      <c r="E4572" s="337" t="str">
        <f t="shared" si="1"/>
        <v>山陽特殊:大同</v>
      </c>
      <c r="F4572" s="338" t="s">
        <v>101</v>
      </c>
      <c r="G4572" s="339" t="str">
        <f t="shared" si="2"/>
        <v>山陽特殊:大同ＨＳ２</v>
      </c>
      <c r="H4572" s="340">
        <f t="shared" si="3"/>
        <v>54.5</v>
      </c>
      <c r="I4572" s="341">
        <v>2.0</v>
      </c>
      <c r="J4572" s="332">
        <f>IFERROR(__xludf.DUMMYFUNCTION("IF(IF(COUNTIF(P$2:P4571, P4572)=0, """", INDEX(H$2:H4571,
MAX(FILTER(ROW(H$2:H4571) - ROW(H$2) + 1, P$2:P4571 = P4572))))=""単価"","""",
IF(COUNTIF(P$2:P4571, P4572)=0, """", INDEX(H$2:H4571,
MAX(FILTER(ROW(H$2:H4571) - ROW(H$2) + 1, P$2:P4571 = P4572)))))"),52.5)</f>
        <v>52.5</v>
      </c>
      <c r="N4572" s="335" t="str">
        <f>IF(MAXIFS('単価履歴'!$O:$O,'単価履歴'!$E:$E,E4572,'単価履歴'!$F:$F,F4572)=O4572,"●","")</f>
        <v/>
      </c>
      <c r="O4572" s="346">
        <v>46093.35804398148</v>
      </c>
      <c r="P4572" s="334" t="str">
        <f t="shared" si="4"/>
        <v>山陽特殊:大同ＨＳ２</v>
      </c>
    </row>
    <row r="4573" ht="15.75" customHeight="1">
      <c r="A4573" s="335" t="s">
        <v>5720</v>
      </c>
      <c r="B4573" s="336">
        <v>46093.0</v>
      </c>
      <c r="C4573" s="335" t="s">
        <v>12</v>
      </c>
      <c r="D4573" s="335" t="s">
        <v>541</v>
      </c>
      <c r="E4573" s="337" t="str">
        <f t="shared" si="1"/>
        <v>山陽特殊:大同</v>
      </c>
      <c r="F4573" s="338" t="s">
        <v>105</v>
      </c>
      <c r="G4573" s="339" t="str">
        <f t="shared" si="2"/>
        <v>山陽特殊:大同ＨＳ３</v>
      </c>
      <c r="H4573" s="340">
        <f t="shared" si="3"/>
        <v>52.5</v>
      </c>
      <c r="I4573" s="341">
        <v>2.0</v>
      </c>
      <c r="J4573" s="332">
        <f>IFERROR(__xludf.DUMMYFUNCTION("IF(IF(COUNTIF(P$2:P4572, P4573)=0, """", INDEX(H$2:H4572,
MAX(FILTER(ROW(H$2:H4572) - ROW(H$2) + 1, P$2:P4572 = P4573))))=""単価"","""",
IF(COUNTIF(P$2:P4572, P4573)=0, """", INDEX(H$2:H4572,
MAX(FILTER(ROW(H$2:H4572) - ROW(H$2) + 1, P$2:P4572 = P4573)))))"),50.5)</f>
        <v>50.5</v>
      </c>
      <c r="N4573" s="335" t="str">
        <f>IF(MAXIFS('単価履歴'!$O:$O,'単価履歴'!$E:$E,E4573,'単価履歴'!$F:$F,F4573)=O4573,"●","")</f>
        <v/>
      </c>
      <c r="O4573" s="346">
        <v>46093.35804398148</v>
      </c>
      <c r="P4573" s="334" t="str">
        <f t="shared" si="4"/>
        <v>山陽特殊:大同ＨＳ３</v>
      </c>
    </row>
    <row r="4574" ht="15.75" customHeight="1">
      <c r="A4574" s="335" t="s">
        <v>5721</v>
      </c>
      <c r="B4574" s="336">
        <v>46093.0</v>
      </c>
      <c r="C4574" s="335" t="s">
        <v>28</v>
      </c>
      <c r="D4574" s="335" t="s">
        <v>52</v>
      </c>
      <c r="E4574" s="337" t="str">
        <f t="shared" si="1"/>
        <v>ＪＦＥ条鋼:リバイブ</v>
      </c>
      <c r="F4574" s="338" t="s">
        <v>111</v>
      </c>
      <c r="G4574" s="339" t="str">
        <f t="shared" si="2"/>
        <v>ＪＦＥ条鋼:リバイブＨ１(特A)</v>
      </c>
      <c r="H4574" s="340">
        <f t="shared" si="3"/>
        <v>49.5</v>
      </c>
      <c r="I4574" s="341">
        <v>2.0</v>
      </c>
      <c r="J4574" s="332">
        <f>IFERROR(__xludf.DUMMYFUNCTION("IF(IF(COUNTIF(P$2:P4573, P4574)=0, """", INDEX(H$2:H4573,
MAX(FILTER(ROW(H$2:H4573) - ROW(H$2) + 1, P$2:P4573 = P4574))))=""単価"","""",
IF(COUNTIF(P$2:P4573, P4574)=0, """", INDEX(H$2:H4573,
MAX(FILTER(ROW(H$2:H4573) - ROW(H$2) + 1, P$2:P4573 = P4574)))))"),47.5)</f>
        <v>47.5</v>
      </c>
      <c r="N4574" s="335" t="str">
        <f>IF(MAXIFS('単価履歴'!$O:$O,'単価履歴'!$E:$E,E4574,'単価履歴'!$F:$F,F4574)=O4574,"●","")</f>
        <v/>
      </c>
      <c r="O4574" s="346">
        <v>46093.35837962963</v>
      </c>
      <c r="P4574" s="334" t="str">
        <f t="shared" si="4"/>
        <v>ＪＦＥ条鋼:リバイブＨ１(特A)</v>
      </c>
    </row>
    <row r="4575" ht="15.75" customHeight="1">
      <c r="A4575" s="335" t="s">
        <v>5722</v>
      </c>
      <c r="B4575" s="336">
        <v>46093.0</v>
      </c>
      <c r="C4575" s="335" t="s">
        <v>28</v>
      </c>
      <c r="D4575" s="335" t="s">
        <v>52</v>
      </c>
      <c r="E4575" s="337" t="str">
        <f t="shared" si="1"/>
        <v>ＪＦＥ条鋼:リバイブ</v>
      </c>
      <c r="F4575" s="338" t="s">
        <v>116</v>
      </c>
      <c r="G4575" s="339" t="str">
        <f t="shared" si="2"/>
        <v>ＪＦＥ条鋼:リバイブＨ２(特級)</v>
      </c>
      <c r="H4575" s="340">
        <f t="shared" si="3"/>
        <v>49.5</v>
      </c>
      <c r="I4575" s="341">
        <v>2.0</v>
      </c>
      <c r="J4575" s="332">
        <f>IFERROR(__xludf.DUMMYFUNCTION("IF(IF(COUNTIF(P$2:P4574, P4575)=0, """", INDEX(H$2:H4574,
MAX(FILTER(ROW(H$2:H4574) - ROW(H$2) + 1, P$2:P4574 = P4575))))=""単価"","""",
IF(COUNTIF(P$2:P4574, P4575)=0, """", INDEX(H$2:H4574,
MAX(FILTER(ROW(H$2:H4574) - ROW(H$2) + 1, P$2:P4574 = P4575)))))"),47.5)</f>
        <v>47.5</v>
      </c>
      <c r="N4575" s="335" t="str">
        <f>IF(MAXIFS('単価履歴'!$O:$O,'単価履歴'!$E:$E,E4575,'単価履歴'!$F:$F,F4575)=O4575,"●","")</f>
        <v/>
      </c>
      <c r="O4575" s="346">
        <v>46093.35837962963</v>
      </c>
      <c r="P4575" s="334" t="str">
        <f t="shared" si="4"/>
        <v>ＪＦＥ条鋼:リバイブＨ２(特級)</v>
      </c>
    </row>
    <row r="4576" ht="15.75" customHeight="1">
      <c r="A4576" s="335" t="s">
        <v>5723</v>
      </c>
      <c r="B4576" s="336">
        <v>46093.0</v>
      </c>
      <c r="C4576" s="335" t="s">
        <v>28</v>
      </c>
      <c r="D4576" s="335" t="s">
        <v>52</v>
      </c>
      <c r="E4576" s="337" t="str">
        <f t="shared" si="1"/>
        <v>ＪＦＥ条鋼:リバイブ</v>
      </c>
      <c r="F4576" s="338" t="s">
        <v>119</v>
      </c>
      <c r="G4576" s="339" t="str">
        <f t="shared" si="2"/>
        <v>ＪＦＥ条鋼:リバイブＨ３(1級)</v>
      </c>
      <c r="H4576" s="340">
        <f t="shared" si="3"/>
        <v>48.5</v>
      </c>
      <c r="I4576" s="341">
        <v>2.0</v>
      </c>
      <c r="J4576" s="332">
        <f>IFERROR(__xludf.DUMMYFUNCTION("IF(IF(COUNTIF(P$2:P4575, P4576)=0, """", INDEX(H$2:H4575,
MAX(FILTER(ROW(H$2:H4575) - ROW(H$2) + 1, P$2:P4575 = P4576))))=""単価"","""",
IF(COUNTIF(P$2:P4575, P4576)=0, """", INDEX(H$2:H4575,
MAX(FILTER(ROW(H$2:H4575) - ROW(H$2) + 1, P$2:P4575 = P4576)))))"),46.5)</f>
        <v>46.5</v>
      </c>
      <c r="N4576" s="335" t="str">
        <f>IF(MAXIFS('単価履歴'!$O:$O,'単価履歴'!$E:$E,E4576,'単価履歴'!$F:$F,F4576)=O4576,"●","")</f>
        <v/>
      </c>
      <c r="O4576" s="346">
        <v>46093.35837962963</v>
      </c>
      <c r="P4576" s="334" t="str">
        <f t="shared" si="4"/>
        <v>ＪＦＥ条鋼:リバイブＨ３(1級)</v>
      </c>
    </row>
    <row r="4577" ht="15.75" customHeight="1">
      <c r="A4577" s="335" t="s">
        <v>5724</v>
      </c>
      <c r="B4577" s="336">
        <v>46093.0</v>
      </c>
      <c r="C4577" s="335" t="s">
        <v>28</v>
      </c>
      <c r="D4577" s="335" t="s">
        <v>52</v>
      </c>
      <c r="E4577" s="337" t="str">
        <f t="shared" si="1"/>
        <v>ＪＦＥ条鋼:リバイブ</v>
      </c>
      <c r="F4577" s="338" t="s">
        <v>122</v>
      </c>
      <c r="G4577" s="339" t="str">
        <f t="shared" si="2"/>
        <v>ＪＦＥ条鋼:リバイブＬ１(2級)</v>
      </c>
      <c r="H4577" s="340">
        <f t="shared" si="3"/>
        <v>45.5</v>
      </c>
      <c r="I4577" s="341">
        <v>2.0</v>
      </c>
      <c r="J4577" s="332">
        <f>IFERROR(__xludf.DUMMYFUNCTION("IF(IF(COUNTIF(P$2:P4576, P4577)=0, """", INDEX(H$2:H4576,
MAX(FILTER(ROW(H$2:H4576) - ROW(H$2) + 1, P$2:P4576 = P4577))))=""単価"","""",
IF(COUNTIF(P$2:P4576, P4577)=0, """", INDEX(H$2:H4576,
MAX(FILTER(ROW(H$2:H4576) - ROW(H$2) + 1, P$2:P4576 = P4577)))))"),43.5)</f>
        <v>43.5</v>
      </c>
      <c r="N4577" s="335" t="str">
        <f>IF(MAXIFS('単価履歴'!$O:$O,'単価履歴'!$E:$E,E4577,'単価履歴'!$F:$F,F4577)=O4577,"●","")</f>
        <v/>
      </c>
      <c r="O4577" s="346">
        <v>46093.35837962963</v>
      </c>
      <c r="P4577" s="334" t="str">
        <f t="shared" si="4"/>
        <v>ＪＦＥ条鋼:リバイブＬ１(2級)</v>
      </c>
    </row>
    <row r="4578" ht="15.75" customHeight="1">
      <c r="A4578" s="335" t="s">
        <v>5725</v>
      </c>
      <c r="B4578" s="336">
        <v>46093.0</v>
      </c>
      <c r="C4578" s="335" t="s">
        <v>28</v>
      </c>
      <c r="D4578" s="335" t="s">
        <v>52</v>
      </c>
      <c r="E4578" s="337" t="str">
        <f t="shared" si="1"/>
        <v>ＪＦＥ条鋼:リバイブ</v>
      </c>
      <c r="F4578" s="338" t="s">
        <v>573</v>
      </c>
      <c r="G4578" s="339" t="str">
        <f t="shared" si="2"/>
        <v>ＪＦＥ条鋼:リバイブＬ２(H4･級外･L1ﾊﾞﾗ)</v>
      </c>
      <c r="H4578" s="340">
        <f t="shared" si="3"/>
        <v>38.5</v>
      </c>
      <c r="I4578" s="341">
        <v>2.0</v>
      </c>
      <c r="J4578" s="332">
        <f>IFERROR(__xludf.DUMMYFUNCTION("IF(IF(COUNTIF(P$2:P4577, P4578)=0, """", INDEX(H$2:H4577,
MAX(FILTER(ROW(H$2:H4577) - ROW(H$2) + 1, P$2:P4577 = P4578))))=""単価"","""",
IF(COUNTIF(P$2:P4577, P4578)=0, """", INDEX(H$2:H4577,
MAX(FILTER(ROW(H$2:H4577) - ROW(H$2) + 1, P$2:P4577 = P4578)))))"),36.5)</f>
        <v>36.5</v>
      </c>
      <c r="N4578" s="335" t="str">
        <f>IF(MAXIFS('単価履歴'!$O:$O,'単価履歴'!$E:$E,E4578,'単価履歴'!$F:$F,F4578)=O4578,"●","")</f>
        <v/>
      </c>
      <c r="O4578" s="346">
        <v>46093.35837962963</v>
      </c>
      <c r="P4578" s="334" t="str">
        <f t="shared" si="4"/>
        <v>ＪＦＥ条鋼:リバイブＬ２(H4･級外･L1ﾊﾞﾗ)</v>
      </c>
    </row>
    <row r="4579" ht="15.75" customHeight="1">
      <c r="A4579" s="335" t="s">
        <v>5726</v>
      </c>
      <c r="B4579" s="336">
        <v>46093.0</v>
      </c>
      <c r="C4579" s="335" t="s">
        <v>28</v>
      </c>
      <c r="D4579" s="335" t="s">
        <v>52</v>
      </c>
      <c r="E4579" s="337" t="str">
        <f t="shared" si="1"/>
        <v>ＪＦＥ条鋼:リバイブ</v>
      </c>
      <c r="F4579" s="338" t="s">
        <v>130</v>
      </c>
      <c r="G4579" s="339" t="str">
        <f t="shared" si="2"/>
        <v>ＪＦＥ条鋼:リバイブ新断Ａ</v>
      </c>
      <c r="H4579" s="340">
        <f t="shared" si="3"/>
        <v>52</v>
      </c>
      <c r="I4579" s="341">
        <v>2.0</v>
      </c>
      <c r="J4579" s="332">
        <f>IFERROR(__xludf.DUMMYFUNCTION("IF(IF(COUNTIF(P$2:P4578, P4579)=0, """", INDEX(H$2:H4578,
MAX(FILTER(ROW(H$2:H4578) - ROW(H$2) + 1, P$2:P4578 = P4579))))=""単価"","""",
IF(COUNTIF(P$2:P4578, P4579)=0, """", INDEX(H$2:H4578,
MAX(FILTER(ROW(H$2:H4578) - ROW(H$2) + 1, P$2:P4578 = P4579)))))"),50.0)</f>
        <v>50</v>
      </c>
      <c r="N4579" s="335" t="str">
        <f>IF(MAXIFS('単価履歴'!$O:$O,'単価履歴'!$E:$E,E4579,'単価履歴'!$F:$F,F4579)=O4579,"●","")</f>
        <v/>
      </c>
      <c r="O4579" s="346">
        <v>46093.35837962963</v>
      </c>
      <c r="P4579" s="334" t="str">
        <f t="shared" si="4"/>
        <v>ＪＦＥ条鋼:リバイブ新断Ａ</v>
      </c>
    </row>
    <row r="4580" ht="15.75" customHeight="1">
      <c r="A4580" s="335" t="s">
        <v>5727</v>
      </c>
      <c r="B4580" s="336">
        <v>46093.0</v>
      </c>
      <c r="C4580" s="335" t="s">
        <v>28</v>
      </c>
      <c r="D4580" s="335" t="s">
        <v>52</v>
      </c>
      <c r="E4580" s="337" t="str">
        <f t="shared" si="1"/>
        <v>ＪＦＥ条鋼:リバイブ</v>
      </c>
      <c r="F4580" s="338" t="s">
        <v>131</v>
      </c>
      <c r="G4580" s="339" t="str">
        <f t="shared" si="2"/>
        <v>ＪＦＥ条鋼:リバイブ新断Ｂ</v>
      </c>
      <c r="H4580" s="340">
        <f t="shared" si="3"/>
        <v>51</v>
      </c>
      <c r="I4580" s="341">
        <v>2.0</v>
      </c>
      <c r="J4580" s="332">
        <f>IFERROR(__xludf.DUMMYFUNCTION("IF(IF(COUNTIF(P$2:P4579, P4580)=0, """", INDEX(H$2:H4579,
MAX(FILTER(ROW(H$2:H4579) - ROW(H$2) + 1, P$2:P4579 = P4580))))=""単価"","""",
IF(COUNTIF(P$2:P4579, P4580)=0, """", INDEX(H$2:H4579,
MAX(FILTER(ROW(H$2:H4579) - ROW(H$2) + 1, P$2:P4579 = P4580)))))"),49.0)</f>
        <v>49</v>
      </c>
      <c r="N4580" s="335" t="str">
        <f>IF(MAXIFS('単価履歴'!$O:$O,'単価履歴'!$E:$E,E4580,'単価履歴'!$F:$F,F4580)=O4580,"●","")</f>
        <v/>
      </c>
      <c r="O4580" s="346">
        <v>46093.35837962963</v>
      </c>
      <c r="P4580" s="334" t="str">
        <f t="shared" si="4"/>
        <v>ＪＦＥ条鋼:リバイブ新断Ｂ</v>
      </c>
    </row>
    <row r="4581" ht="15.75" customHeight="1">
      <c r="A4581" s="335" t="s">
        <v>5728</v>
      </c>
      <c r="B4581" s="336">
        <v>46093.0</v>
      </c>
      <c r="C4581" s="335" t="s">
        <v>28</v>
      </c>
      <c r="D4581" s="335" t="s">
        <v>52</v>
      </c>
      <c r="E4581" s="337" t="str">
        <f t="shared" si="1"/>
        <v>ＪＦＥ条鋼:リバイブ</v>
      </c>
      <c r="F4581" s="338" t="s">
        <v>575</v>
      </c>
      <c r="G4581" s="339" t="str">
        <f t="shared" si="2"/>
        <v>ＪＦＥ条鋼:リバイブ鋼ダライＡ</v>
      </c>
      <c r="H4581" s="340">
        <f t="shared" si="3"/>
        <v>43.5</v>
      </c>
      <c r="I4581" s="341">
        <v>2.0</v>
      </c>
      <c r="J4581" s="332">
        <f>IFERROR(__xludf.DUMMYFUNCTION("IF(IF(COUNTIF(P$2:P4580, P4581)=0, """", INDEX(H$2:H4580,
MAX(FILTER(ROW(H$2:H4580) - ROW(H$2) + 1, P$2:P4580 = P4581))))=""単価"","""",
IF(COUNTIF(P$2:P4580, P4581)=0, """", INDEX(H$2:H4580,
MAX(FILTER(ROW(H$2:H4580) - ROW(H$2) + 1, P$2:P4580 = P4581)))))"),41.5)</f>
        <v>41.5</v>
      </c>
      <c r="N4581" s="335" t="str">
        <f>IF(MAXIFS('単価履歴'!$O:$O,'単価履歴'!$E:$E,E4581,'単価履歴'!$F:$F,F4581)=O4581,"●","")</f>
        <v/>
      </c>
      <c r="O4581" s="346">
        <v>46093.35837962963</v>
      </c>
      <c r="P4581" s="334" t="str">
        <f t="shared" si="4"/>
        <v>ＪＦＥ条鋼:リバイブ鋼ダライＡ</v>
      </c>
    </row>
    <row r="4582" ht="15.75" customHeight="1">
      <c r="A4582" s="335" t="s">
        <v>5729</v>
      </c>
      <c r="B4582" s="336">
        <v>46093.0</v>
      </c>
      <c r="C4582" s="335" t="s">
        <v>28</v>
      </c>
      <c r="D4582" s="335" t="s">
        <v>52</v>
      </c>
      <c r="E4582" s="337" t="str">
        <f t="shared" si="1"/>
        <v>ＪＦＥ条鋼:リバイブ</v>
      </c>
      <c r="F4582" s="338" t="s">
        <v>154</v>
      </c>
      <c r="G4582" s="339" t="str">
        <f t="shared" si="2"/>
        <v>ＪＦＥ条鋼:リバイブＣＰ Ａ</v>
      </c>
      <c r="H4582" s="340">
        <f t="shared" si="3"/>
        <v>50.5</v>
      </c>
      <c r="I4582" s="341">
        <v>2.0</v>
      </c>
      <c r="J4582" s="332">
        <f>IFERROR(__xludf.DUMMYFUNCTION("IF(IF(COUNTIF(P$2:P4581, P4582)=0, """", INDEX(H$2:H4581,
MAX(FILTER(ROW(H$2:H4581) - ROW(H$2) + 1, P$2:P4581 = P4582))))=""単価"","""",
IF(COUNTIF(P$2:P4581, P4582)=0, """", INDEX(H$2:H4581,
MAX(FILTER(ROW(H$2:H4581) - ROW(H$2) + 1, P$2:P4581 = P4582)))))"),48.5)</f>
        <v>48.5</v>
      </c>
      <c r="N4582" s="335" t="str">
        <f>IF(MAXIFS('単価履歴'!$O:$O,'単価履歴'!$E:$E,E4582,'単価履歴'!$F:$F,F4582)=O4582,"●","")</f>
        <v/>
      </c>
      <c r="O4582" s="346">
        <v>46093.35837962963</v>
      </c>
      <c r="P4582" s="334" t="str">
        <f t="shared" si="4"/>
        <v>ＪＦＥ条鋼:リバイブＣＰ Ａ</v>
      </c>
    </row>
    <row r="4583" ht="15.75" customHeight="1">
      <c r="A4583" s="335" t="s">
        <v>5730</v>
      </c>
      <c r="B4583" s="336">
        <v>46093.0</v>
      </c>
      <c r="C4583" s="335" t="s">
        <v>14</v>
      </c>
      <c r="D4583" s="335" t="s">
        <v>46</v>
      </c>
      <c r="E4583" s="337" t="str">
        <f t="shared" si="1"/>
        <v>愛知:阪和</v>
      </c>
      <c r="F4583" s="338" t="s">
        <v>1199</v>
      </c>
      <c r="G4583" s="339" t="str">
        <f t="shared" si="2"/>
        <v>愛知:阪和ＨＳ１(単体H1/電特A/HS))</v>
      </c>
      <c r="H4583" s="340">
        <f t="shared" si="3"/>
        <v>50.2</v>
      </c>
      <c r="I4583" s="341">
        <v>2.0</v>
      </c>
      <c r="J4583" s="332">
        <f>IFERROR(__xludf.DUMMYFUNCTION("IF(IF(COUNTIF(P$2:P4582, P4583)=0, """", INDEX(H$2:H4582,
MAX(FILTER(ROW(H$2:H4582) - ROW(H$2) + 1, P$2:P4582 = P4583))))=""単価"","""",
IF(COUNTIF(P$2:P4582, P4583)=0, """", INDEX(H$2:H4582,
MAX(FILTER(ROW(H$2:H4582) - ROW(H$2) + 1, P$2:P4582 = P4583)))))"),48.2)</f>
        <v>48.2</v>
      </c>
      <c r="N4583" s="335" t="str">
        <f>IF(MAXIFS('単価履歴'!$O:$O,'単価履歴'!$E:$E,E4583,'単価履歴'!$F:$F,F4583)=O4583,"●","")</f>
        <v/>
      </c>
      <c r="O4583" s="346">
        <v>46093.35872685185</v>
      </c>
      <c r="P4583" s="334" t="str">
        <f t="shared" si="4"/>
        <v>愛知:阪和ＨＳ１(単体H1/電特A/HS))</v>
      </c>
    </row>
    <row r="4584" ht="15.75" customHeight="1">
      <c r="A4584" s="335" t="s">
        <v>5731</v>
      </c>
      <c r="B4584" s="336">
        <v>46093.0</v>
      </c>
      <c r="C4584" s="335" t="s">
        <v>14</v>
      </c>
      <c r="D4584" s="335" t="s">
        <v>46</v>
      </c>
      <c r="E4584" s="337" t="str">
        <f t="shared" si="1"/>
        <v>愛知:阪和</v>
      </c>
      <c r="F4584" s="338" t="s">
        <v>101</v>
      </c>
      <c r="G4584" s="339" t="str">
        <f t="shared" si="2"/>
        <v>愛知:阪和ＨＳ２</v>
      </c>
      <c r="H4584" s="340">
        <f t="shared" si="3"/>
        <v>49.7</v>
      </c>
      <c r="I4584" s="341">
        <v>2.0</v>
      </c>
      <c r="J4584" s="332">
        <f>IFERROR(__xludf.DUMMYFUNCTION("IF(IF(COUNTIF(P$2:P4583, P4584)=0, """", INDEX(H$2:H4583,
MAX(FILTER(ROW(H$2:H4583) - ROW(H$2) + 1, P$2:P4583 = P4584))))=""単価"","""",
IF(COUNTIF(P$2:P4583, P4584)=0, """", INDEX(H$2:H4583,
MAX(FILTER(ROW(H$2:H4583) - ROW(H$2) + 1, P$2:P4583 = P4584)))))"),47.7)</f>
        <v>47.7</v>
      </c>
      <c r="N4584" s="335" t="str">
        <f>IF(MAXIFS('単価履歴'!$O:$O,'単価履歴'!$E:$E,E4584,'単価履歴'!$F:$F,F4584)=O4584,"●","")</f>
        <v/>
      </c>
      <c r="O4584" s="346">
        <v>46093.35872685185</v>
      </c>
      <c r="P4584" s="334" t="str">
        <f t="shared" si="4"/>
        <v>愛知:阪和ＨＳ２</v>
      </c>
    </row>
    <row r="4585" ht="15.75" customHeight="1">
      <c r="A4585" s="335" t="s">
        <v>5732</v>
      </c>
      <c r="B4585" s="336">
        <v>46093.0</v>
      </c>
      <c r="C4585" s="335" t="s">
        <v>14</v>
      </c>
      <c r="D4585" s="335" t="s">
        <v>46</v>
      </c>
      <c r="E4585" s="337" t="str">
        <f t="shared" si="1"/>
        <v>愛知:阪和</v>
      </c>
      <c r="F4585" s="338" t="s">
        <v>111</v>
      </c>
      <c r="G4585" s="339" t="str">
        <f t="shared" si="2"/>
        <v>愛知:阪和Ｈ１(特A)</v>
      </c>
      <c r="H4585" s="340">
        <f t="shared" si="3"/>
        <v>45.2</v>
      </c>
      <c r="I4585" s="341">
        <v>2.0</v>
      </c>
      <c r="J4585" s="332">
        <f>IFERROR(__xludf.DUMMYFUNCTION("IF(IF(COUNTIF(P$2:P4584, P4585)=0, """", INDEX(H$2:H4584,
MAX(FILTER(ROW(H$2:H4584) - ROW(H$2) + 1, P$2:P4584 = P4585))))=""単価"","""",
IF(COUNTIF(P$2:P4584, P4585)=0, """", INDEX(H$2:H4584,
MAX(FILTER(ROW(H$2:H4584) - ROW(H$2) + 1, P$2:P4584 = P4585)))))"),43.2)</f>
        <v>43.2</v>
      </c>
      <c r="N4585" s="335" t="str">
        <f>IF(MAXIFS('単価履歴'!$O:$O,'単価履歴'!$E:$E,E4585,'単価履歴'!$F:$F,F4585)=O4585,"●","")</f>
        <v/>
      </c>
      <c r="O4585" s="346">
        <v>46093.35872685185</v>
      </c>
      <c r="P4585" s="334" t="str">
        <f t="shared" si="4"/>
        <v>愛知:阪和Ｈ１(特A)</v>
      </c>
    </row>
    <row r="4586" ht="15.75" customHeight="1">
      <c r="A4586" s="335" t="s">
        <v>5733</v>
      </c>
      <c r="B4586" s="336">
        <v>46093.0</v>
      </c>
      <c r="C4586" s="335" t="s">
        <v>14</v>
      </c>
      <c r="D4586" s="335" t="s">
        <v>46</v>
      </c>
      <c r="E4586" s="337" t="str">
        <f t="shared" si="1"/>
        <v>愛知:阪和</v>
      </c>
      <c r="F4586" s="338" t="s">
        <v>116</v>
      </c>
      <c r="G4586" s="339" t="str">
        <f t="shared" si="2"/>
        <v>愛知:阪和Ｈ２(特級)</v>
      </c>
      <c r="H4586" s="340">
        <f t="shared" si="3"/>
        <v>44.7</v>
      </c>
      <c r="I4586" s="341">
        <v>2.0</v>
      </c>
      <c r="J4586" s="332">
        <f>IFERROR(__xludf.DUMMYFUNCTION("IF(IF(COUNTIF(P$2:P4585, P4586)=0, """", INDEX(H$2:H4585,
MAX(FILTER(ROW(H$2:H4585) - ROW(H$2) + 1, P$2:P4585 = P4586))))=""単価"","""",
IF(COUNTIF(P$2:P4585, P4586)=0, """", INDEX(H$2:H4585,
MAX(FILTER(ROW(H$2:H4585) - ROW(H$2) + 1, P$2:P4585 = P4586)))))"),42.7)</f>
        <v>42.7</v>
      </c>
      <c r="N4586" s="335" t="str">
        <f>IF(MAXIFS('単価履歴'!$O:$O,'単価履歴'!$E:$E,E4586,'単価履歴'!$F:$F,F4586)=O4586,"●","")</f>
        <v/>
      </c>
      <c r="O4586" s="346">
        <v>46093.35872685185</v>
      </c>
      <c r="P4586" s="334" t="str">
        <f t="shared" si="4"/>
        <v>愛知:阪和Ｈ２(特級)</v>
      </c>
    </row>
    <row r="4587" ht="15.75" customHeight="1">
      <c r="A4587" s="335" t="s">
        <v>5734</v>
      </c>
      <c r="B4587" s="336">
        <v>46093.0</v>
      </c>
      <c r="C4587" s="335" t="s">
        <v>14</v>
      </c>
      <c r="D4587" s="335" t="s">
        <v>46</v>
      </c>
      <c r="E4587" s="337" t="str">
        <f t="shared" si="1"/>
        <v>愛知:阪和</v>
      </c>
      <c r="F4587" s="338" t="s">
        <v>119</v>
      </c>
      <c r="G4587" s="339" t="str">
        <f t="shared" si="2"/>
        <v>愛知:阪和Ｈ３(1級)</v>
      </c>
      <c r="H4587" s="340">
        <f t="shared" si="3"/>
        <v>43.7</v>
      </c>
      <c r="I4587" s="341">
        <v>2.0</v>
      </c>
      <c r="J4587" s="332">
        <f>IFERROR(__xludf.DUMMYFUNCTION("IF(IF(COUNTIF(P$2:P4586, P4587)=0, """", INDEX(H$2:H4586,
MAX(FILTER(ROW(H$2:H4586) - ROW(H$2) + 1, P$2:P4586 = P4587))))=""単価"","""",
IF(COUNTIF(P$2:P4586, P4587)=0, """", INDEX(H$2:H4586,
MAX(FILTER(ROW(H$2:H4586) - ROW(H$2) + 1, P$2:P4586 = P4587)))))"),41.7)</f>
        <v>41.7</v>
      </c>
      <c r="N4587" s="335" t="str">
        <f>IF(MAXIFS('単価履歴'!$O:$O,'単価履歴'!$E:$E,E4587,'単価履歴'!$F:$F,F4587)=O4587,"●","")</f>
        <v/>
      </c>
      <c r="O4587" s="346">
        <v>46093.35872685185</v>
      </c>
      <c r="P4587" s="334" t="str">
        <f t="shared" si="4"/>
        <v>愛知:阪和Ｈ３(1級)</v>
      </c>
    </row>
    <row r="4588" ht="15.75" customHeight="1">
      <c r="A4588" s="335" t="s">
        <v>5735</v>
      </c>
      <c r="B4588" s="336">
        <v>46093.0</v>
      </c>
      <c r="C4588" s="335" t="s">
        <v>14</v>
      </c>
      <c r="D4588" s="335" t="s">
        <v>46</v>
      </c>
      <c r="E4588" s="337" t="str">
        <f t="shared" si="1"/>
        <v>愛知:阪和</v>
      </c>
      <c r="F4588" s="338" t="s">
        <v>573</v>
      </c>
      <c r="G4588" s="339" t="str">
        <f t="shared" si="2"/>
        <v>愛知:阪和Ｌ２(H4･級外･L1ﾊﾞﾗ)</v>
      </c>
      <c r="H4588" s="340">
        <f t="shared" si="3"/>
        <v>40.3</v>
      </c>
      <c r="I4588" s="341">
        <v>2.0</v>
      </c>
      <c r="J4588" s="332">
        <f>IFERROR(__xludf.DUMMYFUNCTION("IF(IF(COUNTIF(P$2:P4587, P4588)=0, """", INDEX(H$2:H4587,
MAX(FILTER(ROW(H$2:H4587) - ROW(H$2) + 1, P$2:P4587 = P4588))))=""単価"","""",
IF(COUNTIF(P$2:P4587, P4588)=0, """", INDEX(H$2:H4587,
MAX(FILTER(ROW(H$2:H4587) - ROW(H$2) + 1, P$2:P4587 = P4588)))))"),38.3)</f>
        <v>38.3</v>
      </c>
      <c r="N4588" s="335" t="str">
        <f>IF(MAXIFS('単価履歴'!$O:$O,'単価履歴'!$E:$E,E4588,'単価履歴'!$F:$F,F4588)=O4588,"●","")</f>
        <v/>
      </c>
      <c r="O4588" s="346">
        <v>46093.35872685185</v>
      </c>
      <c r="P4588" s="334" t="str">
        <f t="shared" si="4"/>
        <v>愛知:阪和Ｌ２(H4･級外･L1ﾊﾞﾗ)</v>
      </c>
    </row>
    <row r="4589" ht="15.75" customHeight="1">
      <c r="A4589" s="335" t="s">
        <v>5736</v>
      </c>
      <c r="B4589" s="336">
        <v>46093.0</v>
      </c>
      <c r="C4589" s="335" t="s">
        <v>14</v>
      </c>
      <c r="D4589" s="335" t="s">
        <v>46</v>
      </c>
      <c r="E4589" s="337" t="str">
        <f t="shared" si="1"/>
        <v>愛知:阪和</v>
      </c>
      <c r="F4589" s="338" t="s">
        <v>130</v>
      </c>
      <c r="G4589" s="339" t="str">
        <f t="shared" si="2"/>
        <v>愛知:阪和新断Ａ</v>
      </c>
      <c r="H4589" s="340">
        <f t="shared" si="3"/>
        <v>49.5</v>
      </c>
      <c r="I4589" s="341">
        <v>1.0</v>
      </c>
      <c r="J4589" s="332">
        <f>IFERROR(__xludf.DUMMYFUNCTION("IF(IF(COUNTIF(P$2:P4588, P4589)=0, """", INDEX(H$2:H4588,
MAX(FILTER(ROW(H$2:H4588) - ROW(H$2) + 1, P$2:P4588 = P4589))))=""単価"","""",
IF(COUNTIF(P$2:P4588, P4589)=0, """", INDEX(H$2:H4588,
MAX(FILTER(ROW(H$2:H4588) - ROW(H$2) + 1, P$2:P4588 = P4589)))))"),48.5)</f>
        <v>48.5</v>
      </c>
      <c r="N4589" s="335" t="str">
        <f>IF(MAXIFS('単価履歴'!$O:$O,'単価履歴'!$E:$E,E4589,'単価履歴'!$F:$F,F4589)=O4589,"●","")</f>
        <v/>
      </c>
      <c r="O4589" s="346">
        <v>46093.35915509259</v>
      </c>
      <c r="P4589" s="334" t="str">
        <f t="shared" si="4"/>
        <v>愛知:阪和新断Ａ</v>
      </c>
    </row>
    <row r="4590" ht="15.75" customHeight="1">
      <c r="A4590" s="335" t="s">
        <v>5737</v>
      </c>
      <c r="B4590" s="336">
        <v>46093.0</v>
      </c>
      <c r="C4590" s="335" t="s">
        <v>14</v>
      </c>
      <c r="D4590" s="335" t="s">
        <v>46</v>
      </c>
      <c r="E4590" s="337" t="str">
        <f t="shared" si="1"/>
        <v>愛知:阪和</v>
      </c>
      <c r="F4590" s="338" t="s">
        <v>131</v>
      </c>
      <c r="G4590" s="339" t="str">
        <f t="shared" si="2"/>
        <v>愛知:阪和新断Ｂ</v>
      </c>
      <c r="H4590" s="340">
        <f t="shared" si="3"/>
        <v>48.5</v>
      </c>
      <c r="I4590" s="341">
        <v>1.0</v>
      </c>
      <c r="J4590" s="332">
        <f>IFERROR(__xludf.DUMMYFUNCTION("IF(IF(COUNTIF(P$2:P4589, P4590)=0, """", INDEX(H$2:H4589,
MAX(FILTER(ROW(H$2:H4589) - ROW(H$2) + 1, P$2:P4589 = P4590))))=""単価"","""",
IF(COUNTIF(P$2:P4589, P4590)=0, """", INDEX(H$2:H4589,
MAX(FILTER(ROW(H$2:H4589) - ROW(H$2) + 1, P$2:P4589 = P4590)))))"),47.5)</f>
        <v>47.5</v>
      </c>
      <c r="N4590" s="335" t="str">
        <f>IF(MAXIFS('単価履歴'!$O:$O,'単価履歴'!$E:$E,E4590,'単価履歴'!$F:$F,F4590)=O4590,"●","")</f>
        <v/>
      </c>
      <c r="O4590" s="346">
        <v>46093.35915509259</v>
      </c>
      <c r="P4590" s="334" t="str">
        <f t="shared" si="4"/>
        <v>愛知:阪和新断Ｂ</v>
      </c>
    </row>
    <row r="4591" ht="15.75" customHeight="1">
      <c r="A4591" s="335" t="s">
        <v>5738</v>
      </c>
      <c r="B4591" s="336">
        <v>46093.0</v>
      </c>
      <c r="C4591" s="335" t="s">
        <v>14</v>
      </c>
      <c r="D4591" s="335" t="s">
        <v>46</v>
      </c>
      <c r="E4591" s="337" t="str">
        <f t="shared" si="1"/>
        <v>愛知:阪和</v>
      </c>
      <c r="F4591" s="338" t="s">
        <v>145</v>
      </c>
      <c r="G4591" s="339" t="str">
        <f t="shared" si="2"/>
        <v>愛知:阪和シュレＡ</v>
      </c>
      <c r="H4591" s="340">
        <f t="shared" si="3"/>
        <v>49.5</v>
      </c>
      <c r="I4591" s="341">
        <v>1.0</v>
      </c>
      <c r="J4591" s="332">
        <f>IFERROR(__xludf.DUMMYFUNCTION("IF(IF(COUNTIF(P$2:P4590, P4591)=0, """", INDEX(H$2:H4590,
MAX(FILTER(ROW(H$2:H4590) - ROW(H$2) + 1, P$2:P4590 = P4591))))=""単価"","""",
IF(COUNTIF(P$2:P4590, P4591)=0, """", INDEX(H$2:H4590,
MAX(FILTER(ROW(H$2:H4590) - ROW(H$2) + 1, P$2:P4590 = P4591)))))"),48.5)</f>
        <v>48.5</v>
      </c>
      <c r="N4591" s="335" t="str">
        <f>IF(MAXIFS('単価履歴'!$O:$O,'単価履歴'!$E:$E,E4591,'単価履歴'!$F:$F,F4591)=O4591,"●","")</f>
        <v/>
      </c>
      <c r="O4591" s="346">
        <v>46093.35915509259</v>
      </c>
      <c r="P4591" s="334" t="str">
        <f t="shared" si="4"/>
        <v>愛知:阪和シュレＡ</v>
      </c>
    </row>
    <row r="4592" ht="15.75" customHeight="1">
      <c r="A4592" s="335" t="s">
        <v>5739</v>
      </c>
      <c r="B4592" s="336">
        <v>46093.0</v>
      </c>
      <c r="C4592" s="335" t="s">
        <v>14</v>
      </c>
      <c r="D4592" s="335" t="s">
        <v>48</v>
      </c>
      <c r="E4592" s="337" t="str">
        <f t="shared" si="1"/>
        <v>愛知:ナベ</v>
      </c>
      <c r="F4592" s="338" t="s">
        <v>1199</v>
      </c>
      <c r="G4592" s="339" t="str">
        <f t="shared" si="2"/>
        <v>愛知:ナベＨＳ１(単体H1/電特A/HS))</v>
      </c>
      <c r="H4592" s="340">
        <f t="shared" si="3"/>
        <v>48</v>
      </c>
      <c r="I4592" s="341">
        <v>2.0</v>
      </c>
      <c r="J4592" s="332">
        <f>IFERROR(__xludf.DUMMYFUNCTION("IF(IF(COUNTIF(P$2:P4591, P4592)=0, """", INDEX(H$2:H4591,
MAX(FILTER(ROW(H$2:H4591) - ROW(H$2) + 1, P$2:P4591 = P4592))))=""単価"","""",
IF(COUNTIF(P$2:P4591, P4592)=0, """", INDEX(H$2:H4591,
MAX(FILTER(ROW(H$2:H4591) - ROW(H$2) + 1, P$2:P4591 = P4592)))))"),46.0)</f>
        <v>46</v>
      </c>
      <c r="N4592" s="335" t="str">
        <f>IF(MAXIFS('単価履歴'!$O:$O,'単価履歴'!$E:$E,E4592,'単価履歴'!$F:$F,F4592)=O4592,"●","")</f>
        <v/>
      </c>
      <c r="O4592" s="346">
        <v>46093.35953703704</v>
      </c>
      <c r="P4592" s="334" t="str">
        <f t="shared" si="4"/>
        <v>愛知:ナベＨＳ１(単体H1/電特A/HS))</v>
      </c>
    </row>
    <row r="4593" ht="15.75" customHeight="1">
      <c r="A4593" s="335" t="s">
        <v>5740</v>
      </c>
      <c r="B4593" s="336">
        <v>46093.0</v>
      </c>
      <c r="C4593" s="335" t="s">
        <v>14</v>
      </c>
      <c r="D4593" s="335" t="s">
        <v>48</v>
      </c>
      <c r="E4593" s="337" t="str">
        <f t="shared" si="1"/>
        <v>愛知:ナベ</v>
      </c>
      <c r="F4593" s="338" t="s">
        <v>101</v>
      </c>
      <c r="G4593" s="339" t="str">
        <f t="shared" si="2"/>
        <v>愛知:ナベＨＳ２</v>
      </c>
      <c r="H4593" s="340">
        <f t="shared" si="3"/>
        <v>47.5</v>
      </c>
      <c r="I4593" s="341">
        <v>2.0</v>
      </c>
      <c r="J4593" s="332">
        <f>IFERROR(__xludf.DUMMYFUNCTION("IF(IF(COUNTIF(P$2:P4592, P4593)=0, """", INDEX(H$2:H4592,
MAX(FILTER(ROW(H$2:H4592) - ROW(H$2) + 1, P$2:P4592 = P4593))))=""単価"","""",
IF(COUNTIF(P$2:P4592, P4593)=0, """", INDEX(H$2:H4592,
MAX(FILTER(ROW(H$2:H4592) - ROW(H$2) + 1, P$2:P4592 = P4593)))))"),45.5)</f>
        <v>45.5</v>
      </c>
      <c r="N4593" s="335" t="str">
        <f>IF(MAXIFS('単価履歴'!$O:$O,'単価履歴'!$E:$E,E4593,'単価履歴'!$F:$F,F4593)=O4593,"●","")</f>
        <v/>
      </c>
      <c r="O4593" s="346">
        <v>46093.35953703704</v>
      </c>
      <c r="P4593" s="334" t="str">
        <f t="shared" si="4"/>
        <v>愛知:ナベＨＳ２</v>
      </c>
    </row>
    <row r="4594" ht="15.75" customHeight="1">
      <c r="A4594" s="335" t="s">
        <v>5741</v>
      </c>
      <c r="B4594" s="336">
        <v>46093.0</v>
      </c>
      <c r="C4594" s="335" t="s">
        <v>14</v>
      </c>
      <c r="D4594" s="335" t="s">
        <v>48</v>
      </c>
      <c r="E4594" s="337" t="str">
        <f t="shared" si="1"/>
        <v>愛知:ナベ</v>
      </c>
      <c r="F4594" s="338" t="s">
        <v>111</v>
      </c>
      <c r="G4594" s="339" t="str">
        <f t="shared" si="2"/>
        <v>愛知:ナベＨ１(特A)</v>
      </c>
      <c r="H4594" s="340">
        <f t="shared" si="3"/>
        <v>47</v>
      </c>
      <c r="I4594" s="341">
        <v>2.0</v>
      </c>
      <c r="J4594" s="332">
        <f>IFERROR(__xludf.DUMMYFUNCTION("IF(IF(COUNTIF(P$2:P4593, P4594)=0, """", INDEX(H$2:H4593,
MAX(FILTER(ROW(H$2:H4593) - ROW(H$2) + 1, P$2:P4593 = P4594))))=""単価"","""",
IF(COUNTIF(P$2:P4593, P4594)=0, """", INDEX(H$2:H4593,
MAX(FILTER(ROW(H$2:H4593) - ROW(H$2) + 1, P$2:P4593 = P4594)))))"),45.0)</f>
        <v>45</v>
      </c>
      <c r="N4594" s="335" t="str">
        <f>IF(MAXIFS('単価履歴'!$O:$O,'単価履歴'!$E:$E,E4594,'単価履歴'!$F:$F,F4594)=O4594,"●","")</f>
        <v/>
      </c>
      <c r="O4594" s="346">
        <v>46093.35953703704</v>
      </c>
      <c r="P4594" s="334" t="str">
        <f t="shared" si="4"/>
        <v>愛知:ナベＨ１(特A)</v>
      </c>
    </row>
    <row r="4595" ht="15.75" customHeight="1">
      <c r="A4595" s="335" t="s">
        <v>5742</v>
      </c>
      <c r="B4595" s="336">
        <v>46093.0</v>
      </c>
      <c r="C4595" s="335" t="s">
        <v>14</v>
      </c>
      <c r="D4595" s="335" t="s">
        <v>48</v>
      </c>
      <c r="E4595" s="337" t="str">
        <f t="shared" si="1"/>
        <v>愛知:ナベ</v>
      </c>
      <c r="F4595" s="338" t="s">
        <v>116</v>
      </c>
      <c r="G4595" s="339" t="str">
        <f t="shared" si="2"/>
        <v>愛知:ナベＨ２(特級)</v>
      </c>
      <c r="H4595" s="340">
        <f t="shared" si="3"/>
        <v>45.4</v>
      </c>
      <c r="I4595" s="341">
        <v>2.0</v>
      </c>
      <c r="J4595" s="332">
        <f>IFERROR(__xludf.DUMMYFUNCTION("IF(IF(COUNTIF(P$2:P4594, P4595)=0, """", INDEX(H$2:H4594,
MAX(FILTER(ROW(H$2:H4594) - ROW(H$2) + 1, P$2:P4594 = P4595))))=""単価"","""",
IF(COUNTIF(P$2:P4594, P4595)=0, """", INDEX(H$2:H4594,
MAX(FILTER(ROW(H$2:H4594) - ROW(H$2) + 1, P$2:P4594 = P4595)))))"),43.4)</f>
        <v>43.4</v>
      </c>
      <c r="N4595" s="335" t="str">
        <f>IF(MAXIFS('単価履歴'!$O:$O,'単価履歴'!$E:$E,E4595,'単価履歴'!$F:$F,F4595)=O4595,"●","")</f>
        <v/>
      </c>
      <c r="O4595" s="346">
        <v>46093.35953703704</v>
      </c>
      <c r="P4595" s="334" t="str">
        <f t="shared" si="4"/>
        <v>愛知:ナベＨ２(特級)</v>
      </c>
    </row>
    <row r="4596" ht="15.75" customHeight="1">
      <c r="A4596" s="335" t="s">
        <v>5743</v>
      </c>
      <c r="B4596" s="336">
        <v>46093.0</v>
      </c>
      <c r="C4596" s="335" t="s">
        <v>14</v>
      </c>
      <c r="D4596" s="335" t="s">
        <v>48</v>
      </c>
      <c r="E4596" s="337" t="str">
        <f t="shared" si="1"/>
        <v>愛知:ナベ</v>
      </c>
      <c r="F4596" s="338" t="s">
        <v>119</v>
      </c>
      <c r="G4596" s="339" t="str">
        <f t="shared" si="2"/>
        <v>愛知:ナベＨ３(1級)</v>
      </c>
      <c r="H4596" s="340">
        <f t="shared" si="3"/>
        <v>44.4</v>
      </c>
      <c r="I4596" s="341">
        <v>2.0</v>
      </c>
      <c r="J4596" s="332">
        <f>IFERROR(__xludf.DUMMYFUNCTION("IF(IF(COUNTIF(P$2:P4595, P4596)=0, """", INDEX(H$2:H4595,
MAX(FILTER(ROW(H$2:H4595) - ROW(H$2) + 1, P$2:P4595 = P4596))))=""単価"","""",
IF(COUNTIF(P$2:P4595, P4596)=0, """", INDEX(H$2:H4595,
MAX(FILTER(ROW(H$2:H4595) - ROW(H$2) + 1, P$2:P4595 = P4596)))))"),42.4)</f>
        <v>42.4</v>
      </c>
      <c r="N4596" s="335" t="str">
        <f>IF(MAXIFS('単価履歴'!$O:$O,'単価履歴'!$E:$E,E4596,'単価履歴'!$F:$F,F4596)=O4596,"●","")</f>
        <v/>
      </c>
      <c r="O4596" s="346">
        <v>46093.35953703704</v>
      </c>
      <c r="P4596" s="334" t="str">
        <f t="shared" si="4"/>
        <v>愛知:ナベＨ３(1級)</v>
      </c>
    </row>
    <row r="4597" ht="15.75" customHeight="1">
      <c r="A4597" s="335" t="s">
        <v>5744</v>
      </c>
      <c r="B4597" s="336">
        <v>46093.0</v>
      </c>
      <c r="C4597" s="335" t="s">
        <v>14</v>
      </c>
      <c r="D4597" s="335" t="s">
        <v>48</v>
      </c>
      <c r="E4597" s="337" t="str">
        <f t="shared" si="1"/>
        <v>愛知:ナベ</v>
      </c>
      <c r="F4597" s="338" t="s">
        <v>573</v>
      </c>
      <c r="G4597" s="339" t="str">
        <f t="shared" si="2"/>
        <v>愛知:ナベＬ２(H4･級外･L1ﾊﾞﾗ)</v>
      </c>
      <c r="H4597" s="340">
        <f t="shared" si="3"/>
        <v>40.4</v>
      </c>
      <c r="I4597" s="341">
        <v>2.0</v>
      </c>
      <c r="J4597" s="332">
        <f>IFERROR(__xludf.DUMMYFUNCTION("IF(IF(COUNTIF(P$2:P4596, P4597)=0, """", INDEX(H$2:H4596,
MAX(FILTER(ROW(H$2:H4596) - ROW(H$2) + 1, P$2:P4596 = P4597))))=""単価"","""",
IF(COUNTIF(P$2:P4596, P4597)=0, """", INDEX(H$2:H4596,
MAX(FILTER(ROW(H$2:H4596) - ROW(H$2) + 1, P$2:P4596 = P4597)))))"),38.4)</f>
        <v>38.4</v>
      </c>
      <c r="N4597" s="335" t="str">
        <f>IF(MAXIFS('単価履歴'!$O:$O,'単価履歴'!$E:$E,E4597,'単価履歴'!$F:$F,F4597)=O4597,"●","")</f>
        <v/>
      </c>
      <c r="O4597" s="346">
        <v>46093.35953703704</v>
      </c>
      <c r="P4597" s="334" t="str">
        <f t="shared" si="4"/>
        <v>愛知:ナベＬ２(H4･級外･L1ﾊﾞﾗ)</v>
      </c>
    </row>
    <row r="4598" ht="15.75" customHeight="1">
      <c r="A4598" s="335" t="s">
        <v>5745</v>
      </c>
      <c r="B4598" s="336">
        <v>46093.0</v>
      </c>
      <c r="C4598" s="335" t="s">
        <v>14</v>
      </c>
      <c r="D4598" s="335" t="s">
        <v>48</v>
      </c>
      <c r="E4598" s="337" t="str">
        <f t="shared" si="1"/>
        <v>愛知:ナベ</v>
      </c>
      <c r="F4598" s="338" t="s">
        <v>575</v>
      </c>
      <c r="G4598" s="339" t="str">
        <f t="shared" si="2"/>
        <v>愛知:ナベ鋼ダライＡ</v>
      </c>
      <c r="H4598" s="340">
        <f t="shared" si="3"/>
        <v>6.5</v>
      </c>
      <c r="I4598" s="341">
        <v>2.0</v>
      </c>
      <c r="J4598" s="332">
        <f>IFERROR(__xludf.DUMMYFUNCTION("IF(IF(COUNTIF(P$2:P4597, P4598)=0, """", INDEX(H$2:H4597,
MAX(FILTER(ROW(H$2:H4597) - ROW(H$2) + 1, P$2:P4597 = P4598))))=""単価"","""",
IF(COUNTIF(P$2:P4597, P4598)=0, """", INDEX(H$2:H4597,
MAX(FILTER(ROW(H$2:H4597) - ROW(H$2) + 1, P$2:P4597 = P4598)))))"),4.5)</f>
        <v>4.5</v>
      </c>
      <c r="N4598" s="335" t="str">
        <f>IF(MAXIFS('単価履歴'!$O:$O,'単価履歴'!$E:$E,E4598,'単価履歴'!$F:$F,F4598)=O4598,"●","")</f>
        <v/>
      </c>
      <c r="O4598" s="346">
        <v>46093.35953703704</v>
      </c>
      <c r="P4598" s="334" t="str">
        <f t="shared" si="4"/>
        <v>愛知:ナベ鋼ダライＡ</v>
      </c>
    </row>
    <row r="4599" ht="15.75" customHeight="1">
      <c r="A4599" s="335" t="s">
        <v>5746</v>
      </c>
      <c r="B4599" s="336">
        <v>46093.0</v>
      </c>
      <c r="C4599" s="335" t="s">
        <v>15</v>
      </c>
      <c r="D4599" s="335" t="s">
        <v>58</v>
      </c>
      <c r="E4599" s="337" t="str">
        <f t="shared" si="1"/>
        <v>山口鋼業:MM建材</v>
      </c>
      <c r="F4599" s="338" t="s">
        <v>1199</v>
      </c>
      <c r="G4599" s="339" t="str">
        <f t="shared" si="2"/>
        <v>山口鋼業:MM建材ＨＳ１(単体H1/電特A/HS))</v>
      </c>
      <c r="H4599" s="340">
        <f t="shared" si="3"/>
        <v>47</v>
      </c>
      <c r="I4599" s="341">
        <v>2.0</v>
      </c>
      <c r="J4599" s="332">
        <f>IFERROR(__xludf.DUMMYFUNCTION("IF(IF(COUNTIF(P$2:P4598, P4599)=0, """", INDEX(H$2:H4598,
MAX(FILTER(ROW(H$2:H4598) - ROW(H$2) + 1, P$2:P4598 = P4599))))=""単価"","""",
IF(COUNTIF(P$2:P4598, P4599)=0, """", INDEX(H$2:H4598,
MAX(FILTER(ROW(H$2:H4598) - ROW(H$2) + 1, P$2:P4598 = P4599)))))"),45.0)</f>
        <v>45</v>
      </c>
      <c r="N4599" s="335" t="str">
        <f>IF(MAXIFS('単価履歴'!$O:$O,'単価履歴'!$E:$E,E4599,'単価履歴'!$F:$F,F4599)=O4599,"●","")</f>
        <v/>
      </c>
      <c r="O4599" s="346">
        <v>46093.359814814816</v>
      </c>
      <c r="P4599" s="334" t="str">
        <f t="shared" si="4"/>
        <v>山口鋼業:MM建材ＨＳ１(単体H1/電特A/HS))</v>
      </c>
    </row>
    <row r="4600" ht="15.75" customHeight="1">
      <c r="A4600" s="335" t="s">
        <v>5747</v>
      </c>
      <c r="B4600" s="336">
        <v>46093.0</v>
      </c>
      <c r="C4600" s="335" t="s">
        <v>15</v>
      </c>
      <c r="D4600" s="335" t="s">
        <v>58</v>
      </c>
      <c r="E4600" s="337" t="str">
        <f t="shared" si="1"/>
        <v>山口鋼業:MM建材</v>
      </c>
      <c r="F4600" s="338" t="s">
        <v>1237</v>
      </c>
      <c r="G4600" s="339" t="str">
        <f t="shared" si="2"/>
        <v>山口鋼業:MM建材ＪＨ１(H2T山口)鍛造ﾊﾞﾘ</v>
      </c>
      <c r="H4600" s="340">
        <f t="shared" si="3"/>
        <v>46.5</v>
      </c>
      <c r="I4600" s="341">
        <v>2.0</v>
      </c>
      <c r="J4600" s="332">
        <f>IFERROR(__xludf.DUMMYFUNCTION("IF(IF(COUNTIF(P$2:P4599, P4600)=0, """", INDEX(H$2:H4599,
MAX(FILTER(ROW(H$2:H4599) - ROW(H$2) + 1, P$2:P4599 = P4600))))=""単価"","""",
IF(COUNTIF(P$2:P4599, P4600)=0, """", INDEX(H$2:H4599,
MAX(FILTER(ROW(H$2:H4599) - ROW(H$2) + 1, P$2:P4599 = P4600)))))"),44.5)</f>
        <v>44.5</v>
      </c>
      <c r="N4600" s="335" t="str">
        <f>IF(MAXIFS('単価履歴'!$O:$O,'単価履歴'!$E:$E,E4600,'単価履歴'!$F:$F,F4600)=O4600,"●","")</f>
        <v/>
      </c>
      <c r="O4600" s="346">
        <v>46093.359814814816</v>
      </c>
      <c r="P4600" s="334" t="str">
        <f t="shared" si="4"/>
        <v>山口鋼業:MM建材ＪＨ１(H2T山口)鍛造ﾊﾞﾘ</v>
      </c>
    </row>
    <row r="4601" ht="15.75" customHeight="1">
      <c r="A4601" s="335" t="s">
        <v>5748</v>
      </c>
      <c r="B4601" s="336">
        <v>46093.0</v>
      </c>
      <c r="C4601" s="335" t="s">
        <v>15</v>
      </c>
      <c r="D4601" s="335" t="s">
        <v>58</v>
      </c>
      <c r="E4601" s="337" t="str">
        <f t="shared" si="1"/>
        <v>山口鋼業:MM建材</v>
      </c>
      <c r="F4601" s="338" t="s">
        <v>116</v>
      </c>
      <c r="G4601" s="339" t="str">
        <f t="shared" si="2"/>
        <v>山口鋼業:MM建材Ｈ２(特級)</v>
      </c>
      <c r="H4601" s="340">
        <f t="shared" si="3"/>
        <v>45.5</v>
      </c>
      <c r="I4601" s="341">
        <v>2.0</v>
      </c>
      <c r="J4601" s="332">
        <f>IFERROR(__xludf.DUMMYFUNCTION("IF(IF(COUNTIF(P$2:P4600, P4601)=0, """", INDEX(H$2:H4600,
MAX(FILTER(ROW(H$2:H4600) - ROW(H$2) + 1, P$2:P4600 = P4601))))=""単価"","""",
IF(COUNTIF(P$2:P4600, P4601)=0, """", INDEX(H$2:H4600,
MAX(FILTER(ROW(H$2:H4600) - ROW(H$2) + 1, P$2:P4600 = P4601)))))"),43.5)</f>
        <v>43.5</v>
      </c>
      <c r="N4601" s="335" t="str">
        <f>IF(MAXIFS('単価履歴'!$O:$O,'単価履歴'!$E:$E,E4601,'単価履歴'!$F:$F,F4601)=O4601,"●","")</f>
        <v/>
      </c>
      <c r="O4601" s="346">
        <v>46093.359814814816</v>
      </c>
      <c r="P4601" s="334" t="str">
        <f t="shared" si="4"/>
        <v>山口鋼業:MM建材Ｈ２(特級)</v>
      </c>
    </row>
    <row r="4602" ht="15.75" customHeight="1">
      <c r="A4602" s="335" t="s">
        <v>5749</v>
      </c>
      <c r="B4602" s="336">
        <v>46093.0</v>
      </c>
      <c r="C4602" s="335" t="s">
        <v>15</v>
      </c>
      <c r="D4602" s="335" t="s">
        <v>58</v>
      </c>
      <c r="E4602" s="337" t="str">
        <f t="shared" si="1"/>
        <v>山口鋼業:MM建材</v>
      </c>
      <c r="F4602" s="338" t="s">
        <v>119</v>
      </c>
      <c r="G4602" s="339" t="str">
        <f t="shared" si="2"/>
        <v>山口鋼業:MM建材Ｈ３(1級)</v>
      </c>
      <c r="H4602" s="340">
        <f t="shared" si="3"/>
        <v>44.5</v>
      </c>
      <c r="I4602" s="341">
        <v>2.0</v>
      </c>
      <c r="J4602" s="332">
        <f>IFERROR(__xludf.DUMMYFUNCTION("IF(IF(COUNTIF(P$2:P4601, P4602)=0, """", INDEX(H$2:H4601,
MAX(FILTER(ROW(H$2:H4601) - ROW(H$2) + 1, P$2:P4601 = P4602))))=""単価"","""",
IF(COUNTIF(P$2:P4601, P4602)=0, """", INDEX(H$2:H4601,
MAX(FILTER(ROW(H$2:H4601) - ROW(H$2) + 1, P$2:P4601 = P4602)))))"),42.5)</f>
        <v>42.5</v>
      </c>
      <c r="N4602" s="335" t="str">
        <f>IF(MAXIFS('単価履歴'!$O:$O,'単価履歴'!$E:$E,E4602,'単価履歴'!$F:$F,F4602)=O4602,"●","")</f>
        <v/>
      </c>
      <c r="O4602" s="346">
        <v>46093.359814814816</v>
      </c>
      <c r="P4602" s="334" t="str">
        <f t="shared" si="4"/>
        <v>山口鋼業:MM建材Ｈ３(1級)</v>
      </c>
    </row>
    <row r="4603" ht="15.75" customHeight="1">
      <c r="A4603" s="335" t="s">
        <v>5750</v>
      </c>
      <c r="B4603" s="336">
        <v>46093.0</v>
      </c>
      <c r="C4603" s="335" t="s">
        <v>15</v>
      </c>
      <c r="D4603" s="335" t="s">
        <v>58</v>
      </c>
      <c r="E4603" s="337" t="str">
        <f t="shared" si="1"/>
        <v>山口鋼業:MM建材</v>
      </c>
      <c r="F4603" s="338" t="s">
        <v>573</v>
      </c>
      <c r="G4603" s="339" t="str">
        <f t="shared" si="2"/>
        <v>山口鋼業:MM建材Ｌ２(H4･級外･L1ﾊﾞﾗ)</v>
      </c>
      <c r="H4603" s="340">
        <f t="shared" si="3"/>
        <v>43</v>
      </c>
      <c r="I4603" s="341">
        <v>2.0</v>
      </c>
      <c r="J4603" s="332">
        <f>IFERROR(__xludf.DUMMYFUNCTION("IF(IF(COUNTIF(P$2:P4602, P4603)=0, """", INDEX(H$2:H4602,
MAX(FILTER(ROW(H$2:H4602) - ROW(H$2) + 1, P$2:P4602 = P4603))))=""単価"","""",
IF(COUNTIF(P$2:P4602, P4603)=0, """", INDEX(H$2:H4602,
MAX(FILTER(ROW(H$2:H4602) - ROW(H$2) + 1, P$2:P4602 = P4603)))))"),41.0)</f>
        <v>41</v>
      </c>
      <c r="N4603" s="335" t="str">
        <f>IF(MAXIFS('単価履歴'!$O:$O,'単価履歴'!$E:$E,E4603,'単価履歴'!$F:$F,F4603)=O4603,"●","")</f>
        <v/>
      </c>
      <c r="O4603" s="346">
        <v>46093.359814814816</v>
      </c>
      <c r="P4603" s="334" t="str">
        <f t="shared" si="4"/>
        <v>山口鋼業:MM建材Ｌ２(H4･級外･L1ﾊﾞﾗ)</v>
      </c>
    </row>
    <row r="4604" ht="15.75" customHeight="1">
      <c r="A4604" s="335" t="s">
        <v>5751</v>
      </c>
      <c r="B4604" s="336">
        <v>46093.0</v>
      </c>
      <c r="C4604" s="335" t="s">
        <v>15</v>
      </c>
      <c r="D4604" s="335" t="s">
        <v>58</v>
      </c>
      <c r="E4604" s="337" t="str">
        <f t="shared" si="1"/>
        <v>山口鋼業:MM建材</v>
      </c>
      <c r="F4604" s="338" t="s">
        <v>575</v>
      </c>
      <c r="G4604" s="339" t="str">
        <f t="shared" si="2"/>
        <v>山口鋼業:MM建材鋼ダライＡ</v>
      </c>
      <c r="H4604" s="340">
        <f t="shared" si="3"/>
        <v>42.6</v>
      </c>
      <c r="I4604" s="341">
        <v>2.0</v>
      </c>
      <c r="J4604" s="332">
        <f>IFERROR(__xludf.DUMMYFUNCTION("IF(IF(COUNTIF(P$2:P4603, P4604)=0, """", INDEX(H$2:H4603,
MAX(FILTER(ROW(H$2:H4603) - ROW(H$2) + 1, P$2:P4603 = P4604))))=""単価"","""",
IF(COUNTIF(P$2:P4603, P4604)=0, """", INDEX(H$2:H4603,
MAX(FILTER(ROW(H$2:H4603) - ROW(H$2) + 1, P$2:P4603 = P4604)))))"),40.6)</f>
        <v>40.6</v>
      </c>
      <c r="N4604" s="335" t="str">
        <f>IF(MAXIFS('単価履歴'!$O:$O,'単価履歴'!$E:$E,E4604,'単価履歴'!$F:$F,F4604)=O4604,"●","")</f>
        <v/>
      </c>
      <c r="O4604" s="346">
        <v>46093.359814814816</v>
      </c>
      <c r="P4604" s="334" t="str">
        <f t="shared" si="4"/>
        <v>山口鋼業:MM建材鋼ダライＡ</v>
      </c>
    </row>
    <row r="4605" ht="15.75" customHeight="1">
      <c r="A4605" s="335" t="s">
        <v>5752</v>
      </c>
      <c r="B4605" s="336">
        <v>46093.0</v>
      </c>
      <c r="C4605" s="335" t="s">
        <v>15</v>
      </c>
      <c r="D4605" s="335" t="s">
        <v>58</v>
      </c>
      <c r="E4605" s="337" t="str">
        <f t="shared" si="1"/>
        <v>山口鋼業:MM建材</v>
      </c>
      <c r="F4605" s="338" t="s">
        <v>577</v>
      </c>
      <c r="G4605" s="339" t="str">
        <f t="shared" si="2"/>
        <v>山口鋼業:MM建材鋳物・ﾀﾞｸﾀｲﾙ</v>
      </c>
      <c r="H4605" s="340">
        <f t="shared" si="3"/>
        <v>46.5</v>
      </c>
      <c r="I4605" s="341">
        <v>2.0</v>
      </c>
      <c r="J4605" s="332">
        <f>IFERROR(__xludf.DUMMYFUNCTION("IF(IF(COUNTIF(P$2:P4604, P4605)=0, """", INDEX(H$2:H4604,
MAX(FILTER(ROW(H$2:H4604) - ROW(H$2) + 1, P$2:P4604 = P4605))))=""単価"","""",
IF(COUNTIF(P$2:P4604, P4605)=0, """", INDEX(H$2:H4604,
MAX(FILTER(ROW(H$2:H4604) - ROW(H$2) + 1, P$2:P4604 = P4605)))))"),44.5)</f>
        <v>44.5</v>
      </c>
      <c r="N4605" s="335" t="str">
        <f>IF(MAXIFS('単価履歴'!$O:$O,'単価履歴'!$E:$E,E4605,'単価履歴'!$F:$F,F4605)=O4605,"●","")</f>
        <v/>
      </c>
      <c r="O4605" s="346">
        <v>46093.359814814816</v>
      </c>
      <c r="P4605" s="334" t="str">
        <f t="shared" si="4"/>
        <v>山口鋼業:MM建材鋳物・ﾀﾞｸﾀｲﾙ</v>
      </c>
    </row>
    <row r="4606" ht="15.75" customHeight="1">
      <c r="A4606" s="335" t="s">
        <v>5753</v>
      </c>
      <c r="B4606" s="336">
        <v>46093.0</v>
      </c>
      <c r="C4606" s="335" t="s">
        <v>15</v>
      </c>
      <c r="D4606" s="335" t="s">
        <v>46</v>
      </c>
      <c r="E4606" s="337" t="str">
        <f t="shared" si="1"/>
        <v>山口鋼業:阪和</v>
      </c>
      <c r="F4606" s="338" t="s">
        <v>1199</v>
      </c>
      <c r="G4606" s="339" t="str">
        <f t="shared" si="2"/>
        <v>山口鋼業:阪和ＨＳ１(単体H1/電特A/HS))</v>
      </c>
      <c r="H4606" s="340">
        <f t="shared" si="3"/>
        <v>48.5</v>
      </c>
      <c r="I4606" s="341">
        <v>2.0</v>
      </c>
      <c r="J4606" s="332">
        <f>IFERROR(__xludf.DUMMYFUNCTION("IF(IF(COUNTIF(P$2:P4605, P4606)=0, """", INDEX(H$2:H4605,
MAX(FILTER(ROW(H$2:H4605) - ROW(H$2) + 1, P$2:P4605 = P4606))))=""単価"","""",
IF(COUNTIF(P$2:P4605, P4606)=0, """", INDEX(H$2:H4605,
MAX(FILTER(ROW(H$2:H4605) - ROW(H$2) + 1, P$2:P4605 = P4606)))))"),46.5)</f>
        <v>46.5</v>
      </c>
      <c r="N4606" s="335" t="str">
        <f>IF(MAXIFS('単価履歴'!$O:$O,'単価履歴'!$E:$E,E4606,'単価履歴'!$F:$F,F4606)=O4606,"●","")</f>
        <v/>
      </c>
      <c r="O4606" s="346">
        <v>46093.36011574074</v>
      </c>
      <c r="P4606" s="334" t="str">
        <f t="shared" si="4"/>
        <v>山口鋼業:阪和ＨＳ１(単体H1/電特A/HS))</v>
      </c>
    </row>
    <row r="4607" ht="15.75" customHeight="1">
      <c r="A4607" s="335" t="s">
        <v>5754</v>
      </c>
      <c r="B4607" s="336">
        <v>46093.0</v>
      </c>
      <c r="C4607" s="335" t="s">
        <v>15</v>
      </c>
      <c r="D4607" s="335" t="s">
        <v>46</v>
      </c>
      <c r="E4607" s="337" t="str">
        <f t="shared" si="1"/>
        <v>山口鋼業:阪和</v>
      </c>
      <c r="F4607" s="338" t="s">
        <v>111</v>
      </c>
      <c r="G4607" s="339" t="str">
        <f t="shared" si="2"/>
        <v>山口鋼業:阪和Ｈ１(特A)</v>
      </c>
      <c r="H4607" s="340">
        <f t="shared" si="3"/>
        <v>47</v>
      </c>
      <c r="I4607" s="341">
        <v>2.0</v>
      </c>
      <c r="J4607" s="332">
        <f>IFERROR(__xludf.DUMMYFUNCTION("IF(IF(COUNTIF(P$2:P4606, P4607)=0, """", INDEX(H$2:H4606,
MAX(FILTER(ROW(H$2:H4606) - ROW(H$2) + 1, P$2:P4606 = P4607))))=""単価"","""",
IF(COUNTIF(P$2:P4606, P4607)=0, """", INDEX(H$2:H4606,
MAX(FILTER(ROW(H$2:H4606) - ROW(H$2) + 1, P$2:P4606 = P4607)))))"),45.0)</f>
        <v>45</v>
      </c>
      <c r="N4607" s="335" t="str">
        <f>IF(MAXIFS('単価履歴'!$O:$O,'単価履歴'!$E:$E,E4607,'単価履歴'!$F:$F,F4607)=O4607,"●","")</f>
        <v/>
      </c>
      <c r="O4607" s="346">
        <v>46093.36011574074</v>
      </c>
      <c r="P4607" s="334" t="str">
        <f t="shared" si="4"/>
        <v>山口鋼業:阪和Ｈ１(特A)</v>
      </c>
    </row>
    <row r="4608" ht="15.75" customHeight="1">
      <c r="A4608" s="335" t="s">
        <v>5755</v>
      </c>
      <c r="B4608" s="336">
        <v>46093.0</v>
      </c>
      <c r="C4608" s="335" t="s">
        <v>15</v>
      </c>
      <c r="D4608" s="335" t="s">
        <v>46</v>
      </c>
      <c r="E4608" s="337" t="str">
        <f t="shared" si="1"/>
        <v>山口鋼業:阪和</v>
      </c>
      <c r="F4608" s="338" t="s">
        <v>116</v>
      </c>
      <c r="G4608" s="339" t="str">
        <f t="shared" si="2"/>
        <v>山口鋼業:阪和Ｈ２(特級)</v>
      </c>
      <c r="H4608" s="340">
        <f t="shared" si="3"/>
        <v>46.5</v>
      </c>
      <c r="I4608" s="341">
        <v>2.0</v>
      </c>
      <c r="J4608" s="332">
        <f>IFERROR(__xludf.DUMMYFUNCTION("IF(IF(COUNTIF(P$2:P4607, P4608)=0, """", INDEX(H$2:H4607,
MAX(FILTER(ROW(H$2:H4607) - ROW(H$2) + 1, P$2:P4607 = P4608))))=""単価"","""",
IF(COUNTIF(P$2:P4607, P4608)=0, """", INDEX(H$2:H4607,
MAX(FILTER(ROW(H$2:H4607) - ROW(H$2) + 1, P$2:P4607 = P4608)))))"),44.5)</f>
        <v>44.5</v>
      </c>
      <c r="N4608" s="335" t="str">
        <f>IF(MAXIFS('単価履歴'!$O:$O,'単価履歴'!$E:$E,E4608,'単価履歴'!$F:$F,F4608)=O4608,"●","")</f>
        <v/>
      </c>
      <c r="O4608" s="346">
        <v>46093.36011574074</v>
      </c>
      <c r="P4608" s="334" t="str">
        <f t="shared" si="4"/>
        <v>山口鋼業:阪和Ｈ２(特級)</v>
      </c>
    </row>
    <row r="4609" ht="15.75" customHeight="1">
      <c r="A4609" s="335" t="s">
        <v>5756</v>
      </c>
      <c r="B4609" s="336">
        <v>46093.0</v>
      </c>
      <c r="C4609" s="335" t="s">
        <v>15</v>
      </c>
      <c r="D4609" s="335" t="s">
        <v>46</v>
      </c>
      <c r="E4609" s="337" t="str">
        <f t="shared" si="1"/>
        <v>山口鋼業:阪和</v>
      </c>
      <c r="F4609" s="338" t="s">
        <v>119</v>
      </c>
      <c r="G4609" s="339" t="str">
        <f t="shared" si="2"/>
        <v>山口鋼業:阪和Ｈ３(1級)</v>
      </c>
      <c r="H4609" s="340">
        <f t="shared" si="3"/>
        <v>45.5</v>
      </c>
      <c r="I4609" s="341">
        <v>2.0</v>
      </c>
      <c r="J4609" s="332">
        <f>IFERROR(__xludf.DUMMYFUNCTION("IF(IF(COUNTIF(P$2:P4608, P4609)=0, """", INDEX(H$2:H4608,
MAX(FILTER(ROW(H$2:H4608) - ROW(H$2) + 1, P$2:P4608 = P4609))))=""単価"","""",
IF(COUNTIF(P$2:P4608, P4609)=0, """", INDEX(H$2:H4608,
MAX(FILTER(ROW(H$2:H4608) - ROW(H$2) + 1, P$2:P4608 = P4609)))))"),43.5)</f>
        <v>43.5</v>
      </c>
      <c r="N4609" s="335" t="str">
        <f>IF(MAXIFS('単価履歴'!$O:$O,'単価履歴'!$E:$E,E4609,'単価履歴'!$F:$F,F4609)=O4609,"●","")</f>
        <v/>
      </c>
      <c r="O4609" s="346">
        <v>46093.36011574074</v>
      </c>
      <c r="P4609" s="334" t="str">
        <f t="shared" si="4"/>
        <v>山口鋼業:阪和Ｈ３(1級)</v>
      </c>
    </row>
    <row r="4610" ht="15.75" customHeight="1">
      <c r="A4610" s="335" t="s">
        <v>5757</v>
      </c>
      <c r="B4610" s="336">
        <v>46093.0</v>
      </c>
      <c r="C4610" s="335" t="s">
        <v>15</v>
      </c>
      <c r="D4610" s="335" t="s">
        <v>46</v>
      </c>
      <c r="E4610" s="337" t="str">
        <f t="shared" si="1"/>
        <v>山口鋼業:阪和</v>
      </c>
      <c r="F4610" s="338" t="s">
        <v>573</v>
      </c>
      <c r="G4610" s="339" t="str">
        <f t="shared" si="2"/>
        <v>山口鋼業:阪和Ｌ２(H4･級外･L1ﾊﾞﾗ)</v>
      </c>
      <c r="H4610" s="340">
        <f t="shared" si="3"/>
        <v>44</v>
      </c>
      <c r="I4610" s="341">
        <v>2.0</v>
      </c>
      <c r="J4610" s="332">
        <f>IFERROR(__xludf.DUMMYFUNCTION("IF(IF(COUNTIF(P$2:P4609, P4610)=0, """", INDEX(H$2:H4609,
MAX(FILTER(ROW(H$2:H4609) - ROW(H$2) + 1, P$2:P4609 = P4610))))=""単価"","""",
IF(COUNTIF(P$2:P4609, P4610)=0, """", INDEX(H$2:H4609,
MAX(FILTER(ROW(H$2:H4609) - ROW(H$2) + 1, P$2:P4609 = P4610)))))"),42.0)</f>
        <v>42</v>
      </c>
      <c r="N4610" s="335" t="str">
        <f>IF(MAXIFS('単価履歴'!$O:$O,'単価履歴'!$E:$E,E4610,'単価履歴'!$F:$F,F4610)=O4610,"●","")</f>
        <v/>
      </c>
      <c r="O4610" s="346">
        <v>46093.36011574074</v>
      </c>
      <c r="P4610" s="334" t="str">
        <f t="shared" si="4"/>
        <v>山口鋼業:阪和Ｌ２(H4･級外･L1ﾊﾞﾗ)</v>
      </c>
    </row>
    <row r="4611" ht="15.75" customHeight="1">
      <c r="A4611" s="335" t="s">
        <v>5758</v>
      </c>
      <c r="B4611" s="336">
        <v>46093.0</v>
      </c>
      <c r="C4611" s="335" t="s">
        <v>537</v>
      </c>
      <c r="D4611" s="335" t="s">
        <v>59</v>
      </c>
      <c r="E4611" s="337" t="str">
        <f t="shared" si="1"/>
        <v>大同特殊鋼:大同興業</v>
      </c>
      <c r="F4611" s="338" t="s">
        <v>1199</v>
      </c>
      <c r="G4611" s="339" t="str">
        <f t="shared" si="2"/>
        <v>大同特殊鋼:大同興業ＨＳ１(単体H1/電特A/HS))</v>
      </c>
      <c r="H4611" s="340">
        <f t="shared" si="3"/>
        <v>50.5</v>
      </c>
      <c r="I4611" s="341">
        <v>2.0</v>
      </c>
      <c r="J4611" s="332">
        <f>IFERROR(__xludf.DUMMYFUNCTION("IF(IF(COUNTIF(P$2:P4610, P4611)=0, """", INDEX(H$2:H4610,
MAX(FILTER(ROW(H$2:H4610) - ROW(H$2) + 1, P$2:P4610 = P4611))))=""単価"","""",
IF(COUNTIF(P$2:P4610, P4611)=0, """", INDEX(H$2:H4610,
MAX(FILTER(ROW(H$2:H4610) - ROW(H$2) + 1, P$2:P4610 = P4611)))))"),48.5)</f>
        <v>48.5</v>
      </c>
      <c r="N4611" s="335" t="str">
        <f>IF(MAXIFS('単価履歴'!$O:$O,'単価履歴'!$E:$E,E4611,'単価履歴'!$F:$F,F4611)=O4611,"●","")</f>
        <v/>
      </c>
      <c r="O4611" s="346">
        <v>46093.36032407408</v>
      </c>
      <c r="P4611" s="334" t="str">
        <f t="shared" si="4"/>
        <v>大同特殊鋼:大同興業ＨＳ１(単体H1/電特A/HS))</v>
      </c>
    </row>
    <row r="4612" ht="15.75" customHeight="1">
      <c r="A4612" s="335" t="s">
        <v>5759</v>
      </c>
      <c r="B4612" s="336">
        <v>46093.0</v>
      </c>
      <c r="C4612" s="335" t="s">
        <v>537</v>
      </c>
      <c r="D4612" s="335" t="s">
        <v>59</v>
      </c>
      <c r="E4612" s="337" t="str">
        <f t="shared" si="1"/>
        <v>大同特殊鋼:大同興業</v>
      </c>
      <c r="F4612" s="338" t="s">
        <v>575</v>
      </c>
      <c r="G4612" s="339" t="str">
        <f t="shared" si="2"/>
        <v>大同特殊鋼:大同興業鋼ダライＡ</v>
      </c>
      <c r="H4612" s="340">
        <f t="shared" si="3"/>
        <v>43.4</v>
      </c>
      <c r="I4612" s="341">
        <v>2.0</v>
      </c>
      <c r="J4612" s="332">
        <f>IFERROR(__xludf.DUMMYFUNCTION("IF(IF(COUNTIF(P$2:P4611, P4612)=0, """", INDEX(H$2:H4611,
MAX(FILTER(ROW(H$2:H4611) - ROW(H$2) + 1, P$2:P4611 = P4612))))=""単価"","""",
IF(COUNTIF(P$2:P4611, P4612)=0, """", INDEX(H$2:H4611,
MAX(FILTER(ROW(H$2:H4611) - ROW(H$2) + 1, P$2:P4611 = P4612)))))"),41.4)</f>
        <v>41.4</v>
      </c>
      <c r="N4612" s="335" t="str">
        <f>IF(MAXIFS('単価履歴'!$O:$O,'単価履歴'!$E:$E,E4612,'単価履歴'!$F:$F,F4612)=O4612,"●","")</f>
        <v/>
      </c>
      <c r="O4612" s="346">
        <v>46093.36032407408</v>
      </c>
      <c r="P4612" s="334" t="str">
        <f t="shared" si="4"/>
        <v>大同特殊鋼:大同興業鋼ダライＡ</v>
      </c>
    </row>
    <row r="4613" ht="15.75" customHeight="1">
      <c r="A4613" s="335" t="s">
        <v>5760</v>
      </c>
      <c r="B4613" s="336">
        <v>46093.0</v>
      </c>
      <c r="C4613" s="335" t="s">
        <v>537</v>
      </c>
      <c r="D4613" s="335" t="s">
        <v>1404</v>
      </c>
      <c r="E4613" s="337" t="str">
        <f t="shared" si="1"/>
        <v>大同特殊鋼:JSE/大和ﾘﾃｯｸ</v>
      </c>
      <c r="F4613" s="338" t="s">
        <v>1199</v>
      </c>
      <c r="G4613" s="339" t="str">
        <f t="shared" si="2"/>
        <v>大同特殊鋼:JSE/大和ﾘﾃｯｸＨＳ１(単体H1/電特A/HS))</v>
      </c>
      <c r="H4613" s="340">
        <f t="shared" si="3"/>
        <v>49.8</v>
      </c>
      <c r="I4613" s="341">
        <v>2.0</v>
      </c>
      <c r="J4613" s="332">
        <f>IFERROR(__xludf.DUMMYFUNCTION("IF(IF(COUNTIF(P$2:P4612, P4613)=0, """", INDEX(H$2:H4612,
MAX(FILTER(ROW(H$2:H4612) - ROW(H$2) + 1, P$2:P4612 = P4613))))=""単価"","""",
IF(COUNTIF(P$2:P4612, P4613)=0, """", INDEX(H$2:H4612,
MAX(FILTER(ROW(H$2:H4612) - ROW(H$2) + 1, P$2:P4612 = P4613)))))"),47.8)</f>
        <v>47.8</v>
      </c>
      <c r="N4613" s="335" t="str">
        <f>IF(MAXIFS('単価履歴'!$O:$O,'単価履歴'!$E:$E,E4613,'単価履歴'!$F:$F,F4613)=O4613,"●","")</f>
        <v/>
      </c>
      <c r="O4613" s="346">
        <v>46093.360671296294</v>
      </c>
      <c r="P4613" s="334" t="str">
        <f t="shared" si="4"/>
        <v>大同特殊鋼:JSE/大和ﾘﾃｯｸＨＳ１(単体H1/電特A/HS))</v>
      </c>
    </row>
    <row r="4614" ht="15.75" customHeight="1">
      <c r="A4614" s="335" t="s">
        <v>5761</v>
      </c>
      <c r="B4614" s="336">
        <v>46093.0</v>
      </c>
      <c r="C4614" s="335" t="s">
        <v>537</v>
      </c>
      <c r="D4614" s="335" t="s">
        <v>1404</v>
      </c>
      <c r="E4614" s="337" t="str">
        <f t="shared" si="1"/>
        <v>大同特殊鋼:JSE/大和ﾘﾃｯｸ</v>
      </c>
      <c r="F4614" s="338" t="s">
        <v>116</v>
      </c>
      <c r="G4614" s="339" t="str">
        <f t="shared" si="2"/>
        <v>大同特殊鋼:JSE/大和ﾘﾃｯｸＨ２(特級)</v>
      </c>
      <c r="H4614" s="340">
        <f t="shared" si="3"/>
        <v>46.7</v>
      </c>
      <c r="I4614" s="341">
        <v>2.0</v>
      </c>
      <c r="J4614" s="332">
        <f>IFERROR(__xludf.DUMMYFUNCTION("IF(IF(COUNTIF(P$2:P4613, P4614)=0, """", INDEX(H$2:H4613,
MAX(FILTER(ROW(H$2:H4613) - ROW(H$2) + 1, P$2:P4613 = P4614))))=""単価"","""",
IF(COUNTIF(P$2:P4613, P4614)=0, """", INDEX(H$2:H4613,
MAX(FILTER(ROW(H$2:H4613) - ROW(H$2) + 1, P$2:P4613 = P4614)))))"),44.7)</f>
        <v>44.7</v>
      </c>
      <c r="N4614" s="335" t="str">
        <f>IF(MAXIFS('単価履歴'!$O:$O,'単価履歴'!$E:$E,E4614,'単価履歴'!$F:$F,F4614)=O4614,"●","")</f>
        <v/>
      </c>
      <c r="O4614" s="346">
        <v>46093.360671296294</v>
      </c>
      <c r="P4614" s="334" t="str">
        <f t="shared" si="4"/>
        <v>大同特殊鋼:JSE/大和ﾘﾃｯｸＨ２(特級)</v>
      </c>
    </row>
    <row r="4615" ht="15.75" customHeight="1">
      <c r="A4615" s="335" t="s">
        <v>5762</v>
      </c>
      <c r="B4615" s="336">
        <v>46093.0</v>
      </c>
      <c r="C4615" s="335" t="s">
        <v>537</v>
      </c>
      <c r="D4615" s="335" t="s">
        <v>1404</v>
      </c>
      <c r="E4615" s="337" t="str">
        <f t="shared" si="1"/>
        <v>大同特殊鋼:JSE/大和ﾘﾃｯｸ</v>
      </c>
      <c r="F4615" s="338" t="s">
        <v>575</v>
      </c>
      <c r="G4615" s="339" t="str">
        <f t="shared" si="2"/>
        <v>大同特殊鋼:JSE/大和ﾘﾃｯｸ鋼ダライＡ</v>
      </c>
      <c r="H4615" s="340">
        <f t="shared" si="3"/>
        <v>45.5</v>
      </c>
      <c r="I4615" s="341">
        <v>2.0</v>
      </c>
      <c r="J4615" s="332">
        <f>IFERROR(__xludf.DUMMYFUNCTION("IF(IF(COUNTIF(P$2:P4614, P4615)=0, """", INDEX(H$2:H4614,
MAX(FILTER(ROW(H$2:H4614) - ROW(H$2) + 1, P$2:P4614 = P4615))))=""単価"","""",
IF(COUNTIF(P$2:P4614, P4615)=0, """", INDEX(H$2:H4614,
MAX(FILTER(ROW(H$2:H4614) - ROW(H$2) + 1, P$2:P4614 = P4615)))))"),43.5)</f>
        <v>43.5</v>
      </c>
      <c r="N4615" s="335" t="str">
        <f>IF(MAXIFS('単価履歴'!$O:$O,'単価履歴'!$E:$E,E4615,'単価履歴'!$F:$F,F4615)=O4615,"●","")</f>
        <v/>
      </c>
      <c r="O4615" s="346">
        <v>46093.360671296294</v>
      </c>
      <c r="P4615" s="334" t="str">
        <f t="shared" si="4"/>
        <v>大同特殊鋼:JSE/大和ﾘﾃｯｸ鋼ダライＡ</v>
      </c>
    </row>
    <row r="4616" ht="15.75" customHeight="1">
      <c r="A4616" s="335" t="s">
        <v>5763</v>
      </c>
      <c r="B4616" s="336">
        <v>46093.0</v>
      </c>
      <c r="C4616" s="335" t="s">
        <v>537</v>
      </c>
      <c r="D4616" s="335" t="s">
        <v>1407</v>
      </c>
      <c r="E4616" s="337" t="str">
        <f t="shared" si="1"/>
        <v>大同特殊鋼:JSE/第二＠2.3</v>
      </c>
      <c r="F4616" s="338" t="s">
        <v>1199</v>
      </c>
      <c r="G4616" s="339" t="str">
        <f t="shared" si="2"/>
        <v>大同特殊鋼:JSE/第二＠2.3ＨＳ１(単体H1/電特A/HS))</v>
      </c>
      <c r="H4616" s="340">
        <f t="shared" si="3"/>
        <v>47.5</v>
      </c>
      <c r="I4616" s="341">
        <v>2.0</v>
      </c>
      <c r="J4616" s="332">
        <f>IFERROR(__xludf.DUMMYFUNCTION("IF(IF(COUNTIF(P$2:P4615, P4616)=0, """", INDEX(H$2:H4615,
MAX(FILTER(ROW(H$2:H4615) - ROW(H$2) + 1, P$2:P4615 = P4616))))=""単価"","""",
IF(COUNTIF(P$2:P4615, P4616)=0, """", INDEX(H$2:H4615,
MAX(FILTER(ROW(H$2:H4615) - ROW(H$2) + 1, P$2:P4615 = P4616)))))"),45.5)</f>
        <v>45.5</v>
      </c>
      <c r="N4616" s="335" t="str">
        <f>IF(MAXIFS('単価履歴'!$O:$O,'単価履歴'!$E:$E,E4616,'単価履歴'!$F:$F,F4616)=O4616,"●","")</f>
        <v/>
      </c>
      <c r="O4616" s="346">
        <v>46093.360671296294</v>
      </c>
      <c r="P4616" s="334" t="str">
        <f t="shared" si="4"/>
        <v>大同特殊鋼:JSE/第二＠2.3ＨＳ１(単体H1/電特A/HS))</v>
      </c>
    </row>
    <row r="4617" ht="15.75" customHeight="1">
      <c r="A4617" s="335" t="s">
        <v>5764</v>
      </c>
      <c r="B4617" s="336">
        <v>46093.0</v>
      </c>
      <c r="C4617" s="335" t="s">
        <v>537</v>
      </c>
      <c r="D4617" s="335" t="s">
        <v>1407</v>
      </c>
      <c r="E4617" s="337" t="str">
        <f t="shared" si="1"/>
        <v>大同特殊鋼:JSE/第二＠2.3</v>
      </c>
      <c r="F4617" s="338" t="s">
        <v>116</v>
      </c>
      <c r="G4617" s="339" t="str">
        <f t="shared" si="2"/>
        <v>大同特殊鋼:JSE/第二＠2.3Ｈ２(特級)</v>
      </c>
      <c r="H4617" s="340">
        <f t="shared" si="3"/>
        <v>44.4</v>
      </c>
      <c r="I4617" s="341">
        <v>2.0</v>
      </c>
      <c r="J4617" s="332">
        <f>IFERROR(__xludf.DUMMYFUNCTION("IF(IF(COUNTIF(P$2:P4616, P4617)=0, """", INDEX(H$2:H4616,
MAX(FILTER(ROW(H$2:H4616) - ROW(H$2) + 1, P$2:P4616 = P4617))))=""単価"","""",
IF(COUNTIF(P$2:P4616, P4617)=0, """", INDEX(H$2:H4616,
MAX(FILTER(ROW(H$2:H4616) - ROW(H$2) + 1, P$2:P4616 = P4617)))))"),42.400000000000006)</f>
        <v>42.4</v>
      </c>
      <c r="N4617" s="335" t="str">
        <f>IF(MAXIFS('単価履歴'!$O:$O,'単価履歴'!$E:$E,E4617,'単価履歴'!$F:$F,F4617)=O4617,"●","")</f>
        <v/>
      </c>
      <c r="O4617" s="346">
        <v>46093.360671296294</v>
      </c>
      <c r="P4617" s="334" t="str">
        <f t="shared" si="4"/>
        <v>大同特殊鋼:JSE/第二＠2.3Ｈ２(特級)</v>
      </c>
    </row>
    <row r="4618" ht="15.75" customHeight="1">
      <c r="A4618" s="335" t="s">
        <v>5765</v>
      </c>
      <c r="B4618" s="336">
        <v>46093.0</v>
      </c>
      <c r="C4618" s="335" t="s">
        <v>537</v>
      </c>
      <c r="D4618" s="335" t="s">
        <v>1407</v>
      </c>
      <c r="E4618" s="337" t="str">
        <f t="shared" si="1"/>
        <v>大同特殊鋼:JSE/第二＠2.3</v>
      </c>
      <c r="F4618" s="338" t="s">
        <v>575</v>
      </c>
      <c r="G4618" s="339" t="str">
        <f t="shared" si="2"/>
        <v>大同特殊鋼:JSE/第二＠2.3鋼ダライＡ</v>
      </c>
      <c r="H4618" s="340">
        <f t="shared" si="3"/>
        <v>43.2</v>
      </c>
      <c r="I4618" s="341">
        <v>2.0</v>
      </c>
      <c r="J4618" s="332">
        <f>IFERROR(__xludf.DUMMYFUNCTION("IF(IF(COUNTIF(P$2:P4617, P4618)=0, """", INDEX(H$2:H4617,
MAX(FILTER(ROW(H$2:H4617) - ROW(H$2) + 1, P$2:P4617 = P4618))))=""単価"","""",
IF(COUNTIF(P$2:P4617, P4618)=0, """", INDEX(H$2:H4617,
MAX(FILTER(ROW(H$2:H4617) - ROW(H$2) + 1, P$2:P4617 = P4618)))))"),41.2)</f>
        <v>41.2</v>
      </c>
      <c r="N4618" s="335" t="str">
        <f>IF(MAXIFS('単価履歴'!$O:$O,'単価履歴'!$E:$E,E4618,'単価履歴'!$F:$F,F4618)=O4618,"●","")</f>
        <v/>
      </c>
      <c r="O4618" s="346">
        <v>46093.360671296294</v>
      </c>
      <c r="P4618" s="334" t="str">
        <f t="shared" si="4"/>
        <v>大同特殊鋼:JSE/第二＠2.3鋼ダライＡ</v>
      </c>
    </row>
    <row r="4619" ht="15.75" customHeight="1">
      <c r="A4619" s="335" t="s">
        <v>5766</v>
      </c>
      <c r="B4619" s="336">
        <v>46093.0</v>
      </c>
      <c r="C4619" s="335" t="s">
        <v>537</v>
      </c>
      <c r="D4619" s="335" t="s">
        <v>1410</v>
      </c>
      <c r="E4619" s="337" t="str">
        <f t="shared" si="1"/>
        <v>大同特殊鋼:JSE/岐阜＠1.5</v>
      </c>
      <c r="F4619" s="338" t="s">
        <v>1199</v>
      </c>
      <c r="G4619" s="339" t="str">
        <f t="shared" si="2"/>
        <v>大同特殊鋼:JSE/岐阜＠1.5ＨＳ１(単体H1/電特A/HS))</v>
      </c>
      <c r="H4619" s="340">
        <f t="shared" si="3"/>
        <v>48.3</v>
      </c>
      <c r="I4619" s="341">
        <v>2.0</v>
      </c>
      <c r="J4619" s="332">
        <f>IFERROR(__xludf.DUMMYFUNCTION("IF(IF(COUNTIF(P$2:P4618, P4619)=0, """", INDEX(H$2:H4618,
MAX(FILTER(ROW(H$2:H4618) - ROW(H$2) + 1, P$2:P4618 = P4619))))=""単価"","""",
IF(COUNTIF(P$2:P4618, P4619)=0, """", INDEX(H$2:H4618,
MAX(FILTER(ROW(H$2:H4618) - ROW(H$2) + 1, P$2:P4618 = P4619)))))"),46.3)</f>
        <v>46.3</v>
      </c>
      <c r="N4619" s="335" t="str">
        <f>IF(MAXIFS('単価履歴'!$O:$O,'単価履歴'!$E:$E,E4619,'単価履歴'!$F:$F,F4619)=O4619,"●","")</f>
        <v/>
      </c>
      <c r="O4619" s="346">
        <v>46093.360671296294</v>
      </c>
      <c r="P4619" s="334" t="str">
        <f t="shared" si="4"/>
        <v>大同特殊鋼:JSE/岐阜＠1.5ＨＳ１(単体H1/電特A/HS))</v>
      </c>
    </row>
    <row r="4620" ht="15.75" customHeight="1">
      <c r="A4620" s="335" t="s">
        <v>5767</v>
      </c>
      <c r="B4620" s="336">
        <v>46093.0</v>
      </c>
      <c r="C4620" s="335" t="s">
        <v>537</v>
      </c>
      <c r="D4620" s="335" t="s">
        <v>1410</v>
      </c>
      <c r="E4620" s="337" t="str">
        <f t="shared" si="1"/>
        <v>大同特殊鋼:JSE/岐阜＠1.5</v>
      </c>
      <c r="F4620" s="338" t="s">
        <v>116</v>
      </c>
      <c r="G4620" s="339" t="str">
        <f t="shared" si="2"/>
        <v>大同特殊鋼:JSE/岐阜＠1.5Ｈ２(特級)</v>
      </c>
      <c r="H4620" s="340">
        <f t="shared" si="3"/>
        <v>45.2</v>
      </c>
      <c r="I4620" s="341">
        <v>2.0</v>
      </c>
      <c r="J4620" s="332">
        <f>IFERROR(__xludf.DUMMYFUNCTION("IF(IF(COUNTIF(P$2:P4619, P4620)=0, """", INDEX(H$2:H4619,
MAX(FILTER(ROW(H$2:H4619) - ROW(H$2) + 1, P$2:P4619 = P4620))))=""単価"","""",
IF(COUNTIF(P$2:P4619, P4620)=0, """", INDEX(H$2:H4619,
MAX(FILTER(ROW(H$2:H4619) - ROW(H$2) + 1, P$2:P4619 = P4620)))))"),43.2)</f>
        <v>43.2</v>
      </c>
      <c r="N4620" s="335" t="str">
        <f>IF(MAXIFS('単価履歴'!$O:$O,'単価履歴'!$E:$E,E4620,'単価履歴'!$F:$F,F4620)=O4620,"●","")</f>
        <v/>
      </c>
      <c r="O4620" s="346">
        <v>46093.360671296294</v>
      </c>
      <c r="P4620" s="334" t="str">
        <f t="shared" si="4"/>
        <v>大同特殊鋼:JSE/岐阜＠1.5Ｈ２(特級)</v>
      </c>
    </row>
    <row r="4621" ht="15.75" customHeight="1">
      <c r="A4621" s="335" t="s">
        <v>5768</v>
      </c>
      <c r="B4621" s="336">
        <v>46093.0</v>
      </c>
      <c r="C4621" s="335" t="s">
        <v>537</v>
      </c>
      <c r="D4621" s="335" t="s">
        <v>1410</v>
      </c>
      <c r="E4621" s="337" t="str">
        <f t="shared" si="1"/>
        <v>大同特殊鋼:JSE/岐阜＠1.5</v>
      </c>
      <c r="F4621" s="338" t="s">
        <v>575</v>
      </c>
      <c r="G4621" s="339" t="str">
        <f t="shared" si="2"/>
        <v>大同特殊鋼:JSE/岐阜＠1.5鋼ダライＡ</v>
      </c>
      <c r="H4621" s="340">
        <f t="shared" si="3"/>
        <v>44</v>
      </c>
      <c r="I4621" s="341">
        <v>2.0</v>
      </c>
      <c r="J4621" s="332">
        <f>IFERROR(__xludf.DUMMYFUNCTION("IF(IF(COUNTIF(P$2:P4620, P4621)=0, """", INDEX(H$2:H4620,
MAX(FILTER(ROW(H$2:H4620) - ROW(H$2) + 1, P$2:P4620 = P4621))))=""単価"","""",
IF(COUNTIF(P$2:P4620, P4621)=0, """", INDEX(H$2:H4620,
MAX(FILTER(ROW(H$2:H4620) - ROW(H$2) + 1, P$2:P4620 = P4621)))))"),42.0)</f>
        <v>42</v>
      </c>
      <c r="N4621" s="335" t="str">
        <f>IF(MAXIFS('単価履歴'!$O:$O,'単価履歴'!$E:$E,E4621,'単価履歴'!$F:$F,F4621)=O4621,"●","")</f>
        <v/>
      </c>
      <c r="O4621" s="346">
        <v>46093.360671296294</v>
      </c>
      <c r="P4621" s="334" t="str">
        <f t="shared" si="4"/>
        <v>大同特殊鋼:JSE/岐阜＠1.5鋼ダライＡ</v>
      </c>
    </row>
    <row r="4622" ht="15.75" customHeight="1">
      <c r="A4622" s="335" t="s">
        <v>5769</v>
      </c>
      <c r="B4622" s="336">
        <v>46093.0</v>
      </c>
      <c r="C4622" s="335" t="s">
        <v>19</v>
      </c>
      <c r="D4622" s="335" t="s">
        <v>61</v>
      </c>
      <c r="E4622" s="337" t="str">
        <f t="shared" si="1"/>
        <v>トピー工業:ＭＭ</v>
      </c>
      <c r="F4622" s="338" t="s">
        <v>116</v>
      </c>
      <c r="G4622" s="339" t="str">
        <f t="shared" si="2"/>
        <v>トピー工業:ＭＭＨ２(特級)</v>
      </c>
      <c r="H4622" s="340">
        <f t="shared" si="3"/>
        <v>42</v>
      </c>
      <c r="I4622" s="341">
        <v>2.0</v>
      </c>
      <c r="J4622" s="332">
        <f>IFERROR(__xludf.DUMMYFUNCTION("IF(IF(COUNTIF(P$2:P4621, P4622)=0, """", INDEX(H$2:H4621,
MAX(FILTER(ROW(H$2:H4621) - ROW(H$2) + 1, P$2:P4621 = P4622))))=""単価"","""",
IF(COUNTIF(P$2:P4621, P4622)=0, """", INDEX(H$2:H4621,
MAX(FILTER(ROW(H$2:H4621) - ROW(H$2) + 1, P$2:P4621 = P4622)))))"),40.0)</f>
        <v>40</v>
      </c>
      <c r="N4622" s="335" t="str">
        <f>IF(MAXIFS('単価履歴'!$O:$O,'単価履歴'!$E:$E,E4622,'単価履歴'!$F:$F,F4622)=O4622,"●","")</f>
        <v/>
      </c>
      <c r="O4622" s="346">
        <v>46093.36108796296</v>
      </c>
      <c r="P4622" s="334" t="str">
        <f t="shared" si="4"/>
        <v>トピー工業:ＭＭＨ２(特級)</v>
      </c>
    </row>
    <row r="4623" ht="15.75" customHeight="1">
      <c r="A4623" s="335" t="s">
        <v>5770</v>
      </c>
      <c r="B4623" s="336">
        <v>46093.0</v>
      </c>
      <c r="C4623" s="335" t="s">
        <v>37</v>
      </c>
      <c r="D4623" s="335" t="s">
        <v>48</v>
      </c>
      <c r="E4623" s="337" t="str">
        <f t="shared" si="1"/>
        <v>共英名古屋:ナベ</v>
      </c>
      <c r="F4623" s="338" t="s">
        <v>111</v>
      </c>
      <c r="G4623" s="339" t="str">
        <f t="shared" si="2"/>
        <v>共英名古屋:ナベＨ１(特A)</v>
      </c>
      <c r="H4623" s="340">
        <f t="shared" si="3"/>
        <v>49.2</v>
      </c>
      <c r="I4623" s="341">
        <v>2.0</v>
      </c>
      <c r="J4623" s="332">
        <f>IFERROR(__xludf.DUMMYFUNCTION("IF(IF(COUNTIF(P$2:P4622, P4623)=0, """", INDEX(H$2:H4622,
MAX(FILTER(ROW(H$2:H4622) - ROW(H$2) + 1, P$2:P4622 = P4623))))=""単価"","""",
IF(COUNTIF(P$2:P4622, P4623)=0, """", INDEX(H$2:H4622,
MAX(FILTER(ROW(H$2:H4622) - ROW(H$2) + 1, P$2:P4622 = P4623)))))"),47.2)</f>
        <v>47.2</v>
      </c>
      <c r="N4623" s="335" t="str">
        <f>IF(MAXIFS('単価履歴'!$O:$O,'単価履歴'!$E:$E,E4623,'単価履歴'!$F:$F,F4623)=O4623,"●","")</f>
        <v/>
      </c>
      <c r="O4623" s="346">
        <v>46093.36210648148</v>
      </c>
      <c r="P4623" s="334" t="str">
        <f t="shared" si="4"/>
        <v>共英名古屋:ナベＨ１(特A)</v>
      </c>
    </row>
    <row r="4624" ht="15.75" customHeight="1">
      <c r="A4624" s="335" t="s">
        <v>5771</v>
      </c>
      <c r="B4624" s="336">
        <v>46093.0</v>
      </c>
      <c r="C4624" s="335" t="s">
        <v>37</v>
      </c>
      <c r="D4624" s="335" t="s">
        <v>48</v>
      </c>
      <c r="E4624" s="337" t="str">
        <f t="shared" si="1"/>
        <v>共英名古屋:ナベ</v>
      </c>
      <c r="F4624" s="338" t="s">
        <v>116</v>
      </c>
      <c r="G4624" s="339" t="str">
        <f t="shared" si="2"/>
        <v>共英名古屋:ナベＨ２(特級)</v>
      </c>
      <c r="H4624" s="340">
        <f t="shared" si="3"/>
        <v>46.5</v>
      </c>
      <c r="I4624" s="341">
        <v>2.0</v>
      </c>
      <c r="J4624" s="332">
        <f>IFERROR(__xludf.DUMMYFUNCTION("IF(IF(COUNTIF(P$2:P4623, P4624)=0, """", INDEX(H$2:H4623,
MAX(FILTER(ROW(H$2:H4623) - ROW(H$2) + 1, P$2:P4623 = P4624))))=""単価"","""",
IF(COUNTIF(P$2:P4623, P4624)=0, """", INDEX(H$2:H4623,
MAX(FILTER(ROW(H$2:H4623) - ROW(H$2) + 1, P$2:P4623 = P4624)))))"),44.5)</f>
        <v>44.5</v>
      </c>
      <c r="N4624" s="335" t="str">
        <f>IF(MAXIFS('単価履歴'!$O:$O,'単価履歴'!$E:$E,E4624,'単価履歴'!$F:$F,F4624)=O4624,"●","")</f>
        <v/>
      </c>
      <c r="O4624" s="346">
        <v>46093.36210648148</v>
      </c>
      <c r="P4624" s="334" t="str">
        <f t="shared" si="4"/>
        <v>共英名古屋:ナベＨ２(特級)</v>
      </c>
    </row>
    <row r="4625" ht="15.75" customHeight="1">
      <c r="A4625" s="335" t="s">
        <v>5772</v>
      </c>
      <c r="B4625" s="336">
        <v>46093.0</v>
      </c>
      <c r="C4625" s="335" t="s">
        <v>37</v>
      </c>
      <c r="D4625" s="335" t="s">
        <v>48</v>
      </c>
      <c r="E4625" s="337" t="str">
        <f t="shared" si="1"/>
        <v>共英名古屋:ナベ</v>
      </c>
      <c r="F4625" s="338" t="s">
        <v>119</v>
      </c>
      <c r="G4625" s="339" t="str">
        <f t="shared" si="2"/>
        <v>共英名古屋:ナベＨ３(1級)</v>
      </c>
      <c r="H4625" s="340">
        <f t="shared" si="3"/>
        <v>45.5</v>
      </c>
      <c r="I4625" s="341">
        <v>2.0</v>
      </c>
      <c r="J4625" s="332">
        <f>IFERROR(__xludf.DUMMYFUNCTION("IF(IF(COUNTIF(P$2:P4624, P4625)=0, """", INDEX(H$2:H4624,
MAX(FILTER(ROW(H$2:H4624) - ROW(H$2) + 1, P$2:P4624 = P4625))))=""単価"","""",
IF(COUNTIF(P$2:P4624, P4625)=0, """", INDEX(H$2:H4624,
MAX(FILTER(ROW(H$2:H4624) - ROW(H$2) + 1, P$2:P4624 = P4625)))))"),43.5)</f>
        <v>43.5</v>
      </c>
      <c r="N4625" s="335" t="str">
        <f>IF(MAXIFS('単価履歴'!$O:$O,'単価履歴'!$E:$E,E4625,'単価履歴'!$F:$F,F4625)=O4625,"●","")</f>
        <v/>
      </c>
      <c r="O4625" s="346">
        <v>46093.36210648148</v>
      </c>
      <c r="P4625" s="334" t="str">
        <f t="shared" si="4"/>
        <v>共英名古屋:ナベＨ３(1級)</v>
      </c>
    </row>
    <row r="4626" ht="15.75" customHeight="1">
      <c r="A4626" s="335" t="s">
        <v>5773</v>
      </c>
      <c r="B4626" s="336">
        <v>46093.0</v>
      </c>
      <c r="C4626" s="335" t="s">
        <v>37</v>
      </c>
      <c r="D4626" s="335" t="s">
        <v>48</v>
      </c>
      <c r="E4626" s="337" t="str">
        <f t="shared" si="1"/>
        <v>共英名古屋:ナベ</v>
      </c>
      <c r="F4626" s="338" t="s">
        <v>122</v>
      </c>
      <c r="G4626" s="339" t="str">
        <f t="shared" si="2"/>
        <v>共英名古屋:ナベＬ１(2級)</v>
      </c>
      <c r="H4626" s="340">
        <f t="shared" si="3"/>
        <v>42.5</v>
      </c>
      <c r="I4626" s="341">
        <v>2.0</v>
      </c>
      <c r="J4626" s="332">
        <f>IFERROR(__xludf.DUMMYFUNCTION("IF(IF(COUNTIF(P$2:P4625, P4626)=0, """", INDEX(H$2:H4625,
MAX(FILTER(ROW(H$2:H4625) - ROW(H$2) + 1, P$2:P4625 = P4626))))=""単価"","""",
IF(COUNTIF(P$2:P4625, P4626)=0, """", INDEX(H$2:H4625,
MAX(FILTER(ROW(H$2:H4625) - ROW(H$2) + 1, P$2:P4625 = P4626)))))"),40.5)</f>
        <v>40.5</v>
      </c>
      <c r="N4626" s="335" t="str">
        <f>IF(MAXIFS('単価履歴'!$O:$O,'単価履歴'!$E:$E,E4626,'単価履歴'!$F:$F,F4626)=O4626,"●","")</f>
        <v/>
      </c>
      <c r="O4626" s="346">
        <v>46093.36210648148</v>
      </c>
      <c r="P4626" s="334" t="str">
        <f t="shared" si="4"/>
        <v>共英名古屋:ナベＬ１(2級)</v>
      </c>
    </row>
    <row r="4627" ht="15.75" customHeight="1">
      <c r="A4627" s="335" t="s">
        <v>5774</v>
      </c>
      <c r="B4627" s="336">
        <v>46093.0</v>
      </c>
      <c r="C4627" s="335" t="s">
        <v>9</v>
      </c>
      <c r="D4627" s="335" t="s">
        <v>48</v>
      </c>
      <c r="E4627" s="337" t="str">
        <f t="shared" si="1"/>
        <v>大鉄　堺:ナベ</v>
      </c>
      <c r="F4627" s="338" t="s">
        <v>111</v>
      </c>
      <c r="G4627" s="339" t="str">
        <f t="shared" si="2"/>
        <v>大鉄　堺:ナベＨ１(特A)</v>
      </c>
      <c r="H4627" s="340">
        <f t="shared" si="3"/>
        <v>0</v>
      </c>
      <c r="I4627" s="341">
        <v>-2.0</v>
      </c>
      <c r="J4627" s="332">
        <f>IFERROR(__xludf.DUMMYFUNCTION("IF(IF(COUNTIF(P$2:P4626, P4627)=0, """", INDEX(H$2:H4626,
MAX(FILTER(ROW(H$2:H4626) - ROW(H$2) + 1, P$2:P4626 = P4627))))=""単価"","""",
IF(COUNTIF(P$2:P4626, P4627)=0, """", INDEX(H$2:H4626,
MAX(FILTER(ROW(H$2:H4626) - ROW(H$2) + 1, P$2:P4626 = P4627)))))"),2.0)</f>
        <v>2</v>
      </c>
      <c r="N4627" s="335" t="str">
        <f>IF(MAXIFS('単価履歴'!$O:$O,'単価履歴'!$E:$E,E4627,'単価履歴'!$F:$F,F4627)=O4627,"●","")</f>
        <v>●</v>
      </c>
      <c r="O4627" s="346">
        <v>46093.39010416667</v>
      </c>
      <c r="P4627" s="334" t="str">
        <f t="shared" si="4"/>
        <v>大鉄　堺:ナベＨ１(特A)</v>
      </c>
    </row>
    <row r="4628" ht="15.75" customHeight="1">
      <c r="A4628" s="335" t="s">
        <v>5775</v>
      </c>
      <c r="B4628" s="336">
        <v>46094.0</v>
      </c>
      <c r="C4628" s="335" t="s">
        <v>534</v>
      </c>
      <c r="D4628" s="335" t="s">
        <v>46</v>
      </c>
      <c r="E4628" s="337" t="str">
        <f t="shared" si="1"/>
        <v>合同姫路:阪和</v>
      </c>
      <c r="F4628" s="338" t="s">
        <v>130</v>
      </c>
      <c r="G4628" s="339" t="str">
        <f t="shared" si="2"/>
        <v>合同姫路:阪和新断Ａ</v>
      </c>
      <c r="H4628" s="340">
        <f t="shared" si="3"/>
        <v>52.8</v>
      </c>
      <c r="I4628" s="341">
        <v>2.0</v>
      </c>
      <c r="J4628" s="332">
        <f>IFERROR(__xludf.DUMMYFUNCTION("IF(IF(COUNTIF(P$2:P4627, P4628)=0, """", INDEX(H$2:H4627,
MAX(FILTER(ROW(H$2:H4627) - ROW(H$2) + 1, P$2:P4627 = P4628))))=""単価"","""",
IF(COUNTIF(P$2:P4627, P4628)=0, """", INDEX(H$2:H4627,
MAX(FILTER(ROW(H$2:H4627) - ROW(H$2) + 1, P$2:P4627 = P4628)))))"),50.8)</f>
        <v>50.8</v>
      </c>
      <c r="N4628" s="335" t="str">
        <f>IF(MAXIFS('単価履歴'!$O:$O,'単価履歴'!$E:$E,E4628,'単価履歴'!$F:$F,F4628)=O4628,"●","")</f>
        <v/>
      </c>
      <c r="O4628" s="346">
        <v>46094.305868055555</v>
      </c>
      <c r="P4628" s="334" t="str">
        <f t="shared" si="4"/>
        <v>合同姫路:阪和新断Ａ</v>
      </c>
    </row>
    <row r="4629" ht="15.75" customHeight="1">
      <c r="A4629" s="335" t="s">
        <v>5776</v>
      </c>
      <c r="B4629" s="336">
        <v>46094.0</v>
      </c>
      <c r="C4629" s="335" t="s">
        <v>534</v>
      </c>
      <c r="D4629" s="335" t="s">
        <v>46</v>
      </c>
      <c r="E4629" s="337" t="str">
        <f t="shared" si="1"/>
        <v>合同姫路:阪和</v>
      </c>
      <c r="F4629" s="338" t="s">
        <v>131</v>
      </c>
      <c r="G4629" s="339" t="str">
        <f t="shared" si="2"/>
        <v>合同姫路:阪和新断Ｂ</v>
      </c>
      <c r="H4629" s="340">
        <f t="shared" si="3"/>
        <v>51.8</v>
      </c>
      <c r="I4629" s="341">
        <v>2.0</v>
      </c>
      <c r="J4629" s="332">
        <f>IFERROR(__xludf.DUMMYFUNCTION("IF(IF(COUNTIF(P$2:P4628, P4629)=0, """", INDEX(H$2:H4628,
MAX(FILTER(ROW(H$2:H4628) - ROW(H$2) + 1, P$2:P4628 = P4629))))=""単価"","""",
IF(COUNTIF(P$2:P4628, P4629)=0, """", INDEX(H$2:H4628,
MAX(FILTER(ROW(H$2:H4628) - ROW(H$2) + 1, P$2:P4628 = P4629)))))"),49.8)</f>
        <v>49.8</v>
      </c>
      <c r="N4629" s="335" t="str">
        <f>IF(MAXIFS('単価履歴'!$O:$O,'単価履歴'!$E:$E,E4629,'単価履歴'!$F:$F,F4629)=O4629,"●","")</f>
        <v/>
      </c>
      <c r="O4629" s="346">
        <v>46094.305868055555</v>
      </c>
      <c r="P4629" s="334" t="str">
        <f t="shared" si="4"/>
        <v>合同姫路:阪和新断Ｂ</v>
      </c>
    </row>
    <row r="4630" ht="15.75" customHeight="1">
      <c r="A4630" s="335" t="s">
        <v>5777</v>
      </c>
      <c r="B4630" s="336">
        <v>46095.0</v>
      </c>
      <c r="C4630" s="335" t="s">
        <v>13</v>
      </c>
      <c r="D4630" s="335" t="s">
        <v>49</v>
      </c>
      <c r="E4630" s="337" t="str">
        <f t="shared" si="1"/>
        <v>ｸﾎﾞﾀ:伊藤忠</v>
      </c>
      <c r="F4630" s="338" t="s">
        <v>130</v>
      </c>
      <c r="G4630" s="339" t="str">
        <f t="shared" si="2"/>
        <v>ｸﾎﾞﾀ:伊藤忠新断Ａ</v>
      </c>
      <c r="H4630" s="340">
        <f t="shared" si="3"/>
        <v>54.2</v>
      </c>
      <c r="I4630" s="341">
        <v>2.5</v>
      </c>
      <c r="J4630" s="332">
        <f>IFERROR(__xludf.DUMMYFUNCTION("IF(IF(COUNTIF(P$2:P4629, P4630)=0, """", INDEX(H$2:H4629,
MAX(FILTER(ROW(H$2:H4629) - ROW(H$2) + 1, P$2:P4629 = P4630))))=""単価"","""",
IF(COUNTIF(P$2:P4629, P4630)=0, """", INDEX(H$2:H4629,
MAX(FILTER(ROW(H$2:H4629) - ROW(H$2) + 1, P$2:P4629 = P4630)))))"),51.7)</f>
        <v>51.7</v>
      </c>
      <c r="N4630" s="335" t="str">
        <f>IF(MAXIFS('単価履歴'!$O:$O,'単価履歴'!$E:$E,E4630,'単価履歴'!$F:$F,F4630)=O4630,"●","")</f>
        <v/>
      </c>
      <c r="O4630" s="346">
        <v>46095.27143518519</v>
      </c>
      <c r="P4630" s="334" t="str">
        <f t="shared" si="4"/>
        <v>ｸﾎﾞﾀ:伊藤忠新断Ａ</v>
      </c>
    </row>
    <row r="4631" ht="15.75" customHeight="1">
      <c r="A4631" s="335" t="s">
        <v>5778</v>
      </c>
      <c r="B4631" s="336">
        <v>46095.0</v>
      </c>
      <c r="C4631" s="335" t="s">
        <v>12</v>
      </c>
      <c r="D4631" s="335" t="s">
        <v>53</v>
      </c>
      <c r="E4631" s="337" t="str">
        <f t="shared" si="1"/>
        <v>山陽特殊:MM</v>
      </c>
      <c r="F4631" s="338" t="s">
        <v>130</v>
      </c>
      <c r="G4631" s="339" t="str">
        <f t="shared" si="2"/>
        <v>山陽特殊:MM新断Ａ</v>
      </c>
      <c r="H4631" s="340">
        <f t="shared" si="3"/>
        <v>52.5</v>
      </c>
      <c r="I4631" s="341">
        <v>1.0</v>
      </c>
      <c r="J4631" s="332">
        <f>IFERROR(__xludf.DUMMYFUNCTION("IF(IF(COUNTIF(P$2:P4630, P4631)=0, """", INDEX(H$2:H4630,
MAX(FILTER(ROW(H$2:H4630) - ROW(H$2) + 1, P$2:P4630 = P4631))))=""単価"","""",
IF(COUNTIF(P$2:P4630, P4631)=0, """", INDEX(H$2:H4630,
MAX(FILTER(ROW(H$2:H4630) - ROW(H$2) + 1, P$2:P4630 = P4631)))))"),51.5)</f>
        <v>51.5</v>
      </c>
      <c r="N4631" s="335" t="str">
        <f>IF(MAXIFS('単価履歴'!$O:$O,'単価履歴'!$E:$E,E4631,'単価履歴'!$F:$F,F4631)=O4631,"●","")</f>
        <v/>
      </c>
      <c r="O4631" s="346">
        <v>46095.271875</v>
      </c>
      <c r="P4631" s="334" t="str">
        <f t="shared" si="4"/>
        <v>山陽特殊:MM新断Ａ</v>
      </c>
    </row>
    <row r="4632" ht="15.75" customHeight="1">
      <c r="A4632" s="335" t="s">
        <v>5779</v>
      </c>
      <c r="B4632" s="336">
        <v>46095.0</v>
      </c>
      <c r="C4632" s="335" t="s">
        <v>12</v>
      </c>
      <c r="D4632" s="335" t="s">
        <v>53</v>
      </c>
      <c r="E4632" s="337" t="str">
        <f t="shared" si="1"/>
        <v>山陽特殊:MM</v>
      </c>
      <c r="F4632" s="338" t="s">
        <v>131</v>
      </c>
      <c r="G4632" s="339" t="str">
        <f t="shared" si="2"/>
        <v>山陽特殊:MM新断Ｂ</v>
      </c>
      <c r="H4632" s="340">
        <f t="shared" si="3"/>
        <v>51.5</v>
      </c>
      <c r="I4632" s="341">
        <v>1.0</v>
      </c>
      <c r="J4632" s="332">
        <f>IFERROR(__xludf.DUMMYFUNCTION("IF(IF(COUNTIF(P$2:P4631, P4632)=0, """", INDEX(H$2:H4631,
MAX(FILTER(ROW(H$2:H4631) - ROW(H$2) + 1, P$2:P4631 = P4632))))=""単価"","""",
IF(COUNTIF(P$2:P4631, P4632)=0, """", INDEX(H$2:H4631,
MAX(FILTER(ROW(H$2:H4631) - ROW(H$2) + 1, P$2:P4631 = P4632)))))"),50.5)</f>
        <v>50.5</v>
      </c>
      <c r="N4632" s="335" t="str">
        <f>IF(MAXIFS('単価履歴'!$O:$O,'単価履歴'!$E:$E,E4632,'単価履歴'!$F:$F,F4632)=O4632,"●","")</f>
        <v/>
      </c>
      <c r="O4632" s="346">
        <v>46095.271875</v>
      </c>
      <c r="P4632" s="334" t="str">
        <f t="shared" si="4"/>
        <v>山陽特殊:MM新断Ｂ</v>
      </c>
    </row>
    <row r="4633" ht="15.75" customHeight="1">
      <c r="A4633" s="335" t="s">
        <v>5780</v>
      </c>
      <c r="B4633" s="336">
        <v>46095.0</v>
      </c>
      <c r="C4633" s="335" t="s">
        <v>12</v>
      </c>
      <c r="D4633" s="335" t="s">
        <v>53</v>
      </c>
      <c r="E4633" s="337" t="str">
        <f t="shared" si="1"/>
        <v>山陽特殊:MM</v>
      </c>
      <c r="F4633" s="338" t="s">
        <v>574</v>
      </c>
      <c r="G4633" s="339" t="str">
        <f t="shared" si="2"/>
        <v>山陽特殊:MM新断Ｃ</v>
      </c>
      <c r="H4633" s="340">
        <f t="shared" si="3"/>
        <v>50.2</v>
      </c>
      <c r="I4633" s="341">
        <v>1.0</v>
      </c>
      <c r="J4633" s="332">
        <f>IFERROR(__xludf.DUMMYFUNCTION("IF(IF(COUNTIF(P$2:P4632, P4633)=0, """", INDEX(H$2:H4632,
MAX(FILTER(ROW(H$2:H4632) - ROW(H$2) + 1, P$2:P4632 = P4633))))=""単価"","""",
IF(COUNTIF(P$2:P4632, P4633)=0, """", INDEX(H$2:H4632,
MAX(FILTER(ROW(H$2:H4632) - ROW(H$2) + 1, P$2:P4632 = P4633)))))"),49.199999999999996)</f>
        <v>49.2</v>
      </c>
      <c r="N4633" s="335" t="str">
        <f>IF(MAXIFS('単価履歴'!$O:$O,'単価履歴'!$E:$E,E4633,'単価履歴'!$F:$F,F4633)=O4633,"●","")</f>
        <v/>
      </c>
      <c r="O4633" s="346">
        <v>46095.271875</v>
      </c>
      <c r="P4633" s="334" t="str">
        <f t="shared" si="4"/>
        <v>山陽特殊:MM新断Ｃ</v>
      </c>
    </row>
    <row r="4634" ht="15.75" customHeight="1">
      <c r="A4634" s="335" t="s">
        <v>5781</v>
      </c>
      <c r="B4634" s="336">
        <v>46095.0</v>
      </c>
      <c r="C4634" s="335" t="s">
        <v>14</v>
      </c>
      <c r="D4634" s="335" t="s">
        <v>46</v>
      </c>
      <c r="E4634" s="337" t="str">
        <f t="shared" si="1"/>
        <v>愛知:阪和</v>
      </c>
      <c r="F4634" s="338" t="s">
        <v>130</v>
      </c>
      <c r="G4634" s="339" t="str">
        <f t="shared" si="2"/>
        <v>愛知:阪和新断Ａ</v>
      </c>
      <c r="H4634" s="340">
        <f t="shared" si="3"/>
        <v>50.5</v>
      </c>
      <c r="I4634" s="341">
        <v>1.0</v>
      </c>
      <c r="J4634" s="332">
        <f>IFERROR(__xludf.DUMMYFUNCTION("IF(IF(COUNTIF(P$2:P4633, P4634)=0, """", INDEX(H$2:H4633,
MAX(FILTER(ROW(H$2:H4633) - ROW(H$2) + 1, P$2:P4633 = P4634))))=""単価"","""",
IF(COUNTIF(P$2:P4633, P4634)=0, """", INDEX(H$2:H4633,
MAX(FILTER(ROW(H$2:H4633) - ROW(H$2) + 1, P$2:P4633 = P4634)))))"),49.5)</f>
        <v>49.5</v>
      </c>
      <c r="N4634" s="335" t="str">
        <f>IF(MAXIFS('単価履歴'!$O:$O,'単価履歴'!$E:$E,E4634,'単価履歴'!$F:$F,F4634)=O4634,"●","")</f>
        <v/>
      </c>
      <c r="O4634" s="346">
        <v>46095.27228009259</v>
      </c>
      <c r="P4634" s="334" t="str">
        <f t="shared" si="4"/>
        <v>愛知:阪和新断Ａ</v>
      </c>
    </row>
    <row r="4635" ht="15.75" customHeight="1">
      <c r="A4635" s="335" t="s">
        <v>5782</v>
      </c>
      <c r="B4635" s="336">
        <v>46095.0</v>
      </c>
      <c r="C4635" s="335" t="s">
        <v>14</v>
      </c>
      <c r="D4635" s="335" t="s">
        <v>46</v>
      </c>
      <c r="E4635" s="337" t="str">
        <f t="shared" si="1"/>
        <v>愛知:阪和</v>
      </c>
      <c r="F4635" s="338" t="s">
        <v>131</v>
      </c>
      <c r="G4635" s="339" t="str">
        <f t="shared" si="2"/>
        <v>愛知:阪和新断Ｂ</v>
      </c>
      <c r="H4635" s="340">
        <f t="shared" si="3"/>
        <v>49.5</v>
      </c>
      <c r="I4635" s="341">
        <v>1.0</v>
      </c>
      <c r="J4635" s="332">
        <f>IFERROR(__xludf.DUMMYFUNCTION("IF(IF(COUNTIF(P$2:P4634, P4635)=0, """", INDEX(H$2:H4634,
MAX(FILTER(ROW(H$2:H4634) - ROW(H$2) + 1, P$2:P4634 = P4635))))=""単価"","""",
IF(COUNTIF(P$2:P4634, P4635)=0, """", INDEX(H$2:H4634,
MAX(FILTER(ROW(H$2:H4634) - ROW(H$2) + 1, P$2:P4634 = P4635)))))"),48.5)</f>
        <v>48.5</v>
      </c>
      <c r="N4635" s="335" t="str">
        <f>IF(MAXIFS('単価履歴'!$O:$O,'単価履歴'!$E:$E,E4635,'単価履歴'!$F:$F,F4635)=O4635,"●","")</f>
        <v/>
      </c>
      <c r="O4635" s="346">
        <v>46095.27228009259</v>
      </c>
      <c r="P4635" s="334" t="str">
        <f t="shared" si="4"/>
        <v>愛知:阪和新断Ｂ</v>
      </c>
    </row>
    <row r="4636" ht="15.75" customHeight="1">
      <c r="A4636" s="335" t="s">
        <v>5783</v>
      </c>
      <c r="B4636" s="336">
        <v>46095.0</v>
      </c>
      <c r="C4636" s="335" t="s">
        <v>14</v>
      </c>
      <c r="D4636" s="335" t="s">
        <v>46</v>
      </c>
      <c r="E4636" s="337" t="str">
        <f t="shared" si="1"/>
        <v>愛知:阪和</v>
      </c>
      <c r="F4636" s="338" t="s">
        <v>145</v>
      </c>
      <c r="G4636" s="339" t="str">
        <f t="shared" si="2"/>
        <v>愛知:阪和シュレＡ</v>
      </c>
      <c r="H4636" s="340">
        <f t="shared" si="3"/>
        <v>50.5</v>
      </c>
      <c r="I4636" s="341">
        <v>1.0</v>
      </c>
      <c r="J4636" s="332">
        <f>IFERROR(__xludf.DUMMYFUNCTION("IF(IF(COUNTIF(P$2:P4635, P4636)=0, """", INDEX(H$2:H4635,
MAX(FILTER(ROW(H$2:H4635) - ROW(H$2) + 1, P$2:P4635 = P4636))))=""単価"","""",
IF(COUNTIF(P$2:P4635, P4636)=0, """", INDEX(H$2:H4635,
MAX(FILTER(ROW(H$2:H4635) - ROW(H$2) + 1, P$2:P4635 = P4636)))))"),49.5)</f>
        <v>49.5</v>
      </c>
      <c r="N4636" s="335" t="str">
        <f>IF(MAXIFS('単価履歴'!$O:$O,'単価履歴'!$E:$E,E4636,'単価履歴'!$F:$F,F4636)=O4636,"●","")</f>
        <v/>
      </c>
      <c r="O4636" s="346">
        <v>46095.27228009259</v>
      </c>
      <c r="P4636" s="334" t="str">
        <f t="shared" si="4"/>
        <v>愛知:阪和シュレＡ</v>
      </c>
    </row>
    <row r="4637" ht="15.75" customHeight="1">
      <c r="A4637" s="335" t="s">
        <v>5784</v>
      </c>
      <c r="B4637" s="336">
        <v>46095.0</v>
      </c>
      <c r="C4637" s="335" t="s">
        <v>31</v>
      </c>
      <c r="D4637" s="335" t="s">
        <v>47</v>
      </c>
      <c r="E4637" s="337" t="str">
        <f t="shared" si="1"/>
        <v>泉北中谷:豊通</v>
      </c>
      <c r="F4637" s="338" t="s">
        <v>130</v>
      </c>
      <c r="G4637" s="339" t="str">
        <f t="shared" si="2"/>
        <v>泉北中谷:豊通新断Ａ</v>
      </c>
      <c r="H4637" s="340">
        <f t="shared" si="3"/>
        <v>53</v>
      </c>
      <c r="I4637" s="341">
        <v>2.2</v>
      </c>
      <c r="J4637" s="332">
        <f>IFERROR(__xludf.DUMMYFUNCTION("IF(IF(COUNTIF(P$2:P4636, P4637)=0, """", INDEX(H$2:H4636,
MAX(FILTER(ROW(H$2:H4636) - ROW(H$2) + 1, P$2:P4636 = P4637))))=""単価"","""",
IF(COUNTIF(P$2:P4636, P4637)=0, """", INDEX(H$2:H4636,
MAX(FILTER(ROW(H$2:H4636) - ROW(H$2) + 1, P$2:P4636 = P4637)))))"),50.8)</f>
        <v>50.8</v>
      </c>
      <c r="N4637" s="335" t="str">
        <f>IF(MAXIFS('単価履歴'!$O:$O,'単価履歴'!$E:$E,E4637,'単価履歴'!$F:$F,F4637)=O4637,"●","")</f>
        <v/>
      </c>
      <c r="O4637" s="346">
        <v>46095.46540509259</v>
      </c>
      <c r="P4637" s="334" t="str">
        <f t="shared" si="4"/>
        <v>泉北中谷:豊通新断Ａ</v>
      </c>
    </row>
    <row r="4638" ht="15.75" customHeight="1">
      <c r="A4638" s="335" t="s">
        <v>5785</v>
      </c>
      <c r="B4638" s="336">
        <v>46099.0</v>
      </c>
      <c r="C4638" s="335" t="s">
        <v>535</v>
      </c>
      <c r="D4638" s="335" t="s">
        <v>77</v>
      </c>
      <c r="E4638" s="337" t="str">
        <f t="shared" si="1"/>
        <v>東鐵名古屋:直納</v>
      </c>
      <c r="F4638" s="338" t="s">
        <v>111</v>
      </c>
      <c r="G4638" s="339" t="str">
        <f t="shared" si="2"/>
        <v>東鐵名古屋:直納Ｈ１(特A)</v>
      </c>
      <c r="H4638" s="340">
        <f t="shared" si="3"/>
        <v>49.7</v>
      </c>
      <c r="I4638" s="341">
        <v>1.0</v>
      </c>
      <c r="J4638" s="332">
        <f>IFERROR(__xludf.DUMMYFUNCTION("IF(IF(COUNTIF(P$2:P4637, P4638)=0, """", INDEX(H$2:H4637,
MAX(FILTER(ROW(H$2:H4637) - ROW(H$2) + 1, P$2:P4637 = P4638))))=""単価"","""",
IF(COUNTIF(P$2:P4637, P4638)=0, """", INDEX(H$2:H4637,
MAX(FILTER(ROW(H$2:H4637) - ROW(H$2) + 1, P$2:P4637 = P4638)))))"),48.7)</f>
        <v>48.7</v>
      </c>
      <c r="N4638" s="335" t="str">
        <f>IF(MAXIFS('単価履歴'!$O:$O,'単価履歴'!$E:$E,E4638,'単価履歴'!$F:$F,F4638)=O4638,"●","")</f>
        <v/>
      </c>
      <c r="O4638" s="346">
        <v>46098.727581018524</v>
      </c>
      <c r="P4638" s="334" t="str">
        <f t="shared" si="4"/>
        <v>東鐵名古屋:直納Ｈ１(特A)</v>
      </c>
    </row>
    <row r="4639" ht="15.75" customHeight="1">
      <c r="A4639" s="335" t="s">
        <v>5786</v>
      </c>
      <c r="B4639" s="336">
        <v>46101.0</v>
      </c>
      <c r="C4639" s="335" t="s">
        <v>531</v>
      </c>
      <c r="D4639" s="335" t="s">
        <v>77</v>
      </c>
      <c r="E4639" s="337" t="str">
        <f t="shared" si="1"/>
        <v>東鐵関西:直納</v>
      </c>
      <c r="F4639" s="338" t="s">
        <v>1199</v>
      </c>
      <c r="G4639" s="339" t="str">
        <f t="shared" si="2"/>
        <v>東鐵関西:直納ＨＳ１(単体H1/電特A/HS))</v>
      </c>
      <c r="H4639" s="340">
        <f t="shared" si="3"/>
        <v>51.5</v>
      </c>
      <c r="I4639" s="341">
        <v>1.0</v>
      </c>
      <c r="J4639" s="332">
        <f>IFERROR(__xludf.DUMMYFUNCTION("IF(IF(COUNTIF(P$2:P4638, P4639)=0, """", INDEX(H$2:H4638,
MAX(FILTER(ROW(H$2:H4638) - ROW(H$2) + 1, P$2:P4638 = P4639))))=""単価"","""",
IF(COUNTIF(P$2:P4638, P4639)=0, """", INDEX(H$2:H4638,
MAX(FILTER(ROW(H$2:H4638) - ROW(H$2) + 1, P$2:P4638 = P4639)))))"),50.5)</f>
        <v>50.5</v>
      </c>
      <c r="N4639" s="335" t="str">
        <f>IF(MAXIFS('単価履歴'!$O:$O,'単価履歴'!$E:$E,E4639,'単価履歴'!$F:$F,F4639)=O4639,"●","")</f>
        <v/>
      </c>
      <c r="O4639" s="346">
        <v>46100.81306712963</v>
      </c>
      <c r="P4639" s="334" t="str">
        <f t="shared" si="4"/>
        <v>東鐵関西:直納ＨＳ１(単体H1/電特A/HS))</v>
      </c>
    </row>
    <row r="4640" ht="15.75" customHeight="1">
      <c r="A4640" s="335" t="s">
        <v>5787</v>
      </c>
      <c r="B4640" s="336">
        <v>46101.0</v>
      </c>
      <c r="C4640" s="335" t="s">
        <v>531</v>
      </c>
      <c r="D4640" s="335" t="s">
        <v>77</v>
      </c>
      <c r="E4640" s="337" t="str">
        <f t="shared" si="1"/>
        <v>東鐵関西:直納</v>
      </c>
      <c r="F4640" s="338" t="s">
        <v>111</v>
      </c>
      <c r="G4640" s="339" t="str">
        <f t="shared" si="2"/>
        <v>東鐵関西:直納Ｈ１(特A)</v>
      </c>
      <c r="H4640" s="340">
        <f t="shared" si="3"/>
        <v>51</v>
      </c>
      <c r="I4640" s="341">
        <v>1.0</v>
      </c>
      <c r="J4640" s="332">
        <f>IFERROR(__xludf.DUMMYFUNCTION("IF(IF(COUNTIF(P$2:P4639, P4640)=0, """", INDEX(H$2:H4639,
MAX(FILTER(ROW(H$2:H4639) - ROW(H$2) + 1, P$2:P4639 = P4640))))=""単価"","""",
IF(COUNTIF(P$2:P4639, P4640)=0, """", INDEX(H$2:H4639,
MAX(FILTER(ROW(H$2:H4639) - ROW(H$2) + 1, P$2:P4639 = P4640)))))"),50.0)</f>
        <v>50</v>
      </c>
      <c r="N4640" s="335" t="str">
        <f>IF(MAXIFS('単価履歴'!$O:$O,'単価履歴'!$E:$E,E4640,'単価履歴'!$F:$F,F4640)=O4640,"●","")</f>
        <v/>
      </c>
      <c r="O4640" s="346">
        <v>46100.81306712963</v>
      </c>
      <c r="P4640" s="334" t="str">
        <f t="shared" si="4"/>
        <v>東鐵関西:直納Ｈ１(特A)</v>
      </c>
    </row>
    <row r="4641" ht="15.75" customHeight="1">
      <c r="A4641" s="335" t="s">
        <v>5788</v>
      </c>
      <c r="B4641" s="336">
        <v>46101.0</v>
      </c>
      <c r="C4641" s="335" t="s">
        <v>531</v>
      </c>
      <c r="D4641" s="335" t="s">
        <v>77</v>
      </c>
      <c r="E4641" s="337" t="str">
        <f t="shared" si="1"/>
        <v>東鐵関西:直納</v>
      </c>
      <c r="F4641" s="338" t="s">
        <v>116</v>
      </c>
      <c r="G4641" s="339" t="str">
        <f t="shared" si="2"/>
        <v>東鐵関西:直納Ｈ２(特級)</v>
      </c>
      <c r="H4641" s="340">
        <f t="shared" si="3"/>
        <v>49</v>
      </c>
      <c r="I4641" s="341">
        <v>1.0</v>
      </c>
      <c r="J4641" s="332">
        <f>IFERROR(__xludf.DUMMYFUNCTION("IF(IF(COUNTIF(P$2:P4640, P4641)=0, """", INDEX(H$2:H4640,
MAX(FILTER(ROW(H$2:H4640) - ROW(H$2) + 1, P$2:P4640 = P4641))))=""単価"","""",
IF(COUNTIF(P$2:P4640, P4641)=0, """", INDEX(H$2:H4640,
MAX(FILTER(ROW(H$2:H4640) - ROW(H$2) + 1, P$2:P4640 = P4641)))))"),48.0)</f>
        <v>48</v>
      </c>
      <c r="N4641" s="335" t="str">
        <f>IF(MAXIFS('単価履歴'!$O:$O,'単価履歴'!$E:$E,E4641,'単価履歴'!$F:$F,F4641)=O4641,"●","")</f>
        <v/>
      </c>
      <c r="O4641" s="346">
        <v>46100.81306712963</v>
      </c>
      <c r="P4641" s="334" t="str">
        <f t="shared" si="4"/>
        <v>東鐵関西:直納Ｈ２(特級)</v>
      </c>
    </row>
    <row r="4642" ht="15.75" customHeight="1">
      <c r="A4642" s="335" t="s">
        <v>5789</v>
      </c>
      <c r="B4642" s="336">
        <v>46101.0</v>
      </c>
      <c r="C4642" s="335" t="s">
        <v>531</v>
      </c>
      <c r="D4642" s="335" t="s">
        <v>77</v>
      </c>
      <c r="E4642" s="337" t="str">
        <f t="shared" si="1"/>
        <v>東鐵関西:直納</v>
      </c>
      <c r="F4642" s="338" t="s">
        <v>119</v>
      </c>
      <c r="G4642" s="339" t="str">
        <f t="shared" si="2"/>
        <v>東鐵関西:直納Ｈ３(1級)</v>
      </c>
      <c r="H4642" s="340">
        <f t="shared" si="3"/>
        <v>49</v>
      </c>
      <c r="I4642" s="341">
        <v>1.0</v>
      </c>
      <c r="J4642" s="332">
        <f>IFERROR(__xludf.DUMMYFUNCTION("IF(IF(COUNTIF(P$2:P4641, P4642)=0, """", INDEX(H$2:H4641,
MAX(FILTER(ROW(H$2:H4641) - ROW(H$2) + 1, P$2:P4641 = P4642))))=""単価"","""",
IF(COUNTIF(P$2:P4641, P4642)=0, """", INDEX(H$2:H4641,
MAX(FILTER(ROW(H$2:H4641) - ROW(H$2) + 1, P$2:P4641 = P4642)))))"),48.0)</f>
        <v>48</v>
      </c>
      <c r="N4642" s="335" t="str">
        <f>IF(MAXIFS('単価履歴'!$O:$O,'単価履歴'!$E:$E,E4642,'単価履歴'!$F:$F,F4642)=O4642,"●","")</f>
        <v/>
      </c>
      <c r="O4642" s="346">
        <v>46100.81306712963</v>
      </c>
      <c r="P4642" s="334" t="str">
        <f t="shared" si="4"/>
        <v>東鐵関西:直納Ｈ３(1級)</v>
      </c>
    </row>
    <row r="4643" ht="15.75" customHeight="1">
      <c r="A4643" s="335" t="s">
        <v>5790</v>
      </c>
      <c r="B4643" s="336">
        <v>46101.0</v>
      </c>
      <c r="C4643" s="335" t="s">
        <v>531</v>
      </c>
      <c r="D4643" s="335" t="s">
        <v>77</v>
      </c>
      <c r="E4643" s="337" t="str">
        <f t="shared" si="1"/>
        <v>東鐵関西:直納</v>
      </c>
      <c r="F4643" s="338" t="s">
        <v>122</v>
      </c>
      <c r="G4643" s="339" t="str">
        <f t="shared" si="2"/>
        <v>東鐵関西:直納Ｌ１(2級)</v>
      </c>
      <c r="H4643" s="340">
        <f t="shared" si="3"/>
        <v>47</v>
      </c>
      <c r="I4643" s="341">
        <v>1.0</v>
      </c>
      <c r="J4643" s="332">
        <f>IFERROR(__xludf.DUMMYFUNCTION("IF(IF(COUNTIF(P$2:P4642, P4643)=0, """", INDEX(H$2:H4642,
MAX(FILTER(ROW(H$2:H4642) - ROW(H$2) + 1, P$2:P4642 = P4643))))=""単価"","""",
IF(COUNTIF(P$2:P4642, P4643)=0, """", INDEX(H$2:H4642,
MAX(FILTER(ROW(H$2:H4642) - ROW(H$2) + 1, P$2:P4642 = P4643)))))"),46.0)</f>
        <v>46</v>
      </c>
      <c r="N4643" s="335" t="str">
        <f>IF(MAXIFS('単価履歴'!$O:$O,'単価履歴'!$E:$E,E4643,'単価履歴'!$F:$F,F4643)=O4643,"●","")</f>
        <v/>
      </c>
      <c r="O4643" s="346">
        <v>46100.81306712963</v>
      </c>
      <c r="P4643" s="334" t="str">
        <f t="shared" si="4"/>
        <v>東鐵関西:直納Ｌ１(2級)</v>
      </c>
    </row>
    <row r="4644" ht="15.75" customHeight="1">
      <c r="A4644" s="335" t="s">
        <v>5791</v>
      </c>
      <c r="B4644" s="336">
        <v>46101.0</v>
      </c>
      <c r="C4644" s="335" t="s">
        <v>531</v>
      </c>
      <c r="D4644" s="335" t="s">
        <v>77</v>
      </c>
      <c r="E4644" s="337" t="str">
        <f t="shared" si="1"/>
        <v>東鐵関西:直納</v>
      </c>
      <c r="F4644" s="338" t="s">
        <v>573</v>
      </c>
      <c r="G4644" s="339" t="str">
        <f t="shared" si="2"/>
        <v>東鐵関西:直納Ｌ２(H4･級外･L1ﾊﾞﾗ)</v>
      </c>
      <c r="H4644" s="340">
        <f t="shared" si="3"/>
        <v>44</v>
      </c>
      <c r="I4644" s="341">
        <v>1.0</v>
      </c>
      <c r="J4644" s="332">
        <f>IFERROR(__xludf.DUMMYFUNCTION("IF(IF(COUNTIF(P$2:P4643, P4644)=0, """", INDEX(H$2:H4643,
MAX(FILTER(ROW(H$2:H4643) - ROW(H$2) + 1, P$2:P4643 = P4644))))=""単価"","""",
IF(COUNTIF(P$2:P4643, P4644)=0, """", INDEX(H$2:H4643,
MAX(FILTER(ROW(H$2:H4643) - ROW(H$2) + 1, P$2:P4643 = P4644)))))"),43.0)</f>
        <v>43</v>
      </c>
      <c r="N4644" s="335" t="str">
        <f>IF(MAXIFS('単価履歴'!$O:$O,'単価履歴'!$E:$E,E4644,'単価履歴'!$F:$F,F4644)=O4644,"●","")</f>
        <v/>
      </c>
      <c r="O4644" s="346">
        <v>46100.81306712963</v>
      </c>
      <c r="P4644" s="334" t="str">
        <f t="shared" si="4"/>
        <v>東鐵関西:直納Ｌ２(H4･級外･L1ﾊﾞﾗ)</v>
      </c>
    </row>
    <row r="4645" ht="15.75" customHeight="1">
      <c r="A4645" s="335" t="s">
        <v>5792</v>
      </c>
      <c r="B4645" s="336">
        <v>46101.0</v>
      </c>
      <c r="C4645" s="335" t="s">
        <v>531</v>
      </c>
      <c r="D4645" s="335" t="s">
        <v>77</v>
      </c>
      <c r="E4645" s="337" t="str">
        <f t="shared" si="1"/>
        <v>東鐵関西:直納</v>
      </c>
      <c r="F4645" s="338" t="s">
        <v>145</v>
      </c>
      <c r="G4645" s="339" t="str">
        <f t="shared" si="2"/>
        <v>東鐵関西:直納シュレＡ</v>
      </c>
      <c r="H4645" s="340">
        <f t="shared" si="3"/>
        <v>50.5</v>
      </c>
      <c r="I4645" s="341">
        <v>1.0</v>
      </c>
      <c r="J4645" s="332">
        <f>IFERROR(__xludf.DUMMYFUNCTION("IF(IF(COUNTIF(P$2:P4644, P4645)=0, """", INDEX(H$2:H4644,
MAX(FILTER(ROW(H$2:H4644) - ROW(H$2) + 1, P$2:P4644 = P4645))))=""単価"","""",
IF(COUNTIF(P$2:P4644, P4645)=0, """", INDEX(H$2:H4644,
MAX(FILTER(ROW(H$2:H4644) - ROW(H$2) + 1, P$2:P4644 = P4645)))))"),49.5)</f>
        <v>49.5</v>
      </c>
      <c r="N4645" s="335" t="str">
        <f>IF(MAXIFS('単価履歴'!$O:$O,'単価履歴'!$E:$E,E4645,'単価履歴'!$F:$F,F4645)=O4645,"●","")</f>
        <v/>
      </c>
      <c r="O4645" s="346">
        <v>46100.81306712963</v>
      </c>
      <c r="P4645" s="334" t="str">
        <f t="shared" si="4"/>
        <v>東鐵関西:直納シュレＡ</v>
      </c>
    </row>
    <row r="4646" ht="15.75" customHeight="1">
      <c r="A4646" s="335" t="s">
        <v>5793</v>
      </c>
      <c r="B4646" s="336">
        <v>46101.0</v>
      </c>
      <c r="C4646" s="335" t="s">
        <v>531</v>
      </c>
      <c r="D4646" s="335" t="s">
        <v>77</v>
      </c>
      <c r="E4646" s="337" t="str">
        <f t="shared" si="1"/>
        <v>東鐵関西:直納</v>
      </c>
      <c r="F4646" s="338" t="s">
        <v>151</v>
      </c>
      <c r="G4646" s="339" t="str">
        <f t="shared" si="2"/>
        <v>東鐵関西:直納シュレＣ</v>
      </c>
      <c r="H4646" s="340">
        <f t="shared" si="3"/>
        <v>49.5</v>
      </c>
      <c r="I4646" s="341">
        <v>1.0</v>
      </c>
      <c r="J4646" s="332">
        <f>IFERROR(__xludf.DUMMYFUNCTION("IF(IF(COUNTIF(P$2:P4645, P4646)=0, """", INDEX(H$2:H4645,
MAX(FILTER(ROW(H$2:H4645) - ROW(H$2) + 1, P$2:P4645 = P4646))))=""単価"","""",
IF(COUNTIF(P$2:P4645, P4646)=0, """", INDEX(H$2:H4645,
MAX(FILTER(ROW(H$2:H4645) - ROW(H$2) + 1, P$2:P4645 = P4646)))))"),48.5)</f>
        <v>48.5</v>
      </c>
      <c r="N4646" s="335" t="str">
        <f>IF(MAXIFS('単価履歴'!$O:$O,'単価履歴'!$E:$E,E4646,'単価履歴'!$F:$F,F4646)=O4646,"●","")</f>
        <v/>
      </c>
      <c r="O4646" s="346">
        <v>46100.81306712963</v>
      </c>
      <c r="P4646" s="334" t="str">
        <f t="shared" si="4"/>
        <v>東鐵関西:直納シュレＣ</v>
      </c>
    </row>
    <row r="4647" ht="15.75" customHeight="1">
      <c r="A4647" s="335" t="s">
        <v>5794</v>
      </c>
      <c r="B4647" s="336">
        <v>46101.0</v>
      </c>
      <c r="C4647" s="335" t="s">
        <v>535</v>
      </c>
      <c r="D4647" s="335" t="s">
        <v>77</v>
      </c>
      <c r="E4647" s="337" t="str">
        <f t="shared" si="1"/>
        <v>東鐵名古屋:直納</v>
      </c>
      <c r="F4647" s="338" t="s">
        <v>1199</v>
      </c>
      <c r="G4647" s="339" t="str">
        <f t="shared" si="2"/>
        <v>東鐵名古屋:直納ＨＳ１(単体H1/電特A/HS))</v>
      </c>
      <c r="H4647" s="340">
        <f t="shared" si="3"/>
        <v>51.5</v>
      </c>
      <c r="I4647" s="341">
        <v>1.0</v>
      </c>
      <c r="J4647" s="332">
        <f>IFERROR(__xludf.DUMMYFUNCTION("IF(IF(COUNTIF(P$2:P4646, P4647)=0, """", INDEX(H$2:H4646,
MAX(FILTER(ROW(H$2:H4646) - ROW(H$2) + 1, P$2:P4646 = P4647))))=""単価"","""",
IF(COUNTIF(P$2:P4646, P4647)=0, """", INDEX(H$2:H4646,
MAX(FILTER(ROW(H$2:H4646) - ROW(H$2) + 1, P$2:P4646 = P4647)))))"),50.5)</f>
        <v>50.5</v>
      </c>
      <c r="N4647" s="335" t="str">
        <f>IF(MAXIFS('単価履歴'!$O:$O,'単価履歴'!$E:$E,E4647,'単価履歴'!$F:$F,F4647)=O4647,"●","")</f>
        <v/>
      </c>
      <c r="O4647" s="346">
        <v>46100.81324074074</v>
      </c>
      <c r="P4647" s="334" t="str">
        <f t="shared" si="4"/>
        <v>東鐵名古屋:直納ＨＳ１(単体H1/電特A/HS))</v>
      </c>
    </row>
    <row r="4648" ht="15.75" customHeight="1">
      <c r="A4648" s="335" t="s">
        <v>5795</v>
      </c>
      <c r="B4648" s="336">
        <v>46101.0</v>
      </c>
      <c r="C4648" s="335" t="s">
        <v>535</v>
      </c>
      <c r="D4648" s="335" t="s">
        <v>77</v>
      </c>
      <c r="E4648" s="337" t="str">
        <f t="shared" si="1"/>
        <v>東鐵名古屋:直納</v>
      </c>
      <c r="F4648" s="338" t="s">
        <v>111</v>
      </c>
      <c r="G4648" s="339" t="str">
        <f t="shared" si="2"/>
        <v>東鐵名古屋:直納Ｈ１(特A)</v>
      </c>
      <c r="H4648" s="340">
        <f t="shared" si="3"/>
        <v>50.7</v>
      </c>
      <c r="I4648" s="341">
        <v>1.0</v>
      </c>
      <c r="J4648" s="332">
        <f>IFERROR(__xludf.DUMMYFUNCTION("IF(IF(COUNTIF(P$2:P4647, P4648)=0, """", INDEX(H$2:H4647,
MAX(FILTER(ROW(H$2:H4647) - ROW(H$2) + 1, P$2:P4647 = P4648))))=""単価"","""",
IF(COUNTIF(P$2:P4647, P4648)=0, """", INDEX(H$2:H4647,
MAX(FILTER(ROW(H$2:H4647) - ROW(H$2) + 1, P$2:P4647 = P4648)))))"),49.7)</f>
        <v>49.7</v>
      </c>
      <c r="N4648" s="335" t="str">
        <f>IF(MAXIFS('単価履歴'!$O:$O,'単価履歴'!$E:$E,E4648,'単価履歴'!$F:$F,F4648)=O4648,"●","")</f>
        <v/>
      </c>
      <c r="O4648" s="346">
        <v>46100.81324074074</v>
      </c>
      <c r="P4648" s="334" t="str">
        <f t="shared" si="4"/>
        <v>東鐵名古屋:直納Ｈ１(特A)</v>
      </c>
    </row>
    <row r="4649" ht="15.75" customHeight="1">
      <c r="A4649" s="335" t="s">
        <v>5796</v>
      </c>
      <c r="B4649" s="336">
        <v>46101.0</v>
      </c>
      <c r="C4649" s="335" t="s">
        <v>535</v>
      </c>
      <c r="D4649" s="335" t="s">
        <v>77</v>
      </c>
      <c r="E4649" s="337" t="str">
        <f t="shared" si="1"/>
        <v>東鐵名古屋:直納</v>
      </c>
      <c r="F4649" s="338" t="s">
        <v>116</v>
      </c>
      <c r="G4649" s="339" t="str">
        <f t="shared" si="2"/>
        <v>東鐵名古屋:直納Ｈ２(特級)</v>
      </c>
      <c r="H4649" s="340">
        <f t="shared" si="3"/>
        <v>49</v>
      </c>
      <c r="I4649" s="341">
        <v>1.0</v>
      </c>
      <c r="J4649" s="332">
        <f>IFERROR(__xludf.DUMMYFUNCTION("IF(IF(COUNTIF(P$2:P4648, P4649)=0, """", INDEX(H$2:H4648,
MAX(FILTER(ROW(H$2:H4648) - ROW(H$2) + 1, P$2:P4648 = P4649))))=""単価"","""",
IF(COUNTIF(P$2:P4648, P4649)=0, """", INDEX(H$2:H4648,
MAX(FILTER(ROW(H$2:H4648) - ROW(H$2) + 1, P$2:P4648 = P4649)))))"),48.0)</f>
        <v>48</v>
      </c>
      <c r="N4649" s="335" t="str">
        <f>IF(MAXIFS('単価履歴'!$O:$O,'単価履歴'!$E:$E,E4649,'単価履歴'!$F:$F,F4649)=O4649,"●","")</f>
        <v/>
      </c>
      <c r="O4649" s="346">
        <v>46100.81324074074</v>
      </c>
      <c r="P4649" s="334" t="str">
        <f t="shared" si="4"/>
        <v>東鐵名古屋:直納Ｈ２(特級)</v>
      </c>
    </row>
    <row r="4650" ht="15.75" customHeight="1">
      <c r="A4650" s="335" t="s">
        <v>5797</v>
      </c>
      <c r="B4650" s="336">
        <v>46101.0</v>
      </c>
      <c r="C4650" s="335" t="s">
        <v>535</v>
      </c>
      <c r="D4650" s="335" t="s">
        <v>77</v>
      </c>
      <c r="E4650" s="337" t="str">
        <f t="shared" si="1"/>
        <v>東鐵名古屋:直納</v>
      </c>
      <c r="F4650" s="338" t="s">
        <v>119</v>
      </c>
      <c r="G4650" s="339" t="str">
        <f t="shared" si="2"/>
        <v>東鐵名古屋:直納Ｈ３(1級)</v>
      </c>
      <c r="H4650" s="340">
        <f t="shared" si="3"/>
        <v>48.5</v>
      </c>
      <c r="I4650" s="341">
        <v>1.0</v>
      </c>
      <c r="J4650" s="332">
        <f>IFERROR(__xludf.DUMMYFUNCTION("IF(IF(COUNTIF(P$2:P4649, P4650)=0, """", INDEX(H$2:H4649,
MAX(FILTER(ROW(H$2:H4649) - ROW(H$2) + 1, P$2:P4649 = P4650))))=""単価"","""",
IF(COUNTIF(P$2:P4649, P4650)=0, """", INDEX(H$2:H4649,
MAX(FILTER(ROW(H$2:H4649) - ROW(H$2) + 1, P$2:P4649 = P4650)))))"),47.5)</f>
        <v>47.5</v>
      </c>
      <c r="N4650" s="335" t="str">
        <f>IF(MAXIFS('単価履歴'!$O:$O,'単価履歴'!$E:$E,E4650,'単価履歴'!$F:$F,F4650)=O4650,"●","")</f>
        <v/>
      </c>
      <c r="O4650" s="346">
        <v>46100.81324074074</v>
      </c>
      <c r="P4650" s="334" t="str">
        <f t="shared" si="4"/>
        <v>東鐵名古屋:直納Ｈ３(1級)</v>
      </c>
    </row>
    <row r="4651" ht="15.75" customHeight="1">
      <c r="A4651" s="335" t="s">
        <v>5798</v>
      </c>
      <c r="B4651" s="336">
        <v>46101.0</v>
      </c>
      <c r="C4651" s="335" t="s">
        <v>535</v>
      </c>
      <c r="D4651" s="335" t="s">
        <v>77</v>
      </c>
      <c r="E4651" s="337" t="str">
        <f t="shared" si="1"/>
        <v>東鐵名古屋:直納</v>
      </c>
      <c r="F4651" s="338" t="s">
        <v>122</v>
      </c>
      <c r="G4651" s="339" t="str">
        <f t="shared" si="2"/>
        <v>東鐵名古屋:直納Ｌ１(2級)</v>
      </c>
      <c r="H4651" s="340">
        <f t="shared" si="3"/>
        <v>47</v>
      </c>
      <c r="I4651" s="341">
        <v>1.0</v>
      </c>
      <c r="J4651" s="332">
        <f>IFERROR(__xludf.DUMMYFUNCTION("IF(IF(COUNTIF(P$2:P4650, P4651)=0, """", INDEX(H$2:H4650,
MAX(FILTER(ROW(H$2:H4650) - ROW(H$2) + 1, P$2:P4650 = P4651))))=""単価"","""",
IF(COUNTIF(P$2:P4650, P4651)=0, """", INDEX(H$2:H4650,
MAX(FILTER(ROW(H$2:H4650) - ROW(H$2) + 1, P$2:P4650 = P4651)))))"),46.0)</f>
        <v>46</v>
      </c>
      <c r="N4651" s="335" t="str">
        <f>IF(MAXIFS('単価履歴'!$O:$O,'単価履歴'!$E:$E,E4651,'単価履歴'!$F:$F,F4651)=O4651,"●","")</f>
        <v/>
      </c>
      <c r="O4651" s="346">
        <v>46100.81324074074</v>
      </c>
      <c r="P4651" s="334" t="str">
        <f t="shared" si="4"/>
        <v>東鐵名古屋:直納Ｌ１(2級)</v>
      </c>
    </row>
    <row r="4652" ht="15.75" customHeight="1">
      <c r="A4652" s="335" t="s">
        <v>5799</v>
      </c>
      <c r="B4652" s="336">
        <v>46101.0</v>
      </c>
      <c r="C4652" s="335" t="s">
        <v>535</v>
      </c>
      <c r="D4652" s="335" t="s">
        <v>77</v>
      </c>
      <c r="E4652" s="337" t="str">
        <f t="shared" si="1"/>
        <v>東鐵名古屋:直納</v>
      </c>
      <c r="F4652" s="338" t="s">
        <v>573</v>
      </c>
      <c r="G4652" s="339" t="str">
        <f t="shared" si="2"/>
        <v>東鐵名古屋:直納Ｌ２(H4･級外･L1ﾊﾞﾗ)</v>
      </c>
      <c r="H4652" s="340">
        <f t="shared" si="3"/>
        <v>44</v>
      </c>
      <c r="I4652" s="341">
        <v>1.0</v>
      </c>
      <c r="J4652" s="332">
        <f>IFERROR(__xludf.DUMMYFUNCTION("IF(IF(COUNTIF(P$2:P4651, P4652)=0, """", INDEX(H$2:H4651,
MAX(FILTER(ROW(H$2:H4651) - ROW(H$2) + 1, P$2:P4651 = P4652))))=""単価"","""",
IF(COUNTIF(P$2:P4651, P4652)=0, """", INDEX(H$2:H4651,
MAX(FILTER(ROW(H$2:H4651) - ROW(H$2) + 1, P$2:P4651 = P4652)))))"),43.0)</f>
        <v>43</v>
      </c>
      <c r="N4652" s="335" t="str">
        <f>IF(MAXIFS('単価履歴'!$O:$O,'単価履歴'!$E:$E,E4652,'単価履歴'!$F:$F,F4652)=O4652,"●","")</f>
        <v/>
      </c>
      <c r="O4652" s="346">
        <v>46100.81324074074</v>
      </c>
      <c r="P4652" s="334" t="str">
        <f t="shared" si="4"/>
        <v>東鐵名古屋:直納Ｌ２(H4･級外･L1ﾊﾞﾗ)</v>
      </c>
    </row>
    <row r="4653" ht="15.75" customHeight="1">
      <c r="A4653" s="335" t="s">
        <v>5800</v>
      </c>
      <c r="B4653" s="336">
        <v>46101.0</v>
      </c>
      <c r="C4653" s="335" t="s">
        <v>535</v>
      </c>
      <c r="D4653" s="335" t="s">
        <v>77</v>
      </c>
      <c r="E4653" s="337" t="str">
        <f t="shared" si="1"/>
        <v>東鐵名古屋:直納</v>
      </c>
      <c r="F4653" s="338" t="s">
        <v>145</v>
      </c>
      <c r="G4653" s="339" t="str">
        <f t="shared" si="2"/>
        <v>東鐵名古屋:直納シュレＡ</v>
      </c>
      <c r="H4653" s="340">
        <f t="shared" si="3"/>
        <v>50</v>
      </c>
      <c r="I4653" s="341">
        <v>1.0</v>
      </c>
      <c r="J4653" s="332">
        <f>IFERROR(__xludf.DUMMYFUNCTION("IF(IF(COUNTIF(P$2:P4652, P4653)=0, """", INDEX(H$2:H4652,
MAX(FILTER(ROW(H$2:H4652) - ROW(H$2) + 1, P$2:P4652 = P4653))))=""単価"","""",
IF(COUNTIF(P$2:P4652, P4653)=0, """", INDEX(H$2:H4652,
MAX(FILTER(ROW(H$2:H4652) - ROW(H$2) + 1, P$2:P4652 = P4653)))))"),49.0)</f>
        <v>49</v>
      </c>
      <c r="N4653" s="335" t="str">
        <f>IF(MAXIFS('単価履歴'!$O:$O,'単価履歴'!$E:$E,E4653,'単価履歴'!$F:$F,F4653)=O4653,"●","")</f>
        <v/>
      </c>
      <c r="O4653" s="346">
        <v>46100.81324074074</v>
      </c>
      <c r="P4653" s="334" t="str">
        <f t="shared" si="4"/>
        <v>東鐵名古屋:直納シュレＡ</v>
      </c>
    </row>
    <row r="4654" ht="15.75" customHeight="1">
      <c r="A4654" s="335" t="s">
        <v>5801</v>
      </c>
      <c r="B4654" s="336">
        <v>46101.0</v>
      </c>
      <c r="C4654" s="335" t="s">
        <v>535</v>
      </c>
      <c r="D4654" s="335" t="s">
        <v>77</v>
      </c>
      <c r="E4654" s="337" t="str">
        <f t="shared" si="1"/>
        <v>東鐵名古屋:直納</v>
      </c>
      <c r="F4654" s="338" t="s">
        <v>151</v>
      </c>
      <c r="G4654" s="339" t="str">
        <f t="shared" si="2"/>
        <v>東鐵名古屋:直納シュレＣ</v>
      </c>
      <c r="H4654" s="340">
        <f t="shared" si="3"/>
        <v>49.5</v>
      </c>
      <c r="I4654" s="341">
        <v>1.0</v>
      </c>
      <c r="J4654" s="332">
        <f>IFERROR(__xludf.DUMMYFUNCTION("IF(IF(COUNTIF(P$2:P4653, P4654)=0, """", INDEX(H$2:H4653,
MAX(FILTER(ROW(H$2:H4653) - ROW(H$2) + 1, P$2:P4653 = P4654))))=""単価"","""",
IF(COUNTIF(P$2:P4653, P4654)=0, """", INDEX(H$2:H4653,
MAX(FILTER(ROW(H$2:H4653) - ROW(H$2) + 1, P$2:P4653 = P4654)))))"),48.5)</f>
        <v>48.5</v>
      </c>
      <c r="N4654" s="335" t="str">
        <f>IF(MAXIFS('単価履歴'!$O:$O,'単価履歴'!$E:$E,E4654,'単価履歴'!$F:$F,F4654)=O4654,"●","")</f>
        <v/>
      </c>
      <c r="O4654" s="346">
        <v>46100.81324074074</v>
      </c>
      <c r="P4654" s="334" t="str">
        <f t="shared" si="4"/>
        <v>東鐵名古屋:直納シュレＣ</v>
      </c>
    </row>
    <row r="4655" ht="15.75" customHeight="1">
      <c r="A4655" s="335" t="s">
        <v>5802</v>
      </c>
      <c r="B4655" s="336">
        <v>46101.0</v>
      </c>
      <c r="C4655" s="335" t="s">
        <v>532</v>
      </c>
      <c r="D4655" s="335" t="s">
        <v>77</v>
      </c>
      <c r="E4655" s="337" t="str">
        <f t="shared" si="1"/>
        <v>東鐵岡山:直納</v>
      </c>
      <c r="F4655" s="338" t="s">
        <v>1199</v>
      </c>
      <c r="G4655" s="339" t="str">
        <f t="shared" si="2"/>
        <v>東鐵岡山:直納ＨＳ１(単体H1/電特A/HS))</v>
      </c>
      <c r="H4655" s="340">
        <f t="shared" si="3"/>
        <v>51</v>
      </c>
      <c r="I4655" s="341">
        <v>1.0</v>
      </c>
      <c r="J4655" s="332">
        <f>IFERROR(__xludf.DUMMYFUNCTION("IF(IF(COUNTIF(P$2:P4654, P4655)=0, """", INDEX(H$2:H4654,
MAX(FILTER(ROW(H$2:H4654) - ROW(H$2) + 1, P$2:P4654 = P4655))))=""単価"","""",
IF(COUNTIF(P$2:P4654, P4655)=0, """", INDEX(H$2:H4654,
MAX(FILTER(ROW(H$2:H4654) - ROW(H$2) + 1, P$2:P4654 = P4655)))))"),50.0)</f>
        <v>50</v>
      </c>
      <c r="N4655" s="335" t="str">
        <f>IF(MAXIFS('単価履歴'!$O:$O,'単価履歴'!$E:$E,E4655,'単価履歴'!$F:$F,F4655)=O4655,"●","")</f>
        <v/>
      </c>
      <c r="O4655" s="346">
        <v>46100.81358796296</v>
      </c>
      <c r="P4655" s="334" t="str">
        <f t="shared" si="4"/>
        <v>東鐵岡山:直納ＨＳ１(単体H1/電特A/HS))</v>
      </c>
    </row>
    <row r="4656" ht="15.75" customHeight="1">
      <c r="A4656" s="335" t="s">
        <v>5803</v>
      </c>
      <c r="B4656" s="336">
        <v>46101.0</v>
      </c>
      <c r="C4656" s="335" t="s">
        <v>532</v>
      </c>
      <c r="D4656" s="335" t="s">
        <v>77</v>
      </c>
      <c r="E4656" s="337" t="str">
        <f t="shared" si="1"/>
        <v>東鐵岡山:直納</v>
      </c>
      <c r="F4656" s="338" t="s">
        <v>111</v>
      </c>
      <c r="G4656" s="339" t="str">
        <f t="shared" si="2"/>
        <v>東鐵岡山:直納Ｈ１(特A)</v>
      </c>
      <c r="H4656" s="340">
        <f t="shared" si="3"/>
        <v>49.7</v>
      </c>
      <c r="I4656" s="341">
        <v>1.0</v>
      </c>
      <c r="J4656" s="332">
        <f>IFERROR(__xludf.DUMMYFUNCTION("IF(IF(COUNTIF(P$2:P4655, P4656)=0, """", INDEX(H$2:H4655,
MAX(FILTER(ROW(H$2:H4655) - ROW(H$2) + 1, P$2:P4655 = P4656))))=""単価"","""",
IF(COUNTIF(P$2:P4655, P4656)=0, """", INDEX(H$2:H4655,
MAX(FILTER(ROW(H$2:H4655) - ROW(H$2) + 1, P$2:P4655 = P4656)))))"),48.7)</f>
        <v>48.7</v>
      </c>
      <c r="N4656" s="335" t="str">
        <f>IF(MAXIFS('単価履歴'!$O:$O,'単価履歴'!$E:$E,E4656,'単価履歴'!$F:$F,F4656)=O4656,"●","")</f>
        <v/>
      </c>
      <c r="O4656" s="346">
        <v>46100.81358796296</v>
      </c>
      <c r="P4656" s="334" t="str">
        <f t="shared" si="4"/>
        <v>東鐵岡山:直納Ｈ１(特A)</v>
      </c>
    </row>
    <row r="4657" ht="15.75" customHeight="1">
      <c r="A4657" s="335" t="s">
        <v>5804</v>
      </c>
      <c r="B4657" s="336">
        <v>46101.0</v>
      </c>
      <c r="C4657" s="335" t="s">
        <v>532</v>
      </c>
      <c r="D4657" s="335" t="s">
        <v>77</v>
      </c>
      <c r="E4657" s="337" t="str">
        <f t="shared" si="1"/>
        <v>東鐵岡山:直納</v>
      </c>
      <c r="F4657" s="338" t="s">
        <v>116</v>
      </c>
      <c r="G4657" s="339" t="str">
        <f t="shared" si="2"/>
        <v>東鐵岡山:直納Ｈ２(特級)</v>
      </c>
      <c r="H4657" s="340">
        <f t="shared" si="3"/>
        <v>49</v>
      </c>
      <c r="I4657" s="341">
        <v>1.0</v>
      </c>
      <c r="J4657" s="332">
        <f>IFERROR(__xludf.DUMMYFUNCTION("IF(IF(COUNTIF(P$2:P4656, P4657)=0, """", INDEX(H$2:H4656,
MAX(FILTER(ROW(H$2:H4656) - ROW(H$2) + 1, P$2:P4656 = P4657))))=""単価"","""",
IF(COUNTIF(P$2:P4656, P4657)=0, """", INDEX(H$2:H4656,
MAX(FILTER(ROW(H$2:H4656) - ROW(H$2) + 1, P$2:P4656 = P4657)))))"),48.0)</f>
        <v>48</v>
      </c>
      <c r="N4657" s="335" t="str">
        <f>IF(MAXIFS('単価履歴'!$O:$O,'単価履歴'!$E:$E,E4657,'単価履歴'!$F:$F,F4657)=O4657,"●","")</f>
        <v/>
      </c>
      <c r="O4657" s="346">
        <v>46100.81358796296</v>
      </c>
      <c r="P4657" s="334" t="str">
        <f t="shared" si="4"/>
        <v>東鐵岡山:直納Ｈ２(特級)</v>
      </c>
    </row>
    <row r="4658" ht="15.75" customHeight="1">
      <c r="A4658" s="335" t="s">
        <v>5805</v>
      </c>
      <c r="B4658" s="336">
        <v>46101.0</v>
      </c>
      <c r="C4658" s="335" t="s">
        <v>532</v>
      </c>
      <c r="D4658" s="335" t="s">
        <v>77</v>
      </c>
      <c r="E4658" s="337" t="str">
        <f t="shared" si="1"/>
        <v>東鐵岡山:直納</v>
      </c>
      <c r="F4658" s="338" t="s">
        <v>119</v>
      </c>
      <c r="G4658" s="339" t="str">
        <f t="shared" si="2"/>
        <v>東鐵岡山:直納Ｈ３(1級)</v>
      </c>
      <c r="H4658" s="340">
        <f t="shared" si="3"/>
        <v>48.5</v>
      </c>
      <c r="I4658" s="341">
        <v>1.0</v>
      </c>
      <c r="J4658" s="332">
        <f>IFERROR(__xludf.DUMMYFUNCTION("IF(IF(COUNTIF(P$2:P4657, P4658)=0, """", INDEX(H$2:H4657,
MAX(FILTER(ROW(H$2:H4657) - ROW(H$2) + 1, P$2:P4657 = P4658))))=""単価"","""",
IF(COUNTIF(P$2:P4657, P4658)=0, """", INDEX(H$2:H4657,
MAX(FILTER(ROW(H$2:H4657) - ROW(H$2) + 1, P$2:P4657 = P4658)))))"),47.5)</f>
        <v>47.5</v>
      </c>
      <c r="N4658" s="335" t="str">
        <f>IF(MAXIFS('単価履歴'!$O:$O,'単価履歴'!$E:$E,E4658,'単価履歴'!$F:$F,F4658)=O4658,"●","")</f>
        <v/>
      </c>
      <c r="O4658" s="346">
        <v>46100.81358796296</v>
      </c>
      <c r="P4658" s="334" t="str">
        <f t="shared" si="4"/>
        <v>東鐵岡山:直納Ｈ３(1級)</v>
      </c>
    </row>
    <row r="4659" ht="15.75" customHeight="1">
      <c r="A4659" s="335" t="s">
        <v>5806</v>
      </c>
      <c r="B4659" s="336">
        <v>46101.0</v>
      </c>
      <c r="C4659" s="335" t="s">
        <v>532</v>
      </c>
      <c r="D4659" s="335" t="s">
        <v>77</v>
      </c>
      <c r="E4659" s="337" t="str">
        <f t="shared" si="1"/>
        <v>東鐵岡山:直納</v>
      </c>
      <c r="F4659" s="338" t="s">
        <v>122</v>
      </c>
      <c r="G4659" s="339" t="str">
        <f t="shared" si="2"/>
        <v>東鐵岡山:直納Ｌ１(2級)</v>
      </c>
      <c r="H4659" s="340">
        <f t="shared" si="3"/>
        <v>47</v>
      </c>
      <c r="I4659" s="341">
        <v>1.0</v>
      </c>
      <c r="J4659" s="332">
        <f>IFERROR(__xludf.DUMMYFUNCTION("IF(IF(COUNTIF(P$2:P4658, P4659)=0, """", INDEX(H$2:H4658,
MAX(FILTER(ROW(H$2:H4658) - ROW(H$2) + 1, P$2:P4658 = P4659))))=""単価"","""",
IF(COUNTIF(P$2:P4658, P4659)=0, """", INDEX(H$2:H4658,
MAX(FILTER(ROW(H$2:H4658) - ROW(H$2) + 1, P$2:P4658 = P4659)))))"),46.0)</f>
        <v>46</v>
      </c>
      <c r="N4659" s="335" t="str">
        <f>IF(MAXIFS('単価履歴'!$O:$O,'単価履歴'!$E:$E,E4659,'単価履歴'!$F:$F,F4659)=O4659,"●","")</f>
        <v/>
      </c>
      <c r="O4659" s="346">
        <v>46100.81358796296</v>
      </c>
      <c r="P4659" s="334" t="str">
        <f t="shared" si="4"/>
        <v>東鐵岡山:直納Ｌ１(2級)</v>
      </c>
    </row>
    <row r="4660" ht="15.75" customHeight="1">
      <c r="A4660" s="335" t="s">
        <v>5807</v>
      </c>
      <c r="B4660" s="336">
        <v>46101.0</v>
      </c>
      <c r="C4660" s="335" t="s">
        <v>532</v>
      </c>
      <c r="D4660" s="335" t="s">
        <v>77</v>
      </c>
      <c r="E4660" s="337" t="str">
        <f t="shared" si="1"/>
        <v>東鐵岡山:直納</v>
      </c>
      <c r="F4660" s="338" t="s">
        <v>573</v>
      </c>
      <c r="G4660" s="339" t="str">
        <f t="shared" si="2"/>
        <v>東鐵岡山:直納Ｌ２(H4･級外･L1ﾊﾞﾗ)</v>
      </c>
      <c r="H4660" s="340">
        <f t="shared" si="3"/>
        <v>44</v>
      </c>
      <c r="I4660" s="341">
        <v>1.0</v>
      </c>
      <c r="J4660" s="332">
        <f>IFERROR(__xludf.DUMMYFUNCTION("IF(IF(COUNTIF(P$2:P4659, P4660)=0, """", INDEX(H$2:H4659,
MAX(FILTER(ROW(H$2:H4659) - ROW(H$2) + 1, P$2:P4659 = P4660))))=""単価"","""",
IF(COUNTIF(P$2:P4659, P4660)=0, """", INDEX(H$2:H4659,
MAX(FILTER(ROW(H$2:H4659) - ROW(H$2) + 1, P$2:P4659 = P4660)))))"),43.0)</f>
        <v>43</v>
      </c>
      <c r="N4660" s="335" t="str">
        <f>IF(MAXIFS('単価履歴'!$O:$O,'単価履歴'!$E:$E,E4660,'単価履歴'!$F:$F,F4660)=O4660,"●","")</f>
        <v/>
      </c>
      <c r="O4660" s="346">
        <v>46100.81358796296</v>
      </c>
      <c r="P4660" s="334" t="str">
        <f t="shared" si="4"/>
        <v>東鐵岡山:直納Ｌ２(H4･級外･L1ﾊﾞﾗ)</v>
      </c>
    </row>
    <row r="4661" ht="15.75" customHeight="1">
      <c r="A4661" s="335" t="s">
        <v>5808</v>
      </c>
      <c r="B4661" s="336">
        <v>46101.0</v>
      </c>
      <c r="C4661" s="335" t="s">
        <v>532</v>
      </c>
      <c r="D4661" s="335" t="s">
        <v>77</v>
      </c>
      <c r="E4661" s="337" t="str">
        <f t="shared" si="1"/>
        <v>東鐵岡山:直納</v>
      </c>
      <c r="F4661" s="338" t="s">
        <v>145</v>
      </c>
      <c r="G4661" s="339" t="str">
        <f t="shared" si="2"/>
        <v>東鐵岡山:直納シュレＡ</v>
      </c>
      <c r="H4661" s="340">
        <f t="shared" si="3"/>
        <v>49.5</v>
      </c>
      <c r="I4661" s="341">
        <v>1.0</v>
      </c>
      <c r="J4661" s="332">
        <f>IFERROR(__xludf.DUMMYFUNCTION("IF(IF(COUNTIF(P$2:P4660, P4661)=0, """", INDEX(H$2:H4660,
MAX(FILTER(ROW(H$2:H4660) - ROW(H$2) + 1, P$2:P4660 = P4661))))=""単価"","""",
IF(COUNTIF(P$2:P4660, P4661)=0, """", INDEX(H$2:H4660,
MAX(FILTER(ROW(H$2:H4660) - ROW(H$2) + 1, P$2:P4660 = P4661)))))"),48.5)</f>
        <v>48.5</v>
      </c>
      <c r="N4661" s="335" t="str">
        <f>IF(MAXIFS('単価履歴'!$O:$O,'単価履歴'!$E:$E,E4661,'単価履歴'!$F:$F,F4661)=O4661,"●","")</f>
        <v/>
      </c>
      <c r="O4661" s="346">
        <v>46100.81358796296</v>
      </c>
      <c r="P4661" s="334" t="str">
        <f t="shared" si="4"/>
        <v>東鐵岡山:直納シュレＡ</v>
      </c>
    </row>
    <row r="4662" ht="15.75" customHeight="1">
      <c r="A4662" s="335" t="s">
        <v>5809</v>
      </c>
      <c r="B4662" s="336">
        <v>46101.0</v>
      </c>
      <c r="C4662" s="335" t="s">
        <v>532</v>
      </c>
      <c r="D4662" s="335" t="s">
        <v>77</v>
      </c>
      <c r="E4662" s="337" t="str">
        <f t="shared" si="1"/>
        <v>東鐵岡山:直納</v>
      </c>
      <c r="F4662" s="338" t="s">
        <v>151</v>
      </c>
      <c r="G4662" s="339" t="str">
        <f t="shared" si="2"/>
        <v>東鐵岡山:直納シュレＣ</v>
      </c>
      <c r="H4662" s="340">
        <f t="shared" si="3"/>
        <v>49</v>
      </c>
      <c r="I4662" s="341">
        <v>1.0</v>
      </c>
      <c r="J4662" s="332">
        <f>IFERROR(__xludf.DUMMYFUNCTION("IF(IF(COUNTIF(P$2:P4661, P4662)=0, """", INDEX(H$2:H4661,
MAX(FILTER(ROW(H$2:H4661) - ROW(H$2) + 1, P$2:P4661 = P4662))))=""単価"","""",
IF(COUNTIF(P$2:P4661, P4662)=0, """", INDEX(H$2:H4661,
MAX(FILTER(ROW(H$2:H4661) - ROW(H$2) + 1, P$2:P4661 = P4662)))))"),48.0)</f>
        <v>48</v>
      </c>
      <c r="N4662" s="335" t="str">
        <f>IF(MAXIFS('単価履歴'!$O:$O,'単価履歴'!$E:$E,E4662,'単価履歴'!$F:$F,F4662)=O4662,"●","")</f>
        <v/>
      </c>
      <c r="O4662" s="346">
        <v>46100.81358796296</v>
      </c>
      <c r="P4662" s="334" t="str">
        <f t="shared" si="4"/>
        <v>東鐵岡山:直納シュレＣ</v>
      </c>
    </row>
    <row r="4663" ht="15.75" customHeight="1">
      <c r="A4663" s="335" t="s">
        <v>5810</v>
      </c>
      <c r="B4663" s="336">
        <v>46101.0</v>
      </c>
      <c r="C4663" s="335" t="s">
        <v>532</v>
      </c>
      <c r="D4663" s="335" t="s">
        <v>77</v>
      </c>
      <c r="E4663" s="337" t="str">
        <f t="shared" si="1"/>
        <v>東鐵岡山:直納</v>
      </c>
      <c r="F4663" s="338" t="s">
        <v>130</v>
      </c>
      <c r="G4663" s="339" t="str">
        <f t="shared" si="2"/>
        <v>東鐵岡山:直納新断Ａ</v>
      </c>
      <c r="H4663" s="340">
        <f t="shared" si="3"/>
        <v>50</v>
      </c>
      <c r="I4663" s="341">
        <v>1.0</v>
      </c>
      <c r="J4663" s="332">
        <f>IFERROR(__xludf.DUMMYFUNCTION("IF(IF(COUNTIF(P$2:P4662, P4663)=0, """", INDEX(H$2:H4662,
MAX(FILTER(ROW(H$2:H4662) - ROW(H$2) + 1, P$2:P4662 = P4663))))=""単価"","""",
IF(COUNTIF(P$2:P4662, P4663)=0, """", INDEX(H$2:H4662,
MAX(FILTER(ROW(H$2:H4662) - ROW(H$2) + 1, P$2:P4662 = P4663)))))"),49.0)</f>
        <v>49</v>
      </c>
      <c r="N4663" s="335" t="str">
        <f>IF(MAXIFS('単価履歴'!$O:$O,'単価履歴'!$E:$E,E4663,'単価履歴'!$F:$F,F4663)=O4663,"●","")</f>
        <v/>
      </c>
      <c r="O4663" s="346">
        <v>46100.81358796296</v>
      </c>
      <c r="P4663" s="334" t="str">
        <f t="shared" si="4"/>
        <v>東鐵岡山:直納新断Ａ</v>
      </c>
    </row>
    <row r="4664" ht="15.75" customHeight="1">
      <c r="A4664" s="335" t="s">
        <v>5811</v>
      </c>
      <c r="B4664" s="336">
        <v>46101.0</v>
      </c>
      <c r="C4664" s="335" t="s">
        <v>532</v>
      </c>
      <c r="D4664" s="335" t="s">
        <v>77</v>
      </c>
      <c r="E4664" s="337" t="str">
        <f t="shared" si="1"/>
        <v>東鐵岡山:直納</v>
      </c>
      <c r="F4664" s="338" t="s">
        <v>131</v>
      </c>
      <c r="G4664" s="339" t="str">
        <f t="shared" si="2"/>
        <v>東鐵岡山:直納新断Ｂ</v>
      </c>
      <c r="H4664" s="340">
        <f t="shared" si="3"/>
        <v>50</v>
      </c>
      <c r="I4664" s="341">
        <v>1.0</v>
      </c>
      <c r="J4664" s="332">
        <f>IFERROR(__xludf.DUMMYFUNCTION("IF(IF(COUNTIF(P$2:P4663, P4664)=0, """", INDEX(H$2:H4663,
MAX(FILTER(ROW(H$2:H4663) - ROW(H$2) + 1, P$2:P4663 = P4664))))=""単価"","""",
IF(COUNTIF(P$2:P4663, P4664)=0, """", INDEX(H$2:H4663,
MAX(FILTER(ROW(H$2:H4663) - ROW(H$2) + 1, P$2:P4663 = P4664)))))"),49.0)</f>
        <v>49</v>
      </c>
      <c r="N4664" s="335" t="str">
        <f>IF(MAXIFS('単価履歴'!$O:$O,'単価履歴'!$E:$E,E4664,'単価履歴'!$F:$F,F4664)=O4664,"●","")</f>
        <v/>
      </c>
      <c r="O4664" s="346">
        <v>46100.81358796296</v>
      </c>
      <c r="P4664" s="334" t="str">
        <f t="shared" si="4"/>
        <v>東鐵岡山:直納新断Ｂ</v>
      </c>
    </row>
    <row r="4665" ht="15.75" customHeight="1">
      <c r="A4665" s="335" t="s">
        <v>5812</v>
      </c>
      <c r="B4665" s="336">
        <v>46101.0</v>
      </c>
      <c r="C4665" s="335" t="s">
        <v>532</v>
      </c>
      <c r="D4665" s="335" t="s">
        <v>77</v>
      </c>
      <c r="E4665" s="337" t="str">
        <f t="shared" si="1"/>
        <v>東鐵岡山:直納</v>
      </c>
      <c r="F4665" s="338" t="s">
        <v>575</v>
      </c>
      <c r="G4665" s="339" t="str">
        <f t="shared" si="2"/>
        <v>東鐵岡山:直納鋼ダライＡ</v>
      </c>
      <c r="H4665" s="340">
        <f t="shared" si="3"/>
        <v>44.5</v>
      </c>
      <c r="I4665" s="341">
        <v>1.0</v>
      </c>
      <c r="J4665" s="332">
        <f>IFERROR(__xludf.DUMMYFUNCTION("IF(IF(COUNTIF(P$2:P4664, P4665)=0, """", INDEX(H$2:H4664,
MAX(FILTER(ROW(H$2:H4664) - ROW(H$2) + 1, P$2:P4664 = P4665))))=""単価"","""",
IF(COUNTIF(P$2:P4664, P4665)=0, """", INDEX(H$2:H4664,
MAX(FILTER(ROW(H$2:H4664) - ROW(H$2) + 1, P$2:P4664 = P4665)))))"),43.5)</f>
        <v>43.5</v>
      </c>
      <c r="N4665" s="335" t="str">
        <f>IF(MAXIFS('単価履歴'!$O:$O,'単価履歴'!$E:$E,E4665,'単価履歴'!$F:$F,F4665)=O4665,"●","")</f>
        <v/>
      </c>
      <c r="O4665" s="346">
        <v>46100.81358796296</v>
      </c>
      <c r="P4665" s="334" t="str">
        <f t="shared" si="4"/>
        <v>東鐵岡山:直納鋼ダライＡ</v>
      </c>
    </row>
    <row r="4666" ht="15.75" customHeight="1">
      <c r="A4666" s="335" t="s">
        <v>5813</v>
      </c>
      <c r="B4666" s="336">
        <v>46101.0</v>
      </c>
      <c r="C4666" s="335" t="s">
        <v>532</v>
      </c>
      <c r="D4666" s="335" t="s">
        <v>77</v>
      </c>
      <c r="E4666" s="337" t="str">
        <f t="shared" si="1"/>
        <v>東鐵岡山:直納</v>
      </c>
      <c r="F4666" s="338" t="s">
        <v>25</v>
      </c>
      <c r="G4666" s="339" t="str">
        <f t="shared" si="2"/>
        <v>東鐵岡山:直納銑ダライ</v>
      </c>
      <c r="H4666" s="340">
        <f t="shared" si="3"/>
        <v>41</v>
      </c>
      <c r="I4666" s="341">
        <v>1.0</v>
      </c>
      <c r="J4666" s="332">
        <f>IFERROR(__xludf.DUMMYFUNCTION("IF(IF(COUNTIF(P$2:P4665, P4666)=0, """", INDEX(H$2:H4665,
MAX(FILTER(ROW(H$2:H4665) - ROW(H$2) + 1, P$2:P4665 = P4666))))=""単価"","""",
IF(COUNTIF(P$2:P4665, P4666)=0, """", INDEX(H$2:H4665,
MAX(FILTER(ROW(H$2:H4665) - ROW(H$2) + 1, P$2:P4665 = P4666)))))"),40.0)</f>
        <v>40</v>
      </c>
      <c r="N4666" s="335" t="str">
        <f>IF(MAXIFS('単価履歴'!$O:$O,'単価履歴'!$E:$E,E4666,'単価履歴'!$F:$F,F4666)=O4666,"●","")</f>
        <v/>
      </c>
      <c r="O4666" s="346">
        <v>46100.81358796296</v>
      </c>
      <c r="P4666" s="334" t="str">
        <f t="shared" si="4"/>
        <v>東鐵岡山:直納銑ダライ</v>
      </c>
    </row>
    <row r="4667" ht="15.75" customHeight="1">
      <c r="A4667" s="335" t="s">
        <v>5814</v>
      </c>
      <c r="B4667" s="336">
        <v>46101.0</v>
      </c>
      <c r="C4667" s="335" t="s">
        <v>532</v>
      </c>
      <c r="D4667" s="335" t="s">
        <v>77</v>
      </c>
      <c r="E4667" s="337" t="str">
        <f t="shared" si="1"/>
        <v>東鐵岡山:直納</v>
      </c>
      <c r="F4667" s="338" t="s">
        <v>154</v>
      </c>
      <c r="G4667" s="339" t="str">
        <f t="shared" si="2"/>
        <v>東鐵岡山:直納ＣＰ Ａ</v>
      </c>
      <c r="H4667" s="340">
        <f t="shared" si="3"/>
        <v>47.5</v>
      </c>
      <c r="I4667" s="341">
        <v>1.0</v>
      </c>
      <c r="J4667" s="332">
        <f>IFERROR(__xludf.DUMMYFUNCTION("IF(IF(COUNTIF(P$2:P4666, P4667)=0, """", INDEX(H$2:H4666,
MAX(FILTER(ROW(H$2:H4666) - ROW(H$2) + 1, P$2:P4666 = P4667))))=""単価"","""",
IF(COUNTIF(P$2:P4666, P4667)=0, """", INDEX(H$2:H4666,
MAX(FILTER(ROW(H$2:H4666) - ROW(H$2) + 1, P$2:P4666 = P4667)))))"),46.5)</f>
        <v>46.5</v>
      </c>
      <c r="N4667" s="335" t="str">
        <f>IF(MAXIFS('単価履歴'!$O:$O,'単価履歴'!$E:$E,E4667,'単価履歴'!$F:$F,F4667)=O4667,"●","")</f>
        <v/>
      </c>
      <c r="O4667" s="346">
        <v>46100.81358796296</v>
      </c>
      <c r="P4667" s="334" t="str">
        <f t="shared" si="4"/>
        <v>東鐵岡山:直納ＣＰ Ａ</v>
      </c>
    </row>
    <row r="4668" ht="15.75" customHeight="1">
      <c r="A4668" s="335" t="s">
        <v>5815</v>
      </c>
      <c r="B4668" s="336">
        <v>46101.0</v>
      </c>
      <c r="C4668" s="335" t="s">
        <v>536</v>
      </c>
      <c r="D4668" s="335" t="s">
        <v>77</v>
      </c>
      <c r="E4668" s="337" t="str">
        <f t="shared" si="1"/>
        <v>東鐵田原:直納</v>
      </c>
      <c r="F4668" s="338" t="s">
        <v>1199</v>
      </c>
      <c r="G4668" s="339" t="str">
        <f t="shared" si="2"/>
        <v>東鐵田原:直納ＨＳ１(単体H1/電特A/HS))</v>
      </c>
      <c r="H4668" s="340">
        <f t="shared" si="3"/>
        <v>51.5</v>
      </c>
      <c r="I4668" s="341">
        <v>1.0</v>
      </c>
      <c r="J4668" s="332">
        <f>IFERROR(__xludf.DUMMYFUNCTION("IF(IF(COUNTIF(P$2:P4667, P4668)=0, """", INDEX(H$2:H4667,
MAX(FILTER(ROW(H$2:H4667) - ROW(H$2) + 1, P$2:P4667 = P4668))))=""単価"","""",
IF(COUNTIF(P$2:P4667, P4668)=0, """", INDEX(H$2:H4667,
MAX(FILTER(ROW(H$2:H4667) - ROW(H$2) + 1, P$2:P4667 = P4668)))))"),50.5)</f>
        <v>50.5</v>
      </c>
      <c r="N4668" s="335" t="str">
        <f>IF(MAXIFS('単価履歴'!$O:$O,'単価履歴'!$E:$E,E4668,'単価履歴'!$F:$F,F4668)=O4668,"●","")</f>
        <v/>
      </c>
      <c r="O4668" s="346">
        <v>46100.81376157407</v>
      </c>
      <c r="P4668" s="334" t="str">
        <f t="shared" si="4"/>
        <v>東鐵田原:直納ＨＳ１(単体H1/電特A/HS))</v>
      </c>
    </row>
    <row r="4669" ht="15.75" customHeight="1">
      <c r="A4669" s="335" t="s">
        <v>5816</v>
      </c>
      <c r="B4669" s="336">
        <v>46101.0</v>
      </c>
      <c r="C4669" s="335" t="s">
        <v>536</v>
      </c>
      <c r="D4669" s="335" t="s">
        <v>77</v>
      </c>
      <c r="E4669" s="337" t="str">
        <f t="shared" si="1"/>
        <v>東鐵田原:直納</v>
      </c>
      <c r="F4669" s="338" t="s">
        <v>111</v>
      </c>
      <c r="G4669" s="339" t="str">
        <f t="shared" si="2"/>
        <v>東鐵田原:直納Ｈ１(特A)</v>
      </c>
      <c r="H4669" s="340">
        <f t="shared" si="3"/>
        <v>50.7</v>
      </c>
      <c r="I4669" s="341">
        <v>1.0</v>
      </c>
      <c r="J4669" s="332">
        <f>IFERROR(__xludf.DUMMYFUNCTION("IF(IF(COUNTIF(P$2:P4668, P4669)=0, """", INDEX(H$2:H4668,
MAX(FILTER(ROW(H$2:H4668) - ROW(H$2) + 1, P$2:P4668 = P4669))))=""単価"","""",
IF(COUNTIF(P$2:P4668, P4669)=0, """", INDEX(H$2:H4668,
MAX(FILTER(ROW(H$2:H4668) - ROW(H$2) + 1, P$2:P4668 = P4669)))))"),49.7)</f>
        <v>49.7</v>
      </c>
      <c r="N4669" s="335" t="str">
        <f>IF(MAXIFS('単価履歴'!$O:$O,'単価履歴'!$E:$E,E4669,'単価履歴'!$F:$F,F4669)=O4669,"●","")</f>
        <v/>
      </c>
      <c r="O4669" s="346">
        <v>46100.81376157407</v>
      </c>
      <c r="P4669" s="334" t="str">
        <f t="shared" si="4"/>
        <v>東鐵田原:直納Ｈ１(特A)</v>
      </c>
    </row>
    <row r="4670" ht="15.75" customHeight="1">
      <c r="A4670" s="335" t="s">
        <v>5817</v>
      </c>
      <c r="B4670" s="336">
        <v>46101.0</v>
      </c>
      <c r="C4670" s="335" t="s">
        <v>536</v>
      </c>
      <c r="D4670" s="335" t="s">
        <v>77</v>
      </c>
      <c r="E4670" s="337" t="str">
        <f t="shared" si="1"/>
        <v>東鐵田原:直納</v>
      </c>
      <c r="F4670" s="338" t="s">
        <v>116</v>
      </c>
      <c r="G4670" s="339" t="str">
        <f t="shared" si="2"/>
        <v>東鐵田原:直納Ｈ２(特級)</v>
      </c>
      <c r="H4670" s="340">
        <f t="shared" si="3"/>
        <v>49</v>
      </c>
      <c r="I4670" s="341">
        <v>1.0</v>
      </c>
      <c r="J4670" s="332">
        <f>IFERROR(__xludf.DUMMYFUNCTION("IF(IF(COUNTIF(P$2:P4669, P4670)=0, """", INDEX(H$2:H4669,
MAX(FILTER(ROW(H$2:H4669) - ROW(H$2) + 1, P$2:P4669 = P4670))))=""単価"","""",
IF(COUNTIF(P$2:P4669, P4670)=0, """", INDEX(H$2:H4669,
MAX(FILTER(ROW(H$2:H4669) - ROW(H$2) + 1, P$2:P4669 = P4670)))))"),48.0)</f>
        <v>48</v>
      </c>
      <c r="N4670" s="335" t="str">
        <f>IF(MAXIFS('単価履歴'!$O:$O,'単価履歴'!$E:$E,E4670,'単価履歴'!$F:$F,F4670)=O4670,"●","")</f>
        <v/>
      </c>
      <c r="O4670" s="346">
        <v>46100.81376157407</v>
      </c>
      <c r="P4670" s="334" t="str">
        <f t="shared" si="4"/>
        <v>東鐵田原:直納Ｈ２(特級)</v>
      </c>
    </row>
    <row r="4671" ht="15.75" customHeight="1">
      <c r="A4671" s="335" t="s">
        <v>5818</v>
      </c>
      <c r="B4671" s="336">
        <v>46101.0</v>
      </c>
      <c r="C4671" s="335" t="s">
        <v>536</v>
      </c>
      <c r="D4671" s="335" t="s">
        <v>77</v>
      </c>
      <c r="E4671" s="337" t="str">
        <f t="shared" si="1"/>
        <v>東鐵田原:直納</v>
      </c>
      <c r="F4671" s="338" t="s">
        <v>119</v>
      </c>
      <c r="G4671" s="339" t="str">
        <f t="shared" si="2"/>
        <v>東鐵田原:直納Ｈ３(1級)</v>
      </c>
      <c r="H4671" s="340">
        <f t="shared" si="3"/>
        <v>48.5</v>
      </c>
      <c r="I4671" s="341">
        <v>1.0</v>
      </c>
      <c r="J4671" s="332">
        <f>IFERROR(__xludf.DUMMYFUNCTION("IF(IF(COUNTIF(P$2:P4670, P4671)=0, """", INDEX(H$2:H4670,
MAX(FILTER(ROW(H$2:H4670) - ROW(H$2) + 1, P$2:P4670 = P4671))))=""単価"","""",
IF(COUNTIF(P$2:P4670, P4671)=0, """", INDEX(H$2:H4670,
MAX(FILTER(ROW(H$2:H4670) - ROW(H$2) + 1, P$2:P4670 = P4671)))))"),47.5)</f>
        <v>47.5</v>
      </c>
      <c r="N4671" s="335" t="str">
        <f>IF(MAXIFS('単価履歴'!$O:$O,'単価履歴'!$E:$E,E4671,'単価履歴'!$F:$F,F4671)=O4671,"●","")</f>
        <v/>
      </c>
      <c r="O4671" s="346">
        <v>46100.81376157407</v>
      </c>
      <c r="P4671" s="334" t="str">
        <f t="shared" si="4"/>
        <v>東鐵田原:直納Ｈ３(1級)</v>
      </c>
    </row>
    <row r="4672" ht="15.75" customHeight="1">
      <c r="A4672" s="335" t="s">
        <v>5819</v>
      </c>
      <c r="B4672" s="336">
        <v>46101.0</v>
      </c>
      <c r="C4672" s="335" t="s">
        <v>536</v>
      </c>
      <c r="D4672" s="335" t="s">
        <v>77</v>
      </c>
      <c r="E4672" s="337" t="str">
        <f t="shared" si="1"/>
        <v>東鐵田原:直納</v>
      </c>
      <c r="F4672" s="338" t="s">
        <v>122</v>
      </c>
      <c r="G4672" s="339" t="str">
        <f t="shared" si="2"/>
        <v>東鐵田原:直納Ｌ１(2級)</v>
      </c>
      <c r="H4672" s="340">
        <f t="shared" si="3"/>
        <v>47</v>
      </c>
      <c r="I4672" s="341">
        <v>1.0</v>
      </c>
      <c r="J4672" s="332">
        <f>IFERROR(__xludf.DUMMYFUNCTION("IF(IF(COUNTIF(P$2:P4671, P4672)=0, """", INDEX(H$2:H4671,
MAX(FILTER(ROW(H$2:H4671) - ROW(H$2) + 1, P$2:P4671 = P4672))))=""単価"","""",
IF(COUNTIF(P$2:P4671, P4672)=0, """", INDEX(H$2:H4671,
MAX(FILTER(ROW(H$2:H4671) - ROW(H$2) + 1, P$2:P4671 = P4672)))))"),46.0)</f>
        <v>46</v>
      </c>
      <c r="N4672" s="335" t="str">
        <f>IF(MAXIFS('単価履歴'!$O:$O,'単価履歴'!$E:$E,E4672,'単価履歴'!$F:$F,F4672)=O4672,"●","")</f>
        <v/>
      </c>
      <c r="O4672" s="346">
        <v>46100.81376157407</v>
      </c>
      <c r="P4672" s="334" t="str">
        <f t="shared" si="4"/>
        <v>東鐵田原:直納Ｌ１(2級)</v>
      </c>
    </row>
    <row r="4673" ht="15.75" customHeight="1">
      <c r="A4673" s="335" t="s">
        <v>5820</v>
      </c>
      <c r="B4673" s="336">
        <v>46101.0</v>
      </c>
      <c r="C4673" s="335" t="s">
        <v>536</v>
      </c>
      <c r="D4673" s="335" t="s">
        <v>77</v>
      </c>
      <c r="E4673" s="337" t="str">
        <f t="shared" si="1"/>
        <v>東鐵田原:直納</v>
      </c>
      <c r="F4673" s="338" t="s">
        <v>573</v>
      </c>
      <c r="G4673" s="339" t="str">
        <f t="shared" si="2"/>
        <v>東鐵田原:直納Ｌ２(H4･級外･L1ﾊﾞﾗ)</v>
      </c>
      <c r="H4673" s="340">
        <f t="shared" si="3"/>
        <v>44</v>
      </c>
      <c r="I4673" s="341">
        <v>1.0</v>
      </c>
      <c r="J4673" s="332">
        <f>IFERROR(__xludf.DUMMYFUNCTION("IF(IF(COUNTIF(P$2:P4672, P4673)=0, """", INDEX(H$2:H4672,
MAX(FILTER(ROW(H$2:H4672) - ROW(H$2) + 1, P$2:P4672 = P4673))))=""単価"","""",
IF(COUNTIF(P$2:P4672, P4673)=0, """", INDEX(H$2:H4672,
MAX(FILTER(ROW(H$2:H4672) - ROW(H$2) + 1, P$2:P4672 = P4673)))))"),43.0)</f>
        <v>43</v>
      </c>
      <c r="N4673" s="335" t="str">
        <f>IF(MAXIFS('単価履歴'!$O:$O,'単価履歴'!$E:$E,E4673,'単価履歴'!$F:$F,F4673)=O4673,"●","")</f>
        <v/>
      </c>
      <c r="O4673" s="346">
        <v>46100.81376157407</v>
      </c>
      <c r="P4673" s="334" t="str">
        <f t="shared" si="4"/>
        <v>東鐵田原:直納Ｌ２(H4･級外･L1ﾊﾞﾗ)</v>
      </c>
    </row>
    <row r="4674" ht="15.75" customHeight="1">
      <c r="A4674" s="335" t="s">
        <v>5821</v>
      </c>
      <c r="B4674" s="336">
        <v>46101.0</v>
      </c>
      <c r="C4674" s="335" t="s">
        <v>536</v>
      </c>
      <c r="D4674" s="335" t="s">
        <v>77</v>
      </c>
      <c r="E4674" s="337" t="str">
        <f t="shared" si="1"/>
        <v>東鐵田原:直納</v>
      </c>
      <c r="F4674" s="338" t="s">
        <v>130</v>
      </c>
      <c r="G4674" s="339" t="str">
        <f t="shared" si="2"/>
        <v>東鐵田原:直納新断Ａ</v>
      </c>
      <c r="H4674" s="340">
        <f t="shared" si="3"/>
        <v>51.5</v>
      </c>
      <c r="I4674" s="341">
        <v>1.0</v>
      </c>
      <c r="J4674" s="332">
        <f>IFERROR(__xludf.DUMMYFUNCTION("IF(IF(COUNTIF(P$2:P4673, P4674)=0, """", INDEX(H$2:H4673,
MAX(FILTER(ROW(H$2:H4673) - ROW(H$2) + 1, P$2:P4673 = P4674))))=""単価"","""",
IF(COUNTIF(P$2:P4673, P4674)=0, """", INDEX(H$2:H4673,
MAX(FILTER(ROW(H$2:H4673) - ROW(H$2) + 1, P$2:P4673 = P4674)))))"),50.5)</f>
        <v>50.5</v>
      </c>
      <c r="N4674" s="335" t="str">
        <f>IF(MAXIFS('単価履歴'!$O:$O,'単価履歴'!$E:$E,E4674,'単価履歴'!$F:$F,F4674)=O4674,"●","")</f>
        <v/>
      </c>
      <c r="O4674" s="346">
        <v>46100.81376157407</v>
      </c>
      <c r="P4674" s="334" t="str">
        <f t="shared" si="4"/>
        <v>東鐵田原:直納新断Ａ</v>
      </c>
    </row>
    <row r="4675" ht="15.75" customHeight="1">
      <c r="A4675" s="335" t="s">
        <v>5822</v>
      </c>
      <c r="B4675" s="336">
        <v>46101.0</v>
      </c>
      <c r="C4675" s="335" t="s">
        <v>536</v>
      </c>
      <c r="D4675" s="335" t="s">
        <v>77</v>
      </c>
      <c r="E4675" s="337" t="str">
        <f t="shared" si="1"/>
        <v>東鐵田原:直納</v>
      </c>
      <c r="F4675" s="338" t="s">
        <v>131</v>
      </c>
      <c r="G4675" s="339" t="str">
        <f t="shared" si="2"/>
        <v>東鐵田原:直納新断Ｂ</v>
      </c>
      <c r="H4675" s="340">
        <f t="shared" si="3"/>
        <v>51.5</v>
      </c>
      <c r="I4675" s="341">
        <v>1.0</v>
      </c>
      <c r="J4675" s="332">
        <f>IFERROR(__xludf.DUMMYFUNCTION("IF(IF(COUNTIF(P$2:P4674, P4675)=0, """", INDEX(H$2:H4674,
MAX(FILTER(ROW(H$2:H4674) - ROW(H$2) + 1, P$2:P4674 = P4675))))=""単価"","""",
IF(COUNTIF(P$2:P4674, P4675)=0, """", INDEX(H$2:H4674,
MAX(FILTER(ROW(H$2:H4674) - ROW(H$2) + 1, P$2:P4674 = P4675)))))"),50.5)</f>
        <v>50.5</v>
      </c>
      <c r="N4675" s="335" t="str">
        <f>IF(MAXIFS('単価履歴'!$O:$O,'単価履歴'!$E:$E,E4675,'単価履歴'!$F:$F,F4675)=O4675,"●","")</f>
        <v/>
      </c>
      <c r="O4675" s="346">
        <v>46100.81376157407</v>
      </c>
      <c r="P4675" s="334" t="str">
        <f t="shared" si="4"/>
        <v>東鐵田原:直納新断Ｂ</v>
      </c>
    </row>
    <row r="4676" ht="15.75" customHeight="1">
      <c r="A4676" s="335" t="s">
        <v>5823</v>
      </c>
      <c r="B4676" s="336">
        <v>46101.0</v>
      </c>
      <c r="C4676" s="335" t="s">
        <v>536</v>
      </c>
      <c r="D4676" s="335" t="s">
        <v>77</v>
      </c>
      <c r="E4676" s="337" t="str">
        <f t="shared" si="1"/>
        <v>東鐵田原:直納</v>
      </c>
      <c r="F4676" s="338" t="s">
        <v>575</v>
      </c>
      <c r="G4676" s="339" t="str">
        <f t="shared" si="2"/>
        <v>東鐵田原:直納鋼ダライＡ</v>
      </c>
      <c r="H4676" s="340">
        <f t="shared" si="3"/>
        <v>47.5</v>
      </c>
      <c r="I4676" s="341">
        <v>1.0</v>
      </c>
      <c r="J4676" s="332">
        <f>IFERROR(__xludf.DUMMYFUNCTION("IF(IF(COUNTIF(P$2:P4675, P4676)=0, """", INDEX(H$2:H4675,
MAX(FILTER(ROW(H$2:H4675) - ROW(H$2) + 1, P$2:P4675 = P4676))))=""単価"","""",
IF(COUNTIF(P$2:P4675, P4676)=0, """", INDEX(H$2:H4675,
MAX(FILTER(ROW(H$2:H4675) - ROW(H$2) + 1, P$2:P4675 = P4676)))))"),46.5)</f>
        <v>46.5</v>
      </c>
      <c r="N4676" s="335" t="str">
        <f>IF(MAXIFS('単価履歴'!$O:$O,'単価履歴'!$E:$E,E4676,'単価履歴'!$F:$F,F4676)=O4676,"●","")</f>
        <v/>
      </c>
      <c r="O4676" s="346">
        <v>46100.81376157407</v>
      </c>
      <c r="P4676" s="334" t="str">
        <f t="shared" si="4"/>
        <v>東鐵田原:直納鋼ダライＡ</v>
      </c>
    </row>
    <row r="4677" ht="15.75" customHeight="1">
      <c r="A4677" s="335" t="s">
        <v>5824</v>
      </c>
      <c r="B4677" s="336">
        <v>46101.0</v>
      </c>
      <c r="C4677" s="335" t="s">
        <v>536</v>
      </c>
      <c r="D4677" s="335" t="s">
        <v>77</v>
      </c>
      <c r="E4677" s="337" t="str">
        <f t="shared" si="1"/>
        <v>東鐵田原:直納</v>
      </c>
      <c r="F4677" s="338" t="s">
        <v>145</v>
      </c>
      <c r="G4677" s="339" t="str">
        <f t="shared" si="2"/>
        <v>東鐵田原:直納シュレＡ</v>
      </c>
      <c r="H4677" s="340">
        <f t="shared" si="3"/>
        <v>50</v>
      </c>
      <c r="I4677" s="341">
        <v>1.0</v>
      </c>
      <c r="J4677" s="332">
        <f>IFERROR(__xludf.DUMMYFUNCTION("IF(IF(COUNTIF(P$2:P4676, P4677)=0, """", INDEX(H$2:H4676,
MAX(FILTER(ROW(H$2:H4676) - ROW(H$2) + 1, P$2:P4676 = P4677))))=""単価"","""",
IF(COUNTIF(P$2:P4676, P4677)=0, """", INDEX(H$2:H4676,
MAX(FILTER(ROW(H$2:H4676) - ROW(H$2) + 1, P$2:P4676 = P4677)))))"),49.0)</f>
        <v>49</v>
      </c>
      <c r="N4677" s="335" t="str">
        <f>IF(MAXIFS('単価履歴'!$O:$O,'単価履歴'!$E:$E,E4677,'単価履歴'!$F:$F,F4677)=O4677,"●","")</f>
        <v/>
      </c>
      <c r="O4677" s="346">
        <v>46100.81376157407</v>
      </c>
      <c r="P4677" s="334" t="str">
        <f t="shared" si="4"/>
        <v>東鐵田原:直納シュレＡ</v>
      </c>
    </row>
    <row r="4678" ht="15.75" customHeight="1">
      <c r="A4678" s="335" t="s">
        <v>5825</v>
      </c>
      <c r="B4678" s="336">
        <v>46101.0</v>
      </c>
      <c r="C4678" s="335" t="s">
        <v>536</v>
      </c>
      <c r="D4678" s="335" t="s">
        <v>77</v>
      </c>
      <c r="E4678" s="337" t="str">
        <f t="shared" si="1"/>
        <v>東鐵田原:直納</v>
      </c>
      <c r="F4678" s="338" t="s">
        <v>151</v>
      </c>
      <c r="G4678" s="339" t="str">
        <f t="shared" si="2"/>
        <v>東鐵田原:直納シュレＣ</v>
      </c>
      <c r="H4678" s="340">
        <f t="shared" si="3"/>
        <v>49.5</v>
      </c>
      <c r="I4678" s="341">
        <v>1.0</v>
      </c>
      <c r="J4678" s="332">
        <f>IFERROR(__xludf.DUMMYFUNCTION("IF(IF(COUNTIF(P$2:P4677, P4678)=0, """", INDEX(H$2:H4677,
MAX(FILTER(ROW(H$2:H4677) - ROW(H$2) + 1, P$2:P4677 = P4678))))=""単価"","""",
IF(COUNTIF(P$2:P4677, P4678)=0, """", INDEX(H$2:H4677,
MAX(FILTER(ROW(H$2:H4677) - ROW(H$2) + 1, P$2:P4677 = P4678)))))"),48.5)</f>
        <v>48.5</v>
      </c>
      <c r="N4678" s="335" t="str">
        <f>IF(MAXIFS('単価履歴'!$O:$O,'単価履歴'!$E:$E,E4678,'単価履歴'!$F:$F,F4678)=O4678,"●","")</f>
        <v/>
      </c>
      <c r="O4678" s="346">
        <v>46100.81376157407</v>
      </c>
      <c r="P4678" s="334" t="str">
        <f t="shared" si="4"/>
        <v>東鐵田原:直納シュレＣ</v>
      </c>
    </row>
    <row r="4679" ht="15.75" customHeight="1">
      <c r="A4679" s="335" t="s">
        <v>5826</v>
      </c>
      <c r="B4679" s="336">
        <v>46101.0</v>
      </c>
      <c r="C4679" s="335" t="s">
        <v>536</v>
      </c>
      <c r="D4679" s="335" t="s">
        <v>77</v>
      </c>
      <c r="E4679" s="337" t="str">
        <f t="shared" si="1"/>
        <v>東鐵田原:直納</v>
      </c>
      <c r="F4679" s="338" t="s">
        <v>154</v>
      </c>
      <c r="G4679" s="339" t="str">
        <f t="shared" si="2"/>
        <v>東鐵田原:直納ＣＰ Ａ</v>
      </c>
      <c r="H4679" s="340">
        <f t="shared" si="3"/>
        <v>47.5</v>
      </c>
      <c r="I4679" s="341">
        <v>1.0</v>
      </c>
      <c r="J4679" s="332">
        <f>IFERROR(__xludf.DUMMYFUNCTION("IF(IF(COUNTIF(P$2:P4678, P4679)=0, """", INDEX(H$2:H4678,
MAX(FILTER(ROW(H$2:H4678) - ROW(H$2) + 1, P$2:P4678 = P4679))))=""単価"","""",
IF(COUNTIF(P$2:P4678, P4679)=0, """", INDEX(H$2:H4678,
MAX(FILTER(ROW(H$2:H4678) - ROW(H$2) + 1, P$2:P4678 = P4679)))))"),46.5)</f>
        <v>46.5</v>
      </c>
      <c r="N4679" s="335" t="str">
        <f>IF(MAXIFS('単価履歴'!$O:$O,'単価履歴'!$E:$E,E4679,'単価履歴'!$F:$F,F4679)=O4679,"●","")</f>
        <v/>
      </c>
      <c r="O4679" s="346">
        <v>46100.81376157407</v>
      </c>
      <c r="P4679" s="334" t="str">
        <f t="shared" si="4"/>
        <v>東鐵田原:直納ＣＰ Ａ</v>
      </c>
    </row>
    <row r="4680" ht="15.75" customHeight="1">
      <c r="A4680" s="335" t="s">
        <v>5827</v>
      </c>
      <c r="B4680" s="336">
        <v>46101.0</v>
      </c>
      <c r="C4680" s="335" t="s">
        <v>6</v>
      </c>
      <c r="D4680" s="335" t="s">
        <v>48</v>
      </c>
      <c r="E4680" s="337" t="str">
        <f t="shared" si="1"/>
        <v>中山鋼業:ナベ</v>
      </c>
      <c r="F4680" s="338" t="s">
        <v>111</v>
      </c>
      <c r="G4680" s="339" t="str">
        <f t="shared" si="2"/>
        <v>中山鋼業:ナベＨ１(特A)</v>
      </c>
      <c r="H4680" s="340">
        <f t="shared" si="3"/>
        <v>50.5</v>
      </c>
      <c r="I4680" s="341">
        <v>1.0</v>
      </c>
      <c r="J4680" s="332">
        <f>IFERROR(__xludf.DUMMYFUNCTION("IF(IF(COUNTIF(P$2:P4679, P4680)=0, """", INDEX(H$2:H4679,
MAX(FILTER(ROW(H$2:H4679) - ROW(H$2) + 1, P$2:P4679 = P4680))))=""単価"","""",
IF(COUNTIF(P$2:P4679, P4680)=0, """", INDEX(H$2:H4679,
MAX(FILTER(ROW(H$2:H4679) - ROW(H$2) + 1, P$2:P4679 = P4680)))))"),49.5)</f>
        <v>49.5</v>
      </c>
      <c r="N4680" s="335" t="str">
        <f>IF(MAXIFS('単価履歴'!$O:$O,'単価履歴'!$E:$E,E4680,'単価履歴'!$F:$F,F4680)=O4680,"●","")</f>
        <v/>
      </c>
      <c r="O4680" s="346">
        <v>46100.814050925925</v>
      </c>
      <c r="P4680" s="334" t="str">
        <f t="shared" si="4"/>
        <v>中山鋼業:ナベＨ１(特A)</v>
      </c>
    </row>
    <row r="4681" ht="15.75" customHeight="1">
      <c r="A4681" s="335" t="s">
        <v>5828</v>
      </c>
      <c r="B4681" s="336">
        <v>46101.0</v>
      </c>
      <c r="C4681" s="335" t="s">
        <v>6</v>
      </c>
      <c r="D4681" s="335" t="s">
        <v>48</v>
      </c>
      <c r="E4681" s="337" t="str">
        <f t="shared" si="1"/>
        <v>中山鋼業:ナベ</v>
      </c>
      <c r="F4681" s="338" t="s">
        <v>1237</v>
      </c>
      <c r="G4681" s="339" t="str">
        <f t="shared" si="2"/>
        <v>中山鋼業:ナベＪＨ１(H2T山口)鍛造ﾊﾞﾘ</v>
      </c>
      <c r="H4681" s="340">
        <f t="shared" si="3"/>
        <v>49.2</v>
      </c>
      <c r="I4681" s="341">
        <v>1.0</v>
      </c>
      <c r="J4681" s="332">
        <f>IFERROR(__xludf.DUMMYFUNCTION("IF(IF(COUNTIF(P$2:P4680, P4681)=0, """", INDEX(H$2:H4680,
MAX(FILTER(ROW(H$2:H4680) - ROW(H$2) + 1, P$2:P4680 = P4681))))=""単価"","""",
IF(COUNTIF(P$2:P4680, P4681)=0, """", INDEX(H$2:H4680,
MAX(FILTER(ROW(H$2:H4680) - ROW(H$2) + 1, P$2:P4680 = P4681)))))"),48.2)</f>
        <v>48.2</v>
      </c>
      <c r="N4681" s="335" t="str">
        <f>IF(MAXIFS('単価履歴'!$O:$O,'単価履歴'!$E:$E,E4681,'単価履歴'!$F:$F,F4681)=O4681,"●","")</f>
        <v/>
      </c>
      <c r="O4681" s="346">
        <v>46100.814050925925</v>
      </c>
      <c r="P4681" s="334" t="str">
        <f t="shared" si="4"/>
        <v>中山鋼業:ナベＪＨ１(H2T山口)鍛造ﾊﾞﾘ</v>
      </c>
    </row>
    <row r="4682" ht="15.75" customHeight="1">
      <c r="A4682" s="335" t="s">
        <v>5829</v>
      </c>
      <c r="B4682" s="336">
        <v>46101.0</v>
      </c>
      <c r="C4682" s="335" t="s">
        <v>6</v>
      </c>
      <c r="D4682" s="335" t="s">
        <v>48</v>
      </c>
      <c r="E4682" s="337" t="str">
        <f t="shared" si="1"/>
        <v>中山鋼業:ナベ</v>
      </c>
      <c r="F4682" s="338" t="s">
        <v>116</v>
      </c>
      <c r="G4682" s="339" t="str">
        <f t="shared" si="2"/>
        <v>中山鋼業:ナベＨ２(特級)</v>
      </c>
      <c r="H4682" s="340">
        <f t="shared" si="3"/>
        <v>48.5</v>
      </c>
      <c r="I4682" s="341">
        <v>1.0</v>
      </c>
      <c r="J4682" s="332">
        <f>IFERROR(__xludf.DUMMYFUNCTION("IF(IF(COUNTIF(P$2:P4681, P4682)=0, """", INDEX(H$2:H4681,
MAX(FILTER(ROW(H$2:H4681) - ROW(H$2) + 1, P$2:P4681 = P4682))))=""単価"","""",
IF(COUNTIF(P$2:P4681, P4682)=0, """", INDEX(H$2:H4681,
MAX(FILTER(ROW(H$2:H4681) - ROW(H$2) + 1, P$2:P4681 = P4682)))))"),47.5)</f>
        <v>47.5</v>
      </c>
      <c r="N4682" s="335" t="str">
        <f>IF(MAXIFS('単価履歴'!$O:$O,'単価履歴'!$E:$E,E4682,'単価履歴'!$F:$F,F4682)=O4682,"●","")</f>
        <v/>
      </c>
      <c r="O4682" s="346">
        <v>46100.814050925925</v>
      </c>
      <c r="P4682" s="334" t="str">
        <f t="shared" si="4"/>
        <v>中山鋼業:ナベＨ２(特級)</v>
      </c>
    </row>
    <row r="4683" ht="15.75" customHeight="1">
      <c r="A4683" s="335" t="s">
        <v>5830</v>
      </c>
      <c r="B4683" s="336">
        <v>46101.0</v>
      </c>
      <c r="C4683" s="335" t="s">
        <v>6</v>
      </c>
      <c r="D4683" s="335" t="s">
        <v>48</v>
      </c>
      <c r="E4683" s="337" t="str">
        <f t="shared" si="1"/>
        <v>中山鋼業:ナベ</v>
      </c>
      <c r="F4683" s="338" t="s">
        <v>119</v>
      </c>
      <c r="G4683" s="339" t="str">
        <f t="shared" si="2"/>
        <v>中山鋼業:ナベＨ３(1級)</v>
      </c>
      <c r="H4683" s="340">
        <f t="shared" si="3"/>
        <v>47</v>
      </c>
      <c r="I4683" s="341">
        <v>1.0</v>
      </c>
      <c r="J4683" s="332">
        <f>IFERROR(__xludf.DUMMYFUNCTION("IF(IF(COUNTIF(P$2:P4682, P4683)=0, """", INDEX(H$2:H4682,
MAX(FILTER(ROW(H$2:H4682) - ROW(H$2) + 1, P$2:P4682 = P4683))))=""単価"","""",
IF(COUNTIF(P$2:P4682, P4683)=0, """", INDEX(H$2:H4682,
MAX(FILTER(ROW(H$2:H4682) - ROW(H$2) + 1, P$2:P4682 = P4683)))))"),46.0)</f>
        <v>46</v>
      </c>
      <c r="N4683" s="335" t="str">
        <f>IF(MAXIFS('単価履歴'!$O:$O,'単価履歴'!$E:$E,E4683,'単価履歴'!$F:$F,F4683)=O4683,"●","")</f>
        <v/>
      </c>
      <c r="O4683" s="346">
        <v>46100.814050925925</v>
      </c>
      <c r="P4683" s="334" t="str">
        <f t="shared" si="4"/>
        <v>中山鋼業:ナベＨ３(1級)</v>
      </c>
    </row>
    <row r="4684" ht="15.75" customHeight="1">
      <c r="A4684" s="335" t="s">
        <v>5831</v>
      </c>
      <c r="B4684" s="336">
        <v>46101.0</v>
      </c>
      <c r="C4684" s="335" t="s">
        <v>6</v>
      </c>
      <c r="D4684" s="335" t="s">
        <v>48</v>
      </c>
      <c r="E4684" s="337" t="str">
        <f t="shared" si="1"/>
        <v>中山鋼業:ナベ</v>
      </c>
      <c r="F4684" s="338" t="s">
        <v>122</v>
      </c>
      <c r="G4684" s="339" t="str">
        <f t="shared" si="2"/>
        <v>中山鋼業:ナベＬ１(2級)</v>
      </c>
      <c r="H4684" s="340">
        <f t="shared" si="3"/>
        <v>46.5</v>
      </c>
      <c r="I4684" s="341">
        <v>1.0</v>
      </c>
      <c r="J4684" s="332">
        <f>IFERROR(__xludf.DUMMYFUNCTION("IF(IF(COUNTIF(P$2:P4683, P4684)=0, """", INDEX(H$2:H4683,
MAX(FILTER(ROW(H$2:H4683) - ROW(H$2) + 1, P$2:P4683 = P4684))))=""単価"","""",
IF(COUNTIF(P$2:P4683, P4684)=0, """", INDEX(H$2:H4683,
MAX(FILTER(ROW(H$2:H4683) - ROW(H$2) + 1, P$2:P4683 = P4684)))))"),45.5)</f>
        <v>45.5</v>
      </c>
      <c r="N4684" s="335" t="str">
        <f>IF(MAXIFS('単価履歴'!$O:$O,'単価履歴'!$E:$E,E4684,'単価履歴'!$F:$F,F4684)=O4684,"●","")</f>
        <v/>
      </c>
      <c r="O4684" s="346">
        <v>46100.814050925925</v>
      </c>
      <c r="P4684" s="334" t="str">
        <f t="shared" si="4"/>
        <v>中山鋼業:ナベＬ１(2級)</v>
      </c>
    </row>
    <row r="4685" ht="15.75" customHeight="1">
      <c r="A4685" s="335" t="s">
        <v>5832</v>
      </c>
      <c r="B4685" s="336">
        <v>46101.0</v>
      </c>
      <c r="C4685" s="335" t="s">
        <v>6</v>
      </c>
      <c r="D4685" s="335" t="s">
        <v>48</v>
      </c>
      <c r="E4685" s="337" t="str">
        <f t="shared" si="1"/>
        <v>中山鋼業:ナベ</v>
      </c>
      <c r="F4685" s="338" t="s">
        <v>573</v>
      </c>
      <c r="G4685" s="339" t="str">
        <f t="shared" si="2"/>
        <v>中山鋼業:ナベＬ２(H4･級外･L1ﾊﾞﾗ)</v>
      </c>
      <c r="H4685" s="340">
        <f t="shared" si="3"/>
        <v>43</v>
      </c>
      <c r="I4685" s="341">
        <v>1.0</v>
      </c>
      <c r="J4685" s="332">
        <f>IFERROR(__xludf.DUMMYFUNCTION("IF(IF(COUNTIF(P$2:P4684, P4685)=0, """", INDEX(H$2:H4684,
MAX(FILTER(ROW(H$2:H4684) - ROW(H$2) + 1, P$2:P4684 = P4685))))=""単価"","""",
IF(COUNTIF(P$2:P4684, P4685)=0, """", INDEX(H$2:H4684,
MAX(FILTER(ROW(H$2:H4684) - ROW(H$2) + 1, P$2:P4684 = P4685)))))"),42.0)</f>
        <v>42</v>
      </c>
      <c r="N4685" s="335" t="str">
        <f>IF(MAXIFS('単価履歴'!$O:$O,'単価履歴'!$E:$E,E4685,'単価履歴'!$F:$F,F4685)=O4685,"●","")</f>
        <v/>
      </c>
      <c r="O4685" s="346">
        <v>46100.814050925925</v>
      </c>
      <c r="P4685" s="334" t="str">
        <f t="shared" si="4"/>
        <v>中山鋼業:ナベＬ２(H4･級外･L1ﾊﾞﾗ)</v>
      </c>
    </row>
    <row r="4686" ht="15.75" customHeight="1">
      <c r="A4686" s="335" t="s">
        <v>5833</v>
      </c>
      <c r="B4686" s="336">
        <v>46101.0</v>
      </c>
      <c r="C4686" s="335" t="s">
        <v>6</v>
      </c>
      <c r="D4686" s="335" t="s">
        <v>48</v>
      </c>
      <c r="E4686" s="337" t="str">
        <f t="shared" si="1"/>
        <v>中山鋼業:ナベ</v>
      </c>
      <c r="F4686" s="338" t="s">
        <v>130</v>
      </c>
      <c r="G4686" s="339" t="str">
        <f t="shared" si="2"/>
        <v>中山鋼業:ナベ新断Ａ</v>
      </c>
      <c r="H4686" s="340">
        <f t="shared" si="3"/>
        <v>6.5</v>
      </c>
      <c r="I4686" s="341">
        <v>1.0</v>
      </c>
      <c r="J4686" s="332">
        <f>IFERROR(__xludf.DUMMYFUNCTION("IF(IF(COUNTIF(P$2:P4685, P4686)=0, """", INDEX(H$2:H4685,
MAX(FILTER(ROW(H$2:H4685) - ROW(H$2) + 1, P$2:P4685 = P4686))))=""単価"","""",
IF(COUNTIF(P$2:P4685, P4686)=0, """", INDEX(H$2:H4685,
MAX(FILTER(ROW(H$2:H4685) - ROW(H$2) + 1, P$2:P4685 = P4686)))))"),5.5)</f>
        <v>5.5</v>
      </c>
      <c r="N4686" s="335" t="str">
        <f>IF(MAXIFS('単価履歴'!$O:$O,'単価履歴'!$E:$E,E4686,'単価履歴'!$F:$F,F4686)=O4686,"●","")</f>
        <v/>
      </c>
      <c r="O4686" s="346">
        <v>46100.814050925925</v>
      </c>
      <c r="P4686" s="334" t="str">
        <f t="shared" si="4"/>
        <v>中山鋼業:ナベ新断Ａ</v>
      </c>
    </row>
    <row r="4687" ht="15.75" customHeight="1">
      <c r="A4687" s="335" t="s">
        <v>5834</v>
      </c>
      <c r="B4687" s="336">
        <v>46101.0</v>
      </c>
      <c r="C4687" s="335" t="s">
        <v>6</v>
      </c>
      <c r="D4687" s="335" t="s">
        <v>48</v>
      </c>
      <c r="E4687" s="337" t="str">
        <f t="shared" si="1"/>
        <v>中山鋼業:ナベ</v>
      </c>
      <c r="F4687" s="338" t="s">
        <v>575</v>
      </c>
      <c r="G4687" s="339" t="str">
        <f t="shared" si="2"/>
        <v>中山鋼業:ナベ鋼ダライＡ</v>
      </c>
      <c r="H4687" s="340">
        <f t="shared" si="3"/>
        <v>39.7</v>
      </c>
      <c r="I4687" s="341">
        <v>1.0</v>
      </c>
      <c r="J4687" s="332">
        <f>IFERROR(__xludf.DUMMYFUNCTION("IF(IF(COUNTIF(P$2:P4686, P4687)=0, """", INDEX(H$2:H4686,
MAX(FILTER(ROW(H$2:H4686) - ROW(H$2) + 1, P$2:P4686 = P4687))))=""単価"","""",
IF(COUNTIF(P$2:P4686, P4687)=0, """", INDEX(H$2:H4686,
MAX(FILTER(ROW(H$2:H4686) - ROW(H$2) + 1, P$2:P4686 = P4687)))))"),38.7)</f>
        <v>38.7</v>
      </c>
      <c r="N4687" s="335" t="str">
        <f>IF(MAXIFS('単価履歴'!$O:$O,'単価履歴'!$E:$E,E4687,'単価履歴'!$F:$F,F4687)=O4687,"●","")</f>
        <v/>
      </c>
      <c r="O4687" s="346">
        <v>46100.814050925925</v>
      </c>
      <c r="P4687" s="334" t="str">
        <f t="shared" si="4"/>
        <v>中山鋼業:ナベ鋼ダライＡ</v>
      </c>
    </row>
    <row r="4688" ht="15.75" customHeight="1">
      <c r="A4688" s="335" t="s">
        <v>5835</v>
      </c>
      <c r="B4688" s="336">
        <v>46101.0</v>
      </c>
      <c r="C4688" s="335" t="s">
        <v>7</v>
      </c>
      <c r="D4688" s="335" t="s">
        <v>49</v>
      </c>
      <c r="E4688" s="337" t="str">
        <f t="shared" si="1"/>
        <v>合同大阪:伊藤忠</v>
      </c>
      <c r="F4688" s="338" t="s">
        <v>1199</v>
      </c>
      <c r="G4688" s="339" t="str">
        <f t="shared" si="2"/>
        <v>合同大阪:伊藤忠ＨＳ１(単体H1/電特A/HS))</v>
      </c>
      <c r="H4688" s="340">
        <f t="shared" si="3"/>
        <v>51.8</v>
      </c>
      <c r="I4688" s="341">
        <v>1.0</v>
      </c>
      <c r="J4688" s="332">
        <f>IFERROR(__xludf.DUMMYFUNCTION("IF(IF(COUNTIF(P$2:P4687, P4688)=0, """", INDEX(H$2:H4687,
MAX(FILTER(ROW(H$2:H4687) - ROW(H$2) + 1, P$2:P4687 = P4688))))=""単価"","""",
IF(COUNTIF(P$2:P4687, P4688)=0, """", INDEX(H$2:H4687,
MAX(FILTER(ROW(H$2:H4687) - ROW(H$2) + 1, P$2:P4687 = P4688)))))"),50.8)</f>
        <v>50.8</v>
      </c>
      <c r="N4688" s="335" t="str">
        <f>IF(MAXIFS('単価履歴'!$O:$O,'単価履歴'!$E:$E,E4688,'単価履歴'!$F:$F,F4688)=O4688,"●","")</f>
        <v/>
      </c>
      <c r="O4688" s="346">
        <v>46100.814293981486</v>
      </c>
      <c r="P4688" s="334" t="str">
        <f t="shared" si="4"/>
        <v>合同大阪:伊藤忠ＨＳ１(単体H1/電特A/HS))</v>
      </c>
    </row>
    <row r="4689" ht="15.75" customHeight="1">
      <c r="A4689" s="335" t="s">
        <v>5836</v>
      </c>
      <c r="B4689" s="336">
        <v>46101.0</v>
      </c>
      <c r="C4689" s="335" t="s">
        <v>7</v>
      </c>
      <c r="D4689" s="335" t="s">
        <v>49</v>
      </c>
      <c r="E4689" s="337" t="str">
        <f t="shared" si="1"/>
        <v>合同大阪:伊藤忠</v>
      </c>
      <c r="F4689" s="338" t="s">
        <v>101</v>
      </c>
      <c r="G4689" s="339" t="str">
        <f t="shared" si="2"/>
        <v>合同大阪:伊藤忠ＨＳ２</v>
      </c>
      <c r="H4689" s="340">
        <f t="shared" si="3"/>
        <v>51.3</v>
      </c>
      <c r="I4689" s="341">
        <v>1.0</v>
      </c>
      <c r="J4689" s="332">
        <f>IFERROR(__xludf.DUMMYFUNCTION("IF(IF(COUNTIF(P$2:P4688, P4689)=0, """", INDEX(H$2:H4688,
MAX(FILTER(ROW(H$2:H4688) - ROW(H$2) + 1, P$2:P4688 = P4689))))=""単価"","""",
IF(COUNTIF(P$2:P4688, P4689)=0, """", INDEX(H$2:H4688,
MAX(FILTER(ROW(H$2:H4688) - ROW(H$2) + 1, P$2:P4688 = P4689)))))"),50.3)</f>
        <v>50.3</v>
      </c>
      <c r="N4689" s="335" t="str">
        <f>IF(MAXIFS('単価履歴'!$O:$O,'単価履歴'!$E:$E,E4689,'単価履歴'!$F:$F,F4689)=O4689,"●","")</f>
        <v/>
      </c>
      <c r="O4689" s="346">
        <v>46100.814293981486</v>
      </c>
      <c r="P4689" s="334" t="str">
        <f t="shared" si="4"/>
        <v>合同大阪:伊藤忠ＨＳ２</v>
      </c>
    </row>
    <row r="4690" ht="15.75" customHeight="1">
      <c r="A4690" s="335" t="s">
        <v>5837</v>
      </c>
      <c r="B4690" s="336">
        <v>46101.0</v>
      </c>
      <c r="C4690" s="335" t="s">
        <v>7</v>
      </c>
      <c r="D4690" s="335" t="s">
        <v>49</v>
      </c>
      <c r="E4690" s="337" t="str">
        <f t="shared" si="1"/>
        <v>合同大阪:伊藤忠</v>
      </c>
      <c r="F4690" s="338" t="s">
        <v>111</v>
      </c>
      <c r="G4690" s="339" t="str">
        <f t="shared" si="2"/>
        <v>合同大阪:伊藤忠Ｈ１(特A)</v>
      </c>
      <c r="H4690" s="340">
        <f t="shared" si="3"/>
        <v>52.3</v>
      </c>
      <c r="I4690" s="341">
        <v>1.0</v>
      </c>
      <c r="J4690" s="332">
        <f>IFERROR(__xludf.DUMMYFUNCTION("IF(IF(COUNTIF(P$2:P4689, P4690)=0, """", INDEX(H$2:H4689,
MAX(FILTER(ROW(H$2:H4689) - ROW(H$2) + 1, P$2:P4689 = P4690))))=""単価"","""",
IF(COUNTIF(P$2:P4689, P4690)=0, """", INDEX(H$2:H4689,
MAX(FILTER(ROW(H$2:H4689) - ROW(H$2) + 1, P$2:P4689 = P4690)))))"),51.3)</f>
        <v>51.3</v>
      </c>
      <c r="N4690" s="335" t="str">
        <f>IF(MAXIFS('単価履歴'!$O:$O,'単価履歴'!$E:$E,E4690,'単価履歴'!$F:$F,F4690)=O4690,"●","")</f>
        <v/>
      </c>
      <c r="O4690" s="346">
        <v>46100.814293981486</v>
      </c>
      <c r="P4690" s="334" t="str">
        <f t="shared" si="4"/>
        <v>合同大阪:伊藤忠Ｈ１(特A)</v>
      </c>
    </row>
    <row r="4691" ht="15.75" customHeight="1">
      <c r="A4691" s="335" t="s">
        <v>5838</v>
      </c>
      <c r="B4691" s="336">
        <v>46101.0</v>
      </c>
      <c r="C4691" s="335" t="s">
        <v>7</v>
      </c>
      <c r="D4691" s="335" t="s">
        <v>49</v>
      </c>
      <c r="E4691" s="337" t="str">
        <f t="shared" si="1"/>
        <v>合同大阪:伊藤忠</v>
      </c>
      <c r="F4691" s="338" t="s">
        <v>116</v>
      </c>
      <c r="G4691" s="339" t="str">
        <f t="shared" si="2"/>
        <v>合同大阪:伊藤忠Ｈ２(特級)</v>
      </c>
      <c r="H4691" s="340">
        <f t="shared" si="3"/>
        <v>50.3</v>
      </c>
      <c r="I4691" s="341">
        <v>1.0</v>
      </c>
      <c r="J4691" s="332">
        <f>IFERROR(__xludf.DUMMYFUNCTION("IF(IF(COUNTIF(P$2:P4690, P4691)=0, """", INDEX(H$2:H4690,
MAX(FILTER(ROW(H$2:H4690) - ROW(H$2) + 1, P$2:P4690 = P4691))))=""単価"","""",
IF(COUNTIF(P$2:P4690, P4691)=0, """", INDEX(H$2:H4690,
MAX(FILTER(ROW(H$2:H4690) - ROW(H$2) + 1, P$2:P4690 = P4691)))))"),49.3)</f>
        <v>49.3</v>
      </c>
      <c r="N4691" s="335" t="str">
        <f>IF(MAXIFS('単価履歴'!$O:$O,'単価履歴'!$E:$E,E4691,'単価履歴'!$F:$F,F4691)=O4691,"●","")</f>
        <v/>
      </c>
      <c r="O4691" s="346">
        <v>46100.814293981486</v>
      </c>
      <c r="P4691" s="334" t="str">
        <f t="shared" si="4"/>
        <v>合同大阪:伊藤忠Ｈ２(特級)</v>
      </c>
    </row>
    <row r="4692" ht="15.75" customHeight="1">
      <c r="A4692" s="335" t="s">
        <v>5839</v>
      </c>
      <c r="B4692" s="336">
        <v>46101.0</v>
      </c>
      <c r="C4692" s="335" t="s">
        <v>7</v>
      </c>
      <c r="D4692" s="335" t="s">
        <v>49</v>
      </c>
      <c r="E4692" s="337" t="str">
        <f t="shared" si="1"/>
        <v>合同大阪:伊藤忠</v>
      </c>
      <c r="F4692" s="338" t="s">
        <v>119</v>
      </c>
      <c r="G4692" s="339" t="str">
        <f t="shared" si="2"/>
        <v>合同大阪:伊藤忠Ｈ３(1級)</v>
      </c>
      <c r="H4692" s="340">
        <f t="shared" si="3"/>
        <v>49.8</v>
      </c>
      <c r="I4692" s="341">
        <v>1.0</v>
      </c>
      <c r="J4692" s="332">
        <f>IFERROR(__xludf.DUMMYFUNCTION("IF(IF(COUNTIF(P$2:P4691, P4692)=0, """", INDEX(H$2:H4691,
MAX(FILTER(ROW(H$2:H4691) - ROW(H$2) + 1, P$2:P4691 = P4692))))=""単価"","""",
IF(COUNTIF(P$2:P4691, P4692)=0, """", INDEX(H$2:H4691,
MAX(FILTER(ROW(H$2:H4691) - ROW(H$2) + 1, P$2:P4691 = P4692)))))"),48.8)</f>
        <v>48.8</v>
      </c>
      <c r="N4692" s="335" t="str">
        <f>IF(MAXIFS('単価履歴'!$O:$O,'単価履歴'!$E:$E,E4692,'単価履歴'!$F:$F,F4692)=O4692,"●","")</f>
        <v/>
      </c>
      <c r="O4692" s="346">
        <v>46100.814293981486</v>
      </c>
      <c r="P4692" s="334" t="str">
        <f t="shared" si="4"/>
        <v>合同大阪:伊藤忠Ｈ３(1級)</v>
      </c>
    </row>
    <row r="4693" ht="15.75" customHeight="1">
      <c r="A4693" s="335" t="s">
        <v>5840</v>
      </c>
      <c r="B4693" s="336">
        <v>46101.0</v>
      </c>
      <c r="C4693" s="335" t="s">
        <v>7</v>
      </c>
      <c r="D4693" s="335" t="s">
        <v>49</v>
      </c>
      <c r="E4693" s="337" t="str">
        <f t="shared" si="1"/>
        <v>合同大阪:伊藤忠</v>
      </c>
      <c r="F4693" s="338" t="s">
        <v>122</v>
      </c>
      <c r="G4693" s="339" t="str">
        <f t="shared" si="2"/>
        <v>合同大阪:伊藤忠Ｌ１(2級)</v>
      </c>
      <c r="H4693" s="340">
        <f t="shared" si="3"/>
        <v>48.8</v>
      </c>
      <c r="I4693" s="341">
        <v>1.0</v>
      </c>
      <c r="J4693" s="332">
        <f>IFERROR(__xludf.DUMMYFUNCTION("IF(IF(COUNTIF(P$2:P4692, P4693)=0, """", INDEX(H$2:H4692,
MAX(FILTER(ROW(H$2:H4692) - ROW(H$2) + 1, P$2:P4692 = P4693))))=""単価"","""",
IF(COUNTIF(P$2:P4692, P4693)=0, """", INDEX(H$2:H4692,
MAX(FILTER(ROW(H$2:H4692) - ROW(H$2) + 1, P$2:P4692 = P4693)))))"),47.8)</f>
        <v>47.8</v>
      </c>
      <c r="N4693" s="335" t="str">
        <f>IF(MAXIFS('単価履歴'!$O:$O,'単価履歴'!$E:$E,E4693,'単価履歴'!$F:$F,F4693)=O4693,"●","")</f>
        <v/>
      </c>
      <c r="O4693" s="346">
        <v>46100.814293981486</v>
      </c>
      <c r="P4693" s="334" t="str">
        <f t="shared" si="4"/>
        <v>合同大阪:伊藤忠Ｌ１(2級)</v>
      </c>
    </row>
    <row r="4694" ht="15.75" customHeight="1">
      <c r="A4694" s="335" t="s">
        <v>5841</v>
      </c>
      <c r="B4694" s="336">
        <v>46101.0</v>
      </c>
      <c r="C4694" s="335" t="s">
        <v>7</v>
      </c>
      <c r="D4694" s="335" t="s">
        <v>49</v>
      </c>
      <c r="E4694" s="337" t="str">
        <f t="shared" si="1"/>
        <v>合同大阪:伊藤忠</v>
      </c>
      <c r="F4694" s="338" t="s">
        <v>130</v>
      </c>
      <c r="G4694" s="339" t="str">
        <f t="shared" si="2"/>
        <v>合同大阪:伊藤忠新断Ａ</v>
      </c>
      <c r="H4694" s="340">
        <f t="shared" si="3"/>
        <v>54.3</v>
      </c>
      <c r="I4694" s="341">
        <v>1.0</v>
      </c>
      <c r="J4694" s="332">
        <f>IFERROR(__xludf.DUMMYFUNCTION("IF(IF(COUNTIF(P$2:P4693, P4694)=0, """", INDEX(H$2:H4693,
MAX(FILTER(ROW(H$2:H4693) - ROW(H$2) + 1, P$2:P4693 = P4694))))=""単価"","""",
IF(COUNTIF(P$2:P4693, P4694)=0, """", INDEX(H$2:H4693,
MAX(FILTER(ROW(H$2:H4693) - ROW(H$2) + 1, P$2:P4693 = P4694)))))"),53.3)</f>
        <v>53.3</v>
      </c>
      <c r="N4694" s="335" t="str">
        <f>IF(MAXIFS('単価履歴'!$O:$O,'単価履歴'!$E:$E,E4694,'単価履歴'!$F:$F,F4694)=O4694,"●","")</f>
        <v/>
      </c>
      <c r="O4694" s="346">
        <v>46100.814293981486</v>
      </c>
      <c r="P4694" s="334" t="str">
        <f t="shared" si="4"/>
        <v>合同大阪:伊藤忠新断Ａ</v>
      </c>
    </row>
    <row r="4695" ht="15.75" customHeight="1">
      <c r="A4695" s="335" t="s">
        <v>5842</v>
      </c>
      <c r="B4695" s="336">
        <v>46101.0</v>
      </c>
      <c r="C4695" s="335" t="s">
        <v>7</v>
      </c>
      <c r="D4695" s="335" t="s">
        <v>49</v>
      </c>
      <c r="E4695" s="337" t="str">
        <f t="shared" si="1"/>
        <v>合同大阪:伊藤忠</v>
      </c>
      <c r="F4695" s="338" t="s">
        <v>131</v>
      </c>
      <c r="G4695" s="339" t="str">
        <f t="shared" si="2"/>
        <v>合同大阪:伊藤忠新断Ｂ</v>
      </c>
      <c r="H4695" s="340">
        <f t="shared" si="3"/>
        <v>53.8</v>
      </c>
      <c r="I4695" s="341">
        <v>1.0</v>
      </c>
      <c r="J4695" s="332">
        <f>IFERROR(__xludf.DUMMYFUNCTION("IF(IF(COUNTIF(P$2:P4694, P4695)=0, """", INDEX(H$2:H4694,
MAX(FILTER(ROW(H$2:H4694) - ROW(H$2) + 1, P$2:P4694 = P4695))))=""単価"","""",
IF(COUNTIF(P$2:P4694, P4695)=0, """", INDEX(H$2:H4694,
MAX(FILTER(ROW(H$2:H4694) - ROW(H$2) + 1, P$2:P4694 = P4695)))))"),52.8)</f>
        <v>52.8</v>
      </c>
      <c r="N4695" s="335" t="str">
        <f>IF(MAXIFS('単価履歴'!$O:$O,'単価履歴'!$E:$E,E4695,'単価履歴'!$F:$F,F4695)=O4695,"●","")</f>
        <v/>
      </c>
      <c r="O4695" s="346">
        <v>46100.814293981486</v>
      </c>
      <c r="P4695" s="334" t="str">
        <f t="shared" si="4"/>
        <v>合同大阪:伊藤忠新断Ｂ</v>
      </c>
    </row>
    <row r="4696" ht="15.75" customHeight="1">
      <c r="A4696" s="335" t="s">
        <v>5843</v>
      </c>
      <c r="B4696" s="336">
        <v>46101.0</v>
      </c>
      <c r="C4696" s="335" t="s">
        <v>7</v>
      </c>
      <c r="D4696" s="335" t="s">
        <v>49</v>
      </c>
      <c r="E4696" s="337" t="str">
        <f t="shared" si="1"/>
        <v>合同大阪:伊藤忠</v>
      </c>
      <c r="F4696" s="338" t="s">
        <v>575</v>
      </c>
      <c r="G4696" s="339" t="str">
        <f t="shared" si="2"/>
        <v>合同大阪:伊藤忠鋼ダライＡ</v>
      </c>
      <c r="H4696" s="340">
        <f t="shared" si="3"/>
        <v>40.3</v>
      </c>
      <c r="I4696" s="341">
        <v>1.0</v>
      </c>
      <c r="J4696" s="332">
        <f>IFERROR(__xludf.DUMMYFUNCTION("IF(IF(COUNTIF(P$2:P4695, P4696)=0, """", INDEX(H$2:H4695,
MAX(FILTER(ROW(H$2:H4695) - ROW(H$2) + 1, P$2:P4695 = P4696))))=""単価"","""",
IF(COUNTIF(P$2:P4695, P4696)=0, """", INDEX(H$2:H4695,
MAX(FILTER(ROW(H$2:H4695) - ROW(H$2) + 1, P$2:P4695 = P4696)))))"),39.3)</f>
        <v>39.3</v>
      </c>
      <c r="N4696" s="335" t="str">
        <f>IF(MAXIFS('単価履歴'!$O:$O,'単価履歴'!$E:$E,E4696,'単価履歴'!$F:$F,F4696)=O4696,"●","")</f>
        <v/>
      </c>
      <c r="O4696" s="346">
        <v>46100.814293981486</v>
      </c>
      <c r="P4696" s="334" t="str">
        <f t="shared" si="4"/>
        <v>合同大阪:伊藤忠鋼ダライＡ</v>
      </c>
    </row>
    <row r="4697" ht="15.75" customHeight="1">
      <c r="A4697" s="335" t="s">
        <v>5844</v>
      </c>
      <c r="B4697" s="336">
        <v>46101.0</v>
      </c>
      <c r="C4697" s="335" t="s">
        <v>7</v>
      </c>
      <c r="D4697" s="335" t="s">
        <v>49</v>
      </c>
      <c r="E4697" s="337" t="str">
        <f t="shared" si="1"/>
        <v>合同大阪:伊藤忠</v>
      </c>
      <c r="F4697" s="338" t="s">
        <v>576</v>
      </c>
      <c r="G4697" s="339" t="str">
        <f t="shared" si="2"/>
        <v>合同大阪:伊藤忠鋼ダライＢ</v>
      </c>
      <c r="H4697" s="340">
        <f t="shared" si="3"/>
        <v>39.8</v>
      </c>
      <c r="I4697" s="341">
        <v>1.0</v>
      </c>
      <c r="J4697" s="332">
        <f>IFERROR(__xludf.DUMMYFUNCTION("IF(IF(COUNTIF(P$2:P4696, P4697)=0, """", INDEX(H$2:H4696,
MAX(FILTER(ROW(H$2:H4696) - ROW(H$2) + 1, P$2:P4696 = P4697))))=""単価"","""",
IF(COUNTIF(P$2:P4696, P4697)=0, """", INDEX(H$2:H4696,
MAX(FILTER(ROW(H$2:H4696) - ROW(H$2) + 1, P$2:P4696 = P4697)))))"),38.8)</f>
        <v>38.8</v>
      </c>
      <c r="N4697" s="335" t="str">
        <f>IF(MAXIFS('単価履歴'!$O:$O,'単価履歴'!$E:$E,E4697,'単価履歴'!$F:$F,F4697)=O4697,"●","")</f>
        <v/>
      </c>
      <c r="O4697" s="346">
        <v>46100.814293981486</v>
      </c>
      <c r="P4697" s="334" t="str">
        <f t="shared" si="4"/>
        <v>合同大阪:伊藤忠鋼ダライＢ</v>
      </c>
    </row>
    <row r="4698" ht="15.75" customHeight="1">
      <c r="A4698" s="335" t="s">
        <v>5845</v>
      </c>
      <c r="B4698" s="336">
        <v>46101.0</v>
      </c>
      <c r="C4698" s="335" t="s">
        <v>9</v>
      </c>
      <c r="D4698" s="335" t="s">
        <v>51</v>
      </c>
      <c r="E4698" s="337" t="str">
        <f t="shared" si="1"/>
        <v>大鉄　堺:大鉄堺</v>
      </c>
      <c r="F4698" s="338" t="s">
        <v>111</v>
      </c>
      <c r="G4698" s="339" t="str">
        <f t="shared" si="2"/>
        <v>大鉄　堺:大鉄堺Ｈ１(特A)</v>
      </c>
      <c r="H4698" s="340">
        <f t="shared" si="3"/>
        <v>50.5</v>
      </c>
      <c r="I4698" s="341">
        <v>1.0</v>
      </c>
      <c r="J4698" s="332">
        <f>IFERROR(__xludf.DUMMYFUNCTION("IF(IF(COUNTIF(P$2:P4697, P4698)=0, """", INDEX(H$2:H4697,
MAX(FILTER(ROW(H$2:H4697) - ROW(H$2) + 1, P$2:P4697 = P4698))))=""単価"","""",
IF(COUNTIF(P$2:P4697, P4698)=0, """", INDEX(H$2:H4697,
MAX(FILTER(ROW(H$2:H4697) - ROW(H$2) + 1, P$2:P4697 = P4698)))))"),49.5)</f>
        <v>49.5</v>
      </c>
      <c r="N4698" s="335" t="str">
        <f>IF(MAXIFS('単価履歴'!$O:$O,'単価履歴'!$E:$E,E4698,'単価履歴'!$F:$F,F4698)=O4698,"●","")</f>
        <v/>
      </c>
      <c r="O4698" s="346">
        <v>46100.81472222222</v>
      </c>
      <c r="P4698" s="334" t="str">
        <f t="shared" si="4"/>
        <v>大鉄　堺:大鉄堺Ｈ１(特A)</v>
      </c>
    </row>
    <row r="4699" ht="15.75" customHeight="1">
      <c r="A4699" s="335" t="s">
        <v>5846</v>
      </c>
      <c r="B4699" s="336">
        <v>46101.0</v>
      </c>
      <c r="C4699" s="335" t="s">
        <v>9</v>
      </c>
      <c r="D4699" s="335" t="s">
        <v>51</v>
      </c>
      <c r="E4699" s="337" t="str">
        <f t="shared" si="1"/>
        <v>大鉄　堺:大鉄堺</v>
      </c>
      <c r="F4699" s="338" t="s">
        <v>116</v>
      </c>
      <c r="G4699" s="339" t="str">
        <f t="shared" si="2"/>
        <v>大鉄　堺:大鉄堺Ｈ２(特級)</v>
      </c>
      <c r="H4699" s="340">
        <f t="shared" si="3"/>
        <v>47.5</v>
      </c>
      <c r="I4699" s="341">
        <v>1.0</v>
      </c>
      <c r="J4699" s="332">
        <f>IFERROR(__xludf.DUMMYFUNCTION("IF(IF(COUNTIF(P$2:P4698, P4699)=0, """", INDEX(H$2:H4698,
MAX(FILTER(ROW(H$2:H4698) - ROW(H$2) + 1, P$2:P4698 = P4699))))=""単価"","""",
IF(COUNTIF(P$2:P4698, P4699)=0, """", INDEX(H$2:H4698,
MAX(FILTER(ROW(H$2:H4698) - ROW(H$2) + 1, P$2:P4698 = P4699)))))"),46.5)</f>
        <v>46.5</v>
      </c>
      <c r="N4699" s="335" t="str">
        <f>IF(MAXIFS('単価履歴'!$O:$O,'単価履歴'!$E:$E,E4699,'単価履歴'!$F:$F,F4699)=O4699,"●","")</f>
        <v/>
      </c>
      <c r="O4699" s="346">
        <v>46100.81472222222</v>
      </c>
      <c r="P4699" s="334" t="str">
        <f t="shared" si="4"/>
        <v>大鉄　堺:大鉄堺Ｈ２(特級)</v>
      </c>
    </row>
    <row r="4700" ht="15.75" customHeight="1">
      <c r="A4700" s="335" t="s">
        <v>5847</v>
      </c>
      <c r="B4700" s="336">
        <v>46101.0</v>
      </c>
      <c r="C4700" s="335" t="s">
        <v>9</v>
      </c>
      <c r="D4700" s="335" t="s">
        <v>51</v>
      </c>
      <c r="E4700" s="337" t="str">
        <f t="shared" si="1"/>
        <v>大鉄　堺:大鉄堺</v>
      </c>
      <c r="F4700" s="338" t="s">
        <v>1237</v>
      </c>
      <c r="G4700" s="339" t="str">
        <f t="shared" si="2"/>
        <v>大鉄　堺:大鉄堺ＪＨ１(H2T山口)鍛造ﾊﾞﾘ</v>
      </c>
      <c r="H4700" s="340">
        <f t="shared" si="3"/>
        <v>49.5</v>
      </c>
      <c r="I4700" s="341">
        <v>1.0</v>
      </c>
      <c r="J4700" s="332">
        <f>IFERROR(__xludf.DUMMYFUNCTION("IF(IF(COUNTIF(P$2:P4699, P4700)=0, """", INDEX(H$2:H4699,
MAX(FILTER(ROW(H$2:H4699) - ROW(H$2) + 1, P$2:P4699 = P4700))))=""単価"","""",
IF(COUNTIF(P$2:P4699, P4700)=0, """", INDEX(H$2:H4699,
MAX(FILTER(ROW(H$2:H4699) - ROW(H$2) + 1, P$2:P4699 = P4700)))))"),48.5)</f>
        <v>48.5</v>
      </c>
      <c r="N4700" s="335" t="str">
        <f>IF(MAXIFS('単価履歴'!$O:$O,'単価履歴'!$E:$E,E4700,'単価履歴'!$F:$F,F4700)=O4700,"●","")</f>
        <v/>
      </c>
      <c r="O4700" s="346">
        <v>46100.81472222222</v>
      </c>
      <c r="P4700" s="334" t="str">
        <f t="shared" si="4"/>
        <v>大鉄　堺:大鉄堺ＪＨ１(H2T山口)鍛造ﾊﾞﾘ</v>
      </c>
    </row>
    <row r="4701" ht="15.75" customHeight="1">
      <c r="A4701" s="335" t="s">
        <v>5848</v>
      </c>
      <c r="B4701" s="336">
        <v>46101.0</v>
      </c>
      <c r="C4701" s="335" t="s">
        <v>9</v>
      </c>
      <c r="D4701" s="335" t="s">
        <v>51</v>
      </c>
      <c r="E4701" s="337" t="str">
        <f t="shared" si="1"/>
        <v>大鉄　堺:大鉄堺</v>
      </c>
      <c r="F4701" s="338" t="s">
        <v>119</v>
      </c>
      <c r="G4701" s="339" t="str">
        <f t="shared" si="2"/>
        <v>大鉄　堺:大鉄堺Ｈ３(1級)</v>
      </c>
      <c r="H4701" s="340">
        <f t="shared" si="3"/>
        <v>47</v>
      </c>
      <c r="I4701" s="341">
        <v>1.0</v>
      </c>
      <c r="J4701" s="332">
        <f>IFERROR(__xludf.DUMMYFUNCTION("IF(IF(COUNTIF(P$2:P4700, P4701)=0, """", INDEX(H$2:H4700,
MAX(FILTER(ROW(H$2:H4700) - ROW(H$2) + 1, P$2:P4700 = P4701))))=""単価"","""",
IF(COUNTIF(P$2:P4700, P4701)=0, """", INDEX(H$2:H4700,
MAX(FILTER(ROW(H$2:H4700) - ROW(H$2) + 1, P$2:P4700 = P4701)))))"),46.0)</f>
        <v>46</v>
      </c>
      <c r="N4701" s="335" t="str">
        <f>IF(MAXIFS('単価履歴'!$O:$O,'単価履歴'!$E:$E,E4701,'単価履歴'!$F:$F,F4701)=O4701,"●","")</f>
        <v/>
      </c>
      <c r="O4701" s="346">
        <v>46100.81472222222</v>
      </c>
      <c r="P4701" s="334" t="str">
        <f t="shared" si="4"/>
        <v>大鉄　堺:大鉄堺Ｈ３(1級)</v>
      </c>
    </row>
    <row r="4702" ht="15.75" customHeight="1">
      <c r="A4702" s="335" t="s">
        <v>5849</v>
      </c>
      <c r="B4702" s="336">
        <v>46101.0</v>
      </c>
      <c r="C4702" s="335" t="s">
        <v>9</v>
      </c>
      <c r="D4702" s="335" t="s">
        <v>51</v>
      </c>
      <c r="E4702" s="337" t="str">
        <f t="shared" si="1"/>
        <v>大鉄　堺:大鉄堺</v>
      </c>
      <c r="F4702" s="338" t="s">
        <v>122</v>
      </c>
      <c r="G4702" s="339" t="str">
        <f t="shared" si="2"/>
        <v>大鉄　堺:大鉄堺Ｌ１(2級)</v>
      </c>
      <c r="H4702" s="340">
        <f t="shared" si="3"/>
        <v>46.5</v>
      </c>
      <c r="I4702" s="341">
        <v>1.0</v>
      </c>
      <c r="J4702" s="332">
        <f>IFERROR(__xludf.DUMMYFUNCTION("IF(IF(COUNTIF(P$2:P4701, P4702)=0, """", INDEX(H$2:H4701,
MAX(FILTER(ROW(H$2:H4701) - ROW(H$2) + 1, P$2:P4701 = P4702))))=""単価"","""",
IF(COUNTIF(P$2:P4701, P4702)=0, """", INDEX(H$2:H4701,
MAX(FILTER(ROW(H$2:H4701) - ROW(H$2) + 1, P$2:P4701 = P4702)))))"),45.5)</f>
        <v>45.5</v>
      </c>
      <c r="N4702" s="335" t="str">
        <f>IF(MAXIFS('単価履歴'!$O:$O,'単価履歴'!$E:$E,E4702,'単価履歴'!$F:$F,F4702)=O4702,"●","")</f>
        <v/>
      </c>
      <c r="O4702" s="346">
        <v>46100.81472222222</v>
      </c>
      <c r="P4702" s="334" t="str">
        <f t="shared" si="4"/>
        <v>大鉄　堺:大鉄堺Ｌ１(2級)</v>
      </c>
    </row>
    <row r="4703" ht="15.75" customHeight="1">
      <c r="A4703" s="335" t="s">
        <v>5850</v>
      </c>
      <c r="B4703" s="336">
        <v>46101.0</v>
      </c>
      <c r="C4703" s="335" t="s">
        <v>9</v>
      </c>
      <c r="D4703" s="335" t="s">
        <v>51</v>
      </c>
      <c r="E4703" s="337" t="str">
        <f t="shared" si="1"/>
        <v>大鉄　堺:大鉄堺</v>
      </c>
      <c r="F4703" s="338" t="s">
        <v>130</v>
      </c>
      <c r="G4703" s="339" t="str">
        <f t="shared" si="2"/>
        <v>大鉄　堺:大鉄堺新断Ａ</v>
      </c>
      <c r="H4703" s="340">
        <f t="shared" si="3"/>
        <v>34</v>
      </c>
      <c r="I4703" s="341">
        <v>1.0</v>
      </c>
      <c r="J4703" s="332">
        <f>IFERROR(__xludf.DUMMYFUNCTION("IF(IF(COUNTIF(P$2:P4702, P4703)=0, """", INDEX(H$2:H4702,
MAX(FILTER(ROW(H$2:H4702) - ROW(H$2) + 1, P$2:P4702 = P4703))))=""単価"","""",
IF(COUNTIF(P$2:P4702, P4703)=0, """", INDEX(H$2:H4702,
MAX(FILTER(ROW(H$2:H4702) - ROW(H$2) + 1, P$2:P4702 = P4703)))))"),33.0)</f>
        <v>33</v>
      </c>
      <c r="N4703" s="335" t="str">
        <f>IF(MAXIFS('単価履歴'!$O:$O,'単価履歴'!$E:$E,E4703,'単価履歴'!$F:$F,F4703)=O4703,"●","")</f>
        <v/>
      </c>
      <c r="O4703" s="346">
        <v>46100.81472222222</v>
      </c>
      <c r="P4703" s="334" t="str">
        <f t="shared" si="4"/>
        <v>大鉄　堺:大鉄堺新断Ａ</v>
      </c>
    </row>
    <row r="4704" ht="15.75" customHeight="1">
      <c r="A4704" s="335" t="s">
        <v>5851</v>
      </c>
      <c r="B4704" s="336">
        <v>46101.0</v>
      </c>
      <c r="C4704" s="335" t="s">
        <v>9</v>
      </c>
      <c r="D4704" s="335" t="s">
        <v>51</v>
      </c>
      <c r="E4704" s="337" t="str">
        <f t="shared" si="1"/>
        <v>大鉄　堺:大鉄堺</v>
      </c>
      <c r="F4704" s="338" t="s">
        <v>131</v>
      </c>
      <c r="G4704" s="339" t="str">
        <f t="shared" si="2"/>
        <v>大鉄　堺:大鉄堺新断Ｂ</v>
      </c>
      <c r="H4704" s="340">
        <f t="shared" si="3"/>
        <v>33.5</v>
      </c>
      <c r="I4704" s="341">
        <v>1.0</v>
      </c>
      <c r="J4704" s="332">
        <f>IFERROR(__xludf.DUMMYFUNCTION("IF(IF(COUNTIF(P$2:P4703, P4704)=0, """", INDEX(H$2:H4703,
MAX(FILTER(ROW(H$2:H4703) - ROW(H$2) + 1, P$2:P4703 = P4704))))=""単価"","""",
IF(COUNTIF(P$2:P4703, P4704)=0, """", INDEX(H$2:H4703,
MAX(FILTER(ROW(H$2:H4703) - ROW(H$2) + 1, P$2:P4703 = P4704)))))"),32.5)</f>
        <v>32.5</v>
      </c>
      <c r="N4704" s="335" t="str">
        <f>IF(MAXIFS('単価履歴'!$O:$O,'単価履歴'!$E:$E,E4704,'単価履歴'!$F:$F,F4704)=O4704,"●","")</f>
        <v/>
      </c>
      <c r="O4704" s="346">
        <v>46100.81472222222</v>
      </c>
      <c r="P4704" s="334" t="str">
        <f t="shared" si="4"/>
        <v>大鉄　堺:大鉄堺新断Ｂ</v>
      </c>
    </row>
    <row r="4705" ht="15.75" customHeight="1">
      <c r="A4705" s="335" t="s">
        <v>5852</v>
      </c>
      <c r="B4705" s="336">
        <v>46101.0</v>
      </c>
      <c r="C4705" s="335" t="s">
        <v>9</v>
      </c>
      <c r="D4705" s="335" t="s">
        <v>51</v>
      </c>
      <c r="E4705" s="337" t="str">
        <f t="shared" si="1"/>
        <v>大鉄　堺:大鉄堺</v>
      </c>
      <c r="F4705" s="338" t="s">
        <v>575</v>
      </c>
      <c r="G4705" s="339" t="str">
        <f t="shared" si="2"/>
        <v>大鉄　堺:大鉄堺鋼ダライＡ</v>
      </c>
      <c r="H4705" s="340">
        <f t="shared" si="3"/>
        <v>33.5</v>
      </c>
      <c r="I4705" s="341">
        <v>1.0</v>
      </c>
      <c r="J4705" s="332">
        <f>IFERROR(__xludf.DUMMYFUNCTION("IF(IF(COUNTIF(P$2:P4704, P4705)=0, """", INDEX(H$2:H4704,
MAX(FILTER(ROW(H$2:H4704) - ROW(H$2) + 1, P$2:P4704 = P4705))))=""単価"","""",
IF(COUNTIF(P$2:P4704, P4705)=0, """", INDEX(H$2:H4704,
MAX(FILTER(ROW(H$2:H4704) - ROW(H$2) + 1, P$2:P4704 = P4705)))))"),32.5)</f>
        <v>32.5</v>
      </c>
      <c r="N4705" s="335" t="str">
        <f>IF(MAXIFS('単価履歴'!$O:$O,'単価履歴'!$E:$E,E4705,'単価履歴'!$F:$F,F4705)=O4705,"●","")</f>
        <v/>
      </c>
      <c r="O4705" s="346">
        <v>46100.81472222222</v>
      </c>
      <c r="P4705" s="334" t="str">
        <f t="shared" si="4"/>
        <v>大鉄　堺:大鉄堺鋼ダライＡ</v>
      </c>
    </row>
    <row r="4706" ht="15.75" customHeight="1">
      <c r="A4706" s="335" t="s">
        <v>5853</v>
      </c>
      <c r="B4706" s="336">
        <v>46101.0</v>
      </c>
      <c r="C4706" s="335" t="s">
        <v>9</v>
      </c>
      <c r="D4706" s="335" t="s">
        <v>51</v>
      </c>
      <c r="E4706" s="337" t="str">
        <f t="shared" si="1"/>
        <v>大鉄　堺:大鉄堺</v>
      </c>
      <c r="F4706" s="338" t="s">
        <v>576</v>
      </c>
      <c r="G4706" s="339" t="str">
        <f t="shared" si="2"/>
        <v>大鉄　堺:大鉄堺鋼ダライＢ</v>
      </c>
      <c r="H4706" s="340">
        <f t="shared" si="3"/>
        <v>33.5</v>
      </c>
      <c r="I4706" s="341">
        <v>1.0</v>
      </c>
      <c r="J4706" s="332">
        <f>IFERROR(__xludf.DUMMYFUNCTION("IF(IF(COUNTIF(P$2:P4705, P4706)=0, """", INDEX(H$2:H4705,
MAX(FILTER(ROW(H$2:H4705) - ROW(H$2) + 1, P$2:P4705 = P4706))))=""単価"","""",
IF(COUNTIF(P$2:P4705, P4706)=0, """", INDEX(H$2:H4705,
MAX(FILTER(ROW(H$2:H4705) - ROW(H$2) + 1, P$2:P4705 = P4706)))))"),32.5)</f>
        <v>32.5</v>
      </c>
      <c r="N4706" s="335" t="str">
        <f>IF(MAXIFS('単価履歴'!$O:$O,'単価履歴'!$E:$E,E4706,'単価履歴'!$F:$F,F4706)=O4706,"●","")</f>
        <v/>
      </c>
      <c r="O4706" s="346">
        <v>46100.81472222222</v>
      </c>
      <c r="P4706" s="334" t="str">
        <f t="shared" si="4"/>
        <v>大鉄　堺:大鉄堺鋼ダライＢ</v>
      </c>
    </row>
    <row r="4707" ht="15.75" customHeight="1">
      <c r="A4707" s="335" t="s">
        <v>5854</v>
      </c>
      <c r="B4707" s="336">
        <v>46101.0</v>
      </c>
      <c r="C4707" s="335" t="s">
        <v>9</v>
      </c>
      <c r="D4707" s="335" t="s">
        <v>51</v>
      </c>
      <c r="E4707" s="337" t="str">
        <f t="shared" si="1"/>
        <v>大鉄　堺:大鉄堺</v>
      </c>
      <c r="F4707" s="338" t="s">
        <v>145</v>
      </c>
      <c r="G4707" s="339" t="str">
        <f t="shared" si="2"/>
        <v>大鉄　堺:大鉄堺シュレＡ</v>
      </c>
      <c r="H4707" s="340">
        <f t="shared" si="3"/>
        <v>36.5</v>
      </c>
      <c r="I4707" s="341">
        <v>1.0</v>
      </c>
      <c r="J4707" s="332">
        <f>IFERROR(__xludf.DUMMYFUNCTION("IF(IF(COUNTIF(P$2:P4706, P4707)=0, """", INDEX(H$2:H4706,
MAX(FILTER(ROW(H$2:H4706) - ROW(H$2) + 1, P$2:P4706 = P4707))))=""単価"","""",
IF(COUNTIF(P$2:P4706, P4707)=0, """", INDEX(H$2:H4706,
MAX(FILTER(ROW(H$2:H4706) - ROW(H$2) + 1, P$2:P4706 = P4707)))))"),35.5)</f>
        <v>35.5</v>
      </c>
      <c r="N4707" s="335" t="str">
        <f>IF(MAXIFS('単価履歴'!$O:$O,'単価履歴'!$E:$E,E4707,'単価履歴'!$F:$F,F4707)=O4707,"●","")</f>
        <v/>
      </c>
      <c r="O4707" s="346">
        <v>46100.81472222222</v>
      </c>
      <c r="P4707" s="334" t="str">
        <f t="shared" si="4"/>
        <v>大鉄　堺:大鉄堺シュレＡ</v>
      </c>
    </row>
    <row r="4708" ht="15.75" customHeight="1">
      <c r="A4708" s="335" t="s">
        <v>5855</v>
      </c>
      <c r="B4708" s="336">
        <v>46101.0</v>
      </c>
      <c r="C4708" s="335" t="s">
        <v>9</v>
      </c>
      <c r="D4708" s="335" t="s">
        <v>51</v>
      </c>
      <c r="E4708" s="337" t="str">
        <f t="shared" si="1"/>
        <v>大鉄　堺:大鉄堺</v>
      </c>
      <c r="F4708" s="338" t="s">
        <v>149</v>
      </c>
      <c r="G4708" s="339" t="str">
        <f t="shared" si="2"/>
        <v>大鉄　堺:大鉄堺シュレＢ</v>
      </c>
      <c r="H4708" s="340">
        <f t="shared" si="3"/>
        <v>35.8</v>
      </c>
      <c r="I4708" s="341">
        <v>1.0</v>
      </c>
      <c r="J4708" s="332">
        <f>IFERROR(__xludf.DUMMYFUNCTION("IF(IF(COUNTIF(P$2:P4707, P4708)=0, """", INDEX(H$2:H4707,
MAX(FILTER(ROW(H$2:H4707) - ROW(H$2) + 1, P$2:P4707 = P4708))))=""単価"","""",
IF(COUNTIF(P$2:P4707, P4708)=0, """", INDEX(H$2:H4707,
MAX(FILTER(ROW(H$2:H4707) - ROW(H$2) + 1, P$2:P4707 = P4708)))))"),34.8)</f>
        <v>34.8</v>
      </c>
      <c r="N4708" s="335" t="str">
        <f>IF(MAXIFS('単価履歴'!$O:$O,'単価履歴'!$E:$E,E4708,'単価履歴'!$F:$F,F4708)=O4708,"●","")</f>
        <v/>
      </c>
      <c r="O4708" s="346">
        <v>46100.81472222222</v>
      </c>
      <c r="P4708" s="334" t="str">
        <f t="shared" si="4"/>
        <v>大鉄　堺:大鉄堺シュレＢ</v>
      </c>
    </row>
    <row r="4709" ht="15.75" customHeight="1">
      <c r="A4709" s="335" t="s">
        <v>5856</v>
      </c>
      <c r="B4709" s="336">
        <v>46101.0</v>
      </c>
      <c r="C4709" s="335" t="s">
        <v>9</v>
      </c>
      <c r="D4709" s="335" t="s">
        <v>51</v>
      </c>
      <c r="E4709" s="337" t="str">
        <f t="shared" si="1"/>
        <v>大鉄　堺:大鉄堺</v>
      </c>
      <c r="F4709" s="338" t="s">
        <v>151</v>
      </c>
      <c r="G4709" s="339" t="str">
        <f t="shared" si="2"/>
        <v>大鉄　堺:大鉄堺シュレＣ</v>
      </c>
      <c r="H4709" s="340">
        <f t="shared" si="3"/>
        <v>34.4</v>
      </c>
      <c r="I4709" s="341">
        <v>1.0</v>
      </c>
      <c r="J4709" s="332">
        <f>IFERROR(__xludf.DUMMYFUNCTION("IF(IF(COUNTIF(P$2:P4708, P4709)=0, """", INDEX(H$2:H4708,
MAX(FILTER(ROW(H$2:H4708) - ROW(H$2) + 1, P$2:P4708 = P4709))))=""単価"","""",
IF(COUNTIF(P$2:P4708, P4709)=0, """", INDEX(H$2:H4708,
MAX(FILTER(ROW(H$2:H4708) - ROW(H$2) + 1, P$2:P4708 = P4709)))))"),33.4)</f>
        <v>33.4</v>
      </c>
      <c r="N4709" s="335" t="str">
        <f>IF(MAXIFS('単価履歴'!$O:$O,'単価履歴'!$E:$E,E4709,'単価履歴'!$F:$F,F4709)=O4709,"●","")</f>
        <v/>
      </c>
      <c r="O4709" s="346">
        <v>46100.81472222222</v>
      </c>
      <c r="P4709" s="334" t="str">
        <f t="shared" si="4"/>
        <v>大鉄　堺:大鉄堺シュレＣ</v>
      </c>
    </row>
    <row r="4710" ht="15.75" customHeight="1">
      <c r="A4710" s="335" t="s">
        <v>5857</v>
      </c>
      <c r="B4710" s="336">
        <v>46101.0</v>
      </c>
      <c r="C4710" s="335" t="s">
        <v>9</v>
      </c>
      <c r="D4710" s="335" t="s">
        <v>51</v>
      </c>
      <c r="E4710" s="337" t="str">
        <f t="shared" si="1"/>
        <v>大鉄　堺:大鉄堺</v>
      </c>
      <c r="F4710" s="338" t="s">
        <v>154</v>
      </c>
      <c r="G4710" s="339" t="str">
        <f t="shared" si="2"/>
        <v>大鉄　堺:大鉄堺ＣＰ Ａ</v>
      </c>
      <c r="H4710" s="340">
        <f t="shared" si="3"/>
        <v>42</v>
      </c>
      <c r="I4710" s="341">
        <v>1.0</v>
      </c>
      <c r="J4710" s="332">
        <f>IFERROR(__xludf.DUMMYFUNCTION("IF(IF(COUNTIF(P$2:P4709, P4710)=0, """", INDEX(H$2:H4709,
MAX(FILTER(ROW(H$2:H4709) - ROW(H$2) + 1, P$2:P4709 = P4710))))=""単価"","""",
IF(COUNTIF(P$2:P4709, P4710)=0, """", INDEX(H$2:H4709,
MAX(FILTER(ROW(H$2:H4709) - ROW(H$2) + 1, P$2:P4709 = P4710)))))"),41.0)</f>
        <v>41</v>
      </c>
      <c r="N4710" s="335" t="str">
        <f>IF(MAXIFS('単価履歴'!$O:$O,'単価履歴'!$E:$E,E4710,'単価履歴'!$F:$F,F4710)=O4710,"●","")</f>
        <v/>
      </c>
      <c r="O4710" s="346">
        <v>46100.81472222222</v>
      </c>
      <c r="P4710" s="334" t="str">
        <f t="shared" si="4"/>
        <v>大鉄　堺:大鉄堺ＣＰ Ａ</v>
      </c>
    </row>
    <row r="4711" ht="15.75" customHeight="1">
      <c r="A4711" s="335" t="s">
        <v>5858</v>
      </c>
      <c r="B4711" s="336">
        <v>46101.0</v>
      </c>
      <c r="C4711" s="335" t="s">
        <v>9</v>
      </c>
      <c r="D4711" s="335" t="s">
        <v>51</v>
      </c>
      <c r="E4711" s="337" t="str">
        <f t="shared" si="1"/>
        <v>大鉄　堺:大鉄堺</v>
      </c>
      <c r="F4711" s="338" t="s">
        <v>156</v>
      </c>
      <c r="G4711" s="339" t="str">
        <f t="shared" si="2"/>
        <v>大鉄　堺:大鉄堺ＣＰ Ｂ一斗缶</v>
      </c>
      <c r="H4711" s="340">
        <f t="shared" si="3"/>
        <v>35.5</v>
      </c>
      <c r="I4711" s="341">
        <v>1.0</v>
      </c>
      <c r="J4711" s="332">
        <f>IFERROR(__xludf.DUMMYFUNCTION("IF(IF(COUNTIF(P$2:P4710, P4711)=0, """", INDEX(H$2:H4710,
MAX(FILTER(ROW(H$2:H4710) - ROW(H$2) + 1, P$2:P4710 = P4711))))=""単価"","""",
IF(COUNTIF(P$2:P4710, P4711)=0, """", INDEX(H$2:H4710,
MAX(FILTER(ROW(H$2:H4710) - ROW(H$2) + 1, P$2:P4710 = P4711)))))"),34.5)</f>
        <v>34.5</v>
      </c>
      <c r="N4711" s="335" t="str">
        <f>IF(MAXIFS('単価履歴'!$O:$O,'単価履歴'!$E:$E,E4711,'単価履歴'!$F:$F,F4711)=O4711,"●","")</f>
        <v/>
      </c>
      <c r="O4711" s="346">
        <v>46100.81472222222</v>
      </c>
      <c r="P4711" s="334" t="str">
        <f t="shared" si="4"/>
        <v>大鉄　堺:大鉄堺ＣＰ Ｂ一斗缶</v>
      </c>
    </row>
    <row r="4712" ht="15.75" customHeight="1">
      <c r="A4712" s="335" t="s">
        <v>5859</v>
      </c>
      <c r="B4712" s="336">
        <v>46101.0</v>
      </c>
      <c r="C4712" s="335" t="s">
        <v>9</v>
      </c>
      <c r="D4712" s="335" t="s">
        <v>47</v>
      </c>
      <c r="E4712" s="337" t="str">
        <f t="shared" si="1"/>
        <v>大鉄　堺:豊通</v>
      </c>
      <c r="F4712" s="338" t="s">
        <v>111</v>
      </c>
      <c r="G4712" s="339" t="str">
        <f t="shared" si="2"/>
        <v>大鉄　堺:豊通Ｈ１(特A)</v>
      </c>
      <c r="H4712" s="340">
        <f t="shared" si="3"/>
        <v>35.4</v>
      </c>
      <c r="I4712" s="341">
        <v>1.0</v>
      </c>
      <c r="J4712" s="332">
        <f>IFERROR(__xludf.DUMMYFUNCTION("IF(IF(COUNTIF(P$2:P4711, P4712)=0, """", INDEX(H$2:H4711,
MAX(FILTER(ROW(H$2:H4711) - ROW(H$2) + 1, P$2:P4711 = P4712))))=""単価"","""",
IF(COUNTIF(P$2:P4711, P4712)=0, """", INDEX(H$2:H4711,
MAX(FILTER(ROW(H$2:H4711) - ROW(H$2) + 1, P$2:P4711 = P4712)))))"),34.4)</f>
        <v>34.4</v>
      </c>
      <c r="N4712" s="335" t="str">
        <f>IF(MAXIFS('単価履歴'!$O:$O,'単価履歴'!$E:$E,E4712,'単価履歴'!$F:$F,F4712)=O4712,"●","")</f>
        <v/>
      </c>
      <c r="O4712" s="346">
        <v>46100.81496527778</v>
      </c>
      <c r="P4712" s="334" t="str">
        <f t="shared" si="4"/>
        <v>大鉄　堺:豊通Ｈ１(特A)</v>
      </c>
    </row>
    <row r="4713" ht="15.75" customHeight="1">
      <c r="A4713" s="335" t="s">
        <v>5860</v>
      </c>
      <c r="B4713" s="336">
        <v>46101.0</v>
      </c>
      <c r="C4713" s="335" t="s">
        <v>9</v>
      </c>
      <c r="D4713" s="335" t="s">
        <v>47</v>
      </c>
      <c r="E4713" s="337" t="str">
        <f t="shared" si="1"/>
        <v>大鉄　堺:豊通</v>
      </c>
      <c r="F4713" s="338" t="s">
        <v>1237</v>
      </c>
      <c r="G4713" s="339" t="str">
        <f t="shared" si="2"/>
        <v>大鉄　堺:豊通ＪＨ１(H2T山口)鍛造ﾊﾞﾘ</v>
      </c>
      <c r="H4713" s="340">
        <f t="shared" si="3"/>
        <v>34.4</v>
      </c>
      <c r="I4713" s="341">
        <v>1.0</v>
      </c>
      <c r="J4713" s="332">
        <f>IFERROR(__xludf.DUMMYFUNCTION("IF(IF(COUNTIF(P$2:P4712, P4713)=0, """", INDEX(H$2:H4712,
MAX(FILTER(ROW(H$2:H4712) - ROW(H$2) + 1, P$2:P4712 = P4713))))=""単価"","""",
IF(COUNTIF(P$2:P4712, P4713)=0, """", INDEX(H$2:H4712,
MAX(FILTER(ROW(H$2:H4712) - ROW(H$2) + 1, P$2:P4712 = P4713)))))"),33.4)</f>
        <v>33.4</v>
      </c>
      <c r="N4713" s="335" t="str">
        <f>IF(MAXIFS('単価履歴'!$O:$O,'単価履歴'!$E:$E,E4713,'単価履歴'!$F:$F,F4713)=O4713,"●","")</f>
        <v/>
      </c>
      <c r="O4713" s="346">
        <v>46100.81496527778</v>
      </c>
      <c r="P4713" s="334" t="str">
        <f t="shared" si="4"/>
        <v>大鉄　堺:豊通ＪＨ１(H2T山口)鍛造ﾊﾞﾘ</v>
      </c>
    </row>
    <row r="4714" ht="15.75" customHeight="1">
      <c r="A4714" s="335" t="s">
        <v>5861</v>
      </c>
      <c r="B4714" s="336">
        <v>46101.0</v>
      </c>
      <c r="C4714" s="335" t="s">
        <v>9</v>
      </c>
      <c r="D4714" s="335" t="s">
        <v>47</v>
      </c>
      <c r="E4714" s="337" t="str">
        <f t="shared" si="1"/>
        <v>大鉄　堺:豊通</v>
      </c>
      <c r="F4714" s="338" t="s">
        <v>116</v>
      </c>
      <c r="G4714" s="339" t="str">
        <f t="shared" si="2"/>
        <v>大鉄　堺:豊通Ｈ２(特級)</v>
      </c>
      <c r="H4714" s="340">
        <f t="shared" si="3"/>
        <v>31.2</v>
      </c>
      <c r="I4714" s="341">
        <v>1.0</v>
      </c>
      <c r="J4714" s="332">
        <f>IFERROR(__xludf.DUMMYFUNCTION("IF(IF(COUNTIF(P$2:P4713, P4714)=0, """", INDEX(H$2:H4713,
MAX(FILTER(ROW(H$2:H4713) - ROW(H$2) + 1, P$2:P4713 = P4714))))=""単価"","""",
IF(COUNTIF(P$2:P4713, P4714)=0, """", INDEX(H$2:H4713,
MAX(FILTER(ROW(H$2:H4713) - ROW(H$2) + 1, P$2:P4713 = P4714)))))"),30.2)</f>
        <v>30.2</v>
      </c>
      <c r="N4714" s="335" t="str">
        <f>IF(MAXIFS('単価履歴'!$O:$O,'単価履歴'!$E:$E,E4714,'単価履歴'!$F:$F,F4714)=O4714,"●","")</f>
        <v/>
      </c>
      <c r="O4714" s="346">
        <v>46100.81496527778</v>
      </c>
      <c r="P4714" s="334" t="str">
        <f t="shared" si="4"/>
        <v>大鉄　堺:豊通Ｈ２(特級)</v>
      </c>
    </row>
    <row r="4715" ht="15.75" customHeight="1">
      <c r="A4715" s="335" t="s">
        <v>5862</v>
      </c>
      <c r="B4715" s="336">
        <v>46101.0</v>
      </c>
      <c r="C4715" s="335" t="s">
        <v>9</v>
      </c>
      <c r="D4715" s="335" t="s">
        <v>47</v>
      </c>
      <c r="E4715" s="337" t="str">
        <f t="shared" si="1"/>
        <v>大鉄　堺:豊通</v>
      </c>
      <c r="F4715" s="338" t="s">
        <v>119</v>
      </c>
      <c r="G4715" s="339" t="str">
        <f t="shared" si="2"/>
        <v>大鉄　堺:豊通Ｈ３(1級)</v>
      </c>
      <c r="H4715" s="340">
        <f t="shared" si="3"/>
        <v>30.2</v>
      </c>
      <c r="I4715" s="341">
        <v>1.0</v>
      </c>
      <c r="J4715" s="332">
        <f>IFERROR(__xludf.DUMMYFUNCTION("IF(IF(COUNTIF(P$2:P4714, P4715)=0, """", INDEX(H$2:H4714,
MAX(FILTER(ROW(H$2:H4714) - ROW(H$2) + 1, P$2:P4714 = P4715))))=""単価"","""",
IF(COUNTIF(P$2:P4714, P4715)=0, """", INDEX(H$2:H4714,
MAX(FILTER(ROW(H$2:H4714) - ROW(H$2) + 1, P$2:P4714 = P4715)))))"),29.2)</f>
        <v>29.2</v>
      </c>
      <c r="N4715" s="335" t="str">
        <f>IF(MAXIFS('単価履歴'!$O:$O,'単価履歴'!$E:$E,E4715,'単価履歴'!$F:$F,F4715)=O4715,"●","")</f>
        <v/>
      </c>
      <c r="O4715" s="346">
        <v>46100.81496527778</v>
      </c>
      <c r="P4715" s="334" t="str">
        <f t="shared" si="4"/>
        <v>大鉄　堺:豊通Ｈ３(1級)</v>
      </c>
    </row>
    <row r="4716" ht="15.75" customHeight="1">
      <c r="A4716" s="335" t="s">
        <v>5863</v>
      </c>
      <c r="B4716" s="336">
        <v>46101.0</v>
      </c>
      <c r="C4716" s="335" t="s">
        <v>9</v>
      </c>
      <c r="D4716" s="335" t="s">
        <v>47</v>
      </c>
      <c r="E4716" s="337" t="str">
        <f t="shared" si="1"/>
        <v>大鉄　堺:豊通</v>
      </c>
      <c r="F4716" s="338" t="s">
        <v>122</v>
      </c>
      <c r="G4716" s="339" t="str">
        <f t="shared" si="2"/>
        <v>大鉄　堺:豊通Ｌ１(2級)</v>
      </c>
      <c r="H4716" s="340">
        <f t="shared" si="3"/>
        <v>28.7</v>
      </c>
      <c r="I4716" s="341">
        <v>1.0</v>
      </c>
      <c r="J4716" s="332">
        <f>IFERROR(__xludf.DUMMYFUNCTION("IF(IF(COUNTIF(P$2:P4715, P4716)=0, """", INDEX(H$2:H4715,
MAX(FILTER(ROW(H$2:H4715) - ROW(H$2) + 1, P$2:P4715 = P4716))))=""単価"","""",
IF(COUNTIF(P$2:P4715, P4716)=0, """", INDEX(H$2:H4715,
MAX(FILTER(ROW(H$2:H4715) - ROW(H$2) + 1, P$2:P4715 = P4716)))))"),27.7)</f>
        <v>27.7</v>
      </c>
      <c r="N4716" s="335" t="str">
        <f>IF(MAXIFS('単価履歴'!$O:$O,'単価履歴'!$E:$E,E4716,'単価履歴'!$F:$F,F4716)=O4716,"●","")</f>
        <v/>
      </c>
      <c r="O4716" s="346">
        <v>46100.81496527778</v>
      </c>
      <c r="P4716" s="334" t="str">
        <f t="shared" si="4"/>
        <v>大鉄　堺:豊通Ｌ１(2級)</v>
      </c>
    </row>
    <row r="4717" ht="15.75" customHeight="1">
      <c r="A4717" s="335" t="s">
        <v>5864</v>
      </c>
      <c r="B4717" s="336">
        <v>46101.0</v>
      </c>
      <c r="C4717" s="335" t="s">
        <v>9</v>
      </c>
      <c r="D4717" s="335" t="s">
        <v>47</v>
      </c>
      <c r="E4717" s="337" t="str">
        <f t="shared" si="1"/>
        <v>大鉄　堺:豊通</v>
      </c>
      <c r="F4717" s="338" t="s">
        <v>130</v>
      </c>
      <c r="G4717" s="339" t="str">
        <f t="shared" si="2"/>
        <v>大鉄　堺:豊通新断Ａ</v>
      </c>
      <c r="H4717" s="340">
        <f t="shared" si="3"/>
        <v>32.2</v>
      </c>
      <c r="I4717" s="341">
        <v>1.0</v>
      </c>
      <c r="J4717" s="332">
        <f>IFERROR(__xludf.DUMMYFUNCTION("IF(IF(COUNTIF(P$2:P4716, P4717)=0, """", INDEX(H$2:H4716,
MAX(FILTER(ROW(H$2:H4716) - ROW(H$2) + 1, P$2:P4716 = P4717))))=""単価"","""",
IF(COUNTIF(P$2:P4716, P4717)=0, """", INDEX(H$2:H4716,
MAX(FILTER(ROW(H$2:H4716) - ROW(H$2) + 1, P$2:P4716 = P4717)))))"),31.2)</f>
        <v>31.2</v>
      </c>
      <c r="N4717" s="335" t="str">
        <f>IF(MAXIFS('単価履歴'!$O:$O,'単価履歴'!$E:$E,E4717,'単価履歴'!$F:$F,F4717)=O4717,"●","")</f>
        <v/>
      </c>
      <c r="O4717" s="346">
        <v>46100.81496527778</v>
      </c>
      <c r="P4717" s="334" t="str">
        <f t="shared" si="4"/>
        <v>大鉄　堺:豊通新断Ａ</v>
      </c>
    </row>
    <row r="4718" ht="15.75" customHeight="1">
      <c r="A4718" s="335" t="s">
        <v>5865</v>
      </c>
      <c r="B4718" s="336">
        <v>46101.0</v>
      </c>
      <c r="C4718" s="335" t="s">
        <v>9</v>
      </c>
      <c r="D4718" s="335" t="s">
        <v>47</v>
      </c>
      <c r="E4718" s="337" t="str">
        <f t="shared" si="1"/>
        <v>大鉄　堺:豊通</v>
      </c>
      <c r="F4718" s="338" t="s">
        <v>131</v>
      </c>
      <c r="G4718" s="339" t="str">
        <f t="shared" si="2"/>
        <v>大鉄　堺:豊通新断Ｂ</v>
      </c>
      <c r="H4718" s="340">
        <f t="shared" si="3"/>
        <v>31.7</v>
      </c>
      <c r="I4718" s="341">
        <v>1.0</v>
      </c>
      <c r="J4718" s="332">
        <f>IFERROR(__xludf.DUMMYFUNCTION("IF(IF(COUNTIF(P$2:P4717, P4718)=0, """", INDEX(H$2:H4717,
MAX(FILTER(ROW(H$2:H4717) - ROW(H$2) + 1, P$2:P4717 = P4718))))=""単価"","""",
IF(COUNTIF(P$2:P4717, P4718)=0, """", INDEX(H$2:H4717,
MAX(FILTER(ROW(H$2:H4717) - ROW(H$2) + 1, P$2:P4717 = P4718)))))"),30.7)</f>
        <v>30.7</v>
      </c>
      <c r="N4718" s="335" t="str">
        <f>IF(MAXIFS('単価履歴'!$O:$O,'単価履歴'!$E:$E,E4718,'単価履歴'!$F:$F,F4718)=O4718,"●","")</f>
        <v/>
      </c>
      <c r="O4718" s="346">
        <v>46100.81496527778</v>
      </c>
      <c r="P4718" s="334" t="str">
        <f t="shared" si="4"/>
        <v>大鉄　堺:豊通新断Ｂ</v>
      </c>
    </row>
    <row r="4719" ht="15.75" customHeight="1">
      <c r="A4719" s="335" t="s">
        <v>5866</v>
      </c>
      <c r="B4719" s="336">
        <v>46101.0</v>
      </c>
      <c r="C4719" s="335" t="s">
        <v>9</v>
      </c>
      <c r="D4719" s="335" t="s">
        <v>47</v>
      </c>
      <c r="E4719" s="337" t="str">
        <f t="shared" si="1"/>
        <v>大鉄　堺:豊通</v>
      </c>
      <c r="F4719" s="338" t="s">
        <v>575</v>
      </c>
      <c r="G4719" s="339" t="str">
        <f t="shared" si="2"/>
        <v>大鉄　堺:豊通鋼ダライＡ</v>
      </c>
      <c r="H4719" s="340">
        <f t="shared" si="3"/>
        <v>33.2</v>
      </c>
      <c r="I4719" s="341">
        <v>1.0</v>
      </c>
      <c r="J4719" s="332">
        <f>IFERROR(__xludf.DUMMYFUNCTION("IF(IF(COUNTIF(P$2:P4718, P4719)=0, """", INDEX(H$2:H4718,
MAX(FILTER(ROW(H$2:H4718) - ROW(H$2) + 1, P$2:P4718 = P4719))))=""単価"","""",
IF(COUNTIF(P$2:P4718, P4719)=0, """", INDEX(H$2:H4718,
MAX(FILTER(ROW(H$2:H4718) - ROW(H$2) + 1, P$2:P4718 = P4719)))))"),32.2)</f>
        <v>32.2</v>
      </c>
      <c r="N4719" s="335" t="str">
        <f>IF(MAXIFS('単価履歴'!$O:$O,'単価履歴'!$E:$E,E4719,'単価履歴'!$F:$F,F4719)=O4719,"●","")</f>
        <v/>
      </c>
      <c r="O4719" s="346">
        <v>46100.81496527778</v>
      </c>
      <c r="P4719" s="334" t="str">
        <f t="shared" si="4"/>
        <v>大鉄　堺:豊通鋼ダライＡ</v>
      </c>
    </row>
    <row r="4720" ht="15.75" customHeight="1">
      <c r="A4720" s="335" t="s">
        <v>5867</v>
      </c>
      <c r="B4720" s="336">
        <v>46101.0</v>
      </c>
      <c r="C4720" s="335" t="s">
        <v>9</v>
      </c>
      <c r="D4720" s="335" t="s">
        <v>47</v>
      </c>
      <c r="E4720" s="337" t="str">
        <f t="shared" si="1"/>
        <v>大鉄　堺:豊通</v>
      </c>
      <c r="F4720" s="338" t="s">
        <v>576</v>
      </c>
      <c r="G4720" s="339" t="str">
        <f t="shared" si="2"/>
        <v>大鉄　堺:豊通鋼ダライＢ</v>
      </c>
      <c r="H4720" s="340">
        <f t="shared" si="3"/>
        <v>33.2</v>
      </c>
      <c r="I4720" s="341">
        <v>1.0</v>
      </c>
      <c r="J4720" s="332">
        <f>IFERROR(__xludf.DUMMYFUNCTION("IF(IF(COUNTIF(P$2:P4719, P4720)=0, """", INDEX(H$2:H4719,
MAX(FILTER(ROW(H$2:H4719) - ROW(H$2) + 1, P$2:P4719 = P4720))))=""単価"","""",
IF(COUNTIF(P$2:P4719, P4720)=0, """", INDEX(H$2:H4719,
MAX(FILTER(ROW(H$2:H4719) - ROW(H$2) + 1, P$2:P4719 = P4720)))))"),32.2)</f>
        <v>32.2</v>
      </c>
      <c r="N4720" s="335" t="str">
        <f>IF(MAXIFS('単価履歴'!$O:$O,'単価履歴'!$E:$E,E4720,'単価履歴'!$F:$F,F4720)=O4720,"●","")</f>
        <v/>
      </c>
      <c r="O4720" s="346">
        <v>46100.81496527778</v>
      </c>
      <c r="P4720" s="334" t="str">
        <f t="shared" si="4"/>
        <v>大鉄　堺:豊通鋼ダライＢ</v>
      </c>
    </row>
    <row r="4721" ht="15.75" customHeight="1">
      <c r="A4721" s="335" t="s">
        <v>5868</v>
      </c>
      <c r="B4721" s="336">
        <v>46101.0</v>
      </c>
      <c r="C4721" s="335" t="s">
        <v>9</v>
      </c>
      <c r="D4721" s="335" t="s">
        <v>47</v>
      </c>
      <c r="E4721" s="337" t="str">
        <f t="shared" si="1"/>
        <v>大鉄　堺:豊通</v>
      </c>
      <c r="F4721" s="338" t="s">
        <v>145</v>
      </c>
      <c r="G4721" s="339" t="str">
        <f t="shared" si="2"/>
        <v>大鉄　堺:豊通シュレＡ</v>
      </c>
      <c r="H4721" s="340">
        <f t="shared" si="3"/>
        <v>35.7</v>
      </c>
      <c r="I4721" s="341">
        <v>1.0</v>
      </c>
      <c r="J4721" s="332">
        <f>IFERROR(__xludf.DUMMYFUNCTION("IF(IF(COUNTIF(P$2:P4720, P4721)=0, """", INDEX(H$2:H4720,
MAX(FILTER(ROW(H$2:H4720) - ROW(H$2) + 1, P$2:P4720 = P4721))))=""単価"","""",
IF(COUNTIF(P$2:P4720, P4721)=0, """", INDEX(H$2:H4720,
MAX(FILTER(ROW(H$2:H4720) - ROW(H$2) + 1, P$2:P4720 = P4721)))))"),34.7)</f>
        <v>34.7</v>
      </c>
      <c r="N4721" s="335" t="str">
        <f>IF(MAXIFS('単価履歴'!$O:$O,'単価履歴'!$E:$E,E4721,'単価履歴'!$F:$F,F4721)=O4721,"●","")</f>
        <v/>
      </c>
      <c r="O4721" s="346">
        <v>46100.81496527778</v>
      </c>
      <c r="P4721" s="334" t="str">
        <f t="shared" si="4"/>
        <v>大鉄　堺:豊通シュレＡ</v>
      </c>
    </row>
    <row r="4722" ht="15.75" customHeight="1">
      <c r="A4722" s="335" t="s">
        <v>5869</v>
      </c>
      <c r="B4722" s="336">
        <v>46101.0</v>
      </c>
      <c r="C4722" s="335" t="s">
        <v>9</v>
      </c>
      <c r="D4722" s="335" t="s">
        <v>47</v>
      </c>
      <c r="E4722" s="337" t="str">
        <f t="shared" si="1"/>
        <v>大鉄　堺:豊通</v>
      </c>
      <c r="F4722" s="338" t="s">
        <v>149</v>
      </c>
      <c r="G4722" s="339" t="str">
        <f t="shared" si="2"/>
        <v>大鉄　堺:豊通シュレＢ</v>
      </c>
      <c r="H4722" s="340">
        <f t="shared" si="3"/>
        <v>35</v>
      </c>
      <c r="I4722" s="341">
        <v>1.0</v>
      </c>
      <c r="J4722" s="332">
        <f>IFERROR(__xludf.DUMMYFUNCTION("IF(IF(COUNTIF(P$2:P4721, P4722)=0, """", INDEX(H$2:H4721,
MAX(FILTER(ROW(H$2:H4721) - ROW(H$2) + 1, P$2:P4721 = P4722))))=""単価"","""",
IF(COUNTIF(P$2:P4721, P4722)=0, """", INDEX(H$2:H4721,
MAX(FILTER(ROW(H$2:H4721) - ROW(H$2) + 1, P$2:P4721 = P4722)))))"),34.0)</f>
        <v>34</v>
      </c>
      <c r="N4722" s="335" t="str">
        <f>IF(MAXIFS('単価履歴'!$O:$O,'単価履歴'!$E:$E,E4722,'単価履歴'!$F:$F,F4722)=O4722,"●","")</f>
        <v/>
      </c>
      <c r="O4722" s="346">
        <v>46100.81496527778</v>
      </c>
      <c r="P4722" s="334" t="str">
        <f t="shared" si="4"/>
        <v>大鉄　堺:豊通シュレＢ</v>
      </c>
    </row>
    <row r="4723" ht="15.75" customHeight="1">
      <c r="A4723" s="335" t="s">
        <v>5870</v>
      </c>
      <c r="B4723" s="336">
        <v>46101.0</v>
      </c>
      <c r="C4723" s="335" t="s">
        <v>9</v>
      </c>
      <c r="D4723" s="335" t="s">
        <v>47</v>
      </c>
      <c r="E4723" s="337" t="str">
        <f t="shared" si="1"/>
        <v>大鉄　堺:豊通</v>
      </c>
      <c r="F4723" s="338" t="s">
        <v>151</v>
      </c>
      <c r="G4723" s="339" t="str">
        <f t="shared" si="2"/>
        <v>大鉄　堺:豊通シュレＣ</v>
      </c>
      <c r="H4723" s="340">
        <f t="shared" si="3"/>
        <v>33.6</v>
      </c>
      <c r="I4723" s="341">
        <v>1.0</v>
      </c>
      <c r="J4723" s="332">
        <f>IFERROR(__xludf.DUMMYFUNCTION("IF(IF(COUNTIF(P$2:P4722, P4723)=0, """", INDEX(H$2:H4722,
MAX(FILTER(ROW(H$2:H4722) - ROW(H$2) + 1, P$2:P4722 = P4723))))=""単価"","""",
IF(COUNTIF(P$2:P4722, P4723)=0, """", INDEX(H$2:H4722,
MAX(FILTER(ROW(H$2:H4722) - ROW(H$2) + 1, P$2:P4722 = P4723)))))"),32.6)</f>
        <v>32.6</v>
      </c>
      <c r="N4723" s="335" t="str">
        <f>IF(MAXIFS('単価履歴'!$O:$O,'単価履歴'!$E:$E,E4723,'単価履歴'!$F:$F,F4723)=O4723,"●","")</f>
        <v/>
      </c>
      <c r="O4723" s="346">
        <v>46100.81496527778</v>
      </c>
      <c r="P4723" s="334" t="str">
        <f t="shared" si="4"/>
        <v>大鉄　堺:豊通シュレＣ</v>
      </c>
    </row>
    <row r="4724" ht="15.75" customHeight="1">
      <c r="A4724" s="335" t="s">
        <v>5871</v>
      </c>
      <c r="B4724" s="336">
        <v>46101.0</v>
      </c>
      <c r="C4724" s="335" t="s">
        <v>9</v>
      </c>
      <c r="D4724" s="335" t="s">
        <v>47</v>
      </c>
      <c r="E4724" s="337" t="str">
        <f t="shared" si="1"/>
        <v>大鉄　堺:豊通</v>
      </c>
      <c r="F4724" s="338" t="s">
        <v>154</v>
      </c>
      <c r="G4724" s="339" t="str">
        <f t="shared" si="2"/>
        <v>大鉄　堺:豊通ＣＰ Ａ</v>
      </c>
      <c r="H4724" s="340">
        <f t="shared" si="3"/>
        <v>46.2</v>
      </c>
      <c r="I4724" s="341">
        <v>1.0</v>
      </c>
      <c r="J4724" s="332">
        <f>IFERROR(__xludf.DUMMYFUNCTION("IF(IF(COUNTIF(P$2:P4723, P4724)=0, """", INDEX(H$2:H4723,
MAX(FILTER(ROW(H$2:H4723) - ROW(H$2) + 1, P$2:P4723 = P4724))))=""単価"","""",
IF(COUNTIF(P$2:P4723, P4724)=0, """", INDEX(H$2:H4723,
MAX(FILTER(ROW(H$2:H4723) - ROW(H$2) + 1, P$2:P4723 = P4724)))))"),45.2)</f>
        <v>45.2</v>
      </c>
      <c r="N4724" s="335" t="str">
        <f>IF(MAXIFS('単価履歴'!$O:$O,'単価履歴'!$E:$E,E4724,'単価履歴'!$F:$F,F4724)=O4724,"●","")</f>
        <v/>
      </c>
      <c r="O4724" s="346">
        <v>46100.81496527778</v>
      </c>
      <c r="P4724" s="334" t="str">
        <f t="shared" si="4"/>
        <v>大鉄　堺:豊通ＣＰ Ａ</v>
      </c>
    </row>
    <row r="4725" ht="15.75" customHeight="1">
      <c r="A4725" s="335" t="s">
        <v>5872</v>
      </c>
      <c r="B4725" s="336">
        <v>46101.0</v>
      </c>
      <c r="C4725" s="335" t="s">
        <v>9</v>
      </c>
      <c r="D4725" s="335" t="s">
        <v>47</v>
      </c>
      <c r="E4725" s="337" t="str">
        <f t="shared" si="1"/>
        <v>大鉄　堺:豊通</v>
      </c>
      <c r="F4725" s="338" t="s">
        <v>156</v>
      </c>
      <c r="G4725" s="339" t="str">
        <f t="shared" si="2"/>
        <v>大鉄　堺:豊通ＣＰ Ｂ一斗缶</v>
      </c>
      <c r="H4725" s="340">
        <f t="shared" si="3"/>
        <v>39.7</v>
      </c>
      <c r="I4725" s="341">
        <v>1.0</v>
      </c>
      <c r="J4725" s="332">
        <f>IFERROR(__xludf.DUMMYFUNCTION("IF(IF(COUNTIF(P$2:P4724, P4725)=0, """", INDEX(H$2:H4724,
MAX(FILTER(ROW(H$2:H4724) - ROW(H$2) + 1, P$2:P4724 = P4725))))=""単価"","""",
IF(COUNTIF(P$2:P4724, P4725)=0, """", INDEX(H$2:H4724,
MAX(FILTER(ROW(H$2:H4724) - ROW(H$2) + 1, P$2:P4724 = P4725)))))"),38.7)</f>
        <v>38.7</v>
      </c>
      <c r="N4725" s="335" t="str">
        <f>IF(MAXIFS('単価履歴'!$O:$O,'単価履歴'!$E:$E,E4725,'単価履歴'!$F:$F,F4725)=O4725,"●","")</f>
        <v/>
      </c>
      <c r="O4725" s="346">
        <v>46100.81496527778</v>
      </c>
      <c r="P4725" s="334" t="str">
        <f t="shared" si="4"/>
        <v>大鉄　堺:豊通ＣＰ Ｂ一斗缶</v>
      </c>
    </row>
    <row r="4726" ht="15.75" customHeight="1">
      <c r="A4726" s="335" t="s">
        <v>5873</v>
      </c>
      <c r="B4726" s="336">
        <v>46101.0</v>
      </c>
      <c r="C4726" s="335" t="s">
        <v>9</v>
      </c>
      <c r="D4726" s="335" t="s">
        <v>50</v>
      </c>
      <c r="E4726" s="337" t="str">
        <f t="shared" si="1"/>
        <v>大鉄　堺:産振</v>
      </c>
      <c r="F4726" s="338" t="s">
        <v>111</v>
      </c>
      <c r="G4726" s="339" t="str">
        <f t="shared" si="2"/>
        <v>大鉄　堺:産振Ｈ１(特A)</v>
      </c>
      <c r="H4726" s="340">
        <f t="shared" si="3"/>
        <v>52.2</v>
      </c>
      <c r="I4726" s="341">
        <v>1.0</v>
      </c>
      <c r="J4726" s="332">
        <f>IFERROR(__xludf.DUMMYFUNCTION("IF(IF(COUNTIF(P$2:P4725, P4726)=0, """", INDEX(H$2:H4725,
MAX(FILTER(ROW(H$2:H4725) - ROW(H$2) + 1, P$2:P4725 = P4726))))=""単価"","""",
IF(COUNTIF(P$2:P4725, P4726)=0, """", INDEX(H$2:H4725,
MAX(FILTER(ROW(H$2:H4725) - ROW(H$2) + 1, P$2:P4725 = P4726)))))"),51.2)</f>
        <v>51.2</v>
      </c>
      <c r="N4726" s="335" t="str">
        <f>IF(MAXIFS('単価履歴'!$O:$O,'単価履歴'!$E:$E,E4726,'単価履歴'!$F:$F,F4726)=O4726,"●","")</f>
        <v/>
      </c>
      <c r="O4726" s="346">
        <v>46100.81521990741</v>
      </c>
      <c r="P4726" s="334" t="str">
        <f t="shared" si="4"/>
        <v>大鉄　堺:産振Ｈ１(特A)</v>
      </c>
    </row>
    <row r="4727" ht="15.75" customHeight="1">
      <c r="A4727" s="335" t="s">
        <v>5874</v>
      </c>
      <c r="B4727" s="336">
        <v>46101.0</v>
      </c>
      <c r="C4727" s="335" t="s">
        <v>9</v>
      </c>
      <c r="D4727" s="335" t="s">
        <v>50</v>
      </c>
      <c r="E4727" s="337" t="str">
        <f t="shared" si="1"/>
        <v>大鉄　堺:産振</v>
      </c>
      <c r="F4727" s="338" t="s">
        <v>116</v>
      </c>
      <c r="G4727" s="339" t="str">
        <f t="shared" si="2"/>
        <v>大鉄　堺:産振Ｈ２(特級)</v>
      </c>
      <c r="H4727" s="340">
        <f t="shared" si="3"/>
        <v>49.7</v>
      </c>
      <c r="I4727" s="341">
        <v>1.0</v>
      </c>
      <c r="J4727" s="332">
        <f>IFERROR(__xludf.DUMMYFUNCTION("IF(IF(COUNTIF(P$2:P4726, P4727)=0, """", INDEX(H$2:H4726,
MAX(FILTER(ROW(H$2:H4726) - ROW(H$2) + 1, P$2:P4726 = P4727))))=""単価"","""",
IF(COUNTIF(P$2:P4726, P4727)=0, """", INDEX(H$2:H4726,
MAX(FILTER(ROW(H$2:H4726) - ROW(H$2) + 1, P$2:P4726 = P4727)))))"),48.7)</f>
        <v>48.7</v>
      </c>
      <c r="N4727" s="335" t="str">
        <f>IF(MAXIFS('単価履歴'!$O:$O,'単価履歴'!$E:$E,E4727,'単価履歴'!$F:$F,F4727)=O4727,"●","")</f>
        <v/>
      </c>
      <c r="O4727" s="346">
        <v>46100.81521990741</v>
      </c>
      <c r="P4727" s="334" t="str">
        <f t="shared" si="4"/>
        <v>大鉄　堺:産振Ｈ２(特級)</v>
      </c>
    </row>
    <row r="4728" ht="15.75" customHeight="1">
      <c r="A4728" s="335" t="s">
        <v>5875</v>
      </c>
      <c r="B4728" s="336">
        <v>46101.0</v>
      </c>
      <c r="C4728" s="335" t="s">
        <v>9</v>
      </c>
      <c r="D4728" s="335" t="s">
        <v>50</v>
      </c>
      <c r="E4728" s="337" t="str">
        <f t="shared" si="1"/>
        <v>大鉄　堺:産振</v>
      </c>
      <c r="F4728" s="338" t="s">
        <v>119</v>
      </c>
      <c r="G4728" s="339" t="str">
        <f t="shared" si="2"/>
        <v>大鉄　堺:産振Ｈ３(1級)</v>
      </c>
      <c r="H4728" s="340">
        <f t="shared" si="3"/>
        <v>46.7</v>
      </c>
      <c r="I4728" s="341">
        <v>1.0</v>
      </c>
      <c r="J4728" s="332">
        <f>IFERROR(__xludf.DUMMYFUNCTION("IF(IF(COUNTIF(P$2:P4727, P4728)=0, """", INDEX(H$2:H4727,
MAX(FILTER(ROW(H$2:H4727) - ROW(H$2) + 1, P$2:P4727 = P4728))))=""単価"","""",
IF(COUNTIF(P$2:P4727, P4728)=0, """", INDEX(H$2:H4727,
MAX(FILTER(ROW(H$2:H4727) - ROW(H$2) + 1, P$2:P4727 = P4728)))))"),45.7)</f>
        <v>45.7</v>
      </c>
      <c r="N4728" s="335" t="str">
        <f>IF(MAXIFS('単価履歴'!$O:$O,'単価履歴'!$E:$E,E4728,'単価履歴'!$F:$F,F4728)=O4728,"●","")</f>
        <v/>
      </c>
      <c r="O4728" s="346">
        <v>46100.81521990741</v>
      </c>
      <c r="P4728" s="334" t="str">
        <f t="shared" si="4"/>
        <v>大鉄　堺:産振Ｈ３(1級)</v>
      </c>
    </row>
    <row r="4729" ht="15.75" customHeight="1">
      <c r="A4729" s="335" t="s">
        <v>5876</v>
      </c>
      <c r="B4729" s="336">
        <v>46101.0</v>
      </c>
      <c r="C4729" s="335" t="s">
        <v>9</v>
      </c>
      <c r="D4729" s="335" t="s">
        <v>50</v>
      </c>
      <c r="E4729" s="337" t="str">
        <f t="shared" si="1"/>
        <v>大鉄　堺:産振</v>
      </c>
      <c r="F4729" s="338" t="s">
        <v>154</v>
      </c>
      <c r="G4729" s="339" t="str">
        <f t="shared" si="2"/>
        <v>大鉄　堺:産振ＣＰ Ａ</v>
      </c>
      <c r="H4729" s="340">
        <f t="shared" si="3"/>
        <v>51.7</v>
      </c>
      <c r="I4729" s="341">
        <v>1.0</v>
      </c>
      <c r="J4729" s="332">
        <f>IFERROR(__xludf.DUMMYFUNCTION("IF(IF(COUNTIF(P$2:P4728, P4729)=0, """", INDEX(H$2:H4728,
MAX(FILTER(ROW(H$2:H4728) - ROW(H$2) + 1, P$2:P4728 = P4729))))=""単価"","""",
IF(COUNTIF(P$2:P4728, P4729)=0, """", INDEX(H$2:H4728,
MAX(FILTER(ROW(H$2:H4728) - ROW(H$2) + 1, P$2:P4728 = P4729)))))"),50.7)</f>
        <v>50.7</v>
      </c>
      <c r="N4729" s="335" t="str">
        <f>IF(MAXIFS('単価履歴'!$O:$O,'単価履歴'!$E:$E,E4729,'単価履歴'!$F:$F,F4729)=O4729,"●","")</f>
        <v/>
      </c>
      <c r="O4729" s="346">
        <v>46100.81521990741</v>
      </c>
      <c r="P4729" s="334" t="str">
        <f t="shared" si="4"/>
        <v>大鉄　堺:産振ＣＰ Ａ</v>
      </c>
    </row>
    <row r="4730" ht="15.75" customHeight="1">
      <c r="A4730" s="335" t="s">
        <v>5877</v>
      </c>
      <c r="B4730" s="336">
        <v>46101.0</v>
      </c>
      <c r="C4730" s="335" t="s">
        <v>9</v>
      </c>
      <c r="D4730" s="335" t="s">
        <v>50</v>
      </c>
      <c r="E4730" s="337" t="str">
        <f t="shared" si="1"/>
        <v>大鉄　堺:産振</v>
      </c>
      <c r="F4730" s="338" t="s">
        <v>156</v>
      </c>
      <c r="G4730" s="339" t="str">
        <f t="shared" si="2"/>
        <v>大鉄　堺:産振ＣＰ Ｂ一斗缶</v>
      </c>
      <c r="H4730" s="340">
        <f t="shared" si="3"/>
        <v>41.5</v>
      </c>
      <c r="I4730" s="341">
        <v>1.0</v>
      </c>
      <c r="J4730" s="332">
        <f>IFERROR(__xludf.DUMMYFUNCTION("IF(IF(COUNTIF(P$2:P4729, P4730)=0, """", INDEX(H$2:H4729,
MAX(FILTER(ROW(H$2:H4729) - ROW(H$2) + 1, P$2:P4729 = P4730))))=""単価"","""",
IF(COUNTIF(P$2:P4729, P4730)=0, """", INDEX(H$2:H4729,
MAX(FILTER(ROW(H$2:H4729) - ROW(H$2) + 1, P$2:P4729 = P4730)))))"),40.5)</f>
        <v>40.5</v>
      </c>
      <c r="N4730" s="335" t="str">
        <f>IF(MAXIFS('単価履歴'!$O:$O,'単価履歴'!$E:$E,E4730,'単価履歴'!$F:$F,F4730)=O4730,"●","")</f>
        <v/>
      </c>
      <c r="O4730" s="346">
        <v>46100.81521990741</v>
      </c>
      <c r="P4730" s="334" t="str">
        <f t="shared" si="4"/>
        <v>大鉄　堺:産振ＣＰ Ｂ一斗缶</v>
      </c>
    </row>
    <row r="4731" ht="15.75" customHeight="1">
      <c r="A4731" s="335" t="s">
        <v>5878</v>
      </c>
      <c r="B4731" s="336">
        <v>46101.0</v>
      </c>
      <c r="C4731" s="335" t="s">
        <v>9</v>
      </c>
      <c r="D4731" s="335" t="s">
        <v>50</v>
      </c>
      <c r="E4731" s="337" t="str">
        <f t="shared" si="1"/>
        <v>大鉄　堺:産振</v>
      </c>
      <c r="F4731" s="338" t="s">
        <v>122</v>
      </c>
      <c r="G4731" s="339" t="str">
        <f t="shared" si="2"/>
        <v>大鉄　堺:産振Ｌ１(2級)</v>
      </c>
      <c r="H4731" s="340">
        <f t="shared" si="3"/>
        <v>45.7</v>
      </c>
      <c r="I4731" s="341">
        <v>1.0</v>
      </c>
      <c r="J4731" s="332">
        <f>IFERROR(__xludf.DUMMYFUNCTION("IF(IF(COUNTIF(P$2:P4730, P4731)=0, """", INDEX(H$2:H4730,
MAX(FILTER(ROW(H$2:H4730) - ROW(H$2) + 1, P$2:P4730 = P4731))))=""単価"","""",
IF(COUNTIF(P$2:P4730, P4731)=0, """", INDEX(H$2:H4730,
MAX(FILTER(ROW(H$2:H4730) - ROW(H$2) + 1, P$2:P4730 = P4731)))))"),44.7)</f>
        <v>44.7</v>
      </c>
      <c r="N4731" s="335" t="str">
        <f>IF(MAXIFS('単価履歴'!$O:$O,'単価履歴'!$E:$E,E4731,'単価履歴'!$F:$F,F4731)=O4731,"●","")</f>
        <v/>
      </c>
      <c r="O4731" s="346">
        <v>46100.81521990741</v>
      </c>
      <c r="P4731" s="334" t="str">
        <f t="shared" si="4"/>
        <v>大鉄　堺:産振Ｌ１(2級)</v>
      </c>
    </row>
    <row r="4732" ht="15.75" customHeight="1">
      <c r="A4732" s="335" t="s">
        <v>5879</v>
      </c>
      <c r="B4732" s="336">
        <v>46101.0</v>
      </c>
      <c r="C4732" s="335" t="s">
        <v>9</v>
      </c>
      <c r="D4732" s="335" t="s">
        <v>50</v>
      </c>
      <c r="E4732" s="337" t="str">
        <f t="shared" si="1"/>
        <v>大鉄　堺:産振</v>
      </c>
      <c r="F4732" s="338" t="s">
        <v>130</v>
      </c>
      <c r="G4732" s="339" t="str">
        <f t="shared" si="2"/>
        <v>大鉄　堺:産振新断Ａ</v>
      </c>
      <c r="H4732" s="340">
        <f t="shared" si="3"/>
        <v>47.7</v>
      </c>
      <c r="I4732" s="341">
        <v>1.0</v>
      </c>
      <c r="J4732" s="332">
        <f>IFERROR(__xludf.DUMMYFUNCTION("IF(IF(COUNTIF(P$2:P4731, P4732)=0, """", INDEX(H$2:H4731,
MAX(FILTER(ROW(H$2:H4731) - ROW(H$2) + 1, P$2:P4731 = P4732))))=""単価"","""",
IF(COUNTIF(P$2:P4731, P4732)=0, """", INDEX(H$2:H4731,
MAX(FILTER(ROW(H$2:H4731) - ROW(H$2) + 1, P$2:P4731 = P4732)))))"),46.7)</f>
        <v>46.7</v>
      </c>
      <c r="N4732" s="335" t="str">
        <f>IF(MAXIFS('単価履歴'!$O:$O,'単価履歴'!$E:$E,E4732,'単価履歴'!$F:$F,F4732)=O4732,"●","")</f>
        <v/>
      </c>
      <c r="O4732" s="346">
        <v>46100.81521990741</v>
      </c>
      <c r="P4732" s="334" t="str">
        <f t="shared" si="4"/>
        <v>大鉄　堺:産振新断Ａ</v>
      </c>
    </row>
    <row r="4733" ht="15.75" customHeight="1">
      <c r="A4733" s="335" t="s">
        <v>5880</v>
      </c>
      <c r="B4733" s="336">
        <v>46101.0</v>
      </c>
      <c r="C4733" s="335" t="s">
        <v>9</v>
      </c>
      <c r="D4733" s="335" t="s">
        <v>50</v>
      </c>
      <c r="E4733" s="337" t="str">
        <f t="shared" si="1"/>
        <v>大鉄　堺:産振</v>
      </c>
      <c r="F4733" s="338" t="s">
        <v>131</v>
      </c>
      <c r="G4733" s="339" t="str">
        <f t="shared" si="2"/>
        <v>大鉄　堺:産振新断Ｂ</v>
      </c>
      <c r="H4733" s="340">
        <f t="shared" si="3"/>
        <v>47.2</v>
      </c>
      <c r="I4733" s="341">
        <v>1.0</v>
      </c>
      <c r="J4733" s="332">
        <f>IFERROR(__xludf.DUMMYFUNCTION("IF(IF(COUNTIF(P$2:P4732, P4733)=0, """", INDEX(H$2:H4732,
MAX(FILTER(ROW(H$2:H4732) - ROW(H$2) + 1, P$2:P4732 = P4733))))=""単価"","""",
IF(COUNTIF(P$2:P4732, P4733)=0, """", INDEX(H$2:H4732,
MAX(FILTER(ROW(H$2:H4732) - ROW(H$2) + 1, P$2:P4732 = P4733)))))"),46.2)</f>
        <v>46.2</v>
      </c>
      <c r="N4733" s="335" t="str">
        <f>IF(MAXIFS('単価履歴'!$O:$O,'単価履歴'!$E:$E,E4733,'単価履歴'!$F:$F,F4733)=O4733,"●","")</f>
        <v/>
      </c>
      <c r="O4733" s="346">
        <v>46100.81521990741</v>
      </c>
      <c r="P4733" s="334" t="str">
        <f t="shared" si="4"/>
        <v>大鉄　堺:産振新断Ｂ</v>
      </c>
    </row>
    <row r="4734" ht="15.75" customHeight="1">
      <c r="A4734" s="335" t="s">
        <v>5881</v>
      </c>
      <c r="B4734" s="336">
        <v>46101.0</v>
      </c>
      <c r="C4734" s="335" t="s">
        <v>9</v>
      </c>
      <c r="D4734" s="335" t="s">
        <v>50</v>
      </c>
      <c r="E4734" s="337" t="str">
        <f t="shared" si="1"/>
        <v>大鉄　堺:産振</v>
      </c>
      <c r="F4734" s="338" t="s">
        <v>575</v>
      </c>
      <c r="G4734" s="339" t="str">
        <f t="shared" si="2"/>
        <v>大鉄　堺:産振鋼ダライＡ</v>
      </c>
      <c r="H4734" s="340">
        <f t="shared" si="3"/>
        <v>43.2</v>
      </c>
      <c r="I4734" s="341">
        <v>1.0</v>
      </c>
      <c r="J4734" s="332">
        <f>IFERROR(__xludf.DUMMYFUNCTION("IF(IF(COUNTIF(P$2:P4733, P4734)=0, """", INDEX(H$2:H4733,
MAX(FILTER(ROW(H$2:H4733) - ROW(H$2) + 1, P$2:P4733 = P4734))))=""単価"","""",
IF(COUNTIF(P$2:P4733, P4734)=0, """", INDEX(H$2:H4733,
MAX(FILTER(ROW(H$2:H4733) - ROW(H$2) + 1, P$2:P4733 = P4734)))))"),42.2)</f>
        <v>42.2</v>
      </c>
      <c r="N4734" s="335" t="str">
        <f>IF(MAXIFS('単価履歴'!$O:$O,'単価履歴'!$E:$E,E4734,'単価履歴'!$F:$F,F4734)=O4734,"●","")</f>
        <v/>
      </c>
      <c r="O4734" s="346">
        <v>46100.81521990741</v>
      </c>
      <c r="P4734" s="334" t="str">
        <f t="shared" si="4"/>
        <v>大鉄　堺:産振鋼ダライＡ</v>
      </c>
    </row>
    <row r="4735" ht="15.75" customHeight="1">
      <c r="A4735" s="335" t="s">
        <v>5882</v>
      </c>
      <c r="B4735" s="336">
        <v>46101.0</v>
      </c>
      <c r="C4735" s="335" t="s">
        <v>9</v>
      </c>
      <c r="D4735" s="335" t="s">
        <v>49</v>
      </c>
      <c r="E4735" s="337" t="str">
        <f t="shared" si="1"/>
        <v>大鉄　堺:伊藤忠</v>
      </c>
      <c r="F4735" s="338" t="s">
        <v>111</v>
      </c>
      <c r="G4735" s="339" t="str">
        <f t="shared" si="2"/>
        <v>大鉄　堺:伊藤忠Ｈ１(特A)</v>
      </c>
      <c r="H4735" s="340">
        <f t="shared" si="3"/>
        <v>34.3</v>
      </c>
      <c r="I4735" s="341">
        <v>1.0</v>
      </c>
      <c r="J4735" s="332">
        <f>IFERROR(__xludf.DUMMYFUNCTION("IF(IF(COUNTIF(P$2:P4734, P4735)=0, """", INDEX(H$2:H4734,
MAX(FILTER(ROW(H$2:H4734) - ROW(H$2) + 1, P$2:P4734 = P4735))))=""単価"","""",
IF(COUNTIF(P$2:P4734, P4735)=0, """", INDEX(H$2:H4734,
MAX(FILTER(ROW(H$2:H4734) - ROW(H$2) + 1, P$2:P4734 = P4735)))))"),33.3)</f>
        <v>33.3</v>
      </c>
      <c r="N4735" s="335" t="str">
        <f>IF(MAXIFS('単価履歴'!$O:$O,'単価履歴'!$E:$E,E4735,'単価履歴'!$F:$F,F4735)=O4735,"●","")</f>
        <v/>
      </c>
      <c r="O4735" s="346">
        <v>46100.81539351852</v>
      </c>
      <c r="P4735" s="334" t="str">
        <f t="shared" si="4"/>
        <v>大鉄　堺:伊藤忠Ｈ１(特A)</v>
      </c>
    </row>
    <row r="4736" ht="15.75" customHeight="1">
      <c r="A4736" s="335" t="s">
        <v>5883</v>
      </c>
      <c r="B4736" s="336">
        <v>46101.0</v>
      </c>
      <c r="C4736" s="335" t="s">
        <v>9</v>
      </c>
      <c r="D4736" s="335" t="s">
        <v>49</v>
      </c>
      <c r="E4736" s="337" t="str">
        <f t="shared" si="1"/>
        <v>大鉄　堺:伊藤忠</v>
      </c>
      <c r="F4736" s="338" t="s">
        <v>1237</v>
      </c>
      <c r="G4736" s="339" t="str">
        <f t="shared" si="2"/>
        <v>大鉄　堺:伊藤忠ＪＨ１(H2T山口)鍛造ﾊﾞﾘ</v>
      </c>
      <c r="H4736" s="340">
        <f t="shared" si="3"/>
        <v>41.7</v>
      </c>
      <c r="I4736" s="341">
        <v>1.0</v>
      </c>
      <c r="J4736" s="332">
        <f>IFERROR(__xludf.DUMMYFUNCTION("IF(IF(COUNTIF(P$2:P4735, P4736)=0, """", INDEX(H$2:H4735,
MAX(FILTER(ROW(H$2:H4735) - ROW(H$2) + 1, P$2:P4735 = P4736))))=""単価"","""",
IF(COUNTIF(P$2:P4735, P4736)=0, """", INDEX(H$2:H4735,
MAX(FILTER(ROW(H$2:H4735) - ROW(H$2) + 1, P$2:P4735 = P4736)))))"),40.7)</f>
        <v>40.7</v>
      </c>
      <c r="N4736" s="335" t="str">
        <f>IF(MAXIFS('単価履歴'!$O:$O,'単価履歴'!$E:$E,E4736,'単価履歴'!$F:$F,F4736)=O4736,"●","")</f>
        <v/>
      </c>
      <c r="O4736" s="346">
        <v>46100.81539351852</v>
      </c>
      <c r="P4736" s="334" t="str">
        <f t="shared" si="4"/>
        <v>大鉄　堺:伊藤忠ＪＨ１(H2T山口)鍛造ﾊﾞﾘ</v>
      </c>
    </row>
    <row r="4737" ht="15.75" customHeight="1">
      <c r="A4737" s="335" t="s">
        <v>5884</v>
      </c>
      <c r="B4737" s="336">
        <v>46101.0</v>
      </c>
      <c r="C4737" s="335" t="s">
        <v>9</v>
      </c>
      <c r="D4737" s="335" t="s">
        <v>49</v>
      </c>
      <c r="E4737" s="337" t="str">
        <f t="shared" si="1"/>
        <v>大鉄　堺:伊藤忠</v>
      </c>
      <c r="F4737" s="338" t="s">
        <v>116</v>
      </c>
      <c r="G4737" s="339" t="str">
        <f t="shared" si="2"/>
        <v>大鉄　堺:伊藤忠Ｈ２(特級)</v>
      </c>
      <c r="H4737" s="340">
        <f t="shared" si="3"/>
        <v>39.5</v>
      </c>
      <c r="I4737" s="341">
        <v>1.0</v>
      </c>
      <c r="J4737" s="332">
        <f>IFERROR(__xludf.DUMMYFUNCTION("IF(IF(COUNTIF(P$2:P4736, P4737)=0, """", INDEX(H$2:H4736,
MAX(FILTER(ROW(H$2:H4736) - ROW(H$2) + 1, P$2:P4736 = P4737))))=""単価"","""",
IF(COUNTIF(P$2:P4736, P4737)=0, """", INDEX(H$2:H4736,
MAX(FILTER(ROW(H$2:H4736) - ROW(H$2) + 1, P$2:P4736 = P4737)))))"),38.5)</f>
        <v>38.5</v>
      </c>
      <c r="N4737" s="335" t="str">
        <f>IF(MAXIFS('単価履歴'!$O:$O,'単価履歴'!$E:$E,E4737,'単価履歴'!$F:$F,F4737)=O4737,"●","")</f>
        <v/>
      </c>
      <c r="O4737" s="346">
        <v>46100.81539351852</v>
      </c>
      <c r="P4737" s="334" t="str">
        <f t="shared" si="4"/>
        <v>大鉄　堺:伊藤忠Ｈ２(特級)</v>
      </c>
    </row>
    <row r="4738" ht="15.75" customHeight="1">
      <c r="A4738" s="335" t="s">
        <v>5885</v>
      </c>
      <c r="B4738" s="336">
        <v>46101.0</v>
      </c>
      <c r="C4738" s="335" t="s">
        <v>9</v>
      </c>
      <c r="D4738" s="335" t="s">
        <v>49</v>
      </c>
      <c r="E4738" s="337" t="str">
        <f t="shared" si="1"/>
        <v>大鉄　堺:伊藤忠</v>
      </c>
      <c r="F4738" s="338" t="s">
        <v>119</v>
      </c>
      <c r="G4738" s="339" t="str">
        <f t="shared" si="2"/>
        <v>大鉄　堺:伊藤忠Ｈ３(1級)</v>
      </c>
      <c r="H4738" s="340">
        <f t="shared" si="3"/>
        <v>38.5</v>
      </c>
      <c r="I4738" s="341">
        <v>1.0</v>
      </c>
      <c r="J4738" s="332">
        <f>IFERROR(__xludf.DUMMYFUNCTION("IF(IF(COUNTIF(P$2:P4737, P4738)=0, """", INDEX(H$2:H4737,
MAX(FILTER(ROW(H$2:H4737) - ROW(H$2) + 1, P$2:P4737 = P4738))))=""単価"","""",
IF(COUNTIF(P$2:P4737, P4738)=0, """", INDEX(H$2:H4737,
MAX(FILTER(ROW(H$2:H4737) - ROW(H$2) + 1, P$2:P4737 = P4738)))))"),37.5)</f>
        <v>37.5</v>
      </c>
      <c r="N4738" s="335" t="str">
        <f>IF(MAXIFS('単価履歴'!$O:$O,'単価履歴'!$E:$E,E4738,'単価履歴'!$F:$F,F4738)=O4738,"●","")</f>
        <v/>
      </c>
      <c r="O4738" s="346">
        <v>46100.81539351852</v>
      </c>
      <c r="P4738" s="334" t="str">
        <f t="shared" si="4"/>
        <v>大鉄　堺:伊藤忠Ｈ３(1級)</v>
      </c>
    </row>
    <row r="4739" ht="15.75" customHeight="1">
      <c r="A4739" s="335" t="s">
        <v>5886</v>
      </c>
      <c r="B4739" s="336">
        <v>46101.0</v>
      </c>
      <c r="C4739" s="335" t="s">
        <v>9</v>
      </c>
      <c r="D4739" s="335" t="s">
        <v>49</v>
      </c>
      <c r="E4739" s="337" t="str">
        <f t="shared" si="1"/>
        <v>大鉄　堺:伊藤忠</v>
      </c>
      <c r="F4739" s="338" t="s">
        <v>122</v>
      </c>
      <c r="G4739" s="339" t="str">
        <f t="shared" si="2"/>
        <v>大鉄　堺:伊藤忠Ｌ１(2級)</v>
      </c>
      <c r="H4739" s="340">
        <f t="shared" si="3"/>
        <v>37.5</v>
      </c>
      <c r="I4739" s="341">
        <v>1.0</v>
      </c>
      <c r="J4739" s="332">
        <f>IFERROR(__xludf.DUMMYFUNCTION("IF(IF(COUNTIF(P$2:P4738, P4739)=0, """", INDEX(H$2:H4738,
MAX(FILTER(ROW(H$2:H4738) - ROW(H$2) + 1, P$2:P4738 = P4739))))=""単価"","""",
IF(COUNTIF(P$2:P4738, P4739)=0, """", INDEX(H$2:H4738,
MAX(FILTER(ROW(H$2:H4738) - ROW(H$2) + 1, P$2:P4738 = P4739)))))"),36.5)</f>
        <v>36.5</v>
      </c>
      <c r="N4739" s="335" t="str">
        <f>IF(MAXIFS('単価履歴'!$O:$O,'単価履歴'!$E:$E,E4739,'単価履歴'!$F:$F,F4739)=O4739,"●","")</f>
        <v/>
      </c>
      <c r="O4739" s="346">
        <v>46100.81539351852</v>
      </c>
      <c r="P4739" s="334" t="str">
        <f t="shared" si="4"/>
        <v>大鉄　堺:伊藤忠Ｌ１(2級)</v>
      </c>
    </row>
    <row r="4740" ht="15.75" customHeight="1">
      <c r="A4740" s="335" t="s">
        <v>5887</v>
      </c>
      <c r="B4740" s="336">
        <v>46101.0</v>
      </c>
      <c r="C4740" s="335" t="s">
        <v>9</v>
      </c>
      <c r="D4740" s="335" t="s">
        <v>49</v>
      </c>
      <c r="E4740" s="337" t="str">
        <f t="shared" si="1"/>
        <v>大鉄　堺:伊藤忠</v>
      </c>
      <c r="F4740" s="338" t="s">
        <v>130</v>
      </c>
      <c r="G4740" s="339" t="str">
        <f t="shared" si="2"/>
        <v>大鉄　堺:伊藤忠新断Ａ</v>
      </c>
      <c r="H4740" s="340">
        <f t="shared" si="3"/>
        <v>33.8</v>
      </c>
      <c r="I4740" s="341">
        <v>1.0</v>
      </c>
      <c r="J4740" s="332">
        <f>IFERROR(__xludf.DUMMYFUNCTION("IF(IF(COUNTIF(P$2:P4739, P4740)=0, """", INDEX(H$2:H4739,
MAX(FILTER(ROW(H$2:H4739) - ROW(H$2) + 1, P$2:P4739 = P4740))))=""単価"","""",
IF(COUNTIF(P$2:P4739, P4740)=0, """", INDEX(H$2:H4739,
MAX(FILTER(ROW(H$2:H4739) - ROW(H$2) + 1, P$2:P4739 = P4740)))))"),32.8)</f>
        <v>32.8</v>
      </c>
      <c r="N4740" s="335" t="str">
        <f>IF(MAXIFS('単価履歴'!$O:$O,'単価履歴'!$E:$E,E4740,'単価履歴'!$F:$F,F4740)=O4740,"●","")</f>
        <v/>
      </c>
      <c r="O4740" s="346">
        <v>46100.81539351852</v>
      </c>
      <c r="P4740" s="334" t="str">
        <f t="shared" si="4"/>
        <v>大鉄　堺:伊藤忠新断Ａ</v>
      </c>
    </row>
    <row r="4741" ht="15.75" customHeight="1">
      <c r="A4741" s="335" t="s">
        <v>5888</v>
      </c>
      <c r="B4741" s="336">
        <v>46101.0</v>
      </c>
      <c r="C4741" s="335" t="s">
        <v>9</v>
      </c>
      <c r="D4741" s="335" t="s">
        <v>49</v>
      </c>
      <c r="E4741" s="337" t="str">
        <f t="shared" si="1"/>
        <v>大鉄　堺:伊藤忠</v>
      </c>
      <c r="F4741" s="338" t="s">
        <v>131</v>
      </c>
      <c r="G4741" s="339" t="str">
        <f t="shared" si="2"/>
        <v>大鉄　堺:伊藤忠新断Ｂ</v>
      </c>
      <c r="H4741" s="340">
        <f t="shared" si="3"/>
        <v>33.3</v>
      </c>
      <c r="I4741" s="341">
        <v>1.0</v>
      </c>
      <c r="J4741" s="332">
        <f>IFERROR(__xludf.DUMMYFUNCTION("IF(IF(COUNTIF(P$2:P4740, P4741)=0, """", INDEX(H$2:H4740,
MAX(FILTER(ROW(H$2:H4740) - ROW(H$2) + 1, P$2:P4740 = P4741))))=""単価"","""",
IF(COUNTIF(P$2:P4740, P4741)=0, """", INDEX(H$2:H4740,
MAX(FILTER(ROW(H$2:H4740) - ROW(H$2) + 1, P$2:P4740 = P4741)))))"),32.3)</f>
        <v>32.3</v>
      </c>
      <c r="N4741" s="335" t="str">
        <f>IF(MAXIFS('単価履歴'!$O:$O,'単価履歴'!$E:$E,E4741,'単価履歴'!$F:$F,F4741)=O4741,"●","")</f>
        <v/>
      </c>
      <c r="O4741" s="346">
        <v>46100.81539351852</v>
      </c>
      <c r="P4741" s="334" t="str">
        <f t="shared" si="4"/>
        <v>大鉄　堺:伊藤忠新断Ｂ</v>
      </c>
    </row>
    <row r="4742" ht="15.75" customHeight="1">
      <c r="A4742" s="335" t="s">
        <v>5889</v>
      </c>
      <c r="B4742" s="336">
        <v>46101.0</v>
      </c>
      <c r="C4742" s="335" t="s">
        <v>9</v>
      </c>
      <c r="D4742" s="335" t="s">
        <v>48</v>
      </c>
      <c r="E4742" s="337" t="str">
        <f t="shared" si="1"/>
        <v>大鉄　堺:ナベ</v>
      </c>
      <c r="F4742" s="338" t="s">
        <v>116</v>
      </c>
      <c r="G4742" s="339" t="str">
        <f t="shared" si="2"/>
        <v>大鉄　堺:ナベＨ２(特級)</v>
      </c>
      <c r="H4742" s="340">
        <f t="shared" si="3"/>
        <v>49.7</v>
      </c>
      <c r="I4742" s="341">
        <v>1.0</v>
      </c>
      <c r="J4742" s="332">
        <f>IFERROR(__xludf.DUMMYFUNCTION("IF(IF(COUNTIF(P$2:P4741, P4742)=0, """", INDEX(H$2:H4741,
MAX(FILTER(ROW(H$2:H4741) - ROW(H$2) + 1, P$2:P4741 = P4742))))=""単価"","""",
IF(COUNTIF(P$2:P4741, P4742)=0, """", INDEX(H$2:H4741,
MAX(FILTER(ROW(H$2:H4741) - ROW(H$2) + 1, P$2:P4741 = P4742)))))"),48.7)</f>
        <v>48.7</v>
      </c>
      <c r="N4742" s="335" t="str">
        <f>IF(MAXIFS('単価履歴'!$O:$O,'単価履歴'!$E:$E,E4742,'単価履歴'!$F:$F,F4742)=O4742,"●","")</f>
        <v/>
      </c>
      <c r="O4742" s="346">
        <v>46100.8155787037</v>
      </c>
      <c r="P4742" s="334" t="str">
        <f t="shared" si="4"/>
        <v>大鉄　堺:ナベＨ２(特級)</v>
      </c>
    </row>
    <row r="4743" ht="15.75" customHeight="1">
      <c r="A4743" s="335" t="s">
        <v>5890</v>
      </c>
      <c r="B4743" s="336">
        <v>46101.0</v>
      </c>
      <c r="C4743" s="335" t="s">
        <v>9</v>
      </c>
      <c r="D4743" s="335" t="s">
        <v>48</v>
      </c>
      <c r="E4743" s="337" t="str">
        <f t="shared" si="1"/>
        <v>大鉄　堺:ナベ</v>
      </c>
      <c r="F4743" s="338" t="s">
        <v>119</v>
      </c>
      <c r="G4743" s="339" t="str">
        <f t="shared" si="2"/>
        <v>大鉄　堺:ナベＨ３(1級)</v>
      </c>
      <c r="H4743" s="340">
        <f t="shared" si="3"/>
        <v>49.2</v>
      </c>
      <c r="I4743" s="341">
        <v>1.0</v>
      </c>
      <c r="J4743" s="332">
        <f>IFERROR(__xludf.DUMMYFUNCTION("IF(IF(COUNTIF(P$2:P4742, P4743)=0, """", INDEX(H$2:H4742,
MAX(FILTER(ROW(H$2:H4742) - ROW(H$2) + 1, P$2:P4742 = P4743))))=""単価"","""",
IF(COUNTIF(P$2:P4742, P4743)=0, """", INDEX(H$2:H4742,
MAX(FILTER(ROW(H$2:H4742) - ROW(H$2) + 1, P$2:P4742 = P4743)))))"),48.2)</f>
        <v>48.2</v>
      </c>
      <c r="N4743" s="335" t="str">
        <f>IF(MAXIFS('単価履歴'!$O:$O,'単価履歴'!$E:$E,E4743,'単価履歴'!$F:$F,F4743)=O4743,"●","")</f>
        <v/>
      </c>
      <c r="O4743" s="346">
        <v>46100.8155787037</v>
      </c>
      <c r="P4743" s="334" t="str">
        <f t="shared" si="4"/>
        <v>大鉄　堺:ナベＨ３(1級)</v>
      </c>
    </row>
    <row r="4744" ht="15.75" customHeight="1">
      <c r="A4744" s="335" t="s">
        <v>5891</v>
      </c>
      <c r="B4744" s="336">
        <v>46101.0</v>
      </c>
      <c r="C4744" s="335" t="s">
        <v>9</v>
      </c>
      <c r="D4744" s="335" t="s">
        <v>48</v>
      </c>
      <c r="E4744" s="337" t="str">
        <f t="shared" si="1"/>
        <v>大鉄　堺:ナベ</v>
      </c>
      <c r="F4744" s="338" t="s">
        <v>122</v>
      </c>
      <c r="G4744" s="339" t="str">
        <f t="shared" si="2"/>
        <v>大鉄　堺:ナベＬ１(2級)</v>
      </c>
      <c r="H4744" s="340">
        <f t="shared" si="3"/>
        <v>48.7</v>
      </c>
      <c r="I4744" s="341">
        <v>1.0</v>
      </c>
      <c r="J4744" s="332">
        <f>IFERROR(__xludf.DUMMYFUNCTION("IF(IF(COUNTIF(P$2:P4743, P4744)=0, """", INDEX(H$2:H4743,
MAX(FILTER(ROW(H$2:H4743) - ROW(H$2) + 1, P$2:P4743 = P4744))))=""単価"","""",
IF(COUNTIF(P$2:P4743, P4744)=0, """", INDEX(H$2:H4743,
MAX(FILTER(ROW(H$2:H4743) - ROW(H$2) + 1, P$2:P4743 = P4744)))))"),47.7)</f>
        <v>47.7</v>
      </c>
      <c r="N4744" s="335" t="str">
        <f>IF(MAXIFS('単価履歴'!$O:$O,'単価履歴'!$E:$E,E4744,'単価履歴'!$F:$F,F4744)=O4744,"●","")</f>
        <v/>
      </c>
      <c r="O4744" s="346">
        <v>46100.8155787037</v>
      </c>
      <c r="P4744" s="334" t="str">
        <f t="shared" si="4"/>
        <v>大鉄　堺:ナベＬ１(2級)</v>
      </c>
    </row>
    <row r="4745" ht="15.75" customHeight="1">
      <c r="A4745" s="335" t="s">
        <v>5892</v>
      </c>
      <c r="B4745" s="336">
        <v>46102.0</v>
      </c>
      <c r="C4745" s="335" t="s">
        <v>10</v>
      </c>
      <c r="D4745" s="335" t="s">
        <v>47</v>
      </c>
      <c r="E4745" s="337" t="str">
        <f t="shared" si="1"/>
        <v>岸和田:豊通</v>
      </c>
      <c r="F4745" s="338" t="s">
        <v>111</v>
      </c>
      <c r="G4745" s="339" t="str">
        <f t="shared" si="2"/>
        <v>岸和田:豊通Ｈ１(特A)</v>
      </c>
      <c r="H4745" s="340">
        <f t="shared" si="3"/>
        <v>49.5</v>
      </c>
      <c r="I4745" s="341">
        <v>1.0</v>
      </c>
      <c r="J4745" s="332">
        <f>IFERROR(__xludf.DUMMYFUNCTION("IF(IF(COUNTIF(P$2:P4744, P4745)=0, """", INDEX(H$2:H4744,
MAX(FILTER(ROW(H$2:H4744) - ROW(H$2) + 1, P$2:P4744 = P4745))))=""単価"","""",
IF(COUNTIF(P$2:P4744, P4745)=0, """", INDEX(H$2:H4744,
MAX(FILTER(ROW(H$2:H4744) - ROW(H$2) + 1, P$2:P4744 = P4745)))))"),48.5)</f>
        <v>48.5</v>
      </c>
      <c r="N4745" s="335" t="str">
        <f>IF(MAXIFS('単価履歴'!$O:$O,'単価履歴'!$E:$E,E4745,'単価履歴'!$F:$F,F4745)=O4745,"●","")</f>
        <v/>
      </c>
      <c r="O4745" s="346">
        <v>46100.816030092596</v>
      </c>
      <c r="P4745" s="334" t="str">
        <f t="shared" si="4"/>
        <v>岸和田:豊通Ｈ１(特A)</v>
      </c>
    </row>
    <row r="4746" ht="15.75" customHeight="1">
      <c r="A4746" s="335" t="s">
        <v>5893</v>
      </c>
      <c r="B4746" s="336">
        <v>46102.0</v>
      </c>
      <c r="C4746" s="335" t="s">
        <v>10</v>
      </c>
      <c r="D4746" s="335" t="s">
        <v>47</v>
      </c>
      <c r="E4746" s="337" t="str">
        <f t="shared" si="1"/>
        <v>岸和田:豊通</v>
      </c>
      <c r="F4746" s="338" t="s">
        <v>116</v>
      </c>
      <c r="G4746" s="339" t="str">
        <f t="shared" si="2"/>
        <v>岸和田:豊通Ｈ２(特級)</v>
      </c>
      <c r="H4746" s="340">
        <f t="shared" si="3"/>
        <v>47</v>
      </c>
      <c r="I4746" s="341">
        <v>1.0</v>
      </c>
      <c r="J4746" s="332">
        <f>IFERROR(__xludf.DUMMYFUNCTION("IF(IF(COUNTIF(P$2:P4745, P4746)=0, """", INDEX(H$2:H4745,
MAX(FILTER(ROW(H$2:H4745) - ROW(H$2) + 1, P$2:P4745 = P4746))))=""単価"","""",
IF(COUNTIF(P$2:P4745, P4746)=0, """", INDEX(H$2:H4745,
MAX(FILTER(ROW(H$2:H4745) - ROW(H$2) + 1, P$2:P4745 = P4746)))))"),46.0)</f>
        <v>46</v>
      </c>
      <c r="N4746" s="335" t="str">
        <f>IF(MAXIFS('単価履歴'!$O:$O,'単価履歴'!$E:$E,E4746,'単価履歴'!$F:$F,F4746)=O4746,"●","")</f>
        <v/>
      </c>
      <c r="O4746" s="346">
        <v>46100.816030092596</v>
      </c>
      <c r="P4746" s="334" t="str">
        <f t="shared" si="4"/>
        <v>岸和田:豊通Ｈ２(特級)</v>
      </c>
    </row>
    <row r="4747" ht="15.75" customHeight="1">
      <c r="A4747" s="335" t="s">
        <v>5894</v>
      </c>
      <c r="B4747" s="336">
        <v>46102.0</v>
      </c>
      <c r="C4747" s="335" t="s">
        <v>10</v>
      </c>
      <c r="D4747" s="335" t="s">
        <v>47</v>
      </c>
      <c r="E4747" s="337" t="str">
        <f t="shared" si="1"/>
        <v>岸和田:豊通</v>
      </c>
      <c r="F4747" s="338" t="s">
        <v>119</v>
      </c>
      <c r="G4747" s="339" t="str">
        <f t="shared" si="2"/>
        <v>岸和田:豊通Ｈ３(1級)</v>
      </c>
      <c r="H4747" s="340">
        <f t="shared" si="3"/>
        <v>46.5</v>
      </c>
      <c r="I4747" s="341">
        <v>1.0</v>
      </c>
      <c r="J4747" s="332">
        <f>IFERROR(__xludf.DUMMYFUNCTION("IF(IF(COUNTIF(P$2:P4746, P4747)=0, """", INDEX(H$2:H4746,
MAX(FILTER(ROW(H$2:H4746) - ROW(H$2) + 1, P$2:P4746 = P4747))))=""単価"","""",
IF(COUNTIF(P$2:P4746, P4747)=0, """", INDEX(H$2:H4746,
MAX(FILTER(ROW(H$2:H4746) - ROW(H$2) + 1, P$2:P4746 = P4747)))))"),45.5)</f>
        <v>45.5</v>
      </c>
      <c r="N4747" s="335" t="str">
        <f>IF(MAXIFS('単価履歴'!$O:$O,'単価履歴'!$E:$E,E4747,'単価履歴'!$F:$F,F4747)=O4747,"●","")</f>
        <v/>
      </c>
      <c r="O4747" s="346">
        <v>46100.816030092596</v>
      </c>
      <c r="P4747" s="334" t="str">
        <f t="shared" si="4"/>
        <v>岸和田:豊通Ｈ３(1級)</v>
      </c>
    </row>
    <row r="4748" ht="15.75" customHeight="1">
      <c r="A4748" s="335" t="s">
        <v>5895</v>
      </c>
      <c r="B4748" s="336">
        <v>46102.0</v>
      </c>
      <c r="C4748" s="335" t="s">
        <v>10</v>
      </c>
      <c r="D4748" s="335" t="s">
        <v>47</v>
      </c>
      <c r="E4748" s="337" t="str">
        <f t="shared" si="1"/>
        <v>岸和田:豊通</v>
      </c>
      <c r="F4748" s="338" t="s">
        <v>122</v>
      </c>
      <c r="G4748" s="339" t="str">
        <f t="shared" si="2"/>
        <v>岸和田:豊通Ｌ１(2級)</v>
      </c>
      <c r="H4748" s="340">
        <f t="shared" si="3"/>
        <v>46</v>
      </c>
      <c r="I4748" s="341">
        <v>1.0</v>
      </c>
      <c r="J4748" s="332">
        <f>IFERROR(__xludf.DUMMYFUNCTION("IF(IF(COUNTIF(P$2:P4747, P4748)=0, """", INDEX(H$2:H4747,
MAX(FILTER(ROW(H$2:H4747) - ROW(H$2) + 1, P$2:P4747 = P4748))))=""単価"","""",
IF(COUNTIF(P$2:P4747, P4748)=0, """", INDEX(H$2:H4747,
MAX(FILTER(ROW(H$2:H4747) - ROW(H$2) + 1, P$2:P4747 = P4748)))))"),45.0)</f>
        <v>45</v>
      </c>
      <c r="N4748" s="335" t="str">
        <f>IF(MAXIFS('単価履歴'!$O:$O,'単価履歴'!$E:$E,E4748,'単価履歴'!$F:$F,F4748)=O4748,"●","")</f>
        <v/>
      </c>
      <c r="O4748" s="346">
        <v>46100.816030092596</v>
      </c>
      <c r="P4748" s="334" t="str">
        <f t="shared" si="4"/>
        <v>岸和田:豊通Ｌ１(2級)</v>
      </c>
    </row>
    <row r="4749" ht="15.75" customHeight="1">
      <c r="A4749" s="335" t="s">
        <v>5896</v>
      </c>
      <c r="B4749" s="336">
        <v>46102.0</v>
      </c>
      <c r="C4749" s="335" t="s">
        <v>10</v>
      </c>
      <c r="D4749" s="335" t="s">
        <v>47</v>
      </c>
      <c r="E4749" s="337" t="str">
        <f t="shared" si="1"/>
        <v>岸和田:豊通</v>
      </c>
      <c r="F4749" s="338" t="s">
        <v>154</v>
      </c>
      <c r="G4749" s="339" t="str">
        <f t="shared" si="2"/>
        <v>岸和田:豊通ＣＰ Ａ</v>
      </c>
      <c r="H4749" s="340">
        <f t="shared" si="3"/>
        <v>49.2</v>
      </c>
      <c r="I4749" s="341">
        <v>1.0</v>
      </c>
      <c r="J4749" s="332">
        <f>IFERROR(__xludf.DUMMYFUNCTION("IF(IF(COUNTIF(P$2:P4748, P4749)=0, """", INDEX(H$2:H4748,
MAX(FILTER(ROW(H$2:H4748) - ROW(H$2) + 1, P$2:P4748 = P4749))))=""単価"","""",
IF(COUNTIF(P$2:P4748, P4749)=0, """", INDEX(H$2:H4748,
MAX(FILTER(ROW(H$2:H4748) - ROW(H$2) + 1, P$2:P4748 = P4749)))))"),48.2)</f>
        <v>48.2</v>
      </c>
      <c r="N4749" s="335" t="str">
        <f>IF(MAXIFS('単価履歴'!$O:$O,'単価履歴'!$E:$E,E4749,'単価履歴'!$F:$F,F4749)=O4749,"●","")</f>
        <v/>
      </c>
      <c r="O4749" s="346">
        <v>46100.816030092596</v>
      </c>
      <c r="P4749" s="334" t="str">
        <f t="shared" si="4"/>
        <v>岸和田:豊通ＣＰ Ａ</v>
      </c>
    </row>
    <row r="4750" ht="15.75" customHeight="1">
      <c r="A4750" s="335" t="s">
        <v>5897</v>
      </c>
      <c r="B4750" s="336">
        <v>46102.0</v>
      </c>
      <c r="C4750" s="335" t="s">
        <v>10</v>
      </c>
      <c r="D4750" s="335" t="s">
        <v>539</v>
      </c>
      <c r="E4750" s="337" t="str">
        <f t="shared" si="1"/>
        <v>岸和田:岡谷鋼機</v>
      </c>
      <c r="F4750" s="338" t="s">
        <v>111</v>
      </c>
      <c r="G4750" s="339" t="str">
        <f t="shared" si="2"/>
        <v>岸和田:岡谷鋼機Ｈ１(特A)</v>
      </c>
      <c r="H4750" s="340">
        <f t="shared" si="3"/>
        <v>53.7</v>
      </c>
      <c r="I4750" s="341">
        <v>1.0</v>
      </c>
      <c r="J4750" s="332">
        <f>IFERROR(__xludf.DUMMYFUNCTION("IF(IF(COUNTIF(P$2:P4749, P4750)=0, """", INDEX(H$2:H4749,
MAX(FILTER(ROW(H$2:H4749) - ROW(H$2) + 1, P$2:P4749 = P4750))))=""単価"","""",
IF(COUNTIF(P$2:P4749, P4750)=0, """", INDEX(H$2:H4749,
MAX(FILTER(ROW(H$2:H4749) - ROW(H$2) + 1, P$2:P4749 = P4750)))))"),52.7)</f>
        <v>52.7</v>
      </c>
      <c r="N4750" s="335" t="str">
        <f>IF(MAXIFS('単価履歴'!$O:$O,'単価履歴'!$E:$E,E4750,'単価履歴'!$F:$F,F4750)=O4750,"●","")</f>
        <v/>
      </c>
      <c r="O4750" s="346">
        <v>46100.816516203704</v>
      </c>
      <c r="P4750" s="334" t="str">
        <f t="shared" si="4"/>
        <v>岸和田:岡谷鋼機Ｈ１(特A)</v>
      </c>
    </row>
    <row r="4751" ht="15.75" customHeight="1">
      <c r="A4751" s="335" t="s">
        <v>5898</v>
      </c>
      <c r="B4751" s="336">
        <v>46102.0</v>
      </c>
      <c r="C4751" s="335" t="s">
        <v>10</v>
      </c>
      <c r="D4751" s="335" t="s">
        <v>539</v>
      </c>
      <c r="E4751" s="337" t="str">
        <f t="shared" si="1"/>
        <v>岸和田:岡谷鋼機</v>
      </c>
      <c r="F4751" s="338" t="s">
        <v>116</v>
      </c>
      <c r="G4751" s="339" t="str">
        <f t="shared" si="2"/>
        <v>岸和田:岡谷鋼機Ｈ２(特級)</v>
      </c>
      <c r="H4751" s="340">
        <f t="shared" si="3"/>
        <v>51.7</v>
      </c>
      <c r="I4751" s="341">
        <v>1.0</v>
      </c>
      <c r="J4751" s="332">
        <f>IFERROR(__xludf.DUMMYFUNCTION("IF(IF(COUNTIF(P$2:P4750, P4751)=0, """", INDEX(H$2:H4750,
MAX(FILTER(ROW(H$2:H4750) - ROW(H$2) + 1, P$2:P4750 = P4751))))=""単価"","""",
IF(COUNTIF(P$2:P4750, P4751)=0, """", INDEX(H$2:H4750,
MAX(FILTER(ROW(H$2:H4750) - ROW(H$2) + 1, P$2:P4750 = P4751)))))"),50.7)</f>
        <v>50.7</v>
      </c>
      <c r="N4751" s="335" t="str">
        <f>IF(MAXIFS('単価履歴'!$O:$O,'単価履歴'!$E:$E,E4751,'単価履歴'!$F:$F,F4751)=O4751,"●","")</f>
        <v/>
      </c>
      <c r="O4751" s="346">
        <v>46100.816516203704</v>
      </c>
      <c r="P4751" s="334" t="str">
        <f t="shared" si="4"/>
        <v>岸和田:岡谷鋼機Ｈ２(特級)</v>
      </c>
    </row>
    <row r="4752" ht="15.75" customHeight="1">
      <c r="A4752" s="335" t="s">
        <v>5899</v>
      </c>
      <c r="B4752" s="336">
        <v>46102.0</v>
      </c>
      <c r="C4752" s="335" t="s">
        <v>10</v>
      </c>
      <c r="D4752" s="335" t="s">
        <v>539</v>
      </c>
      <c r="E4752" s="337" t="str">
        <f t="shared" si="1"/>
        <v>岸和田:岡谷鋼機</v>
      </c>
      <c r="F4752" s="338" t="s">
        <v>119</v>
      </c>
      <c r="G4752" s="339" t="str">
        <f t="shared" si="2"/>
        <v>岸和田:岡谷鋼機Ｈ３(1級)</v>
      </c>
      <c r="H4752" s="340">
        <f t="shared" si="3"/>
        <v>50.2</v>
      </c>
      <c r="I4752" s="341">
        <v>1.0</v>
      </c>
      <c r="J4752" s="332">
        <f>IFERROR(__xludf.DUMMYFUNCTION("IF(IF(COUNTIF(P$2:P4751, P4752)=0, """", INDEX(H$2:H4751,
MAX(FILTER(ROW(H$2:H4751) - ROW(H$2) + 1, P$2:P4751 = P4752))))=""単価"","""",
IF(COUNTIF(P$2:P4751, P4752)=0, """", INDEX(H$2:H4751,
MAX(FILTER(ROW(H$2:H4751) - ROW(H$2) + 1, P$2:P4751 = P4752)))))"),49.2)</f>
        <v>49.2</v>
      </c>
      <c r="N4752" s="335" t="str">
        <f>IF(MAXIFS('単価履歴'!$O:$O,'単価履歴'!$E:$E,E4752,'単価履歴'!$F:$F,F4752)=O4752,"●","")</f>
        <v/>
      </c>
      <c r="O4752" s="346">
        <v>46100.816516203704</v>
      </c>
      <c r="P4752" s="334" t="str">
        <f t="shared" si="4"/>
        <v>岸和田:岡谷鋼機Ｈ３(1級)</v>
      </c>
    </row>
    <row r="4753" ht="15.75" customHeight="1">
      <c r="A4753" s="335" t="s">
        <v>5900</v>
      </c>
      <c r="B4753" s="336">
        <v>46102.0</v>
      </c>
      <c r="C4753" s="335" t="s">
        <v>10</v>
      </c>
      <c r="D4753" s="335" t="s">
        <v>46</v>
      </c>
      <c r="E4753" s="337" t="str">
        <f t="shared" si="1"/>
        <v>岸和田:阪和</v>
      </c>
      <c r="F4753" s="338" t="s">
        <v>149</v>
      </c>
      <c r="G4753" s="339" t="str">
        <f t="shared" si="2"/>
        <v>岸和田:阪和シュレＢ</v>
      </c>
      <c r="H4753" s="340">
        <f t="shared" si="3"/>
        <v>48.8</v>
      </c>
      <c r="I4753" s="341">
        <v>1.0</v>
      </c>
      <c r="J4753" s="332">
        <f>IFERROR(__xludf.DUMMYFUNCTION("IF(IF(COUNTIF(P$2:P4752, P4753)=0, """", INDEX(H$2:H4752,
MAX(FILTER(ROW(H$2:H4752) - ROW(H$2) + 1, P$2:P4752 = P4753))))=""単価"","""",
IF(COUNTIF(P$2:P4752, P4753)=0, """", INDEX(H$2:H4752,
MAX(FILTER(ROW(H$2:H4752) - ROW(H$2) + 1, P$2:P4752 = P4753)))))"),47.8)</f>
        <v>47.8</v>
      </c>
      <c r="N4753" s="335" t="str">
        <f>IF(MAXIFS('単価履歴'!$O:$O,'単価履歴'!$E:$E,E4753,'単価履歴'!$F:$F,F4753)=O4753,"●","")</f>
        <v/>
      </c>
      <c r="O4753" s="346">
        <v>46100.81680555556</v>
      </c>
      <c r="P4753" s="334" t="str">
        <f t="shared" si="4"/>
        <v>岸和田:阪和シュレＢ</v>
      </c>
    </row>
    <row r="4754" ht="15.75" customHeight="1">
      <c r="A4754" s="335" t="s">
        <v>5901</v>
      </c>
      <c r="B4754" s="336">
        <v>46101.0</v>
      </c>
      <c r="C4754" s="335" t="s">
        <v>13</v>
      </c>
      <c r="D4754" s="335" t="s">
        <v>49</v>
      </c>
      <c r="E4754" s="337" t="str">
        <f t="shared" si="1"/>
        <v>ｸﾎﾞﾀ:伊藤忠</v>
      </c>
      <c r="F4754" s="338" t="s">
        <v>130</v>
      </c>
      <c r="G4754" s="339" t="str">
        <f t="shared" si="2"/>
        <v>ｸﾎﾞﾀ:伊藤忠新断Ａ</v>
      </c>
      <c r="H4754" s="340">
        <f t="shared" si="3"/>
        <v>55.2</v>
      </c>
      <c r="I4754" s="341">
        <v>1.0</v>
      </c>
      <c r="J4754" s="332">
        <f>IFERROR(__xludf.DUMMYFUNCTION("IF(IF(COUNTIF(P$2:P4753, P4754)=0, """", INDEX(H$2:H4753,
MAX(FILTER(ROW(H$2:H4753) - ROW(H$2) + 1, P$2:P4753 = P4754))))=""単価"","""",
IF(COUNTIF(P$2:P4753, P4754)=0, """", INDEX(H$2:H4753,
MAX(FILTER(ROW(H$2:H4753) - ROW(H$2) + 1, P$2:P4753 = P4754)))))"),54.2)</f>
        <v>54.2</v>
      </c>
      <c r="N4754" s="335" t="str">
        <f>IF(MAXIFS('単価履歴'!$O:$O,'単価履歴'!$E:$E,E4754,'単価履歴'!$F:$F,F4754)=O4754,"●","")</f>
        <v/>
      </c>
      <c r="O4754" s="346">
        <v>46100.817303240736</v>
      </c>
      <c r="P4754" s="334" t="str">
        <f t="shared" si="4"/>
        <v>ｸﾎﾞﾀ:伊藤忠新断Ａ</v>
      </c>
    </row>
    <row r="4755" ht="15.75" customHeight="1">
      <c r="A4755" s="335" t="s">
        <v>5902</v>
      </c>
      <c r="B4755" s="336">
        <v>46093.0</v>
      </c>
      <c r="C4755" s="335" t="s">
        <v>22</v>
      </c>
      <c r="D4755" s="335" t="s">
        <v>47</v>
      </c>
      <c r="E4755" s="337" t="str">
        <f t="shared" si="1"/>
        <v>栗本鐵工:豊通</v>
      </c>
      <c r="F4755" s="338" t="s">
        <v>1199</v>
      </c>
      <c r="G4755" s="339" t="str">
        <f t="shared" si="2"/>
        <v>栗本鐵工:豊通ＨＳ１(単体H1/電特A/HS))</v>
      </c>
      <c r="H4755" s="340">
        <f t="shared" si="3"/>
        <v>53.8</v>
      </c>
      <c r="I4755" s="341">
        <v>2.0</v>
      </c>
      <c r="J4755" s="332">
        <f>IFERROR(__xludf.DUMMYFUNCTION("IF(IF(COUNTIF(P$2:P4754, P4755)=0, """", INDEX(H$2:H4754,
MAX(FILTER(ROW(H$2:H4754) - ROW(H$2) + 1, P$2:P4754 = P4755))))=""単価"","""",
IF(COUNTIF(P$2:P4754, P4755)=0, """", INDEX(H$2:H4754,
MAX(FILTER(ROW(H$2:H4754) - ROW(H$2) + 1, P$2:P4754 = P4755)))))"),51.8)</f>
        <v>51.8</v>
      </c>
      <c r="N4755" s="335" t="str">
        <f>IF(MAXIFS('単価履歴'!$O:$O,'単価履歴'!$E:$E,E4755,'単価履歴'!$F:$F,F4755)=O4755,"●","")</f>
        <v/>
      </c>
      <c r="O4755" s="346">
        <v>46100.81765046297</v>
      </c>
      <c r="P4755" s="334" t="str">
        <f t="shared" si="4"/>
        <v>栗本鐵工:豊通ＨＳ１(単体H1/電特A/HS))</v>
      </c>
    </row>
    <row r="4756" ht="15.75" customHeight="1">
      <c r="A4756" s="335" t="s">
        <v>5903</v>
      </c>
      <c r="B4756" s="336">
        <v>46093.0</v>
      </c>
      <c r="C4756" s="335" t="s">
        <v>22</v>
      </c>
      <c r="D4756" s="335" t="s">
        <v>47</v>
      </c>
      <c r="E4756" s="337" t="str">
        <f t="shared" si="1"/>
        <v>栗本鐵工:豊通</v>
      </c>
      <c r="F4756" s="338" t="s">
        <v>101</v>
      </c>
      <c r="G4756" s="339" t="str">
        <f t="shared" si="2"/>
        <v>栗本鐵工:豊通ＨＳ２</v>
      </c>
      <c r="H4756" s="340">
        <f t="shared" si="3"/>
        <v>53.5</v>
      </c>
      <c r="I4756" s="341">
        <v>2.0</v>
      </c>
      <c r="J4756" s="332">
        <f>IFERROR(__xludf.DUMMYFUNCTION("IF(IF(COUNTIF(P$2:P4755, P4756)=0, """", INDEX(H$2:H4755,
MAX(FILTER(ROW(H$2:H4755) - ROW(H$2) + 1, P$2:P4755 = P4756))))=""単価"","""",
IF(COUNTIF(P$2:P4755, P4756)=0, """", INDEX(H$2:H4755,
MAX(FILTER(ROW(H$2:H4755) - ROW(H$2) + 1, P$2:P4755 = P4756)))))"),51.5)</f>
        <v>51.5</v>
      </c>
      <c r="N4756" s="335" t="str">
        <f>IF(MAXIFS('単価履歴'!$O:$O,'単価履歴'!$E:$E,E4756,'単価履歴'!$F:$F,F4756)=O4756,"●","")</f>
        <v/>
      </c>
      <c r="O4756" s="346">
        <v>46100.81765046297</v>
      </c>
      <c r="P4756" s="334" t="str">
        <f t="shared" si="4"/>
        <v>栗本鐵工:豊通ＨＳ２</v>
      </c>
    </row>
    <row r="4757" ht="15.75" customHeight="1">
      <c r="A4757" s="335" t="s">
        <v>5904</v>
      </c>
      <c r="B4757" s="336">
        <v>46093.0</v>
      </c>
      <c r="C4757" s="335" t="s">
        <v>22</v>
      </c>
      <c r="D4757" s="335" t="s">
        <v>47</v>
      </c>
      <c r="E4757" s="337" t="str">
        <f t="shared" si="1"/>
        <v>栗本鐵工:豊通</v>
      </c>
      <c r="F4757" s="338" t="s">
        <v>105</v>
      </c>
      <c r="G4757" s="339" t="str">
        <f t="shared" si="2"/>
        <v>栗本鐵工:豊通ＨＳ３</v>
      </c>
      <c r="H4757" s="340">
        <f t="shared" si="3"/>
        <v>52.6</v>
      </c>
      <c r="I4757" s="341">
        <v>2.0</v>
      </c>
      <c r="J4757" s="332">
        <f>IFERROR(__xludf.DUMMYFUNCTION("IF(IF(COUNTIF(P$2:P4756, P4757)=0, """", INDEX(H$2:H4756,
MAX(FILTER(ROW(H$2:H4756) - ROW(H$2) + 1, P$2:P4756 = P4757))))=""単価"","""",
IF(COUNTIF(P$2:P4756, P4757)=0, """", INDEX(H$2:H4756,
MAX(FILTER(ROW(H$2:H4756) - ROW(H$2) + 1, P$2:P4756 = P4757)))))"),50.6)</f>
        <v>50.6</v>
      </c>
      <c r="N4757" s="335" t="str">
        <f>IF(MAXIFS('単価履歴'!$O:$O,'単価履歴'!$E:$E,E4757,'単価履歴'!$F:$F,F4757)=O4757,"●","")</f>
        <v/>
      </c>
      <c r="O4757" s="346">
        <v>46100.81765046297</v>
      </c>
      <c r="P4757" s="334" t="str">
        <f t="shared" si="4"/>
        <v>栗本鐵工:豊通ＨＳ３</v>
      </c>
    </row>
    <row r="4758" ht="15.75" customHeight="1">
      <c r="A4758" s="335" t="s">
        <v>5905</v>
      </c>
      <c r="B4758" s="336">
        <v>46093.0</v>
      </c>
      <c r="C4758" s="335" t="s">
        <v>22</v>
      </c>
      <c r="D4758" s="335" t="s">
        <v>47</v>
      </c>
      <c r="E4758" s="337" t="str">
        <f t="shared" si="1"/>
        <v>栗本鐵工:豊通</v>
      </c>
      <c r="F4758" s="338" t="s">
        <v>577</v>
      </c>
      <c r="G4758" s="339" t="str">
        <f t="shared" si="2"/>
        <v>栗本鐵工:豊通鋳物・ﾀﾞｸﾀｲﾙ</v>
      </c>
      <c r="H4758" s="340">
        <f t="shared" si="3"/>
        <v>52.4</v>
      </c>
      <c r="I4758" s="341">
        <v>2.0</v>
      </c>
      <c r="J4758" s="332">
        <f>IFERROR(__xludf.DUMMYFUNCTION("IF(IF(COUNTIF(P$2:P4757, P4758)=0, """", INDEX(H$2:H4757,
MAX(FILTER(ROW(H$2:H4757) - ROW(H$2) + 1, P$2:P4757 = P4758))))=""単価"","""",
IF(COUNTIF(P$2:P4757, P4758)=0, """", INDEX(H$2:H4757,
MAX(FILTER(ROW(H$2:H4757) - ROW(H$2) + 1, P$2:P4757 = P4758)))))"),50.4)</f>
        <v>50.4</v>
      </c>
      <c r="N4758" s="335" t="str">
        <f>IF(MAXIFS('単価履歴'!$O:$O,'単価履歴'!$E:$E,E4758,'単価履歴'!$F:$F,F4758)=O4758,"●","")</f>
        <v/>
      </c>
      <c r="O4758" s="346">
        <v>46100.81765046297</v>
      </c>
      <c r="P4758" s="334" t="str">
        <f t="shared" si="4"/>
        <v>栗本鐵工:豊通鋳物・ﾀﾞｸﾀｲﾙ</v>
      </c>
    </row>
    <row r="4759" ht="15.75" customHeight="1">
      <c r="A4759" s="335" t="s">
        <v>5906</v>
      </c>
      <c r="B4759" s="336">
        <v>46101.0</v>
      </c>
      <c r="C4759" s="335" t="s">
        <v>22</v>
      </c>
      <c r="D4759" s="335" t="s">
        <v>47</v>
      </c>
      <c r="E4759" s="337" t="str">
        <f t="shared" si="1"/>
        <v>栗本鐵工:豊通</v>
      </c>
      <c r="F4759" s="338" t="s">
        <v>1199</v>
      </c>
      <c r="G4759" s="339" t="str">
        <f t="shared" si="2"/>
        <v>栗本鐵工:豊通ＨＳ１(単体H1/電特A/HS))</v>
      </c>
      <c r="H4759" s="340">
        <f t="shared" si="3"/>
        <v>54.8</v>
      </c>
      <c r="I4759" s="341">
        <v>1.0</v>
      </c>
      <c r="J4759" s="332">
        <f>IFERROR(__xludf.DUMMYFUNCTION("IF(IF(COUNTIF(P$2:P4758, P4759)=0, """", INDEX(H$2:H4758,
MAX(FILTER(ROW(H$2:H4758) - ROW(H$2) + 1, P$2:P4758 = P4759))))=""単価"","""",
IF(COUNTIF(P$2:P4758, P4759)=0, """", INDEX(H$2:H4758,
MAX(FILTER(ROW(H$2:H4758) - ROW(H$2) + 1, P$2:P4758 = P4759)))))"),53.8)</f>
        <v>53.8</v>
      </c>
      <c r="N4759" s="335" t="str">
        <f>IF(MAXIFS('単価履歴'!$O:$O,'単価履歴'!$E:$E,E4759,'単価履歴'!$F:$F,F4759)=O4759,"●","")</f>
        <v/>
      </c>
      <c r="O4759" s="346">
        <v>46100.818078703705</v>
      </c>
      <c r="P4759" s="334" t="str">
        <f t="shared" si="4"/>
        <v>栗本鐵工:豊通ＨＳ１(単体H1/電特A/HS))</v>
      </c>
    </row>
    <row r="4760" ht="15.75" customHeight="1">
      <c r="A4760" s="335" t="s">
        <v>5907</v>
      </c>
      <c r="B4760" s="336">
        <v>46101.0</v>
      </c>
      <c r="C4760" s="335" t="s">
        <v>22</v>
      </c>
      <c r="D4760" s="335" t="s">
        <v>47</v>
      </c>
      <c r="E4760" s="337" t="str">
        <f t="shared" si="1"/>
        <v>栗本鐵工:豊通</v>
      </c>
      <c r="F4760" s="338" t="s">
        <v>101</v>
      </c>
      <c r="G4760" s="339" t="str">
        <f t="shared" si="2"/>
        <v>栗本鐵工:豊通ＨＳ２</v>
      </c>
      <c r="H4760" s="340">
        <f t="shared" si="3"/>
        <v>54.5</v>
      </c>
      <c r="I4760" s="341">
        <v>1.0</v>
      </c>
      <c r="J4760" s="332">
        <f>IFERROR(__xludf.DUMMYFUNCTION("IF(IF(COUNTIF(P$2:P4759, P4760)=0, """", INDEX(H$2:H4759,
MAX(FILTER(ROW(H$2:H4759) - ROW(H$2) + 1, P$2:P4759 = P4760))))=""単価"","""",
IF(COUNTIF(P$2:P4759, P4760)=0, """", INDEX(H$2:H4759,
MAX(FILTER(ROW(H$2:H4759) - ROW(H$2) + 1, P$2:P4759 = P4760)))))"),53.5)</f>
        <v>53.5</v>
      </c>
      <c r="N4760" s="335" t="str">
        <f>IF(MAXIFS('単価履歴'!$O:$O,'単価履歴'!$E:$E,E4760,'単価履歴'!$F:$F,F4760)=O4760,"●","")</f>
        <v/>
      </c>
      <c r="O4760" s="346">
        <v>46100.818078703705</v>
      </c>
      <c r="P4760" s="334" t="str">
        <f t="shared" si="4"/>
        <v>栗本鐵工:豊通ＨＳ２</v>
      </c>
    </row>
    <row r="4761" ht="15.75" customHeight="1">
      <c r="A4761" s="335" t="s">
        <v>5908</v>
      </c>
      <c r="B4761" s="336">
        <v>46101.0</v>
      </c>
      <c r="C4761" s="335" t="s">
        <v>22</v>
      </c>
      <c r="D4761" s="335" t="s">
        <v>47</v>
      </c>
      <c r="E4761" s="337" t="str">
        <f t="shared" si="1"/>
        <v>栗本鐵工:豊通</v>
      </c>
      <c r="F4761" s="338" t="s">
        <v>105</v>
      </c>
      <c r="G4761" s="339" t="str">
        <f t="shared" si="2"/>
        <v>栗本鐵工:豊通ＨＳ３</v>
      </c>
      <c r="H4761" s="340">
        <f t="shared" si="3"/>
        <v>53.6</v>
      </c>
      <c r="I4761" s="341">
        <v>1.0</v>
      </c>
      <c r="J4761" s="332">
        <f>IFERROR(__xludf.DUMMYFUNCTION("IF(IF(COUNTIF(P$2:P4760, P4761)=0, """", INDEX(H$2:H4760,
MAX(FILTER(ROW(H$2:H4760) - ROW(H$2) + 1, P$2:P4760 = P4761))))=""単価"","""",
IF(COUNTIF(P$2:P4760, P4761)=0, """", INDEX(H$2:H4760,
MAX(FILTER(ROW(H$2:H4760) - ROW(H$2) + 1, P$2:P4760 = P4761)))))"),52.6)</f>
        <v>52.6</v>
      </c>
      <c r="N4761" s="335" t="str">
        <f>IF(MAXIFS('単価履歴'!$O:$O,'単価履歴'!$E:$E,E4761,'単価履歴'!$F:$F,F4761)=O4761,"●","")</f>
        <v/>
      </c>
      <c r="O4761" s="346">
        <v>46100.818078703705</v>
      </c>
      <c r="P4761" s="334" t="str">
        <f t="shared" si="4"/>
        <v>栗本鐵工:豊通ＨＳ３</v>
      </c>
    </row>
    <row r="4762" ht="15.75" customHeight="1">
      <c r="A4762" s="335" t="s">
        <v>5909</v>
      </c>
      <c r="B4762" s="336">
        <v>46101.0</v>
      </c>
      <c r="C4762" s="335" t="s">
        <v>22</v>
      </c>
      <c r="D4762" s="335" t="s">
        <v>47</v>
      </c>
      <c r="E4762" s="337" t="str">
        <f t="shared" si="1"/>
        <v>栗本鐵工:豊通</v>
      </c>
      <c r="F4762" s="338" t="s">
        <v>577</v>
      </c>
      <c r="G4762" s="339" t="str">
        <f t="shared" si="2"/>
        <v>栗本鐵工:豊通鋳物・ﾀﾞｸﾀｲﾙ</v>
      </c>
      <c r="H4762" s="340">
        <f t="shared" si="3"/>
        <v>53.4</v>
      </c>
      <c r="I4762" s="341">
        <v>1.0</v>
      </c>
      <c r="J4762" s="332">
        <f>IFERROR(__xludf.DUMMYFUNCTION("IF(IF(COUNTIF(P$2:P4761, P4762)=0, """", INDEX(H$2:H4761,
MAX(FILTER(ROW(H$2:H4761) - ROW(H$2) + 1, P$2:P4761 = P4762))))=""単価"","""",
IF(COUNTIF(P$2:P4761, P4762)=0, """", INDEX(H$2:H4761,
MAX(FILTER(ROW(H$2:H4761) - ROW(H$2) + 1, P$2:P4761 = P4762)))))"),52.4)</f>
        <v>52.4</v>
      </c>
      <c r="N4762" s="335" t="str">
        <f>IF(MAXIFS('単価履歴'!$O:$O,'単価履歴'!$E:$E,E4762,'単価履歴'!$F:$F,F4762)=O4762,"●","")</f>
        <v/>
      </c>
      <c r="O4762" s="346">
        <v>46100.818078703705</v>
      </c>
      <c r="P4762" s="334" t="str">
        <f t="shared" si="4"/>
        <v>栗本鐵工:豊通鋳物・ﾀﾞｸﾀｲﾙ</v>
      </c>
    </row>
    <row r="4763" ht="15.75" customHeight="1">
      <c r="A4763" s="335" t="s">
        <v>5910</v>
      </c>
      <c r="B4763" s="336">
        <v>46104.0</v>
      </c>
      <c r="C4763" s="335" t="s">
        <v>36</v>
      </c>
      <c r="D4763" s="335" t="s">
        <v>1303</v>
      </c>
      <c r="E4763" s="337" t="str">
        <f t="shared" si="1"/>
        <v>共英枚方:ナベ/置場単価</v>
      </c>
      <c r="F4763" s="338" t="s">
        <v>111</v>
      </c>
      <c r="G4763" s="339" t="str">
        <f t="shared" si="2"/>
        <v>共英枚方:ナベ/置場単価Ｈ１(特A)</v>
      </c>
      <c r="H4763" s="340">
        <f t="shared" si="3"/>
        <v>49</v>
      </c>
      <c r="I4763" s="341">
        <v>1.0</v>
      </c>
      <c r="J4763" s="332">
        <f>IFERROR(__xludf.DUMMYFUNCTION("IF(IF(COUNTIF(P$2:P4762, P4763)=0, """", INDEX(H$2:H4762,
MAX(FILTER(ROW(H$2:H4762) - ROW(H$2) + 1, P$2:P4762 = P4763))))=""単価"","""",
IF(COUNTIF(P$2:P4762, P4763)=0, """", INDEX(H$2:H4762,
MAX(FILTER(ROW(H$2:H4762) - ROW(H$2) + 1, P$2:P4762 = P4763)))))"),48.0)</f>
        <v>48</v>
      </c>
      <c r="N4763" s="335" t="str">
        <f>IF(MAXIFS('単価履歴'!$O:$O,'単価履歴'!$E:$E,E4763,'単価履歴'!$F:$F,F4763)=O4763,"●","")</f>
        <v/>
      </c>
      <c r="O4763" s="346">
        <v>46100.818344907406</v>
      </c>
      <c r="P4763" s="334" t="str">
        <f t="shared" si="4"/>
        <v>共英枚方:ナベ/置場単価Ｈ１(特A)</v>
      </c>
    </row>
    <row r="4764" ht="15.75" customHeight="1">
      <c r="A4764" s="335" t="s">
        <v>5911</v>
      </c>
      <c r="B4764" s="336">
        <v>46104.0</v>
      </c>
      <c r="C4764" s="335" t="s">
        <v>36</v>
      </c>
      <c r="D4764" s="335" t="s">
        <v>1303</v>
      </c>
      <c r="E4764" s="337" t="str">
        <f t="shared" si="1"/>
        <v>共英枚方:ナベ/置場単価</v>
      </c>
      <c r="F4764" s="338" t="s">
        <v>116</v>
      </c>
      <c r="G4764" s="339" t="str">
        <f t="shared" si="2"/>
        <v>共英枚方:ナベ/置場単価Ｈ２(特級)</v>
      </c>
      <c r="H4764" s="340">
        <f t="shared" si="3"/>
        <v>47.5</v>
      </c>
      <c r="I4764" s="341">
        <v>1.0</v>
      </c>
      <c r="J4764" s="332">
        <f>IFERROR(__xludf.DUMMYFUNCTION("IF(IF(COUNTIF(P$2:P4763, P4764)=0, """", INDEX(H$2:H4763,
MAX(FILTER(ROW(H$2:H4763) - ROW(H$2) + 1, P$2:P4763 = P4764))))=""単価"","""",
IF(COUNTIF(P$2:P4763, P4764)=0, """", INDEX(H$2:H4763,
MAX(FILTER(ROW(H$2:H4763) - ROW(H$2) + 1, P$2:P4763 = P4764)))))"),46.5)</f>
        <v>46.5</v>
      </c>
      <c r="N4764" s="335" t="str">
        <f>IF(MAXIFS('単価履歴'!$O:$O,'単価履歴'!$E:$E,E4764,'単価履歴'!$F:$F,F4764)=O4764,"●","")</f>
        <v/>
      </c>
      <c r="O4764" s="346">
        <v>46100.818344907406</v>
      </c>
      <c r="P4764" s="334" t="str">
        <f t="shared" si="4"/>
        <v>共英枚方:ナベ/置場単価Ｈ２(特級)</v>
      </c>
    </row>
    <row r="4765" ht="15.75" customHeight="1">
      <c r="A4765" s="335" t="s">
        <v>5912</v>
      </c>
      <c r="B4765" s="336">
        <v>46104.0</v>
      </c>
      <c r="C4765" s="335" t="s">
        <v>36</v>
      </c>
      <c r="D4765" s="335" t="s">
        <v>1303</v>
      </c>
      <c r="E4765" s="337" t="str">
        <f t="shared" si="1"/>
        <v>共英枚方:ナベ/置場単価</v>
      </c>
      <c r="F4765" s="338" t="s">
        <v>119</v>
      </c>
      <c r="G4765" s="339" t="str">
        <f t="shared" si="2"/>
        <v>共英枚方:ナベ/置場単価Ｈ３(1級)</v>
      </c>
      <c r="H4765" s="340">
        <f t="shared" si="3"/>
        <v>47.5</v>
      </c>
      <c r="I4765" s="341">
        <v>1.0</v>
      </c>
      <c r="J4765" s="332">
        <f>IFERROR(__xludf.DUMMYFUNCTION("IF(IF(COUNTIF(P$2:P4764, P4765)=0, """", INDEX(H$2:H4764,
MAX(FILTER(ROW(H$2:H4764) - ROW(H$2) + 1, P$2:P4764 = P4765))))=""単価"","""",
IF(COUNTIF(P$2:P4764, P4765)=0, """", INDEX(H$2:H4764,
MAX(FILTER(ROW(H$2:H4764) - ROW(H$2) + 1, P$2:P4764 = P4765)))))"),46.5)</f>
        <v>46.5</v>
      </c>
      <c r="N4765" s="335" t="str">
        <f>IF(MAXIFS('単価履歴'!$O:$O,'単価履歴'!$E:$E,E4765,'単価履歴'!$F:$F,F4765)=O4765,"●","")</f>
        <v/>
      </c>
      <c r="O4765" s="346">
        <v>46100.818344907406</v>
      </c>
      <c r="P4765" s="334" t="str">
        <f t="shared" si="4"/>
        <v>共英枚方:ナベ/置場単価Ｈ３(1級)</v>
      </c>
    </row>
    <row r="4766" ht="15.75" customHeight="1">
      <c r="A4766" s="335" t="s">
        <v>5913</v>
      </c>
      <c r="B4766" s="336">
        <v>46104.0</v>
      </c>
      <c r="C4766" s="335" t="s">
        <v>36</v>
      </c>
      <c r="D4766" s="335" t="s">
        <v>1303</v>
      </c>
      <c r="E4766" s="337" t="str">
        <f t="shared" si="1"/>
        <v>共英枚方:ナベ/置場単価</v>
      </c>
      <c r="F4766" s="338" t="s">
        <v>122</v>
      </c>
      <c r="G4766" s="339" t="str">
        <f t="shared" si="2"/>
        <v>共英枚方:ナベ/置場単価Ｌ１(2級)</v>
      </c>
      <c r="H4766" s="340">
        <f t="shared" si="3"/>
        <v>47.5</v>
      </c>
      <c r="I4766" s="341">
        <v>1.0</v>
      </c>
      <c r="J4766" s="332">
        <f>IFERROR(__xludf.DUMMYFUNCTION("IF(IF(COUNTIF(P$2:P4765, P4766)=0, """", INDEX(H$2:H4765,
MAX(FILTER(ROW(H$2:H4765) - ROW(H$2) + 1, P$2:P4765 = P4766))))=""単価"","""",
IF(COUNTIF(P$2:P4765, P4766)=0, """", INDEX(H$2:H4765,
MAX(FILTER(ROW(H$2:H4765) - ROW(H$2) + 1, P$2:P4765 = P4766)))))"),46.5)</f>
        <v>46.5</v>
      </c>
      <c r="N4766" s="335" t="str">
        <f>IF(MAXIFS('単価履歴'!$O:$O,'単価履歴'!$E:$E,E4766,'単価履歴'!$F:$F,F4766)=O4766,"●","")</f>
        <v/>
      </c>
      <c r="O4766" s="346">
        <v>46100.818344907406</v>
      </c>
      <c r="P4766" s="334" t="str">
        <f t="shared" si="4"/>
        <v>共英枚方:ナベ/置場単価Ｌ１(2級)</v>
      </c>
    </row>
    <row r="4767" ht="15.75" customHeight="1">
      <c r="A4767" s="335" t="s">
        <v>5914</v>
      </c>
      <c r="B4767" s="336">
        <v>46104.0</v>
      </c>
      <c r="C4767" s="335" t="s">
        <v>36</v>
      </c>
      <c r="D4767" s="335" t="s">
        <v>1303</v>
      </c>
      <c r="E4767" s="337" t="str">
        <f t="shared" si="1"/>
        <v>共英枚方:ナベ/置場単価</v>
      </c>
      <c r="F4767" s="338" t="s">
        <v>154</v>
      </c>
      <c r="G4767" s="339" t="str">
        <f t="shared" si="2"/>
        <v>共英枚方:ナベ/置場単価ＣＰ Ａ</v>
      </c>
      <c r="H4767" s="340">
        <f t="shared" si="3"/>
        <v>51</v>
      </c>
      <c r="I4767" s="341">
        <v>1.0</v>
      </c>
      <c r="J4767" s="332">
        <f>IFERROR(__xludf.DUMMYFUNCTION("IF(IF(COUNTIF(P$2:P4766, P4767)=0, """", INDEX(H$2:H4766,
MAX(FILTER(ROW(H$2:H4766) - ROW(H$2) + 1, P$2:P4766 = P4767))))=""単価"","""",
IF(COUNTIF(P$2:P4766, P4767)=0, """", INDEX(H$2:H4766,
MAX(FILTER(ROW(H$2:H4766) - ROW(H$2) + 1, P$2:P4766 = P4767)))))"),50.0)</f>
        <v>50</v>
      </c>
      <c r="N4767" s="335" t="str">
        <f>IF(MAXIFS('単価履歴'!$O:$O,'単価履歴'!$E:$E,E4767,'単価履歴'!$F:$F,F4767)=O4767,"●","")</f>
        <v/>
      </c>
      <c r="O4767" s="346">
        <v>46100.818344907406</v>
      </c>
      <c r="P4767" s="334" t="str">
        <f t="shared" si="4"/>
        <v>共英枚方:ナベ/置場単価ＣＰ Ａ</v>
      </c>
    </row>
    <row r="4768" ht="15.75" customHeight="1">
      <c r="A4768" s="335" t="s">
        <v>5915</v>
      </c>
      <c r="B4768" s="336">
        <v>46101.0</v>
      </c>
      <c r="C4768" s="335" t="s">
        <v>31</v>
      </c>
      <c r="D4768" s="335" t="s">
        <v>47</v>
      </c>
      <c r="E4768" s="337" t="str">
        <f t="shared" si="1"/>
        <v>泉北中谷:豊通</v>
      </c>
      <c r="F4768" s="338" t="s">
        <v>130</v>
      </c>
      <c r="G4768" s="339" t="str">
        <f t="shared" si="2"/>
        <v>泉北中谷:豊通新断Ａ</v>
      </c>
      <c r="H4768" s="340">
        <f t="shared" si="3"/>
        <v>53.5</v>
      </c>
      <c r="I4768" s="341">
        <v>0.5</v>
      </c>
      <c r="J4768" s="332">
        <f>IFERROR(__xludf.DUMMYFUNCTION("IF(IF(COUNTIF(P$2:P4767, P4768)=0, """", INDEX(H$2:H4767,
MAX(FILTER(ROW(H$2:H4767) - ROW(H$2) + 1, P$2:P4767 = P4768))))=""単価"","""",
IF(COUNTIF(P$2:P4767, P4768)=0, """", INDEX(H$2:H4767,
MAX(FILTER(ROW(H$2:H4767) - ROW(H$2) + 1, P$2:P4767 = P4768)))))"),53.0)</f>
        <v>53</v>
      </c>
      <c r="N4768" s="335" t="str">
        <f>IF(MAXIFS('単価履歴'!$O:$O,'単価履歴'!$E:$E,E4768,'単価履歴'!$F:$F,F4768)=O4768,"●","")</f>
        <v/>
      </c>
      <c r="O4768" s="346">
        <v>46100.81880787037</v>
      </c>
      <c r="P4768" s="334" t="str">
        <f t="shared" si="4"/>
        <v>泉北中谷:豊通新断Ａ</v>
      </c>
    </row>
    <row r="4769" ht="15.75" customHeight="1">
      <c r="A4769" s="335" t="s">
        <v>5916</v>
      </c>
      <c r="B4769" s="336">
        <v>46101.0</v>
      </c>
      <c r="C4769" s="335" t="s">
        <v>12</v>
      </c>
      <c r="D4769" s="335" t="s">
        <v>53</v>
      </c>
      <c r="E4769" s="337" t="str">
        <f t="shared" si="1"/>
        <v>山陽特殊:MM</v>
      </c>
      <c r="F4769" s="338" t="s">
        <v>1199</v>
      </c>
      <c r="G4769" s="339" t="str">
        <f t="shared" si="2"/>
        <v>山陽特殊:MMＨＳ１(単体H1/電特A/HS))</v>
      </c>
      <c r="H4769" s="340">
        <f t="shared" si="3"/>
        <v>54.5</v>
      </c>
      <c r="I4769" s="341">
        <v>1.0</v>
      </c>
      <c r="J4769" s="332">
        <f>IFERROR(__xludf.DUMMYFUNCTION("IF(IF(COUNTIF(P$2:P4768, P4769)=0, """", INDEX(H$2:H4768,
MAX(FILTER(ROW(H$2:H4768) - ROW(H$2) + 1, P$2:P4768 = P4769))))=""単価"","""",
IF(COUNTIF(P$2:P4768, P4769)=0, """", INDEX(H$2:H4768,
MAX(FILTER(ROW(H$2:H4768) - ROW(H$2) + 1, P$2:P4768 = P4769)))))"),53.5)</f>
        <v>53.5</v>
      </c>
      <c r="N4769" s="335" t="str">
        <f>IF(MAXIFS('単価履歴'!$O:$O,'単価履歴'!$E:$E,E4769,'単価履歴'!$F:$F,F4769)=O4769,"●","")</f>
        <v/>
      </c>
      <c r="O4769" s="346">
        <v>46100.81935185185</v>
      </c>
      <c r="P4769" s="334" t="str">
        <f t="shared" si="4"/>
        <v>山陽特殊:MMＨＳ１(単体H1/電特A/HS))</v>
      </c>
    </row>
    <row r="4770" ht="15.75" customHeight="1">
      <c r="A4770" s="335" t="s">
        <v>5917</v>
      </c>
      <c r="B4770" s="336">
        <v>46101.0</v>
      </c>
      <c r="C4770" s="335" t="s">
        <v>12</v>
      </c>
      <c r="D4770" s="335" t="s">
        <v>53</v>
      </c>
      <c r="E4770" s="337" t="str">
        <f t="shared" si="1"/>
        <v>山陽特殊:MM</v>
      </c>
      <c r="F4770" s="338" t="s">
        <v>101</v>
      </c>
      <c r="G4770" s="339" t="str">
        <f t="shared" si="2"/>
        <v>山陽特殊:MMＨＳ２</v>
      </c>
      <c r="H4770" s="340">
        <f t="shared" si="3"/>
        <v>54.3</v>
      </c>
      <c r="I4770" s="341">
        <v>1.0</v>
      </c>
      <c r="J4770" s="332">
        <f>IFERROR(__xludf.DUMMYFUNCTION("IF(IF(COUNTIF(P$2:P4769, P4770)=0, """", INDEX(H$2:H4769,
MAX(FILTER(ROW(H$2:H4769) - ROW(H$2) + 1, P$2:P4769 = P4770))))=""単価"","""",
IF(COUNTIF(P$2:P4769, P4770)=0, """", INDEX(H$2:H4769,
MAX(FILTER(ROW(H$2:H4769) - ROW(H$2) + 1, P$2:P4769 = P4770)))))"),53.3)</f>
        <v>53.3</v>
      </c>
      <c r="N4770" s="335" t="str">
        <f>IF(MAXIFS('単価履歴'!$O:$O,'単価履歴'!$E:$E,E4770,'単価履歴'!$F:$F,F4770)=O4770,"●","")</f>
        <v/>
      </c>
      <c r="O4770" s="346">
        <v>46100.81935185185</v>
      </c>
      <c r="P4770" s="334" t="str">
        <f t="shared" si="4"/>
        <v>山陽特殊:MMＨＳ２</v>
      </c>
    </row>
    <row r="4771" ht="15.75" customHeight="1">
      <c r="A4771" s="335" t="s">
        <v>5918</v>
      </c>
      <c r="B4771" s="336">
        <v>46101.0</v>
      </c>
      <c r="C4771" s="335" t="s">
        <v>12</v>
      </c>
      <c r="D4771" s="335" t="s">
        <v>53</v>
      </c>
      <c r="E4771" s="337" t="str">
        <f t="shared" si="1"/>
        <v>山陽特殊:MM</v>
      </c>
      <c r="F4771" s="338" t="s">
        <v>105</v>
      </c>
      <c r="G4771" s="339" t="str">
        <f t="shared" si="2"/>
        <v>山陽特殊:MMＨＳ３</v>
      </c>
      <c r="H4771" s="340">
        <f t="shared" si="3"/>
        <v>52.3</v>
      </c>
      <c r="I4771" s="341">
        <v>1.0</v>
      </c>
      <c r="J4771" s="332">
        <f>IFERROR(__xludf.DUMMYFUNCTION("IF(IF(COUNTIF(P$2:P4770, P4771)=0, """", INDEX(H$2:H4770,
MAX(FILTER(ROW(H$2:H4770) - ROW(H$2) + 1, P$2:P4770 = P4771))))=""単価"","""",
IF(COUNTIF(P$2:P4770, P4771)=0, """", INDEX(H$2:H4770,
MAX(FILTER(ROW(H$2:H4770) - ROW(H$2) + 1, P$2:P4770 = P4771)))))"),51.3)</f>
        <v>51.3</v>
      </c>
      <c r="N4771" s="335" t="str">
        <f>IF(MAXIFS('単価履歴'!$O:$O,'単価履歴'!$E:$E,E4771,'単価履歴'!$F:$F,F4771)=O4771,"●","")</f>
        <v/>
      </c>
      <c r="O4771" s="346">
        <v>46100.81935185185</v>
      </c>
      <c r="P4771" s="334" t="str">
        <f t="shared" si="4"/>
        <v>山陽特殊:MMＨＳ３</v>
      </c>
    </row>
    <row r="4772" ht="15.75" customHeight="1">
      <c r="A4772" s="335" t="s">
        <v>5919</v>
      </c>
      <c r="B4772" s="336">
        <v>46101.0</v>
      </c>
      <c r="C4772" s="335" t="s">
        <v>12</v>
      </c>
      <c r="D4772" s="335" t="s">
        <v>53</v>
      </c>
      <c r="E4772" s="337" t="str">
        <f t="shared" si="1"/>
        <v>山陽特殊:MM</v>
      </c>
      <c r="F4772" s="338" t="s">
        <v>122</v>
      </c>
      <c r="G4772" s="339" t="str">
        <f t="shared" si="2"/>
        <v>山陽特殊:MMＬ１(2級)</v>
      </c>
      <c r="H4772" s="340">
        <f t="shared" si="3"/>
        <v>10.5</v>
      </c>
      <c r="I4772" s="341">
        <v>1.0</v>
      </c>
      <c r="J4772" s="332">
        <f>IFERROR(__xludf.DUMMYFUNCTION("IF(IF(COUNTIF(P$2:P4771, P4772)=0, """", INDEX(H$2:H4771,
MAX(FILTER(ROW(H$2:H4771) - ROW(H$2) + 1, P$2:P4771 = P4772))))=""単価"","""",
IF(COUNTIF(P$2:P4771, P4772)=0, """", INDEX(H$2:H4771,
MAX(FILTER(ROW(H$2:H4771) - ROW(H$2) + 1, P$2:P4771 = P4772)))))"),9.5)</f>
        <v>9.5</v>
      </c>
      <c r="N4772" s="335" t="str">
        <f>IF(MAXIFS('単価履歴'!$O:$O,'単価履歴'!$E:$E,E4772,'単価履歴'!$F:$F,F4772)=O4772,"●","")</f>
        <v/>
      </c>
      <c r="O4772" s="346">
        <v>46100.81935185185</v>
      </c>
      <c r="P4772" s="334" t="str">
        <f t="shared" si="4"/>
        <v>山陽特殊:MMＬ１(2級)</v>
      </c>
    </row>
    <row r="4773" ht="15.75" customHeight="1">
      <c r="A4773" s="335" t="s">
        <v>5920</v>
      </c>
      <c r="B4773" s="336">
        <v>46101.0</v>
      </c>
      <c r="C4773" s="335" t="s">
        <v>12</v>
      </c>
      <c r="D4773" s="335" t="s">
        <v>53</v>
      </c>
      <c r="E4773" s="337" t="str">
        <f t="shared" si="1"/>
        <v>山陽特殊:MM</v>
      </c>
      <c r="F4773" s="338" t="s">
        <v>130</v>
      </c>
      <c r="G4773" s="339" t="str">
        <f t="shared" si="2"/>
        <v>山陽特殊:MM新断Ａ</v>
      </c>
      <c r="H4773" s="340">
        <f t="shared" si="3"/>
        <v>53.5</v>
      </c>
      <c r="I4773" s="341">
        <v>1.0</v>
      </c>
      <c r="J4773" s="332">
        <f>IFERROR(__xludf.DUMMYFUNCTION("IF(IF(COUNTIF(P$2:P4772, P4773)=0, """", INDEX(H$2:H4772,
MAX(FILTER(ROW(H$2:H4772) - ROW(H$2) + 1, P$2:P4772 = P4773))))=""単価"","""",
IF(COUNTIF(P$2:P4772, P4773)=0, """", INDEX(H$2:H4772,
MAX(FILTER(ROW(H$2:H4772) - ROW(H$2) + 1, P$2:P4772 = P4773)))))"),52.5)</f>
        <v>52.5</v>
      </c>
      <c r="N4773" s="335" t="str">
        <f>IF(MAXIFS('単価履歴'!$O:$O,'単価履歴'!$E:$E,E4773,'単価履歴'!$F:$F,F4773)=O4773,"●","")</f>
        <v/>
      </c>
      <c r="O4773" s="346">
        <v>46100.81935185185</v>
      </c>
      <c r="P4773" s="334" t="str">
        <f t="shared" si="4"/>
        <v>山陽特殊:MM新断Ａ</v>
      </c>
    </row>
    <row r="4774" ht="15.75" customHeight="1">
      <c r="A4774" s="335" t="s">
        <v>5921</v>
      </c>
      <c r="B4774" s="336">
        <v>46101.0</v>
      </c>
      <c r="C4774" s="335" t="s">
        <v>12</v>
      </c>
      <c r="D4774" s="335" t="s">
        <v>53</v>
      </c>
      <c r="E4774" s="337" t="str">
        <f t="shared" si="1"/>
        <v>山陽特殊:MM</v>
      </c>
      <c r="F4774" s="338" t="s">
        <v>131</v>
      </c>
      <c r="G4774" s="339" t="str">
        <f t="shared" si="2"/>
        <v>山陽特殊:MM新断Ｂ</v>
      </c>
      <c r="H4774" s="340">
        <f t="shared" si="3"/>
        <v>52.5</v>
      </c>
      <c r="I4774" s="341">
        <v>1.0</v>
      </c>
      <c r="J4774" s="332">
        <f>IFERROR(__xludf.DUMMYFUNCTION("IF(IF(COUNTIF(P$2:P4773, P4774)=0, """", INDEX(H$2:H4773,
MAX(FILTER(ROW(H$2:H4773) - ROW(H$2) + 1, P$2:P4773 = P4774))))=""単価"","""",
IF(COUNTIF(P$2:P4773, P4774)=0, """", INDEX(H$2:H4773,
MAX(FILTER(ROW(H$2:H4773) - ROW(H$2) + 1, P$2:P4773 = P4774)))))"),51.5)</f>
        <v>51.5</v>
      </c>
      <c r="N4774" s="335" t="str">
        <f>IF(MAXIFS('単価履歴'!$O:$O,'単価履歴'!$E:$E,E4774,'単価履歴'!$F:$F,F4774)=O4774,"●","")</f>
        <v/>
      </c>
      <c r="O4774" s="346">
        <v>46100.81935185185</v>
      </c>
      <c r="P4774" s="334" t="str">
        <f t="shared" si="4"/>
        <v>山陽特殊:MM新断Ｂ</v>
      </c>
    </row>
    <row r="4775" ht="15.75" customHeight="1">
      <c r="A4775" s="335" t="s">
        <v>5922</v>
      </c>
      <c r="B4775" s="336">
        <v>46101.0</v>
      </c>
      <c r="C4775" s="335" t="s">
        <v>12</v>
      </c>
      <c r="D4775" s="335" t="s">
        <v>53</v>
      </c>
      <c r="E4775" s="337" t="str">
        <f t="shared" si="1"/>
        <v>山陽特殊:MM</v>
      </c>
      <c r="F4775" s="338" t="s">
        <v>574</v>
      </c>
      <c r="G4775" s="339" t="str">
        <f t="shared" si="2"/>
        <v>山陽特殊:MM新断Ｃ</v>
      </c>
      <c r="H4775" s="340">
        <f t="shared" si="3"/>
        <v>51.2</v>
      </c>
      <c r="I4775" s="341">
        <v>1.0</v>
      </c>
      <c r="J4775" s="332">
        <f>IFERROR(__xludf.DUMMYFUNCTION("IF(IF(COUNTIF(P$2:P4774, P4775)=0, """", INDEX(H$2:H4774,
MAX(FILTER(ROW(H$2:H4774) - ROW(H$2) + 1, P$2:P4774 = P4775))))=""単価"","""",
IF(COUNTIF(P$2:P4774, P4775)=0, """", INDEX(H$2:H4774,
MAX(FILTER(ROW(H$2:H4774) - ROW(H$2) + 1, P$2:P4774 = P4775)))))"),50.199999999999996)</f>
        <v>50.2</v>
      </c>
      <c r="N4775" s="335" t="str">
        <f>IF(MAXIFS('単価履歴'!$O:$O,'単価履歴'!$E:$E,E4775,'単価履歴'!$F:$F,F4775)=O4775,"●","")</f>
        <v/>
      </c>
      <c r="O4775" s="346">
        <v>46100.81935185185</v>
      </c>
      <c r="P4775" s="334" t="str">
        <f t="shared" si="4"/>
        <v>山陽特殊:MM新断Ｃ</v>
      </c>
    </row>
    <row r="4776" ht="15.75" customHeight="1">
      <c r="A4776" s="335" t="s">
        <v>5923</v>
      </c>
      <c r="B4776" s="336">
        <v>46101.0</v>
      </c>
      <c r="C4776" s="335" t="s">
        <v>11</v>
      </c>
      <c r="D4776" s="335" t="s">
        <v>46</v>
      </c>
      <c r="E4776" s="337" t="str">
        <f t="shared" si="1"/>
        <v>ﾔﾏﾄ:阪和</v>
      </c>
      <c r="F4776" s="338" t="s">
        <v>116</v>
      </c>
      <c r="G4776" s="339" t="str">
        <f t="shared" si="2"/>
        <v>ﾔﾏﾄ:阪和Ｈ２(特級)</v>
      </c>
      <c r="H4776" s="340">
        <f t="shared" si="3"/>
        <v>50.1</v>
      </c>
      <c r="I4776" s="341">
        <v>1.0</v>
      </c>
      <c r="J4776" s="332">
        <f>IFERROR(__xludf.DUMMYFUNCTION("IF(IF(COUNTIF(P$2:P4775, P4776)=0, """", INDEX(H$2:H4775,
MAX(FILTER(ROW(H$2:H4775) - ROW(H$2) + 1, P$2:P4775 = P4776))))=""単価"","""",
IF(COUNTIF(P$2:P4775, P4776)=0, """", INDEX(H$2:H4775,
MAX(FILTER(ROW(H$2:H4775) - ROW(H$2) + 1, P$2:P4775 = P4776)))))"),49.1)</f>
        <v>49.1</v>
      </c>
      <c r="N4776" s="335" t="str">
        <f>IF(MAXIFS('単価履歴'!$O:$O,'単価履歴'!$E:$E,E4776,'単価履歴'!$F:$F,F4776)=O4776,"●","")</f>
        <v/>
      </c>
      <c r="O4776" s="346">
        <v>46100.81990740741</v>
      </c>
      <c r="P4776" s="334" t="str">
        <f t="shared" si="4"/>
        <v>ﾔﾏﾄ:阪和Ｈ２(特級)</v>
      </c>
    </row>
    <row r="4777" ht="15.75" customHeight="1">
      <c r="A4777" s="335" t="s">
        <v>5924</v>
      </c>
      <c r="B4777" s="336">
        <v>46101.0</v>
      </c>
      <c r="C4777" s="335" t="s">
        <v>11</v>
      </c>
      <c r="D4777" s="335" t="s">
        <v>46</v>
      </c>
      <c r="E4777" s="337" t="str">
        <f t="shared" si="1"/>
        <v>ﾔﾏﾄ:阪和</v>
      </c>
      <c r="F4777" s="338" t="s">
        <v>119</v>
      </c>
      <c r="G4777" s="339" t="str">
        <f t="shared" si="2"/>
        <v>ﾔﾏﾄ:阪和Ｈ３(1級)</v>
      </c>
      <c r="H4777" s="340">
        <f t="shared" si="3"/>
        <v>49.1</v>
      </c>
      <c r="I4777" s="341">
        <v>1.0</v>
      </c>
      <c r="J4777" s="332">
        <f>IFERROR(__xludf.DUMMYFUNCTION("IF(IF(COUNTIF(P$2:P4776, P4777)=0, """", INDEX(H$2:H4776,
MAX(FILTER(ROW(H$2:H4776) - ROW(H$2) + 1, P$2:P4776 = P4777))))=""単価"","""",
IF(COUNTIF(P$2:P4776, P4777)=0, """", INDEX(H$2:H4776,
MAX(FILTER(ROW(H$2:H4776) - ROW(H$2) + 1, P$2:P4776 = P4777)))))"),48.1)</f>
        <v>48.1</v>
      </c>
      <c r="N4777" s="335" t="str">
        <f>IF(MAXIFS('単価履歴'!$O:$O,'単価履歴'!$E:$E,E4777,'単価履歴'!$F:$F,F4777)=O4777,"●","")</f>
        <v/>
      </c>
      <c r="O4777" s="346">
        <v>46100.81990740741</v>
      </c>
      <c r="P4777" s="334" t="str">
        <f t="shared" si="4"/>
        <v>ﾔﾏﾄ:阪和Ｈ３(1級)</v>
      </c>
    </row>
    <row r="4778" ht="15.75" customHeight="1">
      <c r="A4778" s="335" t="s">
        <v>5925</v>
      </c>
      <c r="B4778" s="336">
        <v>46101.0</v>
      </c>
      <c r="C4778" s="335" t="s">
        <v>11</v>
      </c>
      <c r="D4778" s="335" t="s">
        <v>46</v>
      </c>
      <c r="E4778" s="337" t="str">
        <f t="shared" si="1"/>
        <v>ﾔﾏﾄ:阪和</v>
      </c>
      <c r="F4778" s="338" t="s">
        <v>122</v>
      </c>
      <c r="G4778" s="339" t="str">
        <f t="shared" si="2"/>
        <v>ﾔﾏﾄ:阪和Ｌ１(2級)</v>
      </c>
      <c r="H4778" s="340">
        <f t="shared" si="3"/>
        <v>47.1</v>
      </c>
      <c r="I4778" s="341">
        <v>1.0</v>
      </c>
      <c r="J4778" s="332">
        <f>IFERROR(__xludf.DUMMYFUNCTION("IF(IF(COUNTIF(P$2:P4777, P4778)=0, """", INDEX(H$2:H4777,
MAX(FILTER(ROW(H$2:H4777) - ROW(H$2) + 1, P$2:P4777 = P4778))))=""単価"","""",
IF(COUNTIF(P$2:P4777, P4778)=0, """", INDEX(H$2:H4777,
MAX(FILTER(ROW(H$2:H4777) - ROW(H$2) + 1, P$2:P4777 = P4778)))))"),46.1)</f>
        <v>46.1</v>
      </c>
      <c r="N4778" s="335" t="str">
        <f>IF(MAXIFS('単価履歴'!$O:$O,'単価履歴'!$E:$E,E4778,'単価履歴'!$F:$F,F4778)=O4778,"●","")</f>
        <v/>
      </c>
      <c r="O4778" s="346">
        <v>46100.81990740741</v>
      </c>
      <c r="P4778" s="334" t="str">
        <f t="shared" si="4"/>
        <v>ﾔﾏﾄ:阪和Ｌ１(2級)</v>
      </c>
    </row>
    <row r="4779" ht="15.75" customHeight="1">
      <c r="A4779" s="335" t="s">
        <v>5926</v>
      </c>
      <c r="B4779" s="336">
        <v>46101.0</v>
      </c>
      <c r="C4779" s="335" t="s">
        <v>11</v>
      </c>
      <c r="D4779" s="335" t="s">
        <v>46</v>
      </c>
      <c r="E4779" s="337" t="str">
        <f t="shared" si="1"/>
        <v>ﾔﾏﾄ:阪和</v>
      </c>
      <c r="F4779" s="338" t="s">
        <v>111</v>
      </c>
      <c r="G4779" s="339" t="str">
        <f t="shared" si="2"/>
        <v>ﾔﾏﾄ:阪和Ｈ１(特A)</v>
      </c>
      <c r="H4779" s="340">
        <f t="shared" si="3"/>
        <v>51.1</v>
      </c>
      <c r="I4779" s="341">
        <v>1.0</v>
      </c>
      <c r="J4779" s="332">
        <f>IFERROR(__xludf.DUMMYFUNCTION("IF(IF(COUNTIF(P$2:P4778, P4779)=0, """", INDEX(H$2:H4778,
MAX(FILTER(ROW(H$2:H4778) - ROW(H$2) + 1, P$2:P4778 = P4779))))=""単価"","""",
IF(COUNTIF(P$2:P4778, P4779)=0, """", INDEX(H$2:H4778,
MAX(FILTER(ROW(H$2:H4778) - ROW(H$2) + 1, P$2:P4778 = P4779)))))"),50.1)</f>
        <v>50.1</v>
      </c>
      <c r="N4779" s="335" t="str">
        <f>IF(MAXIFS('単価履歴'!$O:$O,'単価履歴'!$E:$E,E4779,'単価履歴'!$F:$F,F4779)=O4779,"●","")</f>
        <v/>
      </c>
      <c r="O4779" s="346">
        <v>46100.81990740741</v>
      </c>
      <c r="P4779" s="334" t="str">
        <f t="shared" si="4"/>
        <v>ﾔﾏﾄ:阪和Ｈ１(特A)</v>
      </c>
    </row>
    <row r="4780" ht="15.75" customHeight="1">
      <c r="A4780" s="335" t="s">
        <v>5927</v>
      </c>
      <c r="B4780" s="336">
        <v>46101.0</v>
      </c>
      <c r="C4780" s="335" t="s">
        <v>11</v>
      </c>
      <c r="D4780" s="335" t="s">
        <v>46</v>
      </c>
      <c r="E4780" s="337" t="str">
        <f t="shared" si="1"/>
        <v>ﾔﾏﾄ:阪和</v>
      </c>
      <c r="F4780" s="338" t="s">
        <v>573</v>
      </c>
      <c r="G4780" s="339" t="str">
        <f t="shared" si="2"/>
        <v>ﾔﾏﾄ:阪和Ｌ２(H4･級外･L1ﾊﾞﾗ)</v>
      </c>
      <c r="H4780" s="340">
        <f t="shared" si="3"/>
        <v>44.6</v>
      </c>
      <c r="I4780" s="341">
        <v>1.0</v>
      </c>
      <c r="J4780" s="332">
        <f>IFERROR(__xludf.DUMMYFUNCTION("IF(IF(COUNTIF(P$2:P4779, P4780)=0, """", INDEX(H$2:H4779,
MAX(FILTER(ROW(H$2:H4779) - ROW(H$2) + 1, P$2:P4779 = P4780))))=""単価"","""",
IF(COUNTIF(P$2:P4779, P4780)=0, """", INDEX(H$2:H4779,
MAX(FILTER(ROW(H$2:H4779) - ROW(H$2) + 1, P$2:P4779 = P4780)))))"),43.6)</f>
        <v>43.6</v>
      </c>
      <c r="N4780" s="335" t="str">
        <f>IF(MAXIFS('単価履歴'!$O:$O,'単価履歴'!$E:$E,E4780,'単価履歴'!$F:$F,F4780)=O4780,"●","")</f>
        <v/>
      </c>
      <c r="O4780" s="346">
        <v>46100.81990740741</v>
      </c>
      <c r="P4780" s="334" t="str">
        <f t="shared" si="4"/>
        <v>ﾔﾏﾄ:阪和Ｌ２(H4･級外･L1ﾊﾞﾗ)</v>
      </c>
    </row>
    <row r="4781" ht="15.75" customHeight="1">
      <c r="A4781" s="335" t="s">
        <v>5928</v>
      </c>
      <c r="B4781" s="336">
        <v>46101.0</v>
      </c>
      <c r="C4781" s="335" t="s">
        <v>12</v>
      </c>
      <c r="D4781" s="335" t="s">
        <v>50</v>
      </c>
      <c r="E4781" s="337" t="str">
        <f t="shared" si="1"/>
        <v>山陽特殊:産振</v>
      </c>
      <c r="F4781" s="338" t="s">
        <v>1199</v>
      </c>
      <c r="G4781" s="339" t="str">
        <f t="shared" si="2"/>
        <v>山陽特殊:産振ＨＳ１(単体H1/電特A/HS))</v>
      </c>
      <c r="H4781" s="340">
        <f t="shared" si="3"/>
        <v>52.1</v>
      </c>
      <c r="I4781" s="341">
        <v>1.0</v>
      </c>
      <c r="J4781" s="332">
        <f>IFERROR(__xludf.DUMMYFUNCTION("IF(IF(COUNTIF(P$2:P4780, P4781)=0, """", INDEX(H$2:H4780,
MAX(FILTER(ROW(H$2:H4780) - ROW(H$2) + 1, P$2:P4780 = P4781))))=""単価"","""",
IF(COUNTIF(P$2:P4780, P4781)=0, """", INDEX(H$2:H4780,
MAX(FILTER(ROW(H$2:H4780) - ROW(H$2) + 1, P$2:P4780 = P4781)))))"),51.1)</f>
        <v>51.1</v>
      </c>
      <c r="N4781" s="335" t="str">
        <f>IF(MAXIFS('単価履歴'!$O:$O,'単価履歴'!$E:$E,E4781,'単価履歴'!$F:$F,F4781)=O4781,"●","")</f>
        <v/>
      </c>
      <c r="O4781" s="346">
        <v>46100.82008101852</v>
      </c>
      <c r="P4781" s="334" t="str">
        <f t="shared" si="4"/>
        <v>山陽特殊:産振ＨＳ１(単体H1/電特A/HS))</v>
      </c>
    </row>
    <row r="4782" ht="15.75" customHeight="1">
      <c r="A4782" s="335" t="s">
        <v>5929</v>
      </c>
      <c r="B4782" s="336">
        <v>46101.0</v>
      </c>
      <c r="C4782" s="335" t="s">
        <v>12</v>
      </c>
      <c r="D4782" s="335" t="s">
        <v>50</v>
      </c>
      <c r="E4782" s="337" t="str">
        <f t="shared" si="1"/>
        <v>山陽特殊:産振</v>
      </c>
      <c r="F4782" s="338" t="s">
        <v>101</v>
      </c>
      <c r="G4782" s="339" t="str">
        <f t="shared" si="2"/>
        <v>山陽特殊:産振ＨＳ２</v>
      </c>
      <c r="H4782" s="340">
        <f t="shared" si="3"/>
        <v>51.9</v>
      </c>
      <c r="I4782" s="341">
        <v>1.0</v>
      </c>
      <c r="J4782" s="332">
        <f>IFERROR(__xludf.DUMMYFUNCTION("IF(IF(COUNTIF(P$2:P4781, P4782)=0, """", INDEX(H$2:H4781,
MAX(FILTER(ROW(H$2:H4781) - ROW(H$2) + 1, P$2:P4781 = P4782))))=""単価"","""",
IF(COUNTIF(P$2:P4781, P4782)=0, """", INDEX(H$2:H4781,
MAX(FILTER(ROW(H$2:H4781) - ROW(H$2) + 1, P$2:P4781 = P4782)))))"),50.9)</f>
        <v>50.9</v>
      </c>
      <c r="N4782" s="335" t="str">
        <f>IF(MAXIFS('単価履歴'!$O:$O,'単価履歴'!$E:$E,E4782,'単価履歴'!$F:$F,F4782)=O4782,"●","")</f>
        <v/>
      </c>
      <c r="O4782" s="346">
        <v>46100.82008101852</v>
      </c>
      <c r="P4782" s="334" t="str">
        <f t="shared" si="4"/>
        <v>山陽特殊:産振ＨＳ２</v>
      </c>
    </row>
    <row r="4783" ht="15.75" customHeight="1">
      <c r="A4783" s="335" t="s">
        <v>5930</v>
      </c>
      <c r="B4783" s="336">
        <v>46101.0</v>
      </c>
      <c r="C4783" s="335" t="s">
        <v>12</v>
      </c>
      <c r="D4783" s="335" t="s">
        <v>50</v>
      </c>
      <c r="E4783" s="337" t="str">
        <f t="shared" si="1"/>
        <v>山陽特殊:産振</v>
      </c>
      <c r="F4783" s="338" t="s">
        <v>105</v>
      </c>
      <c r="G4783" s="339" t="str">
        <f t="shared" si="2"/>
        <v>山陽特殊:産振ＨＳ３</v>
      </c>
      <c r="H4783" s="340">
        <f t="shared" si="3"/>
        <v>49.9</v>
      </c>
      <c r="I4783" s="341">
        <v>1.0</v>
      </c>
      <c r="J4783" s="332">
        <f>IFERROR(__xludf.DUMMYFUNCTION("IF(IF(COUNTIF(P$2:P4782, P4783)=0, """", INDEX(H$2:H4782,
MAX(FILTER(ROW(H$2:H4782) - ROW(H$2) + 1, P$2:P4782 = P4783))))=""単価"","""",
IF(COUNTIF(P$2:P4782, P4783)=0, """", INDEX(H$2:H4782,
MAX(FILTER(ROW(H$2:H4782) - ROW(H$2) + 1, P$2:P4782 = P4783)))))"),48.9)</f>
        <v>48.9</v>
      </c>
      <c r="N4783" s="335" t="str">
        <f>IF(MAXIFS('単価履歴'!$O:$O,'単価履歴'!$E:$E,E4783,'単価履歴'!$F:$F,F4783)=O4783,"●","")</f>
        <v/>
      </c>
      <c r="O4783" s="346">
        <v>46100.82008101852</v>
      </c>
      <c r="P4783" s="334" t="str">
        <f t="shared" si="4"/>
        <v>山陽特殊:産振ＨＳ３</v>
      </c>
    </row>
    <row r="4784" ht="15.75" customHeight="1">
      <c r="A4784" s="335" t="s">
        <v>5931</v>
      </c>
      <c r="B4784" s="336">
        <v>46101.0</v>
      </c>
      <c r="C4784" s="335" t="s">
        <v>12</v>
      </c>
      <c r="D4784" s="335" t="s">
        <v>541</v>
      </c>
      <c r="E4784" s="337" t="str">
        <f t="shared" si="1"/>
        <v>山陽特殊:大同</v>
      </c>
      <c r="F4784" s="338" t="s">
        <v>1199</v>
      </c>
      <c r="G4784" s="339" t="str">
        <f t="shared" si="2"/>
        <v>山陽特殊:大同ＨＳ１(単体H1/電特A/HS))</v>
      </c>
      <c r="H4784" s="340">
        <f t="shared" si="3"/>
        <v>55.7</v>
      </c>
      <c r="I4784" s="341">
        <v>1.0</v>
      </c>
      <c r="J4784" s="332">
        <f>IFERROR(__xludf.DUMMYFUNCTION("IF(IF(COUNTIF(P$2:P4783, P4784)=0, """", INDEX(H$2:H4783,
MAX(FILTER(ROW(H$2:H4783) - ROW(H$2) + 1, P$2:P4783 = P4784))))=""単価"","""",
IF(COUNTIF(P$2:P4783, P4784)=0, """", INDEX(H$2:H4783,
MAX(FILTER(ROW(H$2:H4783) - ROW(H$2) + 1, P$2:P4783 = P4784)))))"),54.7)</f>
        <v>54.7</v>
      </c>
      <c r="N4784" s="335" t="str">
        <f>IF(MAXIFS('単価履歴'!$O:$O,'単価履歴'!$E:$E,E4784,'単価履歴'!$F:$F,F4784)=O4784,"●","")</f>
        <v/>
      </c>
      <c r="O4784" s="346">
        <v>46100.82028935185</v>
      </c>
      <c r="P4784" s="334" t="str">
        <f t="shared" si="4"/>
        <v>山陽特殊:大同ＨＳ１(単体H1/電特A/HS))</v>
      </c>
    </row>
    <row r="4785" ht="15.75" customHeight="1">
      <c r="A4785" s="335" t="s">
        <v>5932</v>
      </c>
      <c r="B4785" s="336">
        <v>46101.0</v>
      </c>
      <c r="C4785" s="335" t="s">
        <v>12</v>
      </c>
      <c r="D4785" s="335" t="s">
        <v>541</v>
      </c>
      <c r="E4785" s="337" t="str">
        <f t="shared" si="1"/>
        <v>山陽特殊:大同</v>
      </c>
      <c r="F4785" s="338" t="s">
        <v>101</v>
      </c>
      <c r="G4785" s="339" t="str">
        <f t="shared" si="2"/>
        <v>山陽特殊:大同ＨＳ２</v>
      </c>
      <c r="H4785" s="340">
        <f t="shared" si="3"/>
        <v>55.5</v>
      </c>
      <c r="I4785" s="341">
        <v>1.0</v>
      </c>
      <c r="J4785" s="332">
        <f>IFERROR(__xludf.DUMMYFUNCTION("IF(IF(COUNTIF(P$2:P4784, P4785)=0, """", INDEX(H$2:H4784,
MAX(FILTER(ROW(H$2:H4784) - ROW(H$2) + 1, P$2:P4784 = P4785))))=""単価"","""",
IF(COUNTIF(P$2:P4784, P4785)=0, """", INDEX(H$2:H4784,
MAX(FILTER(ROW(H$2:H4784) - ROW(H$2) + 1, P$2:P4784 = P4785)))))"),54.5)</f>
        <v>54.5</v>
      </c>
      <c r="N4785" s="335" t="str">
        <f>IF(MAXIFS('単価履歴'!$O:$O,'単価履歴'!$E:$E,E4785,'単価履歴'!$F:$F,F4785)=O4785,"●","")</f>
        <v/>
      </c>
      <c r="O4785" s="346">
        <v>46100.82028935185</v>
      </c>
      <c r="P4785" s="334" t="str">
        <f t="shared" si="4"/>
        <v>山陽特殊:大同ＨＳ２</v>
      </c>
    </row>
    <row r="4786" ht="15.75" customHeight="1">
      <c r="A4786" s="335" t="s">
        <v>5933</v>
      </c>
      <c r="B4786" s="336">
        <v>46101.0</v>
      </c>
      <c r="C4786" s="335" t="s">
        <v>12</v>
      </c>
      <c r="D4786" s="335" t="s">
        <v>541</v>
      </c>
      <c r="E4786" s="337" t="str">
        <f t="shared" si="1"/>
        <v>山陽特殊:大同</v>
      </c>
      <c r="F4786" s="338" t="s">
        <v>105</v>
      </c>
      <c r="G4786" s="339" t="str">
        <f t="shared" si="2"/>
        <v>山陽特殊:大同ＨＳ３</v>
      </c>
      <c r="H4786" s="340">
        <f t="shared" si="3"/>
        <v>53.5</v>
      </c>
      <c r="I4786" s="341">
        <v>1.0</v>
      </c>
      <c r="J4786" s="332">
        <f>IFERROR(__xludf.DUMMYFUNCTION("IF(IF(COUNTIF(P$2:P4785, P4786)=0, """", INDEX(H$2:H4785,
MAX(FILTER(ROW(H$2:H4785) - ROW(H$2) + 1, P$2:P4785 = P4786))))=""単価"","""",
IF(COUNTIF(P$2:P4785, P4786)=0, """", INDEX(H$2:H4785,
MAX(FILTER(ROW(H$2:H4785) - ROW(H$2) + 1, P$2:P4785 = P4786)))))"),52.5)</f>
        <v>52.5</v>
      </c>
      <c r="N4786" s="335" t="str">
        <f>IF(MAXIFS('単価履歴'!$O:$O,'単価履歴'!$E:$E,E4786,'単価履歴'!$F:$F,F4786)=O4786,"●","")</f>
        <v/>
      </c>
      <c r="O4786" s="346">
        <v>46100.82028935185</v>
      </c>
      <c r="P4786" s="334" t="str">
        <f t="shared" si="4"/>
        <v>山陽特殊:大同ＨＳ３</v>
      </c>
    </row>
    <row r="4787" ht="15.75" customHeight="1">
      <c r="A4787" s="335" t="s">
        <v>5934</v>
      </c>
      <c r="B4787" s="336">
        <v>46101.0</v>
      </c>
      <c r="C4787" s="335" t="s">
        <v>28</v>
      </c>
      <c r="D4787" s="335" t="s">
        <v>52</v>
      </c>
      <c r="E4787" s="337" t="str">
        <f t="shared" si="1"/>
        <v>ＪＦＥ条鋼:リバイブ</v>
      </c>
      <c r="F4787" s="338" t="s">
        <v>111</v>
      </c>
      <c r="G4787" s="339" t="str">
        <f t="shared" si="2"/>
        <v>ＪＦＥ条鋼:リバイブＨ１(特A)</v>
      </c>
      <c r="H4787" s="340">
        <f t="shared" si="3"/>
        <v>50.5</v>
      </c>
      <c r="I4787" s="341">
        <v>1.0</v>
      </c>
      <c r="J4787" s="332">
        <f>IFERROR(__xludf.DUMMYFUNCTION("IF(IF(COUNTIF(P$2:P4786, P4787)=0, """", INDEX(H$2:H4786,
MAX(FILTER(ROW(H$2:H4786) - ROW(H$2) + 1, P$2:P4786 = P4787))))=""単価"","""",
IF(COUNTIF(P$2:P4786, P4787)=0, """", INDEX(H$2:H4786,
MAX(FILTER(ROW(H$2:H4786) - ROW(H$2) + 1, P$2:P4786 = P4787)))))"),49.5)</f>
        <v>49.5</v>
      </c>
      <c r="N4787" s="335" t="str">
        <f>IF(MAXIFS('単価履歴'!$O:$O,'単価履歴'!$E:$E,E4787,'単価履歴'!$F:$F,F4787)=O4787,"●","")</f>
        <v/>
      </c>
      <c r="O4787" s="346">
        <v>46100.82126157408</v>
      </c>
      <c r="P4787" s="334" t="str">
        <f t="shared" si="4"/>
        <v>ＪＦＥ条鋼:リバイブＨ１(特A)</v>
      </c>
    </row>
    <row r="4788" ht="15.75" customHeight="1">
      <c r="A4788" s="335" t="s">
        <v>5935</v>
      </c>
      <c r="B4788" s="336">
        <v>46101.0</v>
      </c>
      <c r="C4788" s="335" t="s">
        <v>28</v>
      </c>
      <c r="D4788" s="335" t="s">
        <v>52</v>
      </c>
      <c r="E4788" s="337" t="str">
        <f t="shared" si="1"/>
        <v>ＪＦＥ条鋼:リバイブ</v>
      </c>
      <c r="F4788" s="338" t="s">
        <v>116</v>
      </c>
      <c r="G4788" s="339" t="str">
        <f t="shared" si="2"/>
        <v>ＪＦＥ条鋼:リバイブＨ２(特級)</v>
      </c>
      <c r="H4788" s="340">
        <f t="shared" si="3"/>
        <v>50.5</v>
      </c>
      <c r="I4788" s="341">
        <v>1.0</v>
      </c>
      <c r="J4788" s="332">
        <f>IFERROR(__xludf.DUMMYFUNCTION("IF(IF(COUNTIF(P$2:P4787, P4788)=0, """", INDEX(H$2:H4787,
MAX(FILTER(ROW(H$2:H4787) - ROW(H$2) + 1, P$2:P4787 = P4788))))=""単価"","""",
IF(COUNTIF(P$2:P4787, P4788)=0, """", INDEX(H$2:H4787,
MAX(FILTER(ROW(H$2:H4787) - ROW(H$2) + 1, P$2:P4787 = P4788)))))"),49.5)</f>
        <v>49.5</v>
      </c>
      <c r="N4788" s="335" t="str">
        <f>IF(MAXIFS('単価履歴'!$O:$O,'単価履歴'!$E:$E,E4788,'単価履歴'!$F:$F,F4788)=O4788,"●","")</f>
        <v/>
      </c>
      <c r="O4788" s="346">
        <v>46100.82126157408</v>
      </c>
      <c r="P4788" s="334" t="str">
        <f t="shared" si="4"/>
        <v>ＪＦＥ条鋼:リバイブＨ２(特級)</v>
      </c>
    </row>
    <row r="4789" ht="15.75" customHeight="1">
      <c r="A4789" s="335" t="s">
        <v>5936</v>
      </c>
      <c r="B4789" s="336">
        <v>46101.0</v>
      </c>
      <c r="C4789" s="335" t="s">
        <v>28</v>
      </c>
      <c r="D4789" s="335" t="s">
        <v>52</v>
      </c>
      <c r="E4789" s="337" t="str">
        <f t="shared" si="1"/>
        <v>ＪＦＥ条鋼:リバイブ</v>
      </c>
      <c r="F4789" s="338" t="s">
        <v>119</v>
      </c>
      <c r="G4789" s="339" t="str">
        <f t="shared" si="2"/>
        <v>ＪＦＥ条鋼:リバイブＨ３(1級)</v>
      </c>
      <c r="H4789" s="340">
        <f t="shared" si="3"/>
        <v>49.5</v>
      </c>
      <c r="I4789" s="341">
        <v>1.0</v>
      </c>
      <c r="J4789" s="332">
        <f>IFERROR(__xludf.DUMMYFUNCTION("IF(IF(COUNTIF(P$2:P4788, P4789)=0, """", INDEX(H$2:H4788,
MAX(FILTER(ROW(H$2:H4788) - ROW(H$2) + 1, P$2:P4788 = P4789))))=""単価"","""",
IF(COUNTIF(P$2:P4788, P4789)=0, """", INDEX(H$2:H4788,
MAX(FILTER(ROW(H$2:H4788) - ROW(H$2) + 1, P$2:P4788 = P4789)))))"),48.5)</f>
        <v>48.5</v>
      </c>
      <c r="N4789" s="335" t="str">
        <f>IF(MAXIFS('単価履歴'!$O:$O,'単価履歴'!$E:$E,E4789,'単価履歴'!$F:$F,F4789)=O4789,"●","")</f>
        <v/>
      </c>
      <c r="O4789" s="346">
        <v>46100.82126157408</v>
      </c>
      <c r="P4789" s="334" t="str">
        <f t="shared" si="4"/>
        <v>ＪＦＥ条鋼:リバイブＨ３(1級)</v>
      </c>
    </row>
    <row r="4790" ht="15.75" customHeight="1">
      <c r="A4790" s="335" t="s">
        <v>5937</v>
      </c>
      <c r="B4790" s="336">
        <v>46101.0</v>
      </c>
      <c r="C4790" s="335" t="s">
        <v>28</v>
      </c>
      <c r="D4790" s="335" t="s">
        <v>52</v>
      </c>
      <c r="E4790" s="337" t="str">
        <f t="shared" si="1"/>
        <v>ＪＦＥ条鋼:リバイブ</v>
      </c>
      <c r="F4790" s="338" t="s">
        <v>122</v>
      </c>
      <c r="G4790" s="339" t="str">
        <f t="shared" si="2"/>
        <v>ＪＦＥ条鋼:リバイブＬ１(2級)</v>
      </c>
      <c r="H4790" s="340">
        <f t="shared" si="3"/>
        <v>46.5</v>
      </c>
      <c r="I4790" s="341">
        <v>1.0</v>
      </c>
      <c r="J4790" s="332">
        <f>IFERROR(__xludf.DUMMYFUNCTION("IF(IF(COUNTIF(P$2:P4789, P4790)=0, """", INDEX(H$2:H4789,
MAX(FILTER(ROW(H$2:H4789) - ROW(H$2) + 1, P$2:P4789 = P4790))))=""単価"","""",
IF(COUNTIF(P$2:P4789, P4790)=0, """", INDEX(H$2:H4789,
MAX(FILTER(ROW(H$2:H4789) - ROW(H$2) + 1, P$2:P4789 = P4790)))))"),45.5)</f>
        <v>45.5</v>
      </c>
      <c r="N4790" s="335" t="str">
        <f>IF(MAXIFS('単価履歴'!$O:$O,'単価履歴'!$E:$E,E4790,'単価履歴'!$F:$F,F4790)=O4790,"●","")</f>
        <v/>
      </c>
      <c r="O4790" s="346">
        <v>46100.82126157408</v>
      </c>
      <c r="P4790" s="334" t="str">
        <f t="shared" si="4"/>
        <v>ＪＦＥ条鋼:リバイブＬ１(2級)</v>
      </c>
    </row>
    <row r="4791" ht="15.75" customHeight="1">
      <c r="A4791" s="335" t="s">
        <v>5938</v>
      </c>
      <c r="B4791" s="336">
        <v>46101.0</v>
      </c>
      <c r="C4791" s="335" t="s">
        <v>28</v>
      </c>
      <c r="D4791" s="335" t="s">
        <v>52</v>
      </c>
      <c r="E4791" s="337" t="str">
        <f t="shared" si="1"/>
        <v>ＪＦＥ条鋼:リバイブ</v>
      </c>
      <c r="F4791" s="338" t="s">
        <v>573</v>
      </c>
      <c r="G4791" s="339" t="str">
        <f t="shared" si="2"/>
        <v>ＪＦＥ条鋼:リバイブＬ２(H4･級外･L1ﾊﾞﾗ)</v>
      </c>
      <c r="H4791" s="340">
        <f t="shared" si="3"/>
        <v>39.5</v>
      </c>
      <c r="I4791" s="341">
        <v>1.0</v>
      </c>
      <c r="J4791" s="332">
        <f>IFERROR(__xludf.DUMMYFUNCTION("IF(IF(COUNTIF(P$2:P4790, P4791)=0, """", INDEX(H$2:H4790,
MAX(FILTER(ROW(H$2:H4790) - ROW(H$2) + 1, P$2:P4790 = P4791))))=""単価"","""",
IF(COUNTIF(P$2:P4790, P4791)=0, """", INDEX(H$2:H4790,
MAX(FILTER(ROW(H$2:H4790) - ROW(H$2) + 1, P$2:P4790 = P4791)))))"),38.5)</f>
        <v>38.5</v>
      </c>
      <c r="N4791" s="335" t="str">
        <f>IF(MAXIFS('単価履歴'!$O:$O,'単価履歴'!$E:$E,E4791,'単価履歴'!$F:$F,F4791)=O4791,"●","")</f>
        <v/>
      </c>
      <c r="O4791" s="346">
        <v>46100.82126157408</v>
      </c>
      <c r="P4791" s="334" t="str">
        <f t="shared" si="4"/>
        <v>ＪＦＥ条鋼:リバイブＬ２(H4･級外･L1ﾊﾞﾗ)</v>
      </c>
    </row>
    <row r="4792" ht="15.75" customHeight="1">
      <c r="A4792" s="335" t="s">
        <v>5939</v>
      </c>
      <c r="B4792" s="336">
        <v>46101.0</v>
      </c>
      <c r="C4792" s="335" t="s">
        <v>28</v>
      </c>
      <c r="D4792" s="335" t="s">
        <v>52</v>
      </c>
      <c r="E4792" s="337" t="str">
        <f t="shared" si="1"/>
        <v>ＪＦＥ条鋼:リバイブ</v>
      </c>
      <c r="F4792" s="338" t="s">
        <v>130</v>
      </c>
      <c r="G4792" s="339" t="str">
        <f t="shared" si="2"/>
        <v>ＪＦＥ条鋼:リバイブ新断Ａ</v>
      </c>
      <c r="H4792" s="340">
        <f t="shared" si="3"/>
        <v>53</v>
      </c>
      <c r="I4792" s="341">
        <v>1.0</v>
      </c>
      <c r="J4792" s="332">
        <f>IFERROR(__xludf.DUMMYFUNCTION("IF(IF(COUNTIF(P$2:P4791, P4792)=0, """", INDEX(H$2:H4791,
MAX(FILTER(ROW(H$2:H4791) - ROW(H$2) + 1, P$2:P4791 = P4792))))=""単価"","""",
IF(COUNTIF(P$2:P4791, P4792)=0, """", INDEX(H$2:H4791,
MAX(FILTER(ROW(H$2:H4791) - ROW(H$2) + 1, P$2:P4791 = P4792)))))"),52.0)</f>
        <v>52</v>
      </c>
      <c r="N4792" s="335" t="str">
        <f>IF(MAXIFS('単価履歴'!$O:$O,'単価履歴'!$E:$E,E4792,'単価履歴'!$F:$F,F4792)=O4792,"●","")</f>
        <v/>
      </c>
      <c r="O4792" s="346">
        <v>46100.82126157408</v>
      </c>
      <c r="P4792" s="334" t="str">
        <f t="shared" si="4"/>
        <v>ＪＦＥ条鋼:リバイブ新断Ａ</v>
      </c>
    </row>
    <row r="4793" ht="15.75" customHeight="1">
      <c r="A4793" s="335" t="s">
        <v>5940</v>
      </c>
      <c r="B4793" s="336">
        <v>46101.0</v>
      </c>
      <c r="C4793" s="335" t="s">
        <v>28</v>
      </c>
      <c r="D4793" s="335" t="s">
        <v>52</v>
      </c>
      <c r="E4793" s="337" t="str">
        <f t="shared" si="1"/>
        <v>ＪＦＥ条鋼:リバイブ</v>
      </c>
      <c r="F4793" s="338" t="s">
        <v>131</v>
      </c>
      <c r="G4793" s="339" t="str">
        <f t="shared" si="2"/>
        <v>ＪＦＥ条鋼:リバイブ新断Ｂ</v>
      </c>
      <c r="H4793" s="340">
        <f t="shared" si="3"/>
        <v>52</v>
      </c>
      <c r="I4793" s="341">
        <v>1.0</v>
      </c>
      <c r="J4793" s="332">
        <f>IFERROR(__xludf.DUMMYFUNCTION("IF(IF(COUNTIF(P$2:P4792, P4793)=0, """", INDEX(H$2:H4792,
MAX(FILTER(ROW(H$2:H4792) - ROW(H$2) + 1, P$2:P4792 = P4793))))=""単価"","""",
IF(COUNTIF(P$2:P4792, P4793)=0, """", INDEX(H$2:H4792,
MAX(FILTER(ROW(H$2:H4792) - ROW(H$2) + 1, P$2:P4792 = P4793)))))"),51.0)</f>
        <v>51</v>
      </c>
      <c r="N4793" s="335" t="str">
        <f>IF(MAXIFS('単価履歴'!$O:$O,'単価履歴'!$E:$E,E4793,'単価履歴'!$F:$F,F4793)=O4793,"●","")</f>
        <v/>
      </c>
      <c r="O4793" s="346">
        <v>46100.82126157408</v>
      </c>
      <c r="P4793" s="334" t="str">
        <f t="shared" si="4"/>
        <v>ＪＦＥ条鋼:リバイブ新断Ｂ</v>
      </c>
    </row>
    <row r="4794" ht="15.75" customHeight="1">
      <c r="A4794" s="335" t="s">
        <v>5941</v>
      </c>
      <c r="B4794" s="336">
        <v>46101.0</v>
      </c>
      <c r="C4794" s="335" t="s">
        <v>28</v>
      </c>
      <c r="D4794" s="335" t="s">
        <v>52</v>
      </c>
      <c r="E4794" s="337" t="str">
        <f t="shared" si="1"/>
        <v>ＪＦＥ条鋼:リバイブ</v>
      </c>
      <c r="F4794" s="338" t="s">
        <v>575</v>
      </c>
      <c r="G4794" s="339" t="str">
        <f t="shared" si="2"/>
        <v>ＪＦＥ条鋼:リバイブ鋼ダライＡ</v>
      </c>
      <c r="H4794" s="340">
        <f t="shared" si="3"/>
        <v>44.5</v>
      </c>
      <c r="I4794" s="341">
        <v>1.0</v>
      </c>
      <c r="J4794" s="332">
        <f>IFERROR(__xludf.DUMMYFUNCTION("IF(IF(COUNTIF(P$2:P4793, P4794)=0, """", INDEX(H$2:H4793,
MAX(FILTER(ROW(H$2:H4793) - ROW(H$2) + 1, P$2:P4793 = P4794))))=""単価"","""",
IF(COUNTIF(P$2:P4793, P4794)=0, """", INDEX(H$2:H4793,
MAX(FILTER(ROW(H$2:H4793) - ROW(H$2) + 1, P$2:P4793 = P4794)))))"),43.5)</f>
        <v>43.5</v>
      </c>
      <c r="N4794" s="335" t="str">
        <f>IF(MAXIFS('単価履歴'!$O:$O,'単価履歴'!$E:$E,E4794,'単価履歴'!$F:$F,F4794)=O4794,"●","")</f>
        <v/>
      </c>
      <c r="O4794" s="346">
        <v>46100.82126157408</v>
      </c>
      <c r="P4794" s="334" t="str">
        <f t="shared" si="4"/>
        <v>ＪＦＥ条鋼:リバイブ鋼ダライＡ</v>
      </c>
    </row>
    <row r="4795" ht="15.75" customHeight="1">
      <c r="A4795" s="335" t="s">
        <v>5942</v>
      </c>
      <c r="B4795" s="336">
        <v>46101.0</v>
      </c>
      <c r="C4795" s="335" t="s">
        <v>28</v>
      </c>
      <c r="D4795" s="335" t="s">
        <v>52</v>
      </c>
      <c r="E4795" s="337" t="str">
        <f t="shared" si="1"/>
        <v>ＪＦＥ条鋼:リバイブ</v>
      </c>
      <c r="F4795" s="338" t="s">
        <v>154</v>
      </c>
      <c r="G4795" s="339" t="str">
        <f t="shared" si="2"/>
        <v>ＪＦＥ条鋼:リバイブＣＰ Ａ</v>
      </c>
      <c r="H4795" s="340">
        <f t="shared" si="3"/>
        <v>51.5</v>
      </c>
      <c r="I4795" s="341">
        <v>1.0</v>
      </c>
      <c r="J4795" s="332">
        <f>IFERROR(__xludf.DUMMYFUNCTION("IF(IF(COUNTIF(P$2:P4794, P4795)=0, """", INDEX(H$2:H4794,
MAX(FILTER(ROW(H$2:H4794) - ROW(H$2) + 1, P$2:P4794 = P4795))))=""単価"","""",
IF(COUNTIF(P$2:P4794, P4795)=0, """", INDEX(H$2:H4794,
MAX(FILTER(ROW(H$2:H4794) - ROW(H$2) + 1, P$2:P4794 = P4795)))))"),50.5)</f>
        <v>50.5</v>
      </c>
      <c r="N4795" s="335" t="str">
        <f>IF(MAXIFS('単価履歴'!$O:$O,'単価履歴'!$E:$E,E4795,'単価履歴'!$F:$F,F4795)=O4795,"●","")</f>
        <v/>
      </c>
      <c r="O4795" s="346">
        <v>46100.82126157408</v>
      </c>
      <c r="P4795" s="334" t="str">
        <f t="shared" si="4"/>
        <v>ＪＦＥ条鋼:リバイブＣＰ Ａ</v>
      </c>
    </row>
    <row r="4796" ht="15.75" customHeight="1">
      <c r="A4796" s="335" t="s">
        <v>5943</v>
      </c>
      <c r="B4796" s="336">
        <v>46101.0</v>
      </c>
      <c r="C4796" s="335" t="s">
        <v>14</v>
      </c>
      <c r="D4796" s="335" t="s">
        <v>46</v>
      </c>
      <c r="E4796" s="337" t="str">
        <f t="shared" si="1"/>
        <v>愛知:阪和</v>
      </c>
      <c r="F4796" s="338" t="s">
        <v>1199</v>
      </c>
      <c r="G4796" s="339" t="str">
        <f t="shared" si="2"/>
        <v>愛知:阪和ＨＳ１(単体H1/電特A/HS))</v>
      </c>
      <c r="H4796" s="340">
        <f t="shared" si="3"/>
        <v>51.2</v>
      </c>
      <c r="I4796" s="341">
        <v>1.0</v>
      </c>
      <c r="J4796" s="332">
        <f>IFERROR(__xludf.DUMMYFUNCTION("IF(IF(COUNTIF(P$2:P4795, P4796)=0, """", INDEX(H$2:H4795,
MAX(FILTER(ROW(H$2:H4795) - ROW(H$2) + 1, P$2:P4795 = P4796))))=""単価"","""",
IF(COUNTIF(P$2:P4795, P4796)=0, """", INDEX(H$2:H4795,
MAX(FILTER(ROW(H$2:H4795) - ROW(H$2) + 1, P$2:P4795 = P4796)))))"),50.2)</f>
        <v>50.2</v>
      </c>
      <c r="N4796" s="335" t="str">
        <f>IF(MAXIFS('単価履歴'!$O:$O,'単価履歴'!$E:$E,E4796,'単価履歴'!$F:$F,F4796)=O4796,"●","")</f>
        <v/>
      </c>
      <c r="O4796" s="346">
        <v>46100.8215625</v>
      </c>
      <c r="P4796" s="334" t="str">
        <f t="shared" si="4"/>
        <v>愛知:阪和ＨＳ１(単体H1/電特A/HS))</v>
      </c>
    </row>
    <row r="4797" ht="15.75" customHeight="1">
      <c r="A4797" s="335" t="s">
        <v>5944</v>
      </c>
      <c r="B4797" s="336">
        <v>46101.0</v>
      </c>
      <c r="C4797" s="335" t="s">
        <v>14</v>
      </c>
      <c r="D4797" s="335" t="s">
        <v>46</v>
      </c>
      <c r="E4797" s="337" t="str">
        <f t="shared" si="1"/>
        <v>愛知:阪和</v>
      </c>
      <c r="F4797" s="338" t="s">
        <v>101</v>
      </c>
      <c r="G4797" s="339" t="str">
        <f t="shared" si="2"/>
        <v>愛知:阪和ＨＳ２</v>
      </c>
      <c r="H4797" s="340">
        <f t="shared" si="3"/>
        <v>50.7</v>
      </c>
      <c r="I4797" s="341">
        <v>1.0</v>
      </c>
      <c r="J4797" s="332">
        <f>IFERROR(__xludf.DUMMYFUNCTION("IF(IF(COUNTIF(P$2:P4796, P4797)=0, """", INDEX(H$2:H4796,
MAX(FILTER(ROW(H$2:H4796) - ROW(H$2) + 1, P$2:P4796 = P4797))))=""単価"","""",
IF(COUNTIF(P$2:P4796, P4797)=0, """", INDEX(H$2:H4796,
MAX(FILTER(ROW(H$2:H4796) - ROW(H$2) + 1, P$2:P4796 = P4797)))))"),49.7)</f>
        <v>49.7</v>
      </c>
      <c r="N4797" s="335" t="str">
        <f>IF(MAXIFS('単価履歴'!$O:$O,'単価履歴'!$E:$E,E4797,'単価履歴'!$F:$F,F4797)=O4797,"●","")</f>
        <v/>
      </c>
      <c r="O4797" s="346">
        <v>46100.8215625</v>
      </c>
      <c r="P4797" s="334" t="str">
        <f t="shared" si="4"/>
        <v>愛知:阪和ＨＳ２</v>
      </c>
    </row>
    <row r="4798" ht="15.75" customHeight="1">
      <c r="A4798" s="335" t="s">
        <v>5945</v>
      </c>
      <c r="B4798" s="336">
        <v>46101.0</v>
      </c>
      <c r="C4798" s="335" t="s">
        <v>14</v>
      </c>
      <c r="D4798" s="335" t="s">
        <v>46</v>
      </c>
      <c r="E4798" s="337" t="str">
        <f t="shared" si="1"/>
        <v>愛知:阪和</v>
      </c>
      <c r="F4798" s="338" t="s">
        <v>111</v>
      </c>
      <c r="G4798" s="339" t="str">
        <f t="shared" si="2"/>
        <v>愛知:阪和Ｈ１(特A)</v>
      </c>
      <c r="H4798" s="340">
        <f t="shared" si="3"/>
        <v>46.2</v>
      </c>
      <c r="I4798" s="341">
        <v>1.0</v>
      </c>
      <c r="J4798" s="332">
        <f>IFERROR(__xludf.DUMMYFUNCTION("IF(IF(COUNTIF(P$2:P4797, P4798)=0, """", INDEX(H$2:H4797,
MAX(FILTER(ROW(H$2:H4797) - ROW(H$2) + 1, P$2:P4797 = P4798))))=""単価"","""",
IF(COUNTIF(P$2:P4797, P4798)=0, """", INDEX(H$2:H4797,
MAX(FILTER(ROW(H$2:H4797) - ROW(H$2) + 1, P$2:P4797 = P4798)))))"),45.2)</f>
        <v>45.2</v>
      </c>
      <c r="N4798" s="335" t="str">
        <f>IF(MAXIFS('単価履歴'!$O:$O,'単価履歴'!$E:$E,E4798,'単価履歴'!$F:$F,F4798)=O4798,"●","")</f>
        <v/>
      </c>
      <c r="O4798" s="346">
        <v>46100.8215625</v>
      </c>
      <c r="P4798" s="334" t="str">
        <f t="shared" si="4"/>
        <v>愛知:阪和Ｈ１(特A)</v>
      </c>
    </row>
    <row r="4799" ht="15.75" customHeight="1">
      <c r="A4799" s="335" t="s">
        <v>5946</v>
      </c>
      <c r="B4799" s="336">
        <v>46101.0</v>
      </c>
      <c r="C4799" s="335" t="s">
        <v>14</v>
      </c>
      <c r="D4799" s="335" t="s">
        <v>46</v>
      </c>
      <c r="E4799" s="337" t="str">
        <f t="shared" si="1"/>
        <v>愛知:阪和</v>
      </c>
      <c r="F4799" s="338" t="s">
        <v>116</v>
      </c>
      <c r="G4799" s="339" t="str">
        <f t="shared" si="2"/>
        <v>愛知:阪和Ｈ２(特級)</v>
      </c>
      <c r="H4799" s="340">
        <f t="shared" si="3"/>
        <v>45.7</v>
      </c>
      <c r="I4799" s="341">
        <v>1.0</v>
      </c>
      <c r="J4799" s="332">
        <f>IFERROR(__xludf.DUMMYFUNCTION("IF(IF(COUNTIF(P$2:P4798, P4799)=0, """", INDEX(H$2:H4798,
MAX(FILTER(ROW(H$2:H4798) - ROW(H$2) + 1, P$2:P4798 = P4799))))=""単価"","""",
IF(COUNTIF(P$2:P4798, P4799)=0, """", INDEX(H$2:H4798,
MAX(FILTER(ROW(H$2:H4798) - ROW(H$2) + 1, P$2:P4798 = P4799)))))"),44.7)</f>
        <v>44.7</v>
      </c>
      <c r="N4799" s="335" t="str">
        <f>IF(MAXIFS('単価履歴'!$O:$O,'単価履歴'!$E:$E,E4799,'単価履歴'!$F:$F,F4799)=O4799,"●","")</f>
        <v/>
      </c>
      <c r="O4799" s="346">
        <v>46100.8215625</v>
      </c>
      <c r="P4799" s="334" t="str">
        <f t="shared" si="4"/>
        <v>愛知:阪和Ｈ２(特級)</v>
      </c>
    </row>
    <row r="4800" ht="15.75" customHeight="1">
      <c r="A4800" s="335" t="s">
        <v>5947</v>
      </c>
      <c r="B4800" s="336">
        <v>46101.0</v>
      </c>
      <c r="C4800" s="335" t="s">
        <v>14</v>
      </c>
      <c r="D4800" s="335" t="s">
        <v>46</v>
      </c>
      <c r="E4800" s="337" t="str">
        <f t="shared" si="1"/>
        <v>愛知:阪和</v>
      </c>
      <c r="F4800" s="338" t="s">
        <v>119</v>
      </c>
      <c r="G4800" s="339" t="str">
        <f t="shared" si="2"/>
        <v>愛知:阪和Ｈ３(1級)</v>
      </c>
      <c r="H4800" s="340">
        <f t="shared" si="3"/>
        <v>44.7</v>
      </c>
      <c r="I4800" s="341">
        <v>1.0</v>
      </c>
      <c r="J4800" s="332">
        <f>IFERROR(__xludf.DUMMYFUNCTION("IF(IF(COUNTIF(P$2:P4799, P4800)=0, """", INDEX(H$2:H4799,
MAX(FILTER(ROW(H$2:H4799) - ROW(H$2) + 1, P$2:P4799 = P4800))))=""単価"","""",
IF(COUNTIF(P$2:P4799, P4800)=0, """", INDEX(H$2:H4799,
MAX(FILTER(ROW(H$2:H4799) - ROW(H$2) + 1, P$2:P4799 = P4800)))))"),43.7)</f>
        <v>43.7</v>
      </c>
      <c r="N4800" s="335" t="str">
        <f>IF(MAXIFS('単価履歴'!$O:$O,'単価履歴'!$E:$E,E4800,'単価履歴'!$F:$F,F4800)=O4800,"●","")</f>
        <v/>
      </c>
      <c r="O4800" s="346">
        <v>46100.8215625</v>
      </c>
      <c r="P4800" s="334" t="str">
        <f t="shared" si="4"/>
        <v>愛知:阪和Ｈ３(1級)</v>
      </c>
    </row>
    <row r="4801" ht="15.75" customHeight="1">
      <c r="A4801" s="335" t="s">
        <v>5948</v>
      </c>
      <c r="B4801" s="336">
        <v>46101.0</v>
      </c>
      <c r="C4801" s="335" t="s">
        <v>14</v>
      </c>
      <c r="D4801" s="335" t="s">
        <v>46</v>
      </c>
      <c r="E4801" s="337" t="str">
        <f t="shared" si="1"/>
        <v>愛知:阪和</v>
      </c>
      <c r="F4801" s="338" t="s">
        <v>573</v>
      </c>
      <c r="G4801" s="339" t="str">
        <f t="shared" si="2"/>
        <v>愛知:阪和Ｌ２(H4･級外･L1ﾊﾞﾗ)</v>
      </c>
      <c r="H4801" s="340">
        <f t="shared" si="3"/>
        <v>41.3</v>
      </c>
      <c r="I4801" s="341">
        <v>1.0</v>
      </c>
      <c r="J4801" s="332">
        <f>IFERROR(__xludf.DUMMYFUNCTION("IF(IF(COUNTIF(P$2:P4800, P4801)=0, """", INDEX(H$2:H4800,
MAX(FILTER(ROW(H$2:H4800) - ROW(H$2) + 1, P$2:P4800 = P4801))))=""単価"","""",
IF(COUNTIF(P$2:P4800, P4801)=0, """", INDEX(H$2:H4800,
MAX(FILTER(ROW(H$2:H4800) - ROW(H$2) + 1, P$2:P4800 = P4801)))))"),40.3)</f>
        <v>40.3</v>
      </c>
      <c r="N4801" s="335" t="str">
        <f>IF(MAXIFS('単価履歴'!$O:$O,'単価履歴'!$E:$E,E4801,'単価履歴'!$F:$F,F4801)=O4801,"●","")</f>
        <v/>
      </c>
      <c r="O4801" s="346">
        <v>46100.8215625</v>
      </c>
      <c r="P4801" s="334" t="str">
        <f t="shared" si="4"/>
        <v>愛知:阪和Ｌ２(H4･級外･L1ﾊﾞﾗ)</v>
      </c>
    </row>
    <row r="4802" ht="15.75" customHeight="1">
      <c r="A4802" s="335" t="s">
        <v>5949</v>
      </c>
      <c r="B4802" s="336">
        <v>46101.0</v>
      </c>
      <c r="C4802" s="335" t="s">
        <v>14</v>
      </c>
      <c r="D4802" s="335" t="s">
        <v>46</v>
      </c>
      <c r="E4802" s="337" t="str">
        <f t="shared" si="1"/>
        <v>愛知:阪和</v>
      </c>
      <c r="F4802" s="338" t="s">
        <v>130</v>
      </c>
      <c r="G4802" s="339" t="str">
        <f t="shared" si="2"/>
        <v>愛知:阪和新断Ａ</v>
      </c>
      <c r="H4802" s="340">
        <f t="shared" si="3"/>
        <v>51.5</v>
      </c>
      <c r="I4802" s="341">
        <v>1.0</v>
      </c>
      <c r="J4802" s="332">
        <f>IFERROR(__xludf.DUMMYFUNCTION("IF(IF(COUNTIF(P$2:P4801, P4802)=0, """", INDEX(H$2:H4801,
MAX(FILTER(ROW(H$2:H4801) - ROW(H$2) + 1, P$2:P4801 = P4802))))=""単価"","""",
IF(COUNTIF(P$2:P4801, P4802)=0, """", INDEX(H$2:H4801,
MAX(FILTER(ROW(H$2:H4801) - ROW(H$2) + 1, P$2:P4801 = P4802)))))"),50.5)</f>
        <v>50.5</v>
      </c>
      <c r="N4802" s="335" t="str">
        <f>IF(MAXIFS('単価履歴'!$O:$O,'単価履歴'!$E:$E,E4802,'単価履歴'!$F:$F,F4802)=O4802,"●","")</f>
        <v/>
      </c>
      <c r="O4802" s="346">
        <v>46100.8215625</v>
      </c>
      <c r="P4802" s="334" t="str">
        <f t="shared" si="4"/>
        <v>愛知:阪和新断Ａ</v>
      </c>
    </row>
    <row r="4803" ht="15.75" customHeight="1">
      <c r="A4803" s="335" t="s">
        <v>5950</v>
      </c>
      <c r="B4803" s="336">
        <v>46101.0</v>
      </c>
      <c r="C4803" s="335" t="s">
        <v>14</v>
      </c>
      <c r="D4803" s="335" t="s">
        <v>46</v>
      </c>
      <c r="E4803" s="337" t="str">
        <f t="shared" si="1"/>
        <v>愛知:阪和</v>
      </c>
      <c r="F4803" s="338" t="s">
        <v>131</v>
      </c>
      <c r="G4803" s="339" t="str">
        <f t="shared" si="2"/>
        <v>愛知:阪和新断Ｂ</v>
      </c>
      <c r="H4803" s="340">
        <f t="shared" si="3"/>
        <v>50.5</v>
      </c>
      <c r="I4803" s="341">
        <v>1.0</v>
      </c>
      <c r="J4803" s="332">
        <f>IFERROR(__xludf.DUMMYFUNCTION("IF(IF(COUNTIF(P$2:P4802, P4803)=0, """", INDEX(H$2:H4802,
MAX(FILTER(ROW(H$2:H4802) - ROW(H$2) + 1, P$2:P4802 = P4803))))=""単価"","""",
IF(COUNTIF(P$2:P4802, P4803)=0, """", INDEX(H$2:H4802,
MAX(FILTER(ROW(H$2:H4802) - ROW(H$2) + 1, P$2:P4802 = P4803)))))"),49.5)</f>
        <v>49.5</v>
      </c>
      <c r="N4803" s="335" t="str">
        <f>IF(MAXIFS('単価履歴'!$O:$O,'単価履歴'!$E:$E,E4803,'単価履歴'!$F:$F,F4803)=O4803,"●","")</f>
        <v/>
      </c>
      <c r="O4803" s="346">
        <v>46100.8215625</v>
      </c>
      <c r="P4803" s="334" t="str">
        <f t="shared" si="4"/>
        <v>愛知:阪和新断Ｂ</v>
      </c>
    </row>
    <row r="4804" ht="15.75" customHeight="1">
      <c r="A4804" s="335" t="s">
        <v>5951</v>
      </c>
      <c r="B4804" s="336">
        <v>46101.0</v>
      </c>
      <c r="C4804" s="335" t="s">
        <v>14</v>
      </c>
      <c r="D4804" s="335" t="s">
        <v>46</v>
      </c>
      <c r="E4804" s="337" t="str">
        <f t="shared" si="1"/>
        <v>愛知:阪和</v>
      </c>
      <c r="F4804" s="338" t="s">
        <v>145</v>
      </c>
      <c r="G4804" s="339" t="str">
        <f t="shared" si="2"/>
        <v>愛知:阪和シュレＡ</v>
      </c>
      <c r="H4804" s="340">
        <f t="shared" si="3"/>
        <v>51.5</v>
      </c>
      <c r="I4804" s="341">
        <v>1.0</v>
      </c>
      <c r="J4804" s="332">
        <f>IFERROR(__xludf.DUMMYFUNCTION("IF(IF(COUNTIF(P$2:P4803, P4804)=0, """", INDEX(H$2:H4803,
MAX(FILTER(ROW(H$2:H4803) - ROW(H$2) + 1, P$2:P4803 = P4804))))=""単価"","""",
IF(COUNTIF(P$2:P4803, P4804)=0, """", INDEX(H$2:H4803,
MAX(FILTER(ROW(H$2:H4803) - ROW(H$2) + 1, P$2:P4803 = P4804)))))"),50.5)</f>
        <v>50.5</v>
      </c>
      <c r="N4804" s="335" t="str">
        <f>IF(MAXIFS('単価履歴'!$O:$O,'単価履歴'!$E:$E,E4804,'単価履歴'!$F:$F,F4804)=O4804,"●","")</f>
        <v/>
      </c>
      <c r="O4804" s="346">
        <v>46100.8215625</v>
      </c>
      <c r="P4804" s="334" t="str">
        <f t="shared" si="4"/>
        <v>愛知:阪和シュレＡ</v>
      </c>
    </row>
    <row r="4805" ht="15.75" customHeight="1">
      <c r="A4805" s="335" t="s">
        <v>5952</v>
      </c>
      <c r="B4805" s="336">
        <v>46101.0</v>
      </c>
      <c r="C4805" s="335" t="s">
        <v>14</v>
      </c>
      <c r="D4805" s="335" t="s">
        <v>48</v>
      </c>
      <c r="E4805" s="337" t="str">
        <f t="shared" si="1"/>
        <v>愛知:ナベ</v>
      </c>
      <c r="F4805" s="338" t="s">
        <v>1199</v>
      </c>
      <c r="G4805" s="339" t="str">
        <f t="shared" si="2"/>
        <v>愛知:ナベＨＳ１(単体H1/電特A/HS))</v>
      </c>
      <c r="H4805" s="340">
        <f t="shared" si="3"/>
        <v>49</v>
      </c>
      <c r="I4805" s="341">
        <v>1.0</v>
      </c>
      <c r="J4805" s="332">
        <f>IFERROR(__xludf.DUMMYFUNCTION("IF(IF(COUNTIF(P$2:P4804, P4805)=0, """", INDEX(H$2:H4804,
MAX(FILTER(ROW(H$2:H4804) - ROW(H$2) + 1, P$2:P4804 = P4805))))=""単価"","""",
IF(COUNTIF(P$2:P4804, P4805)=0, """", INDEX(H$2:H4804,
MAX(FILTER(ROW(H$2:H4804) - ROW(H$2) + 1, P$2:P4804 = P4805)))))"),48.0)</f>
        <v>48</v>
      </c>
      <c r="N4805" s="335" t="str">
        <f>IF(MAXIFS('単価履歴'!$O:$O,'単価履歴'!$E:$E,E4805,'単価履歴'!$F:$F,F4805)=O4805,"●","")</f>
        <v/>
      </c>
      <c r="O4805" s="346">
        <v>46100.8219212963</v>
      </c>
      <c r="P4805" s="334" t="str">
        <f t="shared" si="4"/>
        <v>愛知:ナベＨＳ１(単体H1/電特A/HS))</v>
      </c>
    </row>
    <row r="4806" ht="15.75" customHeight="1">
      <c r="A4806" s="335" t="s">
        <v>5953</v>
      </c>
      <c r="B4806" s="336">
        <v>46101.0</v>
      </c>
      <c r="C4806" s="335" t="s">
        <v>14</v>
      </c>
      <c r="D4806" s="335" t="s">
        <v>48</v>
      </c>
      <c r="E4806" s="337" t="str">
        <f t="shared" si="1"/>
        <v>愛知:ナベ</v>
      </c>
      <c r="F4806" s="338" t="s">
        <v>101</v>
      </c>
      <c r="G4806" s="339" t="str">
        <f t="shared" si="2"/>
        <v>愛知:ナベＨＳ２</v>
      </c>
      <c r="H4806" s="340">
        <f t="shared" si="3"/>
        <v>48.5</v>
      </c>
      <c r="I4806" s="341">
        <v>1.0</v>
      </c>
      <c r="J4806" s="332">
        <f>IFERROR(__xludf.DUMMYFUNCTION("IF(IF(COUNTIF(P$2:P4805, P4806)=0, """", INDEX(H$2:H4805,
MAX(FILTER(ROW(H$2:H4805) - ROW(H$2) + 1, P$2:P4805 = P4806))))=""単価"","""",
IF(COUNTIF(P$2:P4805, P4806)=0, """", INDEX(H$2:H4805,
MAX(FILTER(ROW(H$2:H4805) - ROW(H$2) + 1, P$2:P4805 = P4806)))))"),47.5)</f>
        <v>47.5</v>
      </c>
      <c r="N4806" s="335" t="str">
        <f>IF(MAXIFS('単価履歴'!$O:$O,'単価履歴'!$E:$E,E4806,'単価履歴'!$F:$F,F4806)=O4806,"●","")</f>
        <v/>
      </c>
      <c r="O4806" s="346">
        <v>46100.8219212963</v>
      </c>
      <c r="P4806" s="334" t="str">
        <f t="shared" si="4"/>
        <v>愛知:ナベＨＳ２</v>
      </c>
    </row>
    <row r="4807" ht="15.75" customHeight="1">
      <c r="A4807" s="335" t="s">
        <v>5954</v>
      </c>
      <c r="B4807" s="336">
        <v>46101.0</v>
      </c>
      <c r="C4807" s="335" t="s">
        <v>14</v>
      </c>
      <c r="D4807" s="335" t="s">
        <v>48</v>
      </c>
      <c r="E4807" s="337" t="str">
        <f t="shared" si="1"/>
        <v>愛知:ナベ</v>
      </c>
      <c r="F4807" s="338" t="s">
        <v>111</v>
      </c>
      <c r="G4807" s="339" t="str">
        <f t="shared" si="2"/>
        <v>愛知:ナベＨ１(特A)</v>
      </c>
      <c r="H4807" s="340">
        <f t="shared" si="3"/>
        <v>48</v>
      </c>
      <c r="I4807" s="341">
        <v>1.0</v>
      </c>
      <c r="J4807" s="332">
        <f>IFERROR(__xludf.DUMMYFUNCTION("IF(IF(COUNTIF(P$2:P4806, P4807)=0, """", INDEX(H$2:H4806,
MAX(FILTER(ROW(H$2:H4806) - ROW(H$2) + 1, P$2:P4806 = P4807))))=""単価"","""",
IF(COUNTIF(P$2:P4806, P4807)=0, """", INDEX(H$2:H4806,
MAX(FILTER(ROW(H$2:H4806) - ROW(H$2) + 1, P$2:P4806 = P4807)))))"),47.0)</f>
        <v>47</v>
      </c>
      <c r="N4807" s="335" t="str">
        <f>IF(MAXIFS('単価履歴'!$O:$O,'単価履歴'!$E:$E,E4807,'単価履歴'!$F:$F,F4807)=O4807,"●","")</f>
        <v/>
      </c>
      <c r="O4807" s="346">
        <v>46100.8219212963</v>
      </c>
      <c r="P4807" s="334" t="str">
        <f t="shared" si="4"/>
        <v>愛知:ナベＨ１(特A)</v>
      </c>
    </row>
    <row r="4808" ht="15.75" customHeight="1">
      <c r="A4808" s="335" t="s">
        <v>5955</v>
      </c>
      <c r="B4808" s="336">
        <v>46101.0</v>
      </c>
      <c r="C4808" s="335" t="s">
        <v>14</v>
      </c>
      <c r="D4808" s="335" t="s">
        <v>48</v>
      </c>
      <c r="E4808" s="337" t="str">
        <f t="shared" si="1"/>
        <v>愛知:ナベ</v>
      </c>
      <c r="F4808" s="338" t="s">
        <v>116</v>
      </c>
      <c r="G4808" s="339" t="str">
        <f t="shared" si="2"/>
        <v>愛知:ナベＨ２(特級)</v>
      </c>
      <c r="H4808" s="340">
        <f t="shared" si="3"/>
        <v>46.4</v>
      </c>
      <c r="I4808" s="341">
        <v>1.0</v>
      </c>
      <c r="J4808" s="332">
        <f>IFERROR(__xludf.DUMMYFUNCTION("IF(IF(COUNTIF(P$2:P4807, P4808)=0, """", INDEX(H$2:H4807,
MAX(FILTER(ROW(H$2:H4807) - ROW(H$2) + 1, P$2:P4807 = P4808))))=""単価"","""",
IF(COUNTIF(P$2:P4807, P4808)=0, """", INDEX(H$2:H4807,
MAX(FILTER(ROW(H$2:H4807) - ROW(H$2) + 1, P$2:P4807 = P4808)))))"),45.4)</f>
        <v>45.4</v>
      </c>
      <c r="N4808" s="335" t="str">
        <f>IF(MAXIFS('単価履歴'!$O:$O,'単価履歴'!$E:$E,E4808,'単価履歴'!$F:$F,F4808)=O4808,"●","")</f>
        <v/>
      </c>
      <c r="O4808" s="346">
        <v>46100.8219212963</v>
      </c>
      <c r="P4808" s="334" t="str">
        <f t="shared" si="4"/>
        <v>愛知:ナベＨ２(特級)</v>
      </c>
    </row>
    <row r="4809" ht="15.75" customHeight="1">
      <c r="A4809" s="335" t="s">
        <v>5956</v>
      </c>
      <c r="B4809" s="336">
        <v>46101.0</v>
      </c>
      <c r="C4809" s="335" t="s">
        <v>14</v>
      </c>
      <c r="D4809" s="335" t="s">
        <v>48</v>
      </c>
      <c r="E4809" s="337" t="str">
        <f t="shared" si="1"/>
        <v>愛知:ナベ</v>
      </c>
      <c r="F4809" s="338" t="s">
        <v>119</v>
      </c>
      <c r="G4809" s="339" t="str">
        <f t="shared" si="2"/>
        <v>愛知:ナベＨ３(1級)</v>
      </c>
      <c r="H4809" s="340">
        <f t="shared" si="3"/>
        <v>45.4</v>
      </c>
      <c r="I4809" s="341">
        <v>1.0</v>
      </c>
      <c r="J4809" s="332">
        <f>IFERROR(__xludf.DUMMYFUNCTION("IF(IF(COUNTIF(P$2:P4808, P4809)=0, """", INDEX(H$2:H4808,
MAX(FILTER(ROW(H$2:H4808) - ROW(H$2) + 1, P$2:P4808 = P4809))))=""単価"","""",
IF(COUNTIF(P$2:P4808, P4809)=0, """", INDEX(H$2:H4808,
MAX(FILTER(ROW(H$2:H4808) - ROW(H$2) + 1, P$2:P4808 = P4809)))))"),44.4)</f>
        <v>44.4</v>
      </c>
      <c r="N4809" s="335" t="str">
        <f>IF(MAXIFS('単価履歴'!$O:$O,'単価履歴'!$E:$E,E4809,'単価履歴'!$F:$F,F4809)=O4809,"●","")</f>
        <v/>
      </c>
      <c r="O4809" s="346">
        <v>46100.8219212963</v>
      </c>
      <c r="P4809" s="334" t="str">
        <f t="shared" si="4"/>
        <v>愛知:ナベＨ３(1級)</v>
      </c>
    </row>
    <row r="4810" ht="15.75" customHeight="1">
      <c r="A4810" s="335" t="s">
        <v>5957</v>
      </c>
      <c r="B4810" s="336">
        <v>46101.0</v>
      </c>
      <c r="C4810" s="335" t="s">
        <v>14</v>
      </c>
      <c r="D4810" s="335" t="s">
        <v>48</v>
      </c>
      <c r="E4810" s="337" t="str">
        <f t="shared" si="1"/>
        <v>愛知:ナベ</v>
      </c>
      <c r="F4810" s="338" t="s">
        <v>573</v>
      </c>
      <c r="G4810" s="339" t="str">
        <f t="shared" si="2"/>
        <v>愛知:ナベＬ２(H4･級外･L1ﾊﾞﾗ)</v>
      </c>
      <c r="H4810" s="340">
        <f t="shared" si="3"/>
        <v>41.4</v>
      </c>
      <c r="I4810" s="341">
        <v>1.0</v>
      </c>
      <c r="J4810" s="332">
        <f>IFERROR(__xludf.DUMMYFUNCTION("IF(IF(COUNTIF(P$2:P4809, P4810)=0, """", INDEX(H$2:H4809,
MAX(FILTER(ROW(H$2:H4809) - ROW(H$2) + 1, P$2:P4809 = P4810))))=""単価"","""",
IF(COUNTIF(P$2:P4809, P4810)=0, """", INDEX(H$2:H4809,
MAX(FILTER(ROW(H$2:H4809) - ROW(H$2) + 1, P$2:P4809 = P4810)))))"),40.4)</f>
        <v>40.4</v>
      </c>
      <c r="N4810" s="335" t="str">
        <f>IF(MAXIFS('単価履歴'!$O:$O,'単価履歴'!$E:$E,E4810,'単価履歴'!$F:$F,F4810)=O4810,"●","")</f>
        <v/>
      </c>
      <c r="O4810" s="346">
        <v>46100.8219212963</v>
      </c>
      <c r="P4810" s="334" t="str">
        <f t="shared" si="4"/>
        <v>愛知:ナベＬ２(H4･級外･L1ﾊﾞﾗ)</v>
      </c>
    </row>
    <row r="4811" ht="15.75" customHeight="1">
      <c r="A4811" s="335" t="s">
        <v>5958</v>
      </c>
      <c r="B4811" s="336">
        <v>46101.0</v>
      </c>
      <c r="C4811" s="335" t="s">
        <v>14</v>
      </c>
      <c r="D4811" s="335" t="s">
        <v>48</v>
      </c>
      <c r="E4811" s="337" t="str">
        <f t="shared" si="1"/>
        <v>愛知:ナベ</v>
      </c>
      <c r="F4811" s="338" t="s">
        <v>575</v>
      </c>
      <c r="G4811" s="339" t="str">
        <f t="shared" si="2"/>
        <v>愛知:ナベ鋼ダライＡ</v>
      </c>
      <c r="H4811" s="340">
        <f t="shared" si="3"/>
        <v>7.5</v>
      </c>
      <c r="I4811" s="341">
        <v>1.0</v>
      </c>
      <c r="J4811" s="332">
        <f>IFERROR(__xludf.DUMMYFUNCTION("IF(IF(COUNTIF(P$2:P4810, P4811)=0, """", INDEX(H$2:H4810,
MAX(FILTER(ROW(H$2:H4810) - ROW(H$2) + 1, P$2:P4810 = P4811))))=""単価"","""",
IF(COUNTIF(P$2:P4810, P4811)=0, """", INDEX(H$2:H4810,
MAX(FILTER(ROW(H$2:H4810) - ROW(H$2) + 1, P$2:P4810 = P4811)))))"),6.5)</f>
        <v>6.5</v>
      </c>
      <c r="N4811" s="335" t="str">
        <f>IF(MAXIFS('単価履歴'!$O:$O,'単価履歴'!$E:$E,E4811,'単価履歴'!$F:$F,F4811)=O4811,"●","")</f>
        <v/>
      </c>
      <c r="O4811" s="346">
        <v>46100.8219212963</v>
      </c>
      <c r="P4811" s="334" t="str">
        <f t="shared" si="4"/>
        <v>愛知:ナベ鋼ダライＡ</v>
      </c>
    </row>
    <row r="4812" ht="15.75" customHeight="1">
      <c r="A4812" s="335" t="s">
        <v>5959</v>
      </c>
      <c r="B4812" s="336">
        <v>46101.0</v>
      </c>
      <c r="C4812" s="335" t="s">
        <v>15</v>
      </c>
      <c r="D4812" s="335" t="s">
        <v>58</v>
      </c>
      <c r="E4812" s="337" t="str">
        <f t="shared" si="1"/>
        <v>山口鋼業:MM建材</v>
      </c>
      <c r="F4812" s="338" t="s">
        <v>1199</v>
      </c>
      <c r="G4812" s="339" t="str">
        <f t="shared" si="2"/>
        <v>山口鋼業:MM建材ＨＳ１(単体H1/電特A/HS))</v>
      </c>
      <c r="H4812" s="340">
        <f t="shared" si="3"/>
        <v>48</v>
      </c>
      <c r="I4812" s="341">
        <v>1.0</v>
      </c>
      <c r="J4812" s="332">
        <f>IFERROR(__xludf.DUMMYFUNCTION("IF(IF(COUNTIF(P$2:P4811, P4812)=0, """", INDEX(H$2:H4811,
MAX(FILTER(ROW(H$2:H4811) - ROW(H$2) + 1, P$2:P4811 = P4812))))=""単価"","""",
IF(COUNTIF(P$2:P4811, P4812)=0, """", INDEX(H$2:H4811,
MAX(FILTER(ROW(H$2:H4811) - ROW(H$2) + 1, P$2:P4811 = P4812)))))"),47.0)</f>
        <v>47</v>
      </c>
      <c r="N4812" s="335" t="str">
        <f>IF(MAXIFS('単価履歴'!$O:$O,'単価履歴'!$E:$E,E4812,'単価履歴'!$F:$F,F4812)=O4812,"●","")</f>
        <v/>
      </c>
      <c r="O4812" s="346">
        <v>46100.8220949074</v>
      </c>
      <c r="P4812" s="334" t="str">
        <f t="shared" si="4"/>
        <v>山口鋼業:MM建材ＨＳ１(単体H1/電特A/HS))</v>
      </c>
    </row>
    <row r="4813" ht="15.75" customHeight="1">
      <c r="A4813" s="335" t="s">
        <v>5960</v>
      </c>
      <c r="B4813" s="336">
        <v>46101.0</v>
      </c>
      <c r="C4813" s="335" t="s">
        <v>15</v>
      </c>
      <c r="D4813" s="335" t="s">
        <v>58</v>
      </c>
      <c r="E4813" s="337" t="str">
        <f t="shared" si="1"/>
        <v>山口鋼業:MM建材</v>
      </c>
      <c r="F4813" s="338" t="s">
        <v>1237</v>
      </c>
      <c r="G4813" s="339" t="str">
        <f t="shared" si="2"/>
        <v>山口鋼業:MM建材ＪＨ１(H2T山口)鍛造ﾊﾞﾘ</v>
      </c>
      <c r="H4813" s="340">
        <f t="shared" si="3"/>
        <v>47.5</v>
      </c>
      <c r="I4813" s="341">
        <v>1.0</v>
      </c>
      <c r="J4813" s="332">
        <f>IFERROR(__xludf.DUMMYFUNCTION("IF(IF(COUNTIF(P$2:P4812, P4813)=0, """", INDEX(H$2:H4812,
MAX(FILTER(ROW(H$2:H4812) - ROW(H$2) + 1, P$2:P4812 = P4813))))=""単価"","""",
IF(COUNTIF(P$2:P4812, P4813)=0, """", INDEX(H$2:H4812,
MAX(FILTER(ROW(H$2:H4812) - ROW(H$2) + 1, P$2:P4812 = P4813)))))"),46.5)</f>
        <v>46.5</v>
      </c>
      <c r="N4813" s="335" t="str">
        <f>IF(MAXIFS('単価履歴'!$O:$O,'単価履歴'!$E:$E,E4813,'単価履歴'!$F:$F,F4813)=O4813,"●","")</f>
        <v/>
      </c>
      <c r="O4813" s="346">
        <v>46100.8220949074</v>
      </c>
      <c r="P4813" s="334" t="str">
        <f t="shared" si="4"/>
        <v>山口鋼業:MM建材ＪＨ１(H2T山口)鍛造ﾊﾞﾘ</v>
      </c>
    </row>
    <row r="4814" ht="15.75" customHeight="1">
      <c r="A4814" s="335" t="s">
        <v>5961</v>
      </c>
      <c r="B4814" s="336">
        <v>46101.0</v>
      </c>
      <c r="C4814" s="335" t="s">
        <v>15</v>
      </c>
      <c r="D4814" s="335" t="s">
        <v>58</v>
      </c>
      <c r="E4814" s="337" t="str">
        <f t="shared" si="1"/>
        <v>山口鋼業:MM建材</v>
      </c>
      <c r="F4814" s="338" t="s">
        <v>116</v>
      </c>
      <c r="G4814" s="339" t="str">
        <f t="shared" si="2"/>
        <v>山口鋼業:MM建材Ｈ２(特級)</v>
      </c>
      <c r="H4814" s="340">
        <f t="shared" si="3"/>
        <v>46.5</v>
      </c>
      <c r="I4814" s="341">
        <v>1.0</v>
      </c>
      <c r="J4814" s="332">
        <f>IFERROR(__xludf.DUMMYFUNCTION("IF(IF(COUNTIF(P$2:P4813, P4814)=0, """", INDEX(H$2:H4813,
MAX(FILTER(ROW(H$2:H4813) - ROW(H$2) + 1, P$2:P4813 = P4814))))=""単価"","""",
IF(COUNTIF(P$2:P4813, P4814)=0, """", INDEX(H$2:H4813,
MAX(FILTER(ROW(H$2:H4813) - ROW(H$2) + 1, P$2:P4813 = P4814)))))"),45.5)</f>
        <v>45.5</v>
      </c>
      <c r="N4814" s="335" t="str">
        <f>IF(MAXIFS('単価履歴'!$O:$O,'単価履歴'!$E:$E,E4814,'単価履歴'!$F:$F,F4814)=O4814,"●","")</f>
        <v/>
      </c>
      <c r="O4814" s="346">
        <v>46100.8220949074</v>
      </c>
      <c r="P4814" s="334" t="str">
        <f t="shared" si="4"/>
        <v>山口鋼業:MM建材Ｈ２(特級)</v>
      </c>
    </row>
    <row r="4815" ht="15.75" customHeight="1">
      <c r="A4815" s="335" t="s">
        <v>5962</v>
      </c>
      <c r="B4815" s="336">
        <v>46101.0</v>
      </c>
      <c r="C4815" s="335" t="s">
        <v>15</v>
      </c>
      <c r="D4815" s="335" t="s">
        <v>58</v>
      </c>
      <c r="E4815" s="337" t="str">
        <f t="shared" si="1"/>
        <v>山口鋼業:MM建材</v>
      </c>
      <c r="F4815" s="338" t="s">
        <v>119</v>
      </c>
      <c r="G4815" s="339" t="str">
        <f t="shared" si="2"/>
        <v>山口鋼業:MM建材Ｈ３(1級)</v>
      </c>
      <c r="H4815" s="340">
        <f t="shared" si="3"/>
        <v>45.5</v>
      </c>
      <c r="I4815" s="341">
        <v>1.0</v>
      </c>
      <c r="J4815" s="332">
        <f>IFERROR(__xludf.DUMMYFUNCTION("IF(IF(COUNTIF(P$2:P4814, P4815)=0, """", INDEX(H$2:H4814,
MAX(FILTER(ROW(H$2:H4814) - ROW(H$2) + 1, P$2:P4814 = P4815))))=""単価"","""",
IF(COUNTIF(P$2:P4814, P4815)=0, """", INDEX(H$2:H4814,
MAX(FILTER(ROW(H$2:H4814) - ROW(H$2) + 1, P$2:P4814 = P4815)))))"),44.5)</f>
        <v>44.5</v>
      </c>
      <c r="N4815" s="335" t="str">
        <f>IF(MAXIFS('単価履歴'!$O:$O,'単価履歴'!$E:$E,E4815,'単価履歴'!$F:$F,F4815)=O4815,"●","")</f>
        <v/>
      </c>
      <c r="O4815" s="346">
        <v>46100.8220949074</v>
      </c>
      <c r="P4815" s="334" t="str">
        <f t="shared" si="4"/>
        <v>山口鋼業:MM建材Ｈ３(1級)</v>
      </c>
    </row>
    <row r="4816" ht="15.75" customHeight="1">
      <c r="A4816" s="335" t="s">
        <v>5963</v>
      </c>
      <c r="B4816" s="336">
        <v>46101.0</v>
      </c>
      <c r="C4816" s="335" t="s">
        <v>15</v>
      </c>
      <c r="D4816" s="335" t="s">
        <v>58</v>
      </c>
      <c r="E4816" s="337" t="str">
        <f t="shared" si="1"/>
        <v>山口鋼業:MM建材</v>
      </c>
      <c r="F4816" s="338" t="s">
        <v>573</v>
      </c>
      <c r="G4816" s="339" t="str">
        <f t="shared" si="2"/>
        <v>山口鋼業:MM建材Ｌ２(H4･級外･L1ﾊﾞﾗ)</v>
      </c>
      <c r="H4816" s="340">
        <f t="shared" si="3"/>
        <v>44</v>
      </c>
      <c r="I4816" s="341">
        <v>1.0</v>
      </c>
      <c r="J4816" s="332">
        <f>IFERROR(__xludf.DUMMYFUNCTION("IF(IF(COUNTIF(P$2:P4815, P4816)=0, """", INDEX(H$2:H4815,
MAX(FILTER(ROW(H$2:H4815) - ROW(H$2) + 1, P$2:P4815 = P4816))))=""単価"","""",
IF(COUNTIF(P$2:P4815, P4816)=0, """", INDEX(H$2:H4815,
MAX(FILTER(ROW(H$2:H4815) - ROW(H$2) + 1, P$2:P4815 = P4816)))))"),43.0)</f>
        <v>43</v>
      </c>
      <c r="N4816" s="335" t="str">
        <f>IF(MAXIFS('単価履歴'!$O:$O,'単価履歴'!$E:$E,E4816,'単価履歴'!$F:$F,F4816)=O4816,"●","")</f>
        <v/>
      </c>
      <c r="O4816" s="346">
        <v>46100.8220949074</v>
      </c>
      <c r="P4816" s="334" t="str">
        <f t="shared" si="4"/>
        <v>山口鋼業:MM建材Ｌ２(H4･級外･L1ﾊﾞﾗ)</v>
      </c>
    </row>
    <row r="4817" ht="15.75" customHeight="1">
      <c r="A4817" s="335" t="s">
        <v>5964</v>
      </c>
      <c r="B4817" s="336">
        <v>46101.0</v>
      </c>
      <c r="C4817" s="335" t="s">
        <v>15</v>
      </c>
      <c r="D4817" s="335" t="s">
        <v>58</v>
      </c>
      <c r="E4817" s="337" t="str">
        <f t="shared" si="1"/>
        <v>山口鋼業:MM建材</v>
      </c>
      <c r="F4817" s="338" t="s">
        <v>575</v>
      </c>
      <c r="G4817" s="339" t="str">
        <f t="shared" si="2"/>
        <v>山口鋼業:MM建材鋼ダライＡ</v>
      </c>
      <c r="H4817" s="340">
        <f t="shared" si="3"/>
        <v>43.6</v>
      </c>
      <c r="I4817" s="341">
        <v>1.0</v>
      </c>
      <c r="J4817" s="332">
        <f>IFERROR(__xludf.DUMMYFUNCTION("IF(IF(COUNTIF(P$2:P4816, P4817)=0, """", INDEX(H$2:H4816,
MAX(FILTER(ROW(H$2:H4816) - ROW(H$2) + 1, P$2:P4816 = P4817))))=""単価"","""",
IF(COUNTIF(P$2:P4816, P4817)=0, """", INDEX(H$2:H4816,
MAX(FILTER(ROW(H$2:H4816) - ROW(H$2) + 1, P$2:P4816 = P4817)))))"),42.6)</f>
        <v>42.6</v>
      </c>
      <c r="N4817" s="335" t="str">
        <f>IF(MAXIFS('単価履歴'!$O:$O,'単価履歴'!$E:$E,E4817,'単価履歴'!$F:$F,F4817)=O4817,"●","")</f>
        <v/>
      </c>
      <c r="O4817" s="346">
        <v>46100.8220949074</v>
      </c>
      <c r="P4817" s="334" t="str">
        <f t="shared" si="4"/>
        <v>山口鋼業:MM建材鋼ダライＡ</v>
      </c>
    </row>
    <row r="4818" ht="15.75" customHeight="1">
      <c r="A4818" s="335" t="s">
        <v>5965</v>
      </c>
      <c r="B4818" s="336">
        <v>46101.0</v>
      </c>
      <c r="C4818" s="335" t="s">
        <v>15</v>
      </c>
      <c r="D4818" s="335" t="s">
        <v>58</v>
      </c>
      <c r="E4818" s="337" t="str">
        <f t="shared" si="1"/>
        <v>山口鋼業:MM建材</v>
      </c>
      <c r="F4818" s="338" t="s">
        <v>577</v>
      </c>
      <c r="G4818" s="339" t="str">
        <f t="shared" si="2"/>
        <v>山口鋼業:MM建材鋳物・ﾀﾞｸﾀｲﾙ</v>
      </c>
      <c r="H4818" s="340">
        <f t="shared" si="3"/>
        <v>47.5</v>
      </c>
      <c r="I4818" s="341">
        <v>1.0</v>
      </c>
      <c r="J4818" s="332">
        <f>IFERROR(__xludf.DUMMYFUNCTION("IF(IF(COUNTIF(P$2:P4817, P4818)=0, """", INDEX(H$2:H4817,
MAX(FILTER(ROW(H$2:H4817) - ROW(H$2) + 1, P$2:P4817 = P4818))))=""単価"","""",
IF(COUNTIF(P$2:P4817, P4818)=0, """", INDEX(H$2:H4817,
MAX(FILTER(ROW(H$2:H4817) - ROW(H$2) + 1, P$2:P4817 = P4818)))))"),46.5)</f>
        <v>46.5</v>
      </c>
      <c r="N4818" s="335" t="str">
        <f>IF(MAXIFS('単価履歴'!$O:$O,'単価履歴'!$E:$E,E4818,'単価履歴'!$F:$F,F4818)=O4818,"●","")</f>
        <v/>
      </c>
      <c r="O4818" s="346">
        <v>46100.8220949074</v>
      </c>
      <c r="P4818" s="334" t="str">
        <f t="shared" si="4"/>
        <v>山口鋼業:MM建材鋳物・ﾀﾞｸﾀｲﾙ</v>
      </c>
    </row>
    <row r="4819" ht="15.75" customHeight="1">
      <c r="A4819" s="335" t="s">
        <v>5966</v>
      </c>
      <c r="B4819" s="336">
        <v>46101.0</v>
      </c>
      <c r="C4819" s="335" t="s">
        <v>15</v>
      </c>
      <c r="D4819" s="335" t="s">
        <v>46</v>
      </c>
      <c r="E4819" s="337" t="str">
        <f t="shared" si="1"/>
        <v>山口鋼業:阪和</v>
      </c>
      <c r="F4819" s="338" t="s">
        <v>1199</v>
      </c>
      <c r="G4819" s="339" t="str">
        <f t="shared" si="2"/>
        <v>山口鋼業:阪和ＨＳ１(単体H1/電特A/HS))</v>
      </c>
      <c r="H4819" s="340">
        <f t="shared" si="3"/>
        <v>49.5</v>
      </c>
      <c r="I4819" s="341">
        <v>1.0</v>
      </c>
      <c r="J4819" s="332">
        <f>IFERROR(__xludf.DUMMYFUNCTION("IF(IF(COUNTIF(P$2:P4818, P4819)=0, """", INDEX(H$2:H4818,
MAX(FILTER(ROW(H$2:H4818) - ROW(H$2) + 1, P$2:P4818 = P4819))))=""単価"","""",
IF(COUNTIF(P$2:P4818, P4819)=0, """", INDEX(H$2:H4818,
MAX(FILTER(ROW(H$2:H4818) - ROW(H$2) + 1, P$2:P4818 = P4819)))))"),48.5)</f>
        <v>48.5</v>
      </c>
      <c r="N4819" s="335" t="str">
        <f>IF(MAXIFS('単価履歴'!$O:$O,'単価履歴'!$E:$E,E4819,'単価履歴'!$F:$F,F4819)=O4819,"●","")</f>
        <v/>
      </c>
      <c r="O4819" s="346">
        <v>46100.82231481481</v>
      </c>
      <c r="P4819" s="334" t="str">
        <f t="shared" si="4"/>
        <v>山口鋼業:阪和ＨＳ１(単体H1/電特A/HS))</v>
      </c>
    </row>
    <row r="4820" ht="15.75" customHeight="1">
      <c r="A4820" s="335" t="s">
        <v>5967</v>
      </c>
      <c r="B4820" s="336">
        <v>46101.0</v>
      </c>
      <c r="C4820" s="335" t="s">
        <v>15</v>
      </c>
      <c r="D4820" s="335" t="s">
        <v>46</v>
      </c>
      <c r="E4820" s="337" t="str">
        <f t="shared" si="1"/>
        <v>山口鋼業:阪和</v>
      </c>
      <c r="F4820" s="338" t="s">
        <v>111</v>
      </c>
      <c r="G4820" s="339" t="str">
        <f t="shared" si="2"/>
        <v>山口鋼業:阪和Ｈ１(特A)</v>
      </c>
      <c r="H4820" s="340">
        <f t="shared" si="3"/>
        <v>48</v>
      </c>
      <c r="I4820" s="341">
        <v>1.0</v>
      </c>
      <c r="J4820" s="332">
        <f>IFERROR(__xludf.DUMMYFUNCTION("IF(IF(COUNTIF(P$2:P4819, P4820)=0, """", INDEX(H$2:H4819,
MAX(FILTER(ROW(H$2:H4819) - ROW(H$2) + 1, P$2:P4819 = P4820))))=""単価"","""",
IF(COUNTIF(P$2:P4819, P4820)=0, """", INDEX(H$2:H4819,
MAX(FILTER(ROW(H$2:H4819) - ROW(H$2) + 1, P$2:P4819 = P4820)))))"),47.0)</f>
        <v>47</v>
      </c>
      <c r="N4820" s="335" t="str">
        <f>IF(MAXIFS('単価履歴'!$O:$O,'単価履歴'!$E:$E,E4820,'単価履歴'!$F:$F,F4820)=O4820,"●","")</f>
        <v/>
      </c>
      <c r="O4820" s="346">
        <v>46100.82231481481</v>
      </c>
      <c r="P4820" s="334" t="str">
        <f t="shared" si="4"/>
        <v>山口鋼業:阪和Ｈ１(特A)</v>
      </c>
    </row>
    <row r="4821" ht="15.75" customHeight="1">
      <c r="A4821" s="335" t="s">
        <v>5968</v>
      </c>
      <c r="B4821" s="336">
        <v>46101.0</v>
      </c>
      <c r="C4821" s="335" t="s">
        <v>15</v>
      </c>
      <c r="D4821" s="335" t="s">
        <v>46</v>
      </c>
      <c r="E4821" s="337" t="str">
        <f t="shared" si="1"/>
        <v>山口鋼業:阪和</v>
      </c>
      <c r="F4821" s="338" t="s">
        <v>116</v>
      </c>
      <c r="G4821" s="339" t="str">
        <f t="shared" si="2"/>
        <v>山口鋼業:阪和Ｈ２(特級)</v>
      </c>
      <c r="H4821" s="340">
        <f t="shared" si="3"/>
        <v>47.5</v>
      </c>
      <c r="I4821" s="341">
        <v>1.0</v>
      </c>
      <c r="J4821" s="332">
        <f>IFERROR(__xludf.DUMMYFUNCTION("IF(IF(COUNTIF(P$2:P4820, P4821)=0, """", INDEX(H$2:H4820,
MAX(FILTER(ROW(H$2:H4820) - ROW(H$2) + 1, P$2:P4820 = P4821))))=""単価"","""",
IF(COUNTIF(P$2:P4820, P4821)=0, """", INDEX(H$2:H4820,
MAX(FILTER(ROW(H$2:H4820) - ROW(H$2) + 1, P$2:P4820 = P4821)))))"),46.5)</f>
        <v>46.5</v>
      </c>
      <c r="N4821" s="335" t="str">
        <f>IF(MAXIFS('単価履歴'!$O:$O,'単価履歴'!$E:$E,E4821,'単価履歴'!$F:$F,F4821)=O4821,"●","")</f>
        <v/>
      </c>
      <c r="O4821" s="346">
        <v>46100.82231481481</v>
      </c>
      <c r="P4821" s="334" t="str">
        <f t="shared" si="4"/>
        <v>山口鋼業:阪和Ｈ２(特級)</v>
      </c>
    </row>
    <row r="4822" ht="15.75" customHeight="1">
      <c r="A4822" s="335" t="s">
        <v>5969</v>
      </c>
      <c r="B4822" s="336">
        <v>46101.0</v>
      </c>
      <c r="C4822" s="335" t="s">
        <v>15</v>
      </c>
      <c r="D4822" s="335" t="s">
        <v>46</v>
      </c>
      <c r="E4822" s="337" t="str">
        <f t="shared" si="1"/>
        <v>山口鋼業:阪和</v>
      </c>
      <c r="F4822" s="338" t="s">
        <v>119</v>
      </c>
      <c r="G4822" s="339" t="str">
        <f t="shared" si="2"/>
        <v>山口鋼業:阪和Ｈ３(1級)</v>
      </c>
      <c r="H4822" s="340">
        <f t="shared" si="3"/>
        <v>46.5</v>
      </c>
      <c r="I4822" s="341">
        <v>1.0</v>
      </c>
      <c r="J4822" s="332">
        <f>IFERROR(__xludf.DUMMYFUNCTION("IF(IF(COUNTIF(P$2:P4821, P4822)=0, """", INDEX(H$2:H4821,
MAX(FILTER(ROW(H$2:H4821) - ROW(H$2) + 1, P$2:P4821 = P4822))))=""単価"","""",
IF(COUNTIF(P$2:P4821, P4822)=0, """", INDEX(H$2:H4821,
MAX(FILTER(ROW(H$2:H4821) - ROW(H$2) + 1, P$2:P4821 = P4822)))))"),45.5)</f>
        <v>45.5</v>
      </c>
      <c r="N4822" s="335" t="str">
        <f>IF(MAXIFS('単価履歴'!$O:$O,'単価履歴'!$E:$E,E4822,'単価履歴'!$F:$F,F4822)=O4822,"●","")</f>
        <v/>
      </c>
      <c r="O4822" s="346">
        <v>46100.82231481481</v>
      </c>
      <c r="P4822" s="334" t="str">
        <f t="shared" si="4"/>
        <v>山口鋼業:阪和Ｈ３(1級)</v>
      </c>
    </row>
    <row r="4823" ht="15.75" customHeight="1">
      <c r="A4823" s="335" t="s">
        <v>5970</v>
      </c>
      <c r="B4823" s="336">
        <v>46101.0</v>
      </c>
      <c r="C4823" s="335" t="s">
        <v>15</v>
      </c>
      <c r="D4823" s="335" t="s">
        <v>46</v>
      </c>
      <c r="E4823" s="337" t="str">
        <f t="shared" si="1"/>
        <v>山口鋼業:阪和</v>
      </c>
      <c r="F4823" s="338" t="s">
        <v>573</v>
      </c>
      <c r="G4823" s="339" t="str">
        <f t="shared" si="2"/>
        <v>山口鋼業:阪和Ｌ２(H4･級外･L1ﾊﾞﾗ)</v>
      </c>
      <c r="H4823" s="340">
        <f t="shared" si="3"/>
        <v>45</v>
      </c>
      <c r="I4823" s="341">
        <v>1.0</v>
      </c>
      <c r="J4823" s="332">
        <f>IFERROR(__xludf.DUMMYFUNCTION("IF(IF(COUNTIF(P$2:P4822, P4823)=0, """", INDEX(H$2:H4822,
MAX(FILTER(ROW(H$2:H4822) - ROW(H$2) + 1, P$2:P4822 = P4823))))=""単価"","""",
IF(COUNTIF(P$2:P4822, P4823)=0, """", INDEX(H$2:H4822,
MAX(FILTER(ROW(H$2:H4822) - ROW(H$2) + 1, P$2:P4822 = P4823)))))"),44.0)</f>
        <v>44</v>
      </c>
      <c r="N4823" s="335" t="str">
        <f>IF(MAXIFS('単価履歴'!$O:$O,'単価履歴'!$E:$E,E4823,'単価履歴'!$F:$F,F4823)=O4823,"●","")</f>
        <v/>
      </c>
      <c r="O4823" s="346">
        <v>46100.82231481481</v>
      </c>
      <c r="P4823" s="334" t="str">
        <f t="shared" si="4"/>
        <v>山口鋼業:阪和Ｌ２(H4･級外･L1ﾊﾞﾗ)</v>
      </c>
    </row>
    <row r="4824" ht="15.75" customHeight="1">
      <c r="A4824" s="335" t="s">
        <v>5971</v>
      </c>
      <c r="B4824" s="336">
        <v>46101.0</v>
      </c>
      <c r="C4824" s="335" t="s">
        <v>537</v>
      </c>
      <c r="D4824" s="335" t="s">
        <v>59</v>
      </c>
      <c r="E4824" s="337" t="str">
        <f t="shared" si="1"/>
        <v>大同特殊鋼:大同興業</v>
      </c>
      <c r="F4824" s="338" t="s">
        <v>1199</v>
      </c>
      <c r="G4824" s="339" t="str">
        <f t="shared" si="2"/>
        <v>大同特殊鋼:大同興業ＨＳ１(単体H1/電特A/HS))</v>
      </c>
      <c r="H4824" s="340">
        <f t="shared" si="3"/>
        <v>51.5</v>
      </c>
      <c r="I4824" s="341">
        <v>1.0</v>
      </c>
      <c r="J4824" s="332">
        <f>IFERROR(__xludf.DUMMYFUNCTION("IF(IF(COUNTIF(P$2:P4823, P4824)=0, """", INDEX(H$2:H4823,
MAX(FILTER(ROW(H$2:H4823) - ROW(H$2) + 1, P$2:P4823 = P4824))))=""単価"","""",
IF(COUNTIF(P$2:P4823, P4824)=0, """", INDEX(H$2:H4823,
MAX(FILTER(ROW(H$2:H4823) - ROW(H$2) + 1, P$2:P4823 = P4824)))))"),50.5)</f>
        <v>50.5</v>
      </c>
      <c r="N4824" s="335" t="str">
        <f>IF(MAXIFS('単価履歴'!$O:$O,'単価履歴'!$E:$E,E4824,'単価履歴'!$F:$F,F4824)=O4824,"●","")</f>
        <v/>
      </c>
      <c r="O4824" s="346">
        <v>46100.822476851856</v>
      </c>
      <c r="P4824" s="334" t="str">
        <f t="shared" si="4"/>
        <v>大同特殊鋼:大同興業ＨＳ１(単体H1/電特A/HS))</v>
      </c>
    </row>
    <row r="4825" ht="15.75" customHeight="1">
      <c r="A4825" s="335" t="s">
        <v>5972</v>
      </c>
      <c r="B4825" s="336">
        <v>46101.0</v>
      </c>
      <c r="C4825" s="335" t="s">
        <v>537</v>
      </c>
      <c r="D4825" s="335" t="s">
        <v>59</v>
      </c>
      <c r="E4825" s="337" t="str">
        <f t="shared" si="1"/>
        <v>大同特殊鋼:大同興業</v>
      </c>
      <c r="F4825" s="338" t="s">
        <v>575</v>
      </c>
      <c r="G4825" s="339" t="str">
        <f t="shared" si="2"/>
        <v>大同特殊鋼:大同興業鋼ダライＡ</v>
      </c>
      <c r="H4825" s="340">
        <f t="shared" si="3"/>
        <v>44.4</v>
      </c>
      <c r="I4825" s="341">
        <v>1.0</v>
      </c>
      <c r="J4825" s="332">
        <f>IFERROR(__xludf.DUMMYFUNCTION("IF(IF(COUNTIF(P$2:P4824, P4825)=0, """", INDEX(H$2:H4824,
MAX(FILTER(ROW(H$2:H4824) - ROW(H$2) + 1, P$2:P4824 = P4825))))=""単価"","""",
IF(COUNTIF(P$2:P4824, P4825)=0, """", INDEX(H$2:H4824,
MAX(FILTER(ROW(H$2:H4824) - ROW(H$2) + 1, P$2:P4824 = P4825)))))"),43.4)</f>
        <v>43.4</v>
      </c>
      <c r="N4825" s="335" t="str">
        <f>IF(MAXIFS('単価履歴'!$O:$O,'単価履歴'!$E:$E,E4825,'単価履歴'!$F:$F,F4825)=O4825,"●","")</f>
        <v/>
      </c>
      <c r="O4825" s="346">
        <v>46100.822476851856</v>
      </c>
      <c r="P4825" s="334" t="str">
        <f t="shared" si="4"/>
        <v>大同特殊鋼:大同興業鋼ダライＡ</v>
      </c>
    </row>
    <row r="4826" ht="15.75" customHeight="1">
      <c r="A4826" s="335" t="s">
        <v>5973</v>
      </c>
      <c r="B4826" s="336">
        <v>46101.0</v>
      </c>
      <c r="C4826" s="335" t="s">
        <v>537</v>
      </c>
      <c r="D4826" s="335" t="s">
        <v>1404</v>
      </c>
      <c r="E4826" s="337" t="str">
        <f t="shared" si="1"/>
        <v>大同特殊鋼:JSE/大和ﾘﾃｯｸ</v>
      </c>
      <c r="F4826" s="338" t="s">
        <v>1199</v>
      </c>
      <c r="G4826" s="339" t="str">
        <f t="shared" si="2"/>
        <v>大同特殊鋼:JSE/大和ﾘﾃｯｸＨＳ１(単体H1/電特A/HS))</v>
      </c>
      <c r="H4826" s="340">
        <f t="shared" si="3"/>
        <v>50.8</v>
      </c>
      <c r="I4826" s="341">
        <v>1.0</v>
      </c>
      <c r="J4826" s="332">
        <f>IFERROR(__xludf.DUMMYFUNCTION("IF(IF(COUNTIF(P$2:P4825, P4826)=0, """", INDEX(H$2:H4825,
MAX(FILTER(ROW(H$2:H4825) - ROW(H$2) + 1, P$2:P4825 = P4826))))=""単価"","""",
IF(COUNTIF(P$2:P4825, P4826)=0, """", INDEX(H$2:H4825,
MAX(FILTER(ROW(H$2:H4825) - ROW(H$2) + 1, P$2:P4825 = P4826)))))"),49.8)</f>
        <v>49.8</v>
      </c>
      <c r="N4826" s="335" t="str">
        <f>IF(MAXIFS('単価履歴'!$O:$O,'単価履歴'!$E:$E,E4826,'単価履歴'!$F:$F,F4826)=O4826,"●","")</f>
        <v/>
      </c>
      <c r="O4826" s="346">
        <v>46100.82270833333</v>
      </c>
      <c r="P4826" s="334" t="str">
        <f t="shared" si="4"/>
        <v>大同特殊鋼:JSE/大和ﾘﾃｯｸＨＳ１(単体H1/電特A/HS))</v>
      </c>
    </row>
    <row r="4827" ht="15.75" customHeight="1">
      <c r="A4827" s="335" t="s">
        <v>5974</v>
      </c>
      <c r="B4827" s="336">
        <v>46101.0</v>
      </c>
      <c r="C4827" s="335" t="s">
        <v>537</v>
      </c>
      <c r="D4827" s="335" t="s">
        <v>1404</v>
      </c>
      <c r="E4827" s="337" t="str">
        <f t="shared" si="1"/>
        <v>大同特殊鋼:JSE/大和ﾘﾃｯｸ</v>
      </c>
      <c r="F4827" s="338" t="s">
        <v>116</v>
      </c>
      <c r="G4827" s="339" t="str">
        <f t="shared" si="2"/>
        <v>大同特殊鋼:JSE/大和ﾘﾃｯｸＨ２(特級)</v>
      </c>
      <c r="H4827" s="340">
        <f t="shared" si="3"/>
        <v>47.7</v>
      </c>
      <c r="I4827" s="341">
        <v>1.0</v>
      </c>
      <c r="J4827" s="332">
        <f>IFERROR(__xludf.DUMMYFUNCTION("IF(IF(COUNTIF(P$2:P4826, P4827)=0, """", INDEX(H$2:H4826,
MAX(FILTER(ROW(H$2:H4826) - ROW(H$2) + 1, P$2:P4826 = P4827))))=""単価"","""",
IF(COUNTIF(P$2:P4826, P4827)=0, """", INDEX(H$2:H4826,
MAX(FILTER(ROW(H$2:H4826) - ROW(H$2) + 1, P$2:P4826 = P4827)))))"),46.7)</f>
        <v>46.7</v>
      </c>
      <c r="N4827" s="335" t="str">
        <f>IF(MAXIFS('単価履歴'!$O:$O,'単価履歴'!$E:$E,E4827,'単価履歴'!$F:$F,F4827)=O4827,"●","")</f>
        <v/>
      </c>
      <c r="O4827" s="346">
        <v>46100.82270833333</v>
      </c>
      <c r="P4827" s="334" t="str">
        <f t="shared" si="4"/>
        <v>大同特殊鋼:JSE/大和ﾘﾃｯｸＨ２(特級)</v>
      </c>
    </row>
    <row r="4828" ht="15.75" customHeight="1">
      <c r="A4828" s="335" t="s">
        <v>5975</v>
      </c>
      <c r="B4828" s="336">
        <v>46101.0</v>
      </c>
      <c r="C4828" s="335" t="s">
        <v>537</v>
      </c>
      <c r="D4828" s="335" t="s">
        <v>1404</v>
      </c>
      <c r="E4828" s="337" t="str">
        <f t="shared" si="1"/>
        <v>大同特殊鋼:JSE/大和ﾘﾃｯｸ</v>
      </c>
      <c r="F4828" s="338" t="s">
        <v>575</v>
      </c>
      <c r="G4828" s="339" t="str">
        <f t="shared" si="2"/>
        <v>大同特殊鋼:JSE/大和ﾘﾃｯｸ鋼ダライＡ</v>
      </c>
      <c r="H4828" s="340">
        <f t="shared" si="3"/>
        <v>46.5</v>
      </c>
      <c r="I4828" s="341">
        <v>1.0</v>
      </c>
      <c r="J4828" s="332">
        <f>IFERROR(__xludf.DUMMYFUNCTION("IF(IF(COUNTIF(P$2:P4827, P4828)=0, """", INDEX(H$2:H4827,
MAX(FILTER(ROW(H$2:H4827) - ROW(H$2) + 1, P$2:P4827 = P4828))))=""単価"","""",
IF(COUNTIF(P$2:P4827, P4828)=0, """", INDEX(H$2:H4827,
MAX(FILTER(ROW(H$2:H4827) - ROW(H$2) + 1, P$2:P4827 = P4828)))))"),45.5)</f>
        <v>45.5</v>
      </c>
      <c r="N4828" s="335" t="str">
        <f>IF(MAXIFS('単価履歴'!$O:$O,'単価履歴'!$E:$E,E4828,'単価履歴'!$F:$F,F4828)=O4828,"●","")</f>
        <v/>
      </c>
      <c r="O4828" s="346">
        <v>46100.82270833333</v>
      </c>
      <c r="P4828" s="334" t="str">
        <f t="shared" si="4"/>
        <v>大同特殊鋼:JSE/大和ﾘﾃｯｸ鋼ダライＡ</v>
      </c>
    </row>
    <row r="4829" ht="15.75" customHeight="1">
      <c r="A4829" s="335" t="s">
        <v>5976</v>
      </c>
      <c r="B4829" s="336">
        <v>46101.0</v>
      </c>
      <c r="C4829" s="335" t="s">
        <v>537</v>
      </c>
      <c r="D4829" s="335" t="s">
        <v>1407</v>
      </c>
      <c r="E4829" s="337" t="str">
        <f t="shared" si="1"/>
        <v>大同特殊鋼:JSE/第二＠2.3</v>
      </c>
      <c r="F4829" s="338" t="s">
        <v>1199</v>
      </c>
      <c r="G4829" s="339" t="str">
        <f t="shared" si="2"/>
        <v>大同特殊鋼:JSE/第二＠2.3ＨＳ１(単体H1/電特A/HS))</v>
      </c>
      <c r="H4829" s="340">
        <f t="shared" si="3"/>
        <v>48.5</v>
      </c>
      <c r="I4829" s="341">
        <v>1.0</v>
      </c>
      <c r="J4829" s="332">
        <f>IFERROR(__xludf.DUMMYFUNCTION("IF(IF(COUNTIF(P$2:P4828, P4829)=0, """", INDEX(H$2:H4828,
MAX(FILTER(ROW(H$2:H4828) - ROW(H$2) + 1, P$2:P4828 = P4829))))=""単価"","""",
IF(COUNTIF(P$2:P4828, P4829)=0, """", INDEX(H$2:H4828,
MAX(FILTER(ROW(H$2:H4828) - ROW(H$2) + 1, P$2:P4828 = P4829)))))"),47.5)</f>
        <v>47.5</v>
      </c>
      <c r="N4829" s="335" t="str">
        <f>IF(MAXIFS('単価履歴'!$O:$O,'単価履歴'!$E:$E,E4829,'単価履歴'!$F:$F,F4829)=O4829,"●","")</f>
        <v/>
      </c>
      <c r="O4829" s="346">
        <v>46100.82270833333</v>
      </c>
      <c r="P4829" s="334" t="str">
        <f t="shared" si="4"/>
        <v>大同特殊鋼:JSE/第二＠2.3ＨＳ１(単体H1/電特A/HS))</v>
      </c>
    </row>
    <row r="4830" ht="15.75" customHeight="1">
      <c r="A4830" s="335" t="s">
        <v>5977</v>
      </c>
      <c r="B4830" s="336">
        <v>46101.0</v>
      </c>
      <c r="C4830" s="335" t="s">
        <v>537</v>
      </c>
      <c r="D4830" s="335" t="s">
        <v>1407</v>
      </c>
      <c r="E4830" s="337" t="str">
        <f t="shared" si="1"/>
        <v>大同特殊鋼:JSE/第二＠2.3</v>
      </c>
      <c r="F4830" s="338" t="s">
        <v>116</v>
      </c>
      <c r="G4830" s="339" t="str">
        <f t="shared" si="2"/>
        <v>大同特殊鋼:JSE/第二＠2.3Ｈ２(特級)</v>
      </c>
      <c r="H4830" s="340">
        <f t="shared" si="3"/>
        <v>45.4</v>
      </c>
      <c r="I4830" s="341">
        <v>1.0</v>
      </c>
      <c r="J4830" s="332">
        <f>IFERROR(__xludf.DUMMYFUNCTION("IF(IF(COUNTIF(P$2:P4829, P4830)=0, """", INDEX(H$2:H4829,
MAX(FILTER(ROW(H$2:H4829) - ROW(H$2) + 1, P$2:P4829 = P4830))))=""単価"","""",
IF(COUNTIF(P$2:P4829, P4830)=0, """", INDEX(H$2:H4829,
MAX(FILTER(ROW(H$2:H4829) - ROW(H$2) + 1, P$2:P4829 = P4830)))))"),44.400000000000006)</f>
        <v>44.4</v>
      </c>
      <c r="N4830" s="335" t="str">
        <f>IF(MAXIFS('単価履歴'!$O:$O,'単価履歴'!$E:$E,E4830,'単価履歴'!$F:$F,F4830)=O4830,"●","")</f>
        <v/>
      </c>
      <c r="O4830" s="346">
        <v>46100.82270833333</v>
      </c>
      <c r="P4830" s="334" t="str">
        <f t="shared" si="4"/>
        <v>大同特殊鋼:JSE/第二＠2.3Ｈ２(特級)</v>
      </c>
    </row>
    <row r="4831" ht="15.75" customHeight="1">
      <c r="A4831" s="335" t="s">
        <v>5978</v>
      </c>
      <c r="B4831" s="336">
        <v>46101.0</v>
      </c>
      <c r="C4831" s="335" t="s">
        <v>537</v>
      </c>
      <c r="D4831" s="335" t="s">
        <v>1407</v>
      </c>
      <c r="E4831" s="337" t="str">
        <f t="shared" si="1"/>
        <v>大同特殊鋼:JSE/第二＠2.3</v>
      </c>
      <c r="F4831" s="338" t="s">
        <v>575</v>
      </c>
      <c r="G4831" s="339" t="str">
        <f t="shared" si="2"/>
        <v>大同特殊鋼:JSE/第二＠2.3鋼ダライＡ</v>
      </c>
      <c r="H4831" s="340">
        <f t="shared" si="3"/>
        <v>44.2</v>
      </c>
      <c r="I4831" s="341">
        <v>1.0</v>
      </c>
      <c r="J4831" s="332">
        <f>IFERROR(__xludf.DUMMYFUNCTION("IF(IF(COUNTIF(P$2:P4830, P4831)=0, """", INDEX(H$2:H4830,
MAX(FILTER(ROW(H$2:H4830) - ROW(H$2) + 1, P$2:P4830 = P4831))))=""単価"","""",
IF(COUNTIF(P$2:P4830, P4831)=0, """", INDEX(H$2:H4830,
MAX(FILTER(ROW(H$2:H4830) - ROW(H$2) + 1, P$2:P4830 = P4831)))))"),43.2)</f>
        <v>43.2</v>
      </c>
      <c r="N4831" s="335" t="str">
        <f>IF(MAXIFS('単価履歴'!$O:$O,'単価履歴'!$E:$E,E4831,'単価履歴'!$F:$F,F4831)=O4831,"●","")</f>
        <v/>
      </c>
      <c r="O4831" s="346">
        <v>46100.82270833333</v>
      </c>
      <c r="P4831" s="334" t="str">
        <f t="shared" si="4"/>
        <v>大同特殊鋼:JSE/第二＠2.3鋼ダライＡ</v>
      </c>
    </row>
    <row r="4832" ht="15.75" customHeight="1">
      <c r="A4832" s="335" t="s">
        <v>5979</v>
      </c>
      <c r="B4832" s="336">
        <v>46101.0</v>
      </c>
      <c r="C4832" s="335" t="s">
        <v>537</v>
      </c>
      <c r="D4832" s="335" t="s">
        <v>1410</v>
      </c>
      <c r="E4832" s="337" t="str">
        <f t="shared" si="1"/>
        <v>大同特殊鋼:JSE/岐阜＠1.5</v>
      </c>
      <c r="F4832" s="338" t="s">
        <v>1199</v>
      </c>
      <c r="G4832" s="339" t="str">
        <f t="shared" si="2"/>
        <v>大同特殊鋼:JSE/岐阜＠1.5ＨＳ１(単体H1/電特A/HS))</v>
      </c>
      <c r="H4832" s="340">
        <f t="shared" si="3"/>
        <v>49.3</v>
      </c>
      <c r="I4832" s="341">
        <v>1.0</v>
      </c>
      <c r="J4832" s="332">
        <f>IFERROR(__xludf.DUMMYFUNCTION("IF(IF(COUNTIF(P$2:P4831, P4832)=0, """", INDEX(H$2:H4831,
MAX(FILTER(ROW(H$2:H4831) - ROW(H$2) + 1, P$2:P4831 = P4832))))=""単価"","""",
IF(COUNTIF(P$2:P4831, P4832)=0, """", INDEX(H$2:H4831,
MAX(FILTER(ROW(H$2:H4831) - ROW(H$2) + 1, P$2:P4831 = P4832)))))"),48.3)</f>
        <v>48.3</v>
      </c>
      <c r="N4832" s="335" t="str">
        <f>IF(MAXIFS('単価履歴'!$O:$O,'単価履歴'!$E:$E,E4832,'単価履歴'!$F:$F,F4832)=O4832,"●","")</f>
        <v/>
      </c>
      <c r="O4832" s="346">
        <v>46100.82270833333</v>
      </c>
      <c r="P4832" s="334" t="str">
        <f t="shared" si="4"/>
        <v>大同特殊鋼:JSE/岐阜＠1.5ＨＳ１(単体H1/電特A/HS))</v>
      </c>
    </row>
    <row r="4833" ht="15.75" customHeight="1">
      <c r="A4833" s="335" t="s">
        <v>5980</v>
      </c>
      <c r="B4833" s="336">
        <v>46101.0</v>
      </c>
      <c r="C4833" s="335" t="s">
        <v>537</v>
      </c>
      <c r="D4833" s="335" t="s">
        <v>1410</v>
      </c>
      <c r="E4833" s="337" t="str">
        <f t="shared" si="1"/>
        <v>大同特殊鋼:JSE/岐阜＠1.5</v>
      </c>
      <c r="F4833" s="338" t="s">
        <v>116</v>
      </c>
      <c r="G4833" s="339" t="str">
        <f t="shared" si="2"/>
        <v>大同特殊鋼:JSE/岐阜＠1.5Ｈ２(特級)</v>
      </c>
      <c r="H4833" s="340">
        <f t="shared" si="3"/>
        <v>46.2</v>
      </c>
      <c r="I4833" s="341">
        <v>1.0</v>
      </c>
      <c r="J4833" s="332">
        <f>IFERROR(__xludf.DUMMYFUNCTION("IF(IF(COUNTIF(P$2:P4832, P4833)=0, """", INDEX(H$2:H4832,
MAX(FILTER(ROW(H$2:H4832) - ROW(H$2) + 1, P$2:P4832 = P4833))))=""単価"","""",
IF(COUNTIF(P$2:P4832, P4833)=0, """", INDEX(H$2:H4832,
MAX(FILTER(ROW(H$2:H4832) - ROW(H$2) + 1, P$2:P4832 = P4833)))))"),45.2)</f>
        <v>45.2</v>
      </c>
      <c r="N4833" s="335" t="str">
        <f>IF(MAXIFS('単価履歴'!$O:$O,'単価履歴'!$E:$E,E4833,'単価履歴'!$F:$F,F4833)=O4833,"●","")</f>
        <v/>
      </c>
      <c r="O4833" s="346">
        <v>46100.82270833333</v>
      </c>
      <c r="P4833" s="334" t="str">
        <f t="shared" si="4"/>
        <v>大同特殊鋼:JSE/岐阜＠1.5Ｈ２(特級)</v>
      </c>
    </row>
    <row r="4834" ht="15.75" customHeight="1">
      <c r="A4834" s="335" t="s">
        <v>5981</v>
      </c>
      <c r="B4834" s="336">
        <v>46101.0</v>
      </c>
      <c r="C4834" s="335" t="s">
        <v>537</v>
      </c>
      <c r="D4834" s="335" t="s">
        <v>1410</v>
      </c>
      <c r="E4834" s="337" t="str">
        <f t="shared" si="1"/>
        <v>大同特殊鋼:JSE/岐阜＠1.5</v>
      </c>
      <c r="F4834" s="338" t="s">
        <v>575</v>
      </c>
      <c r="G4834" s="339" t="str">
        <f t="shared" si="2"/>
        <v>大同特殊鋼:JSE/岐阜＠1.5鋼ダライＡ</v>
      </c>
      <c r="H4834" s="340">
        <f t="shared" si="3"/>
        <v>45</v>
      </c>
      <c r="I4834" s="341">
        <v>1.0</v>
      </c>
      <c r="J4834" s="332">
        <f>IFERROR(__xludf.DUMMYFUNCTION("IF(IF(COUNTIF(P$2:P4833, P4834)=0, """", INDEX(H$2:H4833,
MAX(FILTER(ROW(H$2:H4833) - ROW(H$2) + 1, P$2:P4833 = P4834))))=""単価"","""",
IF(COUNTIF(P$2:P4833, P4834)=0, """", INDEX(H$2:H4833,
MAX(FILTER(ROW(H$2:H4833) - ROW(H$2) + 1, P$2:P4833 = P4834)))))"),44.0)</f>
        <v>44</v>
      </c>
      <c r="N4834" s="335" t="str">
        <f>IF(MAXIFS('単価履歴'!$O:$O,'単価履歴'!$E:$E,E4834,'単価履歴'!$F:$F,F4834)=O4834,"●","")</f>
        <v/>
      </c>
      <c r="O4834" s="346">
        <v>46100.82270833333</v>
      </c>
      <c r="P4834" s="334" t="str">
        <f t="shared" si="4"/>
        <v>大同特殊鋼:JSE/岐阜＠1.5鋼ダライＡ</v>
      </c>
    </row>
    <row r="4835" ht="15.75" customHeight="1">
      <c r="A4835" s="335" t="s">
        <v>5982</v>
      </c>
      <c r="B4835" s="336">
        <v>46101.0</v>
      </c>
      <c r="C4835" s="335" t="s">
        <v>19</v>
      </c>
      <c r="D4835" s="335" t="s">
        <v>61</v>
      </c>
      <c r="E4835" s="337" t="str">
        <f t="shared" si="1"/>
        <v>トピー工業:ＭＭ</v>
      </c>
      <c r="F4835" s="338" t="s">
        <v>116</v>
      </c>
      <c r="G4835" s="339" t="str">
        <f t="shared" si="2"/>
        <v>トピー工業:ＭＭＨ２(特級)</v>
      </c>
      <c r="H4835" s="340">
        <f t="shared" si="3"/>
        <v>43</v>
      </c>
      <c r="I4835" s="341">
        <v>1.0</v>
      </c>
      <c r="J4835" s="332">
        <f>IFERROR(__xludf.DUMMYFUNCTION("IF(IF(COUNTIF(P$2:P4834, P4835)=0, """", INDEX(H$2:H4834,
MAX(FILTER(ROW(H$2:H4834) - ROW(H$2) + 1, P$2:P4834 = P4835))))=""単価"","""",
IF(COUNTIF(P$2:P4834, P4835)=0, """", INDEX(H$2:H4834,
MAX(FILTER(ROW(H$2:H4834) - ROW(H$2) + 1, P$2:P4834 = P4835)))))"),42.0)</f>
        <v>42</v>
      </c>
      <c r="N4835" s="335" t="str">
        <f>IF(MAXIFS('単価履歴'!$O:$O,'単価履歴'!$E:$E,E4835,'単価履歴'!$F:$F,F4835)=O4835,"●","")</f>
        <v/>
      </c>
      <c r="O4835" s="346">
        <v>46100.82313657408</v>
      </c>
      <c r="P4835" s="334" t="str">
        <f t="shared" si="4"/>
        <v>トピー工業:ＭＭＨ２(特級)</v>
      </c>
    </row>
    <row r="4836" ht="15.75" customHeight="1">
      <c r="A4836" s="335" t="s">
        <v>5983</v>
      </c>
      <c r="B4836" s="336">
        <v>46101.0</v>
      </c>
      <c r="C4836" s="335" t="s">
        <v>37</v>
      </c>
      <c r="D4836" s="335" t="s">
        <v>48</v>
      </c>
      <c r="E4836" s="337" t="str">
        <f t="shared" si="1"/>
        <v>共英名古屋:ナベ</v>
      </c>
      <c r="F4836" s="338" t="s">
        <v>111</v>
      </c>
      <c r="G4836" s="339" t="str">
        <f t="shared" si="2"/>
        <v>共英名古屋:ナベＨ１(特A)</v>
      </c>
      <c r="H4836" s="340">
        <f t="shared" si="3"/>
        <v>50.2</v>
      </c>
      <c r="I4836" s="341">
        <v>1.0</v>
      </c>
      <c r="J4836" s="332">
        <f>IFERROR(__xludf.DUMMYFUNCTION("IF(IF(COUNTIF(P$2:P4835, P4836)=0, """", INDEX(H$2:H4835,
MAX(FILTER(ROW(H$2:H4835) - ROW(H$2) + 1, P$2:P4835 = P4836))))=""単価"","""",
IF(COUNTIF(P$2:P4835, P4836)=0, """", INDEX(H$2:H4835,
MAX(FILTER(ROW(H$2:H4835) - ROW(H$2) + 1, P$2:P4835 = P4836)))))"),49.2)</f>
        <v>49.2</v>
      </c>
      <c r="N4836" s="335" t="str">
        <f>IF(MAXIFS('単価履歴'!$O:$O,'単価履歴'!$E:$E,E4836,'単価履歴'!$F:$F,F4836)=O4836,"●","")</f>
        <v/>
      </c>
      <c r="O4836" s="346">
        <v>46100.82344907407</v>
      </c>
      <c r="P4836" s="334" t="str">
        <f t="shared" si="4"/>
        <v>共英名古屋:ナベＨ１(特A)</v>
      </c>
    </row>
    <row r="4837" ht="15.75" customHeight="1">
      <c r="A4837" s="335" t="s">
        <v>5984</v>
      </c>
      <c r="B4837" s="336">
        <v>46101.0</v>
      </c>
      <c r="C4837" s="335" t="s">
        <v>37</v>
      </c>
      <c r="D4837" s="335" t="s">
        <v>48</v>
      </c>
      <c r="E4837" s="337" t="str">
        <f t="shared" si="1"/>
        <v>共英名古屋:ナベ</v>
      </c>
      <c r="F4837" s="338" t="s">
        <v>116</v>
      </c>
      <c r="G4837" s="339" t="str">
        <f t="shared" si="2"/>
        <v>共英名古屋:ナベＨ２(特級)</v>
      </c>
      <c r="H4837" s="340">
        <f t="shared" si="3"/>
        <v>47.5</v>
      </c>
      <c r="I4837" s="341">
        <v>1.0</v>
      </c>
      <c r="J4837" s="332">
        <f>IFERROR(__xludf.DUMMYFUNCTION("IF(IF(COUNTIF(P$2:P4836, P4837)=0, """", INDEX(H$2:H4836,
MAX(FILTER(ROW(H$2:H4836) - ROW(H$2) + 1, P$2:P4836 = P4837))))=""単価"","""",
IF(COUNTIF(P$2:P4836, P4837)=0, """", INDEX(H$2:H4836,
MAX(FILTER(ROW(H$2:H4836) - ROW(H$2) + 1, P$2:P4836 = P4837)))))"),46.5)</f>
        <v>46.5</v>
      </c>
      <c r="N4837" s="335" t="str">
        <f>IF(MAXIFS('単価履歴'!$O:$O,'単価履歴'!$E:$E,E4837,'単価履歴'!$F:$F,F4837)=O4837,"●","")</f>
        <v/>
      </c>
      <c r="O4837" s="346">
        <v>46100.82344907407</v>
      </c>
      <c r="P4837" s="334" t="str">
        <f t="shared" si="4"/>
        <v>共英名古屋:ナベＨ２(特級)</v>
      </c>
    </row>
    <row r="4838" ht="15.75" customHeight="1">
      <c r="A4838" s="335" t="s">
        <v>5985</v>
      </c>
      <c r="B4838" s="336">
        <v>46101.0</v>
      </c>
      <c r="C4838" s="335" t="s">
        <v>37</v>
      </c>
      <c r="D4838" s="335" t="s">
        <v>48</v>
      </c>
      <c r="E4838" s="337" t="str">
        <f t="shared" si="1"/>
        <v>共英名古屋:ナベ</v>
      </c>
      <c r="F4838" s="338" t="s">
        <v>119</v>
      </c>
      <c r="G4838" s="339" t="str">
        <f t="shared" si="2"/>
        <v>共英名古屋:ナベＨ３(1級)</v>
      </c>
      <c r="H4838" s="340">
        <f t="shared" si="3"/>
        <v>46.5</v>
      </c>
      <c r="I4838" s="341">
        <v>1.0</v>
      </c>
      <c r="J4838" s="332">
        <f>IFERROR(__xludf.DUMMYFUNCTION("IF(IF(COUNTIF(P$2:P4837, P4838)=0, """", INDEX(H$2:H4837,
MAX(FILTER(ROW(H$2:H4837) - ROW(H$2) + 1, P$2:P4837 = P4838))))=""単価"","""",
IF(COUNTIF(P$2:P4837, P4838)=0, """", INDEX(H$2:H4837,
MAX(FILTER(ROW(H$2:H4837) - ROW(H$2) + 1, P$2:P4837 = P4838)))))"),45.5)</f>
        <v>45.5</v>
      </c>
      <c r="N4838" s="335" t="str">
        <f>IF(MAXIFS('単価履歴'!$O:$O,'単価履歴'!$E:$E,E4838,'単価履歴'!$F:$F,F4838)=O4838,"●","")</f>
        <v/>
      </c>
      <c r="O4838" s="346">
        <v>46100.82344907407</v>
      </c>
      <c r="P4838" s="334" t="str">
        <f t="shared" si="4"/>
        <v>共英名古屋:ナベＨ３(1級)</v>
      </c>
    </row>
    <row r="4839" ht="15.75" customHeight="1">
      <c r="A4839" s="335" t="s">
        <v>5986</v>
      </c>
      <c r="B4839" s="336">
        <v>46101.0</v>
      </c>
      <c r="C4839" s="335" t="s">
        <v>37</v>
      </c>
      <c r="D4839" s="335" t="s">
        <v>48</v>
      </c>
      <c r="E4839" s="337" t="str">
        <f t="shared" si="1"/>
        <v>共英名古屋:ナベ</v>
      </c>
      <c r="F4839" s="338" t="s">
        <v>122</v>
      </c>
      <c r="G4839" s="339" t="str">
        <f t="shared" si="2"/>
        <v>共英名古屋:ナベＬ１(2級)</v>
      </c>
      <c r="H4839" s="340">
        <f t="shared" si="3"/>
        <v>43.5</v>
      </c>
      <c r="I4839" s="341">
        <v>1.0</v>
      </c>
      <c r="J4839" s="332">
        <f>IFERROR(__xludf.DUMMYFUNCTION("IF(IF(COUNTIF(P$2:P4838, P4839)=0, """", INDEX(H$2:H4838,
MAX(FILTER(ROW(H$2:H4838) - ROW(H$2) + 1, P$2:P4838 = P4839))))=""単価"","""",
IF(COUNTIF(P$2:P4838, P4839)=0, """", INDEX(H$2:H4838,
MAX(FILTER(ROW(H$2:H4838) - ROW(H$2) + 1, P$2:P4838 = P4839)))))"),42.5)</f>
        <v>42.5</v>
      </c>
      <c r="N4839" s="335" t="str">
        <f>IF(MAXIFS('単価履歴'!$O:$O,'単価履歴'!$E:$E,E4839,'単価履歴'!$F:$F,F4839)=O4839,"●","")</f>
        <v/>
      </c>
      <c r="O4839" s="346">
        <v>46100.82344907407</v>
      </c>
      <c r="P4839" s="334" t="str">
        <f t="shared" si="4"/>
        <v>共英名古屋:ナベＬ１(2級)</v>
      </c>
    </row>
    <row r="4840" ht="15.75" customHeight="1">
      <c r="A4840" s="335" t="s">
        <v>5987</v>
      </c>
      <c r="B4840" s="336">
        <v>46101.0</v>
      </c>
      <c r="C4840" s="335" t="s">
        <v>34</v>
      </c>
      <c r="D4840" s="335" t="s">
        <v>48</v>
      </c>
      <c r="E4840" s="337" t="str">
        <f t="shared" si="1"/>
        <v>ﾆｭｰｽｺﾝ尼崎:ナベ</v>
      </c>
      <c r="F4840" s="338" t="s">
        <v>130</v>
      </c>
      <c r="G4840" s="339" t="str">
        <f t="shared" si="2"/>
        <v>ﾆｭｰｽｺﾝ尼崎:ナベ新断Ａ</v>
      </c>
      <c r="H4840" s="340">
        <f t="shared" si="3"/>
        <v>54.5</v>
      </c>
      <c r="I4840" s="341">
        <v>1.0</v>
      </c>
      <c r="J4840" s="332">
        <f>IFERROR(__xludf.DUMMYFUNCTION("IF(IF(COUNTIF(P$2:P4839, P4840)=0, """", INDEX(H$2:H4839,
MAX(FILTER(ROW(H$2:H4839) - ROW(H$2) + 1, P$2:P4839 = P4840))))=""単価"","""",
IF(COUNTIF(P$2:P4839, P4840)=0, """", INDEX(H$2:H4839,
MAX(FILTER(ROW(H$2:H4839) - ROW(H$2) + 1, P$2:P4839 = P4840)))))"),53.5)</f>
        <v>53.5</v>
      </c>
      <c r="N4840" s="335" t="str">
        <f>IF(MAXIFS('単価履歴'!$O:$O,'単価履歴'!$E:$E,E4840,'単価履歴'!$F:$F,F4840)=O4840,"●","")</f>
        <v/>
      </c>
      <c r="O4840" s="346">
        <v>46102.27083333333</v>
      </c>
      <c r="P4840" s="334" t="str">
        <f t="shared" si="4"/>
        <v>ﾆｭｰｽｺﾝ尼崎:ナベ新断Ａ</v>
      </c>
    </row>
    <row r="4841" ht="15.75" customHeight="1">
      <c r="A4841" s="335" t="s">
        <v>5988</v>
      </c>
      <c r="B4841" s="336">
        <v>46101.0</v>
      </c>
      <c r="C4841" s="335" t="s">
        <v>31</v>
      </c>
      <c r="D4841" s="335" t="s">
        <v>64</v>
      </c>
      <c r="E4841" s="337" t="str">
        <f t="shared" si="1"/>
        <v>泉北中谷:ナベ双葉</v>
      </c>
      <c r="F4841" s="338" t="s">
        <v>116</v>
      </c>
      <c r="G4841" s="339" t="str">
        <f t="shared" si="2"/>
        <v>泉北中谷:ナベ双葉Ｈ２(特級)</v>
      </c>
      <c r="H4841" s="340">
        <f t="shared" si="3"/>
        <v>47.7</v>
      </c>
      <c r="I4841" s="341">
        <v>5.0</v>
      </c>
      <c r="J4841" s="332">
        <f>IFERROR(__xludf.DUMMYFUNCTION("IF(IF(COUNTIF(P$2:P4840, P4841)=0, """", INDEX(H$2:H4840,
MAX(FILTER(ROW(H$2:H4840) - ROW(H$2) + 1, P$2:P4840 = P4841))))=""単価"","""",
IF(COUNTIF(P$2:P4840, P4841)=0, """", INDEX(H$2:H4840,
MAX(FILTER(ROW(H$2:H4840) - ROW(H$2) + 1, P$2:P4840 = P4841)))))"),42.7)</f>
        <v>42.7</v>
      </c>
      <c r="N4841" s="335" t="str">
        <f>IF(MAXIFS('単価履歴'!$O:$O,'単価履歴'!$E:$E,E4841,'単価履歴'!$F:$F,F4841)=O4841,"●","")</f>
        <v/>
      </c>
      <c r="O4841" s="346">
        <v>46102.271423611106</v>
      </c>
      <c r="P4841" s="334" t="str">
        <f t="shared" si="4"/>
        <v>泉北中谷:ナベ双葉Ｈ２(特級)</v>
      </c>
    </row>
    <row r="4842" ht="15.75" customHeight="1">
      <c r="A4842" s="335" t="s">
        <v>5989</v>
      </c>
      <c r="B4842" s="336">
        <v>46102.0</v>
      </c>
      <c r="C4842" s="335" t="s">
        <v>5</v>
      </c>
      <c r="D4842" s="335" t="s">
        <v>46</v>
      </c>
      <c r="E4842" s="337" t="str">
        <f t="shared" si="1"/>
        <v>中山製鋼:阪和</v>
      </c>
      <c r="F4842" s="338" t="s">
        <v>101</v>
      </c>
      <c r="G4842" s="339" t="str">
        <f t="shared" si="2"/>
        <v>中山製鋼:阪和ＨＳ２</v>
      </c>
      <c r="H4842" s="340">
        <f t="shared" si="3"/>
        <v>53.4</v>
      </c>
      <c r="I4842" s="341">
        <v>1.0</v>
      </c>
      <c r="J4842" s="332">
        <f>IFERROR(__xludf.DUMMYFUNCTION("IF(IF(COUNTIF(P$2:P4841, P4842)=0, """", INDEX(H$2:H4841,
MAX(FILTER(ROW(H$2:H4841) - ROW(H$2) + 1, P$2:P4841 = P4842))))=""単価"","""",
IF(COUNTIF(P$2:P4841, P4842)=0, """", INDEX(H$2:H4841,
MAX(FILTER(ROW(H$2:H4841) - ROW(H$2) + 1, P$2:P4841 = P4842)))))"),52.4)</f>
        <v>52.4</v>
      </c>
      <c r="N4842" s="335" t="str">
        <f>IF(MAXIFS('単価履歴'!$O:$O,'単価履歴'!$E:$E,E4842,'単価履歴'!$F:$F,F4842)=O4842,"●","")</f>
        <v/>
      </c>
      <c r="O4842" s="346">
        <v>46104.37923611111</v>
      </c>
      <c r="P4842" s="334" t="str">
        <f t="shared" si="4"/>
        <v>中山製鋼:阪和ＨＳ２</v>
      </c>
    </row>
    <row r="4843" ht="15.75" customHeight="1">
      <c r="A4843" s="335" t="s">
        <v>5990</v>
      </c>
      <c r="B4843" s="336">
        <v>46102.0</v>
      </c>
      <c r="C4843" s="335" t="s">
        <v>5</v>
      </c>
      <c r="D4843" s="335" t="s">
        <v>46</v>
      </c>
      <c r="E4843" s="337" t="str">
        <f t="shared" si="1"/>
        <v>中山製鋼:阪和</v>
      </c>
      <c r="F4843" s="338" t="s">
        <v>108</v>
      </c>
      <c r="G4843" s="339" t="str">
        <f t="shared" si="2"/>
        <v>中山製鋼:阪和Ｈ１/ｻﾑﾃｯｸ</v>
      </c>
      <c r="H4843" s="340">
        <f t="shared" si="3"/>
        <v>6.5</v>
      </c>
      <c r="I4843" s="341">
        <v>1.0</v>
      </c>
      <c r="J4843" s="332">
        <f>IFERROR(__xludf.DUMMYFUNCTION("IF(IF(COUNTIF(P$2:P4842, P4843)=0, """", INDEX(H$2:H4842,
MAX(FILTER(ROW(H$2:H4842) - ROW(H$2) + 1, P$2:P4842 = P4843))))=""単価"","""",
IF(COUNTIF(P$2:P4842, P4843)=0, """", INDEX(H$2:H4842,
MAX(FILTER(ROW(H$2:H4842) - ROW(H$2) + 1, P$2:P4842 = P4843)))))"),5.5)</f>
        <v>5.5</v>
      </c>
      <c r="N4843" s="335" t="str">
        <f>IF(MAXIFS('単価履歴'!$O:$O,'単価履歴'!$E:$E,E4843,'単価履歴'!$F:$F,F4843)=O4843,"●","")</f>
        <v/>
      </c>
      <c r="O4843" s="346">
        <v>46104.37923611111</v>
      </c>
      <c r="P4843" s="334" t="str">
        <f t="shared" si="4"/>
        <v>中山製鋼:阪和Ｈ１/ｻﾑﾃｯｸ</v>
      </c>
    </row>
    <row r="4844" ht="15.75" customHeight="1">
      <c r="A4844" s="335" t="s">
        <v>5991</v>
      </c>
      <c r="B4844" s="336">
        <v>46102.0</v>
      </c>
      <c r="C4844" s="335" t="s">
        <v>5</v>
      </c>
      <c r="D4844" s="335" t="s">
        <v>46</v>
      </c>
      <c r="E4844" s="337" t="str">
        <f t="shared" si="1"/>
        <v>中山製鋼:阪和</v>
      </c>
      <c r="F4844" s="338" t="s">
        <v>111</v>
      </c>
      <c r="G4844" s="339" t="str">
        <f t="shared" si="2"/>
        <v>中山製鋼:阪和Ｈ１(特A)</v>
      </c>
      <c r="H4844" s="340">
        <f t="shared" si="3"/>
        <v>51.3</v>
      </c>
      <c r="I4844" s="341">
        <v>1.0</v>
      </c>
      <c r="J4844" s="332">
        <f>IFERROR(__xludf.DUMMYFUNCTION("IF(IF(COUNTIF(P$2:P4843, P4844)=0, """", INDEX(H$2:H4843,
MAX(FILTER(ROW(H$2:H4843) - ROW(H$2) + 1, P$2:P4843 = P4844))))=""単価"","""",
IF(COUNTIF(P$2:P4843, P4844)=0, """", INDEX(H$2:H4843,
MAX(FILTER(ROW(H$2:H4843) - ROW(H$2) + 1, P$2:P4843 = P4844)))))"),50.3)</f>
        <v>50.3</v>
      </c>
      <c r="N4844" s="335" t="str">
        <f>IF(MAXIFS('単価履歴'!$O:$O,'単価履歴'!$E:$E,E4844,'単価履歴'!$F:$F,F4844)=O4844,"●","")</f>
        <v/>
      </c>
      <c r="O4844" s="346">
        <v>46104.37923611111</v>
      </c>
      <c r="P4844" s="334" t="str">
        <f t="shared" si="4"/>
        <v>中山製鋼:阪和Ｈ１(特A)</v>
      </c>
    </row>
    <row r="4845" ht="15.75" customHeight="1">
      <c r="A4845" s="335" t="s">
        <v>5992</v>
      </c>
      <c r="B4845" s="336">
        <v>46102.0</v>
      </c>
      <c r="C4845" s="335" t="s">
        <v>5</v>
      </c>
      <c r="D4845" s="335" t="s">
        <v>46</v>
      </c>
      <c r="E4845" s="337" t="str">
        <f t="shared" si="1"/>
        <v>中山製鋼:阪和</v>
      </c>
      <c r="F4845" s="338" t="s">
        <v>116</v>
      </c>
      <c r="G4845" s="339" t="str">
        <f t="shared" si="2"/>
        <v>中山製鋼:阪和Ｈ２(特級)</v>
      </c>
      <c r="H4845" s="340">
        <f t="shared" si="3"/>
        <v>45.3</v>
      </c>
      <c r="I4845" s="341">
        <v>1.0</v>
      </c>
      <c r="J4845" s="332">
        <f>IFERROR(__xludf.DUMMYFUNCTION("IF(IF(COUNTIF(P$2:P4844, P4845)=0, """", INDEX(H$2:H4844,
MAX(FILTER(ROW(H$2:H4844) - ROW(H$2) + 1, P$2:P4844 = P4845))))=""単価"","""",
IF(COUNTIF(P$2:P4844, P4845)=0, """", INDEX(H$2:H4844,
MAX(FILTER(ROW(H$2:H4844) - ROW(H$2) + 1, P$2:P4844 = P4845)))))"),44.3)</f>
        <v>44.3</v>
      </c>
      <c r="N4845" s="335" t="str">
        <f>IF(MAXIFS('単価履歴'!$O:$O,'単価履歴'!$E:$E,E4845,'単価履歴'!$F:$F,F4845)=O4845,"●","")</f>
        <v/>
      </c>
      <c r="O4845" s="346">
        <v>46104.37923611111</v>
      </c>
      <c r="P4845" s="334" t="str">
        <f t="shared" si="4"/>
        <v>中山製鋼:阪和Ｈ２(特級)</v>
      </c>
    </row>
    <row r="4846" ht="15.75" customHeight="1">
      <c r="A4846" s="335" t="s">
        <v>5993</v>
      </c>
      <c r="B4846" s="336">
        <v>46102.0</v>
      </c>
      <c r="C4846" s="335" t="s">
        <v>5</v>
      </c>
      <c r="D4846" s="335" t="s">
        <v>46</v>
      </c>
      <c r="E4846" s="337" t="str">
        <f t="shared" si="1"/>
        <v>中山製鋼:阪和</v>
      </c>
      <c r="F4846" s="338" t="s">
        <v>119</v>
      </c>
      <c r="G4846" s="339" t="str">
        <f t="shared" si="2"/>
        <v>中山製鋼:阪和Ｈ３(1級)</v>
      </c>
      <c r="H4846" s="340">
        <f t="shared" si="3"/>
        <v>41.3</v>
      </c>
      <c r="I4846" s="341">
        <v>1.0</v>
      </c>
      <c r="J4846" s="332">
        <f>IFERROR(__xludf.DUMMYFUNCTION("IF(IF(COUNTIF(P$2:P4845, P4846)=0, """", INDEX(H$2:H4845,
MAX(FILTER(ROW(H$2:H4845) - ROW(H$2) + 1, P$2:P4845 = P4846))))=""単価"","""",
IF(COUNTIF(P$2:P4845, P4846)=0, """", INDEX(H$2:H4845,
MAX(FILTER(ROW(H$2:H4845) - ROW(H$2) + 1, P$2:P4845 = P4846)))))"),40.3)</f>
        <v>40.3</v>
      </c>
      <c r="N4846" s="335" t="str">
        <f>IF(MAXIFS('単価履歴'!$O:$O,'単価履歴'!$E:$E,E4846,'単価履歴'!$F:$F,F4846)=O4846,"●","")</f>
        <v/>
      </c>
      <c r="O4846" s="346">
        <v>46104.37923611111</v>
      </c>
      <c r="P4846" s="334" t="str">
        <f t="shared" si="4"/>
        <v>中山製鋼:阪和Ｈ３(1級)</v>
      </c>
    </row>
    <row r="4847" ht="15.75" customHeight="1">
      <c r="A4847" s="335" t="s">
        <v>5994</v>
      </c>
      <c r="B4847" s="336">
        <v>46102.0</v>
      </c>
      <c r="C4847" s="335" t="s">
        <v>5</v>
      </c>
      <c r="D4847" s="335" t="s">
        <v>46</v>
      </c>
      <c r="E4847" s="337" t="str">
        <f t="shared" si="1"/>
        <v>中山製鋼:阪和</v>
      </c>
      <c r="F4847" s="338" t="s">
        <v>122</v>
      </c>
      <c r="G4847" s="339" t="str">
        <f t="shared" si="2"/>
        <v>中山製鋼:阪和Ｌ１(2級)</v>
      </c>
      <c r="H4847" s="340">
        <f t="shared" si="3"/>
        <v>34.8</v>
      </c>
      <c r="I4847" s="341">
        <v>1.0</v>
      </c>
      <c r="J4847" s="332">
        <f>IFERROR(__xludf.DUMMYFUNCTION("IF(IF(COUNTIF(P$2:P4846, P4847)=0, """", INDEX(H$2:H4846,
MAX(FILTER(ROW(H$2:H4846) - ROW(H$2) + 1, P$2:P4846 = P4847))))=""単価"","""",
IF(COUNTIF(P$2:P4846, P4847)=0, """", INDEX(H$2:H4846,
MAX(FILTER(ROW(H$2:H4846) - ROW(H$2) + 1, P$2:P4846 = P4847)))))"),33.8)</f>
        <v>33.8</v>
      </c>
      <c r="N4847" s="335" t="str">
        <f>IF(MAXIFS('単価履歴'!$O:$O,'単価履歴'!$E:$E,E4847,'単価履歴'!$F:$F,F4847)=O4847,"●","")</f>
        <v/>
      </c>
      <c r="O4847" s="346">
        <v>46104.37923611111</v>
      </c>
      <c r="P4847" s="334" t="str">
        <f t="shared" si="4"/>
        <v>中山製鋼:阪和Ｌ１(2級)</v>
      </c>
    </row>
    <row r="4848" ht="15.75" customHeight="1">
      <c r="A4848" s="335" t="s">
        <v>5995</v>
      </c>
      <c r="B4848" s="336">
        <v>46102.0</v>
      </c>
      <c r="C4848" s="335" t="s">
        <v>5</v>
      </c>
      <c r="D4848" s="335" t="s">
        <v>46</v>
      </c>
      <c r="E4848" s="337" t="str">
        <f t="shared" si="1"/>
        <v>中山製鋼:阪和</v>
      </c>
      <c r="F4848" s="338" t="s">
        <v>130</v>
      </c>
      <c r="G4848" s="339" t="str">
        <f t="shared" si="2"/>
        <v>中山製鋼:阪和新断Ａ</v>
      </c>
      <c r="H4848" s="340">
        <f t="shared" si="3"/>
        <v>54.3</v>
      </c>
      <c r="I4848" s="341">
        <v>1.0</v>
      </c>
      <c r="J4848" s="332">
        <f>IFERROR(__xludf.DUMMYFUNCTION("IF(IF(COUNTIF(P$2:P4847, P4848)=0, """", INDEX(H$2:H4847,
MAX(FILTER(ROW(H$2:H4847) - ROW(H$2) + 1, P$2:P4847 = P4848))))=""単価"","""",
IF(COUNTIF(P$2:P4847, P4848)=0, """", INDEX(H$2:H4847,
MAX(FILTER(ROW(H$2:H4847) - ROW(H$2) + 1, P$2:P4847 = P4848)))))"),53.3)</f>
        <v>53.3</v>
      </c>
      <c r="N4848" s="335" t="str">
        <f>IF(MAXIFS('単価履歴'!$O:$O,'単価履歴'!$E:$E,E4848,'単価履歴'!$F:$F,F4848)=O4848,"●","")</f>
        <v/>
      </c>
      <c r="O4848" s="346">
        <v>46104.37923611111</v>
      </c>
      <c r="P4848" s="334" t="str">
        <f t="shared" si="4"/>
        <v>中山製鋼:阪和新断Ａ</v>
      </c>
    </row>
    <row r="4849" ht="15.75" customHeight="1">
      <c r="A4849" s="335" t="s">
        <v>5996</v>
      </c>
      <c r="B4849" s="336">
        <v>46102.0</v>
      </c>
      <c r="C4849" s="335" t="s">
        <v>5</v>
      </c>
      <c r="D4849" s="335" t="s">
        <v>46</v>
      </c>
      <c r="E4849" s="337" t="str">
        <f t="shared" si="1"/>
        <v>中山製鋼:阪和</v>
      </c>
      <c r="F4849" s="338" t="s">
        <v>131</v>
      </c>
      <c r="G4849" s="339" t="str">
        <f t="shared" si="2"/>
        <v>中山製鋼:阪和新断Ｂ</v>
      </c>
      <c r="H4849" s="340">
        <f t="shared" si="3"/>
        <v>53.3</v>
      </c>
      <c r="I4849" s="341">
        <v>1.0</v>
      </c>
      <c r="J4849" s="332">
        <f>IFERROR(__xludf.DUMMYFUNCTION("IF(IF(COUNTIF(P$2:P4848, P4849)=0, """", INDEX(H$2:H4848,
MAX(FILTER(ROW(H$2:H4848) - ROW(H$2) + 1, P$2:P4848 = P4849))))=""単価"","""",
IF(COUNTIF(P$2:P4848, P4849)=0, """", INDEX(H$2:H4848,
MAX(FILTER(ROW(H$2:H4848) - ROW(H$2) + 1, P$2:P4848 = P4849)))))"),52.3)</f>
        <v>52.3</v>
      </c>
      <c r="N4849" s="335" t="str">
        <f>IF(MAXIFS('単価履歴'!$O:$O,'単価履歴'!$E:$E,E4849,'単価履歴'!$F:$F,F4849)=O4849,"●","")</f>
        <v/>
      </c>
      <c r="O4849" s="346">
        <v>46104.37923611111</v>
      </c>
      <c r="P4849" s="334" t="str">
        <f t="shared" si="4"/>
        <v>中山製鋼:阪和新断Ｂ</v>
      </c>
    </row>
    <row r="4850" ht="15.75" customHeight="1">
      <c r="A4850" s="335" t="s">
        <v>5997</v>
      </c>
      <c r="B4850" s="336">
        <v>46102.0</v>
      </c>
      <c r="C4850" s="335" t="s">
        <v>5</v>
      </c>
      <c r="D4850" s="335" t="s">
        <v>46</v>
      </c>
      <c r="E4850" s="337" t="str">
        <f t="shared" si="1"/>
        <v>中山製鋼:阪和</v>
      </c>
      <c r="F4850" s="338" t="s">
        <v>574</v>
      </c>
      <c r="G4850" s="339" t="str">
        <f t="shared" si="2"/>
        <v>中山製鋼:阪和新断Ｃ</v>
      </c>
      <c r="H4850" s="340">
        <f t="shared" si="3"/>
        <v>52.3</v>
      </c>
      <c r="I4850" s="341">
        <v>1.0</v>
      </c>
      <c r="J4850" s="332">
        <f>IFERROR(__xludf.DUMMYFUNCTION("IF(IF(COUNTIF(P$2:P4849, P4850)=0, """", INDEX(H$2:H4849,
MAX(FILTER(ROW(H$2:H4849) - ROW(H$2) + 1, P$2:P4849 = P4850))))=""単価"","""",
IF(COUNTIF(P$2:P4849, P4850)=0, """", INDEX(H$2:H4849,
MAX(FILTER(ROW(H$2:H4849) - ROW(H$2) + 1, P$2:P4849 = P4850)))))"),51.3)</f>
        <v>51.3</v>
      </c>
      <c r="N4850" s="335" t="str">
        <f>IF(MAXIFS('単価履歴'!$O:$O,'単価履歴'!$E:$E,E4850,'単価履歴'!$F:$F,F4850)=O4850,"●","")</f>
        <v/>
      </c>
      <c r="O4850" s="346">
        <v>46104.37923611111</v>
      </c>
      <c r="P4850" s="334" t="str">
        <f t="shared" si="4"/>
        <v>中山製鋼:阪和新断Ｃ</v>
      </c>
    </row>
    <row r="4851" ht="15.75" customHeight="1">
      <c r="A4851" s="335" t="s">
        <v>5998</v>
      </c>
      <c r="B4851" s="336">
        <v>46102.0</v>
      </c>
      <c r="C4851" s="335" t="s">
        <v>5</v>
      </c>
      <c r="D4851" s="335" t="s">
        <v>47</v>
      </c>
      <c r="E4851" s="337" t="str">
        <f t="shared" si="1"/>
        <v>中山製鋼:豊通</v>
      </c>
      <c r="F4851" s="338" t="s">
        <v>1199</v>
      </c>
      <c r="G4851" s="339" t="str">
        <f t="shared" si="2"/>
        <v>中山製鋼:豊通ＨＳ１(単体H1/電特A/HS))</v>
      </c>
      <c r="H4851" s="340">
        <f t="shared" si="3"/>
        <v>53.3</v>
      </c>
      <c r="I4851" s="341">
        <v>1.0</v>
      </c>
      <c r="J4851" s="332">
        <f>IFERROR(__xludf.DUMMYFUNCTION("IF(IF(COUNTIF(P$2:P4850, P4851)=0, """", INDEX(H$2:H4850,
MAX(FILTER(ROW(H$2:H4850) - ROW(H$2) + 1, P$2:P4850 = P4851))))=""単価"","""",
IF(COUNTIF(P$2:P4850, P4851)=0, """", INDEX(H$2:H4850,
MAX(FILTER(ROW(H$2:H4850) - ROW(H$2) + 1, P$2:P4850 = P4851)))))"),52.3)</f>
        <v>52.3</v>
      </c>
      <c r="N4851" s="335" t="str">
        <f>IF(MAXIFS('単価履歴'!$O:$O,'単価履歴'!$E:$E,E4851,'単価履歴'!$F:$F,F4851)=O4851,"●","")</f>
        <v/>
      </c>
      <c r="O4851" s="346">
        <v>46104.37938657407</v>
      </c>
      <c r="P4851" s="334" t="str">
        <f t="shared" si="4"/>
        <v>中山製鋼:豊通ＨＳ１(単体H1/電特A/HS))</v>
      </c>
    </row>
    <row r="4852" ht="15.75" customHeight="1">
      <c r="A4852" s="335" t="s">
        <v>5999</v>
      </c>
      <c r="B4852" s="336">
        <v>46102.0</v>
      </c>
      <c r="C4852" s="335" t="s">
        <v>5</v>
      </c>
      <c r="D4852" s="335" t="s">
        <v>47</v>
      </c>
      <c r="E4852" s="337" t="str">
        <f t="shared" si="1"/>
        <v>中山製鋼:豊通</v>
      </c>
      <c r="F4852" s="338" t="s">
        <v>101</v>
      </c>
      <c r="G4852" s="339" t="str">
        <f t="shared" si="2"/>
        <v>中山製鋼:豊通ＨＳ２</v>
      </c>
      <c r="H4852" s="340">
        <f t="shared" si="3"/>
        <v>53.3</v>
      </c>
      <c r="I4852" s="341">
        <v>1.0</v>
      </c>
      <c r="J4852" s="332">
        <f>IFERROR(__xludf.DUMMYFUNCTION("IF(IF(COUNTIF(P$2:P4851, P4852)=0, """", INDEX(H$2:H4851,
MAX(FILTER(ROW(H$2:H4851) - ROW(H$2) + 1, P$2:P4851 = P4852))))=""単価"","""",
IF(COUNTIF(P$2:P4851, P4852)=0, """", INDEX(H$2:H4851,
MAX(FILTER(ROW(H$2:H4851) - ROW(H$2) + 1, P$2:P4851 = P4852)))))"),52.3)</f>
        <v>52.3</v>
      </c>
      <c r="N4852" s="335" t="str">
        <f>IF(MAXIFS('単価履歴'!$O:$O,'単価履歴'!$E:$E,E4852,'単価履歴'!$F:$F,F4852)=O4852,"●","")</f>
        <v/>
      </c>
      <c r="O4852" s="346">
        <v>46104.37938657407</v>
      </c>
      <c r="P4852" s="334" t="str">
        <f t="shared" si="4"/>
        <v>中山製鋼:豊通ＨＳ２</v>
      </c>
    </row>
    <row r="4853" ht="15.75" customHeight="1">
      <c r="A4853" s="335" t="s">
        <v>6000</v>
      </c>
      <c r="B4853" s="336">
        <v>46102.0</v>
      </c>
      <c r="C4853" s="335" t="s">
        <v>5</v>
      </c>
      <c r="D4853" s="335" t="s">
        <v>47</v>
      </c>
      <c r="E4853" s="337" t="str">
        <f t="shared" si="1"/>
        <v>中山製鋼:豊通</v>
      </c>
      <c r="F4853" s="338" t="s">
        <v>108</v>
      </c>
      <c r="G4853" s="339" t="str">
        <f t="shared" si="2"/>
        <v>中山製鋼:豊通Ｈ１/ｻﾑﾃｯｸ</v>
      </c>
      <c r="H4853" s="340">
        <f t="shared" si="3"/>
        <v>6.5</v>
      </c>
      <c r="I4853" s="341">
        <v>1.0</v>
      </c>
      <c r="J4853" s="332">
        <f>IFERROR(__xludf.DUMMYFUNCTION("IF(IF(COUNTIF(P$2:P4852, P4853)=0, """", INDEX(H$2:H4852,
MAX(FILTER(ROW(H$2:H4852) - ROW(H$2) + 1, P$2:P4852 = P4853))))=""単価"","""",
IF(COUNTIF(P$2:P4852, P4853)=0, """", INDEX(H$2:H4852,
MAX(FILTER(ROW(H$2:H4852) - ROW(H$2) + 1, P$2:P4852 = P4853)))))"),5.5)</f>
        <v>5.5</v>
      </c>
      <c r="N4853" s="335" t="str">
        <f>IF(MAXIFS('単価履歴'!$O:$O,'単価履歴'!$E:$E,E4853,'単価履歴'!$F:$F,F4853)=O4853,"●","")</f>
        <v/>
      </c>
      <c r="O4853" s="346">
        <v>46104.37938657407</v>
      </c>
      <c r="P4853" s="334" t="str">
        <f t="shared" si="4"/>
        <v>中山製鋼:豊通Ｈ１/ｻﾑﾃｯｸ</v>
      </c>
    </row>
    <row r="4854" ht="15.75" customHeight="1">
      <c r="A4854" s="335" t="s">
        <v>6001</v>
      </c>
      <c r="B4854" s="336">
        <v>46102.0</v>
      </c>
      <c r="C4854" s="335" t="s">
        <v>5</v>
      </c>
      <c r="D4854" s="335" t="s">
        <v>47</v>
      </c>
      <c r="E4854" s="337" t="str">
        <f t="shared" si="1"/>
        <v>中山製鋼:豊通</v>
      </c>
      <c r="F4854" s="338" t="s">
        <v>111</v>
      </c>
      <c r="G4854" s="339" t="str">
        <f t="shared" si="2"/>
        <v>中山製鋼:豊通Ｈ１(特A)</v>
      </c>
      <c r="H4854" s="340">
        <f t="shared" si="3"/>
        <v>51.3</v>
      </c>
      <c r="I4854" s="341">
        <v>1.0</v>
      </c>
      <c r="J4854" s="332">
        <f>IFERROR(__xludf.DUMMYFUNCTION("IF(IF(COUNTIF(P$2:P4853, P4854)=0, """", INDEX(H$2:H4853,
MAX(FILTER(ROW(H$2:H4853) - ROW(H$2) + 1, P$2:P4853 = P4854))))=""単価"","""",
IF(COUNTIF(P$2:P4853, P4854)=0, """", INDEX(H$2:H4853,
MAX(FILTER(ROW(H$2:H4853) - ROW(H$2) + 1, P$2:P4853 = P4854)))))"),50.3)</f>
        <v>50.3</v>
      </c>
      <c r="N4854" s="335" t="str">
        <f>IF(MAXIFS('単価履歴'!$O:$O,'単価履歴'!$E:$E,E4854,'単価履歴'!$F:$F,F4854)=O4854,"●","")</f>
        <v/>
      </c>
      <c r="O4854" s="346">
        <v>46104.37938657407</v>
      </c>
      <c r="P4854" s="334" t="str">
        <f t="shared" si="4"/>
        <v>中山製鋼:豊通Ｈ１(特A)</v>
      </c>
    </row>
    <row r="4855" ht="15.75" customHeight="1">
      <c r="A4855" s="335" t="s">
        <v>6002</v>
      </c>
      <c r="B4855" s="336">
        <v>46102.0</v>
      </c>
      <c r="C4855" s="335" t="s">
        <v>5</v>
      </c>
      <c r="D4855" s="335" t="s">
        <v>47</v>
      </c>
      <c r="E4855" s="337" t="str">
        <f t="shared" si="1"/>
        <v>中山製鋼:豊通</v>
      </c>
      <c r="F4855" s="338" t="s">
        <v>116</v>
      </c>
      <c r="G4855" s="339" t="str">
        <f t="shared" si="2"/>
        <v>中山製鋼:豊通Ｈ２(特級)</v>
      </c>
      <c r="H4855" s="340">
        <f t="shared" si="3"/>
        <v>45.3</v>
      </c>
      <c r="I4855" s="341">
        <v>1.0</v>
      </c>
      <c r="J4855" s="332">
        <f>IFERROR(__xludf.DUMMYFUNCTION("IF(IF(COUNTIF(P$2:P4854, P4855)=0, """", INDEX(H$2:H4854,
MAX(FILTER(ROW(H$2:H4854) - ROW(H$2) + 1, P$2:P4854 = P4855))))=""単価"","""",
IF(COUNTIF(P$2:P4854, P4855)=0, """", INDEX(H$2:H4854,
MAX(FILTER(ROW(H$2:H4854) - ROW(H$2) + 1, P$2:P4854 = P4855)))))"),44.3)</f>
        <v>44.3</v>
      </c>
      <c r="N4855" s="335" t="str">
        <f>IF(MAXIFS('単価履歴'!$O:$O,'単価履歴'!$E:$E,E4855,'単価履歴'!$F:$F,F4855)=O4855,"●","")</f>
        <v/>
      </c>
      <c r="O4855" s="346">
        <v>46104.37938657407</v>
      </c>
      <c r="P4855" s="334" t="str">
        <f t="shared" si="4"/>
        <v>中山製鋼:豊通Ｈ２(特級)</v>
      </c>
    </row>
    <row r="4856" ht="15.75" customHeight="1">
      <c r="A4856" s="335" t="s">
        <v>6003</v>
      </c>
      <c r="B4856" s="336">
        <v>46102.0</v>
      </c>
      <c r="C4856" s="335" t="s">
        <v>5</v>
      </c>
      <c r="D4856" s="335" t="s">
        <v>47</v>
      </c>
      <c r="E4856" s="337" t="str">
        <f t="shared" si="1"/>
        <v>中山製鋼:豊通</v>
      </c>
      <c r="F4856" s="338" t="s">
        <v>119</v>
      </c>
      <c r="G4856" s="339" t="str">
        <f t="shared" si="2"/>
        <v>中山製鋼:豊通Ｈ３(1級)</v>
      </c>
      <c r="H4856" s="340">
        <f t="shared" si="3"/>
        <v>41.3</v>
      </c>
      <c r="I4856" s="341">
        <v>1.0</v>
      </c>
      <c r="J4856" s="332">
        <f>IFERROR(__xludf.DUMMYFUNCTION("IF(IF(COUNTIF(P$2:P4855, P4856)=0, """", INDEX(H$2:H4855,
MAX(FILTER(ROW(H$2:H4855) - ROW(H$2) + 1, P$2:P4855 = P4856))))=""単価"","""",
IF(COUNTIF(P$2:P4855, P4856)=0, """", INDEX(H$2:H4855,
MAX(FILTER(ROW(H$2:H4855) - ROW(H$2) + 1, P$2:P4855 = P4856)))))"),40.3)</f>
        <v>40.3</v>
      </c>
      <c r="N4856" s="335" t="str">
        <f>IF(MAXIFS('単価履歴'!$O:$O,'単価履歴'!$E:$E,E4856,'単価履歴'!$F:$F,F4856)=O4856,"●","")</f>
        <v/>
      </c>
      <c r="O4856" s="346">
        <v>46104.37938657407</v>
      </c>
      <c r="P4856" s="334" t="str">
        <f t="shared" si="4"/>
        <v>中山製鋼:豊通Ｈ３(1級)</v>
      </c>
    </row>
    <row r="4857" ht="15.75" customHeight="1">
      <c r="A4857" s="335" t="s">
        <v>6004</v>
      </c>
      <c r="B4857" s="336">
        <v>46102.0</v>
      </c>
      <c r="C4857" s="335" t="s">
        <v>5</v>
      </c>
      <c r="D4857" s="335" t="s">
        <v>47</v>
      </c>
      <c r="E4857" s="337" t="str">
        <f t="shared" si="1"/>
        <v>中山製鋼:豊通</v>
      </c>
      <c r="F4857" s="338" t="s">
        <v>122</v>
      </c>
      <c r="G4857" s="339" t="str">
        <f t="shared" si="2"/>
        <v>中山製鋼:豊通Ｌ１(2級)</v>
      </c>
      <c r="H4857" s="340">
        <f t="shared" si="3"/>
        <v>34.8</v>
      </c>
      <c r="I4857" s="341">
        <v>1.0</v>
      </c>
      <c r="J4857" s="332">
        <f>IFERROR(__xludf.DUMMYFUNCTION("IF(IF(COUNTIF(P$2:P4856, P4857)=0, """", INDEX(H$2:H4856,
MAX(FILTER(ROW(H$2:H4856) - ROW(H$2) + 1, P$2:P4856 = P4857))))=""単価"","""",
IF(COUNTIF(P$2:P4856, P4857)=0, """", INDEX(H$2:H4856,
MAX(FILTER(ROW(H$2:H4856) - ROW(H$2) + 1, P$2:P4856 = P4857)))))"),33.8)</f>
        <v>33.8</v>
      </c>
      <c r="N4857" s="335" t="str">
        <f>IF(MAXIFS('単価履歴'!$O:$O,'単価履歴'!$E:$E,E4857,'単価履歴'!$F:$F,F4857)=O4857,"●","")</f>
        <v/>
      </c>
      <c r="O4857" s="346">
        <v>46104.37938657407</v>
      </c>
      <c r="P4857" s="334" t="str">
        <f t="shared" si="4"/>
        <v>中山製鋼:豊通Ｌ１(2級)</v>
      </c>
    </row>
    <row r="4858" ht="15.75" customHeight="1">
      <c r="A4858" s="335" t="s">
        <v>6005</v>
      </c>
      <c r="B4858" s="336">
        <v>46102.0</v>
      </c>
      <c r="C4858" s="335" t="s">
        <v>5</v>
      </c>
      <c r="D4858" s="335" t="s">
        <v>47</v>
      </c>
      <c r="E4858" s="337" t="str">
        <f t="shared" si="1"/>
        <v>中山製鋼:豊通</v>
      </c>
      <c r="F4858" s="338" t="s">
        <v>130</v>
      </c>
      <c r="G4858" s="339" t="str">
        <f t="shared" si="2"/>
        <v>中山製鋼:豊通新断Ａ</v>
      </c>
      <c r="H4858" s="340">
        <f t="shared" si="3"/>
        <v>54.3</v>
      </c>
      <c r="I4858" s="341">
        <v>1.0</v>
      </c>
      <c r="J4858" s="332">
        <f>IFERROR(__xludf.DUMMYFUNCTION("IF(IF(COUNTIF(P$2:P4857, P4858)=0, """", INDEX(H$2:H4857,
MAX(FILTER(ROW(H$2:H4857) - ROW(H$2) + 1, P$2:P4857 = P4858))))=""単価"","""",
IF(COUNTIF(P$2:P4857, P4858)=0, """", INDEX(H$2:H4857,
MAX(FILTER(ROW(H$2:H4857) - ROW(H$2) + 1, P$2:P4857 = P4858)))))"),53.3)</f>
        <v>53.3</v>
      </c>
      <c r="N4858" s="335" t="str">
        <f>IF(MAXIFS('単価履歴'!$O:$O,'単価履歴'!$E:$E,E4858,'単価履歴'!$F:$F,F4858)=O4858,"●","")</f>
        <v/>
      </c>
      <c r="O4858" s="346">
        <v>46104.37938657407</v>
      </c>
      <c r="P4858" s="334" t="str">
        <f t="shared" si="4"/>
        <v>中山製鋼:豊通新断Ａ</v>
      </c>
    </row>
    <row r="4859" ht="15.75" customHeight="1">
      <c r="A4859" s="335" t="s">
        <v>6006</v>
      </c>
      <c r="B4859" s="336">
        <v>46102.0</v>
      </c>
      <c r="C4859" s="335" t="s">
        <v>5</v>
      </c>
      <c r="D4859" s="335" t="s">
        <v>47</v>
      </c>
      <c r="E4859" s="337" t="str">
        <f t="shared" si="1"/>
        <v>中山製鋼:豊通</v>
      </c>
      <c r="F4859" s="338" t="s">
        <v>131</v>
      </c>
      <c r="G4859" s="339" t="str">
        <f t="shared" si="2"/>
        <v>中山製鋼:豊通新断Ｂ</v>
      </c>
      <c r="H4859" s="340">
        <f t="shared" si="3"/>
        <v>53.3</v>
      </c>
      <c r="I4859" s="341">
        <v>1.0</v>
      </c>
      <c r="J4859" s="332">
        <f>IFERROR(__xludf.DUMMYFUNCTION("IF(IF(COUNTIF(P$2:P4858, P4859)=0, """", INDEX(H$2:H4858,
MAX(FILTER(ROW(H$2:H4858) - ROW(H$2) + 1, P$2:P4858 = P4859))))=""単価"","""",
IF(COUNTIF(P$2:P4858, P4859)=0, """", INDEX(H$2:H4858,
MAX(FILTER(ROW(H$2:H4858) - ROW(H$2) + 1, P$2:P4858 = P4859)))))"),52.3)</f>
        <v>52.3</v>
      </c>
      <c r="N4859" s="335" t="str">
        <f>IF(MAXIFS('単価履歴'!$O:$O,'単価履歴'!$E:$E,E4859,'単価履歴'!$F:$F,F4859)=O4859,"●","")</f>
        <v/>
      </c>
      <c r="O4859" s="346">
        <v>46104.37938657407</v>
      </c>
      <c r="P4859" s="334" t="str">
        <f t="shared" si="4"/>
        <v>中山製鋼:豊通新断Ｂ</v>
      </c>
    </row>
    <row r="4860" ht="15.75" customHeight="1">
      <c r="A4860" s="335" t="s">
        <v>6007</v>
      </c>
      <c r="B4860" s="336">
        <v>46102.0</v>
      </c>
      <c r="C4860" s="335" t="s">
        <v>5</v>
      </c>
      <c r="D4860" s="335" t="s">
        <v>47</v>
      </c>
      <c r="E4860" s="337" t="str">
        <f t="shared" si="1"/>
        <v>中山製鋼:豊通</v>
      </c>
      <c r="F4860" s="338" t="s">
        <v>574</v>
      </c>
      <c r="G4860" s="339" t="str">
        <f t="shared" si="2"/>
        <v>中山製鋼:豊通新断Ｃ</v>
      </c>
      <c r="H4860" s="340">
        <f t="shared" si="3"/>
        <v>52.3</v>
      </c>
      <c r="I4860" s="341">
        <v>1.0</v>
      </c>
      <c r="J4860" s="332">
        <f>IFERROR(__xludf.DUMMYFUNCTION("IF(IF(COUNTIF(P$2:P4859, P4860)=0, """", INDEX(H$2:H4859,
MAX(FILTER(ROW(H$2:H4859) - ROW(H$2) + 1, P$2:P4859 = P4860))))=""単価"","""",
IF(COUNTIF(P$2:P4859, P4860)=0, """", INDEX(H$2:H4859,
MAX(FILTER(ROW(H$2:H4859) - ROW(H$2) + 1, P$2:P4859 = P4860)))))"),51.3)</f>
        <v>51.3</v>
      </c>
      <c r="N4860" s="335" t="str">
        <f>IF(MAXIFS('単価履歴'!$O:$O,'単価履歴'!$E:$E,E4860,'単価履歴'!$F:$F,F4860)=O4860,"●","")</f>
        <v/>
      </c>
      <c r="O4860" s="346">
        <v>46104.37938657407</v>
      </c>
      <c r="P4860" s="334" t="str">
        <f t="shared" si="4"/>
        <v>中山製鋼:豊通新断Ｃ</v>
      </c>
    </row>
    <row r="4861" ht="15.75" customHeight="1">
      <c r="A4861" s="335" t="s">
        <v>6008</v>
      </c>
      <c r="B4861" s="336">
        <v>46102.0</v>
      </c>
      <c r="C4861" s="335" t="s">
        <v>5</v>
      </c>
      <c r="D4861" s="335" t="s">
        <v>1232</v>
      </c>
      <c r="E4861" s="337" t="str">
        <f t="shared" si="1"/>
        <v>中山製鋼:豊通/出張商店</v>
      </c>
      <c r="F4861" s="338" t="s">
        <v>130</v>
      </c>
      <c r="G4861" s="339" t="str">
        <f t="shared" si="2"/>
        <v>中山製鋼:豊通/出張商店新断Ａ</v>
      </c>
      <c r="H4861" s="340">
        <f t="shared" si="3"/>
        <v>53.3</v>
      </c>
      <c r="I4861" s="341">
        <v>1.0</v>
      </c>
      <c r="J4861" s="332">
        <f>IFERROR(__xludf.DUMMYFUNCTION("IF(IF(COUNTIF(P$2:P4860, P4861)=0, """", INDEX(H$2:H4860,
MAX(FILTER(ROW(H$2:H4860) - ROW(H$2) + 1, P$2:P4860 = P4861))))=""単価"","""",
IF(COUNTIF(P$2:P4860, P4861)=0, """", INDEX(H$2:H4860,
MAX(FILTER(ROW(H$2:H4860) - ROW(H$2) + 1, P$2:P4860 = P4861)))))"),52.3)</f>
        <v>52.3</v>
      </c>
      <c r="N4861" s="335" t="str">
        <f>IF(MAXIFS('単価履歴'!$O:$O,'単価履歴'!$E:$E,E4861,'単価履歴'!$F:$F,F4861)=O4861,"●","")</f>
        <v/>
      </c>
      <c r="O4861" s="346">
        <v>46104.37958333333</v>
      </c>
      <c r="P4861" s="334" t="str">
        <f t="shared" si="4"/>
        <v>中山製鋼:豊通/出張商店新断Ａ</v>
      </c>
    </row>
    <row r="4862" ht="15.75" customHeight="1">
      <c r="A4862" s="335" t="s">
        <v>6009</v>
      </c>
      <c r="B4862" s="336">
        <v>46102.0</v>
      </c>
      <c r="C4862" s="335" t="s">
        <v>5</v>
      </c>
      <c r="D4862" s="335" t="s">
        <v>1234</v>
      </c>
      <c r="E4862" s="337" t="str">
        <f t="shared" si="1"/>
        <v>中山製鋼:豊通/中川嘉弘商店</v>
      </c>
      <c r="F4862" s="338" t="s">
        <v>130</v>
      </c>
      <c r="G4862" s="339" t="str">
        <f t="shared" si="2"/>
        <v>中山製鋼:豊通/中川嘉弘商店新断Ａ</v>
      </c>
      <c r="H4862" s="340">
        <f t="shared" si="3"/>
        <v>51.3</v>
      </c>
      <c r="I4862" s="341">
        <v>1.0</v>
      </c>
      <c r="J4862" s="332">
        <f>IFERROR(__xludf.DUMMYFUNCTION("IF(IF(COUNTIF(P$2:P4861, P4862)=0, """", INDEX(H$2:H4861,
MAX(FILTER(ROW(H$2:H4861) - ROW(H$2) + 1, P$2:P4861 = P4862))))=""単価"","""",
IF(COUNTIF(P$2:P4861, P4862)=0, """", INDEX(H$2:H4861,
MAX(FILTER(ROW(H$2:H4861) - ROW(H$2) + 1, P$2:P4861 = P4862)))))"),50.3)</f>
        <v>50.3</v>
      </c>
      <c r="N4862" s="335" t="str">
        <f>IF(MAXIFS('単価履歴'!$O:$O,'単価履歴'!$E:$E,E4862,'単価履歴'!$F:$F,F4862)=O4862,"●","")</f>
        <v/>
      </c>
      <c r="O4862" s="346">
        <v>46104.37958333333</v>
      </c>
      <c r="P4862" s="334" t="str">
        <f t="shared" si="4"/>
        <v>中山製鋼:豊通/中川嘉弘商店新断Ａ</v>
      </c>
    </row>
    <row r="4863" ht="15.75" customHeight="1">
      <c r="A4863" s="335" t="s">
        <v>6010</v>
      </c>
      <c r="B4863" s="336">
        <v>46105.0</v>
      </c>
      <c r="C4863" s="335" t="s">
        <v>534</v>
      </c>
      <c r="D4863" s="335" t="s">
        <v>46</v>
      </c>
      <c r="E4863" s="337" t="str">
        <f t="shared" si="1"/>
        <v>合同姫路:阪和</v>
      </c>
      <c r="F4863" s="338" t="s">
        <v>130</v>
      </c>
      <c r="G4863" s="339" t="str">
        <f t="shared" si="2"/>
        <v>合同姫路:阪和新断Ａ</v>
      </c>
      <c r="H4863" s="340">
        <f t="shared" si="3"/>
        <v>53.8</v>
      </c>
      <c r="I4863" s="341">
        <v>1.0</v>
      </c>
      <c r="J4863" s="332">
        <f>IFERROR(__xludf.DUMMYFUNCTION("IF(IF(COUNTIF(P$2:P4862, P4863)=0, """", INDEX(H$2:H4862,
MAX(FILTER(ROW(H$2:H4862) - ROW(H$2) + 1, P$2:P4862 = P4863))))=""単価"","""",
IF(COUNTIF(P$2:P4862, P4863)=0, """", INDEX(H$2:H4862,
MAX(FILTER(ROW(H$2:H4862) - ROW(H$2) + 1, P$2:P4862 = P4863)))))"),52.8)</f>
        <v>52.8</v>
      </c>
      <c r="N4863" s="335" t="str">
        <f>IF(MAXIFS('単価履歴'!$O:$O,'単価履歴'!$E:$E,E4863,'単価履歴'!$F:$F,F4863)=O4863,"●","")</f>
        <v/>
      </c>
      <c r="O4863" s="346">
        <v>46104.768541666665</v>
      </c>
      <c r="P4863" s="334" t="str">
        <f t="shared" si="4"/>
        <v>合同姫路:阪和新断Ａ</v>
      </c>
    </row>
    <row r="4864" ht="15.75" customHeight="1">
      <c r="A4864" s="335" t="s">
        <v>6011</v>
      </c>
      <c r="B4864" s="336">
        <v>46105.0</v>
      </c>
      <c r="C4864" s="335" t="s">
        <v>534</v>
      </c>
      <c r="D4864" s="335" t="s">
        <v>46</v>
      </c>
      <c r="E4864" s="337" t="str">
        <f t="shared" si="1"/>
        <v>合同姫路:阪和</v>
      </c>
      <c r="F4864" s="338" t="s">
        <v>131</v>
      </c>
      <c r="G4864" s="339" t="str">
        <f t="shared" si="2"/>
        <v>合同姫路:阪和新断Ｂ</v>
      </c>
      <c r="H4864" s="340">
        <f t="shared" si="3"/>
        <v>52.8</v>
      </c>
      <c r="I4864" s="341">
        <v>1.0</v>
      </c>
      <c r="J4864" s="332">
        <f>IFERROR(__xludf.DUMMYFUNCTION("IF(IF(COUNTIF(P$2:P4863, P4864)=0, """", INDEX(H$2:H4863,
MAX(FILTER(ROW(H$2:H4863) - ROW(H$2) + 1, P$2:P4863 = P4864))))=""単価"","""",
IF(COUNTIF(P$2:P4863, P4864)=0, """", INDEX(H$2:H4863,
MAX(FILTER(ROW(H$2:H4863) - ROW(H$2) + 1, P$2:P4863 = P4864)))))"),51.8)</f>
        <v>51.8</v>
      </c>
      <c r="N4864" s="335" t="str">
        <f>IF(MAXIFS('単価履歴'!$O:$O,'単価履歴'!$E:$E,E4864,'単価履歴'!$F:$F,F4864)=O4864,"●","")</f>
        <v/>
      </c>
      <c r="O4864" s="346">
        <v>46104.768541666665</v>
      </c>
      <c r="P4864" s="334" t="str">
        <f t="shared" si="4"/>
        <v>合同姫路:阪和新断Ｂ</v>
      </c>
    </row>
    <row r="4865" ht="15.75" customHeight="1">
      <c r="A4865" s="335" t="s">
        <v>6012</v>
      </c>
      <c r="B4865" s="336">
        <v>46106.0</v>
      </c>
      <c r="C4865" s="335" t="s">
        <v>6</v>
      </c>
      <c r="D4865" s="335" t="s">
        <v>48</v>
      </c>
      <c r="E4865" s="337" t="str">
        <f t="shared" si="1"/>
        <v>中山鋼業:ナベ</v>
      </c>
      <c r="F4865" s="338" t="s">
        <v>111</v>
      </c>
      <c r="G4865" s="339" t="str">
        <f t="shared" si="2"/>
        <v>中山鋼業:ナベＨ１(特A)</v>
      </c>
      <c r="H4865" s="340">
        <f t="shared" si="3"/>
        <v>52</v>
      </c>
      <c r="I4865" s="341">
        <v>1.5</v>
      </c>
      <c r="J4865" s="332">
        <f>IFERROR(__xludf.DUMMYFUNCTION("IF(IF(COUNTIF(P$2:P4864, P4865)=0, """", INDEX(H$2:H4864,
MAX(FILTER(ROW(H$2:H4864) - ROW(H$2) + 1, P$2:P4864 = P4865))))=""単価"","""",
IF(COUNTIF(P$2:P4864, P4865)=0, """", INDEX(H$2:H4864,
MAX(FILTER(ROW(H$2:H4864) - ROW(H$2) + 1, P$2:P4864 = P4865)))))"),50.5)</f>
        <v>50.5</v>
      </c>
      <c r="N4865" s="335" t="str">
        <f>IF(MAXIFS('単価履歴'!$O:$O,'単価履歴'!$E:$E,E4865,'単価履歴'!$F:$F,F4865)=O4865,"●","")</f>
        <v/>
      </c>
      <c r="O4865" s="346">
        <v>46106.47824074074</v>
      </c>
      <c r="P4865" s="334" t="str">
        <f t="shared" si="4"/>
        <v>中山鋼業:ナベＨ１(特A)</v>
      </c>
    </row>
    <row r="4866" ht="15.75" customHeight="1">
      <c r="A4866" s="335" t="s">
        <v>6013</v>
      </c>
      <c r="B4866" s="336">
        <v>46106.0</v>
      </c>
      <c r="C4866" s="335" t="s">
        <v>6</v>
      </c>
      <c r="D4866" s="335" t="s">
        <v>48</v>
      </c>
      <c r="E4866" s="337" t="str">
        <f t="shared" si="1"/>
        <v>中山鋼業:ナベ</v>
      </c>
      <c r="F4866" s="338" t="s">
        <v>1237</v>
      </c>
      <c r="G4866" s="339" t="str">
        <f t="shared" si="2"/>
        <v>中山鋼業:ナベＪＨ１(H2T山口)鍛造ﾊﾞﾘ</v>
      </c>
      <c r="H4866" s="340">
        <f t="shared" si="3"/>
        <v>50.7</v>
      </c>
      <c r="I4866" s="341">
        <v>1.5</v>
      </c>
      <c r="J4866" s="332">
        <f>IFERROR(__xludf.DUMMYFUNCTION("IF(IF(COUNTIF(P$2:P4865, P4866)=0, """", INDEX(H$2:H4865,
MAX(FILTER(ROW(H$2:H4865) - ROW(H$2) + 1, P$2:P4865 = P4866))))=""単価"","""",
IF(COUNTIF(P$2:P4865, P4866)=0, """", INDEX(H$2:H4865,
MAX(FILTER(ROW(H$2:H4865) - ROW(H$2) + 1, P$2:P4865 = P4866)))))"),49.2)</f>
        <v>49.2</v>
      </c>
      <c r="N4866" s="335" t="str">
        <f>IF(MAXIFS('単価履歴'!$O:$O,'単価履歴'!$E:$E,E4866,'単価履歴'!$F:$F,F4866)=O4866,"●","")</f>
        <v/>
      </c>
      <c r="O4866" s="346">
        <v>46106.47824074074</v>
      </c>
      <c r="P4866" s="334" t="str">
        <f t="shared" si="4"/>
        <v>中山鋼業:ナベＪＨ１(H2T山口)鍛造ﾊﾞﾘ</v>
      </c>
    </row>
    <row r="4867" ht="15.75" customHeight="1">
      <c r="A4867" s="335" t="s">
        <v>6014</v>
      </c>
      <c r="B4867" s="336">
        <v>46106.0</v>
      </c>
      <c r="C4867" s="335" t="s">
        <v>6</v>
      </c>
      <c r="D4867" s="335" t="s">
        <v>48</v>
      </c>
      <c r="E4867" s="337" t="str">
        <f t="shared" si="1"/>
        <v>中山鋼業:ナベ</v>
      </c>
      <c r="F4867" s="338" t="s">
        <v>116</v>
      </c>
      <c r="G4867" s="339" t="str">
        <f t="shared" si="2"/>
        <v>中山鋼業:ナベＨ２(特級)</v>
      </c>
      <c r="H4867" s="340">
        <f t="shared" si="3"/>
        <v>50</v>
      </c>
      <c r="I4867" s="341">
        <v>1.5</v>
      </c>
      <c r="J4867" s="332">
        <f>IFERROR(__xludf.DUMMYFUNCTION("IF(IF(COUNTIF(P$2:P4866, P4867)=0, """", INDEX(H$2:H4866,
MAX(FILTER(ROW(H$2:H4866) - ROW(H$2) + 1, P$2:P4866 = P4867))))=""単価"","""",
IF(COUNTIF(P$2:P4866, P4867)=0, """", INDEX(H$2:H4866,
MAX(FILTER(ROW(H$2:H4866) - ROW(H$2) + 1, P$2:P4866 = P4867)))))"),48.5)</f>
        <v>48.5</v>
      </c>
      <c r="N4867" s="335" t="str">
        <f>IF(MAXIFS('単価履歴'!$O:$O,'単価履歴'!$E:$E,E4867,'単価履歴'!$F:$F,F4867)=O4867,"●","")</f>
        <v/>
      </c>
      <c r="O4867" s="346">
        <v>46106.47824074074</v>
      </c>
      <c r="P4867" s="334" t="str">
        <f t="shared" si="4"/>
        <v>中山鋼業:ナベＨ２(特級)</v>
      </c>
    </row>
    <row r="4868" ht="15.75" customHeight="1">
      <c r="A4868" s="335" t="s">
        <v>6015</v>
      </c>
      <c r="B4868" s="336">
        <v>46106.0</v>
      </c>
      <c r="C4868" s="335" t="s">
        <v>6</v>
      </c>
      <c r="D4868" s="335" t="s">
        <v>48</v>
      </c>
      <c r="E4868" s="337" t="str">
        <f t="shared" si="1"/>
        <v>中山鋼業:ナベ</v>
      </c>
      <c r="F4868" s="338" t="s">
        <v>119</v>
      </c>
      <c r="G4868" s="339" t="str">
        <f t="shared" si="2"/>
        <v>中山鋼業:ナベＨ３(1級)</v>
      </c>
      <c r="H4868" s="340">
        <f t="shared" si="3"/>
        <v>48.5</v>
      </c>
      <c r="I4868" s="341">
        <v>1.5</v>
      </c>
      <c r="J4868" s="332">
        <f>IFERROR(__xludf.DUMMYFUNCTION("IF(IF(COUNTIF(P$2:P4867, P4868)=0, """", INDEX(H$2:H4867,
MAX(FILTER(ROW(H$2:H4867) - ROW(H$2) + 1, P$2:P4867 = P4868))))=""単価"","""",
IF(COUNTIF(P$2:P4867, P4868)=0, """", INDEX(H$2:H4867,
MAX(FILTER(ROW(H$2:H4867) - ROW(H$2) + 1, P$2:P4867 = P4868)))))"),47.0)</f>
        <v>47</v>
      </c>
      <c r="N4868" s="335" t="str">
        <f>IF(MAXIFS('単価履歴'!$O:$O,'単価履歴'!$E:$E,E4868,'単価履歴'!$F:$F,F4868)=O4868,"●","")</f>
        <v/>
      </c>
      <c r="O4868" s="346">
        <v>46106.47824074074</v>
      </c>
      <c r="P4868" s="334" t="str">
        <f t="shared" si="4"/>
        <v>中山鋼業:ナベＨ３(1級)</v>
      </c>
    </row>
    <row r="4869" ht="15.75" customHeight="1">
      <c r="A4869" s="335" t="s">
        <v>6016</v>
      </c>
      <c r="B4869" s="336">
        <v>46106.0</v>
      </c>
      <c r="C4869" s="335" t="s">
        <v>6</v>
      </c>
      <c r="D4869" s="335" t="s">
        <v>48</v>
      </c>
      <c r="E4869" s="337" t="str">
        <f t="shared" si="1"/>
        <v>中山鋼業:ナベ</v>
      </c>
      <c r="F4869" s="338" t="s">
        <v>122</v>
      </c>
      <c r="G4869" s="339" t="str">
        <f t="shared" si="2"/>
        <v>中山鋼業:ナベＬ１(2級)</v>
      </c>
      <c r="H4869" s="340">
        <f t="shared" si="3"/>
        <v>48</v>
      </c>
      <c r="I4869" s="341">
        <v>1.5</v>
      </c>
      <c r="J4869" s="332">
        <f>IFERROR(__xludf.DUMMYFUNCTION("IF(IF(COUNTIF(P$2:P4868, P4869)=0, """", INDEX(H$2:H4868,
MAX(FILTER(ROW(H$2:H4868) - ROW(H$2) + 1, P$2:P4868 = P4869))))=""単価"","""",
IF(COUNTIF(P$2:P4868, P4869)=0, """", INDEX(H$2:H4868,
MAX(FILTER(ROW(H$2:H4868) - ROW(H$2) + 1, P$2:P4868 = P4869)))))"),46.5)</f>
        <v>46.5</v>
      </c>
      <c r="N4869" s="335" t="str">
        <f>IF(MAXIFS('単価履歴'!$O:$O,'単価履歴'!$E:$E,E4869,'単価履歴'!$F:$F,F4869)=O4869,"●","")</f>
        <v/>
      </c>
      <c r="O4869" s="346">
        <v>46106.47824074074</v>
      </c>
      <c r="P4869" s="334" t="str">
        <f t="shared" si="4"/>
        <v>中山鋼業:ナベＬ１(2級)</v>
      </c>
    </row>
    <row r="4870" ht="15.75" customHeight="1">
      <c r="A4870" s="335" t="s">
        <v>6017</v>
      </c>
      <c r="B4870" s="336">
        <v>46106.0</v>
      </c>
      <c r="C4870" s="335" t="s">
        <v>6</v>
      </c>
      <c r="D4870" s="335" t="s">
        <v>48</v>
      </c>
      <c r="E4870" s="337" t="str">
        <f t="shared" si="1"/>
        <v>中山鋼業:ナベ</v>
      </c>
      <c r="F4870" s="338" t="s">
        <v>573</v>
      </c>
      <c r="G4870" s="339" t="str">
        <f t="shared" si="2"/>
        <v>中山鋼業:ナベＬ２(H4･級外･L1ﾊﾞﾗ)</v>
      </c>
      <c r="H4870" s="340">
        <f t="shared" si="3"/>
        <v>44</v>
      </c>
      <c r="I4870" s="341">
        <v>1.0</v>
      </c>
      <c r="J4870" s="332">
        <f>IFERROR(__xludf.DUMMYFUNCTION("IF(IF(COUNTIF(P$2:P4869, P4870)=0, """", INDEX(H$2:H4869,
MAX(FILTER(ROW(H$2:H4869) - ROW(H$2) + 1, P$2:P4869 = P4870))))=""単価"","""",
IF(COUNTIF(P$2:P4869, P4870)=0, """", INDEX(H$2:H4869,
MAX(FILTER(ROW(H$2:H4869) - ROW(H$2) + 1, P$2:P4869 = P4870)))))"),43.0)</f>
        <v>43</v>
      </c>
      <c r="N4870" s="335" t="str">
        <f>IF(MAXIFS('単価履歴'!$O:$O,'単価履歴'!$E:$E,E4870,'単価履歴'!$F:$F,F4870)=O4870,"●","")</f>
        <v/>
      </c>
      <c r="O4870" s="346">
        <v>46106.47854166667</v>
      </c>
      <c r="P4870" s="334" t="str">
        <f t="shared" si="4"/>
        <v>中山鋼業:ナベＬ２(H4･級外･L1ﾊﾞﾗ)</v>
      </c>
    </row>
    <row r="4871" ht="15.75" customHeight="1">
      <c r="A4871" s="335" t="s">
        <v>6018</v>
      </c>
      <c r="B4871" s="336">
        <v>46106.0</v>
      </c>
      <c r="C4871" s="335" t="s">
        <v>6</v>
      </c>
      <c r="D4871" s="335" t="s">
        <v>48</v>
      </c>
      <c r="E4871" s="337" t="str">
        <f t="shared" si="1"/>
        <v>中山鋼業:ナベ</v>
      </c>
      <c r="F4871" s="338" t="s">
        <v>1237</v>
      </c>
      <c r="G4871" s="339" t="str">
        <f t="shared" si="2"/>
        <v>中山鋼業:ナベＪＨ１(H2T山口)鍛造ﾊﾞﾘ</v>
      </c>
      <c r="H4871" s="340">
        <f t="shared" si="3"/>
        <v>49.2</v>
      </c>
      <c r="I4871" s="341">
        <v>-1.5</v>
      </c>
      <c r="J4871" s="332">
        <f>IFERROR(__xludf.DUMMYFUNCTION("IF(IF(COUNTIF(P$2:P4870, P4871)=0, """", INDEX(H$2:H4870,
MAX(FILTER(ROW(H$2:H4870) - ROW(H$2) + 1, P$2:P4870 = P4871))))=""単価"","""",
IF(COUNTIF(P$2:P4870, P4871)=0, """", INDEX(H$2:H4870,
MAX(FILTER(ROW(H$2:H4870) - ROW(H$2) + 1, P$2:P4870 = P4871)))))"),50.7)</f>
        <v>50.7</v>
      </c>
      <c r="N4871" s="335" t="str">
        <f>IF(MAXIFS('単価履歴'!$O:$O,'単価履歴'!$E:$E,E4871,'単価履歴'!$F:$F,F4871)=O4871,"●","")</f>
        <v/>
      </c>
      <c r="O4871" s="346">
        <v>46106.48513888889</v>
      </c>
      <c r="P4871" s="334" t="str">
        <f t="shared" si="4"/>
        <v>中山鋼業:ナベＪＨ１(H2T山口)鍛造ﾊﾞﾘ</v>
      </c>
    </row>
    <row r="4872" ht="15.75" customHeight="1">
      <c r="A4872" s="335" t="s">
        <v>6019</v>
      </c>
      <c r="B4872" s="336">
        <v>46106.0</v>
      </c>
      <c r="C4872" s="335" t="s">
        <v>6</v>
      </c>
      <c r="D4872" s="335" t="s">
        <v>48</v>
      </c>
      <c r="E4872" s="337" t="str">
        <f t="shared" si="1"/>
        <v>中山鋼業:ナベ</v>
      </c>
      <c r="F4872" s="338" t="s">
        <v>1237</v>
      </c>
      <c r="G4872" s="339" t="str">
        <f t="shared" si="2"/>
        <v>中山鋼業:ナベＪＨ１(H2T山口)鍛造ﾊﾞﾘ</v>
      </c>
      <c r="H4872" s="340">
        <f t="shared" si="3"/>
        <v>47.7</v>
      </c>
      <c r="I4872" s="341">
        <v>-1.5</v>
      </c>
      <c r="J4872" s="332">
        <f>IFERROR(__xludf.DUMMYFUNCTION("IF(IF(COUNTIF(P$2:P4871, P4872)=0, """", INDEX(H$2:H4871,
MAX(FILTER(ROW(H$2:H4871) - ROW(H$2) + 1, P$2:P4871 = P4872))))=""単価"","""",
IF(COUNTIF(P$2:P4871, P4872)=0, """", INDEX(H$2:H4871,
MAX(FILTER(ROW(H$2:H4871) - ROW(H$2) + 1, P$2:P4871 = P4872)))))"),49.2)</f>
        <v>49.2</v>
      </c>
      <c r="N4872" s="335" t="str">
        <f>IF(MAXIFS('単価履歴'!$O:$O,'単価履歴'!$E:$E,E4872,'単価履歴'!$F:$F,F4872)=O4872,"●","")</f>
        <v/>
      </c>
      <c r="O4872" s="346">
        <v>46106.48513888889</v>
      </c>
      <c r="P4872" s="334" t="str">
        <f t="shared" si="4"/>
        <v>中山鋼業:ナベＪＨ１(H2T山口)鍛造ﾊﾞﾘ</v>
      </c>
    </row>
    <row r="4873" ht="15.75" customHeight="1">
      <c r="A4873" s="335" t="s">
        <v>6020</v>
      </c>
      <c r="B4873" s="336">
        <v>46108.0</v>
      </c>
      <c r="C4873" s="335" t="s">
        <v>32</v>
      </c>
      <c r="D4873" s="335" t="s">
        <v>52</v>
      </c>
      <c r="E4873" s="337" t="str">
        <f t="shared" si="1"/>
        <v>泉北大都:リバイブ</v>
      </c>
      <c r="F4873" s="338" t="s">
        <v>116</v>
      </c>
      <c r="G4873" s="339" t="str">
        <f t="shared" si="2"/>
        <v>泉北大都:リバイブＨ２(特級)</v>
      </c>
      <c r="H4873" s="340">
        <f t="shared" si="3"/>
        <v>50</v>
      </c>
      <c r="I4873" s="341">
        <v>50.0</v>
      </c>
      <c r="J4873" s="332" t="str">
        <f>IFERROR(__xludf.DUMMYFUNCTION("IF(IF(COUNTIF(P$2:P4872, P4873)=0, """", INDEX(H$2:H4872,
MAX(FILTER(ROW(H$2:H4872) - ROW(H$2) + 1, P$2:P4872 = P4873))))=""単価"","""",
IF(COUNTIF(P$2:P4872, P4873)=0, """", INDEX(H$2:H4872,
MAX(FILTER(ROW(H$2:H4872) - ROW(H$2) + 1, P$2:P4872 = P4873)))))"),"")</f>
        <v/>
      </c>
      <c r="N4873" s="335" t="str">
        <f>IF(MAXIFS('単価履歴'!$O:$O,'単価履歴'!$E:$E,E4873,'単価履歴'!$F:$F,F4873)=O4873,"●","")</f>
        <v/>
      </c>
      <c r="O4873" s="346">
        <v>46108.59856481482</v>
      </c>
      <c r="P4873" s="334" t="str">
        <f t="shared" si="4"/>
        <v>泉北大都:リバイブＨ２(特級)</v>
      </c>
    </row>
    <row r="4874" ht="15.75" customHeight="1">
      <c r="A4874" s="335" t="s">
        <v>6021</v>
      </c>
      <c r="B4874" s="336">
        <v>46109.0</v>
      </c>
      <c r="C4874" s="335" t="s">
        <v>10</v>
      </c>
      <c r="D4874" s="335" t="s">
        <v>539</v>
      </c>
      <c r="E4874" s="337" t="str">
        <f t="shared" si="1"/>
        <v>岸和田:岡谷鋼機</v>
      </c>
      <c r="F4874" s="338" t="s">
        <v>111</v>
      </c>
      <c r="G4874" s="339" t="str">
        <f t="shared" si="2"/>
        <v>岸和田:岡谷鋼機Ｈ１(特A)</v>
      </c>
      <c r="H4874" s="340">
        <f t="shared" si="3"/>
        <v>54.2</v>
      </c>
      <c r="I4874" s="341">
        <v>0.5</v>
      </c>
      <c r="J4874" s="332">
        <f>IFERROR(__xludf.DUMMYFUNCTION("IF(IF(COUNTIF(P$2:P4873, P4874)=0, """", INDEX(H$2:H4873,
MAX(FILTER(ROW(H$2:H4873) - ROW(H$2) + 1, P$2:P4873 = P4874))))=""単価"","""",
IF(COUNTIF(P$2:P4873, P4874)=0, """", INDEX(H$2:H4873,
MAX(FILTER(ROW(H$2:H4873) - ROW(H$2) + 1, P$2:P4873 = P4874)))))"),53.7)</f>
        <v>53.7</v>
      </c>
      <c r="N4874" s="335" t="str">
        <f>IF(MAXIFS('単価履歴'!$O:$O,'単価履歴'!$E:$E,E4874,'単価履歴'!$F:$F,F4874)=O4874,"●","")</f>
        <v/>
      </c>
      <c r="O4874" s="346">
        <v>46109.2743287037</v>
      </c>
      <c r="P4874" s="334" t="str">
        <f t="shared" si="4"/>
        <v>岸和田:岡谷鋼機Ｈ１(特A)</v>
      </c>
    </row>
    <row r="4875" ht="15.75" customHeight="1">
      <c r="A4875" s="335" t="s">
        <v>6022</v>
      </c>
      <c r="B4875" s="336">
        <v>46109.0</v>
      </c>
      <c r="C4875" s="335" t="s">
        <v>10</v>
      </c>
      <c r="D4875" s="335" t="s">
        <v>539</v>
      </c>
      <c r="E4875" s="337" t="str">
        <f t="shared" si="1"/>
        <v>岸和田:岡谷鋼機</v>
      </c>
      <c r="F4875" s="338" t="s">
        <v>116</v>
      </c>
      <c r="G4875" s="339" t="str">
        <f t="shared" si="2"/>
        <v>岸和田:岡谷鋼機Ｈ２(特級)</v>
      </c>
      <c r="H4875" s="340">
        <f t="shared" si="3"/>
        <v>52.2</v>
      </c>
      <c r="I4875" s="341">
        <v>0.5</v>
      </c>
      <c r="J4875" s="332">
        <f>IFERROR(__xludf.DUMMYFUNCTION("IF(IF(COUNTIF(P$2:P4874, P4875)=0, """", INDEX(H$2:H4874,
MAX(FILTER(ROW(H$2:H4874) - ROW(H$2) + 1, P$2:P4874 = P4875))))=""単価"","""",
IF(COUNTIF(P$2:P4874, P4875)=0, """", INDEX(H$2:H4874,
MAX(FILTER(ROW(H$2:H4874) - ROW(H$2) + 1, P$2:P4874 = P4875)))))"),51.7)</f>
        <v>51.7</v>
      </c>
      <c r="N4875" s="335" t="str">
        <f>IF(MAXIFS('単価履歴'!$O:$O,'単価履歴'!$E:$E,E4875,'単価履歴'!$F:$F,F4875)=O4875,"●","")</f>
        <v/>
      </c>
      <c r="O4875" s="346">
        <v>46109.2743287037</v>
      </c>
      <c r="P4875" s="334" t="str">
        <f t="shared" si="4"/>
        <v>岸和田:岡谷鋼機Ｈ２(特級)</v>
      </c>
    </row>
    <row r="4876" ht="15.75" customHeight="1">
      <c r="A4876" s="335" t="s">
        <v>6023</v>
      </c>
      <c r="B4876" s="336">
        <v>46109.0</v>
      </c>
      <c r="C4876" s="335" t="s">
        <v>10</v>
      </c>
      <c r="D4876" s="335" t="s">
        <v>539</v>
      </c>
      <c r="E4876" s="337" t="str">
        <f t="shared" si="1"/>
        <v>岸和田:岡谷鋼機</v>
      </c>
      <c r="F4876" s="338" t="s">
        <v>119</v>
      </c>
      <c r="G4876" s="339" t="str">
        <f t="shared" si="2"/>
        <v>岸和田:岡谷鋼機Ｈ３(1級)</v>
      </c>
      <c r="H4876" s="340">
        <f t="shared" si="3"/>
        <v>50.7</v>
      </c>
      <c r="I4876" s="341">
        <v>0.5</v>
      </c>
      <c r="J4876" s="332">
        <f>IFERROR(__xludf.DUMMYFUNCTION("IF(IF(COUNTIF(P$2:P4875, P4876)=0, """", INDEX(H$2:H4875,
MAX(FILTER(ROW(H$2:H4875) - ROW(H$2) + 1, P$2:P4875 = P4876))))=""単価"","""",
IF(COUNTIF(P$2:P4875, P4876)=0, """", INDEX(H$2:H4875,
MAX(FILTER(ROW(H$2:H4875) - ROW(H$2) + 1, P$2:P4875 = P4876)))))"),50.2)</f>
        <v>50.2</v>
      </c>
      <c r="N4876" s="335" t="str">
        <f>IF(MAXIFS('単価履歴'!$O:$O,'単価履歴'!$E:$E,E4876,'単価履歴'!$F:$F,F4876)=O4876,"●","")</f>
        <v/>
      </c>
      <c r="O4876" s="346">
        <v>46109.2743287037</v>
      </c>
      <c r="P4876" s="334" t="str">
        <f t="shared" si="4"/>
        <v>岸和田:岡谷鋼機Ｈ３(1級)</v>
      </c>
    </row>
    <row r="4877" ht="15.75" customHeight="1">
      <c r="A4877" s="335" t="s">
        <v>6024</v>
      </c>
      <c r="B4877" s="336">
        <v>46102.0</v>
      </c>
      <c r="C4877" s="335" t="s">
        <v>10</v>
      </c>
      <c r="D4877" s="335" t="s">
        <v>539</v>
      </c>
      <c r="E4877" s="337" t="str">
        <f t="shared" si="1"/>
        <v>岸和田:岡谷鋼機</v>
      </c>
      <c r="F4877" s="338" t="s">
        <v>119</v>
      </c>
      <c r="G4877" s="339" t="str">
        <f t="shared" si="2"/>
        <v>岸和田:岡谷鋼機Ｈ３(1級)</v>
      </c>
      <c r="H4877" s="340">
        <f t="shared" si="3"/>
        <v>50.2</v>
      </c>
      <c r="I4877" s="341">
        <v>-0.5</v>
      </c>
      <c r="J4877" s="332">
        <f>IFERROR(__xludf.DUMMYFUNCTION("IF(IF(COUNTIF(P$2:P4876, P4877)=0, """", INDEX(H$2:H4876,
MAX(FILTER(ROW(H$2:H4876) - ROW(H$2) + 1, P$2:P4876 = P4877))))=""単価"","""",
IF(COUNTIF(P$2:P4876, P4877)=0, """", INDEX(H$2:H4876,
MAX(FILTER(ROW(H$2:H4876) - ROW(H$2) + 1, P$2:P4876 = P4877)))))"),50.7)</f>
        <v>50.7</v>
      </c>
      <c r="N4877" s="335" t="str">
        <f>IF(MAXIFS('単価履歴'!$O:$O,'単価履歴'!$E:$E,E4877,'単価履歴'!$F:$F,F4877)=O4877,"●","")</f>
        <v/>
      </c>
      <c r="O4877" s="346">
        <v>46112.27596064815</v>
      </c>
      <c r="P4877" s="334" t="str">
        <f t="shared" si="4"/>
        <v>岸和田:岡谷鋼機Ｈ３(1級)</v>
      </c>
    </row>
    <row r="4878" ht="15.75" customHeight="1">
      <c r="A4878" s="335" t="s">
        <v>6025</v>
      </c>
      <c r="B4878" s="336">
        <v>46112.0</v>
      </c>
      <c r="C4878" s="335" t="s">
        <v>535</v>
      </c>
      <c r="D4878" s="335" t="s">
        <v>77</v>
      </c>
      <c r="E4878" s="337" t="str">
        <f t="shared" si="1"/>
        <v>東鐵名古屋:直納</v>
      </c>
      <c r="F4878" s="338" t="s">
        <v>111</v>
      </c>
      <c r="G4878" s="339" t="str">
        <f t="shared" si="2"/>
        <v>東鐵名古屋:直納Ｈ１(特A)</v>
      </c>
      <c r="H4878" s="340">
        <f t="shared" si="3"/>
        <v>52</v>
      </c>
      <c r="I4878" s="341">
        <v>1.3</v>
      </c>
      <c r="J4878" s="332">
        <f>IFERROR(__xludf.DUMMYFUNCTION("IF(IF(COUNTIF(P$2:P4877, P4878)=0, """", INDEX(H$2:H4877,
MAX(FILTER(ROW(H$2:H4877) - ROW(H$2) + 1, P$2:P4877 = P4878))))=""単価"","""",
IF(COUNTIF(P$2:P4877, P4878)=0, """", INDEX(H$2:H4877,
MAX(FILTER(ROW(H$2:H4877) - ROW(H$2) + 1, P$2:P4877 = P4878)))))"),50.7)</f>
        <v>50.7</v>
      </c>
      <c r="N4878" s="335" t="str">
        <f>IF(MAXIFS('単価履歴'!$O:$O,'単価履歴'!$E:$E,E4878,'単価履歴'!$F:$F,F4878)=O4878,"●","")</f>
        <v/>
      </c>
      <c r="O4878" s="346">
        <v>46112.27675925926</v>
      </c>
      <c r="P4878" s="334" t="str">
        <f t="shared" si="4"/>
        <v>東鐵名古屋:直納Ｈ１(特A)</v>
      </c>
    </row>
    <row r="4879" ht="15.75" customHeight="1">
      <c r="A4879" s="335" t="s">
        <v>6026</v>
      </c>
      <c r="B4879" s="336">
        <v>46112.0</v>
      </c>
      <c r="C4879" s="335" t="s">
        <v>535</v>
      </c>
      <c r="D4879" s="335" t="s">
        <v>77</v>
      </c>
      <c r="E4879" s="337" t="str">
        <f t="shared" si="1"/>
        <v>東鐵名古屋:直納</v>
      </c>
      <c r="F4879" s="338" t="s">
        <v>119</v>
      </c>
      <c r="G4879" s="339" t="str">
        <f t="shared" si="2"/>
        <v>東鐵名古屋:直納Ｈ３(1級)</v>
      </c>
      <c r="H4879" s="340">
        <f t="shared" si="3"/>
        <v>50</v>
      </c>
      <c r="I4879" s="341">
        <v>1.5</v>
      </c>
      <c r="J4879" s="332">
        <f>IFERROR(__xludf.DUMMYFUNCTION("IF(IF(COUNTIF(P$2:P4878, P4879)=0, """", INDEX(H$2:H4878,
MAX(FILTER(ROW(H$2:H4878) - ROW(H$2) + 1, P$2:P4878 = P4879))))=""単価"","""",
IF(COUNTIF(P$2:P4878, P4879)=0, """", INDEX(H$2:H4878,
MAX(FILTER(ROW(H$2:H4878) - ROW(H$2) + 1, P$2:P4878 = P4879)))))"),48.5)</f>
        <v>48.5</v>
      </c>
      <c r="N4879" s="335" t="str">
        <f>IF(MAXIFS('単価履歴'!$O:$O,'単価履歴'!$E:$E,E4879,'単価履歴'!$F:$F,F4879)=O4879,"●","")</f>
        <v/>
      </c>
      <c r="O4879" s="346">
        <v>46112.27707175926</v>
      </c>
      <c r="P4879" s="334" t="str">
        <f t="shared" si="4"/>
        <v>東鐵名古屋:直納Ｈ３(1級)</v>
      </c>
    </row>
    <row r="4880" ht="15.75" customHeight="1">
      <c r="A4880" s="335" t="s">
        <v>6027</v>
      </c>
      <c r="B4880" s="336">
        <v>46112.0</v>
      </c>
      <c r="C4880" s="335" t="s">
        <v>535</v>
      </c>
      <c r="D4880" s="335" t="s">
        <v>77</v>
      </c>
      <c r="E4880" s="337" t="str">
        <f t="shared" si="1"/>
        <v>東鐵名古屋:直納</v>
      </c>
      <c r="F4880" s="338" t="s">
        <v>122</v>
      </c>
      <c r="G4880" s="339" t="str">
        <f t="shared" si="2"/>
        <v>東鐵名古屋:直納Ｌ１(2級)</v>
      </c>
      <c r="H4880" s="340">
        <f t="shared" si="3"/>
        <v>49.5</v>
      </c>
      <c r="I4880" s="341">
        <v>2.5</v>
      </c>
      <c r="J4880" s="332">
        <f>IFERROR(__xludf.DUMMYFUNCTION("IF(IF(COUNTIF(P$2:P4879, P4880)=0, """", INDEX(H$2:H4879,
MAX(FILTER(ROW(H$2:H4879) - ROW(H$2) + 1, P$2:P4879 = P4880))))=""単価"","""",
IF(COUNTIF(P$2:P4879, P4880)=0, """", INDEX(H$2:H4879,
MAX(FILTER(ROW(H$2:H4879) - ROW(H$2) + 1, P$2:P4879 = P4880)))))"),47.0)</f>
        <v>47</v>
      </c>
      <c r="N4880" s="335" t="str">
        <f>IF(MAXIFS('単価履歴'!$O:$O,'単価履歴'!$E:$E,E4880,'単価履歴'!$F:$F,F4880)=O4880,"●","")</f>
        <v/>
      </c>
      <c r="O4880" s="346">
        <v>46112.2775</v>
      </c>
      <c r="P4880" s="334" t="str">
        <f t="shared" si="4"/>
        <v>東鐵名古屋:直納Ｌ１(2級)</v>
      </c>
    </row>
    <row r="4881" ht="15.75" customHeight="1">
      <c r="A4881" s="335" t="s">
        <v>6028</v>
      </c>
      <c r="B4881" s="336">
        <v>46112.0</v>
      </c>
      <c r="C4881" s="335" t="s">
        <v>535</v>
      </c>
      <c r="D4881" s="335" t="s">
        <v>77</v>
      </c>
      <c r="E4881" s="337" t="str">
        <f t="shared" si="1"/>
        <v>東鐵名古屋:直納</v>
      </c>
      <c r="F4881" s="338" t="s">
        <v>1199</v>
      </c>
      <c r="G4881" s="339" t="str">
        <f t="shared" si="2"/>
        <v>東鐵名古屋:直納ＨＳ１(単体H1/電特A/HS))</v>
      </c>
      <c r="H4881" s="340">
        <f t="shared" si="3"/>
        <v>52.5</v>
      </c>
      <c r="I4881" s="341">
        <v>1.0</v>
      </c>
      <c r="J4881" s="332">
        <f>IFERROR(__xludf.DUMMYFUNCTION("IF(IF(COUNTIF(P$2:P4880, P4881)=0, """", INDEX(H$2:H4880,
MAX(FILTER(ROW(H$2:H4880) - ROW(H$2) + 1, P$2:P4880 = P4881))))=""単価"","""",
IF(COUNTIF(P$2:P4880, P4881)=0, """", INDEX(H$2:H4880,
MAX(FILTER(ROW(H$2:H4880) - ROW(H$2) + 1, P$2:P4880 = P4881)))))"),51.5)</f>
        <v>51.5</v>
      </c>
      <c r="N4881" s="335" t="str">
        <f>IF(MAXIFS('単価履歴'!$O:$O,'単価履歴'!$E:$E,E4881,'単価履歴'!$F:$F,F4881)=O4881,"●","")</f>
        <v/>
      </c>
      <c r="O4881" s="346">
        <v>46112.27780092593</v>
      </c>
      <c r="P4881" s="334" t="str">
        <f t="shared" si="4"/>
        <v>東鐵名古屋:直納ＨＳ１(単体H1/電特A/HS))</v>
      </c>
    </row>
    <row r="4882" ht="15.75" customHeight="1">
      <c r="A4882" s="335" t="s">
        <v>6029</v>
      </c>
      <c r="B4882" s="336">
        <v>46112.0</v>
      </c>
      <c r="C4882" s="335" t="s">
        <v>535</v>
      </c>
      <c r="D4882" s="335" t="s">
        <v>77</v>
      </c>
      <c r="E4882" s="337" t="str">
        <f t="shared" si="1"/>
        <v>東鐵名古屋:直納</v>
      </c>
      <c r="F4882" s="338" t="s">
        <v>116</v>
      </c>
      <c r="G4882" s="339" t="str">
        <f t="shared" si="2"/>
        <v>東鐵名古屋:直納Ｈ２(特級)</v>
      </c>
      <c r="H4882" s="340">
        <f t="shared" si="3"/>
        <v>50</v>
      </c>
      <c r="I4882" s="341">
        <v>1.0</v>
      </c>
      <c r="J4882" s="332">
        <f>IFERROR(__xludf.DUMMYFUNCTION("IF(IF(COUNTIF(P$2:P4881, P4882)=0, """", INDEX(H$2:H4881,
MAX(FILTER(ROW(H$2:H4881) - ROW(H$2) + 1, P$2:P4881 = P4882))))=""単価"","""",
IF(COUNTIF(P$2:P4881, P4882)=0, """", INDEX(H$2:H4881,
MAX(FILTER(ROW(H$2:H4881) - ROW(H$2) + 1, P$2:P4881 = P4882)))))"),49.0)</f>
        <v>49</v>
      </c>
      <c r="N4882" s="335" t="str">
        <f>IF(MAXIFS('単価履歴'!$O:$O,'単価履歴'!$E:$E,E4882,'単価履歴'!$F:$F,F4882)=O4882,"●","")</f>
        <v/>
      </c>
      <c r="O4882" s="346">
        <v>46112.27780092593</v>
      </c>
      <c r="P4882" s="334" t="str">
        <f t="shared" si="4"/>
        <v>東鐵名古屋:直納Ｈ２(特級)</v>
      </c>
    </row>
    <row r="4883" ht="15.75" customHeight="1">
      <c r="A4883" s="335" t="s">
        <v>6030</v>
      </c>
      <c r="B4883" s="336">
        <v>46112.0</v>
      </c>
      <c r="C4883" s="335" t="s">
        <v>535</v>
      </c>
      <c r="D4883" s="335" t="s">
        <v>77</v>
      </c>
      <c r="E4883" s="337" t="str">
        <f t="shared" si="1"/>
        <v>東鐵名古屋:直納</v>
      </c>
      <c r="F4883" s="338" t="s">
        <v>573</v>
      </c>
      <c r="G4883" s="339" t="str">
        <f t="shared" si="2"/>
        <v>東鐵名古屋:直納Ｌ２(H4･級外･L1ﾊﾞﾗ)</v>
      </c>
      <c r="H4883" s="340">
        <f t="shared" si="3"/>
        <v>45</v>
      </c>
      <c r="I4883" s="341">
        <v>1.0</v>
      </c>
      <c r="J4883" s="332">
        <f>IFERROR(__xludf.DUMMYFUNCTION("IF(IF(COUNTIF(P$2:P4882, P4883)=0, """", INDEX(H$2:H4882,
MAX(FILTER(ROW(H$2:H4882) - ROW(H$2) + 1, P$2:P4882 = P4883))))=""単価"","""",
IF(COUNTIF(P$2:P4882, P4883)=0, """", INDEX(H$2:H4882,
MAX(FILTER(ROW(H$2:H4882) - ROW(H$2) + 1, P$2:P4882 = P4883)))))"),44.0)</f>
        <v>44</v>
      </c>
      <c r="N4883" s="335" t="str">
        <f>IF(MAXIFS('単価履歴'!$O:$O,'単価履歴'!$E:$E,E4883,'単価履歴'!$F:$F,F4883)=O4883,"●","")</f>
        <v/>
      </c>
      <c r="O4883" s="346">
        <v>46112.27780092593</v>
      </c>
      <c r="P4883" s="334" t="str">
        <f t="shared" si="4"/>
        <v>東鐵名古屋:直納Ｌ２(H4･級外･L1ﾊﾞﾗ)</v>
      </c>
    </row>
    <row r="4884" ht="15.75" customHeight="1">
      <c r="A4884" s="335" t="s">
        <v>6031</v>
      </c>
      <c r="B4884" s="336">
        <v>46112.0</v>
      </c>
      <c r="C4884" s="335" t="s">
        <v>535</v>
      </c>
      <c r="D4884" s="335" t="s">
        <v>77</v>
      </c>
      <c r="E4884" s="337" t="str">
        <f t="shared" si="1"/>
        <v>東鐵名古屋:直納</v>
      </c>
      <c r="F4884" s="338" t="s">
        <v>145</v>
      </c>
      <c r="G4884" s="339" t="str">
        <f t="shared" si="2"/>
        <v>東鐵名古屋:直納シュレＡ</v>
      </c>
      <c r="H4884" s="340">
        <f t="shared" si="3"/>
        <v>51</v>
      </c>
      <c r="I4884" s="341">
        <v>1.0</v>
      </c>
      <c r="J4884" s="332">
        <f>IFERROR(__xludf.DUMMYFUNCTION("IF(IF(COUNTIF(P$2:P4883, P4884)=0, """", INDEX(H$2:H4883,
MAX(FILTER(ROW(H$2:H4883) - ROW(H$2) + 1, P$2:P4883 = P4884))))=""単価"","""",
IF(COUNTIF(P$2:P4883, P4884)=0, """", INDEX(H$2:H4883,
MAX(FILTER(ROW(H$2:H4883) - ROW(H$2) + 1, P$2:P4883 = P4884)))))"),50.0)</f>
        <v>50</v>
      </c>
      <c r="N4884" s="335" t="str">
        <f>IF(MAXIFS('単価履歴'!$O:$O,'単価履歴'!$E:$E,E4884,'単価履歴'!$F:$F,F4884)=O4884,"●","")</f>
        <v/>
      </c>
      <c r="O4884" s="346">
        <v>46112.27780092593</v>
      </c>
      <c r="P4884" s="334" t="str">
        <f t="shared" si="4"/>
        <v>東鐵名古屋:直納シュレＡ</v>
      </c>
    </row>
    <row r="4885" ht="15.75" customHeight="1">
      <c r="A4885" s="335" t="s">
        <v>6032</v>
      </c>
      <c r="B4885" s="336">
        <v>46112.0</v>
      </c>
      <c r="C4885" s="335" t="s">
        <v>535</v>
      </c>
      <c r="D4885" s="335" t="s">
        <v>77</v>
      </c>
      <c r="E4885" s="337" t="str">
        <f t="shared" si="1"/>
        <v>東鐵名古屋:直納</v>
      </c>
      <c r="F4885" s="338" t="s">
        <v>151</v>
      </c>
      <c r="G4885" s="339" t="str">
        <f t="shared" si="2"/>
        <v>東鐵名古屋:直納シュレＣ</v>
      </c>
      <c r="H4885" s="340">
        <f t="shared" si="3"/>
        <v>50.5</v>
      </c>
      <c r="I4885" s="341">
        <v>1.0</v>
      </c>
      <c r="J4885" s="332">
        <f>IFERROR(__xludf.DUMMYFUNCTION("IF(IF(COUNTIF(P$2:P4884, P4885)=0, """", INDEX(H$2:H4884,
MAX(FILTER(ROW(H$2:H4884) - ROW(H$2) + 1, P$2:P4884 = P4885))))=""単価"","""",
IF(COUNTIF(P$2:P4884, P4885)=0, """", INDEX(H$2:H4884,
MAX(FILTER(ROW(H$2:H4884) - ROW(H$2) + 1, P$2:P4884 = P4885)))))"),49.5)</f>
        <v>49.5</v>
      </c>
      <c r="N4885" s="335" t="str">
        <f>IF(MAXIFS('単価履歴'!$O:$O,'単価履歴'!$E:$E,E4885,'単価履歴'!$F:$F,F4885)=O4885,"●","")</f>
        <v/>
      </c>
      <c r="O4885" s="346">
        <v>46112.27780092593</v>
      </c>
      <c r="P4885" s="334" t="str">
        <f t="shared" si="4"/>
        <v>東鐵名古屋:直納シュレＣ</v>
      </c>
    </row>
    <row r="4886" ht="15.75" customHeight="1">
      <c r="A4886" s="335" t="s">
        <v>6033</v>
      </c>
      <c r="B4886" s="336">
        <v>46112.0</v>
      </c>
      <c r="C4886" s="335" t="s">
        <v>536</v>
      </c>
      <c r="D4886" s="335" t="s">
        <v>77</v>
      </c>
      <c r="E4886" s="337" t="str">
        <f t="shared" si="1"/>
        <v>東鐵田原:直納</v>
      </c>
      <c r="F4886" s="338" t="s">
        <v>1199</v>
      </c>
      <c r="G4886" s="339" t="str">
        <f t="shared" si="2"/>
        <v>東鐵田原:直納ＨＳ１(単体H1/電特A/HS))</v>
      </c>
      <c r="H4886" s="340">
        <f t="shared" si="3"/>
        <v>53.5</v>
      </c>
      <c r="I4886" s="341">
        <v>2.0</v>
      </c>
      <c r="J4886" s="332">
        <f>IFERROR(__xludf.DUMMYFUNCTION("IF(IF(COUNTIF(P$2:P4885, P4886)=0, """", INDEX(H$2:H4885,
MAX(FILTER(ROW(H$2:H4885) - ROW(H$2) + 1, P$2:P4885 = P4886))))=""単価"","""",
IF(COUNTIF(P$2:P4885, P4886)=0, """", INDEX(H$2:H4885,
MAX(FILTER(ROW(H$2:H4885) - ROW(H$2) + 1, P$2:P4885 = P4886)))))"),51.5)</f>
        <v>51.5</v>
      </c>
      <c r="N4886" s="335" t="str">
        <f>IF(MAXIFS('単価履歴'!$O:$O,'単価履歴'!$E:$E,E4886,'単価履歴'!$F:$F,F4886)=O4886,"●","")</f>
        <v/>
      </c>
      <c r="O4886" s="346">
        <v>46112.27814814815</v>
      </c>
      <c r="P4886" s="334" t="str">
        <f t="shared" si="4"/>
        <v>東鐵田原:直納ＨＳ１(単体H1/電特A/HS))</v>
      </c>
    </row>
    <row r="4887" ht="15.75" customHeight="1">
      <c r="A4887" s="335" t="s">
        <v>6034</v>
      </c>
      <c r="B4887" s="336">
        <v>46112.0</v>
      </c>
      <c r="C4887" s="335" t="s">
        <v>536</v>
      </c>
      <c r="D4887" s="335" t="s">
        <v>77</v>
      </c>
      <c r="E4887" s="337" t="str">
        <f t="shared" si="1"/>
        <v>東鐵田原:直納</v>
      </c>
      <c r="F4887" s="338" t="s">
        <v>111</v>
      </c>
      <c r="G4887" s="339" t="str">
        <f t="shared" si="2"/>
        <v>東鐵田原:直納Ｈ１(特A)</v>
      </c>
      <c r="H4887" s="340">
        <f t="shared" si="3"/>
        <v>53</v>
      </c>
      <c r="I4887" s="341">
        <v>2.3</v>
      </c>
      <c r="J4887" s="332">
        <f>IFERROR(__xludf.DUMMYFUNCTION("IF(IF(COUNTIF(P$2:P4886, P4887)=0, """", INDEX(H$2:H4886,
MAX(FILTER(ROW(H$2:H4886) - ROW(H$2) + 1, P$2:P4886 = P4887))))=""単価"","""",
IF(COUNTIF(P$2:P4886, P4887)=0, """", INDEX(H$2:H4886,
MAX(FILTER(ROW(H$2:H4886) - ROW(H$2) + 1, P$2:P4886 = P4887)))))"),50.7)</f>
        <v>50.7</v>
      </c>
      <c r="N4887" s="335" t="str">
        <f>IF(MAXIFS('単価履歴'!$O:$O,'単価履歴'!$E:$E,E4887,'単価履歴'!$F:$F,F4887)=O4887,"●","")</f>
        <v/>
      </c>
      <c r="O4887" s="346">
        <v>46112.27841435185</v>
      </c>
      <c r="P4887" s="334" t="str">
        <f t="shared" si="4"/>
        <v>東鐵田原:直納Ｈ１(特A)</v>
      </c>
    </row>
    <row r="4888" ht="15.75" customHeight="1">
      <c r="A4888" s="335" t="s">
        <v>6035</v>
      </c>
      <c r="B4888" s="336">
        <v>46112.0</v>
      </c>
      <c r="C4888" s="335" t="s">
        <v>536</v>
      </c>
      <c r="D4888" s="335" t="s">
        <v>77</v>
      </c>
      <c r="E4888" s="337" t="str">
        <f t="shared" si="1"/>
        <v>東鐵田原:直納</v>
      </c>
      <c r="F4888" s="338" t="s">
        <v>119</v>
      </c>
      <c r="G4888" s="339" t="str">
        <f t="shared" si="2"/>
        <v>東鐵田原:直納Ｈ３(1級)</v>
      </c>
      <c r="H4888" s="340">
        <f t="shared" si="3"/>
        <v>50</v>
      </c>
      <c r="I4888" s="341">
        <v>1.5</v>
      </c>
      <c r="J4888" s="332">
        <f>IFERROR(__xludf.DUMMYFUNCTION("IF(IF(COUNTIF(P$2:P4887, P4888)=0, """", INDEX(H$2:H4887,
MAX(FILTER(ROW(H$2:H4887) - ROW(H$2) + 1, P$2:P4887 = P4888))))=""単価"","""",
IF(COUNTIF(P$2:P4887, P4888)=0, """", INDEX(H$2:H4887,
MAX(FILTER(ROW(H$2:H4887) - ROW(H$2) + 1, P$2:P4887 = P4888)))))"),48.5)</f>
        <v>48.5</v>
      </c>
      <c r="N4888" s="335" t="str">
        <f>IF(MAXIFS('単価履歴'!$O:$O,'単価履歴'!$E:$E,E4888,'単価履歴'!$F:$F,F4888)=O4888,"●","")</f>
        <v/>
      </c>
      <c r="O4888" s="346">
        <v>46112.27863425926</v>
      </c>
      <c r="P4888" s="334" t="str">
        <f t="shared" si="4"/>
        <v>東鐵田原:直納Ｈ３(1級)</v>
      </c>
    </row>
    <row r="4889" ht="15.75" customHeight="1">
      <c r="A4889" s="335" t="s">
        <v>6036</v>
      </c>
      <c r="B4889" s="336">
        <v>46112.0</v>
      </c>
      <c r="C4889" s="335" t="s">
        <v>536</v>
      </c>
      <c r="D4889" s="335" t="s">
        <v>77</v>
      </c>
      <c r="E4889" s="337" t="str">
        <f t="shared" si="1"/>
        <v>東鐵田原:直納</v>
      </c>
      <c r="F4889" s="338" t="s">
        <v>122</v>
      </c>
      <c r="G4889" s="339" t="str">
        <f t="shared" si="2"/>
        <v>東鐵田原:直納Ｌ１(2級)</v>
      </c>
      <c r="H4889" s="340">
        <f t="shared" si="3"/>
        <v>49.5</v>
      </c>
      <c r="I4889" s="341">
        <v>2.5</v>
      </c>
      <c r="J4889" s="332">
        <f>IFERROR(__xludf.DUMMYFUNCTION("IF(IF(COUNTIF(P$2:P4888, P4889)=0, """", INDEX(H$2:H4888,
MAX(FILTER(ROW(H$2:H4888) - ROW(H$2) + 1, P$2:P4888 = P4889))))=""単価"","""",
IF(COUNTIF(P$2:P4888, P4889)=0, """", INDEX(H$2:H4888,
MAX(FILTER(ROW(H$2:H4888) - ROW(H$2) + 1, P$2:P4888 = P4889)))))"),47.0)</f>
        <v>47</v>
      </c>
      <c r="N4889" s="335" t="str">
        <f>IF(MAXIFS('単価履歴'!$O:$O,'単価履歴'!$E:$E,E4889,'単価履歴'!$F:$F,F4889)=O4889,"●","")</f>
        <v/>
      </c>
      <c r="O4889" s="346">
        <v>46112.27887731481</v>
      </c>
      <c r="P4889" s="334" t="str">
        <f t="shared" si="4"/>
        <v>東鐵田原:直納Ｌ１(2級)</v>
      </c>
    </row>
    <row r="4890" ht="15.75" customHeight="1">
      <c r="A4890" s="335" t="s">
        <v>6037</v>
      </c>
      <c r="B4890" s="336">
        <v>46112.0</v>
      </c>
      <c r="C4890" s="335" t="s">
        <v>536</v>
      </c>
      <c r="D4890" s="335" t="s">
        <v>77</v>
      </c>
      <c r="E4890" s="337" t="str">
        <f t="shared" si="1"/>
        <v>東鐵田原:直納</v>
      </c>
      <c r="F4890" s="338" t="s">
        <v>130</v>
      </c>
      <c r="G4890" s="339" t="str">
        <f t="shared" si="2"/>
        <v>東鐵田原:直納新断Ａ</v>
      </c>
      <c r="H4890" s="340">
        <f t="shared" si="3"/>
        <v>55</v>
      </c>
      <c r="I4890" s="341">
        <v>3.5</v>
      </c>
      <c r="J4890" s="332">
        <f>IFERROR(__xludf.DUMMYFUNCTION("IF(IF(COUNTIF(P$2:P4889, P4890)=0, """", INDEX(H$2:H4889,
MAX(FILTER(ROW(H$2:H4889) - ROW(H$2) + 1, P$2:P4889 = P4890))))=""単価"","""",
IF(COUNTIF(P$2:P4889, P4890)=0, """", INDEX(H$2:H4889,
MAX(FILTER(ROW(H$2:H4889) - ROW(H$2) + 1, P$2:P4889 = P4890)))))"),51.5)</f>
        <v>51.5</v>
      </c>
      <c r="N4890" s="335" t="str">
        <f>IF(MAXIFS('単価履歴'!$O:$O,'単価履歴'!$E:$E,E4890,'単価履歴'!$F:$F,F4890)=O4890,"●","")</f>
        <v/>
      </c>
      <c r="O4890" s="346">
        <v>46112.2791087963</v>
      </c>
      <c r="P4890" s="334" t="str">
        <f t="shared" si="4"/>
        <v>東鐵田原:直納新断Ａ</v>
      </c>
    </row>
    <row r="4891" ht="15.75" customHeight="1">
      <c r="A4891" s="335" t="s">
        <v>6038</v>
      </c>
      <c r="B4891" s="336">
        <v>46112.0</v>
      </c>
      <c r="C4891" s="335" t="s">
        <v>536</v>
      </c>
      <c r="D4891" s="335" t="s">
        <v>77</v>
      </c>
      <c r="E4891" s="337" t="str">
        <f t="shared" si="1"/>
        <v>東鐵田原:直納</v>
      </c>
      <c r="F4891" s="338" t="s">
        <v>131</v>
      </c>
      <c r="G4891" s="339" t="str">
        <f t="shared" si="2"/>
        <v>東鐵田原:直納新断Ｂ</v>
      </c>
      <c r="H4891" s="340">
        <f t="shared" si="3"/>
        <v>55</v>
      </c>
      <c r="I4891" s="341">
        <v>3.5</v>
      </c>
      <c r="J4891" s="332">
        <f>IFERROR(__xludf.DUMMYFUNCTION("IF(IF(COUNTIF(P$2:P4890, P4891)=0, """", INDEX(H$2:H4890,
MAX(FILTER(ROW(H$2:H4890) - ROW(H$2) + 1, P$2:P4890 = P4891))))=""単価"","""",
IF(COUNTIF(P$2:P4890, P4891)=0, """", INDEX(H$2:H4890,
MAX(FILTER(ROW(H$2:H4890) - ROW(H$2) + 1, P$2:P4890 = P4891)))))"),51.5)</f>
        <v>51.5</v>
      </c>
      <c r="N4891" s="335" t="str">
        <f>IF(MAXIFS('単価履歴'!$O:$O,'単価履歴'!$E:$E,E4891,'単価履歴'!$F:$F,F4891)=O4891,"●","")</f>
        <v/>
      </c>
      <c r="O4891" s="346">
        <v>46112.2791087963</v>
      </c>
      <c r="P4891" s="334" t="str">
        <f t="shared" si="4"/>
        <v>東鐵田原:直納新断Ｂ</v>
      </c>
    </row>
    <row r="4892" ht="15.75" customHeight="1">
      <c r="A4892" s="335" t="s">
        <v>6039</v>
      </c>
      <c r="B4892" s="336">
        <v>46112.0</v>
      </c>
      <c r="C4892" s="335" t="s">
        <v>536</v>
      </c>
      <c r="D4892" s="335" t="s">
        <v>77</v>
      </c>
      <c r="E4892" s="337" t="str">
        <f t="shared" si="1"/>
        <v>東鐵田原:直納</v>
      </c>
      <c r="F4892" s="338" t="s">
        <v>116</v>
      </c>
      <c r="G4892" s="339" t="str">
        <f t="shared" si="2"/>
        <v>東鐵田原:直納Ｈ２(特級)</v>
      </c>
      <c r="H4892" s="340">
        <f t="shared" si="3"/>
        <v>50</v>
      </c>
      <c r="I4892" s="341">
        <v>1.0</v>
      </c>
      <c r="J4892" s="332">
        <f>IFERROR(__xludf.DUMMYFUNCTION("IF(IF(COUNTIF(P$2:P4891, P4892)=0, """", INDEX(H$2:H4891,
MAX(FILTER(ROW(H$2:H4891) - ROW(H$2) + 1, P$2:P4891 = P4892))))=""単価"","""",
IF(COUNTIF(P$2:P4891, P4892)=0, """", INDEX(H$2:H4891,
MAX(FILTER(ROW(H$2:H4891) - ROW(H$2) + 1, P$2:P4891 = P4892)))))"),49.0)</f>
        <v>49</v>
      </c>
      <c r="N4892" s="335" t="str">
        <f>IF(MAXIFS('単価履歴'!$O:$O,'単価履歴'!$E:$E,E4892,'単価履歴'!$F:$F,F4892)=O4892,"●","")</f>
        <v/>
      </c>
      <c r="O4892" s="346">
        <v>46112.27940972222</v>
      </c>
      <c r="P4892" s="334" t="str">
        <f t="shared" si="4"/>
        <v>東鐵田原:直納Ｈ２(特級)</v>
      </c>
    </row>
    <row r="4893" ht="15.75" customHeight="1">
      <c r="A4893" s="335" t="s">
        <v>6040</v>
      </c>
      <c r="B4893" s="336">
        <v>46112.0</v>
      </c>
      <c r="C4893" s="335" t="s">
        <v>536</v>
      </c>
      <c r="D4893" s="335" t="s">
        <v>77</v>
      </c>
      <c r="E4893" s="337" t="str">
        <f t="shared" si="1"/>
        <v>東鐵田原:直納</v>
      </c>
      <c r="F4893" s="338" t="s">
        <v>573</v>
      </c>
      <c r="G4893" s="339" t="str">
        <f t="shared" si="2"/>
        <v>東鐵田原:直納Ｌ２(H4･級外･L1ﾊﾞﾗ)</v>
      </c>
      <c r="H4893" s="340">
        <f t="shared" si="3"/>
        <v>45</v>
      </c>
      <c r="I4893" s="341">
        <v>1.0</v>
      </c>
      <c r="J4893" s="332">
        <f>IFERROR(__xludf.DUMMYFUNCTION("IF(IF(COUNTIF(P$2:P4892, P4893)=0, """", INDEX(H$2:H4892,
MAX(FILTER(ROW(H$2:H4892) - ROW(H$2) + 1, P$2:P4892 = P4893))))=""単価"","""",
IF(COUNTIF(P$2:P4892, P4893)=0, """", INDEX(H$2:H4892,
MAX(FILTER(ROW(H$2:H4892) - ROW(H$2) + 1, P$2:P4892 = P4893)))))"),44.0)</f>
        <v>44</v>
      </c>
      <c r="N4893" s="335" t="str">
        <f>IF(MAXIFS('単価履歴'!$O:$O,'単価履歴'!$E:$E,E4893,'単価履歴'!$F:$F,F4893)=O4893,"●","")</f>
        <v/>
      </c>
      <c r="O4893" s="346">
        <v>46112.27940972222</v>
      </c>
      <c r="P4893" s="334" t="str">
        <f t="shared" si="4"/>
        <v>東鐵田原:直納Ｌ２(H4･級外･L1ﾊﾞﾗ)</v>
      </c>
    </row>
    <row r="4894" ht="15.75" customHeight="1">
      <c r="A4894" s="335" t="s">
        <v>6041</v>
      </c>
      <c r="B4894" s="336">
        <v>46112.0</v>
      </c>
      <c r="C4894" s="335" t="s">
        <v>536</v>
      </c>
      <c r="D4894" s="335" t="s">
        <v>77</v>
      </c>
      <c r="E4894" s="337" t="str">
        <f t="shared" si="1"/>
        <v>東鐵田原:直納</v>
      </c>
      <c r="F4894" s="338" t="s">
        <v>575</v>
      </c>
      <c r="G4894" s="339" t="str">
        <f t="shared" si="2"/>
        <v>東鐵田原:直納鋼ダライＡ</v>
      </c>
      <c r="H4894" s="340">
        <f t="shared" si="3"/>
        <v>48.5</v>
      </c>
      <c r="I4894" s="341">
        <v>1.0</v>
      </c>
      <c r="J4894" s="332">
        <f>IFERROR(__xludf.DUMMYFUNCTION("IF(IF(COUNTIF(P$2:P4893, P4894)=0, """", INDEX(H$2:H4893,
MAX(FILTER(ROW(H$2:H4893) - ROW(H$2) + 1, P$2:P4893 = P4894))))=""単価"","""",
IF(COUNTIF(P$2:P4893, P4894)=0, """", INDEX(H$2:H4893,
MAX(FILTER(ROW(H$2:H4893) - ROW(H$2) + 1, P$2:P4893 = P4894)))))"),47.5)</f>
        <v>47.5</v>
      </c>
      <c r="N4894" s="335" t="str">
        <f>IF(MAXIFS('単価履歴'!$O:$O,'単価履歴'!$E:$E,E4894,'単価履歴'!$F:$F,F4894)=O4894,"●","")</f>
        <v/>
      </c>
      <c r="O4894" s="346">
        <v>46112.27940972222</v>
      </c>
      <c r="P4894" s="334" t="str">
        <f t="shared" si="4"/>
        <v>東鐵田原:直納鋼ダライＡ</v>
      </c>
    </row>
    <row r="4895" ht="15.75" customHeight="1">
      <c r="A4895" s="335" t="s">
        <v>6042</v>
      </c>
      <c r="B4895" s="336">
        <v>46112.0</v>
      </c>
      <c r="C4895" s="335" t="s">
        <v>536</v>
      </c>
      <c r="D4895" s="335" t="s">
        <v>77</v>
      </c>
      <c r="E4895" s="337" t="str">
        <f t="shared" si="1"/>
        <v>東鐵田原:直納</v>
      </c>
      <c r="F4895" s="338" t="s">
        <v>145</v>
      </c>
      <c r="G4895" s="339" t="str">
        <f t="shared" si="2"/>
        <v>東鐵田原:直納シュレＡ</v>
      </c>
      <c r="H4895" s="340">
        <f t="shared" si="3"/>
        <v>51</v>
      </c>
      <c r="I4895" s="341">
        <v>1.0</v>
      </c>
      <c r="J4895" s="332">
        <f>IFERROR(__xludf.DUMMYFUNCTION("IF(IF(COUNTIF(P$2:P4894, P4895)=0, """", INDEX(H$2:H4894,
MAX(FILTER(ROW(H$2:H4894) - ROW(H$2) + 1, P$2:P4894 = P4895))))=""単価"","""",
IF(COUNTIF(P$2:P4894, P4895)=0, """", INDEX(H$2:H4894,
MAX(FILTER(ROW(H$2:H4894) - ROW(H$2) + 1, P$2:P4894 = P4895)))))"),50.0)</f>
        <v>50</v>
      </c>
      <c r="N4895" s="335" t="str">
        <f>IF(MAXIFS('単価履歴'!$O:$O,'単価履歴'!$E:$E,E4895,'単価履歴'!$F:$F,F4895)=O4895,"●","")</f>
        <v/>
      </c>
      <c r="O4895" s="346">
        <v>46112.27940972222</v>
      </c>
      <c r="P4895" s="334" t="str">
        <f t="shared" si="4"/>
        <v>東鐵田原:直納シュレＡ</v>
      </c>
    </row>
    <row r="4896" ht="15.75" customHeight="1">
      <c r="A4896" s="335" t="s">
        <v>6043</v>
      </c>
      <c r="B4896" s="336">
        <v>46112.0</v>
      </c>
      <c r="C4896" s="335" t="s">
        <v>536</v>
      </c>
      <c r="D4896" s="335" t="s">
        <v>77</v>
      </c>
      <c r="E4896" s="337" t="str">
        <f t="shared" si="1"/>
        <v>東鐵田原:直納</v>
      </c>
      <c r="F4896" s="338" t="s">
        <v>151</v>
      </c>
      <c r="G4896" s="339" t="str">
        <f t="shared" si="2"/>
        <v>東鐵田原:直納シュレＣ</v>
      </c>
      <c r="H4896" s="340">
        <f t="shared" si="3"/>
        <v>50.5</v>
      </c>
      <c r="I4896" s="341">
        <v>1.0</v>
      </c>
      <c r="J4896" s="332">
        <f>IFERROR(__xludf.DUMMYFUNCTION("IF(IF(COUNTIF(P$2:P4895, P4896)=0, """", INDEX(H$2:H4895,
MAX(FILTER(ROW(H$2:H4895) - ROW(H$2) + 1, P$2:P4895 = P4896))))=""単価"","""",
IF(COUNTIF(P$2:P4895, P4896)=0, """", INDEX(H$2:H4895,
MAX(FILTER(ROW(H$2:H4895) - ROW(H$2) + 1, P$2:P4895 = P4896)))))"),49.5)</f>
        <v>49.5</v>
      </c>
      <c r="N4896" s="335" t="str">
        <f>IF(MAXIFS('単価履歴'!$O:$O,'単価履歴'!$E:$E,E4896,'単価履歴'!$F:$F,F4896)=O4896,"●","")</f>
        <v/>
      </c>
      <c r="O4896" s="346">
        <v>46112.27940972222</v>
      </c>
      <c r="P4896" s="334" t="str">
        <f t="shared" si="4"/>
        <v>東鐵田原:直納シュレＣ</v>
      </c>
    </row>
    <row r="4897" ht="15.75" customHeight="1">
      <c r="A4897" s="335" t="s">
        <v>6044</v>
      </c>
      <c r="B4897" s="336">
        <v>46112.0</v>
      </c>
      <c r="C4897" s="335" t="s">
        <v>536</v>
      </c>
      <c r="D4897" s="335" t="s">
        <v>77</v>
      </c>
      <c r="E4897" s="337" t="str">
        <f t="shared" si="1"/>
        <v>東鐵田原:直納</v>
      </c>
      <c r="F4897" s="338" t="s">
        <v>154</v>
      </c>
      <c r="G4897" s="339" t="str">
        <f t="shared" si="2"/>
        <v>東鐵田原:直納ＣＰ Ａ</v>
      </c>
      <c r="H4897" s="340">
        <f t="shared" si="3"/>
        <v>48.5</v>
      </c>
      <c r="I4897" s="341">
        <v>1.0</v>
      </c>
      <c r="J4897" s="332">
        <f>IFERROR(__xludf.DUMMYFUNCTION("IF(IF(COUNTIF(P$2:P4896, P4897)=0, """", INDEX(H$2:H4896,
MAX(FILTER(ROW(H$2:H4896) - ROW(H$2) + 1, P$2:P4896 = P4897))))=""単価"","""",
IF(COUNTIF(P$2:P4896, P4897)=0, """", INDEX(H$2:H4896,
MAX(FILTER(ROW(H$2:H4896) - ROW(H$2) + 1, P$2:P4896 = P4897)))))"),47.5)</f>
        <v>47.5</v>
      </c>
      <c r="N4897" s="335" t="str">
        <f>IF(MAXIFS('単価履歴'!$O:$O,'単価履歴'!$E:$E,E4897,'単価履歴'!$F:$F,F4897)=O4897,"●","")</f>
        <v/>
      </c>
      <c r="O4897" s="346">
        <v>46112.27940972222</v>
      </c>
      <c r="P4897" s="334" t="str">
        <f t="shared" si="4"/>
        <v>東鐵田原:直納ＣＰ Ａ</v>
      </c>
    </row>
    <row r="4898" ht="15.75" customHeight="1">
      <c r="A4898" s="335" t="s">
        <v>6045</v>
      </c>
      <c r="B4898" s="336">
        <v>46112.0</v>
      </c>
      <c r="C4898" s="335" t="s">
        <v>9</v>
      </c>
      <c r="D4898" s="335" t="s">
        <v>51</v>
      </c>
      <c r="E4898" s="337" t="str">
        <f t="shared" si="1"/>
        <v>大鉄　堺:大鉄堺</v>
      </c>
      <c r="F4898" s="338" t="s">
        <v>111</v>
      </c>
      <c r="G4898" s="339" t="str">
        <f t="shared" si="2"/>
        <v>大鉄　堺:大鉄堺Ｈ１(特A)</v>
      </c>
      <c r="H4898" s="340">
        <f t="shared" si="3"/>
        <v>51.5</v>
      </c>
      <c r="I4898" s="341">
        <v>1.0</v>
      </c>
      <c r="J4898" s="332">
        <f>IFERROR(__xludf.DUMMYFUNCTION("IF(IF(COUNTIF(P$2:P4897, P4898)=0, """", INDEX(H$2:H4897,
MAX(FILTER(ROW(H$2:H4897) - ROW(H$2) + 1, P$2:P4897 = P4898))))=""単価"","""",
IF(COUNTIF(P$2:P4897, P4898)=0, """", INDEX(H$2:H4897,
MAX(FILTER(ROW(H$2:H4897) - ROW(H$2) + 1, P$2:P4897 = P4898)))))"),50.5)</f>
        <v>50.5</v>
      </c>
      <c r="N4898" s="335" t="str">
        <f>IF(MAXIFS('単価履歴'!$O:$O,'単価履歴'!$E:$E,E4898,'単価履歴'!$F:$F,F4898)=O4898,"●","")</f>
        <v/>
      </c>
      <c r="O4898" s="346">
        <v>46112.280277777776</v>
      </c>
      <c r="P4898" s="334" t="str">
        <f t="shared" si="4"/>
        <v>大鉄　堺:大鉄堺Ｈ１(特A)</v>
      </c>
    </row>
    <row r="4899" ht="15.75" customHeight="1">
      <c r="A4899" s="335" t="s">
        <v>6046</v>
      </c>
      <c r="B4899" s="336">
        <v>46112.0</v>
      </c>
      <c r="C4899" s="335" t="s">
        <v>9</v>
      </c>
      <c r="D4899" s="335" t="s">
        <v>51</v>
      </c>
      <c r="E4899" s="337" t="str">
        <f t="shared" si="1"/>
        <v>大鉄　堺:大鉄堺</v>
      </c>
      <c r="F4899" s="338" t="s">
        <v>116</v>
      </c>
      <c r="G4899" s="339" t="str">
        <f t="shared" si="2"/>
        <v>大鉄　堺:大鉄堺Ｈ２(特級)</v>
      </c>
      <c r="H4899" s="340">
        <f t="shared" si="3"/>
        <v>48.5</v>
      </c>
      <c r="I4899" s="341">
        <v>1.0</v>
      </c>
      <c r="J4899" s="332">
        <f>IFERROR(__xludf.DUMMYFUNCTION("IF(IF(COUNTIF(P$2:P4898, P4899)=0, """", INDEX(H$2:H4898,
MAX(FILTER(ROW(H$2:H4898) - ROW(H$2) + 1, P$2:P4898 = P4899))))=""単価"","""",
IF(COUNTIF(P$2:P4898, P4899)=0, """", INDEX(H$2:H4898,
MAX(FILTER(ROW(H$2:H4898) - ROW(H$2) + 1, P$2:P4898 = P4899)))))"),47.5)</f>
        <v>47.5</v>
      </c>
      <c r="N4899" s="335" t="str">
        <f>IF(MAXIFS('単価履歴'!$O:$O,'単価履歴'!$E:$E,E4899,'単価履歴'!$F:$F,F4899)=O4899,"●","")</f>
        <v/>
      </c>
      <c r="O4899" s="346">
        <v>46112.280277777776</v>
      </c>
      <c r="P4899" s="334" t="str">
        <f t="shared" si="4"/>
        <v>大鉄　堺:大鉄堺Ｈ２(特級)</v>
      </c>
    </row>
    <row r="4900" ht="15.75" customHeight="1">
      <c r="A4900" s="335" t="s">
        <v>6047</v>
      </c>
      <c r="B4900" s="336">
        <v>46112.0</v>
      </c>
      <c r="C4900" s="335" t="s">
        <v>9</v>
      </c>
      <c r="D4900" s="335" t="s">
        <v>51</v>
      </c>
      <c r="E4900" s="337" t="str">
        <f t="shared" si="1"/>
        <v>大鉄　堺:大鉄堺</v>
      </c>
      <c r="F4900" s="338" t="s">
        <v>1237</v>
      </c>
      <c r="G4900" s="339" t="str">
        <f t="shared" si="2"/>
        <v>大鉄　堺:大鉄堺ＪＨ１(H2T山口)鍛造ﾊﾞﾘ</v>
      </c>
      <c r="H4900" s="340">
        <f t="shared" si="3"/>
        <v>50.5</v>
      </c>
      <c r="I4900" s="341">
        <v>1.0</v>
      </c>
      <c r="J4900" s="332">
        <f>IFERROR(__xludf.DUMMYFUNCTION("IF(IF(COUNTIF(P$2:P4899, P4900)=0, """", INDEX(H$2:H4899,
MAX(FILTER(ROW(H$2:H4899) - ROW(H$2) + 1, P$2:P4899 = P4900))))=""単価"","""",
IF(COUNTIF(P$2:P4899, P4900)=0, """", INDEX(H$2:H4899,
MAX(FILTER(ROW(H$2:H4899) - ROW(H$2) + 1, P$2:P4899 = P4900)))))"),49.5)</f>
        <v>49.5</v>
      </c>
      <c r="N4900" s="335" t="str">
        <f>IF(MAXIFS('単価履歴'!$O:$O,'単価履歴'!$E:$E,E4900,'単価履歴'!$F:$F,F4900)=O4900,"●","")</f>
        <v/>
      </c>
      <c r="O4900" s="346">
        <v>46112.280277777776</v>
      </c>
      <c r="P4900" s="334" t="str">
        <f t="shared" si="4"/>
        <v>大鉄　堺:大鉄堺ＪＨ１(H2T山口)鍛造ﾊﾞﾘ</v>
      </c>
    </row>
    <row r="4901" ht="15.75" customHeight="1">
      <c r="A4901" s="335" t="s">
        <v>6048</v>
      </c>
      <c r="B4901" s="336">
        <v>46112.0</v>
      </c>
      <c r="C4901" s="335" t="s">
        <v>9</v>
      </c>
      <c r="D4901" s="335" t="s">
        <v>51</v>
      </c>
      <c r="E4901" s="337" t="str">
        <f t="shared" si="1"/>
        <v>大鉄　堺:大鉄堺</v>
      </c>
      <c r="F4901" s="338" t="s">
        <v>119</v>
      </c>
      <c r="G4901" s="339" t="str">
        <f t="shared" si="2"/>
        <v>大鉄　堺:大鉄堺Ｈ３(1級)</v>
      </c>
      <c r="H4901" s="340">
        <f t="shared" si="3"/>
        <v>48</v>
      </c>
      <c r="I4901" s="341">
        <v>1.0</v>
      </c>
      <c r="J4901" s="332">
        <f>IFERROR(__xludf.DUMMYFUNCTION("IF(IF(COUNTIF(P$2:P4900, P4901)=0, """", INDEX(H$2:H4900,
MAX(FILTER(ROW(H$2:H4900) - ROW(H$2) + 1, P$2:P4900 = P4901))))=""単価"","""",
IF(COUNTIF(P$2:P4900, P4901)=0, """", INDEX(H$2:H4900,
MAX(FILTER(ROW(H$2:H4900) - ROW(H$2) + 1, P$2:P4900 = P4901)))))"),47.0)</f>
        <v>47</v>
      </c>
      <c r="N4901" s="335" t="str">
        <f>IF(MAXIFS('単価履歴'!$O:$O,'単価履歴'!$E:$E,E4901,'単価履歴'!$F:$F,F4901)=O4901,"●","")</f>
        <v/>
      </c>
      <c r="O4901" s="346">
        <v>46112.280277777776</v>
      </c>
      <c r="P4901" s="334" t="str">
        <f t="shared" si="4"/>
        <v>大鉄　堺:大鉄堺Ｈ３(1級)</v>
      </c>
    </row>
    <row r="4902" ht="15.75" customHeight="1">
      <c r="A4902" s="335" t="s">
        <v>6049</v>
      </c>
      <c r="B4902" s="336">
        <v>46112.0</v>
      </c>
      <c r="C4902" s="335" t="s">
        <v>9</v>
      </c>
      <c r="D4902" s="335" t="s">
        <v>51</v>
      </c>
      <c r="E4902" s="337" t="str">
        <f t="shared" si="1"/>
        <v>大鉄　堺:大鉄堺</v>
      </c>
      <c r="F4902" s="338" t="s">
        <v>122</v>
      </c>
      <c r="G4902" s="339" t="str">
        <f t="shared" si="2"/>
        <v>大鉄　堺:大鉄堺Ｌ１(2級)</v>
      </c>
      <c r="H4902" s="340">
        <f t="shared" si="3"/>
        <v>47.5</v>
      </c>
      <c r="I4902" s="341">
        <v>1.0</v>
      </c>
      <c r="J4902" s="332">
        <f>IFERROR(__xludf.DUMMYFUNCTION("IF(IF(COUNTIF(P$2:P4901, P4902)=0, """", INDEX(H$2:H4901,
MAX(FILTER(ROW(H$2:H4901) - ROW(H$2) + 1, P$2:P4901 = P4902))))=""単価"","""",
IF(COUNTIF(P$2:P4901, P4902)=0, """", INDEX(H$2:H4901,
MAX(FILTER(ROW(H$2:H4901) - ROW(H$2) + 1, P$2:P4901 = P4902)))))"),46.5)</f>
        <v>46.5</v>
      </c>
      <c r="N4902" s="335" t="str">
        <f>IF(MAXIFS('単価履歴'!$O:$O,'単価履歴'!$E:$E,E4902,'単価履歴'!$F:$F,F4902)=O4902,"●","")</f>
        <v/>
      </c>
      <c r="O4902" s="346">
        <v>46112.280277777776</v>
      </c>
      <c r="P4902" s="334" t="str">
        <f t="shared" si="4"/>
        <v>大鉄　堺:大鉄堺Ｌ１(2級)</v>
      </c>
    </row>
    <row r="4903" ht="15.75" customHeight="1">
      <c r="A4903" s="335" t="s">
        <v>6050</v>
      </c>
      <c r="B4903" s="336">
        <v>46112.0</v>
      </c>
      <c r="C4903" s="335" t="s">
        <v>9</v>
      </c>
      <c r="D4903" s="335" t="s">
        <v>51</v>
      </c>
      <c r="E4903" s="337" t="str">
        <f t="shared" si="1"/>
        <v>大鉄　堺:大鉄堺</v>
      </c>
      <c r="F4903" s="338" t="s">
        <v>130</v>
      </c>
      <c r="G4903" s="339" t="str">
        <f t="shared" si="2"/>
        <v>大鉄　堺:大鉄堺新断Ａ</v>
      </c>
      <c r="H4903" s="340">
        <f t="shared" si="3"/>
        <v>35</v>
      </c>
      <c r="I4903" s="341">
        <v>1.0</v>
      </c>
      <c r="J4903" s="332">
        <f>IFERROR(__xludf.DUMMYFUNCTION("IF(IF(COUNTIF(P$2:P4902, P4903)=0, """", INDEX(H$2:H4902,
MAX(FILTER(ROW(H$2:H4902) - ROW(H$2) + 1, P$2:P4902 = P4903))))=""単価"","""",
IF(COUNTIF(P$2:P4902, P4903)=0, """", INDEX(H$2:H4902,
MAX(FILTER(ROW(H$2:H4902) - ROW(H$2) + 1, P$2:P4902 = P4903)))))"),34.0)</f>
        <v>34</v>
      </c>
      <c r="N4903" s="335" t="str">
        <f>IF(MAXIFS('単価履歴'!$O:$O,'単価履歴'!$E:$E,E4903,'単価履歴'!$F:$F,F4903)=O4903,"●","")</f>
        <v/>
      </c>
      <c r="O4903" s="346">
        <v>46112.280277777776</v>
      </c>
      <c r="P4903" s="334" t="str">
        <f t="shared" si="4"/>
        <v>大鉄　堺:大鉄堺新断Ａ</v>
      </c>
    </row>
    <row r="4904" ht="15.75" customHeight="1">
      <c r="A4904" s="335" t="s">
        <v>6051</v>
      </c>
      <c r="B4904" s="336">
        <v>46112.0</v>
      </c>
      <c r="C4904" s="335" t="s">
        <v>9</v>
      </c>
      <c r="D4904" s="335" t="s">
        <v>51</v>
      </c>
      <c r="E4904" s="337" t="str">
        <f t="shared" si="1"/>
        <v>大鉄　堺:大鉄堺</v>
      </c>
      <c r="F4904" s="338" t="s">
        <v>131</v>
      </c>
      <c r="G4904" s="339" t="str">
        <f t="shared" si="2"/>
        <v>大鉄　堺:大鉄堺新断Ｂ</v>
      </c>
      <c r="H4904" s="340">
        <f t="shared" si="3"/>
        <v>34.5</v>
      </c>
      <c r="I4904" s="341">
        <v>1.0</v>
      </c>
      <c r="J4904" s="332">
        <f>IFERROR(__xludf.DUMMYFUNCTION("IF(IF(COUNTIF(P$2:P4903, P4904)=0, """", INDEX(H$2:H4903,
MAX(FILTER(ROW(H$2:H4903) - ROW(H$2) + 1, P$2:P4903 = P4904))))=""単価"","""",
IF(COUNTIF(P$2:P4903, P4904)=0, """", INDEX(H$2:H4903,
MAX(FILTER(ROW(H$2:H4903) - ROW(H$2) + 1, P$2:P4903 = P4904)))))"),33.5)</f>
        <v>33.5</v>
      </c>
      <c r="N4904" s="335" t="str">
        <f>IF(MAXIFS('単価履歴'!$O:$O,'単価履歴'!$E:$E,E4904,'単価履歴'!$F:$F,F4904)=O4904,"●","")</f>
        <v/>
      </c>
      <c r="O4904" s="346">
        <v>46112.280277777776</v>
      </c>
      <c r="P4904" s="334" t="str">
        <f t="shared" si="4"/>
        <v>大鉄　堺:大鉄堺新断Ｂ</v>
      </c>
    </row>
    <row r="4905" ht="15.75" customHeight="1">
      <c r="A4905" s="335" t="s">
        <v>6052</v>
      </c>
      <c r="B4905" s="336">
        <v>46112.0</v>
      </c>
      <c r="C4905" s="335" t="s">
        <v>9</v>
      </c>
      <c r="D4905" s="335" t="s">
        <v>51</v>
      </c>
      <c r="E4905" s="337" t="str">
        <f t="shared" si="1"/>
        <v>大鉄　堺:大鉄堺</v>
      </c>
      <c r="F4905" s="338" t="s">
        <v>575</v>
      </c>
      <c r="G4905" s="339" t="str">
        <f t="shared" si="2"/>
        <v>大鉄　堺:大鉄堺鋼ダライＡ</v>
      </c>
      <c r="H4905" s="340">
        <f t="shared" si="3"/>
        <v>34.5</v>
      </c>
      <c r="I4905" s="341">
        <v>1.0</v>
      </c>
      <c r="J4905" s="332">
        <f>IFERROR(__xludf.DUMMYFUNCTION("IF(IF(COUNTIF(P$2:P4904, P4905)=0, """", INDEX(H$2:H4904,
MAX(FILTER(ROW(H$2:H4904) - ROW(H$2) + 1, P$2:P4904 = P4905))))=""単価"","""",
IF(COUNTIF(P$2:P4904, P4905)=0, """", INDEX(H$2:H4904,
MAX(FILTER(ROW(H$2:H4904) - ROW(H$2) + 1, P$2:P4904 = P4905)))))"),33.5)</f>
        <v>33.5</v>
      </c>
      <c r="N4905" s="335" t="str">
        <f>IF(MAXIFS('単価履歴'!$O:$O,'単価履歴'!$E:$E,E4905,'単価履歴'!$F:$F,F4905)=O4905,"●","")</f>
        <v/>
      </c>
      <c r="O4905" s="346">
        <v>46112.280277777776</v>
      </c>
      <c r="P4905" s="334" t="str">
        <f t="shared" si="4"/>
        <v>大鉄　堺:大鉄堺鋼ダライＡ</v>
      </c>
    </row>
    <row r="4906" ht="15.75" customHeight="1">
      <c r="A4906" s="335" t="s">
        <v>6053</v>
      </c>
      <c r="B4906" s="336">
        <v>46112.0</v>
      </c>
      <c r="C4906" s="335" t="s">
        <v>9</v>
      </c>
      <c r="D4906" s="335" t="s">
        <v>51</v>
      </c>
      <c r="E4906" s="337" t="str">
        <f t="shared" si="1"/>
        <v>大鉄　堺:大鉄堺</v>
      </c>
      <c r="F4906" s="338" t="s">
        <v>576</v>
      </c>
      <c r="G4906" s="339" t="str">
        <f t="shared" si="2"/>
        <v>大鉄　堺:大鉄堺鋼ダライＢ</v>
      </c>
      <c r="H4906" s="340">
        <f t="shared" si="3"/>
        <v>34.5</v>
      </c>
      <c r="I4906" s="341">
        <v>1.0</v>
      </c>
      <c r="J4906" s="332">
        <f>IFERROR(__xludf.DUMMYFUNCTION("IF(IF(COUNTIF(P$2:P4905, P4906)=0, """", INDEX(H$2:H4905,
MAX(FILTER(ROW(H$2:H4905) - ROW(H$2) + 1, P$2:P4905 = P4906))))=""単価"","""",
IF(COUNTIF(P$2:P4905, P4906)=0, """", INDEX(H$2:H4905,
MAX(FILTER(ROW(H$2:H4905) - ROW(H$2) + 1, P$2:P4905 = P4906)))))"),33.5)</f>
        <v>33.5</v>
      </c>
      <c r="N4906" s="335" t="str">
        <f>IF(MAXIFS('単価履歴'!$O:$O,'単価履歴'!$E:$E,E4906,'単価履歴'!$F:$F,F4906)=O4906,"●","")</f>
        <v/>
      </c>
      <c r="O4906" s="346">
        <v>46112.280277777776</v>
      </c>
      <c r="P4906" s="334" t="str">
        <f t="shared" si="4"/>
        <v>大鉄　堺:大鉄堺鋼ダライＢ</v>
      </c>
    </row>
    <row r="4907" ht="15.75" customHeight="1">
      <c r="A4907" s="335" t="s">
        <v>6054</v>
      </c>
      <c r="B4907" s="336">
        <v>46112.0</v>
      </c>
      <c r="C4907" s="335" t="s">
        <v>9</v>
      </c>
      <c r="D4907" s="335" t="s">
        <v>51</v>
      </c>
      <c r="E4907" s="337" t="str">
        <f t="shared" si="1"/>
        <v>大鉄　堺:大鉄堺</v>
      </c>
      <c r="F4907" s="338" t="s">
        <v>145</v>
      </c>
      <c r="G4907" s="339" t="str">
        <f t="shared" si="2"/>
        <v>大鉄　堺:大鉄堺シュレＡ</v>
      </c>
      <c r="H4907" s="340">
        <f t="shared" si="3"/>
        <v>37.5</v>
      </c>
      <c r="I4907" s="341">
        <v>1.0</v>
      </c>
      <c r="J4907" s="332">
        <f>IFERROR(__xludf.DUMMYFUNCTION("IF(IF(COUNTIF(P$2:P4906, P4907)=0, """", INDEX(H$2:H4906,
MAX(FILTER(ROW(H$2:H4906) - ROW(H$2) + 1, P$2:P4906 = P4907))))=""単価"","""",
IF(COUNTIF(P$2:P4906, P4907)=0, """", INDEX(H$2:H4906,
MAX(FILTER(ROW(H$2:H4906) - ROW(H$2) + 1, P$2:P4906 = P4907)))))"),36.5)</f>
        <v>36.5</v>
      </c>
      <c r="N4907" s="335" t="str">
        <f>IF(MAXIFS('単価履歴'!$O:$O,'単価履歴'!$E:$E,E4907,'単価履歴'!$F:$F,F4907)=O4907,"●","")</f>
        <v/>
      </c>
      <c r="O4907" s="346">
        <v>46112.280277777776</v>
      </c>
      <c r="P4907" s="334" t="str">
        <f t="shared" si="4"/>
        <v>大鉄　堺:大鉄堺シュレＡ</v>
      </c>
    </row>
    <row r="4908" ht="15.75" customHeight="1">
      <c r="A4908" s="335" t="s">
        <v>6055</v>
      </c>
      <c r="B4908" s="336">
        <v>46112.0</v>
      </c>
      <c r="C4908" s="335" t="s">
        <v>9</v>
      </c>
      <c r="D4908" s="335" t="s">
        <v>51</v>
      </c>
      <c r="E4908" s="337" t="str">
        <f t="shared" si="1"/>
        <v>大鉄　堺:大鉄堺</v>
      </c>
      <c r="F4908" s="338" t="s">
        <v>149</v>
      </c>
      <c r="G4908" s="339" t="str">
        <f t="shared" si="2"/>
        <v>大鉄　堺:大鉄堺シュレＢ</v>
      </c>
      <c r="H4908" s="340">
        <f t="shared" si="3"/>
        <v>36.8</v>
      </c>
      <c r="I4908" s="341">
        <v>1.0</v>
      </c>
      <c r="J4908" s="332">
        <f>IFERROR(__xludf.DUMMYFUNCTION("IF(IF(COUNTIF(P$2:P4907, P4908)=0, """", INDEX(H$2:H4907,
MAX(FILTER(ROW(H$2:H4907) - ROW(H$2) + 1, P$2:P4907 = P4908))))=""単価"","""",
IF(COUNTIF(P$2:P4907, P4908)=0, """", INDEX(H$2:H4907,
MAX(FILTER(ROW(H$2:H4907) - ROW(H$2) + 1, P$2:P4907 = P4908)))))"),35.8)</f>
        <v>35.8</v>
      </c>
      <c r="N4908" s="335" t="str">
        <f>IF(MAXIFS('単価履歴'!$O:$O,'単価履歴'!$E:$E,E4908,'単価履歴'!$F:$F,F4908)=O4908,"●","")</f>
        <v/>
      </c>
      <c r="O4908" s="346">
        <v>46112.280277777776</v>
      </c>
      <c r="P4908" s="334" t="str">
        <f t="shared" si="4"/>
        <v>大鉄　堺:大鉄堺シュレＢ</v>
      </c>
    </row>
    <row r="4909" ht="15.75" customHeight="1">
      <c r="A4909" s="335" t="s">
        <v>6056</v>
      </c>
      <c r="B4909" s="336">
        <v>46112.0</v>
      </c>
      <c r="C4909" s="335" t="s">
        <v>9</v>
      </c>
      <c r="D4909" s="335" t="s">
        <v>51</v>
      </c>
      <c r="E4909" s="337" t="str">
        <f t="shared" si="1"/>
        <v>大鉄　堺:大鉄堺</v>
      </c>
      <c r="F4909" s="338" t="s">
        <v>151</v>
      </c>
      <c r="G4909" s="339" t="str">
        <f t="shared" si="2"/>
        <v>大鉄　堺:大鉄堺シュレＣ</v>
      </c>
      <c r="H4909" s="340">
        <f t="shared" si="3"/>
        <v>35.4</v>
      </c>
      <c r="I4909" s="341">
        <v>1.0</v>
      </c>
      <c r="J4909" s="332">
        <f>IFERROR(__xludf.DUMMYFUNCTION("IF(IF(COUNTIF(P$2:P4908, P4909)=0, """", INDEX(H$2:H4908,
MAX(FILTER(ROW(H$2:H4908) - ROW(H$2) + 1, P$2:P4908 = P4909))))=""単価"","""",
IF(COUNTIF(P$2:P4908, P4909)=0, """", INDEX(H$2:H4908,
MAX(FILTER(ROW(H$2:H4908) - ROW(H$2) + 1, P$2:P4908 = P4909)))))"),34.4)</f>
        <v>34.4</v>
      </c>
      <c r="N4909" s="335" t="str">
        <f>IF(MAXIFS('単価履歴'!$O:$O,'単価履歴'!$E:$E,E4909,'単価履歴'!$F:$F,F4909)=O4909,"●","")</f>
        <v/>
      </c>
      <c r="O4909" s="346">
        <v>46112.280277777776</v>
      </c>
      <c r="P4909" s="334" t="str">
        <f t="shared" si="4"/>
        <v>大鉄　堺:大鉄堺シュレＣ</v>
      </c>
    </row>
    <row r="4910" ht="15.75" customHeight="1">
      <c r="A4910" s="335" t="s">
        <v>6057</v>
      </c>
      <c r="B4910" s="336">
        <v>46112.0</v>
      </c>
      <c r="C4910" s="335" t="s">
        <v>9</v>
      </c>
      <c r="D4910" s="335" t="s">
        <v>51</v>
      </c>
      <c r="E4910" s="337" t="str">
        <f t="shared" si="1"/>
        <v>大鉄　堺:大鉄堺</v>
      </c>
      <c r="F4910" s="338" t="s">
        <v>154</v>
      </c>
      <c r="G4910" s="339" t="str">
        <f t="shared" si="2"/>
        <v>大鉄　堺:大鉄堺ＣＰ Ａ</v>
      </c>
      <c r="H4910" s="340">
        <f t="shared" si="3"/>
        <v>43</v>
      </c>
      <c r="I4910" s="341">
        <v>1.0</v>
      </c>
      <c r="J4910" s="332">
        <f>IFERROR(__xludf.DUMMYFUNCTION("IF(IF(COUNTIF(P$2:P4909, P4910)=0, """", INDEX(H$2:H4909,
MAX(FILTER(ROW(H$2:H4909) - ROW(H$2) + 1, P$2:P4909 = P4910))))=""単価"","""",
IF(COUNTIF(P$2:P4909, P4910)=0, """", INDEX(H$2:H4909,
MAX(FILTER(ROW(H$2:H4909) - ROW(H$2) + 1, P$2:P4909 = P4910)))))"),42.0)</f>
        <v>42</v>
      </c>
      <c r="N4910" s="335" t="str">
        <f>IF(MAXIFS('単価履歴'!$O:$O,'単価履歴'!$E:$E,E4910,'単価履歴'!$F:$F,F4910)=O4910,"●","")</f>
        <v/>
      </c>
      <c r="O4910" s="346">
        <v>46112.280277777776</v>
      </c>
      <c r="P4910" s="334" t="str">
        <f t="shared" si="4"/>
        <v>大鉄　堺:大鉄堺ＣＰ Ａ</v>
      </c>
    </row>
    <row r="4911" ht="15.75" customHeight="1">
      <c r="A4911" s="335" t="s">
        <v>6058</v>
      </c>
      <c r="B4911" s="336">
        <v>46112.0</v>
      </c>
      <c r="C4911" s="335" t="s">
        <v>9</v>
      </c>
      <c r="D4911" s="335" t="s">
        <v>51</v>
      </c>
      <c r="E4911" s="337" t="str">
        <f t="shared" si="1"/>
        <v>大鉄　堺:大鉄堺</v>
      </c>
      <c r="F4911" s="338" t="s">
        <v>156</v>
      </c>
      <c r="G4911" s="339" t="str">
        <f t="shared" si="2"/>
        <v>大鉄　堺:大鉄堺ＣＰ Ｂ一斗缶</v>
      </c>
      <c r="H4911" s="340">
        <f t="shared" si="3"/>
        <v>36.5</v>
      </c>
      <c r="I4911" s="341">
        <v>1.0</v>
      </c>
      <c r="J4911" s="332">
        <f>IFERROR(__xludf.DUMMYFUNCTION("IF(IF(COUNTIF(P$2:P4910, P4911)=0, """", INDEX(H$2:H4910,
MAX(FILTER(ROW(H$2:H4910) - ROW(H$2) + 1, P$2:P4910 = P4911))))=""単価"","""",
IF(COUNTIF(P$2:P4910, P4911)=0, """", INDEX(H$2:H4910,
MAX(FILTER(ROW(H$2:H4910) - ROW(H$2) + 1, P$2:P4910 = P4911)))))"),35.5)</f>
        <v>35.5</v>
      </c>
      <c r="N4911" s="335" t="str">
        <f>IF(MAXIFS('単価履歴'!$O:$O,'単価履歴'!$E:$E,E4911,'単価履歴'!$F:$F,F4911)=O4911,"●","")</f>
        <v/>
      </c>
      <c r="O4911" s="346">
        <v>46112.280277777776</v>
      </c>
      <c r="P4911" s="334" t="str">
        <f t="shared" si="4"/>
        <v>大鉄　堺:大鉄堺ＣＰ Ｂ一斗缶</v>
      </c>
    </row>
    <row r="4912" ht="15.75" customHeight="1">
      <c r="A4912" s="335" t="s">
        <v>6059</v>
      </c>
      <c r="B4912" s="336">
        <v>46112.0</v>
      </c>
      <c r="C4912" s="335" t="s">
        <v>9</v>
      </c>
      <c r="D4912" s="335" t="s">
        <v>47</v>
      </c>
      <c r="E4912" s="337" t="str">
        <f t="shared" si="1"/>
        <v>大鉄　堺:豊通</v>
      </c>
      <c r="F4912" s="338" t="s">
        <v>111</v>
      </c>
      <c r="G4912" s="339" t="str">
        <f t="shared" si="2"/>
        <v>大鉄　堺:豊通Ｈ１(特A)</v>
      </c>
      <c r="H4912" s="340">
        <f t="shared" si="3"/>
        <v>36.4</v>
      </c>
      <c r="I4912" s="341">
        <v>1.0</v>
      </c>
      <c r="J4912" s="332">
        <f>IFERROR(__xludf.DUMMYFUNCTION("IF(IF(COUNTIF(P$2:P4911, P4912)=0, """", INDEX(H$2:H4911,
MAX(FILTER(ROW(H$2:H4911) - ROW(H$2) + 1, P$2:P4911 = P4912))))=""単価"","""",
IF(COUNTIF(P$2:P4911, P4912)=0, """", INDEX(H$2:H4911,
MAX(FILTER(ROW(H$2:H4911) - ROW(H$2) + 1, P$2:P4911 = P4912)))))"),35.4)</f>
        <v>35.4</v>
      </c>
      <c r="N4912" s="335" t="str">
        <f>IF(MAXIFS('単価履歴'!$O:$O,'単価履歴'!$E:$E,E4912,'単価履歴'!$F:$F,F4912)=O4912,"●","")</f>
        <v/>
      </c>
      <c r="O4912" s="346">
        <v>46112.28052083333</v>
      </c>
      <c r="P4912" s="334" t="str">
        <f t="shared" si="4"/>
        <v>大鉄　堺:豊通Ｈ１(特A)</v>
      </c>
    </row>
    <row r="4913" ht="15.75" customHeight="1">
      <c r="A4913" s="335" t="s">
        <v>6060</v>
      </c>
      <c r="B4913" s="336">
        <v>46112.0</v>
      </c>
      <c r="C4913" s="335" t="s">
        <v>9</v>
      </c>
      <c r="D4913" s="335" t="s">
        <v>47</v>
      </c>
      <c r="E4913" s="337" t="str">
        <f t="shared" si="1"/>
        <v>大鉄　堺:豊通</v>
      </c>
      <c r="F4913" s="338" t="s">
        <v>1237</v>
      </c>
      <c r="G4913" s="339" t="str">
        <f t="shared" si="2"/>
        <v>大鉄　堺:豊通ＪＨ１(H2T山口)鍛造ﾊﾞﾘ</v>
      </c>
      <c r="H4913" s="340">
        <f t="shared" si="3"/>
        <v>35.4</v>
      </c>
      <c r="I4913" s="341">
        <v>1.0</v>
      </c>
      <c r="J4913" s="332">
        <f>IFERROR(__xludf.DUMMYFUNCTION("IF(IF(COUNTIF(P$2:P4912, P4913)=0, """", INDEX(H$2:H4912,
MAX(FILTER(ROW(H$2:H4912) - ROW(H$2) + 1, P$2:P4912 = P4913))))=""単価"","""",
IF(COUNTIF(P$2:P4912, P4913)=0, """", INDEX(H$2:H4912,
MAX(FILTER(ROW(H$2:H4912) - ROW(H$2) + 1, P$2:P4912 = P4913)))))"),34.4)</f>
        <v>34.4</v>
      </c>
      <c r="N4913" s="335" t="str">
        <f>IF(MAXIFS('単価履歴'!$O:$O,'単価履歴'!$E:$E,E4913,'単価履歴'!$F:$F,F4913)=O4913,"●","")</f>
        <v/>
      </c>
      <c r="O4913" s="346">
        <v>46112.28052083333</v>
      </c>
      <c r="P4913" s="334" t="str">
        <f t="shared" si="4"/>
        <v>大鉄　堺:豊通ＪＨ１(H2T山口)鍛造ﾊﾞﾘ</v>
      </c>
    </row>
    <row r="4914" ht="15.75" customHeight="1">
      <c r="A4914" s="335" t="s">
        <v>6061</v>
      </c>
      <c r="B4914" s="336">
        <v>46112.0</v>
      </c>
      <c r="C4914" s="335" t="s">
        <v>9</v>
      </c>
      <c r="D4914" s="335" t="s">
        <v>47</v>
      </c>
      <c r="E4914" s="337" t="str">
        <f t="shared" si="1"/>
        <v>大鉄　堺:豊通</v>
      </c>
      <c r="F4914" s="338" t="s">
        <v>116</v>
      </c>
      <c r="G4914" s="339" t="str">
        <f t="shared" si="2"/>
        <v>大鉄　堺:豊通Ｈ２(特級)</v>
      </c>
      <c r="H4914" s="340">
        <f t="shared" si="3"/>
        <v>32.2</v>
      </c>
      <c r="I4914" s="341">
        <v>1.0</v>
      </c>
      <c r="J4914" s="332">
        <f>IFERROR(__xludf.DUMMYFUNCTION("IF(IF(COUNTIF(P$2:P4913, P4914)=0, """", INDEX(H$2:H4913,
MAX(FILTER(ROW(H$2:H4913) - ROW(H$2) + 1, P$2:P4913 = P4914))))=""単価"","""",
IF(COUNTIF(P$2:P4913, P4914)=0, """", INDEX(H$2:H4913,
MAX(FILTER(ROW(H$2:H4913) - ROW(H$2) + 1, P$2:P4913 = P4914)))))"),31.2)</f>
        <v>31.2</v>
      </c>
      <c r="N4914" s="335" t="str">
        <f>IF(MAXIFS('単価履歴'!$O:$O,'単価履歴'!$E:$E,E4914,'単価履歴'!$F:$F,F4914)=O4914,"●","")</f>
        <v/>
      </c>
      <c r="O4914" s="346">
        <v>46112.28052083333</v>
      </c>
      <c r="P4914" s="334" t="str">
        <f t="shared" si="4"/>
        <v>大鉄　堺:豊通Ｈ２(特級)</v>
      </c>
    </row>
    <row r="4915" ht="15.75" customHeight="1">
      <c r="A4915" s="335" t="s">
        <v>6062</v>
      </c>
      <c r="B4915" s="336">
        <v>46112.0</v>
      </c>
      <c r="C4915" s="335" t="s">
        <v>9</v>
      </c>
      <c r="D4915" s="335" t="s">
        <v>47</v>
      </c>
      <c r="E4915" s="337" t="str">
        <f t="shared" si="1"/>
        <v>大鉄　堺:豊通</v>
      </c>
      <c r="F4915" s="338" t="s">
        <v>119</v>
      </c>
      <c r="G4915" s="339" t="str">
        <f t="shared" si="2"/>
        <v>大鉄　堺:豊通Ｈ３(1級)</v>
      </c>
      <c r="H4915" s="340">
        <f t="shared" si="3"/>
        <v>31.2</v>
      </c>
      <c r="I4915" s="341">
        <v>1.0</v>
      </c>
      <c r="J4915" s="332">
        <f>IFERROR(__xludf.DUMMYFUNCTION("IF(IF(COUNTIF(P$2:P4914, P4915)=0, """", INDEX(H$2:H4914,
MAX(FILTER(ROW(H$2:H4914) - ROW(H$2) + 1, P$2:P4914 = P4915))))=""単価"","""",
IF(COUNTIF(P$2:P4914, P4915)=0, """", INDEX(H$2:H4914,
MAX(FILTER(ROW(H$2:H4914) - ROW(H$2) + 1, P$2:P4914 = P4915)))))"),30.2)</f>
        <v>30.2</v>
      </c>
      <c r="N4915" s="335" t="str">
        <f>IF(MAXIFS('単価履歴'!$O:$O,'単価履歴'!$E:$E,E4915,'単価履歴'!$F:$F,F4915)=O4915,"●","")</f>
        <v/>
      </c>
      <c r="O4915" s="346">
        <v>46112.28052083333</v>
      </c>
      <c r="P4915" s="334" t="str">
        <f t="shared" si="4"/>
        <v>大鉄　堺:豊通Ｈ３(1級)</v>
      </c>
    </row>
    <row r="4916" ht="15.75" customHeight="1">
      <c r="A4916" s="335" t="s">
        <v>6063</v>
      </c>
      <c r="B4916" s="336">
        <v>46112.0</v>
      </c>
      <c r="C4916" s="335" t="s">
        <v>9</v>
      </c>
      <c r="D4916" s="335" t="s">
        <v>47</v>
      </c>
      <c r="E4916" s="337" t="str">
        <f t="shared" si="1"/>
        <v>大鉄　堺:豊通</v>
      </c>
      <c r="F4916" s="338" t="s">
        <v>122</v>
      </c>
      <c r="G4916" s="339" t="str">
        <f t="shared" si="2"/>
        <v>大鉄　堺:豊通Ｌ１(2級)</v>
      </c>
      <c r="H4916" s="340">
        <f t="shared" si="3"/>
        <v>29.7</v>
      </c>
      <c r="I4916" s="341">
        <v>1.0</v>
      </c>
      <c r="J4916" s="332">
        <f>IFERROR(__xludf.DUMMYFUNCTION("IF(IF(COUNTIF(P$2:P4915, P4916)=0, """", INDEX(H$2:H4915,
MAX(FILTER(ROW(H$2:H4915) - ROW(H$2) + 1, P$2:P4915 = P4916))))=""単価"","""",
IF(COUNTIF(P$2:P4915, P4916)=0, """", INDEX(H$2:H4915,
MAX(FILTER(ROW(H$2:H4915) - ROW(H$2) + 1, P$2:P4915 = P4916)))))"),28.7)</f>
        <v>28.7</v>
      </c>
      <c r="N4916" s="335" t="str">
        <f>IF(MAXIFS('単価履歴'!$O:$O,'単価履歴'!$E:$E,E4916,'単価履歴'!$F:$F,F4916)=O4916,"●","")</f>
        <v/>
      </c>
      <c r="O4916" s="346">
        <v>46112.28052083333</v>
      </c>
      <c r="P4916" s="334" t="str">
        <f t="shared" si="4"/>
        <v>大鉄　堺:豊通Ｌ１(2級)</v>
      </c>
    </row>
    <row r="4917" ht="15.75" customHeight="1">
      <c r="A4917" s="335" t="s">
        <v>6064</v>
      </c>
      <c r="B4917" s="336">
        <v>46112.0</v>
      </c>
      <c r="C4917" s="335" t="s">
        <v>9</v>
      </c>
      <c r="D4917" s="335" t="s">
        <v>47</v>
      </c>
      <c r="E4917" s="337" t="str">
        <f t="shared" si="1"/>
        <v>大鉄　堺:豊通</v>
      </c>
      <c r="F4917" s="338" t="s">
        <v>130</v>
      </c>
      <c r="G4917" s="339" t="str">
        <f t="shared" si="2"/>
        <v>大鉄　堺:豊通新断Ａ</v>
      </c>
      <c r="H4917" s="340">
        <f t="shared" si="3"/>
        <v>33.2</v>
      </c>
      <c r="I4917" s="341">
        <v>1.0</v>
      </c>
      <c r="J4917" s="332">
        <f>IFERROR(__xludf.DUMMYFUNCTION("IF(IF(COUNTIF(P$2:P4916, P4917)=0, """", INDEX(H$2:H4916,
MAX(FILTER(ROW(H$2:H4916) - ROW(H$2) + 1, P$2:P4916 = P4917))))=""単価"","""",
IF(COUNTIF(P$2:P4916, P4917)=0, """", INDEX(H$2:H4916,
MAX(FILTER(ROW(H$2:H4916) - ROW(H$2) + 1, P$2:P4916 = P4917)))))"),32.2)</f>
        <v>32.2</v>
      </c>
      <c r="N4917" s="335" t="str">
        <f>IF(MAXIFS('単価履歴'!$O:$O,'単価履歴'!$E:$E,E4917,'単価履歴'!$F:$F,F4917)=O4917,"●","")</f>
        <v/>
      </c>
      <c r="O4917" s="346">
        <v>46112.28052083333</v>
      </c>
      <c r="P4917" s="334" t="str">
        <f t="shared" si="4"/>
        <v>大鉄　堺:豊通新断Ａ</v>
      </c>
    </row>
    <row r="4918" ht="15.75" customHeight="1">
      <c r="A4918" s="335" t="s">
        <v>6065</v>
      </c>
      <c r="B4918" s="336">
        <v>46112.0</v>
      </c>
      <c r="C4918" s="335" t="s">
        <v>9</v>
      </c>
      <c r="D4918" s="335" t="s">
        <v>47</v>
      </c>
      <c r="E4918" s="337" t="str">
        <f t="shared" si="1"/>
        <v>大鉄　堺:豊通</v>
      </c>
      <c r="F4918" s="338" t="s">
        <v>131</v>
      </c>
      <c r="G4918" s="339" t="str">
        <f t="shared" si="2"/>
        <v>大鉄　堺:豊通新断Ｂ</v>
      </c>
      <c r="H4918" s="340">
        <f t="shared" si="3"/>
        <v>32.7</v>
      </c>
      <c r="I4918" s="341">
        <v>1.0</v>
      </c>
      <c r="J4918" s="332">
        <f>IFERROR(__xludf.DUMMYFUNCTION("IF(IF(COUNTIF(P$2:P4917, P4918)=0, """", INDEX(H$2:H4917,
MAX(FILTER(ROW(H$2:H4917) - ROW(H$2) + 1, P$2:P4917 = P4918))))=""単価"","""",
IF(COUNTIF(P$2:P4917, P4918)=0, """", INDEX(H$2:H4917,
MAX(FILTER(ROW(H$2:H4917) - ROW(H$2) + 1, P$2:P4917 = P4918)))))"),31.7)</f>
        <v>31.7</v>
      </c>
      <c r="N4918" s="335" t="str">
        <f>IF(MAXIFS('単価履歴'!$O:$O,'単価履歴'!$E:$E,E4918,'単価履歴'!$F:$F,F4918)=O4918,"●","")</f>
        <v/>
      </c>
      <c r="O4918" s="346">
        <v>46112.28052083333</v>
      </c>
      <c r="P4918" s="334" t="str">
        <f t="shared" si="4"/>
        <v>大鉄　堺:豊通新断Ｂ</v>
      </c>
    </row>
    <row r="4919" ht="15.75" customHeight="1">
      <c r="A4919" s="335" t="s">
        <v>6066</v>
      </c>
      <c r="B4919" s="336">
        <v>46112.0</v>
      </c>
      <c r="C4919" s="335" t="s">
        <v>9</v>
      </c>
      <c r="D4919" s="335" t="s">
        <v>47</v>
      </c>
      <c r="E4919" s="337" t="str">
        <f t="shared" si="1"/>
        <v>大鉄　堺:豊通</v>
      </c>
      <c r="F4919" s="338" t="s">
        <v>575</v>
      </c>
      <c r="G4919" s="339" t="str">
        <f t="shared" si="2"/>
        <v>大鉄　堺:豊通鋼ダライＡ</v>
      </c>
      <c r="H4919" s="340">
        <f t="shared" si="3"/>
        <v>34.2</v>
      </c>
      <c r="I4919" s="341">
        <v>1.0</v>
      </c>
      <c r="J4919" s="332">
        <f>IFERROR(__xludf.DUMMYFUNCTION("IF(IF(COUNTIF(P$2:P4918, P4919)=0, """", INDEX(H$2:H4918,
MAX(FILTER(ROW(H$2:H4918) - ROW(H$2) + 1, P$2:P4918 = P4919))))=""単価"","""",
IF(COUNTIF(P$2:P4918, P4919)=0, """", INDEX(H$2:H4918,
MAX(FILTER(ROW(H$2:H4918) - ROW(H$2) + 1, P$2:P4918 = P4919)))))"),33.2)</f>
        <v>33.2</v>
      </c>
      <c r="N4919" s="335" t="str">
        <f>IF(MAXIFS('単価履歴'!$O:$O,'単価履歴'!$E:$E,E4919,'単価履歴'!$F:$F,F4919)=O4919,"●","")</f>
        <v/>
      </c>
      <c r="O4919" s="346">
        <v>46112.28052083333</v>
      </c>
      <c r="P4919" s="334" t="str">
        <f t="shared" si="4"/>
        <v>大鉄　堺:豊通鋼ダライＡ</v>
      </c>
    </row>
    <row r="4920" ht="15.75" customHeight="1">
      <c r="A4920" s="335" t="s">
        <v>6067</v>
      </c>
      <c r="B4920" s="336">
        <v>46112.0</v>
      </c>
      <c r="C4920" s="335" t="s">
        <v>9</v>
      </c>
      <c r="D4920" s="335" t="s">
        <v>47</v>
      </c>
      <c r="E4920" s="337" t="str">
        <f t="shared" si="1"/>
        <v>大鉄　堺:豊通</v>
      </c>
      <c r="F4920" s="338" t="s">
        <v>576</v>
      </c>
      <c r="G4920" s="339" t="str">
        <f t="shared" si="2"/>
        <v>大鉄　堺:豊通鋼ダライＢ</v>
      </c>
      <c r="H4920" s="340">
        <f t="shared" si="3"/>
        <v>34.2</v>
      </c>
      <c r="I4920" s="341">
        <v>1.0</v>
      </c>
      <c r="J4920" s="332">
        <f>IFERROR(__xludf.DUMMYFUNCTION("IF(IF(COUNTIF(P$2:P4919, P4920)=0, """", INDEX(H$2:H4919,
MAX(FILTER(ROW(H$2:H4919) - ROW(H$2) + 1, P$2:P4919 = P4920))))=""単価"","""",
IF(COUNTIF(P$2:P4919, P4920)=0, """", INDEX(H$2:H4919,
MAX(FILTER(ROW(H$2:H4919) - ROW(H$2) + 1, P$2:P4919 = P4920)))))"),33.2)</f>
        <v>33.2</v>
      </c>
      <c r="N4920" s="335" t="str">
        <f>IF(MAXIFS('単価履歴'!$O:$O,'単価履歴'!$E:$E,E4920,'単価履歴'!$F:$F,F4920)=O4920,"●","")</f>
        <v/>
      </c>
      <c r="O4920" s="346">
        <v>46112.28052083333</v>
      </c>
      <c r="P4920" s="334" t="str">
        <f t="shared" si="4"/>
        <v>大鉄　堺:豊通鋼ダライＢ</v>
      </c>
    </row>
    <row r="4921" ht="15.75" customHeight="1">
      <c r="A4921" s="335" t="s">
        <v>6068</v>
      </c>
      <c r="B4921" s="336">
        <v>46112.0</v>
      </c>
      <c r="C4921" s="335" t="s">
        <v>9</v>
      </c>
      <c r="D4921" s="335" t="s">
        <v>47</v>
      </c>
      <c r="E4921" s="337" t="str">
        <f t="shared" si="1"/>
        <v>大鉄　堺:豊通</v>
      </c>
      <c r="F4921" s="338" t="s">
        <v>145</v>
      </c>
      <c r="G4921" s="339" t="str">
        <f t="shared" si="2"/>
        <v>大鉄　堺:豊通シュレＡ</v>
      </c>
      <c r="H4921" s="340">
        <f t="shared" si="3"/>
        <v>36.7</v>
      </c>
      <c r="I4921" s="341">
        <v>1.0</v>
      </c>
      <c r="J4921" s="332">
        <f>IFERROR(__xludf.DUMMYFUNCTION("IF(IF(COUNTIF(P$2:P4920, P4921)=0, """", INDEX(H$2:H4920,
MAX(FILTER(ROW(H$2:H4920) - ROW(H$2) + 1, P$2:P4920 = P4921))))=""単価"","""",
IF(COUNTIF(P$2:P4920, P4921)=0, """", INDEX(H$2:H4920,
MAX(FILTER(ROW(H$2:H4920) - ROW(H$2) + 1, P$2:P4920 = P4921)))))"),35.7)</f>
        <v>35.7</v>
      </c>
      <c r="N4921" s="335" t="str">
        <f>IF(MAXIFS('単価履歴'!$O:$O,'単価履歴'!$E:$E,E4921,'単価履歴'!$F:$F,F4921)=O4921,"●","")</f>
        <v/>
      </c>
      <c r="O4921" s="346">
        <v>46112.28052083333</v>
      </c>
      <c r="P4921" s="334" t="str">
        <f t="shared" si="4"/>
        <v>大鉄　堺:豊通シュレＡ</v>
      </c>
    </row>
    <row r="4922" ht="15.75" customHeight="1">
      <c r="A4922" s="335" t="s">
        <v>6069</v>
      </c>
      <c r="B4922" s="336">
        <v>46112.0</v>
      </c>
      <c r="C4922" s="335" t="s">
        <v>9</v>
      </c>
      <c r="D4922" s="335" t="s">
        <v>47</v>
      </c>
      <c r="E4922" s="337" t="str">
        <f t="shared" si="1"/>
        <v>大鉄　堺:豊通</v>
      </c>
      <c r="F4922" s="338" t="s">
        <v>149</v>
      </c>
      <c r="G4922" s="339" t="str">
        <f t="shared" si="2"/>
        <v>大鉄　堺:豊通シュレＢ</v>
      </c>
      <c r="H4922" s="340">
        <f t="shared" si="3"/>
        <v>36</v>
      </c>
      <c r="I4922" s="341">
        <v>1.0</v>
      </c>
      <c r="J4922" s="332">
        <f>IFERROR(__xludf.DUMMYFUNCTION("IF(IF(COUNTIF(P$2:P4921, P4922)=0, """", INDEX(H$2:H4921,
MAX(FILTER(ROW(H$2:H4921) - ROW(H$2) + 1, P$2:P4921 = P4922))))=""単価"","""",
IF(COUNTIF(P$2:P4921, P4922)=0, """", INDEX(H$2:H4921,
MAX(FILTER(ROW(H$2:H4921) - ROW(H$2) + 1, P$2:P4921 = P4922)))))"),35.0)</f>
        <v>35</v>
      </c>
      <c r="N4922" s="335" t="str">
        <f>IF(MAXIFS('単価履歴'!$O:$O,'単価履歴'!$E:$E,E4922,'単価履歴'!$F:$F,F4922)=O4922,"●","")</f>
        <v/>
      </c>
      <c r="O4922" s="346">
        <v>46112.28052083333</v>
      </c>
      <c r="P4922" s="334" t="str">
        <f t="shared" si="4"/>
        <v>大鉄　堺:豊通シュレＢ</v>
      </c>
    </row>
    <row r="4923" ht="15.75" customHeight="1">
      <c r="A4923" s="335" t="s">
        <v>6070</v>
      </c>
      <c r="B4923" s="336">
        <v>46112.0</v>
      </c>
      <c r="C4923" s="335" t="s">
        <v>9</v>
      </c>
      <c r="D4923" s="335" t="s">
        <v>47</v>
      </c>
      <c r="E4923" s="337" t="str">
        <f t="shared" si="1"/>
        <v>大鉄　堺:豊通</v>
      </c>
      <c r="F4923" s="338" t="s">
        <v>151</v>
      </c>
      <c r="G4923" s="339" t="str">
        <f t="shared" si="2"/>
        <v>大鉄　堺:豊通シュレＣ</v>
      </c>
      <c r="H4923" s="340">
        <f t="shared" si="3"/>
        <v>34.6</v>
      </c>
      <c r="I4923" s="341">
        <v>1.0</v>
      </c>
      <c r="J4923" s="332">
        <f>IFERROR(__xludf.DUMMYFUNCTION("IF(IF(COUNTIF(P$2:P4922, P4923)=0, """", INDEX(H$2:H4922,
MAX(FILTER(ROW(H$2:H4922) - ROW(H$2) + 1, P$2:P4922 = P4923))))=""単価"","""",
IF(COUNTIF(P$2:P4922, P4923)=0, """", INDEX(H$2:H4922,
MAX(FILTER(ROW(H$2:H4922) - ROW(H$2) + 1, P$2:P4922 = P4923)))))"),33.6)</f>
        <v>33.6</v>
      </c>
      <c r="N4923" s="335" t="str">
        <f>IF(MAXIFS('単価履歴'!$O:$O,'単価履歴'!$E:$E,E4923,'単価履歴'!$F:$F,F4923)=O4923,"●","")</f>
        <v/>
      </c>
      <c r="O4923" s="346">
        <v>46112.28052083333</v>
      </c>
      <c r="P4923" s="334" t="str">
        <f t="shared" si="4"/>
        <v>大鉄　堺:豊通シュレＣ</v>
      </c>
    </row>
    <row r="4924" ht="15.75" customHeight="1">
      <c r="A4924" s="335" t="s">
        <v>6071</v>
      </c>
      <c r="B4924" s="336">
        <v>46112.0</v>
      </c>
      <c r="C4924" s="335" t="s">
        <v>9</v>
      </c>
      <c r="D4924" s="335" t="s">
        <v>47</v>
      </c>
      <c r="E4924" s="337" t="str">
        <f t="shared" si="1"/>
        <v>大鉄　堺:豊通</v>
      </c>
      <c r="F4924" s="338" t="s">
        <v>154</v>
      </c>
      <c r="G4924" s="339" t="str">
        <f t="shared" si="2"/>
        <v>大鉄　堺:豊通ＣＰ Ａ</v>
      </c>
      <c r="H4924" s="340">
        <f t="shared" si="3"/>
        <v>47.2</v>
      </c>
      <c r="I4924" s="341">
        <v>1.0</v>
      </c>
      <c r="J4924" s="332">
        <f>IFERROR(__xludf.DUMMYFUNCTION("IF(IF(COUNTIF(P$2:P4923, P4924)=0, """", INDEX(H$2:H4923,
MAX(FILTER(ROW(H$2:H4923) - ROW(H$2) + 1, P$2:P4923 = P4924))))=""単価"","""",
IF(COUNTIF(P$2:P4923, P4924)=0, """", INDEX(H$2:H4923,
MAX(FILTER(ROW(H$2:H4923) - ROW(H$2) + 1, P$2:P4923 = P4924)))))"),46.2)</f>
        <v>46.2</v>
      </c>
      <c r="N4924" s="335" t="str">
        <f>IF(MAXIFS('単価履歴'!$O:$O,'単価履歴'!$E:$E,E4924,'単価履歴'!$F:$F,F4924)=O4924,"●","")</f>
        <v/>
      </c>
      <c r="O4924" s="346">
        <v>46112.28052083333</v>
      </c>
      <c r="P4924" s="334" t="str">
        <f t="shared" si="4"/>
        <v>大鉄　堺:豊通ＣＰ Ａ</v>
      </c>
    </row>
    <row r="4925" ht="15.75" customHeight="1">
      <c r="A4925" s="335" t="s">
        <v>6072</v>
      </c>
      <c r="B4925" s="336">
        <v>46112.0</v>
      </c>
      <c r="C4925" s="335" t="s">
        <v>9</v>
      </c>
      <c r="D4925" s="335" t="s">
        <v>47</v>
      </c>
      <c r="E4925" s="337" t="str">
        <f t="shared" si="1"/>
        <v>大鉄　堺:豊通</v>
      </c>
      <c r="F4925" s="338" t="s">
        <v>156</v>
      </c>
      <c r="G4925" s="339" t="str">
        <f t="shared" si="2"/>
        <v>大鉄　堺:豊通ＣＰ Ｂ一斗缶</v>
      </c>
      <c r="H4925" s="340">
        <f t="shared" si="3"/>
        <v>40.7</v>
      </c>
      <c r="I4925" s="341">
        <v>1.0</v>
      </c>
      <c r="J4925" s="332">
        <f>IFERROR(__xludf.DUMMYFUNCTION("IF(IF(COUNTIF(P$2:P4924, P4925)=0, """", INDEX(H$2:H4924,
MAX(FILTER(ROW(H$2:H4924) - ROW(H$2) + 1, P$2:P4924 = P4925))))=""単価"","""",
IF(COUNTIF(P$2:P4924, P4925)=0, """", INDEX(H$2:H4924,
MAX(FILTER(ROW(H$2:H4924) - ROW(H$2) + 1, P$2:P4924 = P4925)))))"),39.7)</f>
        <v>39.7</v>
      </c>
      <c r="N4925" s="335" t="str">
        <f>IF(MAXIFS('単価履歴'!$O:$O,'単価履歴'!$E:$E,E4925,'単価履歴'!$F:$F,F4925)=O4925,"●","")</f>
        <v/>
      </c>
      <c r="O4925" s="346">
        <v>46112.28052083333</v>
      </c>
      <c r="P4925" s="334" t="str">
        <f t="shared" si="4"/>
        <v>大鉄　堺:豊通ＣＰ Ｂ一斗缶</v>
      </c>
    </row>
    <row r="4926" ht="15.75" customHeight="1">
      <c r="A4926" s="335" t="s">
        <v>6073</v>
      </c>
      <c r="B4926" s="336">
        <v>46112.0</v>
      </c>
      <c r="C4926" s="335" t="s">
        <v>9</v>
      </c>
      <c r="D4926" s="335" t="s">
        <v>50</v>
      </c>
      <c r="E4926" s="337" t="str">
        <f t="shared" si="1"/>
        <v>大鉄　堺:産振</v>
      </c>
      <c r="F4926" s="338" t="s">
        <v>111</v>
      </c>
      <c r="G4926" s="339" t="str">
        <f t="shared" si="2"/>
        <v>大鉄　堺:産振Ｈ１(特A)</v>
      </c>
      <c r="H4926" s="340">
        <f t="shared" si="3"/>
        <v>53.2</v>
      </c>
      <c r="I4926" s="341">
        <v>1.0</v>
      </c>
      <c r="J4926" s="332">
        <f>IFERROR(__xludf.DUMMYFUNCTION("IF(IF(COUNTIF(P$2:P4925, P4926)=0, """", INDEX(H$2:H4925,
MAX(FILTER(ROW(H$2:H4925) - ROW(H$2) + 1, P$2:P4925 = P4926))))=""単価"","""",
IF(COUNTIF(P$2:P4925, P4926)=0, """", INDEX(H$2:H4925,
MAX(FILTER(ROW(H$2:H4925) - ROW(H$2) + 1, P$2:P4925 = P4926)))))"),52.2)</f>
        <v>52.2</v>
      </c>
      <c r="N4926" s="335" t="str">
        <f>IF(MAXIFS('単価履歴'!$O:$O,'単価履歴'!$E:$E,E4926,'単価履歴'!$F:$F,F4926)=O4926,"●","")</f>
        <v/>
      </c>
      <c r="O4926" s="346">
        <v>46112.280706018515</v>
      </c>
      <c r="P4926" s="334" t="str">
        <f t="shared" si="4"/>
        <v>大鉄　堺:産振Ｈ１(特A)</v>
      </c>
    </row>
    <row r="4927" ht="15.75" customHeight="1">
      <c r="A4927" s="335" t="s">
        <v>6074</v>
      </c>
      <c r="B4927" s="336">
        <v>46112.0</v>
      </c>
      <c r="C4927" s="335" t="s">
        <v>9</v>
      </c>
      <c r="D4927" s="335" t="s">
        <v>50</v>
      </c>
      <c r="E4927" s="337" t="str">
        <f t="shared" si="1"/>
        <v>大鉄　堺:産振</v>
      </c>
      <c r="F4927" s="338" t="s">
        <v>116</v>
      </c>
      <c r="G4927" s="339" t="str">
        <f t="shared" si="2"/>
        <v>大鉄　堺:産振Ｈ２(特級)</v>
      </c>
      <c r="H4927" s="340">
        <f t="shared" si="3"/>
        <v>50.7</v>
      </c>
      <c r="I4927" s="341">
        <v>1.0</v>
      </c>
      <c r="J4927" s="332">
        <f>IFERROR(__xludf.DUMMYFUNCTION("IF(IF(COUNTIF(P$2:P4926, P4927)=0, """", INDEX(H$2:H4926,
MAX(FILTER(ROW(H$2:H4926) - ROW(H$2) + 1, P$2:P4926 = P4927))))=""単価"","""",
IF(COUNTIF(P$2:P4926, P4927)=0, """", INDEX(H$2:H4926,
MAX(FILTER(ROW(H$2:H4926) - ROW(H$2) + 1, P$2:P4926 = P4927)))))"),49.7)</f>
        <v>49.7</v>
      </c>
      <c r="N4927" s="335" t="str">
        <f>IF(MAXIFS('単価履歴'!$O:$O,'単価履歴'!$E:$E,E4927,'単価履歴'!$F:$F,F4927)=O4927,"●","")</f>
        <v/>
      </c>
      <c r="O4927" s="346">
        <v>46112.280706018515</v>
      </c>
      <c r="P4927" s="334" t="str">
        <f t="shared" si="4"/>
        <v>大鉄　堺:産振Ｈ２(特級)</v>
      </c>
    </row>
    <row r="4928" ht="15.75" customHeight="1">
      <c r="A4928" s="335" t="s">
        <v>6075</v>
      </c>
      <c r="B4928" s="336">
        <v>46112.0</v>
      </c>
      <c r="C4928" s="335" t="s">
        <v>9</v>
      </c>
      <c r="D4928" s="335" t="s">
        <v>50</v>
      </c>
      <c r="E4928" s="337" t="str">
        <f t="shared" si="1"/>
        <v>大鉄　堺:産振</v>
      </c>
      <c r="F4928" s="338" t="s">
        <v>119</v>
      </c>
      <c r="G4928" s="339" t="str">
        <f t="shared" si="2"/>
        <v>大鉄　堺:産振Ｈ３(1級)</v>
      </c>
      <c r="H4928" s="340">
        <f t="shared" si="3"/>
        <v>47.7</v>
      </c>
      <c r="I4928" s="341">
        <v>1.0</v>
      </c>
      <c r="J4928" s="332">
        <f>IFERROR(__xludf.DUMMYFUNCTION("IF(IF(COUNTIF(P$2:P4927, P4928)=0, """", INDEX(H$2:H4927,
MAX(FILTER(ROW(H$2:H4927) - ROW(H$2) + 1, P$2:P4927 = P4928))))=""単価"","""",
IF(COUNTIF(P$2:P4927, P4928)=0, """", INDEX(H$2:H4927,
MAX(FILTER(ROW(H$2:H4927) - ROW(H$2) + 1, P$2:P4927 = P4928)))))"),46.7)</f>
        <v>46.7</v>
      </c>
      <c r="N4928" s="335" t="str">
        <f>IF(MAXIFS('単価履歴'!$O:$O,'単価履歴'!$E:$E,E4928,'単価履歴'!$F:$F,F4928)=O4928,"●","")</f>
        <v/>
      </c>
      <c r="O4928" s="346">
        <v>46112.280706018515</v>
      </c>
      <c r="P4928" s="334" t="str">
        <f t="shared" si="4"/>
        <v>大鉄　堺:産振Ｈ３(1級)</v>
      </c>
    </row>
    <row r="4929" ht="15.75" customHeight="1">
      <c r="A4929" s="335" t="s">
        <v>6076</v>
      </c>
      <c r="B4929" s="336">
        <v>46112.0</v>
      </c>
      <c r="C4929" s="335" t="s">
        <v>9</v>
      </c>
      <c r="D4929" s="335" t="s">
        <v>50</v>
      </c>
      <c r="E4929" s="337" t="str">
        <f t="shared" si="1"/>
        <v>大鉄　堺:産振</v>
      </c>
      <c r="F4929" s="338" t="s">
        <v>154</v>
      </c>
      <c r="G4929" s="339" t="str">
        <f t="shared" si="2"/>
        <v>大鉄　堺:産振ＣＰ Ａ</v>
      </c>
      <c r="H4929" s="340">
        <f t="shared" si="3"/>
        <v>52.7</v>
      </c>
      <c r="I4929" s="341">
        <v>1.0</v>
      </c>
      <c r="J4929" s="332">
        <f>IFERROR(__xludf.DUMMYFUNCTION("IF(IF(COUNTIF(P$2:P4928, P4929)=0, """", INDEX(H$2:H4928,
MAX(FILTER(ROW(H$2:H4928) - ROW(H$2) + 1, P$2:P4928 = P4929))))=""単価"","""",
IF(COUNTIF(P$2:P4928, P4929)=0, """", INDEX(H$2:H4928,
MAX(FILTER(ROW(H$2:H4928) - ROW(H$2) + 1, P$2:P4928 = P4929)))))"),51.7)</f>
        <v>51.7</v>
      </c>
      <c r="N4929" s="335" t="str">
        <f>IF(MAXIFS('単価履歴'!$O:$O,'単価履歴'!$E:$E,E4929,'単価履歴'!$F:$F,F4929)=O4929,"●","")</f>
        <v/>
      </c>
      <c r="O4929" s="346">
        <v>46112.280706018515</v>
      </c>
      <c r="P4929" s="334" t="str">
        <f t="shared" si="4"/>
        <v>大鉄　堺:産振ＣＰ Ａ</v>
      </c>
    </row>
    <row r="4930" ht="15.75" customHeight="1">
      <c r="A4930" s="335" t="s">
        <v>6077</v>
      </c>
      <c r="B4930" s="336">
        <v>46112.0</v>
      </c>
      <c r="C4930" s="335" t="s">
        <v>9</v>
      </c>
      <c r="D4930" s="335" t="s">
        <v>50</v>
      </c>
      <c r="E4930" s="337" t="str">
        <f t="shared" si="1"/>
        <v>大鉄　堺:産振</v>
      </c>
      <c r="F4930" s="338" t="s">
        <v>156</v>
      </c>
      <c r="G4930" s="339" t="str">
        <f t="shared" si="2"/>
        <v>大鉄　堺:産振ＣＰ Ｂ一斗缶</v>
      </c>
      <c r="H4930" s="340">
        <f t="shared" si="3"/>
        <v>42.5</v>
      </c>
      <c r="I4930" s="341">
        <v>1.0</v>
      </c>
      <c r="J4930" s="332">
        <f>IFERROR(__xludf.DUMMYFUNCTION("IF(IF(COUNTIF(P$2:P4929, P4930)=0, """", INDEX(H$2:H4929,
MAX(FILTER(ROW(H$2:H4929) - ROW(H$2) + 1, P$2:P4929 = P4930))))=""単価"","""",
IF(COUNTIF(P$2:P4929, P4930)=0, """", INDEX(H$2:H4929,
MAX(FILTER(ROW(H$2:H4929) - ROW(H$2) + 1, P$2:P4929 = P4930)))))"),41.5)</f>
        <v>41.5</v>
      </c>
      <c r="N4930" s="335" t="str">
        <f>IF(MAXIFS('単価履歴'!$O:$O,'単価履歴'!$E:$E,E4930,'単価履歴'!$F:$F,F4930)=O4930,"●","")</f>
        <v/>
      </c>
      <c r="O4930" s="346">
        <v>46112.280706018515</v>
      </c>
      <c r="P4930" s="334" t="str">
        <f t="shared" si="4"/>
        <v>大鉄　堺:産振ＣＰ Ｂ一斗缶</v>
      </c>
    </row>
    <row r="4931" ht="15.75" customHeight="1">
      <c r="A4931" s="335" t="s">
        <v>6078</v>
      </c>
      <c r="B4931" s="336">
        <v>46112.0</v>
      </c>
      <c r="C4931" s="335" t="s">
        <v>9</v>
      </c>
      <c r="D4931" s="335" t="s">
        <v>50</v>
      </c>
      <c r="E4931" s="337" t="str">
        <f t="shared" si="1"/>
        <v>大鉄　堺:産振</v>
      </c>
      <c r="F4931" s="338" t="s">
        <v>122</v>
      </c>
      <c r="G4931" s="339" t="str">
        <f t="shared" si="2"/>
        <v>大鉄　堺:産振Ｌ１(2級)</v>
      </c>
      <c r="H4931" s="340">
        <f t="shared" si="3"/>
        <v>46.7</v>
      </c>
      <c r="I4931" s="341">
        <v>1.0</v>
      </c>
      <c r="J4931" s="332">
        <f>IFERROR(__xludf.DUMMYFUNCTION("IF(IF(COUNTIF(P$2:P4930, P4931)=0, """", INDEX(H$2:H4930,
MAX(FILTER(ROW(H$2:H4930) - ROW(H$2) + 1, P$2:P4930 = P4931))))=""単価"","""",
IF(COUNTIF(P$2:P4930, P4931)=0, """", INDEX(H$2:H4930,
MAX(FILTER(ROW(H$2:H4930) - ROW(H$2) + 1, P$2:P4930 = P4931)))))"),45.7)</f>
        <v>45.7</v>
      </c>
      <c r="N4931" s="335" t="str">
        <f>IF(MAXIFS('単価履歴'!$O:$O,'単価履歴'!$E:$E,E4931,'単価履歴'!$F:$F,F4931)=O4931,"●","")</f>
        <v/>
      </c>
      <c r="O4931" s="346">
        <v>46112.280706018515</v>
      </c>
      <c r="P4931" s="334" t="str">
        <f t="shared" si="4"/>
        <v>大鉄　堺:産振Ｌ１(2級)</v>
      </c>
    </row>
    <row r="4932" ht="15.75" customHeight="1">
      <c r="A4932" s="335" t="s">
        <v>6079</v>
      </c>
      <c r="B4932" s="336">
        <v>46112.0</v>
      </c>
      <c r="C4932" s="335" t="s">
        <v>9</v>
      </c>
      <c r="D4932" s="335" t="s">
        <v>50</v>
      </c>
      <c r="E4932" s="337" t="str">
        <f t="shared" si="1"/>
        <v>大鉄　堺:産振</v>
      </c>
      <c r="F4932" s="338" t="s">
        <v>130</v>
      </c>
      <c r="G4932" s="339" t="str">
        <f t="shared" si="2"/>
        <v>大鉄　堺:産振新断Ａ</v>
      </c>
      <c r="H4932" s="340">
        <f t="shared" si="3"/>
        <v>48.7</v>
      </c>
      <c r="I4932" s="341">
        <v>1.0</v>
      </c>
      <c r="J4932" s="332">
        <f>IFERROR(__xludf.DUMMYFUNCTION("IF(IF(COUNTIF(P$2:P4931, P4932)=0, """", INDEX(H$2:H4931,
MAX(FILTER(ROW(H$2:H4931) - ROW(H$2) + 1, P$2:P4931 = P4932))))=""単価"","""",
IF(COUNTIF(P$2:P4931, P4932)=0, """", INDEX(H$2:H4931,
MAX(FILTER(ROW(H$2:H4931) - ROW(H$2) + 1, P$2:P4931 = P4932)))))"),47.7)</f>
        <v>47.7</v>
      </c>
      <c r="N4932" s="335" t="str">
        <f>IF(MAXIFS('単価履歴'!$O:$O,'単価履歴'!$E:$E,E4932,'単価履歴'!$F:$F,F4932)=O4932,"●","")</f>
        <v/>
      </c>
      <c r="O4932" s="346">
        <v>46112.280706018515</v>
      </c>
      <c r="P4932" s="334" t="str">
        <f t="shared" si="4"/>
        <v>大鉄　堺:産振新断Ａ</v>
      </c>
    </row>
    <row r="4933" ht="15.75" customHeight="1">
      <c r="A4933" s="335" t="s">
        <v>6080</v>
      </c>
      <c r="B4933" s="336">
        <v>46112.0</v>
      </c>
      <c r="C4933" s="335" t="s">
        <v>9</v>
      </c>
      <c r="D4933" s="335" t="s">
        <v>50</v>
      </c>
      <c r="E4933" s="337" t="str">
        <f t="shared" si="1"/>
        <v>大鉄　堺:産振</v>
      </c>
      <c r="F4933" s="338" t="s">
        <v>131</v>
      </c>
      <c r="G4933" s="339" t="str">
        <f t="shared" si="2"/>
        <v>大鉄　堺:産振新断Ｂ</v>
      </c>
      <c r="H4933" s="340">
        <f t="shared" si="3"/>
        <v>48.2</v>
      </c>
      <c r="I4933" s="341">
        <v>1.0</v>
      </c>
      <c r="J4933" s="332">
        <f>IFERROR(__xludf.DUMMYFUNCTION("IF(IF(COUNTIF(P$2:P4932, P4933)=0, """", INDEX(H$2:H4932,
MAX(FILTER(ROW(H$2:H4932) - ROW(H$2) + 1, P$2:P4932 = P4933))))=""単価"","""",
IF(COUNTIF(P$2:P4932, P4933)=0, """", INDEX(H$2:H4932,
MAX(FILTER(ROW(H$2:H4932) - ROW(H$2) + 1, P$2:P4932 = P4933)))))"),47.2)</f>
        <v>47.2</v>
      </c>
      <c r="N4933" s="335" t="str">
        <f>IF(MAXIFS('単価履歴'!$O:$O,'単価履歴'!$E:$E,E4933,'単価履歴'!$F:$F,F4933)=O4933,"●","")</f>
        <v/>
      </c>
      <c r="O4933" s="346">
        <v>46112.280706018515</v>
      </c>
      <c r="P4933" s="334" t="str">
        <f t="shared" si="4"/>
        <v>大鉄　堺:産振新断Ｂ</v>
      </c>
    </row>
    <row r="4934" ht="15.75" customHeight="1">
      <c r="A4934" s="335" t="s">
        <v>6081</v>
      </c>
      <c r="B4934" s="336">
        <v>46112.0</v>
      </c>
      <c r="C4934" s="335" t="s">
        <v>9</v>
      </c>
      <c r="D4934" s="335" t="s">
        <v>50</v>
      </c>
      <c r="E4934" s="337" t="str">
        <f t="shared" si="1"/>
        <v>大鉄　堺:産振</v>
      </c>
      <c r="F4934" s="338" t="s">
        <v>575</v>
      </c>
      <c r="G4934" s="339" t="str">
        <f t="shared" si="2"/>
        <v>大鉄　堺:産振鋼ダライＡ</v>
      </c>
      <c r="H4934" s="340">
        <f t="shared" si="3"/>
        <v>44.2</v>
      </c>
      <c r="I4934" s="341">
        <v>1.0</v>
      </c>
      <c r="J4934" s="332">
        <f>IFERROR(__xludf.DUMMYFUNCTION("IF(IF(COUNTIF(P$2:P4933, P4934)=0, """", INDEX(H$2:H4933,
MAX(FILTER(ROW(H$2:H4933) - ROW(H$2) + 1, P$2:P4933 = P4934))))=""単価"","""",
IF(COUNTIF(P$2:P4933, P4934)=0, """", INDEX(H$2:H4933,
MAX(FILTER(ROW(H$2:H4933) - ROW(H$2) + 1, P$2:P4933 = P4934)))))"),43.2)</f>
        <v>43.2</v>
      </c>
      <c r="N4934" s="335" t="str">
        <f>IF(MAXIFS('単価履歴'!$O:$O,'単価履歴'!$E:$E,E4934,'単価履歴'!$F:$F,F4934)=O4934,"●","")</f>
        <v/>
      </c>
      <c r="O4934" s="346">
        <v>46112.280706018515</v>
      </c>
      <c r="P4934" s="334" t="str">
        <f t="shared" si="4"/>
        <v>大鉄　堺:産振鋼ダライＡ</v>
      </c>
    </row>
    <row r="4935" ht="15.75" customHeight="1">
      <c r="A4935" s="335" t="s">
        <v>6082</v>
      </c>
      <c r="B4935" s="336">
        <v>46112.0</v>
      </c>
      <c r="C4935" s="335" t="s">
        <v>9</v>
      </c>
      <c r="D4935" s="335" t="s">
        <v>49</v>
      </c>
      <c r="E4935" s="337" t="str">
        <f t="shared" si="1"/>
        <v>大鉄　堺:伊藤忠</v>
      </c>
      <c r="F4935" s="338" t="s">
        <v>111</v>
      </c>
      <c r="G4935" s="339" t="str">
        <f t="shared" si="2"/>
        <v>大鉄　堺:伊藤忠Ｈ１(特A)</v>
      </c>
      <c r="H4935" s="340">
        <f t="shared" si="3"/>
        <v>35.3</v>
      </c>
      <c r="I4935" s="341">
        <v>1.0</v>
      </c>
      <c r="J4935" s="332">
        <f>IFERROR(__xludf.DUMMYFUNCTION("IF(IF(COUNTIF(P$2:P4934, P4935)=0, """", INDEX(H$2:H4934,
MAX(FILTER(ROW(H$2:H4934) - ROW(H$2) + 1, P$2:P4934 = P4935))))=""単価"","""",
IF(COUNTIF(P$2:P4934, P4935)=0, """", INDEX(H$2:H4934,
MAX(FILTER(ROW(H$2:H4934) - ROW(H$2) + 1, P$2:P4934 = P4935)))))"),34.3)</f>
        <v>34.3</v>
      </c>
      <c r="N4935" s="335" t="str">
        <f>IF(MAXIFS('単価履歴'!$O:$O,'単価履歴'!$E:$E,E4935,'単価履歴'!$F:$F,F4935)=O4935,"●","")</f>
        <v/>
      </c>
      <c r="O4935" s="346">
        <v>46112.28087962963</v>
      </c>
      <c r="P4935" s="334" t="str">
        <f t="shared" si="4"/>
        <v>大鉄　堺:伊藤忠Ｈ１(特A)</v>
      </c>
    </row>
    <row r="4936" ht="15.75" customHeight="1">
      <c r="A4936" s="335" t="s">
        <v>6083</v>
      </c>
      <c r="B4936" s="336">
        <v>46112.0</v>
      </c>
      <c r="C4936" s="335" t="s">
        <v>9</v>
      </c>
      <c r="D4936" s="335" t="s">
        <v>49</v>
      </c>
      <c r="E4936" s="337" t="str">
        <f t="shared" si="1"/>
        <v>大鉄　堺:伊藤忠</v>
      </c>
      <c r="F4936" s="338" t="s">
        <v>1237</v>
      </c>
      <c r="G4936" s="339" t="str">
        <f t="shared" si="2"/>
        <v>大鉄　堺:伊藤忠ＪＨ１(H2T山口)鍛造ﾊﾞﾘ</v>
      </c>
      <c r="H4936" s="340">
        <f t="shared" si="3"/>
        <v>42.7</v>
      </c>
      <c r="I4936" s="341">
        <v>1.0</v>
      </c>
      <c r="J4936" s="332">
        <f>IFERROR(__xludf.DUMMYFUNCTION("IF(IF(COUNTIF(P$2:P4935, P4936)=0, """", INDEX(H$2:H4935,
MAX(FILTER(ROW(H$2:H4935) - ROW(H$2) + 1, P$2:P4935 = P4936))))=""単価"","""",
IF(COUNTIF(P$2:P4935, P4936)=0, """", INDEX(H$2:H4935,
MAX(FILTER(ROW(H$2:H4935) - ROW(H$2) + 1, P$2:P4935 = P4936)))))"),41.7)</f>
        <v>41.7</v>
      </c>
      <c r="N4936" s="335" t="str">
        <f>IF(MAXIFS('単価履歴'!$O:$O,'単価履歴'!$E:$E,E4936,'単価履歴'!$F:$F,F4936)=O4936,"●","")</f>
        <v/>
      </c>
      <c r="O4936" s="346">
        <v>46112.28087962963</v>
      </c>
      <c r="P4936" s="334" t="str">
        <f t="shared" si="4"/>
        <v>大鉄　堺:伊藤忠ＪＨ１(H2T山口)鍛造ﾊﾞﾘ</v>
      </c>
    </row>
    <row r="4937" ht="15.75" customHeight="1">
      <c r="A4937" s="335" t="s">
        <v>6084</v>
      </c>
      <c r="B4937" s="336">
        <v>46112.0</v>
      </c>
      <c r="C4937" s="335" t="s">
        <v>9</v>
      </c>
      <c r="D4937" s="335" t="s">
        <v>49</v>
      </c>
      <c r="E4937" s="337" t="str">
        <f t="shared" si="1"/>
        <v>大鉄　堺:伊藤忠</v>
      </c>
      <c r="F4937" s="338" t="s">
        <v>116</v>
      </c>
      <c r="G4937" s="339" t="str">
        <f t="shared" si="2"/>
        <v>大鉄　堺:伊藤忠Ｈ２(特級)</v>
      </c>
      <c r="H4937" s="340">
        <f t="shared" si="3"/>
        <v>40.5</v>
      </c>
      <c r="I4937" s="341">
        <v>1.0</v>
      </c>
      <c r="J4937" s="332">
        <f>IFERROR(__xludf.DUMMYFUNCTION("IF(IF(COUNTIF(P$2:P4936, P4937)=0, """", INDEX(H$2:H4936,
MAX(FILTER(ROW(H$2:H4936) - ROW(H$2) + 1, P$2:P4936 = P4937))))=""単価"","""",
IF(COUNTIF(P$2:P4936, P4937)=0, """", INDEX(H$2:H4936,
MAX(FILTER(ROW(H$2:H4936) - ROW(H$2) + 1, P$2:P4936 = P4937)))))"),39.5)</f>
        <v>39.5</v>
      </c>
      <c r="N4937" s="335" t="str">
        <f>IF(MAXIFS('単価履歴'!$O:$O,'単価履歴'!$E:$E,E4937,'単価履歴'!$F:$F,F4937)=O4937,"●","")</f>
        <v/>
      </c>
      <c r="O4937" s="346">
        <v>46112.28087962963</v>
      </c>
      <c r="P4937" s="334" t="str">
        <f t="shared" si="4"/>
        <v>大鉄　堺:伊藤忠Ｈ２(特級)</v>
      </c>
    </row>
    <row r="4938" ht="15.75" customHeight="1">
      <c r="A4938" s="335" t="s">
        <v>6085</v>
      </c>
      <c r="B4938" s="336">
        <v>46112.0</v>
      </c>
      <c r="C4938" s="335" t="s">
        <v>9</v>
      </c>
      <c r="D4938" s="335" t="s">
        <v>49</v>
      </c>
      <c r="E4938" s="337" t="str">
        <f t="shared" si="1"/>
        <v>大鉄　堺:伊藤忠</v>
      </c>
      <c r="F4938" s="338" t="s">
        <v>119</v>
      </c>
      <c r="G4938" s="339" t="str">
        <f t="shared" si="2"/>
        <v>大鉄　堺:伊藤忠Ｈ３(1級)</v>
      </c>
      <c r="H4938" s="340">
        <f t="shared" si="3"/>
        <v>39.5</v>
      </c>
      <c r="I4938" s="341">
        <v>1.0</v>
      </c>
      <c r="J4938" s="332">
        <f>IFERROR(__xludf.DUMMYFUNCTION("IF(IF(COUNTIF(P$2:P4937, P4938)=0, """", INDEX(H$2:H4937,
MAX(FILTER(ROW(H$2:H4937) - ROW(H$2) + 1, P$2:P4937 = P4938))))=""単価"","""",
IF(COUNTIF(P$2:P4937, P4938)=0, """", INDEX(H$2:H4937,
MAX(FILTER(ROW(H$2:H4937) - ROW(H$2) + 1, P$2:P4937 = P4938)))))"),38.5)</f>
        <v>38.5</v>
      </c>
      <c r="N4938" s="335" t="str">
        <f>IF(MAXIFS('単価履歴'!$O:$O,'単価履歴'!$E:$E,E4938,'単価履歴'!$F:$F,F4938)=O4938,"●","")</f>
        <v/>
      </c>
      <c r="O4938" s="346">
        <v>46112.28087962963</v>
      </c>
      <c r="P4938" s="334" t="str">
        <f t="shared" si="4"/>
        <v>大鉄　堺:伊藤忠Ｈ３(1級)</v>
      </c>
    </row>
    <row r="4939" ht="15.75" customHeight="1">
      <c r="A4939" s="335" t="s">
        <v>6086</v>
      </c>
      <c r="B4939" s="336">
        <v>46112.0</v>
      </c>
      <c r="C4939" s="335" t="s">
        <v>9</v>
      </c>
      <c r="D4939" s="335" t="s">
        <v>49</v>
      </c>
      <c r="E4939" s="337" t="str">
        <f t="shared" si="1"/>
        <v>大鉄　堺:伊藤忠</v>
      </c>
      <c r="F4939" s="338" t="s">
        <v>122</v>
      </c>
      <c r="G4939" s="339" t="str">
        <f t="shared" si="2"/>
        <v>大鉄　堺:伊藤忠Ｌ１(2級)</v>
      </c>
      <c r="H4939" s="340">
        <f t="shared" si="3"/>
        <v>38.5</v>
      </c>
      <c r="I4939" s="341">
        <v>1.0</v>
      </c>
      <c r="J4939" s="332">
        <f>IFERROR(__xludf.DUMMYFUNCTION("IF(IF(COUNTIF(P$2:P4938, P4939)=0, """", INDEX(H$2:H4938,
MAX(FILTER(ROW(H$2:H4938) - ROW(H$2) + 1, P$2:P4938 = P4939))))=""単価"","""",
IF(COUNTIF(P$2:P4938, P4939)=0, """", INDEX(H$2:H4938,
MAX(FILTER(ROW(H$2:H4938) - ROW(H$2) + 1, P$2:P4938 = P4939)))))"),37.5)</f>
        <v>37.5</v>
      </c>
      <c r="N4939" s="335" t="str">
        <f>IF(MAXIFS('単価履歴'!$O:$O,'単価履歴'!$E:$E,E4939,'単価履歴'!$F:$F,F4939)=O4939,"●","")</f>
        <v/>
      </c>
      <c r="O4939" s="346">
        <v>46112.28087962963</v>
      </c>
      <c r="P4939" s="334" t="str">
        <f t="shared" si="4"/>
        <v>大鉄　堺:伊藤忠Ｌ１(2級)</v>
      </c>
    </row>
    <row r="4940" ht="15.75" customHeight="1">
      <c r="A4940" s="335" t="s">
        <v>6087</v>
      </c>
      <c r="B4940" s="336">
        <v>46112.0</v>
      </c>
      <c r="C4940" s="335" t="s">
        <v>9</v>
      </c>
      <c r="D4940" s="335" t="s">
        <v>49</v>
      </c>
      <c r="E4940" s="337" t="str">
        <f t="shared" si="1"/>
        <v>大鉄　堺:伊藤忠</v>
      </c>
      <c r="F4940" s="338" t="s">
        <v>130</v>
      </c>
      <c r="G4940" s="339" t="str">
        <f t="shared" si="2"/>
        <v>大鉄　堺:伊藤忠新断Ａ</v>
      </c>
      <c r="H4940" s="340">
        <f t="shared" si="3"/>
        <v>34.8</v>
      </c>
      <c r="I4940" s="341">
        <v>1.0</v>
      </c>
      <c r="J4940" s="332">
        <f>IFERROR(__xludf.DUMMYFUNCTION("IF(IF(COUNTIF(P$2:P4939, P4940)=0, """", INDEX(H$2:H4939,
MAX(FILTER(ROW(H$2:H4939) - ROW(H$2) + 1, P$2:P4939 = P4940))))=""単価"","""",
IF(COUNTIF(P$2:P4939, P4940)=0, """", INDEX(H$2:H4939,
MAX(FILTER(ROW(H$2:H4939) - ROW(H$2) + 1, P$2:P4939 = P4940)))))"),33.8)</f>
        <v>33.8</v>
      </c>
      <c r="N4940" s="335" t="str">
        <f>IF(MAXIFS('単価履歴'!$O:$O,'単価履歴'!$E:$E,E4940,'単価履歴'!$F:$F,F4940)=O4940,"●","")</f>
        <v/>
      </c>
      <c r="O4940" s="346">
        <v>46112.28087962963</v>
      </c>
      <c r="P4940" s="334" t="str">
        <f t="shared" si="4"/>
        <v>大鉄　堺:伊藤忠新断Ａ</v>
      </c>
    </row>
    <row r="4941" ht="15.75" customHeight="1">
      <c r="A4941" s="335" t="s">
        <v>6088</v>
      </c>
      <c r="B4941" s="336">
        <v>46112.0</v>
      </c>
      <c r="C4941" s="335" t="s">
        <v>9</v>
      </c>
      <c r="D4941" s="335" t="s">
        <v>49</v>
      </c>
      <c r="E4941" s="337" t="str">
        <f t="shared" si="1"/>
        <v>大鉄　堺:伊藤忠</v>
      </c>
      <c r="F4941" s="338" t="s">
        <v>131</v>
      </c>
      <c r="G4941" s="339" t="str">
        <f t="shared" si="2"/>
        <v>大鉄　堺:伊藤忠新断Ｂ</v>
      </c>
      <c r="H4941" s="340">
        <f t="shared" si="3"/>
        <v>34.3</v>
      </c>
      <c r="I4941" s="341">
        <v>1.0</v>
      </c>
      <c r="J4941" s="332">
        <f>IFERROR(__xludf.DUMMYFUNCTION("IF(IF(COUNTIF(P$2:P4940, P4941)=0, """", INDEX(H$2:H4940,
MAX(FILTER(ROW(H$2:H4940) - ROW(H$2) + 1, P$2:P4940 = P4941))))=""単価"","""",
IF(COUNTIF(P$2:P4940, P4941)=0, """", INDEX(H$2:H4940,
MAX(FILTER(ROW(H$2:H4940) - ROW(H$2) + 1, P$2:P4940 = P4941)))))"),33.3)</f>
        <v>33.3</v>
      </c>
      <c r="N4941" s="335" t="str">
        <f>IF(MAXIFS('単価履歴'!$O:$O,'単価履歴'!$E:$E,E4941,'単価履歴'!$F:$F,F4941)=O4941,"●","")</f>
        <v/>
      </c>
      <c r="O4941" s="346">
        <v>46112.28087962963</v>
      </c>
      <c r="P4941" s="334" t="str">
        <f t="shared" si="4"/>
        <v>大鉄　堺:伊藤忠新断Ｂ</v>
      </c>
    </row>
    <row r="4942" ht="15.75" customHeight="1">
      <c r="A4942" s="335" t="s">
        <v>6089</v>
      </c>
      <c r="B4942" s="336">
        <v>46112.0</v>
      </c>
      <c r="C4942" s="335" t="s">
        <v>9</v>
      </c>
      <c r="D4942" s="335" t="s">
        <v>48</v>
      </c>
      <c r="E4942" s="337" t="str">
        <f t="shared" si="1"/>
        <v>大鉄　堺:ナベ</v>
      </c>
      <c r="F4942" s="338" t="s">
        <v>116</v>
      </c>
      <c r="G4942" s="339" t="str">
        <f t="shared" si="2"/>
        <v>大鉄　堺:ナベＨ２(特級)</v>
      </c>
      <c r="H4942" s="340">
        <f t="shared" si="3"/>
        <v>50.7</v>
      </c>
      <c r="I4942" s="341">
        <v>1.0</v>
      </c>
      <c r="J4942" s="332">
        <f>IFERROR(__xludf.DUMMYFUNCTION("IF(IF(COUNTIF(P$2:P4941, P4942)=0, """", INDEX(H$2:H4941,
MAX(FILTER(ROW(H$2:H4941) - ROW(H$2) + 1, P$2:P4941 = P4942))))=""単価"","""",
IF(COUNTIF(P$2:P4941, P4942)=0, """", INDEX(H$2:H4941,
MAX(FILTER(ROW(H$2:H4941) - ROW(H$2) + 1, P$2:P4941 = P4942)))))"),49.7)</f>
        <v>49.7</v>
      </c>
      <c r="N4942" s="335" t="str">
        <f>IF(MAXIFS('単価履歴'!$O:$O,'単価履歴'!$E:$E,E4942,'単価履歴'!$F:$F,F4942)=O4942,"●","")</f>
        <v/>
      </c>
      <c r="O4942" s="346">
        <v>46112.28109953704</v>
      </c>
      <c r="P4942" s="334" t="str">
        <f t="shared" si="4"/>
        <v>大鉄　堺:ナベＨ２(特級)</v>
      </c>
    </row>
    <row r="4943" ht="15.75" customHeight="1">
      <c r="A4943" s="335" t="s">
        <v>6090</v>
      </c>
      <c r="B4943" s="336">
        <v>46112.0</v>
      </c>
      <c r="C4943" s="335" t="s">
        <v>9</v>
      </c>
      <c r="D4943" s="335" t="s">
        <v>48</v>
      </c>
      <c r="E4943" s="337" t="str">
        <f t="shared" si="1"/>
        <v>大鉄　堺:ナベ</v>
      </c>
      <c r="F4943" s="338" t="s">
        <v>119</v>
      </c>
      <c r="G4943" s="339" t="str">
        <f t="shared" si="2"/>
        <v>大鉄　堺:ナベＨ３(1級)</v>
      </c>
      <c r="H4943" s="340">
        <f t="shared" si="3"/>
        <v>50.2</v>
      </c>
      <c r="I4943" s="341">
        <v>1.0</v>
      </c>
      <c r="J4943" s="332">
        <f>IFERROR(__xludf.DUMMYFUNCTION("IF(IF(COUNTIF(P$2:P4942, P4943)=0, """", INDEX(H$2:H4942,
MAX(FILTER(ROW(H$2:H4942) - ROW(H$2) + 1, P$2:P4942 = P4943))))=""単価"","""",
IF(COUNTIF(P$2:P4942, P4943)=0, """", INDEX(H$2:H4942,
MAX(FILTER(ROW(H$2:H4942) - ROW(H$2) + 1, P$2:P4942 = P4943)))))"),49.2)</f>
        <v>49.2</v>
      </c>
      <c r="N4943" s="335" t="str">
        <f>IF(MAXIFS('単価履歴'!$O:$O,'単価履歴'!$E:$E,E4943,'単価履歴'!$F:$F,F4943)=O4943,"●","")</f>
        <v/>
      </c>
      <c r="O4943" s="346">
        <v>46112.28109953704</v>
      </c>
      <c r="P4943" s="334" t="str">
        <f t="shared" si="4"/>
        <v>大鉄　堺:ナベＨ３(1級)</v>
      </c>
    </row>
    <row r="4944" ht="15.75" customHeight="1">
      <c r="A4944" s="335" t="s">
        <v>6091</v>
      </c>
      <c r="B4944" s="336">
        <v>46112.0</v>
      </c>
      <c r="C4944" s="335" t="s">
        <v>9</v>
      </c>
      <c r="D4944" s="335" t="s">
        <v>48</v>
      </c>
      <c r="E4944" s="337" t="str">
        <f t="shared" si="1"/>
        <v>大鉄　堺:ナベ</v>
      </c>
      <c r="F4944" s="338" t="s">
        <v>122</v>
      </c>
      <c r="G4944" s="339" t="str">
        <f t="shared" si="2"/>
        <v>大鉄　堺:ナベＬ１(2級)</v>
      </c>
      <c r="H4944" s="340">
        <f t="shared" si="3"/>
        <v>49.7</v>
      </c>
      <c r="I4944" s="341">
        <v>1.0</v>
      </c>
      <c r="J4944" s="332">
        <f>IFERROR(__xludf.DUMMYFUNCTION("IF(IF(COUNTIF(P$2:P4943, P4944)=0, """", INDEX(H$2:H4943,
MAX(FILTER(ROW(H$2:H4943) - ROW(H$2) + 1, P$2:P4943 = P4944))))=""単価"","""",
IF(COUNTIF(P$2:P4943, P4944)=0, """", INDEX(H$2:H4943,
MAX(FILTER(ROW(H$2:H4943) - ROW(H$2) + 1, P$2:P4943 = P4944)))))"),48.7)</f>
        <v>48.7</v>
      </c>
      <c r="N4944" s="335" t="str">
        <f>IF(MAXIFS('単価履歴'!$O:$O,'単価履歴'!$E:$E,E4944,'単価履歴'!$F:$F,F4944)=O4944,"●","")</f>
        <v/>
      </c>
      <c r="O4944" s="346">
        <v>46112.28109953704</v>
      </c>
      <c r="P4944" s="334" t="str">
        <f t="shared" si="4"/>
        <v>大鉄　堺:ナベＬ１(2級)</v>
      </c>
    </row>
    <row r="4945" ht="15.75" customHeight="1">
      <c r="A4945" s="335" t="s">
        <v>6092</v>
      </c>
      <c r="B4945" s="336">
        <v>46112.0</v>
      </c>
      <c r="C4945" s="335" t="s">
        <v>10</v>
      </c>
      <c r="D4945" s="335" t="s">
        <v>47</v>
      </c>
      <c r="E4945" s="337" t="str">
        <f t="shared" si="1"/>
        <v>岸和田:豊通</v>
      </c>
      <c r="F4945" s="338" t="s">
        <v>111</v>
      </c>
      <c r="G4945" s="339" t="str">
        <f t="shared" si="2"/>
        <v>岸和田:豊通Ｈ１(特A)</v>
      </c>
      <c r="H4945" s="340">
        <f t="shared" si="3"/>
        <v>50.5</v>
      </c>
      <c r="I4945" s="341">
        <v>1.0</v>
      </c>
      <c r="J4945" s="332">
        <f>IFERROR(__xludf.DUMMYFUNCTION("IF(IF(COUNTIF(P$2:P4944, P4945)=0, """", INDEX(H$2:H4944,
MAX(FILTER(ROW(H$2:H4944) - ROW(H$2) + 1, P$2:P4944 = P4945))))=""単価"","""",
IF(COUNTIF(P$2:P4944, P4945)=0, """", INDEX(H$2:H4944,
MAX(FILTER(ROW(H$2:H4944) - ROW(H$2) + 1, P$2:P4944 = P4945)))))"),49.5)</f>
        <v>49.5</v>
      </c>
      <c r="N4945" s="335" t="str">
        <f>IF(MAXIFS('単価履歴'!$O:$O,'単価履歴'!$E:$E,E4945,'単価履歴'!$F:$F,F4945)=O4945,"●","")</f>
        <v/>
      </c>
      <c r="O4945" s="346">
        <v>46112.28145833334</v>
      </c>
      <c r="P4945" s="334" t="str">
        <f t="shared" si="4"/>
        <v>岸和田:豊通Ｈ１(特A)</v>
      </c>
    </row>
    <row r="4946" ht="15.75" customHeight="1">
      <c r="A4946" s="335" t="s">
        <v>6093</v>
      </c>
      <c r="B4946" s="336">
        <v>46112.0</v>
      </c>
      <c r="C4946" s="335" t="s">
        <v>10</v>
      </c>
      <c r="D4946" s="335" t="s">
        <v>47</v>
      </c>
      <c r="E4946" s="337" t="str">
        <f t="shared" si="1"/>
        <v>岸和田:豊通</v>
      </c>
      <c r="F4946" s="338" t="s">
        <v>116</v>
      </c>
      <c r="G4946" s="339" t="str">
        <f t="shared" si="2"/>
        <v>岸和田:豊通Ｈ２(特級)</v>
      </c>
      <c r="H4946" s="340">
        <f t="shared" si="3"/>
        <v>48</v>
      </c>
      <c r="I4946" s="341">
        <v>1.0</v>
      </c>
      <c r="J4946" s="332">
        <f>IFERROR(__xludf.DUMMYFUNCTION("IF(IF(COUNTIF(P$2:P4945, P4946)=0, """", INDEX(H$2:H4945,
MAX(FILTER(ROW(H$2:H4945) - ROW(H$2) + 1, P$2:P4945 = P4946))))=""単価"","""",
IF(COUNTIF(P$2:P4945, P4946)=0, """", INDEX(H$2:H4945,
MAX(FILTER(ROW(H$2:H4945) - ROW(H$2) + 1, P$2:P4945 = P4946)))))"),47.0)</f>
        <v>47</v>
      </c>
      <c r="N4946" s="335" t="str">
        <f>IF(MAXIFS('単価履歴'!$O:$O,'単価履歴'!$E:$E,E4946,'単価履歴'!$F:$F,F4946)=O4946,"●","")</f>
        <v/>
      </c>
      <c r="O4946" s="346">
        <v>46112.28145833334</v>
      </c>
      <c r="P4946" s="334" t="str">
        <f t="shared" si="4"/>
        <v>岸和田:豊通Ｈ２(特級)</v>
      </c>
    </row>
    <row r="4947" ht="15.75" customHeight="1">
      <c r="A4947" s="335" t="s">
        <v>6094</v>
      </c>
      <c r="B4947" s="336">
        <v>46112.0</v>
      </c>
      <c r="C4947" s="335" t="s">
        <v>10</v>
      </c>
      <c r="D4947" s="335" t="s">
        <v>47</v>
      </c>
      <c r="E4947" s="337" t="str">
        <f t="shared" si="1"/>
        <v>岸和田:豊通</v>
      </c>
      <c r="F4947" s="338" t="s">
        <v>119</v>
      </c>
      <c r="G4947" s="339" t="str">
        <f t="shared" si="2"/>
        <v>岸和田:豊通Ｈ３(1級)</v>
      </c>
      <c r="H4947" s="340">
        <f t="shared" si="3"/>
        <v>47.5</v>
      </c>
      <c r="I4947" s="341">
        <v>1.0</v>
      </c>
      <c r="J4947" s="332">
        <f>IFERROR(__xludf.DUMMYFUNCTION("IF(IF(COUNTIF(P$2:P4946, P4947)=0, """", INDEX(H$2:H4946,
MAX(FILTER(ROW(H$2:H4946) - ROW(H$2) + 1, P$2:P4946 = P4947))))=""単価"","""",
IF(COUNTIF(P$2:P4946, P4947)=0, """", INDEX(H$2:H4946,
MAX(FILTER(ROW(H$2:H4946) - ROW(H$2) + 1, P$2:P4946 = P4947)))))"),46.5)</f>
        <v>46.5</v>
      </c>
      <c r="N4947" s="335" t="str">
        <f>IF(MAXIFS('単価履歴'!$O:$O,'単価履歴'!$E:$E,E4947,'単価履歴'!$F:$F,F4947)=O4947,"●","")</f>
        <v/>
      </c>
      <c r="O4947" s="346">
        <v>46112.28145833334</v>
      </c>
      <c r="P4947" s="334" t="str">
        <f t="shared" si="4"/>
        <v>岸和田:豊通Ｈ３(1級)</v>
      </c>
    </row>
    <row r="4948" ht="15.75" customHeight="1">
      <c r="A4948" s="335" t="s">
        <v>6095</v>
      </c>
      <c r="B4948" s="336">
        <v>46112.0</v>
      </c>
      <c r="C4948" s="335" t="s">
        <v>10</v>
      </c>
      <c r="D4948" s="335" t="s">
        <v>47</v>
      </c>
      <c r="E4948" s="337" t="str">
        <f t="shared" si="1"/>
        <v>岸和田:豊通</v>
      </c>
      <c r="F4948" s="338" t="s">
        <v>122</v>
      </c>
      <c r="G4948" s="339" t="str">
        <f t="shared" si="2"/>
        <v>岸和田:豊通Ｌ１(2級)</v>
      </c>
      <c r="H4948" s="340">
        <f t="shared" si="3"/>
        <v>47</v>
      </c>
      <c r="I4948" s="341">
        <v>1.0</v>
      </c>
      <c r="J4948" s="332">
        <f>IFERROR(__xludf.DUMMYFUNCTION("IF(IF(COUNTIF(P$2:P4947, P4948)=0, """", INDEX(H$2:H4947,
MAX(FILTER(ROW(H$2:H4947) - ROW(H$2) + 1, P$2:P4947 = P4948))))=""単価"","""",
IF(COUNTIF(P$2:P4947, P4948)=0, """", INDEX(H$2:H4947,
MAX(FILTER(ROW(H$2:H4947) - ROW(H$2) + 1, P$2:P4947 = P4948)))))"),46.0)</f>
        <v>46</v>
      </c>
      <c r="N4948" s="335" t="str">
        <f>IF(MAXIFS('単価履歴'!$O:$O,'単価履歴'!$E:$E,E4948,'単価履歴'!$F:$F,F4948)=O4948,"●","")</f>
        <v/>
      </c>
      <c r="O4948" s="346">
        <v>46112.28145833334</v>
      </c>
      <c r="P4948" s="334" t="str">
        <f t="shared" si="4"/>
        <v>岸和田:豊通Ｌ１(2級)</v>
      </c>
    </row>
    <row r="4949" ht="15.75" customHeight="1">
      <c r="A4949" s="335" t="s">
        <v>6096</v>
      </c>
      <c r="B4949" s="336">
        <v>46112.0</v>
      </c>
      <c r="C4949" s="335" t="s">
        <v>10</v>
      </c>
      <c r="D4949" s="335" t="s">
        <v>47</v>
      </c>
      <c r="E4949" s="337" t="str">
        <f t="shared" si="1"/>
        <v>岸和田:豊通</v>
      </c>
      <c r="F4949" s="338" t="s">
        <v>154</v>
      </c>
      <c r="G4949" s="339" t="str">
        <f t="shared" si="2"/>
        <v>岸和田:豊通ＣＰ Ａ</v>
      </c>
      <c r="H4949" s="340">
        <f t="shared" si="3"/>
        <v>50.2</v>
      </c>
      <c r="I4949" s="341">
        <v>1.0</v>
      </c>
      <c r="J4949" s="332">
        <f>IFERROR(__xludf.DUMMYFUNCTION("IF(IF(COUNTIF(P$2:P4948, P4949)=0, """", INDEX(H$2:H4948,
MAX(FILTER(ROW(H$2:H4948) - ROW(H$2) + 1, P$2:P4948 = P4949))))=""単価"","""",
IF(COUNTIF(P$2:P4948, P4949)=0, """", INDEX(H$2:H4948,
MAX(FILTER(ROW(H$2:H4948) - ROW(H$2) + 1, P$2:P4948 = P4949)))))"),49.2)</f>
        <v>49.2</v>
      </c>
      <c r="N4949" s="335" t="str">
        <f>IF(MAXIFS('単価履歴'!$O:$O,'単価履歴'!$E:$E,E4949,'単価履歴'!$F:$F,F4949)=O4949,"●","")</f>
        <v/>
      </c>
      <c r="O4949" s="346">
        <v>46112.28145833334</v>
      </c>
      <c r="P4949" s="334" t="str">
        <f t="shared" si="4"/>
        <v>岸和田:豊通ＣＰ Ａ</v>
      </c>
    </row>
    <row r="4950" ht="15.75" customHeight="1">
      <c r="A4950" s="335" t="s">
        <v>6097</v>
      </c>
      <c r="B4950" s="336">
        <v>46112.0</v>
      </c>
      <c r="C4950" s="335" t="s">
        <v>10</v>
      </c>
      <c r="D4950" s="335" t="s">
        <v>539</v>
      </c>
      <c r="E4950" s="337" t="str">
        <f t="shared" si="1"/>
        <v>岸和田:岡谷鋼機</v>
      </c>
      <c r="F4950" s="338" t="s">
        <v>111</v>
      </c>
      <c r="G4950" s="339" t="str">
        <f t="shared" si="2"/>
        <v>岸和田:岡谷鋼機Ｈ１(特A)</v>
      </c>
      <c r="H4950" s="340">
        <f t="shared" si="3"/>
        <v>55.2</v>
      </c>
      <c r="I4950" s="341">
        <v>1.0</v>
      </c>
      <c r="J4950" s="332">
        <f>IFERROR(__xludf.DUMMYFUNCTION("IF(IF(COUNTIF(P$2:P4949, P4950)=0, """", INDEX(H$2:H4949,
MAX(FILTER(ROW(H$2:H4949) - ROW(H$2) + 1, P$2:P4949 = P4950))))=""単価"","""",
IF(COUNTIF(P$2:P4949, P4950)=0, """", INDEX(H$2:H4949,
MAX(FILTER(ROW(H$2:H4949) - ROW(H$2) + 1, P$2:P4949 = P4950)))))"),54.2)</f>
        <v>54.2</v>
      </c>
      <c r="N4950" s="335" t="str">
        <f>IF(MAXIFS('単価履歴'!$O:$O,'単価履歴'!$E:$E,E4950,'単価履歴'!$F:$F,F4950)=O4950,"●","")</f>
        <v/>
      </c>
      <c r="O4950" s="346">
        <v>46112.28196759259</v>
      </c>
      <c r="P4950" s="334" t="str">
        <f t="shared" si="4"/>
        <v>岸和田:岡谷鋼機Ｈ１(特A)</v>
      </c>
    </row>
    <row r="4951" ht="15.75" customHeight="1">
      <c r="A4951" s="335" t="s">
        <v>6098</v>
      </c>
      <c r="B4951" s="336">
        <v>46112.0</v>
      </c>
      <c r="C4951" s="335" t="s">
        <v>10</v>
      </c>
      <c r="D4951" s="335" t="s">
        <v>539</v>
      </c>
      <c r="E4951" s="337" t="str">
        <f t="shared" si="1"/>
        <v>岸和田:岡谷鋼機</v>
      </c>
      <c r="F4951" s="338" t="s">
        <v>116</v>
      </c>
      <c r="G4951" s="339" t="str">
        <f t="shared" si="2"/>
        <v>岸和田:岡谷鋼機Ｈ２(特級)</v>
      </c>
      <c r="H4951" s="340">
        <f t="shared" si="3"/>
        <v>53.2</v>
      </c>
      <c r="I4951" s="341">
        <v>1.0</v>
      </c>
      <c r="J4951" s="332">
        <f>IFERROR(__xludf.DUMMYFUNCTION("IF(IF(COUNTIF(P$2:P4950, P4951)=0, """", INDEX(H$2:H4950,
MAX(FILTER(ROW(H$2:H4950) - ROW(H$2) + 1, P$2:P4950 = P4951))))=""単価"","""",
IF(COUNTIF(P$2:P4950, P4951)=0, """", INDEX(H$2:H4950,
MAX(FILTER(ROW(H$2:H4950) - ROW(H$2) + 1, P$2:P4950 = P4951)))))"),52.2)</f>
        <v>52.2</v>
      </c>
      <c r="N4951" s="335" t="str">
        <f>IF(MAXIFS('単価履歴'!$O:$O,'単価履歴'!$E:$E,E4951,'単価履歴'!$F:$F,F4951)=O4951,"●","")</f>
        <v/>
      </c>
      <c r="O4951" s="346">
        <v>46112.28196759259</v>
      </c>
      <c r="P4951" s="334" t="str">
        <f t="shared" si="4"/>
        <v>岸和田:岡谷鋼機Ｈ２(特級)</v>
      </c>
    </row>
    <row r="4952" ht="15.75" customHeight="1">
      <c r="A4952" s="335" t="s">
        <v>6099</v>
      </c>
      <c r="B4952" s="336">
        <v>46112.0</v>
      </c>
      <c r="C4952" s="335" t="s">
        <v>10</v>
      </c>
      <c r="D4952" s="335" t="s">
        <v>539</v>
      </c>
      <c r="E4952" s="337" t="str">
        <f t="shared" si="1"/>
        <v>岸和田:岡谷鋼機</v>
      </c>
      <c r="F4952" s="338" t="s">
        <v>119</v>
      </c>
      <c r="G4952" s="339" t="str">
        <f t="shared" si="2"/>
        <v>岸和田:岡谷鋼機Ｈ３(1級)</v>
      </c>
      <c r="H4952" s="340">
        <f t="shared" si="3"/>
        <v>51.2</v>
      </c>
      <c r="I4952" s="341">
        <v>1.0</v>
      </c>
      <c r="J4952" s="332">
        <f>IFERROR(__xludf.DUMMYFUNCTION("IF(IF(COUNTIF(P$2:P4951, P4952)=0, """", INDEX(H$2:H4951,
MAX(FILTER(ROW(H$2:H4951) - ROW(H$2) + 1, P$2:P4951 = P4952))))=""単価"","""",
IF(COUNTIF(P$2:P4951, P4952)=0, """", INDEX(H$2:H4951,
MAX(FILTER(ROW(H$2:H4951) - ROW(H$2) + 1, P$2:P4951 = P4952)))))"),50.2)</f>
        <v>50.2</v>
      </c>
      <c r="N4952" s="335" t="str">
        <f>IF(MAXIFS('単価履歴'!$O:$O,'単価履歴'!$E:$E,E4952,'単価履歴'!$F:$F,F4952)=O4952,"●","")</f>
        <v/>
      </c>
      <c r="O4952" s="346">
        <v>46112.28196759259</v>
      </c>
      <c r="P4952" s="334" t="str">
        <f t="shared" si="4"/>
        <v>岸和田:岡谷鋼機Ｈ３(1級)</v>
      </c>
    </row>
    <row r="4953" ht="15.75" customHeight="1">
      <c r="A4953" s="335" t="s">
        <v>6100</v>
      </c>
      <c r="B4953" s="336">
        <v>46112.0</v>
      </c>
      <c r="C4953" s="335" t="s">
        <v>36</v>
      </c>
      <c r="D4953" s="335" t="s">
        <v>1303</v>
      </c>
      <c r="E4953" s="337" t="str">
        <f t="shared" si="1"/>
        <v>共英枚方:ナベ/置場単価</v>
      </c>
      <c r="F4953" s="338" t="s">
        <v>111</v>
      </c>
      <c r="G4953" s="339" t="str">
        <f t="shared" si="2"/>
        <v>共英枚方:ナベ/置場単価Ｈ１(特A)</v>
      </c>
      <c r="H4953" s="340">
        <f t="shared" si="3"/>
        <v>50</v>
      </c>
      <c r="I4953" s="341">
        <v>1.0</v>
      </c>
      <c r="J4953" s="332">
        <f>IFERROR(__xludf.DUMMYFUNCTION("IF(IF(COUNTIF(P$2:P4952, P4953)=0, """", INDEX(H$2:H4952,
MAX(FILTER(ROW(H$2:H4952) - ROW(H$2) + 1, P$2:P4952 = P4953))))=""単価"","""",
IF(COUNTIF(P$2:P4952, P4953)=0, """", INDEX(H$2:H4952,
MAX(FILTER(ROW(H$2:H4952) - ROW(H$2) + 1, P$2:P4952 = P4953)))))"),49.0)</f>
        <v>49</v>
      </c>
      <c r="N4953" s="335" t="str">
        <f>IF(MAXIFS('単価履歴'!$O:$O,'単価履歴'!$E:$E,E4953,'単価履歴'!$F:$F,F4953)=O4953,"●","")</f>
        <v/>
      </c>
      <c r="O4953" s="346">
        <v>46112.282222222224</v>
      </c>
      <c r="P4953" s="334" t="str">
        <f t="shared" si="4"/>
        <v>共英枚方:ナベ/置場単価Ｈ１(特A)</v>
      </c>
    </row>
    <row r="4954" ht="15.75" customHeight="1">
      <c r="A4954" s="335" t="s">
        <v>6101</v>
      </c>
      <c r="B4954" s="336">
        <v>46112.0</v>
      </c>
      <c r="C4954" s="335" t="s">
        <v>36</v>
      </c>
      <c r="D4954" s="335" t="s">
        <v>1303</v>
      </c>
      <c r="E4954" s="337" t="str">
        <f t="shared" si="1"/>
        <v>共英枚方:ナベ/置場単価</v>
      </c>
      <c r="F4954" s="338" t="s">
        <v>116</v>
      </c>
      <c r="G4954" s="339" t="str">
        <f t="shared" si="2"/>
        <v>共英枚方:ナベ/置場単価Ｈ２(特級)</v>
      </c>
      <c r="H4954" s="340">
        <f t="shared" si="3"/>
        <v>48.5</v>
      </c>
      <c r="I4954" s="341">
        <v>1.0</v>
      </c>
      <c r="J4954" s="332">
        <f>IFERROR(__xludf.DUMMYFUNCTION("IF(IF(COUNTIF(P$2:P4953, P4954)=0, """", INDEX(H$2:H4953,
MAX(FILTER(ROW(H$2:H4953) - ROW(H$2) + 1, P$2:P4953 = P4954))))=""単価"","""",
IF(COUNTIF(P$2:P4953, P4954)=0, """", INDEX(H$2:H4953,
MAX(FILTER(ROW(H$2:H4953) - ROW(H$2) + 1, P$2:P4953 = P4954)))))"),47.5)</f>
        <v>47.5</v>
      </c>
      <c r="N4954" s="335" t="str">
        <f>IF(MAXIFS('単価履歴'!$O:$O,'単価履歴'!$E:$E,E4954,'単価履歴'!$F:$F,F4954)=O4954,"●","")</f>
        <v/>
      </c>
      <c r="O4954" s="346">
        <v>46112.282222222224</v>
      </c>
      <c r="P4954" s="334" t="str">
        <f t="shared" si="4"/>
        <v>共英枚方:ナベ/置場単価Ｈ２(特級)</v>
      </c>
    </row>
    <row r="4955" ht="15.75" customHeight="1">
      <c r="A4955" s="335" t="s">
        <v>6102</v>
      </c>
      <c r="B4955" s="336">
        <v>46112.0</v>
      </c>
      <c r="C4955" s="335" t="s">
        <v>36</v>
      </c>
      <c r="D4955" s="335" t="s">
        <v>1303</v>
      </c>
      <c r="E4955" s="337" t="str">
        <f t="shared" si="1"/>
        <v>共英枚方:ナベ/置場単価</v>
      </c>
      <c r="F4955" s="338" t="s">
        <v>119</v>
      </c>
      <c r="G4955" s="339" t="str">
        <f t="shared" si="2"/>
        <v>共英枚方:ナベ/置場単価Ｈ３(1級)</v>
      </c>
      <c r="H4955" s="340">
        <f t="shared" si="3"/>
        <v>48.5</v>
      </c>
      <c r="I4955" s="341">
        <v>1.0</v>
      </c>
      <c r="J4955" s="332">
        <f>IFERROR(__xludf.DUMMYFUNCTION("IF(IF(COUNTIF(P$2:P4954, P4955)=0, """", INDEX(H$2:H4954,
MAX(FILTER(ROW(H$2:H4954) - ROW(H$2) + 1, P$2:P4954 = P4955))))=""単価"","""",
IF(COUNTIF(P$2:P4954, P4955)=0, """", INDEX(H$2:H4954,
MAX(FILTER(ROW(H$2:H4954) - ROW(H$2) + 1, P$2:P4954 = P4955)))))"),47.5)</f>
        <v>47.5</v>
      </c>
      <c r="N4955" s="335" t="str">
        <f>IF(MAXIFS('単価履歴'!$O:$O,'単価履歴'!$E:$E,E4955,'単価履歴'!$F:$F,F4955)=O4955,"●","")</f>
        <v/>
      </c>
      <c r="O4955" s="346">
        <v>46112.282222222224</v>
      </c>
      <c r="P4955" s="334" t="str">
        <f t="shared" si="4"/>
        <v>共英枚方:ナベ/置場単価Ｈ３(1級)</v>
      </c>
    </row>
    <row r="4956" ht="15.75" customHeight="1">
      <c r="A4956" s="335" t="s">
        <v>6103</v>
      </c>
      <c r="B4956" s="336">
        <v>46112.0</v>
      </c>
      <c r="C4956" s="335" t="s">
        <v>36</v>
      </c>
      <c r="D4956" s="335" t="s">
        <v>1303</v>
      </c>
      <c r="E4956" s="337" t="str">
        <f t="shared" si="1"/>
        <v>共英枚方:ナベ/置場単価</v>
      </c>
      <c r="F4956" s="338" t="s">
        <v>122</v>
      </c>
      <c r="G4956" s="339" t="str">
        <f t="shared" si="2"/>
        <v>共英枚方:ナベ/置場単価Ｌ１(2級)</v>
      </c>
      <c r="H4956" s="340">
        <f t="shared" si="3"/>
        <v>48.5</v>
      </c>
      <c r="I4956" s="341">
        <v>1.0</v>
      </c>
      <c r="J4956" s="332">
        <f>IFERROR(__xludf.DUMMYFUNCTION("IF(IF(COUNTIF(P$2:P4955, P4956)=0, """", INDEX(H$2:H4955,
MAX(FILTER(ROW(H$2:H4955) - ROW(H$2) + 1, P$2:P4955 = P4956))))=""単価"","""",
IF(COUNTIF(P$2:P4955, P4956)=0, """", INDEX(H$2:H4955,
MAX(FILTER(ROW(H$2:H4955) - ROW(H$2) + 1, P$2:P4955 = P4956)))))"),47.5)</f>
        <v>47.5</v>
      </c>
      <c r="N4956" s="335" t="str">
        <f>IF(MAXIFS('単価履歴'!$O:$O,'単価履歴'!$E:$E,E4956,'単価履歴'!$F:$F,F4956)=O4956,"●","")</f>
        <v/>
      </c>
      <c r="O4956" s="346">
        <v>46112.282222222224</v>
      </c>
      <c r="P4956" s="334" t="str">
        <f t="shared" si="4"/>
        <v>共英枚方:ナベ/置場単価Ｌ１(2級)</v>
      </c>
    </row>
    <row r="4957" ht="15.75" customHeight="1">
      <c r="A4957" s="335" t="s">
        <v>6104</v>
      </c>
      <c r="B4957" s="336">
        <v>46112.0</v>
      </c>
      <c r="C4957" s="335" t="s">
        <v>36</v>
      </c>
      <c r="D4957" s="335" t="s">
        <v>1303</v>
      </c>
      <c r="E4957" s="337" t="str">
        <f t="shared" si="1"/>
        <v>共英枚方:ナベ/置場単価</v>
      </c>
      <c r="F4957" s="338" t="s">
        <v>154</v>
      </c>
      <c r="G4957" s="339" t="str">
        <f t="shared" si="2"/>
        <v>共英枚方:ナベ/置場単価ＣＰ Ａ</v>
      </c>
      <c r="H4957" s="340">
        <f t="shared" si="3"/>
        <v>52</v>
      </c>
      <c r="I4957" s="341">
        <v>1.0</v>
      </c>
      <c r="J4957" s="332">
        <f>IFERROR(__xludf.DUMMYFUNCTION("IF(IF(COUNTIF(P$2:P4956, P4957)=0, """", INDEX(H$2:H4956,
MAX(FILTER(ROW(H$2:H4956) - ROW(H$2) + 1, P$2:P4956 = P4957))))=""単価"","""",
IF(COUNTIF(P$2:P4956, P4957)=0, """", INDEX(H$2:H4956,
MAX(FILTER(ROW(H$2:H4956) - ROW(H$2) + 1, P$2:P4956 = P4957)))))"),51.0)</f>
        <v>51</v>
      </c>
      <c r="N4957" s="335" t="str">
        <f>IF(MAXIFS('単価履歴'!$O:$O,'単価履歴'!$E:$E,E4957,'単価履歴'!$F:$F,F4957)=O4957,"●","")</f>
        <v/>
      </c>
      <c r="O4957" s="346">
        <v>46112.282222222224</v>
      </c>
      <c r="P4957" s="334" t="str">
        <f t="shared" si="4"/>
        <v>共英枚方:ナベ/置場単価ＣＰ Ａ</v>
      </c>
    </row>
    <row r="4958" ht="15.75" customHeight="1">
      <c r="A4958" s="335" t="s">
        <v>6105</v>
      </c>
      <c r="B4958" s="336">
        <v>46112.0</v>
      </c>
      <c r="C4958" s="335" t="s">
        <v>5</v>
      </c>
      <c r="D4958" s="335" t="s">
        <v>46</v>
      </c>
      <c r="E4958" s="337" t="str">
        <f t="shared" si="1"/>
        <v>中山製鋼:阪和</v>
      </c>
      <c r="F4958" s="338" t="s">
        <v>101</v>
      </c>
      <c r="G4958" s="339" t="str">
        <f t="shared" si="2"/>
        <v>中山製鋼:阪和ＨＳ２</v>
      </c>
      <c r="H4958" s="340">
        <f t="shared" si="3"/>
        <v>54.4</v>
      </c>
      <c r="I4958" s="341">
        <v>1.0</v>
      </c>
      <c r="J4958" s="332">
        <f>IFERROR(__xludf.DUMMYFUNCTION("IF(IF(COUNTIF(P$2:P4957, P4958)=0, """", INDEX(H$2:H4957,
MAX(FILTER(ROW(H$2:H4957) - ROW(H$2) + 1, P$2:P4957 = P4958))))=""単価"","""",
IF(COUNTIF(P$2:P4957, P4958)=0, """", INDEX(H$2:H4957,
MAX(FILTER(ROW(H$2:H4957) - ROW(H$2) + 1, P$2:P4957 = P4958)))))"),53.4)</f>
        <v>53.4</v>
      </c>
      <c r="N4958" s="335" t="str">
        <f>IF(MAXIFS('単価履歴'!$O:$O,'単価履歴'!$E:$E,E4958,'単価履歴'!$F:$F,F4958)=O4958,"●","")</f>
        <v/>
      </c>
      <c r="O4958" s="346">
        <v>46112.282696759255</v>
      </c>
      <c r="P4958" s="334" t="str">
        <f t="shared" si="4"/>
        <v>中山製鋼:阪和ＨＳ２</v>
      </c>
    </row>
    <row r="4959" ht="15.75" customHeight="1">
      <c r="A4959" s="335" t="s">
        <v>6106</v>
      </c>
      <c r="B4959" s="336">
        <v>46112.0</v>
      </c>
      <c r="C4959" s="335" t="s">
        <v>5</v>
      </c>
      <c r="D4959" s="335" t="s">
        <v>46</v>
      </c>
      <c r="E4959" s="337" t="str">
        <f t="shared" si="1"/>
        <v>中山製鋼:阪和</v>
      </c>
      <c r="F4959" s="338" t="s">
        <v>108</v>
      </c>
      <c r="G4959" s="339" t="str">
        <f t="shared" si="2"/>
        <v>中山製鋼:阪和Ｈ１/ｻﾑﾃｯｸ</v>
      </c>
      <c r="H4959" s="340">
        <f t="shared" si="3"/>
        <v>7.5</v>
      </c>
      <c r="I4959" s="341">
        <v>1.0</v>
      </c>
      <c r="J4959" s="332">
        <f>IFERROR(__xludf.DUMMYFUNCTION("IF(IF(COUNTIF(P$2:P4958, P4959)=0, """", INDEX(H$2:H4958,
MAX(FILTER(ROW(H$2:H4958) - ROW(H$2) + 1, P$2:P4958 = P4959))))=""単価"","""",
IF(COUNTIF(P$2:P4958, P4959)=0, """", INDEX(H$2:H4958,
MAX(FILTER(ROW(H$2:H4958) - ROW(H$2) + 1, P$2:P4958 = P4959)))))"),6.5)</f>
        <v>6.5</v>
      </c>
      <c r="N4959" s="335" t="str">
        <f>IF(MAXIFS('単価履歴'!$O:$O,'単価履歴'!$E:$E,E4959,'単価履歴'!$F:$F,F4959)=O4959,"●","")</f>
        <v/>
      </c>
      <c r="O4959" s="346">
        <v>46112.282696759255</v>
      </c>
      <c r="P4959" s="334" t="str">
        <f t="shared" si="4"/>
        <v>中山製鋼:阪和Ｈ１/ｻﾑﾃｯｸ</v>
      </c>
    </row>
    <row r="4960" ht="15.75" customHeight="1">
      <c r="A4960" s="335" t="s">
        <v>6107</v>
      </c>
      <c r="B4960" s="336">
        <v>46112.0</v>
      </c>
      <c r="C4960" s="335" t="s">
        <v>5</v>
      </c>
      <c r="D4960" s="335" t="s">
        <v>46</v>
      </c>
      <c r="E4960" s="337" t="str">
        <f t="shared" si="1"/>
        <v>中山製鋼:阪和</v>
      </c>
      <c r="F4960" s="338" t="s">
        <v>111</v>
      </c>
      <c r="G4960" s="339" t="str">
        <f t="shared" si="2"/>
        <v>中山製鋼:阪和Ｈ１(特A)</v>
      </c>
      <c r="H4960" s="340">
        <f t="shared" si="3"/>
        <v>52.3</v>
      </c>
      <c r="I4960" s="341">
        <v>1.0</v>
      </c>
      <c r="J4960" s="332">
        <f>IFERROR(__xludf.DUMMYFUNCTION("IF(IF(COUNTIF(P$2:P4959, P4960)=0, """", INDEX(H$2:H4959,
MAX(FILTER(ROW(H$2:H4959) - ROW(H$2) + 1, P$2:P4959 = P4960))))=""単価"","""",
IF(COUNTIF(P$2:P4959, P4960)=0, """", INDEX(H$2:H4959,
MAX(FILTER(ROW(H$2:H4959) - ROW(H$2) + 1, P$2:P4959 = P4960)))))"),51.3)</f>
        <v>51.3</v>
      </c>
      <c r="N4960" s="335" t="str">
        <f>IF(MAXIFS('単価履歴'!$O:$O,'単価履歴'!$E:$E,E4960,'単価履歴'!$F:$F,F4960)=O4960,"●","")</f>
        <v/>
      </c>
      <c r="O4960" s="346">
        <v>46112.282696759255</v>
      </c>
      <c r="P4960" s="334" t="str">
        <f t="shared" si="4"/>
        <v>中山製鋼:阪和Ｈ１(特A)</v>
      </c>
    </row>
    <row r="4961" ht="15.75" customHeight="1">
      <c r="A4961" s="335" t="s">
        <v>6108</v>
      </c>
      <c r="B4961" s="336">
        <v>46112.0</v>
      </c>
      <c r="C4961" s="335" t="s">
        <v>5</v>
      </c>
      <c r="D4961" s="335" t="s">
        <v>46</v>
      </c>
      <c r="E4961" s="337" t="str">
        <f t="shared" si="1"/>
        <v>中山製鋼:阪和</v>
      </c>
      <c r="F4961" s="338" t="s">
        <v>116</v>
      </c>
      <c r="G4961" s="339" t="str">
        <f t="shared" si="2"/>
        <v>中山製鋼:阪和Ｈ２(特級)</v>
      </c>
      <c r="H4961" s="340">
        <f t="shared" si="3"/>
        <v>46.3</v>
      </c>
      <c r="I4961" s="341">
        <v>1.0</v>
      </c>
      <c r="J4961" s="332">
        <f>IFERROR(__xludf.DUMMYFUNCTION("IF(IF(COUNTIF(P$2:P4960, P4961)=0, """", INDEX(H$2:H4960,
MAX(FILTER(ROW(H$2:H4960) - ROW(H$2) + 1, P$2:P4960 = P4961))))=""単価"","""",
IF(COUNTIF(P$2:P4960, P4961)=0, """", INDEX(H$2:H4960,
MAX(FILTER(ROW(H$2:H4960) - ROW(H$2) + 1, P$2:P4960 = P4961)))))"),45.3)</f>
        <v>45.3</v>
      </c>
      <c r="N4961" s="335" t="str">
        <f>IF(MAXIFS('単価履歴'!$O:$O,'単価履歴'!$E:$E,E4961,'単価履歴'!$F:$F,F4961)=O4961,"●","")</f>
        <v/>
      </c>
      <c r="O4961" s="346">
        <v>46112.282696759255</v>
      </c>
      <c r="P4961" s="334" t="str">
        <f t="shared" si="4"/>
        <v>中山製鋼:阪和Ｈ２(特級)</v>
      </c>
    </row>
    <row r="4962" ht="15.75" customHeight="1">
      <c r="A4962" s="335" t="s">
        <v>6109</v>
      </c>
      <c r="B4962" s="336">
        <v>46112.0</v>
      </c>
      <c r="C4962" s="335" t="s">
        <v>5</v>
      </c>
      <c r="D4962" s="335" t="s">
        <v>46</v>
      </c>
      <c r="E4962" s="337" t="str">
        <f t="shared" si="1"/>
        <v>中山製鋼:阪和</v>
      </c>
      <c r="F4962" s="338" t="s">
        <v>119</v>
      </c>
      <c r="G4962" s="339" t="str">
        <f t="shared" si="2"/>
        <v>中山製鋼:阪和Ｈ３(1級)</v>
      </c>
      <c r="H4962" s="340">
        <f t="shared" si="3"/>
        <v>42.3</v>
      </c>
      <c r="I4962" s="341">
        <v>1.0</v>
      </c>
      <c r="J4962" s="332">
        <f>IFERROR(__xludf.DUMMYFUNCTION("IF(IF(COUNTIF(P$2:P4961, P4962)=0, """", INDEX(H$2:H4961,
MAX(FILTER(ROW(H$2:H4961) - ROW(H$2) + 1, P$2:P4961 = P4962))))=""単価"","""",
IF(COUNTIF(P$2:P4961, P4962)=0, """", INDEX(H$2:H4961,
MAX(FILTER(ROW(H$2:H4961) - ROW(H$2) + 1, P$2:P4961 = P4962)))))"),41.3)</f>
        <v>41.3</v>
      </c>
      <c r="N4962" s="335" t="str">
        <f>IF(MAXIFS('単価履歴'!$O:$O,'単価履歴'!$E:$E,E4962,'単価履歴'!$F:$F,F4962)=O4962,"●","")</f>
        <v/>
      </c>
      <c r="O4962" s="346">
        <v>46112.282696759255</v>
      </c>
      <c r="P4962" s="334" t="str">
        <f t="shared" si="4"/>
        <v>中山製鋼:阪和Ｈ３(1級)</v>
      </c>
    </row>
    <row r="4963" ht="15.75" customHeight="1">
      <c r="A4963" s="335" t="s">
        <v>6110</v>
      </c>
      <c r="B4963" s="336">
        <v>46112.0</v>
      </c>
      <c r="C4963" s="335" t="s">
        <v>5</v>
      </c>
      <c r="D4963" s="335" t="s">
        <v>46</v>
      </c>
      <c r="E4963" s="337" t="str">
        <f t="shared" si="1"/>
        <v>中山製鋼:阪和</v>
      </c>
      <c r="F4963" s="338" t="s">
        <v>122</v>
      </c>
      <c r="G4963" s="339" t="str">
        <f t="shared" si="2"/>
        <v>中山製鋼:阪和Ｌ１(2級)</v>
      </c>
      <c r="H4963" s="340">
        <f t="shared" si="3"/>
        <v>35.8</v>
      </c>
      <c r="I4963" s="341">
        <v>1.0</v>
      </c>
      <c r="J4963" s="332">
        <f>IFERROR(__xludf.DUMMYFUNCTION("IF(IF(COUNTIF(P$2:P4962, P4963)=0, """", INDEX(H$2:H4962,
MAX(FILTER(ROW(H$2:H4962) - ROW(H$2) + 1, P$2:P4962 = P4963))))=""単価"","""",
IF(COUNTIF(P$2:P4962, P4963)=0, """", INDEX(H$2:H4962,
MAX(FILTER(ROW(H$2:H4962) - ROW(H$2) + 1, P$2:P4962 = P4963)))))"),34.8)</f>
        <v>34.8</v>
      </c>
      <c r="N4963" s="335" t="str">
        <f>IF(MAXIFS('単価履歴'!$O:$O,'単価履歴'!$E:$E,E4963,'単価履歴'!$F:$F,F4963)=O4963,"●","")</f>
        <v/>
      </c>
      <c r="O4963" s="346">
        <v>46112.282696759255</v>
      </c>
      <c r="P4963" s="334" t="str">
        <f t="shared" si="4"/>
        <v>中山製鋼:阪和Ｌ１(2級)</v>
      </c>
    </row>
    <row r="4964" ht="15.75" customHeight="1">
      <c r="A4964" s="335" t="s">
        <v>6111</v>
      </c>
      <c r="B4964" s="336">
        <v>46112.0</v>
      </c>
      <c r="C4964" s="335" t="s">
        <v>5</v>
      </c>
      <c r="D4964" s="335" t="s">
        <v>46</v>
      </c>
      <c r="E4964" s="337" t="str">
        <f t="shared" si="1"/>
        <v>中山製鋼:阪和</v>
      </c>
      <c r="F4964" s="338" t="s">
        <v>130</v>
      </c>
      <c r="G4964" s="339" t="str">
        <f t="shared" si="2"/>
        <v>中山製鋼:阪和新断Ａ</v>
      </c>
      <c r="H4964" s="340">
        <f t="shared" si="3"/>
        <v>55.3</v>
      </c>
      <c r="I4964" s="341">
        <v>1.0</v>
      </c>
      <c r="J4964" s="332">
        <f>IFERROR(__xludf.DUMMYFUNCTION("IF(IF(COUNTIF(P$2:P4963, P4964)=0, """", INDEX(H$2:H4963,
MAX(FILTER(ROW(H$2:H4963) - ROW(H$2) + 1, P$2:P4963 = P4964))))=""単価"","""",
IF(COUNTIF(P$2:P4963, P4964)=0, """", INDEX(H$2:H4963,
MAX(FILTER(ROW(H$2:H4963) - ROW(H$2) + 1, P$2:P4963 = P4964)))))"),54.3)</f>
        <v>54.3</v>
      </c>
      <c r="N4964" s="335" t="str">
        <f>IF(MAXIFS('単価履歴'!$O:$O,'単価履歴'!$E:$E,E4964,'単価履歴'!$F:$F,F4964)=O4964,"●","")</f>
        <v/>
      </c>
      <c r="O4964" s="346">
        <v>46112.282696759255</v>
      </c>
      <c r="P4964" s="334" t="str">
        <f t="shared" si="4"/>
        <v>中山製鋼:阪和新断Ａ</v>
      </c>
    </row>
    <row r="4965" ht="15.75" customHeight="1">
      <c r="A4965" s="335" t="s">
        <v>6112</v>
      </c>
      <c r="B4965" s="336">
        <v>46112.0</v>
      </c>
      <c r="C4965" s="335" t="s">
        <v>5</v>
      </c>
      <c r="D4965" s="335" t="s">
        <v>46</v>
      </c>
      <c r="E4965" s="337" t="str">
        <f t="shared" si="1"/>
        <v>中山製鋼:阪和</v>
      </c>
      <c r="F4965" s="338" t="s">
        <v>131</v>
      </c>
      <c r="G4965" s="339" t="str">
        <f t="shared" si="2"/>
        <v>中山製鋼:阪和新断Ｂ</v>
      </c>
      <c r="H4965" s="340">
        <f t="shared" si="3"/>
        <v>54.3</v>
      </c>
      <c r="I4965" s="341">
        <v>1.0</v>
      </c>
      <c r="J4965" s="332">
        <f>IFERROR(__xludf.DUMMYFUNCTION("IF(IF(COUNTIF(P$2:P4964, P4965)=0, """", INDEX(H$2:H4964,
MAX(FILTER(ROW(H$2:H4964) - ROW(H$2) + 1, P$2:P4964 = P4965))))=""単価"","""",
IF(COUNTIF(P$2:P4964, P4965)=0, """", INDEX(H$2:H4964,
MAX(FILTER(ROW(H$2:H4964) - ROW(H$2) + 1, P$2:P4964 = P4965)))))"),53.3)</f>
        <v>53.3</v>
      </c>
      <c r="N4965" s="335" t="str">
        <f>IF(MAXIFS('単価履歴'!$O:$O,'単価履歴'!$E:$E,E4965,'単価履歴'!$F:$F,F4965)=O4965,"●","")</f>
        <v/>
      </c>
      <c r="O4965" s="346">
        <v>46112.282696759255</v>
      </c>
      <c r="P4965" s="334" t="str">
        <f t="shared" si="4"/>
        <v>中山製鋼:阪和新断Ｂ</v>
      </c>
    </row>
    <row r="4966" ht="15.75" customHeight="1">
      <c r="A4966" s="335" t="s">
        <v>6113</v>
      </c>
      <c r="B4966" s="336">
        <v>46112.0</v>
      </c>
      <c r="C4966" s="335" t="s">
        <v>5</v>
      </c>
      <c r="D4966" s="335" t="s">
        <v>46</v>
      </c>
      <c r="E4966" s="337" t="str">
        <f t="shared" si="1"/>
        <v>中山製鋼:阪和</v>
      </c>
      <c r="F4966" s="338" t="s">
        <v>574</v>
      </c>
      <c r="G4966" s="339" t="str">
        <f t="shared" si="2"/>
        <v>中山製鋼:阪和新断Ｃ</v>
      </c>
      <c r="H4966" s="340">
        <f t="shared" si="3"/>
        <v>53.3</v>
      </c>
      <c r="I4966" s="341">
        <v>1.0</v>
      </c>
      <c r="J4966" s="332">
        <f>IFERROR(__xludf.DUMMYFUNCTION("IF(IF(COUNTIF(P$2:P4965, P4966)=0, """", INDEX(H$2:H4965,
MAX(FILTER(ROW(H$2:H4965) - ROW(H$2) + 1, P$2:P4965 = P4966))))=""単価"","""",
IF(COUNTIF(P$2:P4965, P4966)=0, """", INDEX(H$2:H4965,
MAX(FILTER(ROW(H$2:H4965) - ROW(H$2) + 1, P$2:P4965 = P4966)))))"),52.3)</f>
        <v>52.3</v>
      </c>
      <c r="N4966" s="335" t="str">
        <f>IF(MAXIFS('単価履歴'!$O:$O,'単価履歴'!$E:$E,E4966,'単価履歴'!$F:$F,F4966)=O4966,"●","")</f>
        <v/>
      </c>
      <c r="O4966" s="346">
        <v>46112.282696759255</v>
      </c>
      <c r="P4966" s="334" t="str">
        <f t="shared" si="4"/>
        <v>中山製鋼:阪和新断Ｃ</v>
      </c>
    </row>
    <row r="4967" ht="15.75" customHeight="1">
      <c r="A4967" s="335" t="s">
        <v>6114</v>
      </c>
      <c r="B4967" s="336">
        <v>46112.0</v>
      </c>
      <c r="C4967" s="335" t="s">
        <v>5</v>
      </c>
      <c r="D4967" s="335" t="s">
        <v>47</v>
      </c>
      <c r="E4967" s="337" t="str">
        <f t="shared" si="1"/>
        <v>中山製鋼:豊通</v>
      </c>
      <c r="F4967" s="338" t="s">
        <v>1199</v>
      </c>
      <c r="G4967" s="339" t="str">
        <f t="shared" si="2"/>
        <v>中山製鋼:豊通ＨＳ１(単体H1/電特A/HS))</v>
      </c>
      <c r="H4967" s="340">
        <f t="shared" si="3"/>
        <v>54.3</v>
      </c>
      <c r="I4967" s="341">
        <v>1.0</v>
      </c>
      <c r="J4967" s="332">
        <f>IFERROR(__xludf.DUMMYFUNCTION("IF(IF(COUNTIF(P$2:P4966, P4967)=0, """", INDEX(H$2:H4966,
MAX(FILTER(ROW(H$2:H4966) - ROW(H$2) + 1, P$2:P4966 = P4967))))=""単価"","""",
IF(COUNTIF(P$2:P4966, P4967)=0, """", INDEX(H$2:H4966,
MAX(FILTER(ROW(H$2:H4966) - ROW(H$2) + 1, P$2:P4966 = P4967)))))"),53.3)</f>
        <v>53.3</v>
      </c>
      <c r="N4967" s="335" t="str">
        <f>IF(MAXIFS('単価履歴'!$O:$O,'単価履歴'!$E:$E,E4967,'単価履歴'!$F:$F,F4967)=O4967,"●","")</f>
        <v/>
      </c>
      <c r="O4967" s="346">
        <v>46112.28283564815</v>
      </c>
      <c r="P4967" s="334" t="str">
        <f t="shared" si="4"/>
        <v>中山製鋼:豊通ＨＳ１(単体H1/電特A/HS))</v>
      </c>
    </row>
    <row r="4968" ht="15.75" customHeight="1">
      <c r="A4968" s="335" t="s">
        <v>6115</v>
      </c>
      <c r="B4968" s="336">
        <v>46112.0</v>
      </c>
      <c r="C4968" s="335" t="s">
        <v>5</v>
      </c>
      <c r="D4968" s="335" t="s">
        <v>47</v>
      </c>
      <c r="E4968" s="337" t="str">
        <f t="shared" si="1"/>
        <v>中山製鋼:豊通</v>
      </c>
      <c r="F4968" s="338" t="s">
        <v>101</v>
      </c>
      <c r="G4968" s="339" t="str">
        <f t="shared" si="2"/>
        <v>中山製鋼:豊通ＨＳ２</v>
      </c>
      <c r="H4968" s="340">
        <f t="shared" si="3"/>
        <v>54.3</v>
      </c>
      <c r="I4968" s="341">
        <v>1.0</v>
      </c>
      <c r="J4968" s="332">
        <f>IFERROR(__xludf.DUMMYFUNCTION("IF(IF(COUNTIF(P$2:P4967, P4968)=0, """", INDEX(H$2:H4967,
MAX(FILTER(ROW(H$2:H4967) - ROW(H$2) + 1, P$2:P4967 = P4968))))=""単価"","""",
IF(COUNTIF(P$2:P4967, P4968)=0, """", INDEX(H$2:H4967,
MAX(FILTER(ROW(H$2:H4967) - ROW(H$2) + 1, P$2:P4967 = P4968)))))"),53.3)</f>
        <v>53.3</v>
      </c>
      <c r="N4968" s="335" t="str">
        <f>IF(MAXIFS('単価履歴'!$O:$O,'単価履歴'!$E:$E,E4968,'単価履歴'!$F:$F,F4968)=O4968,"●","")</f>
        <v/>
      </c>
      <c r="O4968" s="346">
        <v>46112.28283564815</v>
      </c>
      <c r="P4968" s="334" t="str">
        <f t="shared" si="4"/>
        <v>中山製鋼:豊通ＨＳ２</v>
      </c>
    </row>
    <row r="4969" ht="15.75" customHeight="1">
      <c r="A4969" s="335" t="s">
        <v>6116</v>
      </c>
      <c r="B4969" s="336">
        <v>46112.0</v>
      </c>
      <c r="C4969" s="335" t="s">
        <v>5</v>
      </c>
      <c r="D4969" s="335" t="s">
        <v>47</v>
      </c>
      <c r="E4969" s="337" t="str">
        <f t="shared" si="1"/>
        <v>中山製鋼:豊通</v>
      </c>
      <c r="F4969" s="338" t="s">
        <v>108</v>
      </c>
      <c r="G4969" s="339" t="str">
        <f t="shared" si="2"/>
        <v>中山製鋼:豊通Ｈ１/ｻﾑﾃｯｸ</v>
      </c>
      <c r="H4969" s="340">
        <f t="shared" si="3"/>
        <v>7.5</v>
      </c>
      <c r="I4969" s="341">
        <v>1.0</v>
      </c>
      <c r="J4969" s="332">
        <f>IFERROR(__xludf.DUMMYFUNCTION("IF(IF(COUNTIF(P$2:P4968, P4969)=0, """", INDEX(H$2:H4968,
MAX(FILTER(ROW(H$2:H4968) - ROW(H$2) + 1, P$2:P4968 = P4969))))=""単価"","""",
IF(COUNTIF(P$2:P4968, P4969)=0, """", INDEX(H$2:H4968,
MAX(FILTER(ROW(H$2:H4968) - ROW(H$2) + 1, P$2:P4968 = P4969)))))"),6.5)</f>
        <v>6.5</v>
      </c>
      <c r="N4969" s="335" t="str">
        <f>IF(MAXIFS('単価履歴'!$O:$O,'単価履歴'!$E:$E,E4969,'単価履歴'!$F:$F,F4969)=O4969,"●","")</f>
        <v/>
      </c>
      <c r="O4969" s="346">
        <v>46112.28283564815</v>
      </c>
      <c r="P4969" s="334" t="str">
        <f t="shared" si="4"/>
        <v>中山製鋼:豊通Ｈ１/ｻﾑﾃｯｸ</v>
      </c>
    </row>
    <row r="4970" ht="15.75" customHeight="1">
      <c r="A4970" s="335" t="s">
        <v>6117</v>
      </c>
      <c r="B4970" s="336">
        <v>46112.0</v>
      </c>
      <c r="C4970" s="335" t="s">
        <v>5</v>
      </c>
      <c r="D4970" s="335" t="s">
        <v>47</v>
      </c>
      <c r="E4970" s="337" t="str">
        <f t="shared" si="1"/>
        <v>中山製鋼:豊通</v>
      </c>
      <c r="F4970" s="338" t="s">
        <v>111</v>
      </c>
      <c r="G4970" s="339" t="str">
        <f t="shared" si="2"/>
        <v>中山製鋼:豊通Ｈ１(特A)</v>
      </c>
      <c r="H4970" s="340">
        <f t="shared" si="3"/>
        <v>52.3</v>
      </c>
      <c r="I4970" s="341">
        <v>1.0</v>
      </c>
      <c r="J4970" s="332">
        <f>IFERROR(__xludf.DUMMYFUNCTION("IF(IF(COUNTIF(P$2:P4969, P4970)=0, """", INDEX(H$2:H4969,
MAX(FILTER(ROW(H$2:H4969) - ROW(H$2) + 1, P$2:P4969 = P4970))))=""単価"","""",
IF(COUNTIF(P$2:P4969, P4970)=0, """", INDEX(H$2:H4969,
MAX(FILTER(ROW(H$2:H4969) - ROW(H$2) + 1, P$2:P4969 = P4970)))))"),51.3)</f>
        <v>51.3</v>
      </c>
      <c r="N4970" s="335" t="str">
        <f>IF(MAXIFS('単価履歴'!$O:$O,'単価履歴'!$E:$E,E4970,'単価履歴'!$F:$F,F4970)=O4970,"●","")</f>
        <v/>
      </c>
      <c r="O4970" s="346">
        <v>46112.28283564815</v>
      </c>
      <c r="P4970" s="334" t="str">
        <f t="shared" si="4"/>
        <v>中山製鋼:豊通Ｈ１(特A)</v>
      </c>
    </row>
    <row r="4971" ht="15.75" customHeight="1">
      <c r="A4971" s="335" t="s">
        <v>6118</v>
      </c>
      <c r="B4971" s="336">
        <v>46112.0</v>
      </c>
      <c r="C4971" s="335" t="s">
        <v>5</v>
      </c>
      <c r="D4971" s="335" t="s">
        <v>47</v>
      </c>
      <c r="E4971" s="337" t="str">
        <f t="shared" si="1"/>
        <v>中山製鋼:豊通</v>
      </c>
      <c r="F4971" s="338" t="s">
        <v>116</v>
      </c>
      <c r="G4971" s="339" t="str">
        <f t="shared" si="2"/>
        <v>中山製鋼:豊通Ｈ２(特級)</v>
      </c>
      <c r="H4971" s="340">
        <f t="shared" si="3"/>
        <v>46.3</v>
      </c>
      <c r="I4971" s="341">
        <v>1.0</v>
      </c>
      <c r="J4971" s="332">
        <f>IFERROR(__xludf.DUMMYFUNCTION("IF(IF(COUNTIF(P$2:P4970, P4971)=0, """", INDEX(H$2:H4970,
MAX(FILTER(ROW(H$2:H4970) - ROW(H$2) + 1, P$2:P4970 = P4971))))=""単価"","""",
IF(COUNTIF(P$2:P4970, P4971)=0, """", INDEX(H$2:H4970,
MAX(FILTER(ROW(H$2:H4970) - ROW(H$2) + 1, P$2:P4970 = P4971)))))"),45.3)</f>
        <v>45.3</v>
      </c>
      <c r="N4971" s="335" t="str">
        <f>IF(MAXIFS('単価履歴'!$O:$O,'単価履歴'!$E:$E,E4971,'単価履歴'!$F:$F,F4971)=O4971,"●","")</f>
        <v/>
      </c>
      <c r="O4971" s="346">
        <v>46112.28283564815</v>
      </c>
      <c r="P4971" s="334" t="str">
        <f t="shared" si="4"/>
        <v>中山製鋼:豊通Ｈ２(特級)</v>
      </c>
    </row>
    <row r="4972" ht="15.75" customHeight="1">
      <c r="A4972" s="335" t="s">
        <v>6119</v>
      </c>
      <c r="B4972" s="336">
        <v>46112.0</v>
      </c>
      <c r="C4972" s="335" t="s">
        <v>5</v>
      </c>
      <c r="D4972" s="335" t="s">
        <v>47</v>
      </c>
      <c r="E4972" s="337" t="str">
        <f t="shared" si="1"/>
        <v>中山製鋼:豊通</v>
      </c>
      <c r="F4972" s="338" t="s">
        <v>119</v>
      </c>
      <c r="G4972" s="339" t="str">
        <f t="shared" si="2"/>
        <v>中山製鋼:豊通Ｈ３(1級)</v>
      </c>
      <c r="H4972" s="340">
        <f t="shared" si="3"/>
        <v>42.3</v>
      </c>
      <c r="I4972" s="341">
        <v>1.0</v>
      </c>
      <c r="J4972" s="332">
        <f>IFERROR(__xludf.DUMMYFUNCTION("IF(IF(COUNTIF(P$2:P4971, P4972)=0, """", INDEX(H$2:H4971,
MAX(FILTER(ROW(H$2:H4971) - ROW(H$2) + 1, P$2:P4971 = P4972))))=""単価"","""",
IF(COUNTIF(P$2:P4971, P4972)=0, """", INDEX(H$2:H4971,
MAX(FILTER(ROW(H$2:H4971) - ROW(H$2) + 1, P$2:P4971 = P4972)))))"),41.3)</f>
        <v>41.3</v>
      </c>
      <c r="N4972" s="335" t="str">
        <f>IF(MAXIFS('単価履歴'!$O:$O,'単価履歴'!$E:$E,E4972,'単価履歴'!$F:$F,F4972)=O4972,"●","")</f>
        <v/>
      </c>
      <c r="O4972" s="346">
        <v>46112.28283564815</v>
      </c>
      <c r="P4972" s="334" t="str">
        <f t="shared" si="4"/>
        <v>中山製鋼:豊通Ｈ３(1級)</v>
      </c>
    </row>
    <row r="4973" ht="15.75" customHeight="1">
      <c r="A4973" s="335" t="s">
        <v>6120</v>
      </c>
      <c r="B4973" s="336">
        <v>46112.0</v>
      </c>
      <c r="C4973" s="335" t="s">
        <v>5</v>
      </c>
      <c r="D4973" s="335" t="s">
        <v>47</v>
      </c>
      <c r="E4973" s="337" t="str">
        <f t="shared" si="1"/>
        <v>中山製鋼:豊通</v>
      </c>
      <c r="F4973" s="338" t="s">
        <v>122</v>
      </c>
      <c r="G4973" s="339" t="str">
        <f t="shared" si="2"/>
        <v>中山製鋼:豊通Ｌ１(2級)</v>
      </c>
      <c r="H4973" s="340">
        <f t="shared" si="3"/>
        <v>35.8</v>
      </c>
      <c r="I4973" s="341">
        <v>1.0</v>
      </c>
      <c r="J4973" s="332">
        <f>IFERROR(__xludf.DUMMYFUNCTION("IF(IF(COUNTIF(P$2:P4972, P4973)=0, """", INDEX(H$2:H4972,
MAX(FILTER(ROW(H$2:H4972) - ROW(H$2) + 1, P$2:P4972 = P4973))))=""単価"","""",
IF(COUNTIF(P$2:P4972, P4973)=0, """", INDEX(H$2:H4972,
MAX(FILTER(ROW(H$2:H4972) - ROW(H$2) + 1, P$2:P4972 = P4973)))))"),34.8)</f>
        <v>34.8</v>
      </c>
      <c r="N4973" s="335" t="str">
        <f>IF(MAXIFS('単価履歴'!$O:$O,'単価履歴'!$E:$E,E4973,'単価履歴'!$F:$F,F4973)=O4973,"●","")</f>
        <v/>
      </c>
      <c r="O4973" s="346">
        <v>46112.28283564815</v>
      </c>
      <c r="P4973" s="334" t="str">
        <f t="shared" si="4"/>
        <v>中山製鋼:豊通Ｌ１(2級)</v>
      </c>
    </row>
    <row r="4974" ht="15.75" customHeight="1">
      <c r="A4974" s="335" t="s">
        <v>6121</v>
      </c>
      <c r="B4974" s="336">
        <v>46112.0</v>
      </c>
      <c r="C4974" s="335" t="s">
        <v>5</v>
      </c>
      <c r="D4974" s="335" t="s">
        <v>47</v>
      </c>
      <c r="E4974" s="337" t="str">
        <f t="shared" si="1"/>
        <v>中山製鋼:豊通</v>
      </c>
      <c r="F4974" s="338" t="s">
        <v>130</v>
      </c>
      <c r="G4974" s="339" t="str">
        <f t="shared" si="2"/>
        <v>中山製鋼:豊通新断Ａ</v>
      </c>
      <c r="H4974" s="340">
        <f t="shared" si="3"/>
        <v>55.3</v>
      </c>
      <c r="I4974" s="341">
        <v>1.0</v>
      </c>
      <c r="J4974" s="332">
        <f>IFERROR(__xludf.DUMMYFUNCTION("IF(IF(COUNTIF(P$2:P4973, P4974)=0, """", INDEX(H$2:H4973,
MAX(FILTER(ROW(H$2:H4973) - ROW(H$2) + 1, P$2:P4973 = P4974))))=""単価"","""",
IF(COUNTIF(P$2:P4973, P4974)=0, """", INDEX(H$2:H4973,
MAX(FILTER(ROW(H$2:H4973) - ROW(H$2) + 1, P$2:P4973 = P4974)))))"),54.3)</f>
        <v>54.3</v>
      </c>
      <c r="N4974" s="335" t="str">
        <f>IF(MAXIFS('単価履歴'!$O:$O,'単価履歴'!$E:$E,E4974,'単価履歴'!$F:$F,F4974)=O4974,"●","")</f>
        <v/>
      </c>
      <c r="O4974" s="346">
        <v>46112.28283564815</v>
      </c>
      <c r="P4974" s="334" t="str">
        <f t="shared" si="4"/>
        <v>中山製鋼:豊通新断Ａ</v>
      </c>
    </row>
    <row r="4975" ht="15.75" customHeight="1">
      <c r="A4975" s="335" t="s">
        <v>6122</v>
      </c>
      <c r="B4975" s="336">
        <v>46112.0</v>
      </c>
      <c r="C4975" s="335" t="s">
        <v>5</v>
      </c>
      <c r="D4975" s="335" t="s">
        <v>47</v>
      </c>
      <c r="E4975" s="337" t="str">
        <f t="shared" si="1"/>
        <v>中山製鋼:豊通</v>
      </c>
      <c r="F4975" s="338" t="s">
        <v>131</v>
      </c>
      <c r="G4975" s="339" t="str">
        <f t="shared" si="2"/>
        <v>中山製鋼:豊通新断Ｂ</v>
      </c>
      <c r="H4975" s="340">
        <f t="shared" si="3"/>
        <v>54.3</v>
      </c>
      <c r="I4975" s="341">
        <v>1.0</v>
      </c>
      <c r="J4975" s="332">
        <f>IFERROR(__xludf.DUMMYFUNCTION("IF(IF(COUNTIF(P$2:P4974, P4975)=0, """", INDEX(H$2:H4974,
MAX(FILTER(ROW(H$2:H4974) - ROW(H$2) + 1, P$2:P4974 = P4975))))=""単価"","""",
IF(COUNTIF(P$2:P4974, P4975)=0, """", INDEX(H$2:H4974,
MAX(FILTER(ROW(H$2:H4974) - ROW(H$2) + 1, P$2:P4974 = P4975)))))"),53.3)</f>
        <v>53.3</v>
      </c>
      <c r="N4975" s="335" t="str">
        <f>IF(MAXIFS('単価履歴'!$O:$O,'単価履歴'!$E:$E,E4975,'単価履歴'!$F:$F,F4975)=O4975,"●","")</f>
        <v/>
      </c>
      <c r="O4975" s="346">
        <v>46112.28283564815</v>
      </c>
      <c r="P4975" s="334" t="str">
        <f t="shared" si="4"/>
        <v>中山製鋼:豊通新断Ｂ</v>
      </c>
    </row>
    <row r="4976" ht="15.75" customHeight="1">
      <c r="A4976" s="335" t="s">
        <v>6123</v>
      </c>
      <c r="B4976" s="336">
        <v>46112.0</v>
      </c>
      <c r="C4976" s="335" t="s">
        <v>5</v>
      </c>
      <c r="D4976" s="335" t="s">
        <v>47</v>
      </c>
      <c r="E4976" s="337" t="str">
        <f t="shared" si="1"/>
        <v>中山製鋼:豊通</v>
      </c>
      <c r="F4976" s="338" t="s">
        <v>574</v>
      </c>
      <c r="G4976" s="339" t="str">
        <f t="shared" si="2"/>
        <v>中山製鋼:豊通新断Ｃ</v>
      </c>
      <c r="H4976" s="340">
        <f t="shared" si="3"/>
        <v>53.3</v>
      </c>
      <c r="I4976" s="341">
        <v>1.0</v>
      </c>
      <c r="J4976" s="332">
        <f>IFERROR(__xludf.DUMMYFUNCTION("IF(IF(COUNTIF(P$2:P4975, P4976)=0, """", INDEX(H$2:H4975,
MAX(FILTER(ROW(H$2:H4975) - ROW(H$2) + 1, P$2:P4975 = P4976))))=""単価"","""",
IF(COUNTIF(P$2:P4975, P4976)=0, """", INDEX(H$2:H4975,
MAX(FILTER(ROW(H$2:H4975) - ROW(H$2) + 1, P$2:P4975 = P4976)))))"),52.3)</f>
        <v>52.3</v>
      </c>
      <c r="N4976" s="335" t="str">
        <f>IF(MAXIFS('単価履歴'!$O:$O,'単価履歴'!$E:$E,E4976,'単価履歴'!$F:$F,F4976)=O4976,"●","")</f>
        <v/>
      </c>
      <c r="O4976" s="346">
        <v>46112.28283564815</v>
      </c>
      <c r="P4976" s="334" t="str">
        <f t="shared" si="4"/>
        <v>中山製鋼:豊通新断Ｃ</v>
      </c>
    </row>
    <row r="4977" ht="15.75" customHeight="1">
      <c r="A4977" s="335" t="s">
        <v>6124</v>
      </c>
      <c r="B4977" s="336">
        <v>46112.0</v>
      </c>
      <c r="C4977" s="335" t="s">
        <v>5</v>
      </c>
      <c r="D4977" s="335" t="s">
        <v>1232</v>
      </c>
      <c r="E4977" s="337" t="str">
        <f t="shared" si="1"/>
        <v>中山製鋼:豊通/出張商店</v>
      </c>
      <c r="F4977" s="338" t="s">
        <v>130</v>
      </c>
      <c r="G4977" s="339" t="str">
        <f t="shared" si="2"/>
        <v>中山製鋼:豊通/出張商店新断Ａ</v>
      </c>
      <c r="H4977" s="340">
        <f t="shared" si="3"/>
        <v>54.3</v>
      </c>
      <c r="I4977" s="341">
        <v>1.0</v>
      </c>
      <c r="J4977" s="332">
        <f>IFERROR(__xludf.DUMMYFUNCTION("IF(IF(COUNTIF(P$2:P4976, P4977)=0, """", INDEX(H$2:H4976,
MAX(FILTER(ROW(H$2:H4976) - ROW(H$2) + 1, P$2:P4976 = P4977))))=""単価"","""",
IF(COUNTIF(P$2:P4976, P4977)=0, """", INDEX(H$2:H4976,
MAX(FILTER(ROW(H$2:H4976) - ROW(H$2) + 1, P$2:P4976 = P4977)))))"),53.3)</f>
        <v>53.3</v>
      </c>
      <c r="N4977" s="335" t="str">
        <f>IF(MAXIFS('単価履歴'!$O:$O,'単価履歴'!$E:$E,E4977,'単価履歴'!$F:$F,F4977)=O4977,"●","")</f>
        <v/>
      </c>
      <c r="O4977" s="346">
        <v>46112.28295138889</v>
      </c>
      <c r="P4977" s="334" t="str">
        <f t="shared" si="4"/>
        <v>中山製鋼:豊通/出張商店新断Ａ</v>
      </c>
    </row>
    <row r="4978" ht="15.75" customHeight="1">
      <c r="A4978" s="335" t="s">
        <v>6125</v>
      </c>
      <c r="B4978" s="336">
        <v>46112.0</v>
      </c>
      <c r="C4978" s="335" t="s">
        <v>5</v>
      </c>
      <c r="D4978" s="335" t="s">
        <v>1234</v>
      </c>
      <c r="E4978" s="337" t="str">
        <f t="shared" si="1"/>
        <v>中山製鋼:豊通/中川嘉弘商店</v>
      </c>
      <c r="F4978" s="338" t="s">
        <v>130</v>
      </c>
      <c r="G4978" s="339" t="str">
        <f t="shared" si="2"/>
        <v>中山製鋼:豊通/中川嘉弘商店新断Ａ</v>
      </c>
      <c r="H4978" s="340">
        <f t="shared" si="3"/>
        <v>52.3</v>
      </c>
      <c r="I4978" s="341">
        <v>1.0</v>
      </c>
      <c r="J4978" s="332">
        <f>IFERROR(__xludf.DUMMYFUNCTION("IF(IF(COUNTIF(P$2:P4977, P4978)=0, """", INDEX(H$2:H4977,
MAX(FILTER(ROW(H$2:H4977) - ROW(H$2) + 1, P$2:P4977 = P4978))))=""単価"","""",
IF(COUNTIF(P$2:P4977, P4978)=0, """", INDEX(H$2:H4977,
MAX(FILTER(ROW(H$2:H4977) - ROW(H$2) + 1, P$2:P4977 = P4978)))))"),51.3)</f>
        <v>51.3</v>
      </c>
      <c r="N4978" s="335" t="str">
        <f>IF(MAXIFS('単価履歴'!$O:$O,'単価履歴'!$E:$E,E4978,'単価履歴'!$F:$F,F4978)=O4978,"●","")</f>
        <v/>
      </c>
      <c r="O4978" s="346">
        <v>46112.28295138889</v>
      </c>
      <c r="P4978" s="334" t="str">
        <f t="shared" si="4"/>
        <v>中山製鋼:豊通/中川嘉弘商店新断Ａ</v>
      </c>
    </row>
    <row r="4979" ht="15.75" customHeight="1">
      <c r="A4979" s="335" t="s">
        <v>6126</v>
      </c>
      <c r="B4979" s="336">
        <v>46112.0</v>
      </c>
      <c r="C4979" s="335" t="s">
        <v>6</v>
      </c>
      <c r="D4979" s="335" t="s">
        <v>48</v>
      </c>
      <c r="E4979" s="337" t="str">
        <f t="shared" si="1"/>
        <v>中山鋼業:ナベ</v>
      </c>
      <c r="F4979" s="338" t="s">
        <v>111</v>
      </c>
      <c r="G4979" s="339" t="str">
        <f t="shared" si="2"/>
        <v>中山鋼業:ナベＨ１(特A)</v>
      </c>
      <c r="H4979" s="340">
        <f t="shared" si="3"/>
        <v>53</v>
      </c>
      <c r="I4979" s="341">
        <v>1.0</v>
      </c>
      <c r="J4979" s="332">
        <f>IFERROR(__xludf.DUMMYFUNCTION("IF(IF(COUNTIF(P$2:P4978, P4979)=0, """", INDEX(H$2:H4978,
MAX(FILTER(ROW(H$2:H4978) - ROW(H$2) + 1, P$2:P4978 = P4979))))=""単価"","""",
IF(COUNTIF(P$2:P4978, P4979)=0, """", INDEX(H$2:H4978,
MAX(FILTER(ROW(H$2:H4978) - ROW(H$2) + 1, P$2:P4978 = P4979)))))"),52.0)</f>
        <v>52</v>
      </c>
      <c r="N4979" s="335" t="str">
        <f>IF(MAXIFS('単価履歴'!$O:$O,'単価履歴'!$E:$E,E4979,'単価履歴'!$F:$F,F4979)=O4979,"●","")</f>
        <v/>
      </c>
      <c r="O4979" s="346">
        <v>46112.283368055556</v>
      </c>
      <c r="P4979" s="334" t="str">
        <f t="shared" si="4"/>
        <v>中山鋼業:ナベＨ１(特A)</v>
      </c>
    </row>
    <row r="4980" ht="15.75" customHeight="1">
      <c r="A4980" s="335" t="s">
        <v>6127</v>
      </c>
      <c r="B4980" s="336">
        <v>46112.0</v>
      </c>
      <c r="C4980" s="335" t="s">
        <v>6</v>
      </c>
      <c r="D4980" s="335" t="s">
        <v>48</v>
      </c>
      <c r="E4980" s="337" t="str">
        <f t="shared" si="1"/>
        <v>中山鋼業:ナベ</v>
      </c>
      <c r="F4980" s="338" t="s">
        <v>1237</v>
      </c>
      <c r="G4980" s="339" t="str">
        <f t="shared" si="2"/>
        <v>中山鋼業:ナベＪＨ１(H2T山口)鍛造ﾊﾞﾘ</v>
      </c>
      <c r="H4980" s="340">
        <f t="shared" si="3"/>
        <v>48.7</v>
      </c>
      <c r="I4980" s="341">
        <v>1.0</v>
      </c>
      <c r="J4980" s="332">
        <f>IFERROR(__xludf.DUMMYFUNCTION("IF(IF(COUNTIF(P$2:P4979, P4980)=0, """", INDEX(H$2:H4979,
MAX(FILTER(ROW(H$2:H4979) - ROW(H$2) + 1, P$2:P4979 = P4980))))=""単価"","""",
IF(COUNTIF(P$2:P4979, P4980)=0, """", INDEX(H$2:H4979,
MAX(FILTER(ROW(H$2:H4979) - ROW(H$2) + 1, P$2:P4979 = P4980)))))"),47.7)</f>
        <v>47.7</v>
      </c>
      <c r="N4980" s="335" t="str">
        <f>IF(MAXIFS('単価履歴'!$O:$O,'単価履歴'!$E:$E,E4980,'単価履歴'!$F:$F,F4980)=O4980,"●","")</f>
        <v/>
      </c>
      <c r="O4980" s="346">
        <v>46112.283368055556</v>
      </c>
      <c r="P4980" s="334" t="str">
        <f t="shared" si="4"/>
        <v>中山鋼業:ナベＪＨ１(H2T山口)鍛造ﾊﾞﾘ</v>
      </c>
    </row>
    <row r="4981" ht="15.75" customHeight="1">
      <c r="A4981" s="335" t="s">
        <v>6128</v>
      </c>
      <c r="B4981" s="336">
        <v>46112.0</v>
      </c>
      <c r="C4981" s="335" t="s">
        <v>6</v>
      </c>
      <c r="D4981" s="335" t="s">
        <v>48</v>
      </c>
      <c r="E4981" s="337" t="str">
        <f t="shared" si="1"/>
        <v>中山鋼業:ナベ</v>
      </c>
      <c r="F4981" s="338" t="s">
        <v>116</v>
      </c>
      <c r="G4981" s="339" t="str">
        <f t="shared" si="2"/>
        <v>中山鋼業:ナベＨ２(特級)</v>
      </c>
      <c r="H4981" s="340">
        <f t="shared" si="3"/>
        <v>51</v>
      </c>
      <c r="I4981" s="341">
        <v>1.0</v>
      </c>
      <c r="J4981" s="332">
        <f>IFERROR(__xludf.DUMMYFUNCTION("IF(IF(COUNTIF(P$2:P4980, P4981)=0, """", INDEX(H$2:H4980,
MAX(FILTER(ROW(H$2:H4980) - ROW(H$2) + 1, P$2:P4980 = P4981))))=""単価"","""",
IF(COUNTIF(P$2:P4980, P4981)=0, """", INDEX(H$2:H4980,
MAX(FILTER(ROW(H$2:H4980) - ROW(H$2) + 1, P$2:P4980 = P4981)))))"),50.0)</f>
        <v>50</v>
      </c>
      <c r="N4981" s="335" t="str">
        <f>IF(MAXIFS('単価履歴'!$O:$O,'単価履歴'!$E:$E,E4981,'単価履歴'!$F:$F,F4981)=O4981,"●","")</f>
        <v/>
      </c>
      <c r="O4981" s="346">
        <v>46112.283368055556</v>
      </c>
      <c r="P4981" s="334" t="str">
        <f t="shared" si="4"/>
        <v>中山鋼業:ナベＨ２(特級)</v>
      </c>
    </row>
    <row r="4982" ht="15.75" customHeight="1">
      <c r="A4982" s="335" t="s">
        <v>6129</v>
      </c>
      <c r="B4982" s="336">
        <v>46112.0</v>
      </c>
      <c r="C4982" s="335" t="s">
        <v>6</v>
      </c>
      <c r="D4982" s="335" t="s">
        <v>48</v>
      </c>
      <c r="E4982" s="337" t="str">
        <f t="shared" si="1"/>
        <v>中山鋼業:ナベ</v>
      </c>
      <c r="F4982" s="338" t="s">
        <v>119</v>
      </c>
      <c r="G4982" s="339" t="str">
        <f t="shared" si="2"/>
        <v>中山鋼業:ナベＨ３(1級)</v>
      </c>
      <c r="H4982" s="340">
        <f t="shared" si="3"/>
        <v>49.5</v>
      </c>
      <c r="I4982" s="341">
        <v>1.0</v>
      </c>
      <c r="J4982" s="332">
        <f>IFERROR(__xludf.DUMMYFUNCTION("IF(IF(COUNTIF(P$2:P4981, P4982)=0, """", INDEX(H$2:H4981,
MAX(FILTER(ROW(H$2:H4981) - ROW(H$2) + 1, P$2:P4981 = P4982))))=""単価"","""",
IF(COUNTIF(P$2:P4981, P4982)=0, """", INDEX(H$2:H4981,
MAX(FILTER(ROW(H$2:H4981) - ROW(H$2) + 1, P$2:P4981 = P4982)))))"),48.5)</f>
        <v>48.5</v>
      </c>
      <c r="N4982" s="335" t="str">
        <f>IF(MAXIFS('単価履歴'!$O:$O,'単価履歴'!$E:$E,E4982,'単価履歴'!$F:$F,F4982)=O4982,"●","")</f>
        <v/>
      </c>
      <c r="O4982" s="346">
        <v>46112.283368055556</v>
      </c>
      <c r="P4982" s="334" t="str">
        <f t="shared" si="4"/>
        <v>中山鋼業:ナベＨ３(1級)</v>
      </c>
    </row>
    <row r="4983" ht="15.75" customHeight="1">
      <c r="A4983" s="335" t="s">
        <v>6130</v>
      </c>
      <c r="B4983" s="336">
        <v>46112.0</v>
      </c>
      <c r="C4983" s="335" t="s">
        <v>6</v>
      </c>
      <c r="D4983" s="335" t="s">
        <v>48</v>
      </c>
      <c r="E4983" s="337" t="str">
        <f t="shared" si="1"/>
        <v>中山鋼業:ナベ</v>
      </c>
      <c r="F4983" s="338" t="s">
        <v>122</v>
      </c>
      <c r="G4983" s="339" t="str">
        <f t="shared" si="2"/>
        <v>中山鋼業:ナベＬ１(2級)</v>
      </c>
      <c r="H4983" s="340">
        <f t="shared" si="3"/>
        <v>49</v>
      </c>
      <c r="I4983" s="341">
        <v>1.0</v>
      </c>
      <c r="J4983" s="332">
        <f>IFERROR(__xludf.DUMMYFUNCTION("IF(IF(COUNTIF(P$2:P4982, P4983)=0, """", INDEX(H$2:H4982,
MAX(FILTER(ROW(H$2:H4982) - ROW(H$2) + 1, P$2:P4982 = P4983))))=""単価"","""",
IF(COUNTIF(P$2:P4982, P4983)=0, """", INDEX(H$2:H4982,
MAX(FILTER(ROW(H$2:H4982) - ROW(H$2) + 1, P$2:P4982 = P4983)))))"),48.0)</f>
        <v>48</v>
      </c>
      <c r="N4983" s="335" t="str">
        <f>IF(MAXIFS('単価履歴'!$O:$O,'単価履歴'!$E:$E,E4983,'単価履歴'!$F:$F,F4983)=O4983,"●","")</f>
        <v/>
      </c>
      <c r="O4983" s="346">
        <v>46112.283368055556</v>
      </c>
      <c r="P4983" s="334" t="str">
        <f t="shared" si="4"/>
        <v>中山鋼業:ナベＬ１(2級)</v>
      </c>
    </row>
    <row r="4984" ht="15.75" customHeight="1">
      <c r="A4984" s="335" t="s">
        <v>6131</v>
      </c>
      <c r="B4984" s="336">
        <v>46112.0</v>
      </c>
      <c r="C4984" s="335" t="s">
        <v>6</v>
      </c>
      <c r="D4984" s="335" t="s">
        <v>48</v>
      </c>
      <c r="E4984" s="337" t="str">
        <f t="shared" si="1"/>
        <v>中山鋼業:ナベ</v>
      </c>
      <c r="F4984" s="338" t="s">
        <v>573</v>
      </c>
      <c r="G4984" s="339" t="str">
        <f t="shared" si="2"/>
        <v>中山鋼業:ナベＬ２(H4･級外･L1ﾊﾞﾗ)</v>
      </c>
      <c r="H4984" s="340">
        <f t="shared" si="3"/>
        <v>45</v>
      </c>
      <c r="I4984" s="341">
        <v>1.0</v>
      </c>
      <c r="J4984" s="332">
        <f>IFERROR(__xludf.DUMMYFUNCTION("IF(IF(COUNTIF(P$2:P4983, P4984)=0, """", INDEX(H$2:H4983,
MAX(FILTER(ROW(H$2:H4983) - ROW(H$2) + 1, P$2:P4983 = P4984))))=""単価"","""",
IF(COUNTIF(P$2:P4983, P4984)=0, """", INDEX(H$2:H4983,
MAX(FILTER(ROW(H$2:H4983) - ROW(H$2) + 1, P$2:P4983 = P4984)))))"),44.0)</f>
        <v>44</v>
      </c>
      <c r="N4984" s="335" t="str">
        <f>IF(MAXIFS('単価履歴'!$O:$O,'単価履歴'!$E:$E,E4984,'単価履歴'!$F:$F,F4984)=O4984,"●","")</f>
        <v/>
      </c>
      <c r="O4984" s="346">
        <v>46112.283368055556</v>
      </c>
      <c r="P4984" s="334" t="str">
        <f t="shared" si="4"/>
        <v>中山鋼業:ナベＬ２(H4･級外･L1ﾊﾞﾗ)</v>
      </c>
    </row>
    <row r="4985" ht="15.75" customHeight="1">
      <c r="A4985" s="335" t="s">
        <v>6132</v>
      </c>
      <c r="B4985" s="336">
        <v>46112.0</v>
      </c>
      <c r="C4985" s="335" t="s">
        <v>6</v>
      </c>
      <c r="D4985" s="335" t="s">
        <v>48</v>
      </c>
      <c r="E4985" s="337" t="str">
        <f t="shared" si="1"/>
        <v>中山鋼業:ナベ</v>
      </c>
      <c r="F4985" s="338" t="s">
        <v>130</v>
      </c>
      <c r="G4985" s="339" t="str">
        <f t="shared" si="2"/>
        <v>中山鋼業:ナベ新断Ａ</v>
      </c>
      <c r="H4985" s="340">
        <f t="shared" si="3"/>
        <v>7.5</v>
      </c>
      <c r="I4985" s="341">
        <v>1.0</v>
      </c>
      <c r="J4985" s="332">
        <f>IFERROR(__xludf.DUMMYFUNCTION("IF(IF(COUNTIF(P$2:P4984, P4985)=0, """", INDEX(H$2:H4984,
MAX(FILTER(ROW(H$2:H4984) - ROW(H$2) + 1, P$2:P4984 = P4985))))=""単価"","""",
IF(COUNTIF(P$2:P4984, P4985)=0, """", INDEX(H$2:H4984,
MAX(FILTER(ROW(H$2:H4984) - ROW(H$2) + 1, P$2:P4984 = P4985)))))"),6.5)</f>
        <v>6.5</v>
      </c>
      <c r="N4985" s="335" t="str">
        <f>IF(MAXIFS('単価履歴'!$O:$O,'単価履歴'!$E:$E,E4985,'単価履歴'!$F:$F,F4985)=O4985,"●","")</f>
        <v/>
      </c>
      <c r="O4985" s="346">
        <v>46112.283368055556</v>
      </c>
      <c r="P4985" s="334" t="str">
        <f t="shared" si="4"/>
        <v>中山鋼業:ナベ新断Ａ</v>
      </c>
    </row>
    <row r="4986" ht="15.75" customHeight="1">
      <c r="A4986" s="335" t="s">
        <v>6133</v>
      </c>
      <c r="B4986" s="336">
        <v>46112.0</v>
      </c>
      <c r="C4986" s="335" t="s">
        <v>6</v>
      </c>
      <c r="D4986" s="335" t="s">
        <v>48</v>
      </c>
      <c r="E4986" s="337" t="str">
        <f t="shared" si="1"/>
        <v>中山鋼業:ナベ</v>
      </c>
      <c r="F4986" s="338" t="s">
        <v>575</v>
      </c>
      <c r="G4986" s="339" t="str">
        <f t="shared" si="2"/>
        <v>中山鋼業:ナベ鋼ダライＡ</v>
      </c>
      <c r="H4986" s="340">
        <f t="shared" si="3"/>
        <v>40.7</v>
      </c>
      <c r="I4986" s="341">
        <v>1.0</v>
      </c>
      <c r="J4986" s="332">
        <f>IFERROR(__xludf.DUMMYFUNCTION("IF(IF(COUNTIF(P$2:P4985, P4986)=0, """", INDEX(H$2:H4985,
MAX(FILTER(ROW(H$2:H4985) - ROW(H$2) + 1, P$2:P4985 = P4986))))=""単価"","""",
IF(COUNTIF(P$2:P4985, P4986)=0, """", INDEX(H$2:H4985,
MAX(FILTER(ROW(H$2:H4985) - ROW(H$2) + 1, P$2:P4985 = P4986)))))"),39.7)</f>
        <v>39.7</v>
      </c>
      <c r="N4986" s="335" t="str">
        <f>IF(MAXIFS('単価履歴'!$O:$O,'単価履歴'!$E:$E,E4986,'単価履歴'!$F:$F,F4986)=O4986,"●","")</f>
        <v/>
      </c>
      <c r="O4986" s="346">
        <v>46112.283368055556</v>
      </c>
      <c r="P4986" s="334" t="str">
        <f t="shared" si="4"/>
        <v>中山鋼業:ナベ鋼ダライＡ</v>
      </c>
    </row>
    <row r="4987" ht="15.75" customHeight="1">
      <c r="A4987" s="335" t="s">
        <v>6134</v>
      </c>
      <c r="B4987" s="336">
        <v>46112.0</v>
      </c>
      <c r="C4987" s="335" t="s">
        <v>7</v>
      </c>
      <c r="D4987" s="335" t="s">
        <v>49</v>
      </c>
      <c r="E4987" s="337" t="str">
        <f t="shared" si="1"/>
        <v>合同大阪:伊藤忠</v>
      </c>
      <c r="F4987" s="338" t="s">
        <v>1199</v>
      </c>
      <c r="G4987" s="339" t="str">
        <f t="shared" si="2"/>
        <v>合同大阪:伊藤忠ＨＳ１(単体H1/電特A/HS))</v>
      </c>
      <c r="H4987" s="340">
        <f t="shared" si="3"/>
        <v>52.8</v>
      </c>
      <c r="I4987" s="341">
        <v>1.0</v>
      </c>
      <c r="J4987" s="332">
        <f>IFERROR(__xludf.DUMMYFUNCTION("IF(IF(COUNTIF(P$2:P4986, P4987)=0, """", INDEX(H$2:H4986,
MAX(FILTER(ROW(H$2:H4986) - ROW(H$2) + 1, P$2:P4986 = P4987))))=""単価"","""",
IF(COUNTIF(P$2:P4986, P4987)=0, """", INDEX(H$2:H4986,
MAX(FILTER(ROW(H$2:H4986) - ROW(H$2) + 1, P$2:P4986 = P4987)))))"),51.8)</f>
        <v>51.8</v>
      </c>
      <c r="N4987" s="335" t="str">
        <f>IF(MAXIFS('単価履歴'!$O:$O,'単価履歴'!$E:$E,E4987,'単価履歴'!$F:$F,F4987)=O4987,"●","")</f>
        <v/>
      </c>
      <c r="O4987" s="346">
        <v>46112.2836574074</v>
      </c>
      <c r="P4987" s="334" t="str">
        <f t="shared" si="4"/>
        <v>合同大阪:伊藤忠ＨＳ１(単体H1/電特A/HS))</v>
      </c>
    </row>
    <row r="4988" ht="15.75" customHeight="1">
      <c r="A4988" s="335" t="s">
        <v>6135</v>
      </c>
      <c r="B4988" s="336">
        <v>46112.0</v>
      </c>
      <c r="C4988" s="335" t="s">
        <v>7</v>
      </c>
      <c r="D4988" s="335" t="s">
        <v>49</v>
      </c>
      <c r="E4988" s="337" t="str">
        <f t="shared" si="1"/>
        <v>合同大阪:伊藤忠</v>
      </c>
      <c r="F4988" s="338" t="s">
        <v>101</v>
      </c>
      <c r="G4988" s="339" t="str">
        <f t="shared" si="2"/>
        <v>合同大阪:伊藤忠ＨＳ２</v>
      </c>
      <c r="H4988" s="340">
        <f t="shared" si="3"/>
        <v>52.3</v>
      </c>
      <c r="I4988" s="341">
        <v>1.0</v>
      </c>
      <c r="J4988" s="332">
        <f>IFERROR(__xludf.DUMMYFUNCTION("IF(IF(COUNTIF(P$2:P4987, P4988)=0, """", INDEX(H$2:H4987,
MAX(FILTER(ROW(H$2:H4987) - ROW(H$2) + 1, P$2:P4987 = P4988))))=""単価"","""",
IF(COUNTIF(P$2:P4987, P4988)=0, """", INDEX(H$2:H4987,
MAX(FILTER(ROW(H$2:H4987) - ROW(H$2) + 1, P$2:P4987 = P4988)))))"),51.3)</f>
        <v>51.3</v>
      </c>
      <c r="N4988" s="335" t="str">
        <f>IF(MAXIFS('単価履歴'!$O:$O,'単価履歴'!$E:$E,E4988,'単価履歴'!$F:$F,F4988)=O4988,"●","")</f>
        <v/>
      </c>
      <c r="O4988" s="346">
        <v>46112.2836574074</v>
      </c>
      <c r="P4988" s="334" t="str">
        <f t="shared" si="4"/>
        <v>合同大阪:伊藤忠ＨＳ２</v>
      </c>
    </row>
    <row r="4989" ht="15.75" customHeight="1">
      <c r="A4989" s="335" t="s">
        <v>6136</v>
      </c>
      <c r="B4989" s="336">
        <v>46112.0</v>
      </c>
      <c r="C4989" s="335" t="s">
        <v>7</v>
      </c>
      <c r="D4989" s="335" t="s">
        <v>49</v>
      </c>
      <c r="E4989" s="337" t="str">
        <f t="shared" si="1"/>
        <v>合同大阪:伊藤忠</v>
      </c>
      <c r="F4989" s="338" t="s">
        <v>111</v>
      </c>
      <c r="G4989" s="339" t="str">
        <f t="shared" si="2"/>
        <v>合同大阪:伊藤忠Ｈ１(特A)</v>
      </c>
      <c r="H4989" s="340">
        <f t="shared" si="3"/>
        <v>53.3</v>
      </c>
      <c r="I4989" s="341">
        <v>1.0</v>
      </c>
      <c r="J4989" s="332">
        <f>IFERROR(__xludf.DUMMYFUNCTION("IF(IF(COUNTIF(P$2:P4988, P4989)=0, """", INDEX(H$2:H4988,
MAX(FILTER(ROW(H$2:H4988) - ROW(H$2) + 1, P$2:P4988 = P4989))))=""単価"","""",
IF(COUNTIF(P$2:P4988, P4989)=0, """", INDEX(H$2:H4988,
MAX(FILTER(ROW(H$2:H4988) - ROW(H$2) + 1, P$2:P4988 = P4989)))))"),52.3)</f>
        <v>52.3</v>
      </c>
      <c r="N4989" s="335" t="str">
        <f>IF(MAXIFS('単価履歴'!$O:$O,'単価履歴'!$E:$E,E4989,'単価履歴'!$F:$F,F4989)=O4989,"●","")</f>
        <v/>
      </c>
      <c r="O4989" s="346">
        <v>46112.2836574074</v>
      </c>
      <c r="P4989" s="334" t="str">
        <f t="shared" si="4"/>
        <v>合同大阪:伊藤忠Ｈ１(特A)</v>
      </c>
    </row>
    <row r="4990" ht="15.75" customHeight="1">
      <c r="A4990" s="335" t="s">
        <v>6137</v>
      </c>
      <c r="B4990" s="336">
        <v>46112.0</v>
      </c>
      <c r="C4990" s="335" t="s">
        <v>7</v>
      </c>
      <c r="D4990" s="335" t="s">
        <v>49</v>
      </c>
      <c r="E4990" s="337" t="str">
        <f t="shared" si="1"/>
        <v>合同大阪:伊藤忠</v>
      </c>
      <c r="F4990" s="338" t="s">
        <v>116</v>
      </c>
      <c r="G4990" s="339" t="str">
        <f t="shared" si="2"/>
        <v>合同大阪:伊藤忠Ｈ２(特級)</v>
      </c>
      <c r="H4990" s="340">
        <f t="shared" si="3"/>
        <v>51.3</v>
      </c>
      <c r="I4990" s="341">
        <v>1.0</v>
      </c>
      <c r="J4990" s="332">
        <f>IFERROR(__xludf.DUMMYFUNCTION("IF(IF(COUNTIF(P$2:P4989, P4990)=0, """", INDEX(H$2:H4989,
MAX(FILTER(ROW(H$2:H4989) - ROW(H$2) + 1, P$2:P4989 = P4990))))=""単価"","""",
IF(COUNTIF(P$2:P4989, P4990)=0, """", INDEX(H$2:H4989,
MAX(FILTER(ROW(H$2:H4989) - ROW(H$2) + 1, P$2:P4989 = P4990)))))"),50.3)</f>
        <v>50.3</v>
      </c>
      <c r="N4990" s="335" t="str">
        <f>IF(MAXIFS('単価履歴'!$O:$O,'単価履歴'!$E:$E,E4990,'単価履歴'!$F:$F,F4990)=O4990,"●","")</f>
        <v/>
      </c>
      <c r="O4990" s="346">
        <v>46112.2836574074</v>
      </c>
      <c r="P4990" s="334" t="str">
        <f t="shared" si="4"/>
        <v>合同大阪:伊藤忠Ｈ２(特級)</v>
      </c>
    </row>
    <row r="4991" ht="15.75" customHeight="1">
      <c r="A4991" s="335" t="s">
        <v>6138</v>
      </c>
      <c r="B4991" s="336">
        <v>46112.0</v>
      </c>
      <c r="C4991" s="335" t="s">
        <v>7</v>
      </c>
      <c r="D4991" s="335" t="s">
        <v>49</v>
      </c>
      <c r="E4991" s="337" t="str">
        <f t="shared" si="1"/>
        <v>合同大阪:伊藤忠</v>
      </c>
      <c r="F4991" s="338" t="s">
        <v>119</v>
      </c>
      <c r="G4991" s="339" t="str">
        <f t="shared" si="2"/>
        <v>合同大阪:伊藤忠Ｈ３(1級)</v>
      </c>
      <c r="H4991" s="340">
        <f t="shared" si="3"/>
        <v>50.8</v>
      </c>
      <c r="I4991" s="341">
        <v>1.0</v>
      </c>
      <c r="J4991" s="332">
        <f>IFERROR(__xludf.DUMMYFUNCTION("IF(IF(COUNTIF(P$2:P4990, P4991)=0, """", INDEX(H$2:H4990,
MAX(FILTER(ROW(H$2:H4990) - ROW(H$2) + 1, P$2:P4990 = P4991))))=""単価"","""",
IF(COUNTIF(P$2:P4990, P4991)=0, """", INDEX(H$2:H4990,
MAX(FILTER(ROW(H$2:H4990) - ROW(H$2) + 1, P$2:P4990 = P4991)))))"),49.8)</f>
        <v>49.8</v>
      </c>
      <c r="N4991" s="335" t="str">
        <f>IF(MAXIFS('単価履歴'!$O:$O,'単価履歴'!$E:$E,E4991,'単価履歴'!$F:$F,F4991)=O4991,"●","")</f>
        <v/>
      </c>
      <c r="O4991" s="346">
        <v>46112.2836574074</v>
      </c>
      <c r="P4991" s="334" t="str">
        <f t="shared" si="4"/>
        <v>合同大阪:伊藤忠Ｈ３(1級)</v>
      </c>
    </row>
    <row r="4992" ht="15.75" customHeight="1">
      <c r="A4992" s="335" t="s">
        <v>6139</v>
      </c>
      <c r="B4992" s="336">
        <v>46112.0</v>
      </c>
      <c r="C4992" s="335" t="s">
        <v>7</v>
      </c>
      <c r="D4992" s="335" t="s">
        <v>49</v>
      </c>
      <c r="E4992" s="337" t="str">
        <f t="shared" si="1"/>
        <v>合同大阪:伊藤忠</v>
      </c>
      <c r="F4992" s="338" t="s">
        <v>122</v>
      </c>
      <c r="G4992" s="339" t="str">
        <f t="shared" si="2"/>
        <v>合同大阪:伊藤忠Ｌ１(2級)</v>
      </c>
      <c r="H4992" s="340">
        <f t="shared" si="3"/>
        <v>49.8</v>
      </c>
      <c r="I4992" s="341">
        <v>1.0</v>
      </c>
      <c r="J4992" s="332">
        <f>IFERROR(__xludf.DUMMYFUNCTION("IF(IF(COUNTIF(P$2:P4991, P4992)=0, """", INDEX(H$2:H4991,
MAX(FILTER(ROW(H$2:H4991) - ROW(H$2) + 1, P$2:P4991 = P4992))))=""単価"","""",
IF(COUNTIF(P$2:P4991, P4992)=0, """", INDEX(H$2:H4991,
MAX(FILTER(ROW(H$2:H4991) - ROW(H$2) + 1, P$2:P4991 = P4992)))))"),48.8)</f>
        <v>48.8</v>
      </c>
      <c r="N4992" s="335" t="str">
        <f>IF(MAXIFS('単価履歴'!$O:$O,'単価履歴'!$E:$E,E4992,'単価履歴'!$F:$F,F4992)=O4992,"●","")</f>
        <v/>
      </c>
      <c r="O4992" s="346">
        <v>46112.2836574074</v>
      </c>
      <c r="P4992" s="334" t="str">
        <f t="shared" si="4"/>
        <v>合同大阪:伊藤忠Ｌ１(2級)</v>
      </c>
    </row>
    <row r="4993" ht="15.75" customHeight="1">
      <c r="A4993" s="335" t="s">
        <v>6140</v>
      </c>
      <c r="B4993" s="336">
        <v>46112.0</v>
      </c>
      <c r="C4993" s="335" t="s">
        <v>7</v>
      </c>
      <c r="D4993" s="335" t="s">
        <v>49</v>
      </c>
      <c r="E4993" s="337" t="str">
        <f t="shared" si="1"/>
        <v>合同大阪:伊藤忠</v>
      </c>
      <c r="F4993" s="338" t="s">
        <v>130</v>
      </c>
      <c r="G4993" s="339" t="str">
        <f t="shared" si="2"/>
        <v>合同大阪:伊藤忠新断Ａ</v>
      </c>
      <c r="H4993" s="340">
        <f t="shared" si="3"/>
        <v>55.3</v>
      </c>
      <c r="I4993" s="341">
        <v>1.0</v>
      </c>
      <c r="J4993" s="332">
        <f>IFERROR(__xludf.DUMMYFUNCTION("IF(IF(COUNTIF(P$2:P4992, P4993)=0, """", INDEX(H$2:H4992,
MAX(FILTER(ROW(H$2:H4992) - ROW(H$2) + 1, P$2:P4992 = P4993))))=""単価"","""",
IF(COUNTIF(P$2:P4992, P4993)=0, """", INDEX(H$2:H4992,
MAX(FILTER(ROW(H$2:H4992) - ROW(H$2) + 1, P$2:P4992 = P4993)))))"),54.3)</f>
        <v>54.3</v>
      </c>
      <c r="N4993" s="335" t="str">
        <f>IF(MAXIFS('単価履歴'!$O:$O,'単価履歴'!$E:$E,E4993,'単価履歴'!$F:$F,F4993)=O4993,"●","")</f>
        <v/>
      </c>
      <c r="O4993" s="346">
        <v>46112.2836574074</v>
      </c>
      <c r="P4993" s="334" t="str">
        <f t="shared" si="4"/>
        <v>合同大阪:伊藤忠新断Ａ</v>
      </c>
    </row>
    <row r="4994" ht="15.75" customHeight="1">
      <c r="A4994" s="335" t="s">
        <v>6141</v>
      </c>
      <c r="B4994" s="336">
        <v>46112.0</v>
      </c>
      <c r="C4994" s="335" t="s">
        <v>7</v>
      </c>
      <c r="D4994" s="335" t="s">
        <v>49</v>
      </c>
      <c r="E4994" s="337" t="str">
        <f t="shared" si="1"/>
        <v>合同大阪:伊藤忠</v>
      </c>
      <c r="F4994" s="338" t="s">
        <v>131</v>
      </c>
      <c r="G4994" s="339" t="str">
        <f t="shared" si="2"/>
        <v>合同大阪:伊藤忠新断Ｂ</v>
      </c>
      <c r="H4994" s="340">
        <f t="shared" si="3"/>
        <v>54.8</v>
      </c>
      <c r="I4994" s="341">
        <v>1.0</v>
      </c>
      <c r="J4994" s="332">
        <f>IFERROR(__xludf.DUMMYFUNCTION("IF(IF(COUNTIF(P$2:P4993, P4994)=0, """", INDEX(H$2:H4993,
MAX(FILTER(ROW(H$2:H4993) - ROW(H$2) + 1, P$2:P4993 = P4994))))=""単価"","""",
IF(COUNTIF(P$2:P4993, P4994)=0, """", INDEX(H$2:H4993,
MAX(FILTER(ROW(H$2:H4993) - ROW(H$2) + 1, P$2:P4993 = P4994)))))"),53.8)</f>
        <v>53.8</v>
      </c>
      <c r="N4994" s="335" t="str">
        <f>IF(MAXIFS('単価履歴'!$O:$O,'単価履歴'!$E:$E,E4994,'単価履歴'!$F:$F,F4994)=O4994,"●","")</f>
        <v/>
      </c>
      <c r="O4994" s="346">
        <v>46112.2836574074</v>
      </c>
      <c r="P4994" s="334" t="str">
        <f t="shared" si="4"/>
        <v>合同大阪:伊藤忠新断Ｂ</v>
      </c>
    </row>
    <row r="4995" ht="15.75" customHeight="1">
      <c r="A4995" s="335" t="s">
        <v>6142</v>
      </c>
      <c r="B4995" s="336">
        <v>46112.0</v>
      </c>
      <c r="C4995" s="335" t="s">
        <v>7</v>
      </c>
      <c r="D4995" s="335" t="s">
        <v>49</v>
      </c>
      <c r="E4995" s="337" t="str">
        <f t="shared" si="1"/>
        <v>合同大阪:伊藤忠</v>
      </c>
      <c r="F4995" s="338" t="s">
        <v>575</v>
      </c>
      <c r="G4995" s="339" t="str">
        <f t="shared" si="2"/>
        <v>合同大阪:伊藤忠鋼ダライＡ</v>
      </c>
      <c r="H4995" s="340">
        <f t="shared" si="3"/>
        <v>41.3</v>
      </c>
      <c r="I4995" s="341">
        <v>1.0</v>
      </c>
      <c r="J4995" s="332">
        <f>IFERROR(__xludf.DUMMYFUNCTION("IF(IF(COUNTIF(P$2:P4994, P4995)=0, """", INDEX(H$2:H4994,
MAX(FILTER(ROW(H$2:H4994) - ROW(H$2) + 1, P$2:P4994 = P4995))))=""単価"","""",
IF(COUNTIF(P$2:P4994, P4995)=0, """", INDEX(H$2:H4994,
MAX(FILTER(ROW(H$2:H4994) - ROW(H$2) + 1, P$2:P4994 = P4995)))))"),40.3)</f>
        <v>40.3</v>
      </c>
      <c r="N4995" s="335" t="str">
        <f>IF(MAXIFS('単価履歴'!$O:$O,'単価履歴'!$E:$E,E4995,'単価履歴'!$F:$F,F4995)=O4995,"●","")</f>
        <v/>
      </c>
      <c r="O4995" s="346">
        <v>46112.2836574074</v>
      </c>
      <c r="P4995" s="334" t="str">
        <f t="shared" si="4"/>
        <v>合同大阪:伊藤忠鋼ダライＡ</v>
      </c>
    </row>
    <row r="4996" ht="15.75" customHeight="1">
      <c r="A4996" s="335" t="s">
        <v>6143</v>
      </c>
      <c r="B4996" s="336">
        <v>46112.0</v>
      </c>
      <c r="C4996" s="335" t="s">
        <v>7</v>
      </c>
      <c r="D4996" s="335" t="s">
        <v>49</v>
      </c>
      <c r="E4996" s="337" t="str">
        <f t="shared" si="1"/>
        <v>合同大阪:伊藤忠</v>
      </c>
      <c r="F4996" s="338" t="s">
        <v>576</v>
      </c>
      <c r="G4996" s="339" t="str">
        <f t="shared" si="2"/>
        <v>合同大阪:伊藤忠鋼ダライＢ</v>
      </c>
      <c r="H4996" s="340">
        <f t="shared" si="3"/>
        <v>40.8</v>
      </c>
      <c r="I4996" s="341">
        <v>1.0</v>
      </c>
      <c r="J4996" s="332">
        <f>IFERROR(__xludf.DUMMYFUNCTION("IF(IF(COUNTIF(P$2:P4995, P4996)=0, """", INDEX(H$2:H4995,
MAX(FILTER(ROW(H$2:H4995) - ROW(H$2) + 1, P$2:P4995 = P4996))))=""単価"","""",
IF(COUNTIF(P$2:P4995, P4996)=0, """", INDEX(H$2:H4995,
MAX(FILTER(ROW(H$2:H4995) - ROW(H$2) + 1, P$2:P4995 = P4996)))))"),39.8)</f>
        <v>39.8</v>
      </c>
      <c r="N4996" s="335" t="str">
        <f>IF(MAXIFS('単価履歴'!$O:$O,'単価履歴'!$E:$E,E4996,'単価履歴'!$F:$F,F4996)=O4996,"●","")</f>
        <v/>
      </c>
      <c r="O4996" s="346">
        <v>46112.2836574074</v>
      </c>
      <c r="P4996" s="334" t="str">
        <f t="shared" si="4"/>
        <v>合同大阪:伊藤忠鋼ダライＢ</v>
      </c>
    </row>
    <row r="4997" ht="15.75" customHeight="1">
      <c r="A4997" s="335" t="s">
        <v>6144</v>
      </c>
      <c r="B4997" s="336">
        <v>46112.0</v>
      </c>
      <c r="C4997" s="335" t="s">
        <v>7</v>
      </c>
      <c r="D4997" s="335" t="s">
        <v>46</v>
      </c>
      <c r="E4997" s="337" t="str">
        <f t="shared" si="1"/>
        <v>合同大阪:阪和</v>
      </c>
      <c r="F4997" s="338" t="s">
        <v>1199</v>
      </c>
      <c r="G4997" s="339" t="str">
        <f t="shared" si="2"/>
        <v>合同大阪:阪和ＨＳ１(単体H1/電特A/HS))</v>
      </c>
      <c r="H4997" s="340">
        <f t="shared" si="3"/>
        <v>2</v>
      </c>
      <c r="I4997" s="341">
        <v>1.0</v>
      </c>
      <c r="J4997" s="332">
        <f>IFERROR(__xludf.DUMMYFUNCTION("IF(IF(COUNTIF(P$2:P4996, P4997)=0, """", INDEX(H$2:H4996,
MAX(FILTER(ROW(H$2:H4996) - ROW(H$2) + 1, P$2:P4996 = P4997))))=""単価"","""",
IF(COUNTIF(P$2:P4996, P4997)=0, """", INDEX(H$2:H4996,
MAX(FILTER(ROW(H$2:H4996) - ROW(H$2) + 1, P$2:P4996 = P4997)))))"),1.0)</f>
        <v>1</v>
      </c>
      <c r="N4997" s="335" t="str">
        <f>IF(MAXIFS('単価履歴'!$O:$O,'単価履歴'!$E:$E,E4997,'単価履歴'!$F:$F,F4997)=O4997,"●","")</f>
        <v>●</v>
      </c>
      <c r="O4997" s="346">
        <v>46112.28377314815</v>
      </c>
      <c r="P4997" s="334" t="str">
        <f t="shared" si="4"/>
        <v>合同大阪:阪和ＨＳ１(単体H1/電特A/HS))</v>
      </c>
    </row>
    <row r="4998" ht="15.75" customHeight="1">
      <c r="A4998" s="335" t="s">
        <v>6145</v>
      </c>
      <c r="B4998" s="336">
        <v>46112.0</v>
      </c>
      <c r="C4998" s="335" t="s">
        <v>7</v>
      </c>
      <c r="D4998" s="335" t="s">
        <v>46</v>
      </c>
      <c r="E4998" s="337" t="str">
        <f t="shared" si="1"/>
        <v>合同大阪:阪和</v>
      </c>
      <c r="F4998" s="338" t="s">
        <v>101</v>
      </c>
      <c r="G4998" s="339" t="str">
        <f t="shared" si="2"/>
        <v>合同大阪:阪和ＨＳ２</v>
      </c>
      <c r="H4998" s="340">
        <f t="shared" si="3"/>
        <v>2</v>
      </c>
      <c r="I4998" s="341">
        <v>1.0</v>
      </c>
      <c r="J4998" s="332">
        <f>IFERROR(__xludf.DUMMYFUNCTION("IF(IF(COUNTIF(P$2:P4997, P4998)=0, """", INDEX(H$2:H4997,
MAX(FILTER(ROW(H$2:H4997) - ROW(H$2) + 1, P$2:P4997 = P4998))))=""単価"","""",
IF(COUNTIF(P$2:P4997, P4998)=0, """", INDEX(H$2:H4997,
MAX(FILTER(ROW(H$2:H4997) - ROW(H$2) + 1, P$2:P4997 = P4998)))))"),1.0)</f>
        <v>1</v>
      </c>
      <c r="N4998" s="335" t="str">
        <f>IF(MAXIFS('単価履歴'!$O:$O,'単価履歴'!$E:$E,E4998,'単価履歴'!$F:$F,F4998)=O4998,"●","")</f>
        <v>●</v>
      </c>
      <c r="O4998" s="346">
        <v>46112.28377314815</v>
      </c>
      <c r="P4998" s="334" t="str">
        <f t="shared" si="4"/>
        <v>合同大阪:阪和ＨＳ２</v>
      </c>
    </row>
    <row r="4999" ht="15.75" customHeight="1">
      <c r="A4999" s="335" t="s">
        <v>6146</v>
      </c>
      <c r="B4999" s="336">
        <v>46112.0</v>
      </c>
      <c r="C4999" s="335" t="s">
        <v>7</v>
      </c>
      <c r="D4999" s="335" t="s">
        <v>46</v>
      </c>
      <c r="E4999" s="337" t="str">
        <f t="shared" si="1"/>
        <v>合同大阪:阪和</v>
      </c>
      <c r="F4999" s="338" t="s">
        <v>111</v>
      </c>
      <c r="G4999" s="339" t="str">
        <f t="shared" si="2"/>
        <v>合同大阪:阪和Ｈ１(特A)</v>
      </c>
      <c r="H4999" s="340">
        <f t="shared" si="3"/>
        <v>2</v>
      </c>
      <c r="I4999" s="341">
        <v>1.0</v>
      </c>
      <c r="J4999" s="332">
        <f>IFERROR(__xludf.DUMMYFUNCTION("IF(IF(COUNTIF(P$2:P4998, P4999)=0, """", INDEX(H$2:H4998,
MAX(FILTER(ROW(H$2:H4998) - ROW(H$2) + 1, P$2:P4998 = P4999))))=""単価"","""",
IF(COUNTIF(P$2:P4998, P4999)=0, """", INDEX(H$2:H4998,
MAX(FILTER(ROW(H$2:H4998) - ROW(H$2) + 1, P$2:P4998 = P4999)))))"),1.0)</f>
        <v>1</v>
      </c>
      <c r="N4999" s="335" t="str">
        <f>IF(MAXIFS('単価履歴'!$O:$O,'単価履歴'!$E:$E,E4999,'単価履歴'!$F:$F,F4999)=O4999,"●","")</f>
        <v>●</v>
      </c>
      <c r="O4999" s="346">
        <v>46112.28377314815</v>
      </c>
      <c r="P4999" s="334" t="str">
        <f t="shared" si="4"/>
        <v>合同大阪:阪和Ｈ１(特A)</v>
      </c>
    </row>
    <row r="5000" ht="15.75" customHeight="1">
      <c r="A5000" s="335" t="s">
        <v>6147</v>
      </c>
      <c r="B5000" s="336">
        <v>46112.0</v>
      </c>
      <c r="C5000" s="335" t="s">
        <v>7</v>
      </c>
      <c r="D5000" s="335" t="s">
        <v>46</v>
      </c>
      <c r="E5000" s="337" t="str">
        <f t="shared" si="1"/>
        <v>合同大阪:阪和</v>
      </c>
      <c r="F5000" s="338" t="s">
        <v>116</v>
      </c>
      <c r="G5000" s="339" t="str">
        <f t="shared" si="2"/>
        <v>合同大阪:阪和Ｈ２(特級)</v>
      </c>
      <c r="H5000" s="340">
        <f t="shared" si="3"/>
        <v>2</v>
      </c>
      <c r="I5000" s="341">
        <v>1.0</v>
      </c>
      <c r="J5000" s="332">
        <f>IFERROR(__xludf.DUMMYFUNCTION("IF(IF(COUNTIF(P$2:P4999, P5000)=0, """", INDEX(H$2:H4999,
MAX(FILTER(ROW(H$2:H4999) - ROW(H$2) + 1, P$2:P4999 = P5000))))=""単価"","""",
IF(COUNTIF(P$2:P4999, P5000)=0, """", INDEX(H$2:H4999,
MAX(FILTER(ROW(H$2:H4999) - ROW(H$2) + 1, P$2:P4999 = P5000)))))"),1.0)</f>
        <v>1</v>
      </c>
      <c r="N5000" s="335" t="str">
        <f>IF(MAXIFS('単価履歴'!$O:$O,'単価履歴'!$E:$E,E5000,'単価履歴'!$F:$F,F5000)=O5000,"●","")</f>
        <v>●</v>
      </c>
      <c r="O5000" s="346">
        <v>46112.28377314815</v>
      </c>
      <c r="P5000" s="334" t="str">
        <f t="shared" si="4"/>
        <v>合同大阪:阪和Ｈ２(特級)</v>
      </c>
    </row>
    <row r="5001" ht="15.75" customHeight="1">
      <c r="A5001" s="335" t="s">
        <v>6148</v>
      </c>
      <c r="B5001" s="336">
        <v>46112.0</v>
      </c>
      <c r="C5001" s="335" t="s">
        <v>7</v>
      </c>
      <c r="D5001" s="335" t="s">
        <v>46</v>
      </c>
      <c r="E5001" s="337" t="str">
        <f t="shared" si="1"/>
        <v>合同大阪:阪和</v>
      </c>
      <c r="F5001" s="338" t="s">
        <v>119</v>
      </c>
      <c r="G5001" s="339" t="str">
        <f t="shared" si="2"/>
        <v>合同大阪:阪和Ｈ３(1級)</v>
      </c>
      <c r="H5001" s="340">
        <f t="shared" si="3"/>
        <v>2</v>
      </c>
      <c r="I5001" s="341">
        <v>1.0</v>
      </c>
      <c r="J5001" s="332">
        <f>IFERROR(__xludf.DUMMYFUNCTION("IF(IF(COUNTIF(P$2:P5000, P5001)=0, """", INDEX(H$2:H5000,
MAX(FILTER(ROW(H$2:H5000) - ROW(H$2) + 1, P$2:P5000 = P5001))))=""単価"","""",
IF(COUNTIF(P$2:P5000, P5001)=0, """", INDEX(H$2:H5000,
MAX(FILTER(ROW(H$2:H5000) - ROW(H$2) + 1, P$2:P5000 = P5001)))))"),1.0)</f>
        <v>1</v>
      </c>
      <c r="N5001" s="335" t="str">
        <f>IF(MAXIFS('単価履歴'!$O:$O,'単価履歴'!$E:$E,E5001,'単価履歴'!$F:$F,F5001)=O5001,"●","")</f>
        <v>●</v>
      </c>
      <c r="O5001" s="346">
        <v>46112.28377314815</v>
      </c>
      <c r="P5001" s="334" t="str">
        <f t="shared" si="4"/>
        <v>合同大阪:阪和Ｈ３(1級)</v>
      </c>
    </row>
    <row r="5002" ht="15.75" customHeight="1">
      <c r="A5002" s="335" t="s">
        <v>6149</v>
      </c>
      <c r="B5002" s="336">
        <v>46112.0</v>
      </c>
      <c r="C5002" s="335" t="s">
        <v>7</v>
      </c>
      <c r="D5002" s="335" t="s">
        <v>46</v>
      </c>
      <c r="E5002" s="337" t="str">
        <f t="shared" si="1"/>
        <v>合同大阪:阪和</v>
      </c>
      <c r="F5002" s="338" t="s">
        <v>122</v>
      </c>
      <c r="G5002" s="339" t="str">
        <f t="shared" si="2"/>
        <v>合同大阪:阪和Ｌ１(2級)</v>
      </c>
      <c r="H5002" s="340">
        <f t="shared" si="3"/>
        <v>2</v>
      </c>
      <c r="I5002" s="341">
        <v>1.0</v>
      </c>
      <c r="J5002" s="332">
        <f>IFERROR(__xludf.DUMMYFUNCTION("IF(IF(COUNTIF(P$2:P5001, P5002)=0, """", INDEX(H$2:H5001,
MAX(FILTER(ROW(H$2:H5001) - ROW(H$2) + 1, P$2:P5001 = P5002))))=""単価"","""",
IF(COUNTIF(P$2:P5001, P5002)=0, """", INDEX(H$2:H5001,
MAX(FILTER(ROW(H$2:H5001) - ROW(H$2) + 1, P$2:P5001 = P5002)))))"),1.0)</f>
        <v>1</v>
      </c>
      <c r="N5002" s="335" t="str">
        <f>IF(MAXIFS('単価履歴'!$O:$O,'単価履歴'!$E:$E,E5002,'単価履歴'!$F:$F,F5002)=O5002,"●","")</f>
        <v>●</v>
      </c>
      <c r="O5002" s="346">
        <v>46112.28377314815</v>
      </c>
      <c r="P5002" s="334" t="str">
        <f t="shared" si="4"/>
        <v>合同大阪:阪和Ｌ１(2級)</v>
      </c>
    </row>
    <row r="5003" ht="15.75" customHeight="1">
      <c r="A5003" s="335" t="s">
        <v>6150</v>
      </c>
      <c r="B5003" s="336">
        <v>46112.0</v>
      </c>
      <c r="C5003" s="335" t="s">
        <v>7</v>
      </c>
      <c r="D5003" s="335" t="s">
        <v>46</v>
      </c>
      <c r="E5003" s="337" t="str">
        <f t="shared" si="1"/>
        <v>合同大阪:阪和</v>
      </c>
      <c r="F5003" s="338" t="s">
        <v>130</v>
      </c>
      <c r="G5003" s="339" t="str">
        <f t="shared" si="2"/>
        <v>合同大阪:阪和新断Ａ</v>
      </c>
      <c r="H5003" s="340">
        <f t="shared" si="3"/>
        <v>2</v>
      </c>
      <c r="I5003" s="341">
        <v>1.0</v>
      </c>
      <c r="J5003" s="332">
        <f>IFERROR(__xludf.DUMMYFUNCTION("IF(IF(COUNTIF(P$2:P5002, P5003)=0, """", INDEX(H$2:H5002,
MAX(FILTER(ROW(H$2:H5002) - ROW(H$2) + 1, P$2:P5002 = P5003))))=""単価"","""",
IF(COUNTIF(P$2:P5002, P5003)=0, """", INDEX(H$2:H5002,
MAX(FILTER(ROW(H$2:H5002) - ROW(H$2) + 1, P$2:P5002 = P5003)))))"),1.0)</f>
        <v>1</v>
      </c>
      <c r="N5003" s="335" t="str">
        <f>IF(MAXIFS('単価履歴'!$O:$O,'単価履歴'!$E:$E,E5003,'単価履歴'!$F:$F,F5003)=O5003,"●","")</f>
        <v>●</v>
      </c>
      <c r="O5003" s="346">
        <v>46112.28377314815</v>
      </c>
      <c r="P5003" s="334" t="str">
        <f t="shared" si="4"/>
        <v>合同大阪:阪和新断Ａ</v>
      </c>
    </row>
    <row r="5004" ht="15.75" customHeight="1">
      <c r="A5004" s="335" t="s">
        <v>6151</v>
      </c>
      <c r="B5004" s="336">
        <v>46112.0</v>
      </c>
      <c r="C5004" s="335" t="s">
        <v>7</v>
      </c>
      <c r="D5004" s="335" t="s">
        <v>46</v>
      </c>
      <c r="E5004" s="337" t="str">
        <f t="shared" si="1"/>
        <v>合同大阪:阪和</v>
      </c>
      <c r="F5004" s="338" t="s">
        <v>131</v>
      </c>
      <c r="G5004" s="339" t="str">
        <f t="shared" si="2"/>
        <v>合同大阪:阪和新断Ｂ</v>
      </c>
      <c r="H5004" s="340">
        <f t="shared" si="3"/>
        <v>2</v>
      </c>
      <c r="I5004" s="341">
        <v>1.0</v>
      </c>
      <c r="J5004" s="332">
        <f>IFERROR(__xludf.DUMMYFUNCTION("IF(IF(COUNTIF(P$2:P5003, P5004)=0, """", INDEX(H$2:H5003,
MAX(FILTER(ROW(H$2:H5003) - ROW(H$2) + 1, P$2:P5003 = P5004))))=""単価"","""",
IF(COUNTIF(P$2:P5003, P5004)=0, """", INDEX(H$2:H5003,
MAX(FILTER(ROW(H$2:H5003) - ROW(H$2) + 1, P$2:P5003 = P5004)))))"),1.0)</f>
        <v>1</v>
      </c>
      <c r="N5004" s="335" t="str">
        <f>IF(MAXIFS('単価履歴'!$O:$O,'単価履歴'!$E:$E,E5004,'単価履歴'!$F:$F,F5004)=O5004,"●","")</f>
        <v>●</v>
      </c>
      <c r="O5004" s="346">
        <v>46112.28377314815</v>
      </c>
      <c r="P5004" s="334" t="str">
        <f t="shared" si="4"/>
        <v>合同大阪:阪和新断Ｂ</v>
      </c>
    </row>
    <row r="5005" ht="15.75" customHeight="1">
      <c r="A5005" s="335" t="s">
        <v>6152</v>
      </c>
      <c r="B5005" s="336">
        <v>46112.0</v>
      </c>
      <c r="C5005" s="335" t="s">
        <v>7</v>
      </c>
      <c r="D5005" s="335" t="s">
        <v>46</v>
      </c>
      <c r="E5005" s="337" t="str">
        <f t="shared" si="1"/>
        <v>合同大阪:阪和</v>
      </c>
      <c r="F5005" s="338" t="s">
        <v>575</v>
      </c>
      <c r="G5005" s="339" t="str">
        <f t="shared" si="2"/>
        <v>合同大阪:阪和鋼ダライＡ</v>
      </c>
      <c r="H5005" s="340">
        <f t="shared" si="3"/>
        <v>2</v>
      </c>
      <c r="I5005" s="341">
        <v>1.0</v>
      </c>
      <c r="J5005" s="332">
        <f>IFERROR(__xludf.DUMMYFUNCTION("IF(IF(COUNTIF(P$2:P5004, P5005)=0, """", INDEX(H$2:H5004,
MAX(FILTER(ROW(H$2:H5004) - ROW(H$2) + 1, P$2:P5004 = P5005))))=""単価"","""",
IF(COUNTIF(P$2:P5004, P5005)=0, """", INDEX(H$2:H5004,
MAX(FILTER(ROW(H$2:H5004) - ROW(H$2) + 1, P$2:P5004 = P5005)))))"),1.0)</f>
        <v>1</v>
      </c>
      <c r="N5005" s="335" t="str">
        <f>IF(MAXIFS('単価履歴'!$O:$O,'単価履歴'!$E:$E,E5005,'単価履歴'!$F:$F,F5005)=O5005,"●","")</f>
        <v>●</v>
      </c>
      <c r="O5005" s="346">
        <v>46112.28377314815</v>
      </c>
      <c r="P5005" s="334" t="str">
        <f t="shared" si="4"/>
        <v>合同大阪:阪和鋼ダライＡ</v>
      </c>
    </row>
    <row r="5006" ht="15.75" customHeight="1">
      <c r="A5006" s="335" t="s">
        <v>6153</v>
      </c>
      <c r="B5006" s="336">
        <v>46112.0</v>
      </c>
      <c r="C5006" s="335" t="s">
        <v>7</v>
      </c>
      <c r="D5006" s="335" t="s">
        <v>46</v>
      </c>
      <c r="E5006" s="337" t="str">
        <f t="shared" si="1"/>
        <v>合同大阪:阪和</v>
      </c>
      <c r="F5006" s="338" t="s">
        <v>576</v>
      </c>
      <c r="G5006" s="339" t="str">
        <f t="shared" si="2"/>
        <v>合同大阪:阪和鋼ダライＢ</v>
      </c>
      <c r="H5006" s="340">
        <f t="shared" si="3"/>
        <v>2</v>
      </c>
      <c r="I5006" s="341">
        <v>1.0</v>
      </c>
      <c r="J5006" s="332">
        <f>IFERROR(__xludf.DUMMYFUNCTION("IF(IF(COUNTIF(P$2:P5005, P5006)=0, """", INDEX(H$2:H5005,
MAX(FILTER(ROW(H$2:H5005) - ROW(H$2) + 1, P$2:P5005 = P5006))))=""単価"","""",
IF(COUNTIF(P$2:P5005, P5006)=0, """", INDEX(H$2:H5005,
MAX(FILTER(ROW(H$2:H5005) - ROW(H$2) + 1, P$2:P5005 = P5006)))))"),1.0)</f>
        <v>1</v>
      </c>
      <c r="N5006" s="335" t="str">
        <f>IF(MAXIFS('単価履歴'!$O:$O,'単価履歴'!$E:$E,E5006,'単価履歴'!$F:$F,F5006)=O5006,"●","")</f>
        <v>●</v>
      </c>
      <c r="O5006" s="346">
        <v>46112.28377314815</v>
      </c>
      <c r="P5006" s="334" t="str">
        <f t="shared" si="4"/>
        <v>合同大阪:阪和鋼ダライＢ</v>
      </c>
    </row>
    <row r="5007" ht="15.75" customHeight="1">
      <c r="A5007" s="335" t="s">
        <v>6154</v>
      </c>
      <c r="B5007" s="336">
        <v>46112.0</v>
      </c>
      <c r="C5007" s="335" t="s">
        <v>531</v>
      </c>
      <c r="D5007" s="335" t="s">
        <v>77</v>
      </c>
      <c r="E5007" s="337" t="str">
        <f t="shared" si="1"/>
        <v>東鐵関西:直納</v>
      </c>
      <c r="F5007" s="338" t="s">
        <v>122</v>
      </c>
      <c r="G5007" s="339" t="str">
        <f t="shared" si="2"/>
        <v>東鐵関西:直納Ｌ１(2級)</v>
      </c>
      <c r="H5007" s="340">
        <f t="shared" si="3"/>
        <v>49.5</v>
      </c>
      <c r="I5007" s="341">
        <v>2.5</v>
      </c>
      <c r="J5007" s="332">
        <f>IFERROR(__xludf.DUMMYFUNCTION("IF(IF(COUNTIF(P$2:P5006, P5007)=0, """", INDEX(H$2:H5006,
MAX(FILTER(ROW(H$2:H5006) - ROW(H$2) + 1, P$2:P5006 = P5007))))=""単価"","""",
IF(COUNTIF(P$2:P5006, P5007)=0, """", INDEX(H$2:H5006,
MAX(FILTER(ROW(H$2:H5006) - ROW(H$2) + 1, P$2:P5006 = P5007)))))"),47.0)</f>
        <v>47</v>
      </c>
      <c r="N5007" s="335" t="str">
        <f>IF(MAXIFS('単価履歴'!$O:$O,'単価履歴'!$E:$E,E5007,'単価履歴'!$F:$F,F5007)=O5007,"●","")</f>
        <v/>
      </c>
      <c r="O5007" s="346">
        <v>46112.28449074074</v>
      </c>
      <c r="P5007" s="334" t="str">
        <f t="shared" si="4"/>
        <v>東鐵関西:直納Ｌ１(2級)</v>
      </c>
    </row>
    <row r="5008" ht="15.75" customHeight="1">
      <c r="A5008" s="335" t="s">
        <v>6155</v>
      </c>
      <c r="B5008" s="336">
        <v>46112.0</v>
      </c>
      <c r="C5008" s="335" t="s">
        <v>531</v>
      </c>
      <c r="D5008" s="335" t="s">
        <v>77</v>
      </c>
      <c r="E5008" s="337" t="str">
        <f t="shared" si="1"/>
        <v>東鐵関西:直納</v>
      </c>
      <c r="F5008" s="338" t="s">
        <v>1199</v>
      </c>
      <c r="G5008" s="339" t="str">
        <f t="shared" si="2"/>
        <v>東鐵関西:直納ＨＳ１(単体H1/電特A/HS))</v>
      </c>
      <c r="H5008" s="340">
        <f t="shared" si="3"/>
        <v>52.5</v>
      </c>
      <c r="I5008" s="341">
        <v>1.0</v>
      </c>
      <c r="J5008" s="332">
        <f>IFERROR(__xludf.DUMMYFUNCTION("IF(IF(COUNTIF(P$2:P5007, P5008)=0, """", INDEX(H$2:H5007,
MAX(FILTER(ROW(H$2:H5007) - ROW(H$2) + 1, P$2:P5007 = P5008))))=""単価"","""",
IF(COUNTIF(P$2:P5007, P5008)=0, """", INDEX(H$2:H5007,
MAX(FILTER(ROW(H$2:H5007) - ROW(H$2) + 1, P$2:P5007 = P5008)))))"),51.5)</f>
        <v>51.5</v>
      </c>
      <c r="N5008" s="335" t="str">
        <f>IF(MAXIFS('単価履歴'!$O:$O,'単価履歴'!$E:$E,E5008,'単価履歴'!$F:$F,F5008)=O5008,"●","")</f>
        <v/>
      </c>
      <c r="O5008" s="346">
        <v>46112.28488425926</v>
      </c>
      <c r="P5008" s="334" t="str">
        <f t="shared" si="4"/>
        <v>東鐵関西:直納ＨＳ１(単体H1/電特A/HS))</v>
      </c>
    </row>
    <row r="5009" ht="15.75" customHeight="1">
      <c r="A5009" s="335" t="s">
        <v>6156</v>
      </c>
      <c r="B5009" s="336">
        <v>46112.0</v>
      </c>
      <c r="C5009" s="335" t="s">
        <v>531</v>
      </c>
      <c r="D5009" s="335" t="s">
        <v>77</v>
      </c>
      <c r="E5009" s="337" t="str">
        <f t="shared" si="1"/>
        <v>東鐵関西:直納</v>
      </c>
      <c r="F5009" s="338" t="s">
        <v>111</v>
      </c>
      <c r="G5009" s="339" t="str">
        <f t="shared" si="2"/>
        <v>東鐵関西:直納Ｈ１(特A)</v>
      </c>
      <c r="H5009" s="340">
        <f t="shared" si="3"/>
        <v>52</v>
      </c>
      <c r="I5009" s="341">
        <v>1.0</v>
      </c>
      <c r="J5009" s="332">
        <f>IFERROR(__xludf.DUMMYFUNCTION("IF(IF(COUNTIF(P$2:P5008, P5009)=0, """", INDEX(H$2:H5008,
MAX(FILTER(ROW(H$2:H5008) - ROW(H$2) + 1, P$2:P5008 = P5009))))=""単価"","""",
IF(COUNTIF(P$2:P5008, P5009)=0, """", INDEX(H$2:H5008,
MAX(FILTER(ROW(H$2:H5008) - ROW(H$2) + 1, P$2:P5008 = P5009)))))"),51.0)</f>
        <v>51</v>
      </c>
      <c r="N5009" s="335" t="str">
        <f>IF(MAXIFS('単価履歴'!$O:$O,'単価履歴'!$E:$E,E5009,'単価履歴'!$F:$F,F5009)=O5009,"●","")</f>
        <v/>
      </c>
      <c r="O5009" s="346">
        <v>46112.28488425926</v>
      </c>
      <c r="P5009" s="334" t="str">
        <f t="shared" si="4"/>
        <v>東鐵関西:直納Ｈ１(特A)</v>
      </c>
    </row>
    <row r="5010" ht="15.75" customHeight="1">
      <c r="A5010" s="335" t="s">
        <v>6157</v>
      </c>
      <c r="B5010" s="336">
        <v>46112.0</v>
      </c>
      <c r="C5010" s="335" t="s">
        <v>531</v>
      </c>
      <c r="D5010" s="335" t="s">
        <v>77</v>
      </c>
      <c r="E5010" s="337" t="str">
        <f t="shared" si="1"/>
        <v>東鐵関西:直納</v>
      </c>
      <c r="F5010" s="338" t="s">
        <v>116</v>
      </c>
      <c r="G5010" s="339" t="str">
        <f t="shared" si="2"/>
        <v>東鐵関西:直納Ｈ２(特級)</v>
      </c>
      <c r="H5010" s="340">
        <f t="shared" si="3"/>
        <v>50</v>
      </c>
      <c r="I5010" s="341">
        <v>1.0</v>
      </c>
      <c r="J5010" s="332">
        <f>IFERROR(__xludf.DUMMYFUNCTION("IF(IF(COUNTIF(P$2:P5009, P5010)=0, """", INDEX(H$2:H5009,
MAX(FILTER(ROW(H$2:H5009) - ROW(H$2) + 1, P$2:P5009 = P5010))))=""単価"","""",
IF(COUNTIF(P$2:P5009, P5010)=0, """", INDEX(H$2:H5009,
MAX(FILTER(ROW(H$2:H5009) - ROW(H$2) + 1, P$2:P5009 = P5010)))))"),49.0)</f>
        <v>49</v>
      </c>
      <c r="N5010" s="335" t="str">
        <f>IF(MAXIFS('単価履歴'!$O:$O,'単価履歴'!$E:$E,E5010,'単価履歴'!$F:$F,F5010)=O5010,"●","")</f>
        <v/>
      </c>
      <c r="O5010" s="346">
        <v>46112.28488425926</v>
      </c>
      <c r="P5010" s="334" t="str">
        <f t="shared" si="4"/>
        <v>東鐵関西:直納Ｈ２(特級)</v>
      </c>
    </row>
    <row r="5011" ht="15.75" customHeight="1">
      <c r="A5011" s="335" t="s">
        <v>6158</v>
      </c>
      <c r="B5011" s="336">
        <v>46112.0</v>
      </c>
      <c r="C5011" s="335" t="s">
        <v>531</v>
      </c>
      <c r="D5011" s="335" t="s">
        <v>77</v>
      </c>
      <c r="E5011" s="337" t="str">
        <f t="shared" si="1"/>
        <v>東鐵関西:直納</v>
      </c>
      <c r="F5011" s="338" t="s">
        <v>119</v>
      </c>
      <c r="G5011" s="339" t="str">
        <f t="shared" si="2"/>
        <v>東鐵関西:直納Ｈ３(1級)</v>
      </c>
      <c r="H5011" s="340">
        <f t="shared" si="3"/>
        <v>50</v>
      </c>
      <c r="I5011" s="341">
        <v>1.0</v>
      </c>
      <c r="J5011" s="332">
        <f>IFERROR(__xludf.DUMMYFUNCTION("IF(IF(COUNTIF(P$2:P5010, P5011)=0, """", INDEX(H$2:H5010,
MAX(FILTER(ROW(H$2:H5010) - ROW(H$2) + 1, P$2:P5010 = P5011))))=""単価"","""",
IF(COUNTIF(P$2:P5010, P5011)=0, """", INDEX(H$2:H5010,
MAX(FILTER(ROW(H$2:H5010) - ROW(H$2) + 1, P$2:P5010 = P5011)))))"),49.0)</f>
        <v>49</v>
      </c>
      <c r="N5011" s="335" t="str">
        <f>IF(MAXIFS('単価履歴'!$O:$O,'単価履歴'!$E:$E,E5011,'単価履歴'!$F:$F,F5011)=O5011,"●","")</f>
        <v/>
      </c>
      <c r="O5011" s="346">
        <v>46112.28488425926</v>
      </c>
      <c r="P5011" s="334" t="str">
        <f t="shared" si="4"/>
        <v>東鐵関西:直納Ｈ３(1級)</v>
      </c>
    </row>
    <row r="5012" ht="15.75" customHeight="1">
      <c r="A5012" s="335" t="s">
        <v>6159</v>
      </c>
      <c r="B5012" s="336">
        <v>46112.0</v>
      </c>
      <c r="C5012" s="335" t="s">
        <v>531</v>
      </c>
      <c r="D5012" s="335" t="s">
        <v>77</v>
      </c>
      <c r="E5012" s="337" t="str">
        <f t="shared" si="1"/>
        <v>東鐵関西:直納</v>
      </c>
      <c r="F5012" s="338" t="s">
        <v>573</v>
      </c>
      <c r="G5012" s="339" t="str">
        <f t="shared" si="2"/>
        <v>東鐵関西:直納Ｌ２(H4･級外･L1ﾊﾞﾗ)</v>
      </c>
      <c r="H5012" s="340">
        <f t="shared" si="3"/>
        <v>45</v>
      </c>
      <c r="I5012" s="341">
        <v>1.0</v>
      </c>
      <c r="J5012" s="332">
        <f>IFERROR(__xludf.DUMMYFUNCTION("IF(IF(COUNTIF(P$2:P5011, P5012)=0, """", INDEX(H$2:H5011,
MAX(FILTER(ROW(H$2:H5011) - ROW(H$2) + 1, P$2:P5011 = P5012))))=""単価"","""",
IF(COUNTIF(P$2:P5011, P5012)=0, """", INDEX(H$2:H5011,
MAX(FILTER(ROW(H$2:H5011) - ROW(H$2) + 1, P$2:P5011 = P5012)))))"),44.0)</f>
        <v>44</v>
      </c>
      <c r="N5012" s="335" t="str">
        <f>IF(MAXIFS('単価履歴'!$O:$O,'単価履歴'!$E:$E,E5012,'単価履歴'!$F:$F,F5012)=O5012,"●","")</f>
        <v/>
      </c>
      <c r="O5012" s="346">
        <v>46112.28488425926</v>
      </c>
      <c r="P5012" s="334" t="str">
        <f t="shared" si="4"/>
        <v>東鐵関西:直納Ｌ２(H4･級外･L1ﾊﾞﾗ)</v>
      </c>
    </row>
    <row r="5013" ht="15.75" customHeight="1">
      <c r="A5013" s="335" t="s">
        <v>6160</v>
      </c>
      <c r="B5013" s="336">
        <v>46112.0</v>
      </c>
      <c r="C5013" s="335" t="s">
        <v>531</v>
      </c>
      <c r="D5013" s="335" t="s">
        <v>77</v>
      </c>
      <c r="E5013" s="337" t="str">
        <f t="shared" si="1"/>
        <v>東鐵関西:直納</v>
      </c>
      <c r="F5013" s="338" t="s">
        <v>145</v>
      </c>
      <c r="G5013" s="339" t="str">
        <f t="shared" si="2"/>
        <v>東鐵関西:直納シュレＡ</v>
      </c>
      <c r="H5013" s="340">
        <f t="shared" si="3"/>
        <v>51.5</v>
      </c>
      <c r="I5013" s="341">
        <v>1.0</v>
      </c>
      <c r="J5013" s="332">
        <f>IFERROR(__xludf.DUMMYFUNCTION("IF(IF(COUNTIF(P$2:P5012, P5013)=0, """", INDEX(H$2:H5012,
MAX(FILTER(ROW(H$2:H5012) - ROW(H$2) + 1, P$2:P5012 = P5013))))=""単価"","""",
IF(COUNTIF(P$2:P5012, P5013)=0, """", INDEX(H$2:H5012,
MAX(FILTER(ROW(H$2:H5012) - ROW(H$2) + 1, P$2:P5012 = P5013)))))"),50.5)</f>
        <v>50.5</v>
      </c>
      <c r="N5013" s="335" t="str">
        <f>IF(MAXIFS('単価履歴'!$O:$O,'単価履歴'!$E:$E,E5013,'単価履歴'!$F:$F,F5013)=O5013,"●","")</f>
        <v/>
      </c>
      <c r="O5013" s="346">
        <v>46112.28488425926</v>
      </c>
      <c r="P5013" s="334" t="str">
        <f t="shared" si="4"/>
        <v>東鐵関西:直納シュレＡ</v>
      </c>
    </row>
    <row r="5014" ht="15.75" customHeight="1">
      <c r="A5014" s="335" t="s">
        <v>6161</v>
      </c>
      <c r="B5014" s="336">
        <v>46112.0</v>
      </c>
      <c r="C5014" s="335" t="s">
        <v>531</v>
      </c>
      <c r="D5014" s="335" t="s">
        <v>77</v>
      </c>
      <c r="E5014" s="337" t="str">
        <f t="shared" si="1"/>
        <v>東鐵関西:直納</v>
      </c>
      <c r="F5014" s="338" t="s">
        <v>151</v>
      </c>
      <c r="G5014" s="339" t="str">
        <f t="shared" si="2"/>
        <v>東鐵関西:直納シュレＣ</v>
      </c>
      <c r="H5014" s="340">
        <f t="shared" si="3"/>
        <v>50.5</v>
      </c>
      <c r="I5014" s="341">
        <v>1.0</v>
      </c>
      <c r="J5014" s="332">
        <f>IFERROR(__xludf.DUMMYFUNCTION("IF(IF(COUNTIF(P$2:P5013, P5014)=0, """", INDEX(H$2:H5013,
MAX(FILTER(ROW(H$2:H5013) - ROW(H$2) + 1, P$2:P5013 = P5014))))=""単価"","""",
IF(COUNTIF(P$2:P5013, P5014)=0, """", INDEX(H$2:H5013,
MAX(FILTER(ROW(H$2:H5013) - ROW(H$2) + 1, P$2:P5013 = P5014)))))"),49.5)</f>
        <v>49.5</v>
      </c>
      <c r="N5014" s="335" t="str">
        <f>IF(MAXIFS('単価履歴'!$O:$O,'単価履歴'!$E:$E,E5014,'単価履歴'!$F:$F,F5014)=O5014,"●","")</f>
        <v/>
      </c>
      <c r="O5014" s="346">
        <v>46112.28488425926</v>
      </c>
      <c r="P5014" s="334" t="str">
        <f t="shared" si="4"/>
        <v>東鐵関西:直納シュレＣ</v>
      </c>
    </row>
    <row r="5015" ht="15.75" customHeight="1">
      <c r="A5015" s="335" t="s">
        <v>6162</v>
      </c>
      <c r="B5015" s="336">
        <v>46112.0</v>
      </c>
      <c r="C5015" s="335" t="s">
        <v>532</v>
      </c>
      <c r="D5015" s="335" t="s">
        <v>77</v>
      </c>
      <c r="E5015" s="337" t="str">
        <f t="shared" si="1"/>
        <v>東鐵岡山:直納</v>
      </c>
      <c r="F5015" s="338" t="s">
        <v>111</v>
      </c>
      <c r="G5015" s="339" t="str">
        <f t="shared" si="2"/>
        <v>東鐵岡山:直納Ｈ１(特A)</v>
      </c>
      <c r="H5015" s="340">
        <f t="shared" si="3"/>
        <v>51.5</v>
      </c>
      <c r="I5015" s="341">
        <v>1.8</v>
      </c>
      <c r="J5015" s="332">
        <f>IFERROR(__xludf.DUMMYFUNCTION("IF(IF(COUNTIF(P$2:P5014, P5015)=0, """", INDEX(H$2:H5014,
MAX(FILTER(ROW(H$2:H5014) - ROW(H$2) + 1, P$2:P5014 = P5015))))=""単価"","""",
IF(COUNTIF(P$2:P5014, P5015)=0, """", INDEX(H$2:H5014,
MAX(FILTER(ROW(H$2:H5014) - ROW(H$2) + 1, P$2:P5014 = P5015)))))"),49.7)</f>
        <v>49.7</v>
      </c>
      <c r="N5015" s="335" t="str">
        <f>IF(MAXIFS('単価履歴'!$O:$O,'単価履歴'!$E:$E,E5015,'単価履歴'!$F:$F,F5015)=O5015,"●","")</f>
        <v/>
      </c>
      <c r="O5015" s="346">
        <v>46112.285162037035</v>
      </c>
      <c r="P5015" s="334" t="str">
        <f t="shared" si="4"/>
        <v>東鐵岡山:直納Ｈ１(特A)</v>
      </c>
    </row>
    <row r="5016" ht="15.75" customHeight="1">
      <c r="A5016" s="335" t="s">
        <v>6163</v>
      </c>
      <c r="B5016" s="336">
        <v>46112.0</v>
      </c>
      <c r="C5016" s="335" t="s">
        <v>532</v>
      </c>
      <c r="D5016" s="335" t="s">
        <v>77</v>
      </c>
      <c r="E5016" s="337" t="str">
        <f t="shared" si="1"/>
        <v>東鐵岡山:直納</v>
      </c>
      <c r="F5016" s="338" t="s">
        <v>119</v>
      </c>
      <c r="G5016" s="339" t="str">
        <f t="shared" si="2"/>
        <v>東鐵岡山:直納Ｈ３(1級)</v>
      </c>
      <c r="H5016" s="340">
        <f t="shared" si="3"/>
        <v>50</v>
      </c>
      <c r="I5016" s="341">
        <v>1.5</v>
      </c>
      <c r="J5016" s="332">
        <f>IFERROR(__xludf.DUMMYFUNCTION("IF(IF(COUNTIF(P$2:P5015, P5016)=0, """", INDEX(H$2:H5015,
MAX(FILTER(ROW(H$2:H5015) - ROW(H$2) + 1, P$2:P5015 = P5016))))=""単価"","""",
IF(COUNTIF(P$2:P5015, P5016)=0, """", INDEX(H$2:H5015,
MAX(FILTER(ROW(H$2:H5015) - ROW(H$2) + 1, P$2:P5015 = P5016)))))"),48.5)</f>
        <v>48.5</v>
      </c>
      <c r="N5016" s="335" t="str">
        <f>IF(MAXIFS('単価履歴'!$O:$O,'単価履歴'!$E:$E,E5016,'単価履歴'!$F:$F,F5016)=O5016,"●","")</f>
        <v/>
      </c>
      <c r="O5016" s="346">
        <v>46112.28543981482</v>
      </c>
      <c r="P5016" s="334" t="str">
        <f t="shared" si="4"/>
        <v>東鐵岡山:直納Ｈ３(1級)</v>
      </c>
    </row>
    <row r="5017" ht="15.75" customHeight="1">
      <c r="A5017" s="335" t="s">
        <v>6164</v>
      </c>
      <c r="B5017" s="336">
        <v>46112.0</v>
      </c>
      <c r="C5017" s="335" t="s">
        <v>532</v>
      </c>
      <c r="D5017" s="335" t="s">
        <v>77</v>
      </c>
      <c r="E5017" s="337" t="str">
        <f t="shared" si="1"/>
        <v>東鐵岡山:直納</v>
      </c>
      <c r="F5017" s="338" t="s">
        <v>122</v>
      </c>
      <c r="G5017" s="339" t="str">
        <f t="shared" si="2"/>
        <v>東鐵岡山:直納Ｌ１(2級)</v>
      </c>
      <c r="H5017" s="340">
        <f t="shared" si="3"/>
        <v>49.5</v>
      </c>
      <c r="I5017" s="341">
        <v>2.5</v>
      </c>
      <c r="J5017" s="332">
        <f>IFERROR(__xludf.DUMMYFUNCTION("IF(IF(COUNTIF(P$2:P5016, P5017)=0, """", INDEX(H$2:H5016,
MAX(FILTER(ROW(H$2:H5016) - ROW(H$2) + 1, P$2:P5016 = P5017))))=""単価"","""",
IF(COUNTIF(P$2:P5016, P5017)=0, """", INDEX(H$2:H5016,
MAX(FILTER(ROW(H$2:H5016) - ROW(H$2) + 1, P$2:P5016 = P5017)))))"),47.0)</f>
        <v>47</v>
      </c>
      <c r="N5017" s="335" t="str">
        <f>IF(MAXIFS('単価履歴'!$O:$O,'単価履歴'!$E:$E,E5017,'単価履歴'!$F:$F,F5017)=O5017,"●","")</f>
        <v/>
      </c>
      <c r="O5017" s="346">
        <v>46112.285729166666</v>
      </c>
      <c r="P5017" s="334" t="str">
        <f t="shared" si="4"/>
        <v>東鐵岡山:直納Ｌ１(2級)</v>
      </c>
    </row>
    <row r="5018" ht="15.75" customHeight="1">
      <c r="A5018" s="335" t="s">
        <v>6165</v>
      </c>
      <c r="B5018" s="336">
        <v>46112.0</v>
      </c>
      <c r="C5018" s="335" t="s">
        <v>532</v>
      </c>
      <c r="D5018" s="335" t="s">
        <v>77</v>
      </c>
      <c r="E5018" s="337" t="str">
        <f t="shared" si="1"/>
        <v>東鐵岡山:直納</v>
      </c>
      <c r="F5018" s="338" t="s">
        <v>1199</v>
      </c>
      <c r="G5018" s="339" t="str">
        <f t="shared" si="2"/>
        <v>東鐵岡山:直納ＨＳ１(単体H1/電特A/HS))</v>
      </c>
      <c r="H5018" s="340">
        <f t="shared" si="3"/>
        <v>52</v>
      </c>
      <c r="I5018" s="341">
        <v>1.0</v>
      </c>
      <c r="J5018" s="332">
        <f>IFERROR(__xludf.DUMMYFUNCTION("IF(IF(COUNTIF(P$2:P5017, P5018)=0, """", INDEX(H$2:H5017,
MAX(FILTER(ROW(H$2:H5017) - ROW(H$2) + 1, P$2:P5017 = P5018))))=""単価"","""",
IF(COUNTIF(P$2:P5017, P5018)=0, """", INDEX(H$2:H5017,
MAX(FILTER(ROW(H$2:H5017) - ROW(H$2) + 1, P$2:P5017 = P5018)))))"),51.0)</f>
        <v>51</v>
      </c>
      <c r="N5018" s="335" t="str">
        <f>IF(MAXIFS('単価履歴'!$O:$O,'単価履歴'!$E:$E,E5018,'単価履歴'!$F:$F,F5018)=O5018,"●","")</f>
        <v/>
      </c>
      <c r="O5018" s="346">
        <v>46112.28601851852</v>
      </c>
      <c r="P5018" s="334" t="str">
        <f t="shared" si="4"/>
        <v>東鐵岡山:直納ＨＳ１(単体H1/電特A/HS))</v>
      </c>
    </row>
    <row r="5019" ht="15.75" customHeight="1">
      <c r="A5019" s="335" t="s">
        <v>6166</v>
      </c>
      <c r="B5019" s="336">
        <v>46112.0</v>
      </c>
      <c r="C5019" s="335" t="s">
        <v>532</v>
      </c>
      <c r="D5019" s="335" t="s">
        <v>77</v>
      </c>
      <c r="E5019" s="337" t="str">
        <f t="shared" si="1"/>
        <v>東鐵岡山:直納</v>
      </c>
      <c r="F5019" s="338" t="s">
        <v>116</v>
      </c>
      <c r="G5019" s="339" t="str">
        <f t="shared" si="2"/>
        <v>東鐵岡山:直納Ｈ２(特級)</v>
      </c>
      <c r="H5019" s="340">
        <f t="shared" si="3"/>
        <v>50</v>
      </c>
      <c r="I5019" s="341">
        <v>1.0</v>
      </c>
      <c r="J5019" s="332">
        <f>IFERROR(__xludf.DUMMYFUNCTION("IF(IF(COUNTIF(P$2:P5018, P5019)=0, """", INDEX(H$2:H5018,
MAX(FILTER(ROW(H$2:H5018) - ROW(H$2) + 1, P$2:P5018 = P5019))))=""単価"","""",
IF(COUNTIF(P$2:P5018, P5019)=0, """", INDEX(H$2:H5018,
MAX(FILTER(ROW(H$2:H5018) - ROW(H$2) + 1, P$2:P5018 = P5019)))))"),49.0)</f>
        <v>49</v>
      </c>
      <c r="N5019" s="335" t="str">
        <f>IF(MAXIFS('単価履歴'!$O:$O,'単価履歴'!$E:$E,E5019,'単価履歴'!$F:$F,F5019)=O5019,"●","")</f>
        <v/>
      </c>
      <c r="O5019" s="346">
        <v>46112.28601851852</v>
      </c>
      <c r="P5019" s="334" t="str">
        <f t="shared" si="4"/>
        <v>東鐵岡山:直納Ｈ２(特級)</v>
      </c>
    </row>
    <row r="5020" ht="15.75" customHeight="1">
      <c r="A5020" s="335" t="s">
        <v>6167</v>
      </c>
      <c r="B5020" s="336">
        <v>46112.0</v>
      </c>
      <c r="C5020" s="335" t="s">
        <v>532</v>
      </c>
      <c r="D5020" s="335" t="s">
        <v>77</v>
      </c>
      <c r="E5020" s="337" t="str">
        <f t="shared" si="1"/>
        <v>東鐵岡山:直納</v>
      </c>
      <c r="F5020" s="338" t="s">
        <v>573</v>
      </c>
      <c r="G5020" s="339" t="str">
        <f t="shared" si="2"/>
        <v>東鐵岡山:直納Ｌ２(H4･級外･L1ﾊﾞﾗ)</v>
      </c>
      <c r="H5020" s="340">
        <f t="shared" si="3"/>
        <v>45</v>
      </c>
      <c r="I5020" s="341">
        <v>1.0</v>
      </c>
      <c r="J5020" s="332">
        <f>IFERROR(__xludf.DUMMYFUNCTION("IF(IF(COUNTIF(P$2:P5019, P5020)=0, """", INDEX(H$2:H5019,
MAX(FILTER(ROW(H$2:H5019) - ROW(H$2) + 1, P$2:P5019 = P5020))))=""単価"","""",
IF(COUNTIF(P$2:P5019, P5020)=0, """", INDEX(H$2:H5019,
MAX(FILTER(ROW(H$2:H5019) - ROW(H$2) + 1, P$2:P5019 = P5020)))))"),44.0)</f>
        <v>44</v>
      </c>
      <c r="N5020" s="335" t="str">
        <f>IF(MAXIFS('単価履歴'!$O:$O,'単価履歴'!$E:$E,E5020,'単価履歴'!$F:$F,F5020)=O5020,"●","")</f>
        <v/>
      </c>
      <c r="O5020" s="346">
        <v>46112.28601851852</v>
      </c>
      <c r="P5020" s="334" t="str">
        <f t="shared" si="4"/>
        <v>東鐵岡山:直納Ｌ２(H4･級外･L1ﾊﾞﾗ)</v>
      </c>
    </row>
    <row r="5021" ht="15.75" customHeight="1">
      <c r="A5021" s="335" t="s">
        <v>6168</v>
      </c>
      <c r="B5021" s="336">
        <v>46112.0</v>
      </c>
      <c r="C5021" s="335" t="s">
        <v>532</v>
      </c>
      <c r="D5021" s="335" t="s">
        <v>77</v>
      </c>
      <c r="E5021" s="337" t="str">
        <f t="shared" si="1"/>
        <v>東鐵岡山:直納</v>
      </c>
      <c r="F5021" s="338" t="s">
        <v>145</v>
      </c>
      <c r="G5021" s="339" t="str">
        <f t="shared" si="2"/>
        <v>東鐵岡山:直納シュレＡ</v>
      </c>
      <c r="H5021" s="340">
        <f t="shared" si="3"/>
        <v>50.5</v>
      </c>
      <c r="I5021" s="341">
        <v>1.0</v>
      </c>
      <c r="J5021" s="332">
        <f>IFERROR(__xludf.DUMMYFUNCTION("IF(IF(COUNTIF(P$2:P5020, P5021)=0, """", INDEX(H$2:H5020,
MAX(FILTER(ROW(H$2:H5020) - ROW(H$2) + 1, P$2:P5020 = P5021))))=""単価"","""",
IF(COUNTIF(P$2:P5020, P5021)=0, """", INDEX(H$2:H5020,
MAX(FILTER(ROW(H$2:H5020) - ROW(H$2) + 1, P$2:P5020 = P5021)))))"),49.5)</f>
        <v>49.5</v>
      </c>
      <c r="N5021" s="335" t="str">
        <f>IF(MAXIFS('単価履歴'!$O:$O,'単価履歴'!$E:$E,E5021,'単価履歴'!$F:$F,F5021)=O5021,"●","")</f>
        <v/>
      </c>
      <c r="O5021" s="346">
        <v>46112.28601851852</v>
      </c>
      <c r="P5021" s="334" t="str">
        <f t="shared" si="4"/>
        <v>東鐵岡山:直納シュレＡ</v>
      </c>
    </row>
    <row r="5022" ht="15.75" customHeight="1">
      <c r="A5022" s="335" t="s">
        <v>6169</v>
      </c>
      <c r="B5022" s="336">
        <v>46112.0</v>
      </c>
      <c r="C5022" s="335" t="s">
        <v>532</v>
      </c>
      <c r="D5022" s="335" t="s">
        <v>77</v>
      </c>
      <c r="E5022" s="337" t="str">
        <f t="shared" si="1"/>
        <v>東鐵岡山:直納</v>
      </c>
      <c r="F5022" s="338" t="s">
        <v>151</v>
      </c>
      <c r="G5022" s="339" t="str">
        <f t="shared" si="2"/>
        <v>東鐵岡山:直納シュレＣ</v>
      </c>
      <c r="H5022" s="340">
        <f t="shared" si="3"/>
        <v>50</v>
      </c>
      <c r="I5022" s="341">
        <v>1.0</v>
      </c>
      <c r="J5022" s="332">
        <f>IFERROR(__xludf.DUMMYFUNCTION("IF(IF(COUNTIF(P$2:P5021, P5022)=0, """", INDEX(H$2:H5021,
MAX(FILTER(ROW(H$2:H5021) - ROW(H$2) + 1, P$2:P5021 = P5022))))=""単価"","""",
IF(COUNTIF(P$2:P5021, P5022)=0, """", INDEX(H$2:H5021,
MAX(FILTER(ROW(H$2:H5021) - ROW(H$2) + 1, P$2:P5021 = P5022)))))"),49.0)</f>
        <v>49</v>
      </c>
      <c r="N5022" s="335" t="str">
        <f>IF(MAXIFS('単価履歴'!$O:$O,'単価履歴'!$E:$E,E5022,'単価履歴'!$F:$F,F5022)=O5022,"●","")</f>
        <v/>
      </c>
      <c r="O5022" s="346">
        <v>46112.28601851852</v>
      </c>
      <c r="P5022" s="334" t="str">
        <f t="shared" si="4"/>
        <v>東鐵岡山:直納シュレＣ</v>
      </c>
    </row>
    <row r="5023" ht="15.75" customHeight="1">
      <c r="A5023" s="335" t="s">
        <v>6170</v>
      </c>
      <c r="B5023" s="336">
        <v>46112.0</v>
      </c>
      <c r="C5023" s="335" t="s">
        <v>532</v>
      </c>
      <c r="D5023" s="335" t="s">
        <v>77</v>
      </c>
      <c r="E5023" s="337" t="str">
        <f t="shared" si="1"/>
        <v>東鐵岡山:直納</v>
      </c>
      <c r="F5023" s="338" t="s">
        <v>130</v>
      </c>
      <c r="G5023" s="339" t="str">
        <f t="shared" si="2"/>
        <v>東鐵岡山:直納新断Ａ</v>
      </c>
      <c r="H5023" s="340">
        <f t="shared" si="3"/>
        <v>51</v>
      </c>
      <c r="I5023" s="341">
        <v>1.0</v>
      </c>
      <c r="J5023" s="332">
        <f>IFERROR(__xludf.DUMMYFUNCTION("IF(IF(COUNTIF(P$2:P5022, P5023)=0, """", INDEX(H$2:H5022,
MAX(FILTER(ROW(H$2:H5022) - ROW(H$2) + 1, P$2:P5022 = P5023))))=""単価"","""",
IF(COUNTIF(P$2:P5022, P5023)=0, """", INDEX(H$2:H5022,
MAX(FILTER(ROW(H$2:H5022) - ROW(H$2) + 1, P$2:P5022 = P5023)))))"),50.0)</f>
        <v>50</v>
      </c>
      <c r="N5023" s="335" t="str">
        <f>IF(MAXIFS('単価履歴'!$O:$O,'単価履歴'!$E:$E,E5023,'単価履歴'!$F:$F,F5023)=O5023,"●","")</f>
        <v/>
      </c>
      <c r="O5023" s="346">
        <v>46112.28601851852</v>
      </c>
      <c r="P5023" s="334" t="str">
        <f t="shared" si="4"/>
        <v>東鐵岡山:直納新断Ａ</v>
      </c>
    </row>
    <row r="5024" ht="15.75" customHeight="1">
      <c r="A5024" s="335" t="s">
        <v>6171</v>
      </c>
      <c r="B5024" s="336">
        <v>46112.0</v>
      </c>
      <c r="C5024" s="335" t="s">
        <v>532</v>
      </c>
      <c r="D5024" s="335" t="s">
        <v>77</v>
      </c>
      <c r="E5024" s="337" t="str">
        <f t="shared" si="1"/>
        <v>東鐵岡山:直納</v>
      </c>
      <c r="F5024" s="338" t="s">
        <v>131</v>
      </c>
      <c r="G5024" s="339" t="str">
        <f t="shared" si="2"/>
        <v>東鐵岡山:直納新断Ｂ</v>
      </c>
      <c r="H5024" s="340">
        <f t="shared" si="3"/>
        <v>51</v>
      </c>
      <c r="I5024" s="341">
        <v>1.0</v>
      </c>
      <c r="J5024" s="332">
        <f>IFERROR(__xludf.DUMMYFUNCTION("IF(IF(COUNTIF(P$2:P5023, P5024)=0, """", INDEX(H$2:H5023,
MAX(FILTER(ROW(H$2:H5023) - ROW(H$2) + 1, P$2:P5023 = P5024))))=""単価"","""",
IF(COUNTIF(P$2:P5023, P5024)=0, """", INDEX(H$2:H5023,
MAX(FILTER(ROW(H$2:H5023) - ROW(H$2) + 1, P$2:P5023 = P5024)))))"),50.0)</f>
        <v>50</v>
      </c>
      <c r="N5024" s="335" t="str">
        <f>IF(MAXIFS('単価履歴'!$O:$O,'単価履歴'!$E:$E,E5024,'単価履歴'!$F:$F,F5024)=O5024,"●","")</f>
        <v/>
      </c>
      <c r="O5024" s="346">
        <v>46112.28601851852</v>
      </c>
      <c r="P5024" s="334" t="str">
        <f t="shared" si="4"/>
        <v>東鐵岡山:直納新断Ｂ</v>
      </c>
    </row>
    <row r="5025" ht="15.75" customHeight="1">
      <c r="A5025" s="335" t="s">
        <v>6172</v>
      </c>
      <c r="B5025" s="336">
        <v>46112.0</v>
      </c>
      <c r="C5025" s="335" t="s">
        <v>532</v>
      </c>
      <c r="D5025" s="335" t="s">
        <v>77</v>
      </c>
      <c r="E5025" s="337" t="str">
        <f t="shared" si="1"/>
        <v>東鐵岡山:直納</v>
      </c>
      <c r="F5025" s="338" t="s">
        <v>575</v>
      </c>
      <c r="G5025" s="339" t="str">
        <f t="shared" si="2"/>
        <v>東鐵岡山:直納鋼ダライＡ</v>
      </c>
      <c r="H5025" s="340">
        <f t="shared" si="3"/>
        <v>45.5</v>
      </c>
      <c r="I5025" s="341">
        <v>1.0</v>
      </c>
      <c r="J5025" s="332">
        <f>IFERROR(__xludf.DUMMYFUNCTION("IF(IF(COUNTIF(P$2:P5024, P5025)=0, """", INDEX(H$2:H5024,
MAX(FILTER(ROW(H$2:H5024) - ROW(H$2) + 1, P$2:P5024 = P5025))))=""単価"","""",
IF(COUNTIF(P$2:P5024, P5025)=0, """", INDEX(H$2:H5024,
MAX(FILTER(ROW(H$2:H5024) - ROW(H$2) + 1, P$2:P5024 = P5025)))))"),44.5)</f>
        <v>44.5</v>
      </c>
      <c r="N5025" s="335" t="str">
        <f>IF(MAXIFS('単価履歴'!$O:$O,'単価履歴'!$E:$E,E5025,'単価履歴'!$F:$F,F5025)=O5025,"●","")</f>
        <v/>
      </c>
      <c r="O5025" s="346">
        <v>46112.28601851852</v>
      </c>
      <c r="P5025" s="334" t="str">
        <f t="shared" si="4"/>
        <v>東鐵岡山:直納鋼ダライＡ</v>
      </c>
    </row>
    <row r="5026" ht="15.75" customHeight="1">
      <c r="A5026" s="335" t="s">
        <v>6173</v>
      </c>
      <c r="B5026" s="336">
        <v>46112.0</v>
      </c>
      <c r="C5026" s="335" t="s">
        <v>532</v>
      </c>
      <c r="D5026" s="335" t="s">
        <v>77</v>
      </c>
      <c r="E5026" s="337" t="str">
        <f t="shared" si="1"/>
        <v>東鐵岡山:直納</v>
      </c>
      <c r="F5026" s="338" t="s">
        <v>25</v>
      </c>
      <c r="G5026" s="339" t="str">
        <f t="shared" si="2"/>
        <v>東鐵岡山:直納銑ダライ</v>
      </c>
      <c r="H5026" s="340">
        <f t="shared" si="3"/>
        <v>42</v>
      </c>
      <c r="I5026" s="341">
        <v>1.0</v>
      </c>
      <c r="J5026" s="332">
        <f>IFERROR(__xludf.DUMMYFUNCTION("IF(IF(COUNTIF(P$2:P5025, P5026)=0, """", INDEX(H$2:H5025,
MAX(FILTER(ROW(H$2:H5025) - ROW(H$2) + 1, P$2:P5025 = P5026))))=""単価"","""",
IF(COUNTIF(P$2:P5025, P5026)=0, """", INDEX(H$2:H5025,
MAX(FILTER(ROW(H$2:H5025) - ROW(H$2) + 1, P$2:P5025 = P5026)))))"),41.0)</f>
        <v>41</v>
      </c>
      <c r="N5026" s="335" t="str">
        <f>IF(MAXIFS('単価履歴'!$O:$O,'単価履歴'!$E:$E,E5026,'単価履歴'!$F:$F,F5026)=O5026,"●","")</f>
        <v/>
      </c>
      <c r="O5026" s="346">
        <v>46112.28601851852</v>
      </c>
      <c r="P5026" s="334" t="str">
        <f t="shared" si="4"/>
        <v>東鐵岡山:直納銑ダライ</v>
      </c>
    </row>
    <row r="5027" ht="15.75" customHeight="1">
      <c r="A5027" s="335" t="s">
        <v>6174</v>
      </c>
      <c r="B5027" s="336">
        <v>46112.0</v>
      </c>
      <c r="C5027" s="335" t="s">
        <v>532</v>
      </c>
      <c r="D5027" s="335" t="s">
        <v>77</v>
      </c>
      <c r="E5027" s="337" t="str">
        <f t="shared" si="1"/>
        <v>東鐵岡山:直納</v>
      </c>
      <c r="F5027" s="338" t="s">
        <v>154</v>
      </c>
      <c r="G5027" s="339" t="str">
        <f t="shared" si="2"/>
        <v>東鐵岡山:直納ＣＰ Ａ</v>
      </c>
      <c r="H5027" s="340">
        <f t="shared" si="3"/>
        <v>48.5</v>
      </c>
      <c r="I5027" s="341">
        <v>1.0</v>
      </c>
      <c r="J5027" s="332">
        <f>IFERROR(__xludf.DUMMYFUNCTION("IF(IF(COUNTIF(P$2:P5026, P5027)=0, """", INDEX(H$2:H5026,
MAX(FILTER(ROW(H$2:H5026) - ROW(H$2) + 1, P$2:P5026 = P5027))))=""単価"","""",
IF(COUNTIF(P$2:P5026, P5027)=0, """", INDEX(H$2:H5026,
MAX(FILTER(ROW(H$2:H5026) - ROW(H$2) + 1, P$2:P5026 = P5027)))))"),47.5)</f>
        <v>47.5</v>
      </c>
      <c r="N5027" s="335" t="str">
        <f>IF(MAXIFS('単価履歴'!$O:$O,'単価履歴'!$E:$E,E5027,'単価履歴'!$F:$F,F5027)=O5027,"●","")</f>
        <v/>
      </c>
      <c r="O5027" s="346">
        <v>46112.28601851852</v>
      </c>
      <c r="P5027" s="334" t="str">
        <f t="shared" si="4"/>
        <v>東鐵岡山:直納ＣＰ Ａ</v>
      </c>
    </row>
    <row r="5028" ht="15.75" customHeight="1">
      <c r="A5028" s="335" t="s">
        <v>6175</v>
      </c>
      <c r="B5028" s="336">
        <v>46112.0</v>
      </c>
      <c r="C5028" s="335" t="s">
        <v>12</v>
      </c>
      <c r="D5028" s="335" t="s">
        <v>541</v>
      </c>
      <c r="E5028" s="337" t="str">
        <f t="shared" si="1"/>
        <v>山陽特殊:大同</v>
      </c>
      <c r="F5028" s="338" t="s">
        <v>1199</v>
      </c>
      <c r="G5028" s="339" t="str">
        <f t="shared" si="2"/>
        <v>山陽特殊:大同ＨＳ１(単体H1/電特A/HS))</v>
      </c>
      <c r="H5028" s="340">
        <f t="shared" si="3"/>
        <v>56.7</v>
      </c>
      <c r="I5028" s="341">
        <v>1.0</v>
      </c>
      <c r="J5028" s="332">
        <f>IFERROR(__xludf.DUMMYFUNCTION("IF(IF(COUNTIF(P$2:P5027, P5028)=0, """", INDEX(H$2:H5027,
MAX(FILTER(ROW(H$2:H5027) - ROW(H$2) + 1, P$2:P5027 = P5028))))=""単価"","""",
IF(COUNTIF(P$2:P5027, P5028)=0, """", INDEX(H$2:H5027,
MAX(FILTER(ROW(H$2:H5027) - ROW(H$2) + 1, P$2:P5027 = P5028)))))"),55.7)</f>
        <v>55.7</v>
      </c>
      <c r="N5028" s="335" t="str">
        <f>IF(MAXIFS('単価履歴'!$O:$O,'単価履歴'!$E:$E,E5028,'単価履歴'!$F:$F,F5028)=O5028,"●","")</f>
        <v/>
      </c>
      <c r="O5028" s="346">
        <v>46112.28711805555</v>
      </c>
      <c r="P5028" s="334" t="str">
        <f t="shared" si="4"/>
        <v>山陽特殊:大同ＨＳ１(単体H1/電特A/HS))</v>
      </c>
    </row>
    <row r="5029" ht="15.75" customHeight="1">
      <c r="A5029" s="335" t="s">
        <v>6176</v>
      </c>
      <c r="B5029" s="336">
        <v>46112.0</v>
      </c>
      <c r="C5029" s="335" t="s">
        <v>12</v>
      </c>
      <c r="D5029" s="335" t="s">
        <v>541</v>
      </c>
      <c r="E5029" s="337" t="str">
        <f t="shared" si="1"/>
        <v>山陽特殊:大同</v>
      </c>
      <c r="F5029" s="338" t="s">
        <v>101</v>
      </c>
      <c r="G5029" s="339" t="str">
        <f t="shared" si="2"/>
        <v>山陽特殊:大同ＨＳ２</v>
      </c>
      <c r="H5029" s="340">
        <f t="shared" si="3"/>
        <v>56.5</v>
      </c>
      <c r="I5029" s="341">
        <v>1.0</v>
      </c>
      <c r="J5029" s="332">
        <f>IFERROR(__xludf.DUMMYFUNCTION("IF(IF(COUNTIF(P$2:P5028, P5029)=0, """", INDEX(H$2:H5028,
MAX(FILTER(ROW(H$2:H5028) - ROW(H$2) + 1, P$2:P5028 = P5029))))=""単価"","""",
IF(COUNTIF(P$2:P5028, P5029)=0, """", INDEX(H$2:H5028,
MAX(FILTER(ROW(H$2:H5028) - ROW(H$2) + 1, P$2:P5028 = P5029)))))"),55.5)</f>
        <v>55.5</v>
      </c>
      <c r="N5029" s="335" t="str">
        <f>IF(MAXIFS('単価履歴'!$O:$O,'単価履歴'!$E:$E,E5029,'単価履歴'!$F:$F,F5029)=O5029,"●","")</f>
        <v/>
      </c>
      <c r="O5029" s="346">
        <v>46112.28711805555</v>
      </c>
      <c r="P5029" s="334" t="str">
        <f t="shared" si="4"/>
        <v>山陽特殊:大同ＨＳ２</v>
      </c>
    </row>
    <row r="5030" ht="15.75" customHeight="1">
      <c r="A5030" s="335" t="s">
        <v>6177</v>
      </c>
      <c r="B5030" s="336">
        <v>46112.0</v>
      </c>
      <c r="C5030" s="335" t="s">
        <v>12</v>
      </c>
      <c r="D5030" s="335" t="s">
        <v>541</v>
      </c>
      <c r="E5030" s="337" t="str">
        <f t="shared" si="1"/>
        <v>山陽特殊:大同</v>
      </c>
      <c r="F5030" s="338" t="s">
        <v>105</v>
      </c>
      <c r="G5030" s="339" t="str">
        <f t="shared" si="2"/>
        <v>山陽特殊:大同ＨＳ３</v>
      </c>
      <c r="H5030" s="340">
        <f t="shared" si="3"/>
        <v>54.5</v>
      </c>
      <c r="I5030" s="341">
        <v>1.0</v>
      </c>
      <c r="J5030" s="332">
        <f>IFERROR(__xludf.DUMMYFUNCTION("IF(IF(COUNTIF(P$2:P5029, P5030)=0, """", INDEX(H$2:H5029,
MAX(FILTER(ROW(H$2:H5029) - ROW(H$2) + 1, P$2:P5029 = P5030))))=""単価"","""",
IF(COUNTIF(P$2:P5029, P5030)=0, """", INDEX(H$2:H5029,
MAX(FILTER(ROW(H$2:H5029) - ROW(H$2) + 1, P$2:P5029 = P5030)))))"),53.5)</f>
        <v>53.5</v>
      </c>
      <c r="N5030" s="335" t="str">
        <f>IF(MAXIFS('単価履歴'!$O:$O,'単価履歴'!$E:$E,E5030,'単価履歴'!$F:$F,F5030)=O5030,"●","")</f>
        <v/>
      </c>
      <c r="O5030" s="346">
        <v>46112.28711805555</v>
      </c>
      <c r="P5030" s="334" t="str">
        <f t="shared" si="4"/>
        <v>山陽特殊:大同ＨＳ３</v>
      </c>
    </row>
    <row r="5031" ht="15.75" customHeight="1">
      <c r="A5031" s="335" t="s">
        <v>6178</v>
      </c>
      <c r="B5031" s="336">
        <v>46112.0</v>
      </c>
      <c r="C5031" s="335" t="s">
        <v>22</v>
      </c>
      <c r="D5031" s="335" t="s">
        <v>47</v>
      </c>
      <c r="E5031" s="337" t="str">
        <f t="shared" si="1"/>
        <v>栗本鐵工:豊通</v>
      </c>
      <c r="F5031" s="338" t="s">
        <v>1199</v>
      </c>
      <c r="G5031" s="339" t="str">
        <f t="shared" si="2"/>
        <v>栗本鐵工:豊通ＨＳ１(単体H1/電特A/HS))</v>
      </c>
      <c r="H5031" s="340">
        <f t="shared" si="3"/>
        <v>55.8</v>
      </c>
      <c r="I5031" s="341">
        <v>1.0</v>
      </c>
      <c r="J5031" s="332">
        <f>IFERROR(__xludf.DUMMYFUNCTION("IF(IF(COUNTIF(P$2:P5030, P5031)=0, """", INDEX(H$2:H5030,
MAX(FILTER(ROW(H$2:H5030) - ROW(H$2) + 1, P$2:P5030 = P5031))))=""単価"","""",
IF(COUNTIF(P$2:P5030, P5031)=0, """", INDEX(H$2:H5030,
MAX(FILTER(ROW(H$2:H5030) - ROW(H$2) + 1, P$2:P5030 = P5031)))))"),54.8)</f>
        <v>54.8</v>
      </c>
      <c r="N5031" s="335" t="str">
        <f>IF(MAXIFS('単価履歴'!$O:$O,'単価履歴'!$E:$E,E5031,'単価履歴'!$F:$F,F5031)=O5031,"●","")</f>
        <v/>
      </c>
      <c r="O5031" s="346">
        <v>46112.28733796296</v>
      </c>
      <c r="P5031" s="334" t="str">
        <f t="shared" si="4"/>
        <v>栗本鐵工:豊通ＨＳ１(単体H1/電特A/HS))</v>
      </c>
    </row>
    <row r="5032" ht="15.75" customHeight="1">
      <c r="A5032" s="335" t="s">
        <v>6179</v>
      </c>
      <c r="B5032" s="336">
        <v>46112.0</v>
      </c>
      <c r="C5032" s="335" t="s">
        <v>22</v>
      </c>
      <c r="D5032" s="335" t="s">
        <v>47</v>
      </c>
      <c r="E5032" s="337" t="str">
        <f t="shared" si="1"/>
        <v>栗本鐵工:豊通</v>
      </c>
      <c r="F5032" s="338" t="s">
        <v>101</v>
      </c>
      <c r="G5032" s="339" t="str">
        <f t="shared" si="2"/>
        <v>栗本鐵工:豊通ＨＳ２</v>
      </c>
      <c r="H5032" s="340">
        <f t="shared" si="3"/>
        <v>55.5</v>
      </c>
      <c r="I5032" s="341">
        <v>1.0</v>
      </c>
      <c r="J5032" s="332">
        <f>IFERROR(__xludf.DUMMYFUNCTION("IF(IF(COUNTIF(P$2:P5031, P5032)=0, """", INDEX(H$2:H5031,
MAX(FILTER(ROW(H$2:H5031) - ROW(H$2) + 1, P$2:P5031 = P5032))))=""単価"","""",
IF(COUNTIF(P$2:P5031, P5032)=0, """", INDEX(H$2:H5031,
MAX(FILTER(ROW(H$2:H5031) - ROW(H$2) + 1, P$2:P5031 = P5032)))))"),54.5)</f>
        <v>54.5</v>
      </c>
      <c r="N5032" s="335" t="str">
        <f>IF(MAXIFS('単価履歴'!$O:$O,'単価履歴'!$E:$E,E5032,'単価履歴'!$F:$F,F5032)=O5032,"●","")</f>
        <v/>
      </c>
      <c r="O5032" s="346">
        <v>46112.28733796296</v>
      </c>
      <c r="P5032" s="334" t="str">
        <f t="shared" si="4"/>
        <v>栗本鐵工:豊通ＨＳ２</v>
      </c>
    </row>
    <row r="5033" ht="15.75" customHeight="1">
      <c r="A5033" s="335" t="s">
        <v>6180</v>
      </c>
      <c r="B5033" s="336">
        <v>46112.0</v>
      </c>
      <c r="C5033" s="335" t="s">
        <v>22</v>
      </c>
      <c r="D5033" s="335" t="s">
        <v>47</v>
      </c>
      <c r="E5033" s="337" t="str">
        <f t="shared" si="1"/>
        <v>栗本鐵工:豊通</v>
      </c>
      <c r="F5033" s="338" t="s">
        <v>105</v>
      </c>
      <c r="G5033" s="339" t="str">
        <f t="shared" si="2"/>
        <v>栗本鐵工:豊通ＨＳ３</v>
      </c>
      <c r="H5033" s="340">
        <f t="shared" si="3"/>
        <v>54.6</v>
      </c>
      <c r="I5033" s="341">
        <v>1.0</v>
      </c>
      <c r="J5033" s="332">
        <f>IFERROR(__xludf.DUMMYFUNCTION("IF(IF(COUNTIF(P$2:P5032, P5033)=0, """", INDEX(H$2:H5032,
MAX(FILTER(ROW(H$2:H5032) - ROW(H$2) + 1, P$2:P5032 = P5033))))=""単価"","""",
IF(COUNTIF(P$2:P5032, P5033)=0, """", INDEX(H$2:H5032,
MAX(FILTER(ROW(H$2:H5032) - ROW(H$2) + 1, P$2:P5032 = P5033)))))"),53.6)</f>
        <v>53.6</v>
      </c>
      <c r="N5033" s="335" t="str">
        <f>IF(MAXIFS('単価履歴'!$O:$O,'単価履歴'!$E:$E,E5033,'単価履歴'!$F:$F,F5033)=O5033,"●","")</f>
        <v/>
      </c>
      <c r="O5033" s="346">
        <v>46112.28733796296</v>
      </c>
      <c r="P5033" s="334" t="str">
        <f t="shared" si="4"/>
        <v>栗本鐵工:豊通ＨＳ３</v>
      </c>
    </row>
    <row r="5034" ht="15.75" customHeight="1">
      <c r="A5034" s="335" t="s">
        <v>6181</v>
      </c>
      <c r="B5034" s="336">
        <v>46112.0</v>
      </c>
      <c r="C5034" s="335" t="s">
        <v>22</v>
      </c>
      <c r="D5034" s="335" t="s">
        <v>47</v>
      </c>
      <c r="E5034" s="337" t="str">
        <f t="shared" si="1"/>
        <v>栗本鐵工:豊通</v>
      </c>
      <c r="F5034" s="338" t="s">
        <v>577</v>
      </c>
      <c r="G5034" s="339" t="str">
        <f t="shared" si="2"/>
        <v>栗本鐵工:豊通鋳物・ﾀﾞｸﾀｲﾙ</v>
      </c>
      <c r="H5034" s="340">
        <f t="shared" si="3"/>
        <v>54.4</v>
      </c>
      <c r="I5034" s="341">
        <v>1.0</v>
      </c>
      <c r="J5034" s="332">
        <f>IFERROR(__xludf.DUMMYFUNCTION("IF(IF(COUNTIF(P$2:P5033, P5034)=0, """", INDEX(H$2:H5033,
MAX(FILTER(ROW(H$2:H5033) - ROW(H$2) + 1, P$2:P5033 = P5034))))=""単価"","""",
IF(COUNTIF(P$2:P5033, P5034)=0, """", INDEX(H$2:H5033,
MAX(FILTER(ROW(H$2:H5033) - ROW(H$2) + 1, P$2:P5033 = P5034)))))"),53.4)</f>
        <v>53.4</v>
      </c>
      <c r="N5034" s="335" t="str">
        <f>IF(MAXIFS('単価履歴'!$O:$O,'単価履歴'!$E:$E,E5034,'単価履歴'!$F:$F,F5034)=O5034,"●","")</f>
        <v/>
      </c>
      <c r="O5034" s="346">
        <v>46112.28733796296</v>
      </c>
      <c r="P5034" s="334" t="str">
        <f t="shared" si="4"/>
        <v>栗本鐵工:豊通鋳物・ﾀﾞｸﾀｲﾙ</v>
      </c>
    </row>
    <row r="5035" ht="15.75" customHeight="1">
      <c r="A5035" s="335" t="s">
        <v>6182</v>
      </c>
      <c r="B5035" s="336">
        <v>46112.0</v>
      </c>
      <c r="C5035" s="335" t="s">
        <v>11</v>
      </c>
      <c r="D5035" s="335" t="s">
        <v>46</v>
      </c>
      <c r="E5035" s="337" t="str">
        <f t="shared" si="1"/>
        <v>ﾔﾏﾄ:阪和</v>
      </c>
      <c r="F5035" s="338" t="s">
        <v>116</v>
      </c>
      <c r="G5035" s="339" t="str">
        <f t="shared" si="2"/>
        <v>ﾔﾏﾄ:阪和Ｈ２(特級)</v>
      </c>
      <c r="H5035" s="340">
        <f t="shared" si="3"/>
        <v>51.1</v>
      </c>
      <c r="I5035" s="341">
        <v>1.0</v>
      </c>
      <c r="J5035" s="332">
        <f>IFERROR(__xludf.DUMMYFUNCTION("IF(IF(COUNTIF(P$2:P5034, P5035)=0, """", INDEX(H$2:H5034,
MAX(FILTER(ROW(H$2:H5034) - ROW(H$2) + 1, P$2:P5034 = P5035))))=""単価"","""",
IF(COUNTIF(P$2:P5034, P5035)=0, """", INDEX(H$2:H5034,
MAX(FILTER(ROW(H$2:H5034) - ROW(H$2) + 1, P$2:P5034 = P5035)))))"),50.1)</f>
        <v>50.1</v>
      </c>
      <c r="N5035" s="335" t="str">
        <f>IF(MAXIFS('単価履歴'!$O:$O,'単価履歴'!$E:$E,E5035,'単価履歴'!$F:$F,F5035)=O5035,"●","")</f>
        <v/>
      </c>
      <c r="O5035" s="346">
        <v>46112.287615740745</v>
      </c>
      <c r="P5035" s="334" t="str">
        <f t="shared" si="4"/>
        <v>ﾔﾏﾄ:阪和Ｈ２(特級)</v>
      </c>
    </row>
    <row r="5036" ht="15.75" customHeight="1">
      <c r="A5036" s="335" t="s">
        <v>6183</v>
      </c>
      <c r="B5036" s="336">
        <v>46112.0</v>
      </c>
      <c r="C5036" s="335" t="s">
        <v>11</v>
      </c>
      <c r="D5036" s="335" t="s">
        <v>46</v>
      </c>
      <c r="E5036" s="337" t="str">
        <f t="shared" si="1"/>
        <v>ﾔﾏﾄ:阪和</v>
      </c>
      <c r="F5036" s="338" t="s">
        <v>119</v>
      </c>
      <c r="G5036" s="339" t="str">
        <f t="shared" si="2"/>
        <v>ﾔﾏﾄ:阪和Ｈ３(1級)</v>
      </c>
      <c r="H5036" s="340">
        <f t="shared" si="3"/>
        <v>50.1</v>
      </c>
      <c r="I5036" s="341">
        <v>1.0</v>
      </c>
      <c r="J5036" s="332">
        <f>IFERROR(__xludf.DUMMYFUNCTION("IF(IF(COUNTIF(P$2:P5035, P5036)=0, """", INDEX(H$2:H5035,
MAX(FILTER(ROW(H$2:H5035) - ROW(H$2) + 1, P$2:P5035 = P5036))))=""単価"","""",
IF(COUNTIF(P$2:P5035, P5036)=0, """", INDEX(H$2:H5035,
MAX(FILTER(ROW(H$2:H5035) - ROW(H$2) + 1, P$2:P5035 = P5036)))))"),49.1)</f>
        <v>49.1</v>
      </c>
      <c r="N5036" s="335" t="str">
        <f>IF(MAXIFS('単価履歴'!$O:$O,'単価履歴'!$E:$E,E5036,'単価履歴'!$F:$F,F5036)=O5036,"●","")</f>
        <v/>
      </c>
      <c r="O5036" s="346">
        <v>46112.287615740745</v>
      </c>
      <c r="P5036" s="334" t="str">
        <f t="shared" si="4"/>
        <v>ﾔﾏﾄ:阪和Ｈ３(1級)</v>
      </c>
    </row>
    <row r="5037" ht="15.75" customHeight="1">
      <c r="A5037" s="335" t="s">
        <v>6184</v>
      </c>
      <c r="B5037" s="336">
        <v>46112.0</v>
      </c>
      <c r="C5037" s="335" t="s">
        <v>11</v>
      </c>
      <c r="D5037" s="335" t="s">
        <v>46</v>
      </c>
      <c r="E5037" s="337" t="str">
        <f t="shared" si="1"/>
        <v>ﾔﾏﾄ:阪和</v>
      </c>
      <c r="F5037" s="338" t="s">
        <v>122</v>
      </c>
      <c r="G5037" s="339" t="str">
        <f t="shared" si="2"/>
        <v>ﾔﾏﾄ:阪和Ｌ１(2級)</v>
      </c>
      <c r="H5037" s="340">
        <f t="shared" si="3"/>
        <v>48.1</v>
      </c>
      <c r="I5037" s="341">
        <v>1.0</v>
      </c>
      <c r="J5037" s="332">
        <f>IFERROR(__xludf.DUMMYFUNCTION("IF(IF(COUNTIF(P$2:P5036, P5037)=0, """", INDEX(H$2:H5036,
MAX(FILTER(ROW(H$2:H5036) - ROW(H$2) + 1, P$2:P5036 = P5037))))=""単価"","""",
IF(COUNTIF(P$2:P5036, P5037)=0, """", INDEX(H$2:H5036,
MAX(FILTER(ROW(H$2:H5036) - ROW(H$2) + 1, P$2:P5036 = P5037)))))"),47.1)</f>
        <v>47.1</v>
      </c>
      <c r="N5037" s="335" t="str">
        <f>IF(MAXIFS('単価履歴'!$O:$O,'単価履歴'!$E:$E,E5037,'単価履歴'!$F:$F,F5037)=O5037,"●","")</f>
        <v/>
      </c>
      <c r="O5037" s="346">
        <v>46112.287615740745</v>
      </c>
      <c r="P5037" s="334" t="str">
        <f t="shared" si="4"/>
        <v>ﾔﾏﾄ:阪和Ｌ１(2級)</v>
      </c>
    </row>
    <row r="5038" ht="15.75" customHeight="1">
      <c r="A5038" s="335" t="s">
        <v>6185</v>
      </c>
      <c r="B5038" s="336">
        <v>46112.0</v>
      </c>
      <c r="C5038" s="335" t="s">
        <v>11</v>
      </c>
      <c r="D5038" s="335" t="s">
        <v>46</v>
      </c>
      <c r="E5038" s="337" t="str">
        <f t="shared" si="1"/>
        <v>ﾔﾏﾄ:阪和</v>
      </c>
      <c r="F5038" s="338" t="s">
        <v>111</v>
      </c>
      <c r="G5038" s="339" t="str">
        <f t="shared" si="2"/>
        <v>ﾔﾏﾄ:阪和Ｈ１(特A)</v>
      </c>
      <c r="H5038" s="340">
        <f t="shared" si="3"/>
        <v>52.1</v>
      </c>
      <c r="I5038" s="341">
        <v>1.0</v>
      </c>
      <c r="J5038" s="332">
        <f>IFERROR(__xludf.DUMMYFUNCTION("IF(IF(COUNTIF(P$2:P5037, P5038)=0, """", INDEX(H$2:H5037,
MAX(FILTER(ROW(H$2:H5037) - ROW(H$2) + 1, P$2:P5037 = P5038))))=""単価"","""",
IF(COUNTIF(P$2:P5037, P5038)=0, """", INDEX(H$2:H5037,
MAX(FILTER(ROW(H$2:H5037) - ROW(H$2) + 1, P$2:P5037 = P5038)))))"),51.1)</f>
        <v>51.1</v>
      </c>
      <c r="N5038" s="335" t="str">
        <f>IF(MAXIFS('単価履歴'!$O:$O,'単価履歴'!$E:$E,E5038,'単価履歴'!$F:$F,F5038)=O5038,"●","")</f>
        <v/>
      </c>
      <c r="O5038" s="346">
        <v>46112.287615740745</v>
      </c>
      <c r="P5038" s="334" t="str">
        <f t="shared" si="4"/>
        <v>ﾔﾏﾄ:阪和Ｈ１(特A)</v>
      </c>
    </row>
    <row r="5039" ht="15.75" customHeight="1">
      <c r="A5039" s="335" t="s">
        <v>6186</v>
      </c>
      <c r="B5039" s="336">
        <v>46112.0</v>
      </c>
      <c r="C5039" s="335" t="s">
        <v>11</v>
      </c>
      <c r="D5039" s="335" t="s">
        <v>46</v>
      </c>
      <c r="E5039" s="337" t="str">
        <f t="shared" si="1"/>
        <v>ﾔﾏﾄ:阪和</v>
      </c>
      <c r="F5039" s="338" t="s">
        <v>573</v>
      </c>
      <c r="G5039" s="339" t="str">
        <f t="shared" si="2"/>
        <v>ﾔﾏﾄ:阪和Ｌ２(H4･級外･L1ﾊﾞﾗ)</v>
      </c>
      <c r="H5039" s="340">
        <f t="shared" si="3"/>
        <v>45.6</v>
      </c>
      <c r="I5039" s="341">
        <v>1.0</v>
      </c>
      <c r="J5039" s="332">
        <f>IFERROR(__xludf.DUMMYFUNCTION("IF(IF(COUNTIF(P$2:P5038, P5039)=0, """", INDEX(H$2:H5038,
MAX(FILTER(ROW(H$2:H5038) - ROW(H$2) + 1, P$2:P5038 = P5039))))=""単価"","""",
IF(COUNTIF(P$2:P5038, P5039)=0, """", INDEX(H$2:H5038,
MAX(FILTER(ROW(H$2:H5038) - ROW(H$2) + 1, P$2:P5038 = P5039)))))"),44.6)</f>
        <v>44.6</v>
      </c>
      <c r="N5039" s="335" t="str">
        <f>IF(MAXIFS('単価履歴'!$O:$O,'単価履歴'!$E:$E,E5039,'単価履歴'!$F:$F,F5039)=O5039,"●","")</f>
        <v/>
      </c>
      <c r="O5039" s="346">
        <v>46112.287615740745</v>
      </c>
      <c r="P5039" s="334" t="str">
        <f t="shared" si="4"/>
        <v>ﾔﾏﾄ:阪和Ｌ２(H4･級外･L1ﾊﾞﾗ)</v>
      </c>
    </row>
    <row r="5040" ht="15.75" customHeight="1">
      <c r="A5040" s="335" t="s">
        <v>6187</v>
      </c>
      <c r="B5040" s="336">
        <v>46112.0</v>
      </c>
      <c r="C5040" s="335" t="s">
        <v>19</v>
      </c>
      <c r="D5040" s="335" t="s">
        <v>61</v>
      </c>
      <c r="E5040" s="337" t="str">
        <f t="shared" si="1"/>
        <v>トピー工業:ＭＭ</v>
      </c>
      <c r="F5040" s="338" t="s">
        <v>116</v>
      </c>
      <c r="G5040" s="339" t="str">
        <f t="shared" si="2"/>
        <v>トピー工業:ＭＭＨ２(特級)</v>
      </c>
      <c r="H5040" s="340">
        <f t="shared" si="3"/>
        <v>44</v>
      </c>
      <c r="I5040" s="341">
        <v>1.0</v>
      </c>
      <c r="J5040" s="332">
        <f>IFERROR(__xludf.DUMMYFUNCTION("IF(IF(COUNTIF(P$2:P5039, P5040)=0, """", INDEX(H$2:H5039,
MAX(FILTER(ROW(H$2:H5039) - ROW(H$2) + 1, P$2:P5039 = P5040))))=""単価"","""",
IF(COUNTIF(P$2:P5039, P5040)=0, """", INDEX(H$2:H5039,
MAX(FILTER(ROW(H$2:H5039) - ROW(H$2) + 1, P$2:P5039 = P5040)))))"),43.0)</f>
        <v>43</v>
      </c>
      <c r="N5040" s="335" t="str">
        <f>IF(MAXIFS('単価履歴'!$O:$O,'単価履歴'!$E:$E,E5040,'単価履歴'!$F:$F,F5040)=O5040,"●","")</f>
        <v/>
      </c>
      <c r="O5040" s="346">
        <v>46112.2880787037</v>
      </c>
      <c r="P5040" s="334" t="str">
        <f t="shared" si="4"/>
        <v>トピー工業:ＭＭＨ２(特級)</v>
      </c>
    </row>
    <row r="5041" ht="15.75" customHeight="1">
      <c r="A5041" s="335" t="s">
        <v>6188</v>
      </c>
      <c r="B5041" s="336">
        <v>46112.0</v>
      </c>
      <c r="C5041" s="335" t="s">
        <v>37</v>
      </c>
      <c r="D5041" s="335" t="s">
        <v>48</v>
      </c>
      <c r="E5041" s="337" t="str">
        <f t="shared" si="1"/>
        <v>共英名古屋:ナベ</v>
      </c>
      <c r="F5041" s="338" t="s">
        <v>111</v>
      </c>
      <c r="G5041" s="339" t="str">
        <f t="shared" si="2"/>
        <v>共英名古屋:ナベＨ１(特A)</v>
      </c>
      <c r="H5041" s="340">
        <f t="shared" si="3"/>
        <v>51.7</v>
      </c>
      <c r="I5041" s="341">
        <v>1.5</v>
      </c>
      <c r="J5041" s="332">
        <f>IFERROR(__xludf.DUMMYFUNCTION("IF(IF(COUNTIF(P$2:P5040, P5041)=0, """", INDEX(H$2:H5040,
MAX(FILTER(ROW(H$2:H5040) - ROW(H$2) + 1, P$2:P5040 = P5041))))=""単価"","""",
IF(COUNTIF(P$2:P5040, P5041)=0, """", INDEX(H$2:H5040,
MAX(FILTER(ROW(H$2:H5040) - ROW(H$2) + 1, P$2:P5040 = P5041)))))"),50.2)</f>
        <v>50.2</v>
      </c>
      <c r="N5041" s="335" t="str">
        <f>IF(MAXIFS('単価履歴'!$O:$O,'単価履歴'!$E:$E,E5041,'単価履歴'!$F:$F,F5041)=O5041,"●","")</f>
        <v/>
      </c>
      <c r="O5041" s="346">
        <v>46112.28836805555</v>
      </c>
      <c r="P5041" s="334" t="str">
        <f t="shared" si="4"/>
        <v>共英名古屋:ナベＨ１(特A)</v>
      </c>
    </row>
    <row r="5042" ht="15.75" customHeight="1">
      <c r="A5042" s="335" t="s">
        <v>6189</v>
      </c>
      <c r="B5042" s="336">
        <v>46112.0</v>
      </c>
      <c r="C5042" s="335" t="s">
        <v>37</v>
      </c>
      <c r="D5042" s="335" t="s">
        <v>48</v>
      </c>
      <c r="E5042" s="337" t="str">
        <f t="shared" si="1"/>
        <v>共英名古屋:ナベ</v>
      </c>
      <c r="F5042" s="338" t="s">
        <v>116</v>
      </c>
      <c r="G5042" s="339" t="str">
        <f t="shared" si="2"/>
        <v>共英名古屋:ナベＨ２(特級)</v>
      </c>
      <c r="H5042" s="340">
        <f t="shared" si="3"/>
        <v>49</v>
      </c>
      <c r="I5042" s="341">
        <v>1.5</v>
      </c>
      <c r="J5042" s="332">
        <f>IFERROR(__xludf.DUMMYFUNCTION("IF(IF(COUNTIF(P$2:P5041, P5042)=0, """", INDEX(H$2:H5041,
MAX(FILTER(ROW(H$2:H5041) - ROW(H$2) + 1, P$2:P5041 = P5042))))=""単価"","""",
IF(COUNTIF(P$2:P5041, P5042)=0, """", INDEX(H$2:H5041,
MAX(FILTER(ROW(H$2:H5041) - ROW(H$2) + 1, P$2:P5041 = P5042)))))"),47.5)</f>
        <v>47.5</v>
      </c>
      <c r="N5042" s="335" t="str">
        <f>IF(MAXIFS('単価履歴'!$O:$O,'単価履歴'!$E:$E,E5042,'単価履歴'!$F:$F,F5042)=O5042,"●","")</f>
        <v/>
      </c>
      <c r="O5042" s="346">
        <v>46112.28836805555</v>
      </c>
      <c r="P5042" s="334" t="str">
        <f t="shared" si="4"/>
        <v>共英名古屋:ナベＨ２(特級)</v>
      </c>
    </row>
    <row r="5043" ht="15.75" customHeight="1">
      <c r="A5043" s="335" t="s">
        <v>6190</v>
      </c>
      <c r="B5043" s="336">
        <v>46112.0</v>
      </c>
      <c r="C5043" s="335" t="s">
        <v>37</v>
      </c>
      <c r="D5043" s="335" t="s">
        <v>48</v>
      </c>
      <c r="E5043" s="337" t="str">
        <f t="shared" si="1"/>
        <v>共英名古屋:ナベ</v>
      </c>
      <c r="F5043" s="338" t="s">
        <v>119</v>
      </c>
      <c r="G5043" s="339" t="str">
        <f t="shared" si="2"/>
        <v>共英名古屋:ナベＨ３(1級)</v>
      </c>
      <c r="H5043" s="340">
        <f t="shared" si="3"/>
        <v>48</v>
      </c>
      <c r="I5043" s="341">
        <v>1.5</v>
      </c>
      <c r="J5043" s="332">
        <f>IFERROR(__xludf.DUMMYFUNCTION("IF(IF(COUNTIF(P$2:P5042, P5043)=0, """", INDEX(H$2:H5042,
MAX(FILTER(ROW(H$2:H5042) - ROW(H$2) + 1, P$2:P5042 = P5043))))=""単価"","""",
IF(COUNTIF(P$2:P5042, P5043)=0, """", INDEX(H$2:H5042,
MAX(FILTER(ROW(H$2:H5042) - ROW(H$2) + 1, P$2:P5042 = P5043)))))"),46.5)</f>
        <v>46.5</v>
      </c>
      <c r="N5043" s="335" t="str">
        <f>IF(MAXIFS('単価履歴'!$O:$O,'単価履歴'!$E:$E,E5043,'単価履歴'!$F:$F,F5043)=O5043,"●","")</f>
        <v/>
      </c>
      <c r="O5043" s="346">
        <v>46112.28836805555</v>
      </c>
      <c r="P5043" s="334" t="str">
        <f t="shared" si="4"/>
        <v>共英名古屋:ナベＨ３(1級)</v>
      </c>
    </row>
    <row r="5044" ht="15.75" customHeight="1">
      <c r="A5044" s="335" t="s">
        <v>6191</v>
      </c>
      <c r="B5044" s="336">
        <v>46112.0</v>
      </c>
      <c r="C5044" s="335" t="s">
        <v>37</v>
      </c>
      <c r="D5044" s="335" t="s">
        <v>48</v>
      </c>
      <c r="E5044" s="337" t="str">
        <f t="shared" si="1"/>
        <v>共英名古屋:ナベ</v>
      </c>
      <c r="F5044" s="338" t="s">
        <v>122</v>
      </c>
      <c r="G5044" s="339" t="str">
        <f t="shared" si="2"/>
        <v>共英名古屋:ナベＬ１(2級)</v>
      </c>
      <c r="H5044" s="340">
        <f t="shared" si="3"/>
        <v>45</v>
      </c>
      <c r="I5044" s="341">
        <v>1.5</v>
      </c>
      <c r="J5044" s="332">
        <f>IFERROR(__xludf.DUMMYFUNCTION("IF(IF(COUNTIF(P$2:P5043, P5044)=0, """", INDEX(H$2:H5043,
MAX(FILTER(ROW(H$2:H5043) - ROW(H$2) + 1, P$2:P5043 = P5044))))=""単価"","""",
IF(COUNTIF(P$2:P5043, P5044)=0, """", INDEX(H$2:H5043,
MAX(FILTER(ROW(H$2:H5043) - ROW(H$2) + 1, P$2:P5043 = P5044)))))"),43.5)</f>
        <v>43.5</v>
      </c>
      <c r="N5044" s="335" t="str">
        <f>IF(MAXIFS('単価履歴'!$O:$O,'単価履歴'!$E:$E,E5044,'単価履歴'!$F:$F,F5044)=O5044,"●","")</f>
        <v/>
      </c>
      <c r="O5044" s="346">
        <v>46112.28836805555</v>
      </c>
      <c r="P5044" s="334" t="str">
        <f t="shared" si="4"/>
        <v>共英名古屋:ナベＬ１(2級)</v>
      </c>
    </row>
    <row r="5045" ht="15.75" customHeight="1">
      <c r="A5045" s="335" t="s">
        <v>6192</v>
      </c>
      <c r="B5045" s="336">
        <v>46112.0</v>
      </c>
      <c r="C5045" s="335" t="s">
        <v>15</v>
      </c>
      <c r="D5045" s="335" t="s">
        <v>58</v>
      </c>
      <c r="E5045" s="337" t="str">
        <f t="shared" si="1"/>
        <v>山口鋼業:MM建材</v>
      </c>
      <c r="F5045" s="338" t="s">
        <v>1199</v>
      </c>
      <c r="G5045" s="339" t="str">
        <f t="shared" si="2"/>
        <v>山口鋼業:MM建材ＨＳ１(単体H1/電特A/HS))</v>
      </c>
      <c r="H5045" s="340">
        <f t="shared" si="3"/>
        <v>50</v>
      </c>
      <c r="I5045" s="341">
        <v>2.0</v>
      </c>
      <c r="J5045" s="332">
        <f>IFERROR(__xludf.DUMMYFUNCTION("IF(IF(COUNTIF(P$2:P5044, P5045)=0, """", INDEX(H$2:H5044,
MAX(FILTER(ROW(H$2:H5044) - ROW(H$2) + 1, P$2:P5044 = P5045))))=""単価"","""",
IF(COUNTIF(P$2:P5044, P5045)=0, """", INDEX(H$2:H5044,
MAX(FILTER(ROW(H$2:H5044) - ROW(H$2) + 1, P$2:P5044 = P5045)))))"),48.0)</f>
        <v>48</v>
      </c>
      <c r="N5045" s="335" t="str">
        <f>IF(MAXIFS('単価履歴'!$O:$O,'単価履歴'!$E:$E,E5045,'単価履歴'!$F:$F,F5045)=O5045,"●","")</f>
        <v/>
      </c>
      <c r="O5045" s="346">
        <v>46112.288611111115</v>
      </c>
      <c r="P5045" s="334" t="str">
        <f t="shared" si="4"/>
        <v>山口鋼業:MM建材ＨＳ１(単体H1/電特A/HS))</v>
      </c>
    </row>
    <row r="5046" ht="15.75" customHeight="1">
      <c r="A5046" s="335" t="s">
        <v>6193</v>
      </c>
      <c r="B5046" s="336">
        <v>46112.0</v>
      </c>
      <c r="C5046" s="335" t="s">
        <v>15</v>
      </c>
      <c r="D5046" s="335" t="s">
        <v>58</v>
      </c>
      <c r="E5046" s="337" t="str">
        <f t="shared" si="1"/>
        <v>山口鋼業:MM建材</v>
      </c>
      <c r="F5046" s="338" t="s">
        <v>116</v>
      </c>
      <c r="G5046" s="339" t="str">
        <f t="shared" si="2"/>
        <v>山口鋼業:MM建材Ｈ２(特級)</v>
      </c>
      <c r="H5046" s="340">
        <f t="shared" si="3"/>
        <v>48</v>
      </c>
      <c r="I5046" s="341">
        <v>1.5</v>
      </c>
      <c r="J5046" s="332">
        <f>IFERROR(__xludf.DUMMYFUNCTION("IF(IF(COUNTIF(P$2:P5045, P5046)=0, """", INDEX(H$2:H5045,
MAX(FILTER(ROW(H$2:H5045) - ROW(H$2) + 1, P$2:P5045 = P5046))))=""単価"","""",
IF(COUNTIF(P$2:P5045, P5046)=0, """", INDEX(H$2:H5045,
MAX(FILTER(ROW(H$2:H5045) - ROW(H$2) + 1, P$2:P5045 = P5046)))))"),46.5)</f>
        <v>46.5</v>
      </c>
      <c r="N5046" s="335" t="str">
        <f>IF(MAXIFS('単価履歴'!$O:$O,'単価履歴'!$E:$E,E5046,'単価履歴'!$F:$F,F5046)=O5046,"●","")</f>
        <v/>
      </c>
      <c r="O5046" s="346">
        <v>46112.28910879629</v>
      </c>
      <c r="P5046" s="334" t="str">
        <f t="shared" si="4"/>
        <v>山口鋼業:MM建材Ｈ２(特級)</v>
      </c>
    </row>
    <row r="5047" ht="15.75" customHeight="1">
      <c r="A5047" s="335" t="s">
        <v>6194</v>
      </c>
      <c r="B5047" s="336">
        <v>46112.0</v>
      </c>
      <c r="C5047" s="335" t="s">
        <v>15</v>
      </c>
      <c r="D5047" s="335" t="s">
        <v>58</v>
      </c>
      <c r="E5047" s="337" t="str">
        <f t="shared" si="1"/>
        <v>山口鋼業:MM建材</v>
      </c>
      <c r="F5047" s="338" t="s">
        <v>119</v>
      </c>
      <c r="G5047" s="339" t="str">
        <f t="shared" si="2"/>
        <v>山口鋼業:MM建材Ｈ３(1級)</v>
      </c>
      <c r="H5047" s="340">
        <f t="shared" si="3"/>
        <v>47</v>
      </c>
      <c r="I5047" s="341">
        <v>1.5</v>
      </c>
      <c r="J5047" s="332">
        <f>IFERROR(__xludf.DUMMYFUNCTION("IF(IF(COUNTIF(P$2:P5046, P5047)=0, """", INDEX(H$2:H5046,
MAX(FILTER(ROW(H$2:H5046) - ROW(H$2) + 1, P$2:P5046 = P5047))))=""単価"","""",
IF(COUNTIF(P$2:P5046, P5047)=0, """", INDEX(H$2:H5046,
MAX(FILTER(ROW(H$2:H5046) - ROW(H$2) + 1, P$2:P5046 = P5047)))))"),45.5)</f>
        <v>45.5</v>
      </c>
      <c r="N5047" s="335" t="str">
        <f>IF(MAXIFS('単価履歴'!$O:$O,'単価履歴'!$E:$E,E5047,'単価履歴'!$F:$F,F5047)=O5047,"●","")</f>
        <v/>
      </c>
      <c r="O5047" s="346">
        <v>46112.28910879629</v>
      </c>
      <c r="P5047" s="334" t="str">
        <f t="shared" si="4"/>
        <v>山口鋼業:MM建材Ｈ３(1級)</v>
      </c>
    </row>
    <row r="5048" ht="15.75" customHeight="1">
      <c r="A5048" s="335" t="s">
        <v>6195</v>
      </c>
      <c r="B5048" s="336">
        <v>46112.0</v>
      </c>
      <c r="C5048" s="335" t="s">
        <v>15</v>
      </c>
      <c r="D5048" s="335" t="s">
        <v>58</v>
      </c>
      <c r="E5048" s="337" t="str">
        <f t="shared" si="1"/>
        <v>山口鋼業:MM建材</v>
      </c>
      <c r="F5048" s="338" t="s">
        <v>573</v>
      </c>
      <c r="G5048" s="339" t="str">
        <f t="shared" si="2"/>
        <v>山口鋼業:MM建材Ｌ２(H4･級外･L1ﾊﾞﾗ)</v>
      </c>
      <c r="H5048" s="340">
        <f t="shared" si="3"/>
        <v>45.5</v>
      </c>
      <c r="I5048" s="341">
        <v>1.5</v>
      </c>
      <c r="J5048" s="332">
        <f>IFERROR(__xludf.DUMMYFUNCTION("IF(IF(COUNTIF(P$2:P5047, P5048)=0, """", INDEX(H$2:H5047,
MAX(FILTER(ROW(H$2:H5047) - ROW(H$2) + 1, P$2:P5047 = P5048))))=""単価"","""",
IF(COUNTIF(P$2:P5047, P5048)=0, """", INDEX(H$2:H5047,
MAX(FILTER(ROW(H$2:H5047) - ROW(H$2) + 1, P$2:P5047 = P5048)))))"),44.0)</f>
        <v>44</v>
      </c>
      <c r="N5048" s="335" t="str">
        <f>IF(MAXIFS('単価履歴'!$O:$O,'単価履歴'!$E:$E,E5048,'単価履歴'!$F:$F,F5048)=O5048,"●","")</f>
        <v/>
      </c>
      <c r="O5048" s="346">
        <v>46112.28910879629</v>
      </c>
      <c r="P5048" s="334" t="str">
        <f t="shared" si="4"/>
        <v>山口鋼業:MM建材Ｌ２(H4･級外･L1ﾊﾞﾗ)</v>
      </c>
    </row>
    <row r="5049" ht="15.75" customHeight="1">
      <c r="A5049" s="335" t="s">
        <v>6196</v>
      </c>
      <c r="B5049" s="336">
        <v>46112.0</v>
      </c>
      <c r="C5049" s="335" t="s">
        <v>15</v>
      </c>
      <c r="D5049" s="335" t="s">
        <v>58</v>
      </c>
      <c r="E5049" s="337" t="str">
        <f t="shared" si="1"/>
        <v>山口鋼業:MM建材</v>
      </c>
      <c r="F5049" s="338" t="s">
        <v>1237</v>
      </c>
      <c r="G5049" s="339" t="str">
        <f t="shared" si="2"/>
        <v>山口鋼業:MM建材ＪＨ１(H2T山口)鍛造ﾊﾞﾘ</v>
      </c>
      <c r="H5049" s="340">
        <f t="shared" si="3"/>
        <v>49</v>
      </c>
      <c r="I5049" s="341">
        <v>1.5</v>
      </c>
      <c r="J5049" s="332">
        <f>IFERROR(__xludf.DUMMYFUNCTION("IF(IF(COUNTIF(P$2:P5048, P5049)=0, """", INDEX(H$2:H5048,
MAX(FILTER(ROW(H$2:H5048) - ROW(H$2) + 1, P$2:P5048 = P5049))))=""単価"","""",
IF(COUNTIF(P$2:P5048, P5049)=0, """", INDEX(H$2:H5048,
MAX(FILTER(ROW(H$2:H5048) - ROW(H$2) + 1, P$2:P5048 = P5049)))))"),47.5)</f>
        <v>47.5</v>
      </c>
      <c r="N5049" s="335" t="str">
        <f>IF(MAXIFS('単価履歴'!$O:$O,'単価履歴'!$E:$E,E5049,'単価履歴'!$F:$F,F5049)=O5049,"●","")</f>
        <v/>
      </c>
      <c r="O5049" s="346">
        <v>46112.28910879629</v>
      </c>
      <c r="P5049" s="334" t="str">
        <f t="shared" si="4"/>
        <v>山口鋼業:MM建材ＪＨ１(H2T山口)鍛造ﾊﾞﾘ</v>
      </c>
    </row>
    <row r="5050" ht="15.75" customHeight="1">
      <c r="A5050" s="335" t="s">
        <v>6197</v>
      </c>
      <c r="B5050" s="336">
        <v>46112.0</v>
      </c>
      <c r="C5050" s="335" t="s">
        <v>15</v>
      </c>
      <c r="D5050" s="335" t="s">
        <v>58</v>
      </c>
      <c r="E5050" s="337" t="str">
        <f t="shared" si="1"/>
        <v>山口鋼業:MM建材</v>
      </c>
      <c r="F5050" s="338" t="s">
        <v>575</v>
      </c>
      <c r="G5050" s="339" t="str">
        <f t="shared" si="2"/>
        <v>山口鋼業:MM建材鋼ダライＡ</v>
      </c>
      <c r="H5050" s="340">
        <f t="shared" si="3"/>
        <v>44.6</v>
      </c>
      <c r="I5050" s="341">
        <v>1.0</v>
      </c>
      <c r="J5050" s="332">
        <f>IFERROR(__xludf.DUMMYFUNCTION("IF(IF(COUNTIF(P$2:P5049, P5050)=0, """", INDEX(H$2:H5049,
MAX(FILTER(ROW(H$2:H5049) - ROW(H$2) + 1, P$2:P5049 = P5050))))=""単価"","""",
IF(COUNTIF(P$2:P5049, P5050)=0, """", INDEX(H$2:H5049,
MAX(FILTER(ROW(H$2:H5049) - ROW(H$2) + 1, P$2:P5049 = P5050)))))"),43.6)</f>
        <v>43.6</v>
      </c>
      <c r="N5050" s="335" t="str">
        <f>IF(MAXIFS('単価履歴'!$O:$O,'単価履歴'!$E:$E,E5050,'単価履歴'!$F:$F,F5050)=O5050,"●","")</f>
        <v/>
      </c>
      <c r="O5050" s="346">
        <v>46112.28989583333</v>
      </c>
      <c r="P5050" s="334" t="str">
        <f t="shared" si="4"/>
        <v>山口鋼業:MM建材鋼ダライＡ</v>
      </c>
    </row>
    <row r="5051" ht="15.75" customHeight="1">
      <c r="A5051" s="335" t="s">
        <v>6198</v>
      </c>
      <c r="B5051" s="336">
        <v>46112.0</v>
      </c>
      <c r="C5051" s="335" t="s">
        <v>15</v>
      </c>
      <c r="D5051" s="335" t="s">
        <v>58</v>
      </c>
      <c r="E5051" s="337" t="str">
        <f t="shared" si="1"/>
        <v>山口鋼業:MM建材</v>
      </c>
      <c r="F5051" s="338" t="s">
        <v>577</v>
      </c>
      <c r="G5051" s="339" t="str">
        <f t="shared" si="2"/>
        <v>山口鋼業:MM建材鋳物・ﾀﾞｸﾀｲﾙ</v>
      </c>
      <c r="H5051" s="340">
        <f t="shared" si="3"/>
        <v>48.5</v>
      </c>
      <c r="I5051" s="341">
        <v>1.0</v>
      </c>
      <c r="J5051" s="332">
        <f>IFERROR(__xludf.DUMMYFUNCTION("IF(IF(COUNTIF(P$2:P5050, P5051)=0, """", INDEX(H$2:H5050,
MAX(FILTER(ROW(H$2:H5050) - ROW(H$2) + 1, P$2:P5050 = P5051))))=""単価"","""",
IF(COUNTIF(P$2:P5050, P5051)=0, """", INDEX(H$2:H5050,
MAX(FILTER(ROW(H$2:H5050) - ROW(H$2) + 1, P$2:P5050 = P5051)))))"),47.5)</f>
        <v>47.5</v>
      </c>
      <c r="N5051" s="335" t="str">
        <f>IF(MAXIFS('単価履歴'!$O:$O,'単価履歴'!$E:$E,E5051,'単価履歴'!$F:$F,F5051)=O5051,"●","")</f>
        <v/>
      </c>
      <c r="O5051" s="346">
        <v>46112.28989583333</v>
      </c>
      <c r="P5051" s="334" t="str">
        <f t="shared" si="4"/>
        <v>山口鋼業:MM建材鋳物・ﾀﾞｸﾀｲﾙ</v>
      </c>
    </row>
    <row r="5052" ht="15.75" customHeight="1">
      <c r="A5052" s="335" t="s">
        <v>6199</v>
      </c>
      <c r="B5052" s="336">
        <v>46112.0</v>
      </c>
      <c r="C5052" s="335" t="s">
        <v>15</v>
      </c>
      <c r="D5052" s="335" t="s">
        <v>46</v>
      </c>
      <c r="E5052" s="337" t="str">
        <f t="shared" si="1"/>
        <v>山口鋼業:阪和</v>
      </c>
      <c r="F5052" s="338" t="s">
        <v>1199</v>
      </c>
      <c r="G5052" s="339" t="str">
        <f t="shared" si="2"/>
        <v>山口鋼業:阪和ＨＳ１(単体H1/電特A/HS))</v>
      </c>
      <c r="H5052" s="340">
        <f t="shared" si="3"/>
        <v>51.5</v>
      </c>
      <c r="I5052" s="341">
        <v>2.0</v>
      </c>
      <c r="J5052" s="332">
        <f>IFERROR(__xludf.DUMMYFUNCTION("IF(IF(COUNTIF(P$2:P5051, P5052)=0, """", INDEX(H$2:H5051,
MAX(FILTER(ROW(H$2:H5051) - ROW(H$2) + 1, P$2:P5051 = P5052))))=""単価"","""",
IF(COUNTIF(P$2:P5051, P5052)=0, """", INDEX(H$2:H5051,
MAX(FILTER(ROW(H$2:H5051) - ROW(H$2) + 1, P$2:P5051 = P5052)))))"),49.5)</f>
        <v>49.5</v>
      </c>
      <c r="N5052" s="335" t="str">
        <f>IF(MAXIFS('単価履歴'!$O:$O,'単価履歴'!$E:$E,E5052,'単価履歴'!$F:$F,F5052)=O5052,"●","")</f>
        <v/>
      </c>
      <c r="O5052" s="346">
        <v>46112.290231481486</v>
      </c>
      <c r="P5052" s="334" t="str">
        <f t="shared" si="4"/>
        <v>山口鋼業:阪和ＨＳ１(単体H1/電特A/HS))</v>
      </c>
    </row>
    <row r="5053" ht="15.75" customHeight="1">
      <c r="A5053" s="335" t="s">
        <v>6200</v>
      </c>
      <c r="B5053" s="336">
        <v>46112.0</v>
      </c>
      <c r="C5053" s="335" t="s">
        <v>15</v>
      </c>
      <c r="D5053" s="335" t="s">
        <v>46</v>
      </c>
      <c r="E5053" s="337" t="str">
        <f t="shared" si="1"/>
        <v>山口鋼業:阪和</v>
      </c>
      <c r="F5053" s="338" t="s">
        <v>111</v>
      </c>
      <c r="G5053" s="339" t="str">
        <f t="shared" si="2"/>
        <v>山口鋼業:阪和Ｈ１(特A)</v>
      </c>
      <c r="H5053" s="340">
        <f t="shared" si="3"/>
        <v>49.5</v>
      </c>
      <c r="I5053" s="341">
        <v>1.5</v>
      </c>
      <c r="J5053" s="332">
        <f>IFERROR(__xludf.DUMMYFUNCTION("IF(IF(COUNTIF(P$2:P5052, P5053)=0, """", INDEX(H$2:H5052,
MAX(FILTER(ROW(H$2:H5052) - ROW(H$2) + 1, P$2:P5052 = P5053))))=""単価"","""",
IF(COUNTIF(P$2:P5052, P5053)=0, """", INDEX(H$2:H5052,
MAX(FILTER(ROW(H$2:H5052) - ROW(H$2) + 1, P$2:P5052 = P5053)))))"),48.0)</f>
        <v>48</v>
      </c>
      <c r="N5053" s="335" t="str">
        <f>IF(MAXIFS('単価履歴'!$O:$O,'単価履歴'!$E:$E,E5053,'単価履歴'!$F:$F,F5053)=O5053,"●","")</f>
        <v/>
      </c>
      <c r="O5053" s="346">
        <v>46112.29047453703</v>
      </c>
      <c r="P5053" s="334" t="str">
        <f t="shared" si="4"/>
        <v>山口鋼業:阪和Ｈ１(特A)</v>
      </c>
    </row>
    <row r="5054" ht="15.75" customHeight="1">
      <c r="A5054" s="335" t="s">
        <v>6201</v>
      </c>
      <c r="B5054" s="336">
        <v>46112.0</v>
      </c>
      <c r="C5054" s="335" t="s">
        <v>15</v>
      </c>
      <c r="D5054" s="335" t="s">
        <v>46</v>
      </c>
      <c r="E5054" s="337" t="str">
        <f t="shared" si="1"/>
        <v>山口鋼業:阪和</v>
      </c>
      <c r="F5054" s="338" t="s">
        <v>116</v>
      </c>
      <c r="G5054" s="339" t="str">
        <f t="shared" si="2"/>
        <v>山口鋼業:阪和Ｈ２(特級)</v>
      </c>
      <c r="H5054" s="340">
        <f t="shared" si="3"/>
        <v>49</v>
      </c>
      <c r="I5054" s="341">
        <v>1.5</v>
      </c>
      <c r="J5054" s="332">
        <f>IFERROR(__xludf.DUMMYFUNCTION("IF(IF(COUNTIF(P$2:P5053, P5054)=0, """", INDEX(H$2:H5053,
MAX(FILTER(ROW(H$2:H5053) - ROW(H$2) + 1, P$2:P5053 = P5054))))=""単価"","""",
IF(COUNTIF(P$2:P5053, P5054)=0, """", INDEX(H$2:H5053,
MAX(FILTER(ROW(H$2:H5053) - ROW(H$2) + 1, P$2:P5053 = P5054)))))"),47.5)</f>
        <v>47.5</v>
      </c>
      <c r="N5054" s="335" t="str">
        <f>IF(MAXIFS('単価履歴'!$O:$O,'単価履歴'!$E:$E,E5054,'単価履歴'!$F:$F,F5054)=O5054,"●","")</f>
        <v/>
      </c>
      <c r="O5054" s="346">
        <v>46112.29047453703</v>
      </c>
      <c r="P5054" s="334" t="str">
        <f t="shared" si="4"/>
        <v>山口鋼業:阪和Ｈ２(特級)</v>
      </c>
    </row>
    <row r="5055" ht="15.75" customHeight="1">
      <c r="A5055" s="335" t="s">
        <v>6202</v>
      </c>
      <c r="B5055" s="336">
        <v>46112.0</v>
      </c>
      <c r="C5055" s="335" t="s">
        <v>15</v>
      </c>
      <c r="D5055" s="335" t="s">
        <v>46</v>
      </c>
      <c r="E5055" s="337" t="str">
        <f t="shared" si="1"/>
        <v>山口鋼業:阪和</v>
      </c>
      <c r="F5055" s="338" t="s">
        <v>119</v>
      </c>
      <c r="G5055" s="339" t="str">
        <f t="shared" si="2"/>
        <v>山口鋼業:阪和Ｈ３(1級)</v>
      </c>
      <c r="H5055" s="340">
        <f t="shared" si="3"/>
        <v>48</v>
      </c>
      <c r="I5055" s="341">
        <v>1.5</v>
      </c>
      <c r="J5055" s="332">
        <f>IFERROR(__xludf.DUMMYFUNCTION("IF(IF(COUNTIF(P$2:P5054, P5055)=0, """", INDEX(H$2:H5054,
MAX(FILTER(ROW(H$2:H5054) - ROW(H$2) + 1, P$2:P5054 = P5055))))=""単価"","""",
IF(COUNTIF(P$2:P5054, P5055)=0, """", INDEX(H$2:H5054,
MAX(FILTER(ROW(H$2:H5054) - ROW(H$2) + 1, P$2:P5054 = P5055)))))"),46.5)</f>
        <v>46.5</v>
      </c>
      <c r="N5055" s="335" t="str">
        <f>IF(MAXIFS('単価履歴'!$O:$O,'単価履歴'!$E:$E,E5055,'単価履歴'!$F:$F,F5055)=O5055,"●","")</f>
        <v/>
      </c>
      <c r="O5055" s="346">
        <v>46112.29047453703</v>
      </c>
      <c r="P5055" s="334" t="str">
        <f t="shared" si="4"/>
        <v>山口鋼業:阪和Ｈ３(1級)</v>
      </c>
    </row>
    <row r="5056" ht="15.75" customHeight="1">
      <c r="A5056" s="335" t="s">
        <v>6203</v>
      </c>
      <c r="B5056" s="336">
        <v>46112.0</v>
      </c>
      <c r="C5056" s="335" t="s">
        <v>15</v>
      </c>
      <c r="D5056" s="335" t="s">
        <v>46</v>
      </c>
      <c r="E5056" s="337" t="str">
        <f t="shared" si="1"/>
        <v>山口鋼業:阪和</v>
      </c>
      <c r="F5056" s="338" t="s">
        <v>573</v>
      </c>
      <c r="G5056" s="339" t="str">
        <f t="shared" si="2"/>
        <v>山口鋼業:阪和Ｌ２(H4･級外･L1ﾊﾞﾗ)</v>
      </c>
      <c r="H5056" s="340">
        <f t="shared" si="3"/>
        <v>46.5</v>
      </c>
      <c r="I5056" s="341">
        <v>1.5</v>
      </c>
      <c r="J5056" s="332">
        <f>IFERROR(__xludf.DUMMYFUNCTION("IF(IF(COUNTIF(P$2:P5055, P5056)=0, """", INDEX(H$2:H5055,
MAX(FILTER(ROW(H$2:H5055) - ROW(H$2) + 1, P$2:P5055 = P5056))))=""単価"","""",
IF(COUNTIF(P$2:P5055, P5056)=0, """", INDEX(H$2:H5055,
MAX(FILTER(ROW(H$2:H5055) - ROW(H$2) + 1, P$2:P5055 = P5056)))))"),45.0)</f>
        <v>45</v>
      </c>
      <c r="N5056" s="335" t="str">
        <f>IF(MAXIFS('単価履歴'!$O:$O,'単価履歴'!$E:$E,E5056,'単価履歴'!$F:$F,F5056)=O5056,"●","")</f>
        <v/>
      </c>
      <c r="O5056" s="346">
        <v>46112.29047453703</v>
      </c>
      <c r="P5056" s="334" t="str">
        <f t="shared" si="4"/>
        <v>山口鋼業:阪和Ｌ２(H4･級外･L1ﾊﾞﾗ)</v>
      </c>
    </row>
    <row r="5057" ht="15.75" customHeight="1">
      <c r="A5057" s="335" t="s">
        <v>6204</v>
      </c>
      <c r="B5057" s="336">
        <v>46112.0</v>
      </c>
      <c r="C5057" s="335" t="s">
        <v>32</v>
      </c>
      <c r="D5057" s="335" t="s">
        <v>52</v>
      </c>
      <c r="E5057" s="337" t="str">
        <f t="shared" si="1"/>
        <v>泉北大都:リバイブ</v>
      </c>
      <c r="F5057" s="338" t="s">
        <v>116</v>
      </c>
      <c r="G5057" s="339" t="str">
        <f t="shared" si="2"/>
        <v>泉北大都:リバイブＨ２(特級)</v>
      </c>
      <c r="H5057" s="340">
        <f t="shared" si="3"/>
        <v>51</v>
      </c>
      <c r="I5057" s="341">
        <v>1.0</v>
      </c>
      <c r="J5057" s="332">
        <f>IFERROR(__xludf.DUMMYFUNCTION("IF(IF(COUNTIF(P$2:P5056, P5057)=0, """", INDEX(H$2:H5056,
MAX(FILTER(ROW(H$2:H5056) - ROW(H$2) + 1, P$2:P5056 = P5057))))=""単価"","""",
IF(COUNTIF(P$2:P5056, P5057)=0, """", INDEX(H$2:H5056,
MAX(FILTER(ROW(H$2:H5056) - ROW(H$2) + 1, P$2:P5056 = P5057)))))"),50.0)</f>
        <v>50</v>
      </c>
      <c r="N5057" s="335" t="str">
        <f>IF(MAXIFS('単価履歴'!$O:$O,'単価履歴'!$E:$E,E5057,'単価履歴'!$F:$F,F5057)=O5057,"●","")</f>
        <v/>
      </c>
      <c r="O5057" s="346">
        <v>46112.30635416666</v>
      </c>
      <c r="P5057" s="334" t="str">
        <f t="shared" si="4"/>
        <v>泉北大都:リバイブＨ２(特級)</v>
      </c>
    </row>
    <row r="5058" ht="15.75" customHeight="1">
      <c r="A5058" s="335" t="s">
        <v>6205</v>
      </c>
      <c r="B5058" s="336">
        <v>46112.0</v>
      </c>
      <c r="C5058" s="335" t="s">
        <v>12</v>
      </c>
      <c r="D5058" s="335" t="s">
        <v>50</v>
      </c>
      <c r="E5058" s="337" t="str">
        <f t="shared" si="1"/>
        <v>山陽特殊:産振</v>
      </c>
      <c r="F5058" s="338" t="s">
        <v>1199</v>
      </c>
      <c r="G5058" s="339" t="str">
        <f t="shared" si="2"/>
        <v>山陽特殊:産振ＨＳ１(単体H1/電特A/HS))</v>
      </c>
      <c r="H5058" s="340">
        <f t="shared" si="3"/>
        <v>53.1</v>
      </c>
      <c r="I5058" s="341">
        <v>1.0</v>
      </c>
      <c r="J5058" s="332">
        <f>IFERROR(__xludf.DUMMYFUNCTION("IF(IF(COUNTIF(P$2:P5057, P5058)=0, """", INDEX(H$2:H5057,
MAX(FILTER(ROW(H$2:H5057) - ROW(H$2) + 1, P$2:P5057 = P5058))))=""単価"","""",
IF(COUNTIF(P$2:P5057, P5058)=0, """", INDEX(H$2:H5057,
MAX(FILTER(ROW(H$2:H5057) - ROW(H$2) + 1, P$2:P5057 = P5058)))))"),52.1)</f>
        <v>52.1</v>
      </c>
      <c r="N5058" s="335" t="str">
        <f>IF(MAXIFS('単価履歴'!$O:$O,'単価履歴'!$E:$E,E5058,'単価履歴'!$F:$F,F5058)=O5058,"●","")</f>
        <v/>
      </c>
      <c r="O5058" s="346">
        <v>46112.361168981486</v>
      </c>
      <c r="P5058" s="334" t="str">
        <f t="shared" si="4"/>
        <v>山陽特殊:産振ＨＳ１(単体H1/電特A/HS))</v>
      </c>
    </row>
    <row r="5059" ht="15.75" customHeight="1">
      <c r="A5059" s="335" t="s">
        <v>6206</v>
      </c>
      <c r="B5059" s="336">
        <v>46112.0</v>
      </c>
      <c r="C5059" s="335" t="s">
        <v>12</v>
      </c>
      <c r="D5059" s="335" t="s">
        <v>50</v>
      </c>
      <c r="E5059" s="337" t="str">
        <f t="shared" si="1"/>
        <v>山陽特殊:産振</v>
      </c>
      <c r="F5059" s="338" t="s">
        <v>101</v>
      </c>
      <c r="G5059" s="339" t="str">
        <f t="shared" si="2"/>
        <v>山陽特殊:産振ＨＳ２</v>
      </c>
      <c r="H5059" s="340">
        <f t="shared" si="3"/>
        <v>52.9</v>
      </c>
      <c r="I5059" s="341">
        <v>1.0</v>
      </c>
      <c r="J5059" s="332">
        <f>IFERROR(__xludf.DUMMYFUNCTION("IF(IF(COUNTIF(P$2:P5058, P5059)=0, """", INDEX(H$2:H5058,
MAX(FILTER(ROW(H$2:H5058) - ROW(H$2) + 1, P$2:P5058 = P5059))))=""単価"","""",
IF(COUNTIF(P$2:P5058, P5059)=0, """", INDEX(H$2:H5058,
MAX(FILTER(ROW(H$2:H5058) - ROW(H$2) + 1, P$2:P5058 = P5059)))))"),51.9)</f>
        <v>51.9</v>
      </c>
      <c r="N5059" s="335" t="str">
        <f>IF(MAXIFS('単価履歴'!$O:$O,'単価履歴'!$E:$E,E5059,'単価履歴'!$F:$F,F5059)=O5059,"●","")</f>
        <v/>
      </c>
      <c r="O5059" s="346">
        <v>46112.361168981486</v>
      </c>
      <c r="P5059" s="334" t="str">
        <f t="shared" si="4"/>
        <v>山陽特殊:産振ＨＳ２</v>
      </c>
    </row>
    <row r="5060" ht="15.75" customHeight="1">
      <c r="A5060" s="335" t="s">
        <v>6207</v>
      </c>
      <c r="B5060" s="336">
        <v>46112.0</v>
      </c>
      <c r="C5060" s="335" t="s">
        <v>12</v>
      </c>
      <c r="D5060" s="335" t="s">
        <v>50</v>
      </c>
      <c r="E5060" s="337" t="str">
        <f t="shared" si="1"/>
        <v>山陽特殊:産振</v>
      </c>
      <c r="F5060" s="338" t="s">
        <v>105</v>
      </c>
      <c r="G5060" s="339" t="str">
        <f t="shared" si="2"/>
        <v>山陽特殊:産振ＨＳ３</v>
      </c>
      <c r="H5060" s="340">
        <f t="shared" si="3"/>
        <v>50.9</v>
      </c>
      <c r="I5060" s="341">
        <v>1.0</v>
      </c>
      <c r="J5060" s="332">
        <f>IFERROR(__xludf.DUMMYFUNCTION("IF(IF(COUNTIF(P$2:P5059, P5060)=0, """", INDEX(H$2:H5059,
MAX(FILTER(ROW(H$2:H5059) - ROW(H$2) + 1, P$2:P5059 = P5060))))=""単価"","""",
IF(COUNTIF(P$2:P5059, P5060)=0, """", INDEX(H$2:H5059,
MAX(FILTER(ROW(H$2:H5059) - ROW(H$2) + 1, P$2:P5059 = P5060)))))"),49.9)</f>
        <v>49.9</v>
      </c>
      <c r="N5060" s="335" t="str">
        <f>IF(MAXIFS('単価履歴'!$O:$O,'単価履歴'!$E:$E,E5060,'単価履歴'!$F:$F,F5060)=O5060,"●","")</f>
        <v/>
      </c>
      <c r="O5060" s="346">
        <v>46112.361168981486</v>
      </c>
      <c r="P5060" s="334" t="str">
        <f t="shared" si="4"/>
        <v>山陽特殊:産振ＨＳ３</v>
      </c>
    </row>
    <row r="5061" ht="15.75" customHeight="1">
      <c r="A5061" s="335" t="s">
        <v>6208</v>
      </c>
      <c r="B5061" s="336">
        <v>46112.0</v>
      </c>
      <c r="C5061" s="335" t="s">
        <v>6</v>
      </c>
      <c r="D5061" s="335" t="s">
        <v>48</v>
      </c>
      <c r="E5061" s="337" t="str">
        <f t="shared" si="1"/>
        <v>中山鋼業:ナベ</v>
      </c>
      <c r="F5061" s="338" t="s">
        <v>1237</v>
      </c>
      <c r="G5061" s="339" t="str">
        <f t="shared" si="2"/>
        <v>中山鋼業:ナベＪＨ１(H2T山口)鍛造ﾊﾞﾘ</v>
      </c>
      <c r="H5061" s="340">
        <f t="shared" si="3"/>
        <v>50.2</v>
      </c>
      <c r="I5061" s="341">
        <v>1.5</v>
      </c>
      <c r="J5061" s="332">
        <f>IFERROR(__xludf.DUMMYFUNCTION("IF(IF(COUNTIF(P$2:P5060, P5061)=0, """", INDEX(H$2:H5060,
MAX(FILTER(ROW(H$2:H5060) - ROW(H$2) + 1, P$2:P5060 = P5061))))=""単価"","""",
IF(COUNTIF(P$2:P5060, P5061)=0, """", INDEX(H$2:H5060,
MAX(FILTER(ROW(H$2:H5060) - ROW(H$2) + 1, P$2:P5060 = P5061)))))"),48.7)</f>
        <v>48.7</v>
      </c>
      <c r="N5061" s="335" t="str">
        <f>IF(MAXIFS('単価履歴'!$O:$O,'単価履歴'!$E:$E,E5061,'単価履歴'!$F:$F,F5061)=O5061,"●","")</f>
        <v/>
      </c>
      <c r="O5061" s="346">
        <v>46112.37695601852</v>
      </c>
      <c r="P5061" s="334" t="str">
        <f t="shared" si="4"/>
        <v>中山鋼業:ナベＪＨ１(H2T山口)鍛造ﾊﾞﾘ</v>
      </c>
    </row>
    <row r="5062" ht="15.75" customHeight="1">
      <c r="A5062" s="335" t="s">
        <v>6209</v>
      </c>
      <c r="B5062" s="336">
        <v>46112.0</v>
      </c>
      <c r="C5062" s="335" t="s">
        <v>6</v>
      </c>
      <c r="D5062" s="335" t="s">
        <v>48</v>
      </c>
      <c r="E5062" s="337" t="str">
        <f t="shared" si="1"/>
        <v>中山鋼業:ナベ</v>
      </c>
      <c r="F5062" s="338" t="s">
        <v>1237</v>
      </c>
      <c r="G5062" s="339" t="str">
        <f t="shared" si="2"/>
        <v>中山鋼業:ナベＪＨ１(H2T山口)鍛造ﾊﾞﾘ</v>
      </c>
      <c r="H5062" s="340">
        <f t="shared" si="3"/>
        <v>51.7</v>
      </c>
      <c r="I5062" s="341">
        <v>1.5</v>
      </c>
      <c r="J5062" s="332">
        <f>IFERROR(__xludf.DUMMYFUNCTION("IF(IF(COUNTIF(P$2:P5061, P5062)=0, """", INDEX(H$2:H5061,
MAX(FILTER(ROW(H$2:H5061) - ROW(H$2) + 1, P$2:P5061 = P5062))))=""単価"","""",
IF(COUNTIF(P$2:P5061, P5062)=0, """", INDEX(H$2:H5061,
MAX(FILTER(ROW(H$2:H5061) - ROW(H$2) + 1, P$2:P5061 = P5062)))))"),50.2)</f>
        <v>50.2</v>
      </c>
      <c r="N5062" s="335" t="str">
        <f>IF(MAXIFS('単価履歴'!$O:$O,'単価履歴'!$E:$E,E5062,'単価履歴'!$F:$F,F5062)=O5062,"●","")</f>
        <v/>
      </c>
      <c r="O5062" s="346">
        <v>46112.37695601852</v>
      </c>
      <c r="P5062" s="334" t="str">
        <f t="shared" si="4"/>
        <v>中山鋼業:ナベＪＨ１(H2T山口)鍛造ﾊﾞﾘ</v>
      </c>
    </row>
    <row r="5063" ht="15.75" customHeight="1">
      <c r="A5063" s="335" t="s">
        <v>6210</v>
      </c>
      <c r="B5063" s="336">
        <v>46112.0</v>
      </c>
      <c r="C5063" s="335" t="s">
        <v>34</v>
      </c>
      <c r="D5063" s="335" t="s">
        <v>48</v>
      </c>
      <c r="E5063" s="337" t="str">
        <f t="shared" si="1"/>
        <v>ﾆｭｰｽｺﾝ尼崎:ナベ</v>
      </c>
      <c r="F5063" s="338" t="s">
        <v>130</v>
      </c>
      <c r="G5063" s="339" t="str">
        <f t="shared" si="2"/>
        <v>ﾆｭｰｽｺﾝ尼崎:ナベ新断Ａ</v>
      </c>
      <c r="H5063" s="340">
        <f t="shared" si="3"/>
        <v>55.5</v>
      </c>
      <c r="I5063" s="341">
        <v>1.0</v>
      </c>
      <c r="J5063" s="332">
        <f>IFERROR(__xludf.DUMMYFUNCTION("IF(IF(COUNTIF(P$2:P5062, P5063)=0, """", INDEX(H$2:H5062,
MAX(FILTER(ROW(H$2:H5062) - ROW(H$2) + 1, P$2:P5062 = P5063))))=""単価"","""",
IF(COUNTIF(P$2:P5062, P5063)=0, """", INDEX(H$2:H5062,
MAX(FILTER(ROW(H$2:H5062) - ROW(H$2) + 1, P$2:P5062 = P5063)))))"),54.5)</f>
        <v>54.5</v>
      </c>
      <c r="N5063" s="335" t="str">
        <f>IF(MAXIFS('単価履歴'!$O:$O,'単価履歴'!$E:$E,E5063,'単価履歴'!$F:$F,F5063)=O5063,"●","")</f>
        <v/>
      </c>
      <c r="O5063" s="346">
        <v>46112.37841435186</v>
      </c>
      <c r="P5063" s="334" t="str">
        <f t="shared" si="4"/>
        <v>ﾆｭｰｽｺﾝ尼崎:ナベ新断Ａ</v>
      </c>
    </row>
    <row r="5064" ht="15.75" customHeight="1">
      <c r="A5064" s="335" t="s">
        <v>6211</v>
      </c>
      <c r="B5064" s="336">
        <v>46112.0</v>
      </c>
      <c r="C5064" s="335" t="s">
        <v>31</v>
      </c>
      <c r="D5064" s="335" t="s">
        <v>64</v>
      </c>
      <c r="E5064" s="337" t="str">
        <f t="shared" si="1"/>
        <v>泉北中谷:ナベ双葉</v>
      </c>
      <c r="F5064" s="338" t="s">
        <v>116</v>
      </c>
      <c r="G5064" s="339" t="str">
        <f t="shared" si="2"/>
        <v>泉北中谷:ナベ双葉Ｈ２(特級)</v>
      </c>
      <c r="H5064" s="340">
        <f t="shared" si="3"/>
        <v>48.7</v>
      </c>
      <c r="I5064" s="341">
        <v>1.0</v>
      </c>
      <c r="J5064" s="332">
        <f>IFERROR(__xludf.DUMMYFUNCTION("IF(IF(COUNTIF(P$2:P5063, P5064)=0, """", INDEX(H$2:H5063,
MAX(FILTER(ROW(H$2:H5063) - ROW(H$2) + 1, P$2:P5063 = P5064))))=""単価"","""",
IF(COUNTIF(P$2:P5063, P5064)=0, """", INDEX(H$2:H5063,
MAX(FILTER(ROW(H$2:H5063) - ROW(H$2) + 1, P$2:P5063 = P5064)))))"),47.7)</f>
        <v>47.7</v>
      </c>
      <c r="N5064" s="335" t="str">
        <f>IF(MAXIFS('単価履歴'!$O:$O,'単価履歴'!$E:$E,E5064,'単価履歴'!$F:$F,F5064)=O5064,"●","")</f>
        <v>●</v>
      </c>
      <c r="O5064" s="346">
        <v>46112.37881944445</v>
      </c>
      <c r="P5064" s="334" t="str">
        <f t="shared" si="4"/>
        <v>泉北中谷:ナベ双葉Ｈ２(特級)</v>
      </c>
    </row>
    <row r="5065" ht="15.75" customHeight="1">
      <c r="A5065" s="335" t="s">
        <v>6212</v>
      </c>
      <c r="B5065" s="336">
        <v>46112.0</v>
      </c>
      <c r="C5065" s="335" t="s">
        <v>14</v>
      </c>
      <c r="D5065" s="335" t="s">
        <v>48</v>
      </c>
      <c r="E5065" s="337" t="str">
        <f t="shared" si="1"/>
        <v>愛知:ナベ</v>
      </c>
      <c r="F5065" s="338" t="s">
        <v>1199</v>
      </c>
      <c r="G5065" s="339" t="str">
        <f t="shared" si="2"/>
        <v>愛知:ナベＨＳ１(単体H1/電特A/HS))</v>
      </c>
      <c r="H5065" s="340">
        <f t="shared" si="3"/>
        <v>50</v>
      </c>
      <c r="I5065" s="341">
        <v>1.0</v>
      </c>
      <c r="J5065" s="332">
        <f>IFERROR(__xludf.DUMMYFUNCTION("IF(IF(COUNTIF(P$2:P5064, P5065)=0, """", INDEX(H$2:H5064,
MAX(FILTER(ROW(H$2:H5064) - ROW(H$2) + 1, P$2:P5064 = P5065))))=""単価"","""",
IF(COUNTIF(P$2:P5064, P5065)=0, """", INDEX(H$2:H5064,
MAX(FILTER(ROW(H$2:H5064) - ROW(H$2) + 1, P$2:P5064 = P5065)))))"),49.0)</f>
        <v>49</v>
      </c>
      <c r="N5065" s="335" t="str">
        <f>IF(MAXIFS('単価履歴'!$O:$O,'単価履歴'!$E:$E,E5065,'単価履歴'!$F:$F,F5065)=O5065,"●","")</f>
        <v/>
      </c>
      <c r="O5065" s="346">
        <v>46112.38784722222</v>
      </c>
      <c r="P5065" s="334" t="str">
        <f t="shared" si="4"/>
        <v>愛知:ナベＨＳ１(単体H1/電特A/HS))</v>
      </c>
    </row>
    <row r="5066" ht="15.75" customHeight="1">
      <c r="A5066" s="335" t="s">
        <v>6213</v>
      </c>
      <c r="B5066" s="336">
        <v>46112.0</v>
      </c>
      <c r="C5066" s="335" t="s">
        <v>14</v>
      </c>
      <c r="D5066" s="335" t="s">
        <v>48</v>
      </c>
      <c r="E5066" s="337" t="str">
        <f t="shared" si="1"/>
        <v>愛知:ナベ</v>
      </c>
      <c r="F5066" s="338" t="s">
        <v>101</v>
      </c>
      <c r="G5066" s="339" t="str">
        <f t="shared" si="2"/>
        <v>愛知:ナベＨＳ２</v>
      </c>
      <c r="H5066" s="340">
        <f t="shared" si="3"/>
        <v>49.5</v>
      </c>
      <c r="I5066" s="341">
        <v>1.0</v>
      </c>
      <c r="J5066" s="332">
        <f>IFERROR(__xludf.DUMMYFUNCTION("IF(IF(COUNTIF(P$2:P5065, P5066)=0, """", INDEX(H$2:H5065,
MAX(FILTER(ROW(H$2:H5065) - ROW(H$2) + 1, P$2:P5065 = P5066))))=""単価"","""",
IF(COUNTIF(P$2:P5065, P5066)=0, """", INDEX(H$2:H5065,
MAX(FILTER(ROW(H$2:H5065) - ROW(H$2) + 1, P$2:P5065 = P5066)))))"),48.5)</f>
        <v>48.5</v>
      </c>
      <c r="N5066" s="335" t="str">
        <f>IF(MAXIFS('単価履歴'!$O:$O,'単価履歴'!$E:$E,E5066,'単価履歴'!$F:$F,F5066)=O5066,"●","")</f>
        <v/>
      </c>
      <c r="O5066" s="346">
        <v>46112.38784722222</v>
      </c>
      <c r="P5066" s="334" t="str">
        <f t="shared" si="4"/>
        <v>愛知:ナベＨＳ２</v>
      </c>
    </row>
    <row r="5067" ht="15.75" customHeight="1">
      <c r="A5067" s="335" t="s">
        <v>6214</v>
      </c>
      <c r="B5067" s="336">
        <v>46112.0</v>
      </c>
      <c r="C5067" s="335" t="s">
        <v>14</v>
      </c>
      <c r="D5067" s="335" t="s">
        <v>48</v>
      </c>
      <c r="E5067" s="337" t="str">
        <f t="shared" si="1"/>
        <v>愛知:ナベ</v>
      </c>
      <c r="F5067" s="338" t="s">
        <v>111</v>
      </c>
      <c r="G5067" s="339" t="str">
        <f t="shared" si="2"/>
        <v>愛知:ナベＨ１(特A)</v>
      </c>
      <c r="H5067" s="340">
        <f t="shared" si="3"/>
        <v>49</v>
      </c>
      <c r="I5067" s="341">
        <v>1.0</v>
      </c>
      <c r="J5067" s="332">
        <f>IFERROR(__xludf.DUMMYFUNCTION("IF(IF(COUNTIF(P$2:P5066, P5067)=0, """", INDEX(H$2:H5066,
MAX(FILTER(ROW(H$2:H5066) - ROW(H$2) + 1, P$2:P5066 = P5067))))=""単価"","""",
IF(COUNTIF(P$2:P5066, P5067)=0, """", INDEX(H$2:H5066,
MAX(FILTER(ROW(H$2:H5066) - ROW(H$2) + 1, P$2:P5066 = P5067)))))"),48.0)</f>
        <v>48</v>
      </c>
      <c r="N5067" s="335" t="str">
        <f>IF(MAXIFS('単価履歴'!$O:$O,'単価履歴'!$E:$E,E5067,'単価履歴'!$F:$F,F5067)=O5067,"●","")</f>
        <v/>
      </c>
      <c r="O5067" s="346">
        <v>46112.38784722222</v>
      </c>
      <c r="P5067" s="334" t="str">
        <f t="shared" si="4"/>
        <v>愛知:ナベＨ１(特A)</v>
      </c>
    </row>
    <row r="5068" ht="15.75" customHeight="1">
      <c r="A5068" s="335" t="s">
        <v>6215</v>
      </c>
      <c r="B5068" s="336">
        <v>46112.0</v>
      </c>
      <c r="C5068" s="335" t="s">
        <v>14</v>
      </c>
      <c r="D5068" s="335" t="s">
        <v>48</v>
      </c>
      <c r="E5068" s="337" t="str">
        <f t="shared" si="1"/>
        <v>愛知:ナベ</v>
      </c>
      <c r="F5068" s="338" t="s">
        <v>116</v>
      </c>
      <c r="G5068" s="339" t="str">
        <f t="shared" si="2"/>
        <v>愛知:ナベＨ２(特級)</v>
      </c>
      <c r="H5068" s="340">
        <f t="shared" si="3"/>
        <v>47.4</v>
      </c>
      <c r="I5068" s="341">
        <v>1.0</v>
      </c>
      <c r="J5068" s="332">
        <f>IFERROR(__xludf.DUMMYFUNCTION("IF(IF(COUNTIF(P$2:P5067, P5068)=0, """", INDEX(H$2:H5067,
MAX(FILTER(ROW(H$2:H5067) - ROW(H$2) + 1, P$2:P5067 = P5068))))=""単価"","""",
IF(COUNTIF(P$2:P5067, P5068)=0, """", INDEX(H$2:H5067,
MAX(FILTER(ROW(H$2:H5067) - ROW(H$2) + 1, P$2:P5067 = P5068)))))"),46.4)</f>
        <v>46.4</v>
      </c>
      <c r="N5068" s="335" t="str">
        <f>IF(MAXIFS('単価履歴'!$O:$O,'単価履歴'!$E:$E,E5068,'単価履歴'!$F:$F,F5068)=O5068,"●","")</f>
        <v/>
      </c>
      <c r="O5068" s="346">
        <v>46112.38784722222</v>
      </c>
      <c r="P5068" s="334" t="str">
        <f t="shared" si="4"/>
        <v>愛知:ナベＨ２(特級)</v>
      </c>
    </row>
    <row r="5069" ht="15.75" customHeight="1">
      <c r="A5069" s="335" t="s">
        <v>6216</v>
      </c>
      <c r="B5069" s="336">
        <v>46112.0</v>
      </c>
      <c r="C5069" s="335" t="s">
        <v>14</v>
      </c>
      <c r="D5069" s="335" t="s">
        <v>48</v>
      </c>
      <c r="E5069" s="337" t="str">
        <f t="shared" si="1"/>
        <v>愛知:ナベ</v>
      </c>
      <c r="F5069" s="338" t="s">
        <v>119</v>
      </c>
      <c r="G5069" s="339" t="str">
        <f t="shared" si="2"/>
        <v>愛知:ナベＨ３(1級)</v>
      </c>
      <c r="H5069" s="340">
        <f t="shared" si="3"/>
        <v>46.4</v>
      </c>
      <c r="I5069" s="341">
        <v>1.0</v>
      </c>
      <c r="J5069" s="332">
        <f>IFERROR(__xludf.DUMMYFUNCTION("IF(IF(COUNTIF(P$2:P5068, P5069)=0, """", INDEX(H$2:H5068,
MAX(FILTER(ROW(H$2:H5068) - ROW(H$2) + 1, P$2:P5068 = P5069))))=""単価"","""",
IF(COUNTIF(P$2:P5068, P5069)=0, """", INDEX(H$2:H5068,
MAX(FILTER(ROW(H$2:H5068) - ROW(H$2) + 1, P$2:P5068 = P5069)))))"),45.4)</f>
        <v>45.4</v>
      </c>
      <c r="N5069" s="335" t="str">
        <f>IF(MAXIFS('単価履歴'!$O:$O,'単価履歴'!$E:$E,E5069,'単価履歴'!$F:$F,F5069)=O5069,"●","")</f>
        <v/>
      </c>
      <c r="O5069" s="346">
        <v>46112.38784722222</v>
      </c>
      <c r="P5069" s="334" t="str">
        <f t="shared" si="4"/>
        <v>愛知:ナベＨ３(1級)</v>
      </c>
    </row>
    <row r="5070" ht="15.75" customHeight="1">
      <c r="A5070" s="335" t="s">
        <v>6217</v>
      </c>
      <c r="B5070" s="336">
        <v>46112.0</v>
      </c>
      <c r="C5070" s="335" t="s">
        <v>14</v>
      </c>
      <c r="D5070" s="335" t="s">
        <v>48</v>
      </c>
      <c r="E5070" s="337" t="str">
        <f t="shared" si="1"/>
        <v>愛知:ナベ</v>
      </c>
      <c r="F5070" s="338" t="s">
        <v>573</v>
      </c>
      <c r="G5070" s="339" t="str">
        <f t="shared" si="2"/>
        <v>愛知:ナベＬ２(H4･級外･L1ﾊﾞﾗ)</v>
      </c>
      <c r="H5070" s="340">
        <f t="shared" si="3"/>
        <v>42.4</v>
      </c>
      <c r="I5070" s="341">
        <v>1.0</v>
      </c>
      <c r="J5070" s="332">
        <f>IFERROR(__xludf.DUMMYFUNCTION("IF(IF(COUNTIF(P$2:P5069, P5070)=0, """", INDEX(H$2:H5069,
MAX(FILTER(ROW(H$2:H5069) - ROW(H$2) + 1, P$2:P5069 = P5070))))=""単価"","""",
IF(COUNTIF(P$2:P5069, P5070)=0, """", INDEX(H$2:H5069,
MAX(FILTER(ROW(H$2:H5069) - ROW(H$2) + 1, P$2:P5069 = P5070)))))"),41.4)</f>
        <v>41.4</v>
      </c>
      <c r="N5070" s="335" t="str">
        <f>IF(MAXIFS('単価履歴'!$O:$O,'単価履歴'!$E:$E,E5070,'単価履歴'!$F:$F,F5070)=O5070,"●","")</f>
        <v/>
      </c>
      <c r="O5070" s="346">
        <v>46112.38784722222</v>
      </c>
      <c r="P5070" s="334" t="str">
        <f t="shared" si="4"/>
        <v>愛知:ナベＬ２(H4･級外･L1ﾊﾞﾗ)</v>
      </c>
    </row>
    <row r="5071" ht="15.75" customHeight="1">
      <c r="A5071" s="335" t="s">
        <v>6218</v>
      </c>
      <c r="B5071" s="336">
        <v>46112.0</v>
      </c>
      <c r="C5071" s="335" t="s">
        <v>14</v>
      </c>
      <c r="D5071" s="335" t="s">
        <v>48</v>
      </c>
      <c r="E5071" s="337" t="str">
        <f t="shared" si="1"/>
        <v>愛知:ナベ</v>
      </c>
      <c r="F5071" s="338" t="s">
        <v>575</v>
      </c>
      <c r="G5071" s="339" t="str">
        <f t="shared" si="2"/>
        <v>愛知:ナベ鋼ダライＡ</v>
      </c>
      <c r="H5071" s="340">
        <f t="shared" si="3"/>
        <v>8.5</v>
      </c>
      <c r="I5071" s="341">
        <v>1.0</v>
      </c>
      <c r="J5071" s="332">
        <f>IFERROR(__xludf.DUMMYFUNCTION("IF(IF(COUNTIF(P$2:P5070, P5071)=0, """", INDEX(H$2:H5070,
MAX(FILTER(ROW(H$2:H5070) - ROW(H$2) + 1, P$2:P5070 = P5071))))=""単価"","""",
IF(COUNTIF(P$2:P5070, P5071)=0, """", INDEX(H$2:H5070,
MAX(FILTER(ROW(H$2:H5070) - ROW(H$2) + 1, P$2:P5070 = P5071)))))"),7.5)</f>
        <v>7.5</v>
      </c>
      <c r="N5071" s="335" t="str">
        <f>IF(MAXIFS('単価履歴'!$O:$O,'単価履歴'!$E:$E,E5071,'単価履歴'!$F:$F,F5071)=O5071,"●","")</f>
        <v/>
      </c>
      <c r="O5071" s="346">
        <v>46112.38784722222</v>
      </c>
      <c r="P5071" s="334" t="str">
        <f t="shared" si="4"/>
        <v>愛知:ナベ鋼ダライＡ</v>
      </c>
    </row>
    <row r="5072" ht="15.75" customHeight="1">
      <c r="A5072" s="335" t="s">
        <v>6219</v>
      </c>
      <c r="B5072" s="336">
        <v>46113.0</v>
      </c>
      <c r="C5072" s="335" t="s">
        <v>12</v>
      </c>
      <c r="D5072" s="335" t="s">
        <v>541</v>
      </c>
      <c r="E5072" s="337" t="str">
        <f t="shared" si="1"/>
        <v>山陽特殊:大同</v>
      </c>
      <c r="F5072" s="338" t="s">
        <v>1199</v>
      </c>
      <c r="G5072" s="339" t="str">
        <f t="shared" si="2"/>
        <v>山陽特殊:大同ＨＳ１(単体H1/電特A/HS))</v>
      </c>
      <c r="H5072" s="340">
        <f t="shared" si="3"/>
        <v>56.2</v>
      </c>
      <c r="I5072" s="341">
        <v>-0.5</v>
      </c>
      <c r="J5072" s="332">
        <f>IFERROR(__xludf.DUMMYFUNCTION("IF(IF(COUNTIF(P$2:P5071, P5072)=0, """", INDEX(H$2:H5071,
MAX(FILTER(ROW(H$2:H5071) - ROW(H$2) + 1, P$2:P5071 = P5072))))=""単価"","""",
IF(COUNTIF(P$2:P5071, P5072)=0, """", INDEX(H$2:H5071,
MAX(FILTER(ROW(H$2:H5071) - ROW(H$2) + 1, P$2:P5071 = P5072)))))"),56.7)</f>
        <v>56.7</v>
      </c>
      <c r="N5072" s="335" t="str">
        <f>IF(MAXIFS('単価履歴'!$O:$O,'単価履歴'!$E:$E,E5072,'単価履歴'!$F:$F,F5072)=O5072,"●","")</f>
        <v/>
      </c>
      <c r="O5072" s="346">
        <v>46112.574594907404</v>
      </c>
      <c r="P5072" s="334" t="str">
        <f t="shared" si="4"/>
        <v>山陽特殊:大同ＨＳ１(単体H1/電特A/HS))</v>
      </c>
    </row>
    <row r="5073" ht="15.75" customHeight="1">
      <c r="A5073" s="335" t="s">
        <v>6220</v>
      </c>
      <c r="B5073" s="336">
        <v>46113.0</v>
      </c>
      <c r="C5073" s="335" t="s">
        <v>12</v>
      </c>
      <c r="D5073" s="335" t="s">
        <v>541</v>
      </c>
      <c r="E5073" s="337" t="str">
        <f t="shared" si="1"/>
        <v>山陽特殊:大同</v>
      </c>
      <c r="F5073" s="338" t="s">
        <v>101</v>
      </c>
      <c r="G5073" s="339" t="str">
        <f t="shared" si="2"/>
        <v>山陽特殊:大同ＨＳ２</v>
      </c>
      <c r="H5073" s="340">
        <f t="shared" si="3"/>
        <v>56</v>
      </c>
      <c r="I5073" s="341">
        <v>-0.5</v>
      </c>
      <c r="J5073" s="332">
        <f>IFERROR(__xludf.DUMMYFUNCTION("IF(IF(COUNTIF(P$2:P5072, P5073)=0, """", INDEX(H$2:H5072,
MAX(FILTER(ROW(H$2:H5072) - ROW(H$2) + 1, P$2:P5072 = P5073))))=""単価"","""",
IF(COUNTIF(P$2:P5072, P5073)=0, """", INDEX(H$2:H5072,
MAX(FILTER(ROW(H$2:H5072) - ROW(H$2) + 1, P$2:P5072 = P5073)))))"),56.5)</f>
        <v>56.5</v>
      </c>
      <c r="N5073" s="335" t="str">
        <f>IF(MAXIFS('単価履歴'!$O:$O,'単価履歴'!$E:$E,E5073,'単価履歴'!$F:$F,F5073)=O5073,"●","")</f>
        <v/>
      </c>
      <c r="O5073" s="346">
        <v>46112.574594907404</v>
      </c>
      <c r="P5073" s="334" t="str">
        <f t="shared" si="4"/>
        <v>山陽特殊:大同ＨＳ２</v>
      </c>
    </row>
    <row r="5074" ht="15.75" customHeight="1">
      <c r="A5074" s="335" t="s">
        <v>6221</v>
      </c>
      <c r="B5074" s="336">
        <v>46113.0</v>
      </c>
      <c r="C5074" s="335" t="s">
        <v>12</v>
      </c>
      <c r="D5074" s="335" t="s">
        <v>541</v>
      </c>
      <c r="E5074" s="337" t="str">
        <f t="shared" si="1"/>
        <v>山陽特殊:大同</v>
      </c>
      <c r="F5074" s="338" t="s">
        <v>105</v>
      </c>
      <c r="G5074" s="339" t="str">
        <f t="shared" si="2"/>
        <v>山陽特殊:大同ＨＳ３</v>
      </c>
      <c r="H5074" s="340">
        <f t="shared" si="3"/>
        <v>54</v>
      </c>
      <c r="I5074" s="341">
        <v>-0.5</v>
      </c>
      <c r="J5074" s="332">
        <f>IFERROR(__xludf.DUMMYFUNCTION("IF(IF(COUNTIF(P$2:P5073, P5074)=0, """", INDEX(H$2:H5073,
MAX(FILTER(ROW(H$2:H5073) - ROW(H$2) + 1, P$2:P5073 = P5074))))=""単価"","""",
IF(COUNTIF(P$2:P5073, P5074)=0, """", INDEX(H$2:H5073,
MAX(FILTER(ROW(H$2:H5073) - ROW(H$2) + 1, P$2:P5073 = P5074)))))"),54.5)</f>
        <v>54.5</v>
      </c>
      <c r="N5074" s="335" t="str">
        <f>IF(MAXIFS('単価履歴'!$O:$O,'単価履歴'!$E:$E,E5074,'単価履歴'!$F:$F,F5074)=O5074,"●","")</f>
        <v/>
      </c>
      <c r="O5074" s="346">
        <v>46112.574594907404</v>
      </c>
      <c r="P5074" s="334" t="str">
        <f t="shared" si="4"/>
        <v>山陽特殊:大同ＨＳ３</v>
      </c>
    </row>
    <row r="5075" ht="15.75" customHeight="1">
      <c r="A5075" s="335" t="s">
        <v>6222</v>
      </c>
      <c r="B5075" s="336">
        <v>46113.0</v>
      </c>
      <c r="C5075" s="335" t="s">
        <v>534</v>
      </c>
      <c r="D5075" s="335" t="s">
        <v>46</v>
      </c>
      <c r="E5075" s="337" t="str">
        <f t="shared" si="1"/>
        <v>合同姫路:阪和</v>
      </c>
      <c r="F5075" s="338" t="s">
        <v>130</v>
      </c>
      <c r="G5075" s="339" t="str">
        <f t="shared" si="2"/>
        <v>合同姫路:阪和新断Ａ</v>
      </c>
      <c r="H5075" s="340">
        <f t="shared" si="3"/>
        <v>54.8</v>
      </c>
      <c r="I5075" s="341">
        <v>1.0</v>
      </c>
      <c r="J5075" s="332">
        <f>IFERROR(__xludf.DUMMYFUNCTION("IF(IF(COUNTIF(P$2:P5074, P5075)=0, """", INDEX(H$2:H5074,
MAX(FILTER(ROW(H$2:H5074) - ROW(H$2) + 1, P$2:P5074 = P5075))))=""単価"","""",
IF(COUNTIF(P$2:P5074, P5075)=0, """", INDEX(H$2:H5074,
MAX(FILTER(ROW(H$2:H5074) - ROW(H$2) + 1, P$2:P5074 = P5075)))))"),53.8)</f>
        <v>53.8</v>
      </c>
      <c r="N5075" s="335" t="str">
        <f>IF(MAXIFS('単価履歴'!$O:$O,'単価履歴'!$E:$E,E5075,'単価履歴'!$F:$F,F5075)=O5075,"●","")</f>
        <v/>
      </c>
      <c r="O5075" s="346">
        <v>46113.267372685186</v>
      </c>
      <c r="P5075" s="334" t="str">
        <f t="shared" si="4"/>
        <v>合同姫路:阪和新断Ａ</v>
      </c>
    </row>
    <row r="5076" ht="15.75" customHeight="1">
      <c r="A5076" s="335" t="s">
        <v>6223</v>
      </c>
      <c r="B5076" s="336">
        <v>46113.0</v>
      </c>
      <c r="C5076" s="335" t="s">
        <v>534</v>
      </c>
      <c r="D5076" s="335" t="s">
        <v>46</v>
      </c>
      <c r="E5076" s="337" t="str">
        <f t="shared" si="1"/>
        <v>合同姫路:阪和</v>
      </c>
      <c r="F5076" s="338" t="s">
        <v>131</v>
      </c>
      <c r="G5076" s="339" t="str">
        <f t="shared" si="2"/>
        <v>合同姫路:阪和新断Ｂ</v>
      </c>
      <c r="H5076" s="340">
        <f t="shared" si="3"/>
        <v>53.8</v>
      </c>
      <c r="I5076" s="341">
        <v>1.0</v>
      </c>
      <c r="J5076" s="332">
        <f>IFERROR(__xludf.DUMMYFUNCTION("IF(IF(COUNTIF(P$2:P5075, P5076)=0, """", INDEX(H$2:H5075,
MAX(FILTER(ROW(H$2:H5075) - ROW(H$2) + 1, P$2:P5075 = P5076))))=""単価"","""",
IF(COUNTIF(P$2:P5075, P5076)=0, """", INDEX(H$2:H5075,
MAX(FILTER(ROW(H$2:H5075) - ROW(H$2) + 1, P$2:P5075 = P5076)))))"),52.8)</f>
        <v>52.8</v>
      </c>
      <c r="N5076" s="335" t="str">
        <f>IF(MAXIFS('単価履歴'!$O:$O,'単価履歴'!$E:$E,E5076,'単価履歴'!$F:$F,F5076)=O5076,"●","")</f>
        <v/>
      </c>
      <c r="O5076" s="346">
        <v>46113.267372685186</v>
      </c>
      <c r="P5076" s="334" t="str">
        <f t="shared" si="4"/>
        <v>合同姫路:阪和新断Ｂ</v>
      </c>
    </row>
    <row r="5077" ht="15.75" customHeight="1">
      <c r="A5077" s="335" t="s">
        <v>6224</v>
      </c>
      <c r="B5077" s="336">
        <v>46113.0</v>
      </c>
      <c r="C5077" s="335" t="s">
        <v>12</v>
      </c>
      <c r="D5077" s="335" t="s">
        <v>53</v>
      </c>
      <c r="E5077" s="337" t="str">
        <f t="shared" si="1"/>
        <v>山陽特殊:MM</v>
      </c>
      <c r="F5077" s="338" t="s">
        <v>130</v>
      </c>
      <c r="G5077" s="339" t="str">
        <f t="shared" si="2"/>
        <v>山陽特殊:MM新断Ａ</v>
      </c>
      <c r="H5077" s="340">
        <f t="shared" si="3"/>
        <v>55.5</v>
      </c>
      <c r="I5077" s="341">
        <v>2.0</v>
      </c>
      <c r="J5077" s="332">
        <f>IFERROR(__xludf.DUMMYFUNCTION("IF(IF(COUNTIF(P$2:P5076, P5077)=0, """", INDEX(H$2:H5076,
MAX(FILTER(ROW(H$2:H5076) - ROW(H$2) + 1, P$2:P5076 = P5077))))=""単価"","""",
IF(COUNTIF(P$2:P5076, P5077)=0, """", INDEX(H$2:H5076,
MAX(FILTER(ROW(H$2:H5076) - ROW(H$2) + 1, P$2:P5076 = P5077)))))"),53.5)</f>
        <v>53.5</v>
      </c>
      <c r="N5077" s="335" t="str">
        <f>IF(MAXIFS('単価履歴'!$O:$O,'単価履歴'!$E:$E,E5077,'単価履歴'!$F:$F,F5077)=O5077,"●","")</f>
        <v/>
      </c>
      <c r="O5077" s="346">
        <v>46113.267812499995</v>
      </c>
      <c r="P5077" s="334" t="str">
        <f t="shared" si="4"/>
        <v>山陽特殊:MM新断Ａ</v>
      </c>
    </row>
    <row r="5078" ht="15.75" customHeight="1">
      <c r="A5078" s="335" t="s">
        <v>6225</v>
      </c>
      <c r="B5078" s="336">
        <v>46113.0</v>
      </c>
      <c r="C5078" s="335" t="s">
        <v>12</v>
      </c>
      <c r="D5078" s="335" t="s">
        <v>53</v>
      </c>
      <c r="E5078" s="337" t="str">
        <f t="shared" si="1"/>
        <v>山陽特殊:MM</v>
      </c>
      <c r="F5078" s="338" t="s">
        <v>131</v>
      </c>
      <c r="G5078" s="339" t="str">
        <f t="shared" si="2"/>
        <v>山陽特殊:MM新断Ｂ</v>
      </c>
      <c r="H5078" s="340">
        <f t="shared" si="3"/>
        <v>54.5</v>
      </c>
      <c r="I5078" s="341">
        <v>2.0</v>
      </c>
      <c r="J5078" s="332">
        <f>IFERROR(__xludf.DUMMYFUNCTION("IF(IF(COUNTIF(P$2:P5077, P5078)=0, """", INDEX(H$2:H5077,
MAX(FILTER(ROW(H$2:H5077) - ROW(H$2) + 1, P$2:P5077 = P5078))))=""単価"","""",
IF(COUNTIF(P$2:P5077, P5078)=0, """", INDEX(H$2:H5077,
MAX(FILTER(ROW(H$2:H5077) - ROW(H$2) + 1, P$2:P5077 = P5078)))))"),52.5)</f>
        <v>52.5</v>
      </c>
      <c r="N5078" s="335" t="str">
        <f>IF(MAXIFS('単価履歴'!$O:$O,'単価履歴'!$E:$E,E5078,'単価履歴'!$F:$F,F5078)=O5078,"●","")</f>
        <v/>
      </c>
      <c r="O5078" s="346">
        <v>46113.267812499995</v>
      </c>
      <c r="P5078" s="334" t="str">
        <f t="shared" si="4"/>
        <v>山陽特殊:MM新断Ｂ</v>
      </c>
    </row>
    <row r="5079" ht="15.75" customHeight="1">
      <c r="A5079" s="335" t="s">
        <v>6226</v>
      </c>
      <c r="B5079" s="336">
        <v>46113.0</v>
      </c>
      <c r="C5079" s="335" t="s">
        <v>12</v>
      </c>
      <c r="D5079" s="335" t="s">
        <v>53</v>
      </c>
      <c r="E5079" s="337" t="str">
        <f t="shared" si="1"/>
        <v>山陽特殊:MM</v>
      </c>
      <c r="F5079" s="338" t="s">
        <v>574</v>
      </c>
      <c r="G5079" s="339" t="str">
        <f t="shared" si="2"/>
        <v>山陽特殊:MM新断Ｃ</v>
      </c>
      <c r="H5079" s="340">
        <f t="shared" si="3"/>
        <v>53.2</v>
      </c>
      <c r="I5079" s="341">
        <v>2.0</v>
      </c>
      <c r="J5079" s="332">
        <f>IFERROR(__xludf.DUMMYFUNCTION("IF(IF(COUNTIF(P$2:P5078, P5079)=0, """", INDEX(H$2:H5078,
MAX(FILTER(ROW(H$2:H5078) - ROW(H$2) + 1, P$2:P5078 = P5079))))=""単価"","""",
IF(COUNTIF(P$2:P5078, P5079)=0, """", INDEX(H$2:H5078,
MAX(FILTER(ROW(H$2:H5078) - ROW(H$2) + 1, P$2:P5078 = P5079)))))"),51.199999999999996)</f>
        <v>51.2</v>
      </c>
      <c r="N5079" s="335" t="str">
        <f>IF(MAXIFS('単価履歴'!$O:$O,'単価履歴'!$E:$E,E5079,'単価履歴'!$F:$F,F5079)=O5079,"●","")</f>
        <v/>
      </c>
      <c r="O5079" s="346">
        <v>46113.267812499995</v>
      </c>
      <c r="P5079" s="334" t="str">
        <f t="shared" si="4"/>
        <v>山陽特殊:MM新断Ｃ</v>
      </c>
    </row>
    <row r="5080" ht="15.75" customHeight="1">
      <c r="A5080" s="335" t="s">
        <v>6227</v>
      </c>
      <c r="B5080" s="336">
        <v>46113.0</v>
      </c>
      <c r="C5080" s="335" t="s">
        <v>12</v>
      </c>
      <c r="D5080" s="335" t="s">
        <v>53</v>
      </c>
      <c r="E5080" s="337" t="str">
        <f t="shared" si="1"/>
        <v>山陽特殊:MM</v>
      </c>
      <c r="F5080" s="338" t="s">
        <v>1199</v>
      </c>
      <c r="G5080" s="339" t="str">
        <f t="shared" si="2"/>
        <v>山陽特殊:MMＨＳ１(単体H1/電特A/HS))</v>
      </c>
      <c r="H5080" s="340">
        <f t="shared" si="3"/>
        <v>56</v>
      </c>
      <c r="I5080" s="341">
        <v>1.5</v>
      </c>
      <c r="J5080" s="332">
        <f>IFERROR(__xludf.DUMMYFUNCTION("IF(IF(COUNTIF(P$2:P5079, P5080)=0, """", INDEX(H$2:H5079,
MAX(FILTER(ROW(H$2:H5079) - ROW(H$2) + 1, P$2:P5079 = P5080))))=""単価"","""",
IF(COUNTIF(P$2:P5079, P5080)=0, """", INDEX(H$2:H5079,
MAX(FILTER(ROW(H$2:H5079) - ROW(H$2) + 1, P$2:P5079 = P5080)))))"),54.5)</f>
        <v>54.5</v>
      </c>
      <c r="N5080" s="335" t="str">
        <f>IF(MAXIFS('単価履歴'!$O:$O,'単価履歴'!$E:$E,E5080,'単価履歴'!$F:$F,F5080)=O5080,"●","")</f>
        <v/>
      </c>
      <c r="O5080" s="346">
        <v>46113.26818287037</v>
      </c>
      <c r="P5080" s="334" t="str">
        <f t="shared" si="4"/>
        <v>山陽特殊:MMＨＳ１(単体H1/電特A/HS))</v>
      </c>
    </row>
    <row r="5081" ht="15.75" customHeight="1">
      <c r="A5081" s="335" t="s">
        <v>6228</v>
      </c>
      <c r="B5081" s="336">
        <v>46113.0</v>
      </c>
      <c r="C5081" s="335" t="s">
        <v>12</v>
      </c>
      <c r="D5081" s="335" t="s">
        <v>53</v>
      </c>
      <c r="E5081" s="337" t="str">
        <f t="shared" si="1"/>
        <v>山陽特殊:MM</v>
      </c>
      <c r="F5081" s="338" t="s">
        <v>101</v>
      </c>
      <c r="G5081" s="339" t="str">
        <f t="shared" si="2"/>
        <v>山陽特殊:MMＨＳ２</v>
      </c>
      <c r="H5081" s="340">
        <f t="shared" si="3"/>
        <v>55.8</v>
      </c>
      <c r="I5081" s="341">
        <v>1.5</v>
      </c>
      <c r="J5081" s="332">
        <f>IFERROR(__xludf.DUMMYFUNCTION("IF(IF(COUNTIF(P$2:P5080, P5081)=0, """", INDEX(H$2:H5080,
MAX(FILTER(ROW(H$2:H5080) - ROW(H$2) + 1, P$2:P5080 = P5081))))=""単価"","""",
IF(COUNTIF(P$2:P5080, P5081)=0, """", INDEX(H$2:H5080,
MAX(FILTER(ROW(H$2:H5080) - ROW(H$2) + 1, P$2:P5080 = P5081)))))"),54.3)</f>
        <v>54.3</v>
      </c>
      <c r="N5081" s="335" t="str">
        <f>IF(MAXIFS('単価履歴'!$O:$O,'単価履歴'!$E:$E,E5081,'単価履歴'!$F:$F,F5081)=O5081,"●","")</f>
        <v/>
      </c>
      <c r="O5081" s="346">
        <v>46113.26818287037</v>
      </c>
      <c r="P5081" s="334" t="str">
        <f t="shared" si="4"/>
        <v>山陽特殊:MMＨＳ２</v>
      </c>
    </row>
    <row r="5082" ht="15.75" customHeight="1">
      <c r="A5082" s="335" t="s">
        <v>6229</v>
      </c>
      <c r="B5082" s="336">
        <v>46113.0</v>
      </c>
      <c r="C5082" s="335" t="s">
        <v>12</v>
      </c>
      <c r="D5082" s="335" t="s">
        <v>53</v>
      </c>
      <c r="E5082" s="337" t="str">
        <f t="shared" si="1"/>
        <v>山陽特殊:MM</v>
      </c>
      <c r="F5082" s="338" t="s">
        <v>105</v>
      </c>
      <c r="G5082" s="339" t="str">
        <f t="shared" si="2"/>
        <v>山陽特殊:MMＨＳ３</v>
      </c>
      <c r="H5082" s="340">
        <f t="shared" si="3"/>
        <v>53.8</v>
      </c>
      <c r="I5082" s="341">
        <v>1.5</v>
      </c>
      <c r="J5082" s="332">
        <f>IFERROR(__xludf.DUMMYFUNCTION("IF(IF(COUNTIF(P$2:P5081, P5082)=0, """", INDEX(H$2:H5081,
MAX(FILTER(ROW(H$2:H5081) - ROW(H$2) + 1, P$2:P5081 = P5082))))=""単価"","""",
IF(COUNTIF(P$2:P5081, P5082)=0, """", INDEX(H$2:H5081,
MAX(FILTER(ROW(H$2:H5081) - ROW(H$2) + 1, P$2:P5081 = P5082)))))"),52.3)</f>
        <v>52.3</v>
      </c>
      <c r="N5082" s="335" t="str">
        <f>IF(MAXIFS('単価履歴'!$O:$O,'単価履歴'!$E:$E,E5082,'単価履歴'!$F:$F,F5082)=O5082,"●","")</f>
        <v/>
      </c>
      <c r="O5082" s="346">
        <v>46113.26818287037</v>
      </c>
      <c r="P5082" s="334" t="str">
        <f t="shared" si="4"/>
        <v>山陽特殊:MMＨＳ３</v>
      </c>
    </row>
    <row r="5083" ht="15.75" customHeight="1">
      <c r="A5083" s="335" t="s">
        <v>6230</v>
      </c>
      <c r="B5083" s="336">
        <v>46113.0</v>
      </c>
      <c r="C5083" s="335" t="s">
        <v>12</v>
      </c>
      <c r="D5083" s="335" t="s">
        <v>53</v>
      </c>
      <c r="E5083" s="337" t="str">
        <f t="shared" si="1"/>
        <v>山陽特殊:MM</v>
      </c>
      <c r="F5083" s="338" t="s">
        <v>122</v>
      </c>
      <c r="G5083" s="339" t="str">
        <f t="shared" si="2"/>
        <v>山陽特殊:MMＬ１(2級)</v>
      </c>
      <c r="H5083" s="340">
        <f t="shared" si="3"/>
        <v>12</v>
      </c>
      <c r="I5083" s="341">
        <v>1.5</v>
      </c>
      <c r="J5083" s="332">
        <f>IFERROR(__xludf.DUMMYFUNCTION("IF(IF(COUNTIF(P$2:P5082, P5083)=0, """", INDEX(H$2:H5082,
MAX(FILTER(ROW(H$2:H5082) - ROW(H$2) + 1, P$2:P5082 = P5083))))=""単価"","""",
IF(COUNTIF(P$2:P5082, P5083)=0, """", INDEX(H$2:H5082,
MAX(FILTER(ROW(H$2:H5082) - ROW(H$2) + 1, P$2:P5082 = P5083)))))"),10.5)</f>
        <v>10.5</v>
      </c>
      <c r="N5083" s="335" t="str">
        <f>IF(MAXIFS('単価履歴'!$O:$O,'単価履歴'!$E:$E,E5083,'単価履歴'!$F:$F,F5083)=O5083,"●","")</f>
        <v/>
      </c>
      <c r="O5083" s="346">
        <v>46113.26818287037</v>
      </c>
      <c r="P5083" s="334" t="str">
        <f t="shared" si="4"/>
        <v>山陽特殊:MMＬ１(2級)</v>
      </c>
    </row>
    <row r="5084" ht="15.75" customHeight="1">
      <c r="A5084" s="335" t="s">
        <v>6231</v>
      </c>
      <c r="B5084" s="336">
        <v>46113.0</v>
      </c>
      <c r="C5084" s="335" t="s">
        <v>31</v>
      </c>
      <c r="D5084" s="335" t="s">
        <v>47</v>
      </c>
      <c r="E5084" s="337" t="str">
        <f t="shared" si="1"/>
        <v>泉北中谷:豊通</v>
      </c>
      <c r="F5084" s="338" t="s">
        <v>130</v>
      </c>
      <c r="G5084" s="339" t="str">
        <f t="shared" si="2"/>
        <v>泉北中谷:豊通新断Ａ</v>
      </c>
      <c r="H5084" s="340">
        <f t="shared" si="3"/>
        <v>54.5</v>
      </c>
      <c r="I5084" s="341">
        <v>1.0</v>
      </c>
      <c r="J5084" s="332">
        <f>IFERROR(__xludf.DUMMYFUNCTION("IF(IF(COUNTIF(P$2:P5083, P5084)=0, """", INDEX(H$2:H5083,
MAX(FILTER(ROW(H$2:H5083) - ROW(H$2) + 1, P$2:P5083 = P5084))))=""単価"","""",
IF(COUNTIF(P$2:P5083, P5084)=0, """", INDEX(H$2:H5083,
MAX(FILTER(ROW(H$2:H5083) - ROW(H$2) + 1, P$2:P5083 = P5084)))))"),53.5)</f>
        <v>53.5</v>
      </c>
      <c r="N5084" s="335" t="str">
        <f>IF(MAXIFS('単価履歴'!$O:$O,'単価履歴'!$E:$E,E5084,'単価履歴'!$F:$F,F5084)=O5084,"●","")</f>
        <v/>
      </c>
      <c r="O5084" s="346">
        <v>46113.2687037037</v>
      </c>
      <c r="P5084" s="334" t="str">
        <f t="shared" si="4"/>
        <v>泉北中谷:豊通新断Ａ</v>
      </c>
    </row>
    <row r="5085" ht="15.75" customHeight="1">
      <c r="A5085" s="335" t="s">
        <v>6232</v>
      </c>
      <c r="B5085" s="336">
        <v>46113.0</v>
      </c>
      <c r="C5085" s="335" t="s">
        <v>14</v>
      </c>
      <c r="D5085" s="335" t="s">
        <v>46</v>
      </c>
      <c r="E5085" s="337" t="str">
        <f t="shared" si="1"/>
        <v>愛知:阪和</v>
      </c>
      <c r="F5085" s="338" t="s">
        <v>1199</v>
      </c>
      <c r="G5085" s="339" t="str">
        <f t="shared" si="2"/>
        <v>愛知:阪和ＨＳ１(単体H1/電特A/HS))</v>
      </c>
      <c r="H5085" s="340">
        <f t="shared" si="3"/>
        <v>52.7</v>
      </c>
      <c r="I5085" s="341">
        <v>1.5</v>
      </c>
      <c r="J5085" s="332">
        <f>IFERROR(__xludf.DUMMYFUNCTION("IF(IF(COUNTIF(P$2:P5084, P5085)=0, """", INDEX(H$2:H5084,
MAX(FILTER(ROW(H$2:H5084) - ROW(H$2) + 1, P$2:P5084 = P5085))))=""単価"","""",
IF(COUNTIF(P$2:P5084, P5085)=0, """", INDEX(H$2:H5084,
MAX(FILTER(ROW(H$2:H5084) - ROW(H$2) + 1, P$2:P5084 = P5085)))))"),51.2)</f>
        <v>51.2</v>
      </c>
      <c r="N5085" s="335" t="str">
        <f>IF(MAXIFS('単価履歴'!$O:$O,'単価履歴'!$E:$E,E5085,'単価履歴'!$F:$F,F5085)=O5085,"●","")</f>
        <v/>
      </c>
      <c r="O5085" s="346">
        <v>46113.26913194444</v>
      </c>
      <c r="P5085" s="334" t="str">
        <f t="shared" si="4"/>
        <v>愛知:阪和ＨＳ１(単体H1/電特A/HS))</v>
      </c>
    </row>
    <row r="5086" ht="15.75" customHeight="1">
      <c r="A5086" s="335" t="s">
        <v>6233</v>
      </c>
      <c r="B5086" s="336">
        <v>46113.0</v>
      </c>
      <c r="C5086" s="335" t="s">
        <v>14</v>
      </c>
      <c r="D5086" s="335" t="s">
        <v>46</v>
      </c>
      <c r="E5086" s="337" t="str">
        <f t="shared" si="1"/>
        <v>愛知:阪和</v>
      </c>
      <c r="F5086" s="338" t="s">
        <v>101</v>
      </c>
      <c r="G5086" s="339" t="str">
        <f t="shared" si="2"/>
        <v>愛知:阪和ＨＳ２</v>
      </c>
      <c r="H5086" s="340">
        <f t="shared" si="3"/>
        <v>52.2</v>
      </c>
      <c r="I5086" s="341">
        <v>1.5</v>
      </c>
      <c r="J5086" s="332">
        <f>IFERROR(__xludf.DUMMYFUNCTION("IF(IF(COUNTIF(P$2:P5085, P5086)=0, """", INDEX(H$2:H5085,
MAX(FILTER(ROW(H$2:H5085) - ROW(H$2) + 1, P$2:P5085 = P5086))))=""単価"","""",
IF(COUNTIF(P$2:P5085, P5086)=0, """", INDEX(H$2:H5085,
MAX(FILTER(ROW(H$2:H5085) - ROW(H$2) + 1, P$2:P5085 = P5086)))))"),50.7)</f>
        <v>50.7</v>
      </c>
      <c r="N5086" s="335" t="str">
        <f>IF(MAXIFS('単価履歴'!$O:$O,'単価履歴'!$E:$E,E5086,'単価履歴'!$F:$F,F5086)=O5086,"●","")</f>
        <v/>
      </c>
      <c r="O5086" s="346">
        <v>46113.26913194444</v>
      </c>
      <c r="P5086" s="334" t="str">
        <f t="shared" si="4"/>
        <v>愛知:阪和ＨＳ２</v>
      </c>
    </row>
    <row r="5087" ht="15.75" customHeight="1">
      <c r="A5087" s="335" t="s">
        <v>6234</v>
      </c>
      <c r="B5087" s="336">
        <v>46113.0</v>
      </c>
      <c r="C5087" s="335" t="s">
        <v>14</v>
      </c>
      <c r="D5087" s="335" t="s">
        <v>46</v>
      </c>
      <c r="E5087" s="337" t="str">
        <f t="shared" si="1"/>
        <v>愛知:阪和</v>
      </c>
      <c r="F5087" s="338" t="s">
        <v>111</v>
      </c>
      <c r="G5087" s="339" t="str">
        <f t="shared" si="2"/>
        <v>愛知:阪和Ｈ１(特A)</v>
      </c>
      <c r="H5087" s="340">
        <f t="shared" si="3"/>
        <v>47.7</v>
      </c>
      <c r="I5087" s="341">
        <v>1.5</v>
      </c>
      <c r="J5087" s="332">
        <f>IFERROR(__xludf.DUMMYFUNCTION("IF(IF(COUNTIF(P$2:P5086, P5087)=0, """", INDEX(H$2:H5086,
MAX(FILTER(ROW(H$2:H5086) - ROW(H$2) + 1, P$2:P5086 = P5087))))=""単価"","""",
IF(COUNTIF(P$2:P5086, P5087)=0, """", INDEX(H$2:H5086,
MAX(FILTER(ROW(H$2:H5086) - ROW(H$2) + 1, P$2:P5086 = P5087)))))"),46.2)</f>
        <v>46.2</v>
      </c>
      <c r="N5087" s="335" t="str">
        <f>IF(MAXIFS('単価履歴'!$O:$O,'単価履歴'!$E:$E,E5087,'単価履歴'!$F:$F,F5087)=O5087,"●","")</f>
        <v/>
      </c>
      <c r="O5087" s="346">
        <v>46113.26913194444</v>
      </c>
      <c r="P5087" s="334" t="str">
        <f t="shared" si="4"/>
        <v>愛知:阪和Ｈ１(特A)</v>
      </c>
    </row>
    <row r="5088" ht="15.75" customHeight="1">
      <c r="A5088" s="335" t="s">
        <v>6235</v>
      </c>
      <c r="B5088" s="336">
        <v>46113.0</v>
      </c>
      <c r="C5088" s="335" t="s">
        <v>14</v>
      </c>
      <c r="D5088" s="335" t="s">
        <v>46</v>
      </c>
      <c r="E5088" s="337" t="str">
        <f t="shared" si="1"/>
        <v>愛知:阪和</v>
      </c>
      <c r="F5088" s="338" t="s">
        <v>116</v>
      </c>
      <c r="G5088" s="339" t="str">
        <f t="shared" si="2"/>
        <v>愛知:阪和Ｈ２(特級)</v>
      </c>
      <c r="H5088" s="340">
        <f t="shared" si="3"/>
        <v>47.2</v>
      </c>
      <c r="I5088" s="341">
        <v>1.5</v>
      </c>
      <c r="J5088" s="332">
        <f>IFERROR(__xludf.DUMMYFUNCTION("IF(IF(COUNTIF(P$2:P5087, P5088)=0, """", INDEX(H$2:H5087,
MAX(FILTER(ROW(H$2:H5087) - ROW(H$2) + 1, P$2:P5087 = P5088))))=""単価"","""",
IF(COUNTIF(P$2:P5087, P5088)=0, """", INDEX(H$2:H5087,
MAX(FILTER(ROW(H$2:H5087) - ROW(H$2) + 1, P$2:P5087 = P5088)))))"),45.7)</f>
        <v>45.7</v>
      </c>
      <c r="N5088" s="335" t="str">
        <f>IF(MAXIFS('単価履歴'!$O:$O,'単価履歴'!$E:$E,E5088,'単価履歴'!$F:$F,F5088)=O5088,"●","")</f>
        <v/>
      </c>
      <c r="O5088" s="346">
        <v>46113.26913194444</v>
      </c>
      <c r="P5088" s="334" t="str">
        <f t="shared" si="4"/>
        <v>愛知:阪和Ｈ２(特級)</v>
      </c>
    </row>
    <row r="5089" ht="15.75" customHeight="1">
      <c r="A5089" s="335" t="s">
        <v>6236</v>
      </c>
      <c r="B5089" s="336">
        <v>46113.0</v>
      </c>
      <c r="C5089" s="335" t="s">
        <v>14</v>
      </c>
      <c r="D5089" s="335" t="s">
        <v>46</v>
      </c>
      <c r="E5089" s="337" t="str">
        <f t="shared" si="1"/>
        <v>愛知:阪和</v>
      </c>
      <c r="F5089" s="338" t="s">
        <v>119</v>
      </c>
      <c r="G5089" s="339" t="str">
        <f t="shared" si="2"/>
        <v>愛知:阪和Ｈ３(1級)</v>
      </c>
      <c r="H5089" s="340">
        <f t="shared" si="3"/>
        <v>46.2</v>
      </c>
      <c r="I5089" s="341">
        <v>1.5</v>
      </c>
      <c r="J5089" s="332">
        <f>IFERROR(__xludf.DUMMYFUNCTION("IF(IF(COUNTIF(P$2:P5088, P5089)=0, """", INDEX(H$2:H5088,
MAX(FILTER(ROW(H$2:H5088) - ROW(H$2) + 1, P$2:P5088 = P5089))))=""単価"","""",
IF(COUNTIF(P$2:P5088, P5089)=0, """", INDEX(H$2:H5088,
MAX(FILTER(ROW(H$2:H5088) - ROW(H$2) + 1, P$2:P5088 = P5089)))))"),44.7)</f>
        <v>44.7</v>
      </c>
      <c r="N5089" s="335" t="str">
        <f>IF(MAXIFS('単価履歴'!$O:$O,'単価履歴'!$E:$E,E5089,'単価履歴'!$F:$F,F5089)=O5089,"●","")</f>
        <v/>
      </c>
      <c r="O5089" s="346">
        <v>46113.26913194444</v>
      </c>
      <c r="P5089" s="334" t="str">
        <f t="shared" si="4"/>
        <v>愛知:阪和Ｈ３(1級)</v>
      </c>
    </row>
    <row r="5090" ht="15.75" customHeight="1">
      <c r="A5090" s="335" t="s">
        <v>6237</v>
      </c>
      <c r="B5090" s="336">
        <v>46113.0</v>
      </c>
      <c r="C5090" s="335" t="s">
        <v>14</v>
      </c>
      <c r="D5090" s="335" t="s">
        <v>46</v>
      </c>
      <c r="E5090" s="337" t="str">
        <f t="shared" si="1"/>
        <v>愛知:阪和</v>
      </c>
      <c r="F5090" s="338" t="s">
        <v>573</v>
      </c>
      <c r="G5090" s="339" t="str">
        <f t="shared" si="2"/>
        <v>愛知:阪和Ｌ２(H4･級外･L1ﾊﾞﾗ)</v>
      </c>
      <c r="H5090" s="340">
        <f t="shared" si="3"/>
        <v>42.8</v>
      </c>
      <c r="I5090" s="341">
        <v>1.5</v>
      </c>
      <c r="J5090" s="332">
        <f>IFERROR(__xludf.DUMMYFUNCTION("IF(IF(COUNTIF(P$2:P5089, P5090)=0, """", INDEX(H$2:H5089,
MAX(FILTER(ROW(H$2:H5089) - ROW(H$2) + 1, P$2:P5089 = P5090))))=""単価"","""",
IF(COUNTIF(P$2:P5089, P5090)=0, """", INDEX(H$2:H5089,
MAX(FILTER(ROW(H$2:H5089) - ROW(H$2) + 1, P$2:P5089 = P5090)))))"),41.3)</f>
        <v>41.3</v>
      </c>
      <c r="N5090" s="335" t="str">
        <f>IF(MAXIFS('単価履歴'!$O:$O,'単価履歴'!$E:$E,E5090,'単価履歴'!$F:$F,F5090)=O5090,"●","")</f>
        <v/>
      </c>
      <c r="O5090" s="346">
        <v>46113.26913194444</v>
      </c>
      <c r="P5090" s="334" t="str">
        <f t="shared" si="4"/>
        <v>愛知:阪和Ｌ２(H4･級外･L1ﾊﾞﾗ)</v>
      </c>
    </row>
    <row r="5091" ht="15.75" customHeight="1">
      <c r="A5091" s="335" t="s">
        <v>6238</v>
      </c>
      <c r="B5091" s="336">
        <v>46113.0</v>
      </c>
      <c r="C5091" s="335" t="s">
        <v>14</v>
      </c>
      <c r="D5091" s="335" t="s">
        <v>46</v>
      </c>
      <c r="E5091" s="337" t="str">
        <f t="shared" si="1"/>
        <v>愛知:阪和</v>
      </c>
      <c r="F5091" s="338" t="s">
        <v>130</v>
      </c>
      <c r="G5091" s="339" t="str">
        <f t="shared" si="2"/>
        <v>愛知:阪和新断Ａ</v>
      </c>
      <c r="H5091" s="340">
        <f t="shared" si="3"/>
        <v>53.5</v>
      </c>
      <c r="I5091" s="341">
        <v>2.0</v>
      </c>
      <c r="J5091" s="332">
        <f>IFERROR(__xludf.DUMMYFUNCTION("IF(IF(COUNTIF(P$2:P5090, P5091)=0, """", INDEX(H$2:H5090,
MAX(FILTER(ROW(H$2:H5090) - ROW(H$2) + 1, P$2:P5090 = P5091))))=""単価"","""",
IF(COUNTIF(P$2:P5090, P5091)=0, """", INDEX(H$2:H5090,
MAX(FILTER(ROW(H$2:H5090) - ROW(H$2) + 1, P$2:P5090 = P5091)))))"),51.5)</f>
        <v>51.5</v>
      </c>
      <c r="N5091" s="335" t="str">
        <f>IF(MAXIFS('単価履歴'!$O:$O,'単価履歴'!$E:$E,E5091,'単価履歴'!$F:$F,F5091)=O5091,"●","")</f>
        <v/>
      </c>
      <c r="O5091" s="346">
        <v>46113.26961805555</v>
      </c>
      <c r="P5091" s="334" t="str">
        <f t="shared" si="4"/>
        <v>愛知:阪和新断Ａ</v>
      </c>
    </row>
    <row r="5092" ht="15.75" customHeight="1">
      <c r="A5092" s="335" t="s">
        <v>6239</v>
      </c>
      <c r="B5092" s="336">
        <v>46113.0</v>
      </c>
      <c r="C5092" s="335" t="s">
        <v>14</v>
      </c>
      <c r="D5092" s="335" t="s">
        <v>46</v>
      </c>
      <c r="E5092" s="337" t="str">
        <f t="shared" si="1"/>
        <v>愛知:阪和</v>
      </c>
      <c r="F5092" s="338" t="s">
        <v>131</v>
      </c>
      <c r="G5092" s="339" t="str">
        <f t="shared" si="2"/>
        <v>愛知:阪和新断Ｂ</v>
      </c>
      <c r="H5092" s="340">
        <f t="shared" si="3"/>
        <v>52.5</v>
      </c>
      <c r="I5092" s="341">
        <v>2.0</v>
      </c>
      <c r="J5092" s="332">
        <f>IFERROR(__xludf.DUMMYFUNCTION("IF(IF(COUNTIF(P$2:P5091, P5092)=0, """", INDEX(H$2:H5091,
MAX(FILTER(ROW(H$2:H5091) - ROW(H$2) + 1, P$2:P5091 = P5092))))=""単価"","""",
IF(COUNTIF(P$2:P5091, P5092)=0, """", INDEX(H$2:H5091,
MAX(FILTER(ROW(H$2:H5091) - ROW(H$2) + 1, P$2:P5091 = P5092)))))"),50.5)</f>
        <v>50.5</v>
      </c>
      <c r="N5092" s="335" t="str">
        <f>IF(MAXIFS('単価履歴'!$O:$O,'単価履歴'!$E:$E,E5092,'単価履歴'!$F:$F,F5092)=O5092,"●","")</f>
        <v/>
      </c>
      <c r="O5092" s="346">
        <v>46113.26961805555</v>
      </c>
      <c r="P5092" s="334" t="str">
        <f t="shared" si="4"/>
        <v>愛知:阪和新断Ｂ</v>
      </c>
    </row>
    <row r="5093" ht="15.75" customHeight="1">
      <c r="A5093" s="335" t="s">
        <v>6240</v>
      </c>
      <c r="B5093" s="336">
        <v>46113.0</v>
      </c>
      <c r="C5093" s="335" t="s">
        <v>14</v>
      </c>
      <c r="D5093" s="335" t="s">
        <v>46</v>
      </c>
      <c r="E5093" s="337" t="str">
        <f t="shared" si="1"/>
        <v>愛知:阪和</v>
      </c>
      <c r="F5093" s="338" t="s">
        <v>145</v>
      </c>
      <c r="G5093" s="339" t="str">
        <f t="shared" si="2"/>
        <v>愛知:阪和シュレＡ</v>
      </c>
      <c r="H5093" s="340">
        <f t="shared" si="3"/>
        <v>53.5</v>
      </c>
      <c r="I5093" s="341">
        <v>2.0</v>
      </c>
      <c r="J5093" s="332">
        <f>IFERROR(__xludf.DUMMYFUNCTION("IF(IF(COUNTIF(P$2:P5092, P5093)=0, """", INDEX(H$2:H5092,
MAX(FILTER(ROW(H$2:H5092) - ROW(H$2) + 1, P$2:P5092 = P5093))))=""単価"","""",
IF(COUNTIF(P$2:P5092, P5093)=0, """", INDEX(H$2:H5092,
MAX(FILTER(ROW(H$2:H5092) - ROW(H$2) + 1, P$2:P5092 = P5093)))))"),51.5)</f>
        <v>51.5</v>
      </c>
      <c r="N5093" s="335" t="str">
        <f>IF(MAXIFS('単価履歴'!$O:$O,'単価履歴'!$E:$E,E5093,'単価履歴'!$F:$F,F5093)=O5093,"●","")</f>
        <v/>
      </c>
      <c r="O5093" s="346">
        <v>46113.26961805555</v>
      </c>
      <c r="P5093" s="334" t="str">
        <f t="shared" si="4"/>
        <v>愛知:阪和シュレＡ</v>
      </c>
    </row>
    <row r="5094" ht="15.75" customHeight="1">
      <c r="A5094" s="335" t="s">
        <v>6241</v>
      </c>
      <c r="B5094" s="336">
        <v>46113.0</v>
      </c>
      <c r="C5094" s="335" t="s">
        <v>537</v>
      </c>
      <c r="D5094" s="335" t="s">
        <v>59</v>
      </c>
      <c r="E5094" s="337" t="str">
        <f t="shared" si="1"/>
        <v>大同特殊鋼:大同興業</v>
      </c>
      <c r="F5094" s="338" t="s">
        <v>575</v>
      </c>
      <c r="G5094" s="339" t="str">
        <f t="shared" si="2"/>
        <v>大同特殊鋼:大同興業鋼ダライＡ</v>
      </c>
      <c r="H5094" s="340">
        <f t="shared" si="3"/>
        <v>45.4</v>
      </c>
      <c r="I5094" s="341">
        <v>1.0</v>
      </c>
      <c r="J5094" s="332">
        <f>IFERROR(__xludf.DUMMYFUNCTION("IF(IF(COUNTIF(P$2:P5093, P5094)=0, """", INDEX(H$2:H5093,
MAX(FILTER(ROW(H$2:H5093) - ROW(H$2) + 1, P$2:P5093 = P5094))))=""単価"","""",
IF(COUNTIF(P$2:P5093, P5094)=0, """", INDEX(H$2:H5093,
MAX(FILTER(ROW(H$2:H5093) - ROW(H$2) + 1, P$2:P5093 = P5094)))))"),44.4)</f>
        <v>44.4</v>
      </c>
      <c r="N5094" s="335" t="str">
        <f>IF(MAXIFS('単価履歴'!$O:$O,'単価履歴'!$E:$E,E5094,'単価履歴'!$F:$F,F5094)=O5094,"●","")</f>
        <v/>
      </c>
      <c r="O5094" s="346">
        <v>46113.27048611111</v>
      </c>
      <c r="P5094" s="334" t="str">
        <f t="shared" si="4"/>
        <v>大同特殊鋼:大同興業鋼ダライＡ</v>
      </c>
    </row>
    <row r="5095" ht="15.75" customHeight="1">
      <c r="A5095" s="335" t="s">
        <v>6242</v>
      </c>
      <c r="B5095" s="336">
        <v>46113.0</v>
      </c>
      <c r="C5095" s="335" t="s">
        <v>537</v>
      </c>
      <c r="D5095" s="335" t="s">
        <v>1404</v>
      </c>
      <c r="E5095" s="337" t="str">
        <f t="shared" si="1"/>
        <v>大同特殊鋼:JSE/大和ﾘﾃｯｸ</v>
      </c>
      <c r="F5095" s="338" t="s">
        <v>575</v>
      </c>
      <c r="G5095" s="339" t="str">
        <f t="shared" si="2"/>
        <v>大同特殊鋼:JSE/大和ﾘﾃｯｸ鋼ダライＡ</v>
      </c>
      <c r="H5095" s="340">
        <f t="shared" si="3"/>
        <v>47.5</v>
      </c>
      <c r="I5095" s="341">
        <v>1.0</v>
      </c>
      <c r="J5095" s="332">
        <f>IFERROR(__xludf.DUMMYFUNCTION("IF(IF(COUNTIF(P$2:P5094, P5095)=0, """", INDEX(H$2:H5094,
MAX(FILTER(ROW(H$2:H5094) - ROW(H$2) + 1, P$2:P5094 = P5095))))=""単価"","""",
IF(COUNTIF(P$2:P5094, P5095)=0, """", INDEX(H$2:H5094,
MAX(FILTER(ROW(H$2:H5094) - ROW(H$2) + 1, P$2:P5094 = P5095)))))"),46.5)</f>
        <v>46.5</v>
      </c>
      <c r="N5095" s="335" t="str">
        <f>IF(MAXIFS('単価履歴'!$O:$O,'単価履歴'!$E:$E,E5095,'単価履歴'!$F:$F,F5095)=O5095,"●","")</f>
        <v/>
      </c>
      <c r="O5095" s="346">
        <v>46113.27048611111</v>
      </c>
      <c r="P5095" s="334" t="str">
        <f t="shared" si="4"/>
        <v>大同特殊鋼:JSE/大和ﾘﾃｯｸ鋼ダライＡ</v>
      </c>
    </row>
    <row r="5096" ht="15.75" customHeight="1">
      <c r="A5096" s="335" t="s">
        <v>6243</v>
      </c>
      <c r="B5096" s="336">
        <v>46113.0</v>
      </c>
      <c r="C5096" s="335" t="s">
        <v>537</v>
      </c>
      <c r="D5096" s="335" t="s">
        <v>1407</v>
      </c>
      <c r="E5096" s="337" t="str">
        <f t="shared" si="1"/>
        <v>大同特殊鋼:JSE/第二＠2.3</v>
      </c>
      <c r="F5096" s="338" t="s">
        <v>575</v>
      </c>
      <c r="G5096" s="339" t="str">
        <f t="shared" si="2"/>
        <v>大同特殊鋼:JSE/第二＠2.3鋼ダライＡ</v>
      </c>
      <c r="H5096" s="340">
        <f t="shared" si="3"/>
        <v>45.2</v>
      </c>
      <c r="I5096" s="341">
        <v>1.0</v>
      </c>
      <c r="J5096" s="332">
        <f>IFERROR(__xludf.DUMMYFUNCTION("IF(IF(COUNTIF(P$2:P5095, P5096)=0, """", INDEX(H$2:H5095,
MAX(FILTER(ROW(H$2:H5095) - ROW(H$2) + 1, P$2:P5095 = P5096))))=""単価"","""",
IF(COUNTIF(P$2:P5095, P5096)=0, """", INDEX(H$2:H5095,
MAX(FILTER(ROW(H$2:H5095) - ROW(H$2) + 1, P$2:P5095 = P5096)))))"),44.2)</f>
        <v>44.2</v>
      </c>
      <c r="N5096" s="335" t="str">
        <f>IF(MAXIFS('単価履歴'!$O:$O,'単価履歴'!$E:$E,E5096,'単価履歴'!$F:$F,F5096)=O5096,"●","")</f>
        <v/>
      </c>
      <c r="O5096" s="346">
        <v>46113.27048611111</v>
      </c>
      <c r="P5096" s="334" t="str">
        <f t="shared" si="4"/>
        <v>大同特殊鋼:JSE/第二＠2.3鋼ダライＡ</v>
      </c>
    </row>
    <row r="5097" ht="15.75" customHeight="1">
      <c r="A5097" s="335" t="s">
        <v>6244</v>
      </c>
      <c r="B5097" s="336">
        <v>46113.0</v>
      </c>
      <c r="C5097" s="335" t="s">
        <v>537</v>
      </c>
      <c r="D5097" s="335" t="s">
        <v>1410</v>
      </c>
      <c r="E5097" s="337" t="str">
        <f t="shared" si="1"/>
        <v>大同特殊鋼:JSE/岐阜＠1.5</v>
      </c>
      <c r="F5097" s="338" t="s">
        <v>575</v>
      </c>
      <c r="G5097" s="339" t="str">
        <f t="shared" si="2"/>
        <v>大同特殊鋼:JSE/岐阜＠1.5鋼ダライＡ</v>
      </c>
      <c r="H5097" s="340">
        <f t="shared" si="3"/>
        <v>46</v>
      </c>
      <c r="I5097" s="341">
        <v>1.0</v>
      </c>
      <c r="J5097" s="332">
        <f>IFERROR(__xludf.DUMMYFUNCTION("IF(IF(COUNTIF(P$2:P5096, P5097)=0, """", INDEX(H$2:H5096,
MAX(FILTER(ROW(H$2:H5096) - ROW(H$2) + 1, P$2:P5096 = P5097))))=""単価"","""",
IF(COUNTIF(P$2:P5096, P5097)=0, """", INDEX(H$2:H5096,
MAX(FILTER(ROW(H$2:H5096) - ROW(H$2) + 1, P$2:P5096 = P5097)))))"),45.0)</f>
        <v>45</v>
      </c>
      <c r="N5097" s="335" t="str">
        <f>IF(MAXIFS('単価履歴'!$O:$O,'単価履歴'!$E:$E,E5097,'単価履歴'!$F:$F,F5097)=O5097,"●","")</f>
        <v/>
      </c>
      <c r="O5097" s="346">
        <v>46113.27048611111</v>
      </c>
      <c r="P5097" s="334" t="str">
        <f t="shared" si="4"/>
        <v>大同特殊鋼:JSE/岐阜＠1.5鋼ダライＡ</v>
      </c>
    </row>
    <row r="5098" ht="15.75" customHeight="1">
      <c r="A5098" s="335" t="s">
        <v>6245</v>
      </c>
      <c r="B5098" s="336">
        <v>46113.0</v>
      </c>
      <c r="C5098" s="335" t="s">
        <v>537</v>
      </c>
      <c r="D5098" s="335" t="s">
        <v>59</v>
      </c>
      <c r="E5098" s="337" t="str">
        <f t="shared" si="1"/>
        <v>大同特殊鋼:大同興業</v>
      </c>
      <c r="F5098" s="338" t="s">
        <v>1199</v>
      </c>
      <c r="G5098" s="339" t="str">
        <f t="shared" si="2"/>
        <v>大同特殊鋼:大同興業ＨＳ１(単体H1/電特A/HS))</v>
      </c>
      <c r="H5098" s="340">
        <f t="shared" si="3"/>
        <v>53</v>
      </c>
      <c r="I5098" s="341">
        <v>1.5</v>
      </c>
      <c r="J5098" s="332">
        <f>IFERROR(__xludf.DUMMYFUNCTION("IF(IF(COUNTIF(P$2:P5097, P5098)=0, """", INDEX(H$2:H5097,
MAX(FILTER(ROW(H$2:H5097) - ROW(H$2) + 1, P$2:P5097 = P5098))))=""単価"","""",
IF(COUNTIF(P$2:P5097, P5098)=0, """", INDEX(H$2:H5097,
MAX(FILTER(ROW(H$2:H5097) - ROW(H$2) + 1, P$2:P5097 = P5098)))))"),51.5)</f>
        <v>51.5</v>
      </c>
      <c r="N5098" s="335" t="str">
        <f>IF(MAXIFS('単価履歴'!$O:$O,'単価履歴'!$E:$E,E5098,'単価履歴'!$F:$F,F5098)=O5098,"●","")</f>
        <v/>
      </c>
      <c r="O5098" s="346">
        <v>46113.27083333333</v>
      </c>
      <c r="P5098" s="334" t="str">
        <f t="shared" si="4"/>
        <v>大同特殊鋼:大同興業ＨＳ１(単体H1/電特A/HS))</v>
      </c>
    </row>
    <row r="5099" ht="15.75" customHeight="1">
      <c r="A5099" s="335" t="s">
        <v>6246</v>
      </c>
      <c r="B5099" s="336">
        <v>46113.0</v>
      </c>
      <c r="C5099" s="335" t="s">
        <v>537</v>
      </c>
      <c r="D5099" s="335" t="s">
        <v>1404</v>
      </c>
      <c r="E5099" s="337" t="str">
        <f t="shared" si="1"/>
        <v>大同特殊鋼:JSE/大和ﾘﾃｯｸ</v>
      </c>
      <c r="F5099" s="338" t="s">
        <v>1199</v>
      </c>
      <c r="G5099" s="339" t="str">
        <f t="shared" si="2"/>
        <v>大同特殊鋼:JSE/大和ﾘﾃｯｸＨＳ１(単体H1/電特A/HS))</v>
      </c>
      <c r="H5099" s="340">
        <f t="shared" si="3"/>
        <v>52.3</v>
      </c>
      <c r="I5099" s="341">
        <v>1.5</v>
      </c>
      <c r="J5099" s="332">
        <f>IFERROR(__xludf.DUMMYFUNCTION("IF(IF(COUNTIF(P$2:P5098, P5099)=0, """", INDEX(H$2:H5098,
MAX(FILTER(ROW(H$2:H5098) - ROW(H$2) + 1, P$2:P5098 = P5099))))=""単価"","""",
IF(COUNTIF(P$2:P5098, P5099)=0, """", INDEX(H$2:H5098,
MAX(FILTER(ROW(H$2:H5098) - ROW(H$2) + 1, P$2:P5098 = P5099)))))"),50.8)</f>
        <v>50.8</v>
      </c>
      <c r="N5099" s="335" t="str">
        <f>IF(MAXIFS('単価履歴'!$O:$O,'単価履歴'!$E:$E,E5099,'単価履歴'!$F:$F,F5099)=O5099,"●","")</f>
        <v/>
      </c>
      <c r="O5099" s="346">
        <v>46113.27111111111</v>
      </c>
      <c r="P5099" s="334" t="str">
        <f t="shared" si="4"/>
        <v>大同特殊鋼:JSE/大和ﾘﾃｯｸＨＳ１(単体H1/電特A/HS))</v>
      </c>
    </row>
    <row r="5100" ht="15.75" customHeight="1">
      <c r="A5100" s="335" t="s">
        <v>6247</v>
      </c>
      <c r="B5100" s="336">
        <v>46113.0</v>
      </c>
      <c r="C5100" s="335" t="s">
        <v>537</v>
      </c>
      <c r="D5100" s="335" t="s">
        <v>1404</v>
      </c>
      <c r="E5100" s="337" t="str">
        <f t="shared" si="1"/>
        <v>大同特殊鋼:JSE/大和ﾘﾃｯｸ</v>
      </c>
      <c r="F5100" s="338" t="s">
        <v>116</v>
      </c>
      <c r="G5100" s="339" t="str">
        <f t="shared" si="2"/>
        <v>大同特殊鋼:JSE/大和ﾘﾃｯｸＨ２(特級)</v>
      </c>
      <c r="H5100" s="340">
        <f t="shared" si="3"/>
        <v>49.2</v>
      </c>
      <c r="I5100" s="341">
        <v>1.5</v>
      </c>
      <c r="J5100" s="332">
        <f>IFERROR(__xludf.DUMMYFUNCTION("IF(IF(COUNTIF(P$2:P5099, P5100)=0, """", INDEX(H$2:H5099,
MAX(FILTER(ROW(H$2:H5099) - ROW(H$2) + 1, P$2:P5099 = P5100))))=""単価"","""",
IF(COUNTIF(P$2:P5099, P5100)=0, """", INDEX(H$2:H5099,
MAX(FILTER(ROW(H$2:H5099) - ROW(H$2) + 1, P$2:P5099 = P5100)))))"),47.7)</f>
        <v>47.7</v>
      </c>
      <c r="N5100" s="335" t="str">
        <f>IF(MAXIFS('単価履歴'!$O:$O,'単価履歴'!$E:$E,E5100,'単価履歴'!$F:$F,F5100)=O5100,"●","")</f>
        <v/>
      </c>
      <c r="O5100" s="346">
        <v>46113.27111111111</v>
      </c>
      <c r="P5100" s="334" t="str">
        <f t="shared" si="4"/>
        <v>大同特殊鋼:JSE/大和ﾘﾃｯｸＨ２(特級)</v>
      </c>
    </row>
    <row r="5101" ht="15.75" customHeight="1">
      <c r="A5101" s="335" t="s">
        <v>6248</v>
      </c>
      <c r="B5101" s="336">
        <v>46113.0</v>
      </c>
      <c r="C5101" s="335" t="s">
        <v>537</v>
      </c>
      <c r="D5101" s="335" t="s">
        <v>1407</v>
      </c>
      <c r="E5101" s="337" t="str">
        <f t="shared" si="1"/>
        <v>大同特殊鋼:JSE/第二＠2.3</v>
      </c>
      <c r="F5101" s="338" t="s">
        <v>1199</v>
      </c>
      <c r="G5101" s="339" t="str">
        <f t="shared" si="2"/>
        <v>大同特殊鋼:JSE/第二＠2.3ＨＳ１(単体H1/電特A/HS))</v>
      </c>
      <c r="H5101" s="340">
        <f t="shared" si="3"/>
        <v>50</v>
      </c>
      <c r="I5101" s="341">
        <v>1.5</v>
      </c>
      <c r="J5101" s="332">
        <f>IFERROR(__xludf.DUMMYFUNCTION("IF(IF(COUNTIF(P$2:P5100, P5101)=0, """", INDEX(H$2:H5100,
MAX(FILTER(ROW(H$2:H5100) - ROW(H$2) + 1, P$2:P5100 = P5101))))=""単価"","""",
IF(COUNTIF(P$2:P5100, P5101)=0, """", INDEX(H$2:H5100,
MAX(FILTER(ROW(H$2:H5100) - ROW(H$2) + 1, P$2:P5100 = P5101)))))"),48.5)</f>
        <v>48.5</v>
      </c>
      <c r="N5101" s="335" t="str">
        <f>IF(MAXIFS('単価履歴'!$O:$O,'単価履歴'!$E:$E,E5101,'単価履歴'!$F:$F,F5101)=O5101,"●","")</f>
        <v/>
      </c>
      <c r="O5101" s="346">
        <v>46113.27111111111</v>
      </c>
      <c r="P5101" s="334" t="str">
        <f t="shared" si="4"/>
        <v>大同特殊鋼:JSE/第二＠2.3ＨＳ１(単体H1/電特A/HS))</v>
      </c>
    </row>
    <row r="5102" ht="15.75" customHeight="1">
      <c r="A5102" s="335" t="s">
        <v>6249</v>
      </c>
      <c r="B5102" s="336">
        <v>46113.0</v>
      </c>
      <c r="C5102" s="335" t="s">
        <v>537</v>
      </c>
      <c r="D5102" s="335" t="s">
        <v>1407</v>
      </c>
      <c r="E5102" s="337" t="str">
        <f t="shared" si="1"/>
        <v>大同特殊鋼:JSE/第二＠2.3</v>
      </c>
      <c r="F5102" s="338" t="s">
        <v>116</v>
      </c>
      <c r="G5102" s="339" t="str">
        <f t="shared" si="2"/>
        <v>大同特殊鋼:JSE/第二＠2.3Ｈ２(特級)</v>
      </c>
      <c r="H5102" s="340">
        <f t="shared" si="3"/>
        <v>46.9</v>
      </c>
      <c r="I5102" s="341">
        <v>1.5</v>
      </c>
      <c r="J5102" s="332">
        <f>IFERROR(__xludf.DUMMYFUNCTION("IF(IF(COUNTIF(P$2:P5101, P5102)=0, """", INDEX(H$2:H5101,
MAX(FILTER(ROW(H$2:H5101) - ROW(H$2) + 1, P$2:P5101 = P5102))))=""単価"","""",
IF(COUNTIF(P$2:P5101, P5102)=0, """", INDEX(H$2:H5101,
MAX(FILTER(ROW(H$2:H5101) - ROW(H$2) + 1, P$2:P5101 = P5102)))))"),45.400000000000006)</f>
        <v>45.4</v>
      </c>
      <c r="N5102" s="335" t="str">
        <f>IF(MAXIFS('単価履歴'!$O:$O,'単価履歴'!$E:$E,E5102,'単価履歴'!$F:$F,F5102)=O5102,"●","")</f>
        <v/>
      </c>
      <c r="O5102" s="346">
        <v>46113.27111111111</v>
      </c>
      <c r="P5102" s="334" t="str">
        <f t="shared" si="4"/>
        <v>大同特殊鋼:JSE/第二＠2.3Ｈ２(特級)</v>
      </c>
    </row>
    <row r="5103" ht="15.75" customHeight="1">
      <c r="A5103" s="335" t="s">
        <v>6250</v>
      </c>
      <c r="B5103" s="336">
        <v>46113.0</v>
      </c>
      <c r="C5103" s="335" t="s">
        <v>537</v>
      </c>
      <c r="D5103" s="335" t="s">
        <v>1410</v>
      </c>
      <c r="E5103" s="337" t="str">
        <f t="shared" si="1"/>
        <v>大同特殊鋼:JSE/岐阜＠1.5</v>
      </c>
      <c r="F5103" s="338" t="s">
        <v>1199</v>
      </c>
      <c r="G5103" s="339" t="str">
        <f t="shared" si="2"/>
        <v>大同特殊鋼:JSE/岐阜＠1.5ＨＳ１(単体H1/電特A/HS))</v>
      </c>
      <c r="H5103" s="340">
        <f t="shared" si="3"/>
        <v>50.8</v>
      </c>
      <c r="I5103" s="341">
        <v>1.5</v>
      </c>
      <c r="J5103" s="332">
        <f>IFERROR(__xludf.DUMMYFUNCTION("IF(IF(COUNTIF(P$2:P5102, P5103)=0, """", INDEX(H$2:H5102,
MAX(FILTER(ROW(H$2:H5102) - ROW(H$2) + 1, P$2:P5102 = P5103))))=""単価"","""",
IF(COUNTIF(P$2:P5102, P5103)=0, """", INDEX(H$2:H5102,
MAX(FILTER(ROW(H$2:H5102) - ROW(H$2) + 1, P$2:P5102 = P5103)))))"),49.3)</f>
        <v>49.3</v>
      </c>
      <c r="N5103" s="335" t="str">
        <f>IF(MAXIFS('単価履歴'!$O:$O,'単価履歴'!$E:$E,E5103,'単価履歴'!$F:$F,F5103)=O5103,"●","")</f>
        <v/>
      </c>
      <c r="O5103" s="346">
        <v>46113.27111111111</v>
      </c>
      <c r="P5103" s="334" t="str">
        <f t="shared" si="4"/>
        <v>大同特殊鋼:JSE/岐阜＠1.5ＨＳ１(単体H1/電特A/HS))</v>
      </c>
    </row>
    <row r="5104" ht="15.75" customHeight="1">
      <c r="A5104" s="335" t="s">
        <v>6251</v>
      </c>
      <c r="B5104" s="336">
        <v>46113.0</v>
      </c>
      <c r="C5104" s="335" t="s">
        <v>537</v>
      </c>
      <c r="D5104" s="335" t="s">
        <v>1410</v>
      </c>
      <c r="E5104" s="337" t="str">
        <f t="shared" si="1"/>
        <v>大同特殊鋼:JSE/岐阜＠1.5</v>
      </c>
      <c r="F5104" s="338" t="s">
        <v>116</v>
      </c>
      <c r="G5104" s="339" t="str">
        <f t="shared" si="2"/>
        <v>大同特殊鋼:JSE/岐阜＠1.5Ｈ２(特級)</v>
      </c>
      <c r="H5104" s="340">
        <f t="shared" si="3"/>
        <v>47.7</v>
      </c>
      <c r="I5104" s="341">
        <v>1.5</v>
      </c>
      <c r="J5104" s="332">
        <f>IFERROR(__xludf.DUMMYFUNCTION("IF(IF(COUNTIF(P$2:P5103, P5104)=0, """", INDEX(H$2:H5103,
MAX(FILTER(ROW(H$2:H5103) - ROW(H$2) + 1, P$2:P5103 = P5104))))=""単価"","""",
IF(COUNTIF(P$2:P5103, P5104)=0, """", INDEX(H$2:H5103,
MAX(FILTER(ROW(H$2:H5103) - ROW(H$2) + 1, P$2:P5103 = P5104)))))"),46.2)</f>
        <v>46.2</v>
      </c>
      <c r="N5104" s="335" t="str">
        <f>IF(MAXIFS('単価履歴'!$O:$O,'単価履歴'!$E:$E,E5104,'単価履歴'!$F:$F,F5104)=O5104,"●","")</f>
        <v/>
      </c>
      <c r="O5104" s="346">
        <v>46113.27111111111</v>
      </c>
      <c r="P5104" s="334" t="str">
        <f t="shared" si="4"/>
        <v>大同特殊鋼:JSE/岐阜＠1.5Ｈ２(特級)</v>
      </c>
    </row>
    <row r="5105" ht="15.75" customHeight="1">
      <c r="A5105" s="335" t="s">
        <v>6252</v>
      </c>
      <c r="B5105" s="336">
        <v>46113.0</v>
      </c>
      <c r="C5105" s="335" t="s">
        <v>28</v>
      </c>
      <c r="D5105" s="335" t="s">
        <v>52</v>
      </c>
      <c r="E5105" s="337" t="str">
        <f t="shared" si="1"/>
        <v>ＪＦＥ条鋼:リバイブ</v>
      </c>
      <c r="F5105" s="338" t="s">
        <v>111</v>
      </c>
      <c r="G5105" s="339" t="str">
        <f t="shared" si="2"/>
        <v>ＪＦＥ条鋼:リバイブＨ１(特A)</v>
      </c>
      <c r="H5105" s="340">
        <f t="shared" si="3"/>
        <v>51.5</v>
      </c>
      <c r="I5105" s="341">
        <v>1.0</v>
      </c>
      <c r="J5105" s="332">
        <f>IFERROR(__xludf.DUMMYFUNCTION("IF(IF(COUNTIF(P$2:P5104, P5105)=0, """", INDEX(H$2:H5104,
MAX(FILTER(ROW(H$2:H5104) - ROW(H$2) + 1, P$2:P5104 = P5105))))=""単価"","""",
IF(COUNTIF(P$2:P5104, P5105)=0, """", INDEX(H$2:H5104,
MAX(FILTER(ROW(H$2:H5104) - ROW(H$2) + 1, P$2:P5104 = P5105)))))"),50.5)</f>
        <v>50.5</v>
      </c>
      <c r="N5105" s="335" t="str">
        <f>IF(MAXIFS('単価履歴'!$O:$O,'単価履歴'!$E:$E,E5105,'単価履歴'!$F:$F,F5105)=O5105,"●","")</f>
        <v/>
      </c>
      <c r="O5105" s="346">
        <v>46113.4562037037</v>
      </c>
      <c r="P5105" s="334" t="str">
        <f t="shared" si="4"/>
        <v>ＪＦＥ条鋼:リバイブＨ１(特A)</v>
      </c>
    </row>
    <row r="5106" ht="15.75" customHeight="1">
      <c r="A5106" s="335" t="s">
        <v>6253</v>
      </c>
      <c r="B5106" s="336">
        <v>46113.0</v>
      </c>
      <c r="C5106" s="335" t="s">
        <v>28</v>
      </c>
      <c r="D5106" s="335" t="s">
        <v>52</v>
      </c>
      <c r="E5106" s="337" t="str">
        <f t="shared" si="1"/>
        <v>ＪＦＥ条鋼:リバイブ</v>
      </c>
      <c r="F5106" s="338" t="s">
        <v>116</v>
      </c>
      <c r="G5106" s="339" t="str">
        <f t="shared" si="2"/>
        <v>ＪＦＥ条鋼:リバイブＨ２(特級)</v>
      </c>
      <c r="H5106" s="340">
        <f t="shared" si="3"/>
        <v>51.5</v>
      </c>
      <c r="I5106" s="341">
        <v>1.0</v>
      </c>
      <c r="J5106" s="332">
        <f>IFERROR(__xludf.DUMMYFUNCTION("IF(IF(COUNTIF(P$2:P5105, P5106)=0, """", INDEX(H$2:H5105,
MAX(FILTER(ROW(H$2:H5105) - ROW(H$2) + 1, P$2:P5105 = P5106))))=""単価"","""",
IF(COUNTIF(P$2:P5105, P5106)=0, """", INDEX(H$2:H5105,
MAX(FILTER(ROW(H$2:H5105) - ROW(H$2) + 1, P$2:P5105 = P5106)))))"),50.5)</f>
        <v>50.5</v>
      </c>
      <c r="N5106" s="335" t="str">
        <f>IF(MAXIFS('単価履歴'!$O:$O,'単価履歴'!$E:$E,E5106,'単価履歴'!$F:$F,F5106)=O5106,"●","")</f>
        <v/>
      </c>
      <c r="O5106" s="346">
        <v>46113.4562037037</v>
      </c>
      <c r="P5106" s="334" t="str">
        <f t="shared" si="4"/>
        <v>ＪＦＥ条鋼:リバイブＨ２(特級)</v>
      </c>
    </row>
    <row r="5107" ht="15.75" customHeight="1">
      <c r="A5107" s="335" t="s">
        <v>6254</v>
      </c>
      <c r="B5107" s="336">
        <v>46113.0</v>
      </c>
      <c r="C5107" s="335" t="s">
        <v>28</v>
      </c>
      <c r="D5107" s="335" t="s">
        <v>52</v>
      </c>
      <c r="E5107" s="337" t="str">
        <f t="shared" si="1"/>
        <v>ＪＦＥ条鋼:リバイブ</v>
      </c>
      <c r="F5107" s="338" t="s">
        <v>119</v>
      </c>
      <c r="G5107" s="339" t="str">
        <f t="shared" si="2"/>
        <v>ＪＦＥ条鋼:リバイブＨ３(1級)</v>
      </c>
      <c r="H5107" s="340">
        <f t="shared" si="3"/>
        <v>50.5</v>
      </c>
      <c r="I5107" s="341">
        <v>1.0</v>
      </c>
      <c r="J5107" s="332">
        <f>IFERROR(__xludf.DUMMYFUNCTION("IF(IF(COUNTIF(P$2:P5106, P5107)=0, """", INDEX(H$2:H5106,
MAX(FILTER(ROW(H$2:H5106) - ROW(H$2) + 1, P$2:P5106 = P5107))))=""単価"","""",
IF(COUNTIF(P$2:P5106, P5107)=0, """", INDEX(H$2:H5106,
MAX(FILTER(ROW(H$2:H5106) - ROW(H$2) + 1, P$2:P5106 = P5107)))))"),49.5)</f>
        <v>49.5</v>
      </c>
      <c r="N5107" s="335" t="str">
        <f>IF(MAXIFS('単価履歴'!$O:$O,'単価履歴'!$E:$E,E5107,'単価履歴'!$F:$F,F5107)=O5107,"●","")</f>
        <v/>
      </c>
      <c r="O5107" s="346">
        <v>46113.4562037037</v>
      </c>
      <c r="P5107" s="334" t="str">
        <f t="shared" si="4"/>
        <v>ＪＦＥ条鋼:リバイブＨ３(1級)</v>
      </c>
    </row>
    <row r="5108" ht="15.75" customHeight="1">
      <c r="A5108" s="335" t="s">
        <v>6255</v>
      </c>
      <c r="B5108" s="336">
        <v>46113.0</v>
      </c>
      <c r="C5108" s="335" t="s">
        <v>28</v>
      </c>
      <c r="D5108" s="335" t="s">
        <v>52</v>
      </c>
      <c r="E5108" s="337" t="str">
        <f t="shared" si="1"/>
        <v>ＪＦＥ条鋼:リバイブ</v>
      </c>
      <c r="F5108" s="338" t="s">
        <v>122</v>
      </c>
      <c r="G5108" s="339" t="str">
        <f t="shared" si="2"/>
        <v>ＪＦＥ条鋼:リバイブＬ１(2級)</v>
      </c>
      <c r="H5108" s="340">
        <f t="shared" si="3"/>
        <v>47.5</v>
      </c>
      <c r="I5108" s="341">
        <v>1.0</v>
      </c>
      <c r="J5108" s="332">
        <f>IFERROR(__xludf.DUMMYFUNCTION("IF(IF(COUNTIF(P$2:P5107, P5108)=0, """", INDEX(H$2:H5107,
MAX(FILTER(ROW(H$2:H5107) - ROW(H$2) + 1, P$2:P5107 = P5108))))=""単価"","""",
IF(COUNTIF(P$2:P5107, P5108)=0, """", INDEX(H$2:H5107,
MAX(FILTER(ROW(H$2:H5107) - ROW(H$2) + 1, P$2:P5107 = P5108)))))"),46.5)</f>
        <v>46.5</v>
      </c>
      <c r="N5108" s="335" t="str">
        <f>IF(MAXIFS('単価履歴'!$O:$O,'単価履歴'!$E:$E,E5108,'単価履歴'!$F:$F,F5108)=O5108,"●","")</f>
        <v/>
      </c>
      <c r="O5108" s="346">
        <v>46113.4562037037</v>
      </c>
      <c r="P5108" s="334" t="str">
        <f t="shared" si="4"/>
        <v>ＪＦＥ条鋼:リバイブＬ１(2級)</v>
      </c>
    </row>
    <row r="5109" ht="15.75" customHeight="1">
      <c r="A5109" s="335" t="s">
        <v>6256</v>
      </c>
      <c r="B5109" s="336">
        <v>46113.0</v>
      </c>
      <c r="C5109" s="335" t="s">
        <v>28</v>
      </c>
      <c r="D5109" s="335" t="s">
        <v>52</v>
      </c>
      <c r="E5109" s="337" t="str">
        <f t="shared" si="1"/>
        <v>ＪＦＥ条鋼:リバイブ</v>
      </c>
      <c r="F5109" s="338" t="s">
        <v>573</v>
      </c>
      <c r="G5109" s="339" t="str">
        <f t="shared" si="2"/>
        <v>ＪＦＥ条鋼:リバイブＬ２(H4･級外･L1ﾊﾞﾗ)</v>
      </c>
      <c r="H5109" s="340">
        <f t="shared" si="3"/>
        <v>40.5</v>
      </c>
      <c r="I5109" s="341">
        <v>1.0</v>
      </c>
      <c r="J5109" s="332">
        <f>IFERROR(__xludf.DUMMYFUNCTION("IF(IF(COUNTIF(P$2:P5108, P5109)=0, """", INDEX(H$2:H5108,
MAX(FILTER(ROW(H$2:H5108) - ROW(H$2) + 1, P$2:P5108 = P5109))))=""単価"","""",
IF(COUNTIF(P$2:P5108, P5109)=0, """", INDEX(H$2:H5108,
MAX(FILTER(ROW(H$2:H5108) - ROW(H$2) + 1, P$2:P5108 = P5109)))))"),39.5)</f>
        <v>39.5</v>
      </c>
      <c r="N5109" s="335" t="str">
        <f>IF(MAXIFS('単価履歴'!$O:$O,'単価履歴'!$E:$E,E5109,'単価履歴'!$F:$F,F5109)=O5109,"●","")</f>
        <v/>
      </c>
      <c r="O5109" s="346">
        <v>46113.4562037037</v>
      </c>
      <c r="P5109" s="334" t="str">
        <f t="shared" si="4"/>
        <v>ＪＦＥ条鋼:リバイブＬ２(H4･級外･L1ﾊﾞﾗ)</v>
      </c>
    </row>
    <row r="5110" ht="15.75" customHeight="1">
      <c r="A5110" s="335" t="s">
        <v>6257</v>
      </c>
      <c r="B5110" s="336">
        <v>46113.0</v>
      </c>
      <c r="C5110" s="335" t="s">
        <v>28</v>
      </c>
      <c r="D5110" s="335" t="s">
        <v>52</v>
      </c>
      <c r="E5110" s="337" t="str">
        <f t="shared" si="1"/>
        <v>ＪＦＥ条鋼:リバイブ</v>
      </c>
      <c r="F5110" s="338" t="s">
        <v>130</v>
      </c>
      <c r="G5110" s="339" t="str">
        <f t="shared" si="2"/>
        <v>ＪＦＥ条鋼:リバイブ新断Ａ</v>
      </c>
      <c r="H5110" s="340">
        <f t="shared" si="3"/>
        <v>54</v>
      </c>
      <c r="I5110" s="341">
        <v>1.0</v>
      </c>
      <c r="J5110" s="332">
        <f>IFERROR(__xludf.DUMMYFUNCTION("IF(IF(COUNTIF(P$2:P5109, P5110)=0, """", INDEX(H$2:H5109,
MAX(FILTER(ROW(H$2:H5109) - ROW(H$2) + 1, P$2:P5109 = P5110))))=""単価"","""",
IF(COUNTIF(P$2:P5109, P5110)=0, """", INDEX(H$2:H5109,
MAX(FILTER(ROW(H$2:H5109) - ROW(H$2) + 1, P$2:P5109 = P5110)))))"),53.0)</f>
        <v>53</v>
      </c>
      <c r="N5110" s="335" t="str">
        <f>IF(MAXIFS('単価履歴'!$O:$O,'単価履歴'!$E:$E,E5110,'単価履歴'!$F:$F,F5110)=O5110,"●","")</f>
        <v/>
      </c>
      <c r="O5110" s="346">
        <v>46113.4562037037</v>
      </c>
      <c r="P5110" s="334" t="str">
        <f t="shared" si="4"/>
        <v>ＪＦＥ条鋼:リバイブ新断Ａ</v>
      </c>
    </row>
    <row r="5111" ht="15.75" customHeight="1">
      <c r="A5111" s="335" t="s">
        <v>6258</v>
      </c>
      <c r="B5111" s="336">
        <v>46113.0</v>
      </c>
      <c r="C5111" s="335" t="s">
        <v>28</v>
      </c>
      <c r="D5111" s="335" t="s">
        <v>52</v>
      </c>
      <c r="E5111" s="337" t="str">
        <f t="shared" si="1"/>
        <v>ＪＦＥ条鋼:リバイブ</v>
      </c>
      <c r="F5111" s="338" t="s">
        <v>131</v>
      </c>
      <c r="G5111" s="339" t="str">
        <f t="shared" si="2"/>
        <v>ＪＦＥ条鋼:リバイブ新断Ｂ</v>
      </c>
      <c r="H5111" s="340">
        <f t="shared" si="3"/>
        <v>53</v>
      </c>
      <c r="I5111" s="341">
        <v>1.0</v>
      </c>
      <c r="J5111" s="332">
        <f>IFERROR(__xludf.DUMMYFUNCTION("IF(IF(COUNTIF(P$2:P5110, P5111)=0, """", INDEX(H$2:H5110,
MAX(FILTER(ROW(H$2:H5110) - ROW(H$2) + 1, P$2:P5110 = P5111))))=""単価"","""",
IF(COUNTIF(P$2:P5110, P5111)=0, """", INDEX(H$2:H5110,
MAX(FILTER(ROW(H$2:H5110) - ROW(H$2) + 1, P$2:P5110 = P5111)))))"),52.0)</f>
        <v>52</v>
      </c>
      <c r="N5111" s="335" t="str">
        <f>IF(MAXIFS('単価履歴'!$O:$O,'単価履歴'!$E:$E,E5111,'単価履歴'!$F:$F,F5111)=O5111,"●","")</f>
        <v/>
      </c>
      <c r="O5111" s="346">
        <v>46113.4562037037</v>
      </c>
      <c r="P5111" s="334" t="str">
        <f t="shared" si="4"/>
        <v>ＪＦＥ条鋼:リバイブ新断Ｂ</v>
      </c>
    </row>
    <row r="5112" ht="15.75" customHeight="1">
      <c r="A5112" s="335" t="s">
        <v>6259</v>
      </c>
      <c r="B5112" s="336">
        <v>46113.0</v>
      </c>
      <c r="C5112" s="335" t="s">
        <v>28</v>
      </c>
      <c r="D5112" s="335" t="s">
        <v>52</v>
      </c>
      <c r="E5112" s="337" t="str">
        <f t="shared" si="1"/>
        <v>ＪＦＥ条鋼:リバイブ</v>
      </c>
      <c r="F5112" s="338" t="s">
        <v>575</v>
      </c>
      <c r="G5112" s="339" t="str">
        <f t="shared" si="2"/>
        <v>ＪＦＥ条鋼:リバイブ鋼ダライＡ</v>
      </c>
      <c r="H5112" s="340">
        <f t="shared" si="3"/>
        <v>45.5</v>
      </c>
      <c r="I5112" s="341">
        <v>1.0</v>
      </c>
      <c r="J5112" s="332">
        <f>IFERROR(__xludf.DUMMYFUNCTION("IF(IF(COUNTIF(P$2:P5111, P5112)=0, """", INDEX(H$2:H5111,
MAX(FILTER(ROW(H$2:H5111) - ROW(H$2) + 1, P$2:P5111 = P5112))))=""単価"","""",
IF(COUNTIF(P$2:P5111, P5112)=0, """", INDEX(H$2:H5111,
MAX(FILTER(ROW(H$2:H5111) - ROW(H$2) + 1, P$2:P5111 = P5112)))))"),44.5)</f>
        <v>44.5</v>
      </c>
      <c r="N5112" s="335" t="str">
        <f>IF(MAXIFS('単価履歴'!$O:$O,'単価履歴'!$E:$E,E5112,'単価履歴'!$F:$F,F5112)=O5112,"●","")</f>
        <v/>
      </c>
      <c r="O5112" s="346">
        <v>46113.4562037037</v>
      </c>
      <c r="P5112" s="334" t="str">
        <f t="shared" si="4"/>
        <v>ＪＦＥ条鋼:リバイブ鋼ダライＡ</v>
      </c>
    </row>
    <row r="5113" ht="15.75" customHeight="1">
      <c r="A5113" s="335" t="s">
        <v>6260</v>
      </c>
      <c r="B5113" s="336">
        <v>46113.0</v>
      </c>
      <c r="C5113" s="335" t="s">
        <v>28</v>
      </c>
      <c r="D5113" s="335" t="s">
        <v>52</v>
      </c>
      <c r="E5113" s="337" t="str">
        <f t="shared" si="1"/>
        <v>ＪＦＥ条鋼:リバイブ</v>
      </c>
      <c r="F5113" s="338" t="s">
        <v>154</v>
      </c>
      <c r="G5113" s="339" t="str">
        <f t="shared" si="2"/>
        <v>ＪＦＥ条鋼:リバイブＣＰ Ａ</v>
      </c>
      <c r="H5113" s="340">
        <f t="shared" si="3"/>
        <v>52.5</v>
      </c>
      <c r="I5113" s="341">
        <v>1.0</v>
      </c>
      <c r="J5113" s="332">
        <f>IFERROR(__xludf.DUMMYFUNCTION("IF(IF(COUNTIF(P$2:P5112, P5113)=0, """", INDEX(H$2:H5112,
MAX(FILTER(ROW(H$2:H5112) - ROW(H$2) + 1, P$2:P5112 = P5113))))=""単価"","""",
IF(COUNTIF(P$2:P5112, P5113)=0, """", INDEX(H$2:H5112,
MAX(FILTER(ROW(H$2:H5112) - ROW(H$2) + 1, P$2:P5112 = P5113)))))"),51.5)</f>
        <v>51.5</v>
      </c>
      <c r="N5113" s="335" t="str">
        <f>IF(MAXIFS('単価履歴'!$O:$O,'単価履歴'!$E:$E,E5113,'単価履歴'!$F:$F,F5113)=O5113,"●","")</f>
        <v/>
      </c>
      <c r="O5113" s="346">
        <v>46113.4562037037</v>
      </c>
      <c r="P5113" s="334" t="str">
        <f t="shared" si="4"/>
        <v>ＪＦＥ条鋼:リバイブＣＰ Ａ</v>
      </c>
    </row>
    <row r="5114" ht="15.75" customHeight="1">
      <c r="A5114" s="335" t="s">
        <v>6261</v>
      </c>
      <c r="B5114" s="336">
        <v>46112.0</v>
      </c>
      <c r="C5114" s="335" t="s">
        <v>5</v>
      </c>
      <c r="D5114" s="335" t="s">
        <v>46</v>
      </c>
      <c r="E5114" s="337" t="str">
        <f t="shared" si="1"/>
        <v>中山製鋼:阪和</v>
      </c>
      <c r="F5114" s="338" t="s">
        <v>116</v>
      </c>
      <c r="G5114" s="339" t="str">
        <f t="shared" si="2"/>
        <v>中山製鋼:阪和Ｈ２(特級)</v>
      </c>
      <c r="H5114" s="340">
        <f t="shared" si="3"/>
        <v>43.1</v>
      </c>
      <c r="I5114" s="341">
        <v>-3.2</v>
      </c>
      <c r="J5114" s="332">
        <f>IFERROR(__xludf.DUMMYFUNCTION("IF(IF(COUNTIF(P$2:P5113, P5114)=0, """", INDEX(H$2:H5113,
MAX(FILTER(ROW(H$2:H5113) - ROW(H$2) + 1, P$2:P5113 = P5114))))=""単価"","""",
IF(COUNTIF(P$2:P5113, P5114)=0, """", INDEX(H$2:H5113,
MAX(FILTER(ROW(H$2:H5113) - ROW(H$2) + 1, P$2:P5113 = P5114)))))"),46.3)</f>
        <v>46.3</v>
      </c>
      <c r="N5114" s="335" t="str">
        <f>IF(MAXIFS('単価履歴'!$O:$O,'単価履歴'!$E:$E,E5114,'単価履歴'!$F:$F,F5114)=O5114,"●","")</f>
        <v/>
      </c>
      <c r="O5114" s="346">
        <v>46114.49903935185</v>
      </c>
      <c r="P5114" s="334" t="str">
        <f t="shared" si="4"/>
        <v>中山製鋼:阪和Ｈ２(特級)</v>
      </c>
    </row>
    <row r="5115" ht="15.75" customHeight="1">
      <c r="A5115" s="335" t="s">
        <v>6262</v>
      </c>
      <c r="B5115" s="336">
        <v>46112.0</v>
      </c>
      <c r="C5115" s="335" t="s">
        <v>5</v>
      </c>
      <c r="D5115" s="335" t="s">
        <v>46</v>
      </c>
      <c r="E5115" s="337" t="str">
        <f t="shared" si="1"/>
        <v>中山製鋼:阪和</v>
      </c>
      <c r="F5115" s="338" t="s">
        <v>119</v>
      </c>
      <c r="G5115" s="339" t="str">
        <f t="shared" si="2"/>
        <v>中山製鋼:阪和Ｈ３(1級)</v>
      </c>
      <c r="H5115" s="340">
        <f t="shared" si="3"/>
        <v>48.5</v>
      </c>
      <c r="I5115" s="341">
        <v>6.2</v>
      </c>
      <c r="J5115" s="332">
        <f>IFERROR(__xludf.DUMMYFUNCTION("IF(IF(COUNTIF(P$2:P5114, P5115)=0, """", INDEX(H$2:H5114,
MAX(FILTER(ROW(H$2:H5114) - ROW(H$2) + 1, P$2:P5114 = P5115))))=""単価"","""",
IF(COUNTIF(P$2:P5114, P5115)=0, """", INDEX(H$2:H5114,
MAX(FILTER(ROW(H$2:H5114) - ROW(H$2) + 1, P$2:P5114 = P5115)))))"),42.3)</f>
        <v>42.3</v>
      </c>
      <c r="N5115" s="335" t="str">
        <f>IF(MAXIFS('単価履歴'!$O:$O,'単価履歴'!$E:$E,E5115,'単価履歴'!$F:$F,F5115)=O5115,"●","")</f>
        <v/>
      </c>
      <c r="O5115" s="346">
        <v>46114.49940972222</v>
      </c>
      <c r="P5115" s="334" t="str">
        <f t="shared" si="4"/>
        <v>中山製鋼:阪和Ｈ３(1級)</v>
      </c>
    </row>
    <row r="5116" ht="15.75" customHeight="1">
      <c r="A5116" s="335" t="s">
        <v>6263</v>
      </c>
      <c r="B5116" s="336">
        <v>46112.0</v>
      </c>
      <c r="C5116" s="335" t="s">
        <v>5</v>
      </c>
      <c r="D5116" s="335" t="s">
        <v>46</v>
      </c>
      <c r="E5116" s="337" t="str">
        <f t="shared" si="1"/>
        <v>中山製鋼:阪和</v>
      </c>
      <c r="F5116" s="338" t="s">
        <v>122</v>
      </c>
      <c r="G5116" s="339" t="str">
        <f t="shared" si="2"/>
        <v>中山製鋼:阪和Ｌ１(2級)</v>
      </c>
      <c r="H5116" s="340">
        <f t="shared" si="3"/>
        <v>48</v>
      </c>
      <c r="I5116" s="341">
        <v>12.2</v>
      </c>
      <c r="J5116" s="332">
        <f>IFERROR(__xludf.DUMMYFUNCTION("IF(IF(COUNTIF(P$2:P5115, P5116)=0, """", INDEX(H$2:H5115,
MAX(FILTER(ROW(H$2:H5115) - ROW(H$2) + 1, P$2:P5115 = P5116))))=""単価"","""",
IF(COUNTIF(P$2:P5115, P5116)=0, """", INDEX(H$2:H5115,
MAX(FILTER(ROW(H$2:H5115) - ROW(H$2) + 1, P$2:P5115 = P5116)))))"),35.8)</f>
        <v>35.8</v>
      </c>
      <c r="N5116" s="335" t="str">
        <f>IF(MAXIFS('単価履歴'!$O:$O,'単価履歴'!$E:$E,E5116,'単価履歴'!$F:$F,F5116)=O5116,"●","")</f>
        <v/>
      </c>
      <c r="O5116" s="346">
        <v>46114.49998842593</v>
      </c>
      <c r="P5116" s="334" t="str">
        <f t="shared" si="4"/>
        <v>中山製鋼:阪和Ｌ１(2級)</v>
      </c>
    </row>
    <row r="5117" ht="15.75" customHeight="1">
      <c r="A5117" s="335" t="s">
        <v>6264</v>
      </c>
      <c r="B5117" s="336">
        <v>46112.0</v>
      </c>
      <c r="C5117" s="335" t="s">
        <v>5</v>
      </c>
      <c r="D5117" s="335" t="s">
        <v>46</v>
      </c>
      <c r="E5117" s="337" t="str">
        <f t="shared" si="1"/>
        <v>中山製鋼:阪和</v>
      </c>
      <c r="F5117" s="338" t="s">
        <v>116</v>
      </c>
      <c r="G5117" s="339" t="str">
        <f t="shared" si="2"/>
        <v>中山製鋼:阪和Ｈ２(特級)</v>
      </c>
      <c r="H5117" s="340">
        <f t="shared" si="3"/>
        <v>49.5</v>
      </c>
      <c r="I5117" s="341">
        <v>6.4</v>
      </c>
      <c r="J5117" s="332">
        <f>IFERROR(__xludf.DUMMYFUNCTION("IF(IF(COUNTIF(P$2:P5116, P5117)=0, """", INDEX(H$2:H5116,
MAX(FILTER(ROW(H$2:H5116) - ROW(H$2) + 1, P$2:P5116 = P5117))))=""単価"","""",
IF(COUNTIF(P$2:P5116, P5117)=0, """", INDEX(H$2:H5116,
MAX(FILTER(ROW(H$2:H5116) - ROW(H$2) + 1, P$2:P5116 = P5117)))))"),43.099999999999994)</f>
        <v>43.1</v>
      </c>
      <c r="N5117" s="335" t="str">
        <f>IF(MAXIFS('単価履歴'!$O:$O,'単価履歴'!$E:$E,E5117,'単価履歴'!$F:$F,F5117)=O5117,"●","")</f>
        <v/>
      </c>
      <c r="O5117" s="346">
        <v>46114.5003587963</v>
      </c>
      <c r="P5117" s="334" t="str">
        <f t="shared" si="4"/>
        <v>中山製鋼:阪和Ｈ２(特級)</v>
      </c>
    </row>
    <row r="5118" ht="15.75" customHeight="1">
      <c r="A5118" s="335" t="s">
        <v>6265</v>
      </c>
      <c r="B5118" s="336">
        <v>46115.0</v>
      </c>
      <c r="C5118" s="335" t="s">
        <v>13</v>
      </c>
      <c r="D5118" s="335" t="s">
        <v>49</v>
      </c>
      <c r="E5118" s="337" t="str">
        <f t="shared" si="1"/>
        <v>ｸﾎﾞﾀ:伊藤忠</v>
      </c>
      <c r="F5118" s="338" t="s">
        <v>130</v>
      </c>
      <c r="G5118" s="339" t="str">
        <f t="shared" si="2"/>
        <v>ｸﾎﾞﾀ:伊藤忠新断Ａ</v>
      </c>
      <c r="H5118" s="340">
        <f t="shared" si="3"/>
        <v>56.2</v>
      </c>
      <c r="I5118" s="341">
        <v>1.0</v>
      </c>
      <c r="J5118" s="332">
        <f>IFERROR(__xludf.DUMMYFUNCTION("IF(IF(COUNTIF(P$2:P5117, P5118)=0, """", INDEX(H$2:H5117,
MAX(FILTER(ROW(H$2:H5117) - ROW(H$2) + 1, P$2:P5117 = P5118))))=""単価"","""",
IF(COUNTIF(P$2:P5117, P5118)=0, """", INDEX(H$2:H5117,
MAX(FILTER(ROW(H$2:H5117) - ROW(H$2) + 1, P$2:P5117 = P5118)))))"),55.2)</f>
        <v>55.2</v>
      </c>
      <c r="N5118" s="335" t="str">
        <f>IF(MAXIFS('単価履歴'!$O:$O,'単価履歴'!$E:$E,E5118,'単価履歴'!$F:$F,F5118)=O5118,"●","")</f>
        <v/>
      </c>
      <c r="O5118" s="346">
        <v>46114.69888888889</v>
      </c>
      <c r="P5118" s="334" t="str">
        <f t="shared" si="4"/>
        <v>ｸﾎﾞﾀ:伊藤忠新断Ａ</v>
      </c>
    </row>
    <row r="5119" ht="15.75" customHeight="1">
      <c r="A5119" s="335" t="s">
        <v>6266</v>
      </c>
      <c r="B5119" s="336">
        <v>46119.0</v>
      </c>
      <c r="C5119" s="335" t="s">
        <v>531</v>
      </c>
      <c r="D5119" s="335" t="s">
        <v>77</v>
      </c>
      <c r="E5119" s="337" t="str">
        <f t="shared" si="1"/>
        <v>東鐵関西:直納</v>
      </c>
      <c r="F5119" s="338" t="s">
        <v>1199</v>
      </c>
      <c r="G5119" s="339" t="str">
        <f t="shared" si="2"/>
        <v>東鐵関西:直納ＨＳ１(単体H1/電特A/HS))</v>
      </c>
      <c r="H5119" s="340">
        <f t="shared" si="3"/>
        <v>53.5</v>
      </c>
      <c r="I5119" s="341">
        <v>1.0</v>
      </c>
      <c r="J5119" s="332">
        <f>IFERROR(__xludf.DUMMYFUNCTION("IF(IF(COUNTIF(P$2:P5118, P5119)=0, """", INDEX(H$2:H5118,
MAX(FILTER(ROW(H$2:H5118) - ROW(H$2) + 1, P$2:P5118 = P5119))))=""単価"","""",
IF(COUNTIF(P$2:P5118, P5119)=0, """", INDEX(H$2:H5118,
MAX(FILTER(ROW(H$2:H5118) - ROW(H$2) + 1, P$2:P5118 = P5119)))))"),52.5)</f>
        <v>52.5</v>
      </c>
      <c r="N5119" s="335" t="str">
        <f>IF(MAXIFS('単価履歴'!$O:$O,'単価履歴'!$E:$E,E5119,'単価履歴'!$F:$F,F5119)=O5119,"●","")</f>
        <v/>
      </c>
      <c r="O5119" s="346">
        <v>46119.27657407407</v>
      </c>
      <c r="P5119" s="334" t="str">
        <f t="shared" si="4"/>
        <v>東鐵関西:直納ＨＳ１(単体H1/電特A/HS))</v>
      </c>
    </row>
    <row r="5120" ht="15.75" customHeight="1">
      <c r="A5120" s="335" t="s">
        <v>6267</v>
      </c>
      <c r="B5120" s="336">
        <v>46119.0</v>
      </c>
      <c r="C5120" s="335" t="s">
        <v>531</v>
      </c>
      <c r="D5120" s="335" t="s">
        <v>77</v>
      </c>
      <c r="E5120" s="337" t="str">
        <f t="shared" si="1"/>
        <v>東鐵関西:直納</v>
      </c>
      <c r="F5120" s="338" t="s">
        <v>111</v>
      </c>
      <c r="G5120" s="339" t="str">
        <f t="shared" si="2"/>
        <v>東鐵関西:直納Ｈ１(特A)</v>
      </c>
      <c r="H5120" s="340">
        <f t="shared" si="3"/>
        <v>53</v>
      </c>
      <c r="I5120" s="341">
        <v>1.0</v>
      </c>
      <c r="J5120" s="332">
        <f>IFERROR(__xludf.DUMMYFUNCTION("IF(IF(COUNTIF(P$2:P5119, P5120)=0, """", INDEX(H$2:H5119,
MAX(FILTER(ROW(H$2:H5119) - ROW(H$2) + 1, P$2:P5119 = P5120))))=""単価"","""",
IF(COUNTIF(P$2:P5119, P5120)=0, """", INDEX(H$2:H5119,
MAX(FILTER(ROW(H$2:H5119) - ROW(H$2) + 1, P$2:P5119 = P5120)))))"),52.0)</f>
        <v>52</v>
      </c>
      <c r="N5120" s="335" t="str">
        <f>IF(MAXIFS('単価履歴'!$O:$O,'単価履歴'!$E:$E,E5120,'単価履歴'!$F:$F,F5120)=O5120,"●","")</f>
        <v/>
      </c>
      <c r="O5120" s="346">
        <v>46119.27657407407</v>
      </c>
      <c r="P5120" s="334" t="str">
        <f t="shared" si="4"/>
        <v>東鐵関西:直納Ｈ１(特A)</v>
      </c>
    </row>
    <row r="5121" ht="15.75" customHeight="1">
      <c r="A5121" s="335" t="s">
        <v>6268</v>
      </c>
      <c r="B5121" s="336">
        <v>46119.0</v>
      </c>
      <c r="C5121" s="335" t="s">
        <v>531</v>
      </c>
      <c r="D5121" s="335" t="s">
        <v>77</v>
      </c>
      <c r="E5121" s="337" t="str">
        <f t="shared" si="1"/>
        <v>東鐵関西:直納</v>
      </c>
      <c r="F5121" s="338" t="s">
        <v>116</v>
      </c>
      <c r="G5121" s="339" t="str">
        <f t="shared" si="2"/>
        <v>東鐵関西:直納Ｈ２(特級)</v>
      </c>
      <c r="H5121" s="340">
        <f t="shared" si="3"/>
        <v>51</v>
      </c>
      <c r="I5121" s="341">
        <v>1.0</v>
      </c>
      <c r="J5121" s="332">
        <f>IFERROR(__xludf.DUMMYFUNCTION("IF(IF(COUNTIF(P$2:P5120, P5121)=0, """", INDEX(H$2:H5120,
MAX(FILTER(ROW(H$2:H5120) - ROW(H$2) + 1, P$2:P5120 = P5121))))=""単価"","""",
IF(COUNTIF(P$2:P5120, P5121)=0, """", INDEX(H$2:H5120,
MAX(FILTER(ROW(H$2:H5120) - ROW(H$2) + 1, P$2:P5120 = P5121)))))"),50.0)</f>
        <v>50</v>
      </c>
      <c r="N5121" s="335" t="str">
        <f>IF(MAXIFS('単価履歴'!$O:$O,'単価履歴'!$E:$E,E5121,'単価履歴'!$F:$F,F5121)=O5121,"●","")</f>
        <v/>
      </c>
      <c r="O5121" s="346">
        <v>46119.27657407407</v>
      </c>
      <c r="P5121" s="334" t="str">
        <f t="shared" si="4"/>
        <v>東鐵関西:直納Ｈ２(特級)</v>
      </c>
    </row>
    <row r="5122" ht="15.75" customHeight="1">
      <c r="A5122" s="335" t="s">
        <v>6269</v>
      </c>
      <c r="B5122" s="336">
        <v>46119.0</v>
      </c>
      <c r="C5122" s="335" t="s">
        <v>531</v>
      </c>
      <c r="D5122" s="335" t="s">
        <v>77</v>
      </c>
      <c r="E5122" s="337" t="str">
        <f t="shared" si="1"/>
        <v>東鐵関西:直納</v>
      </c>
      <c r="F5122" s="338" t="s">
        <v>119</v>
      </c>
      <c r="G5122" s="339" t="str">
        <f t="shared" si="2"/>
        <v>東鐵関西:直納Ｈ３(1級)</v>
      </c>
      <c r="H5122" s="340">
        <f t="shared" si="3"/>
        <v>51</v>
      </c>
      <c r="I5122" s="341">
        <v>1.0</v>
      </c>
      <c r="J5122" s="332">
        <f>IFERROR(__xludf.DUMMYFUNCTION("IF(IF(COUNTIF(P$2:P5121, P5122)=0, """", INDEX(H$2:H5121,
MAX(FILTER(ROW(H$2:H5121) - ROW(H$2) + 1, P$2:P5121 = P5122))))=""単価"","""",
IF(COUNTIF(P$2:P5121, P5122)=0, """", INDEX(H$2:H5121,
MAX(FILTER(ROW(H$2:H5121) - ROW(H$2) + 1, P$2:P5121 = P5122)))))"),50.0)</f>
        <v>50</v>
      </c>
      <c r="N5122" s="335" t="str">
        <f>IF(MAXIFS('単価履歴'!$O:$O,'単価履歴'!$E:$E,E5122,'単価履歴'!$F:$F,F5122)=O5122,"●","")</f>
        <v/>
      </c>
      <c r="O5122" s="346">
        <v>46119.27657407407</v>
      </c>
      <c r="P5122" s="334" t="str">
        <f t="shared" si="4"/>
        <v>東鐵関西:直納Ｈ３(1級)</v>
      </c>
    </row>
    <row r="5123" ht="15.75" customHeight="1">
      <c r="A5123" s="335" t="s">
        <v>6270</v>
      </c>
      <c r="B5123" s="336">
        <v>46119.0</v>
      </c>
      <c r="C5123" s="335" t="s">
        <v>531</v>
      </c>
      <c r="D5123" s="335" t="s">
        <v>77</v>
      </c>
      <c r="E5123" s="337" t="str">
        <f t="shared" si="1"/>
        <v>東鐵関西:直納</v>
      </c>
      <c r="F5123" s="338" t="s">
        <v>122</v>
      </c>
      <c r="G5123" s="339" t="str">
        <f t="shared" si="2"/>
        <v>東鐵関西:直納Ｌ１(2級)</v>
      </c>
      <c r="H5123" s="340">
        <f t="shared" si="3"/>
        <v>50.5</v>
      </c>
      <c r="I5123" s="341">
        <v>1.0</v>
      </c>
      <c r="J5123" s="332">
        <f>IFERROR(__xludf.DUMMYFUNCTION("IF(IF(COUNTIF(P$2:P5122, P5123)=0, """", INDEX(H$2:H5122,
MAX(FILTER(ROW(H$2:H5122) - ROW(H$2) + 1, P$2:P5122 = P5123))))=""単価"","""",
IF(COUNTIF(P$2:P5122, P5123)=0, """", INDEX(H$2:H5122,
MAX(FILTER(ROW(H$2:H5122) - ROW(H$2) + 1, P$2:P5122 = P5123)))))"),49.5)</f>
        <v>49.5</v>
      </c>
      <c r="N5123" s="335" t="str">
        <f>IF(MAXIFS('単価履歴'!$O:$O,'単価履歴'!$E:$E,E5123,'単価履歴'!$F:$F,F5123)=O5123,"●","")</f>
        <v/>
      </c>
      <c r="O5123" s="346">
        <v>46119.27657407407</v>
      </c>
      <c r="P5123" s="334" t="str">
        <f t="shared" si="4"/>
        <v>東鐵関西:直納Ｌ１(2級)</v>
      </c>
    </row>
    <row r="5124" ht="15.75" customHeight="1">
      <c r="A5124" s="335" t="s">
        <v>6271</v>
      </c>
      <c r="B5124" s="336">
        <v>46119.0</v>
      </c>
      <c r="C5124" s="335" t="s">
        <v>531</v>
      </c>
      <c r="D5124" s="335" t="s">
        <v>77</v>
      </c>
      <c r="E5124" s="337" t="str">
        <f t="shared" si="1"/>
        <v>東鐵関西:直納</v>
      </c>
      <c r="F5124" s="338" t="s">
        <v>573</v>
      </c>
      <c r="G5124" s="339" t="str">
        <f t="shared" si="2"/>
        <v>東鐵関西:直納Ｌ２(H4･級外･L1ﾊﾞﾗ)</v>
      </c>
      <c r="H5124" s="340">
        <f t="shared" si="3"/>
        <v>46</v>
      </c>
      <c r="I5124" s="341">
        <v>1.0</v>
      </c>
      <c r="J5124" s="332">
        <f>IFERROR(__xludf.DUMMYFUNCTION("IF(IF(COUNTIF(P$2:P5123, P5124)=0, """", INDEX(H$2:H5123,
MAX(FILTER(ROW(H$2:H5123) - ROW(H$2) + 1, P$2:P5123 = P5124))))=""単価"","""",
IF(COUNTIF(P$2:P5123, P5124)=0, """", INDEX(H$2:H5123,
MAX(FILTER(ROW(H$2:H5123) - ROW(H$2) + 1, P$2:P5123 = P5124)))))"),45.0)</f>
        <v>45</v>
      </c>
      <c r="N5124" s="335" t="str">
        <f>IF(MAXIFS('単価履歴'!$O:$O,'単価履歴'!$E:$E,E5124,'単価履歴'!$F:$F,F5124)=O5124,"●","")</f>
        <v/>
      </c>
      <c r="O5124" s="346">
        <v>46119.27657407407</v>
      </c>
      <c r="P5124" s="334" t="str">
        <f t="shared" si="4"/>
        <v>東鐵関西:直納Ｌ２(H4･級外･L1ﾊﾞﾗ)</v>
      </c>
    </row>
    <row r="5125" ht="15.75" customHeight="1">
      <c r="A5125" s="335" t="s">
        <v>6272</v>
      </c>
      <c r="B5125" s="336">
        <v>46119.0</v>
      </c>
      <c r="C5125" s="335" t="s">
        <v>531</v>
      </c>
      <c r="D5125" s="335" t="s">
        <v>77</v>
      </c>
      <c r="E5125" s="337" t="str">
        <f t="shared" si="1"/>
        <v>東鐵関西:直納</v>
      </c>
      <c r="F5125" s="338" t="s">
        <v>145</v>
      </c>
      <c r="G5125" s="339" t="str">
        <f t="shared" si="2"/>
        <v>東鐵関西:直納シュレＡ</v>
      </c>
      <c r="H5125" s="340">
        <f t="shared" si="3"/>
        <v>52.5</v>
      </c>
      <c r="I5125" s="341">
        <v>1.0</v>
      </c>
      <c r="J5125" s="332">
        <f>IFERROR(__xludf.DUMMYFUNCTION("IF(IF(COUNTIF(P$2:P5124, P5125)=0, """", INDEX(H$2:H5124,
MAX(FILTER(ROW(H$2:H5124) - ROW(H$2) + 1, P$2:P5124 = P5125))))=""単価"","""",
IF(COUNTIF(P$2:P5124, P5125)=0, """", INDEX(H$2:H5124,
MAX(FILTER(ROW(H$2:H5124) - ROW(H$2) + 1, P$2:P5124 = P5125)))))"),51.5)</f>
        <v>51.5</v>
      </c>
      <c r="N5125" s="335" t="str">
        <f>IF(MAXIFS('単価履歴'!$O:$O,'単価履歴'!$E:$E,E5125,'単価履歴'!$F:$F,F5125)=O5125,"●","")</f>
        <v/>
      </c>
      <c r="O5125" s="346">
        <v>46119.27657407407</v>
      </c>
      <c r="P5125" s="334" t="str">
        <f t="shared" si="4"/>
        <v>東鐵関西:直納シュレＡ</v>
      </c>
    </row>
    <row r="5126" ht="15.75" customHeight="1">
      <c r="A5126" s="335" t="s">
        <v>6273</v>
      </c>
      <c r="B5126" s="336">
        <v>46119.0</v>
      </c>
      <c r="C5126" s="335" t="s">
        <v>531</v>
      </c>
      <c r="D5126" s="335" t="s">
        <v>77</v>
      </c>
      <c r="E5126" s="337" t="str">
        <f t="shared" si="1"/>
        <v>東鐵関西:直納</v>
      </c>
      <c r="F5126" s="338" t="s">
        <v>151</v>
      </c>
      <c r="G5126" s="339" t="str">
        <f t="shared" si="2"/>
        <v>東鐵関西:直納シュレＣ</v>
      </c>
      <c r="H5126" s="340">
        <f t="shared" si="3"/>
        <v>51.5</v>
      </c>
      <c r="I5126" s="341">
        <v>1.0</v>
      </c>
      <c r="J5126" s="332">
        <f>IFERROR(__xludf.DUMMYFUNCTION("IF(IF(COUNTIF(P$2:P5125, P5126)=0, """", INDEX(H$2:H5125,
MAX(FILTER(ROW(H$2:H5125) - ROW(H$2) + 1, P$2:P5125 = P5126))))=""単価"","""",
IF(COUNTIF(P$2:P5125, P5126)=0, """", INDEX(H$2:H5125,
MAX(FILTER(ROW(H$2:H5125) - ROW(H$2) + 1, P$2:P5125 = P5126)))))"),50.5)</f>
        <v>50.5</v>
      </c>
      <c r="N5126" s="335" t="str">
        <f>IF(MAXIFS('単価履歴'!$O:$O,'単価履歴'!$E:$E,E5126,'単価履歴'!$F:$F,F5126)=O5126,"●","")</f>
        <v/>
      </c>
      <c r="O5126" s="346">
        <v>46119.27657407407</v>
      </c>
      <c r="P5126" s="334" t="str">
        <f t="shared" si="4"/>
        <v>東鐵関西:直納シュレＣ</v>
      </c>
    </row>
    <row r="5127" ht="15.75" customHeight="1">
      <c r="A5127" s="335" t="s">
        <v>6274</v>
      </c>
      <c r="B5127" s="336">
        <v>46119.0</v>
      </c>
      <c r="C5127" s="335" t="s">
        <v>532</v>
      </c>
      <c r="D5127" s="335" t="s">
        <v>77</v>
      </c>
      <c r="E5127" s="337" t="str">
        <f t="shared" si="1"/>
        <v>東鐵岡山:直納</v>
      </c>
      <c r="F5127" s="338" t="s">
        <v>1199</v>
      </c>
      <c r="G5127" s="339" t="str">
        <f t="shared" si="2"/>
        <v>東鐵岡山:直納ＨＳ１(単体H1/電特A/HS))</v>
      </c>
      <c r="H5127" s="340">
        <f t="shared" si="3"/>
        <v>53</v>
      </c>
      <c r="I5127" s="341">
        <v>1.0</v>
      </c>
      <c r="J5127" s="332">
        <f>IFERROR(__xludf.DUMMYFUNCTION("IF(IF(COUNTIF(P$2:P5126, P5127)=0, """", INDEX(H$2:H5126,
MAX(FILTER(ROW(H$2:H5126) - ROW(H$2) + 1, P$2:P5126 = P5127))))=""単価"","""",
IF(COUNTIF(P$2:P5126, P5127)=0, """", INDEX(H$2:H5126,
MAX(FILTER(ROW(H$2:H5126) - ROW(H$2) + 1, P$2:P5126 = P5127)))))"),52.0)</f>
        <v>52</v>
      </c>
      <c r="N5127" s="335" t="str">
        <f>IF(MAXIFS('単価履歴'!$O:$O,'単価履歴'!$E:$E,E5127,'単価履歴'!$F:$F,F5127)=O5127,"●","")</f>
        <v/>
      </c>
      <c r="O5127" s="346">
        <v>46119.27693287037</v>
      </c>
      <c r="P5127" s="334" t="str">
        <f t="shared" si="4"/>
        <v>東鐵岡山:直納ＨＳ１(単体H1/電特A/HS))</v>
      </c>
    </row>
    <row r="5128" ht="15.75" customHeight="1">
      <c r="A5128" s="335" t="s">
        <v>6275</v>
      </c>
      <c r="B5128" s="336">
        <v>46119.0</v>
      </c>
      <c r="C5128" s="335" t="s">
        <v>532</v>
      </c>
      <c r="D5128" s="335" t="s">
        <v>77</v>
      </c>
      <c r="E5128" s="337" t="str">
        <f t="shared" si="1"/>
        <v>東鐵岡山:直納</v>
      </c>
      <c r="F5128" s="338" t="s">
        <v>111</v>
      </c>
      <c r="G5128" s="339" t="str">
        <f t="shared" si="2"/>
        <v>東鐵岡山:直納Ｈ１(特A)</v>
      </c>
      <c r="H5128" s="340">
        <f t="shared" si="3"/>
        <v>52.5</v>
      </c>
      <c r="I5128" s="341">
        <v>1.0</v>
      </c>
      <c r="J5128" s="332">
        <f>IFERROR(__xludf.DUMMYFUNCTION("IF(IF(COUNTIF(P$2:P5127, P5128)=0, """", INDEX(H$2:H5127,
MAX(FILTER(ROW(H$2:H5127) - ROW(H$2) + 1, P$2:P5127 = P5128))))=""単価"","""",
IF(COUNTIF(P$2:P5127, P5128)=0, """", INDEX(H$2:H5127,
MAX(FILTER(ROW(H$2:H5127) - ROW(H$2) + 1, P$2:P5127 = P5128)))))"),51.5)</f>
        <v>51.5</v>
      </c>
      <c r="N5128" s="335" t="str">
        <f>IF(MAXIFS('単価履歴'!$O:$O,'単価履歴'!$E:$E,E5128,'単価履歴'!$F:$F,F5128)=O5128,"●","")</f>
        <v/>
      </c>
      <c r="O5128" s="346">
        <v>46119.27693287037</v>
      </c>
      <c r="P5128" s="334" t="str">
        <f t="shared" si="4"/>
        <v>東鐵岡山:直納Ｈ１(特A)</v>
      </c>
    </row>
    <row r="5129" ht="15.75" customHeight="1">
      <c r="A5129" s="335" t="s">
        <v>6276</v>
      </c>
      <c r="B5129" s="336">
        <v>46119.0</v>
      </c>
      <c r="C5129" s="335" t="s">
        <v>532</v>
      </c>
      <c r="D5129" s="335" t="s">
        <v>77</v>
      </c>
      <c r="E5129" s="337" t="str">
        <f t="shared" si="1"/>
        <v>東鐵岡山:直納</v>
      </c>
      <c r="F5129" s="338" t="s">
        <v>116</v>
      </c>
      <c r="G5129" s="339" t="str">
        <f t="shared" si="2"/>
        <v>東鐵岡山:直納Ｈ２(特級)</v>
      </c>
      <c r="H5129" s="340">
        <f t="shared" si="3"/>
        <v>51</v>
      </c>
      <c r="I5129" s="341">
        <v>1.0</v>
      </c>
      <c r="J5129" s="332">
        <f>IFERROR(__xludf.DUMMYFUNCTION("IF(IF(COUNTIF(P$2:P5128, P5129)=0, """", INDEX(H$2:H5128,
MAX(FILTER(ROW(H$2:H5128) - ROW(H$2) + 1, P$2:P5128 = P5129))))=""単価"","""",
IF(COUNTIF(P$2:P5128, P5129)=0, """", INDEX(H$2:H5128,
MAX(FILTER(ROW(H$2:H5128) - ROW(H$2) + 1, P$2:P5128 = P5129)))))"),50.0)</f>
        <v>50</v>
      </c>
      <c r="N5129" s="335" t="str">
        <f>IF(MAXIFS('単価履歴'!$O:$O,'単価履歴'!$E:$E,E5129,'単価履歴'!$F:$F,F5129)=O5129,"●","")</f>
        <v/>
      </c>
      <c r="O5129" s="346">
        <v>46119.27693287037</v>
      </c>
      <c r="P5129" s="334" t="str">
        <f t="shared" si="4"/>
        <v>東鐵岡山:直納Ｈ２(特級)</v>
      </c>
    </row>
    <row r="5130" ht="15.75" customHeight="1">
      <c r="A5130" s="335" t="s">
        <v>6277</v>
      </c>
      <c r="B5130" s="336">
        <v>46119.0</v>
      </c>
      <c r="C5130" s="335" t="s">
        <v>532</v>
      </c>
      <c r="D5130" s="335" t="s">
        <v>77</v>
      </c>
      <c r="E5130" s="337" t="str">
        <f t="shared" si="1"/>
        <v>東鐵岡山:直納</v>
      </c>
      <c r="F5130" s="338" t="s">
        <v>119</v>
      </c>
      <c r="G5130" s="339" t="str">
        <f t="shared" si="2"/>
        <v>東鐵岡山:直納Ｈ３(1級)</v>
      </c>
      <c r="H5130" s="340">
        <f t="shared" si="3"/>
        <v>51</v>
      </c>
      <c r="I5130" s="341">
        <v>1.0</v>
      </c>
      <c r="J5130" s="332">
        <f>IFERROR(__xludf.DUMMYFUNCTION("IF(IF(COUNTIF(P$2:P5129, P5130)=0, """", INDEX(H$2:H5129,
MAX(FILTER(ROW(H$2:H5129) - ROW(H$2) + 1, P$2:P5129 = P5130))))=""単価"","""",
IF(COUNTIF(P$2:P5129, P5130)=0, """", INDEX(H$2:H5129,
MAX(FILTER(ROW(H$2:H5129) - ROW(H$2) + 1, P$2:P5129 = P5130)))))"),50.0)</f>
        <v>50</v>
      </c>
      <c r="N5130" s="335" t="str">
        <f>IF(MAXIFS('単価履歴'!$O:$O,'単価履歴'!$E:$E,E5130,'単価履歴'!$F:$F,F5130)=O5130,"●","")</f>
        <v/>
      </c>
      <c r="O5130" s="346">
        <v>46119.27693287037</v>
      </c>
      <c r="P5130" s="334" t="str">
        <f t="shared" si="4"/>
        <v>東鐵岡山:直納Ｈ３(1級)</v>
      </c>
    </row>
    <row r="5131" ht="15.75" customHeight="1">
      <c r="A5131" s="335" t="s">
        <v>6278</v>
      </c>
      <c r="B5131" s="336">
        <v>46119.0</v>
      </c>
      <c r="C5131" s="335" t="s">
        <v>532</v>
      </c>
      <c r="D5131" s="335" t="s">
        <v>77</v>
      </c>
      <c r="E5131" s="337" t="str">
        <f t="shared" si="1"/>
        <v>東鐵岡山:直納</v>
      </c>
      <c r="F5131" s="338" t="s">
        <v>122</v>
      </c>
      <c r="G5131" s="339" t="str">
        <f t="shared" si="2"/>
        <v>東鐵岡山:直納Ｌ１(2級)</v>
      </c>
      <c r="H5131" s="340">
        <f t="shared" si="3"/>
        <v>50.5</v>
      </c>
      <c r="I5131" s="341">
        <v>1.0</v>
      </c>
      <c r="J5131" s="332">
        <f>IFERROR(__xludf.DUMMYFUNCTION("IF(IF(COUNTIF(P$2:P5130, P5131)=0, """", INDEX(H$2:H5130,
MAX(FILTER(ROW(H$2:H5130) - ROW(H$2) + 1, P$2:P5130 = P5131))))=""単価"","""",
IF(COUNTIF(P$2:P5130, P5131)=0, """", INDEX(H$2:H5130,
MAX(FILTER(ROW(H$2:H5130) - ROW(H$2) + 1, P$2:P5130 = P5131)))))"),49.5)</f>
        <v>49.5</v>
      </c>
      <c r="N5131" s="335" t="str">
        <f>IF(MAXIFS('単価履歴'!$O:$O,'単価履歴'!$E:$E,E5131,'単価履歴'!$F:$F,F5131)=O5131,"●","")</f>
        <v/>
      </c>
      <c r="O5131" s="346">
        <v>46119.27693287037</v>
      </c>
      <c r="P5131" s="334" t="str">
        <f t="shared" si="4"/>
        <v>東鐵岡山:直納Ｌ１(2級)</v>
      </c>
    </row>
    <row r="5132" ht="15.75" customHeight="1">
      <c r="A5132" s="335" t="s">
        <v>6279</v>
      </c>
      <c r="B5132" s="336">
        <v>46119.0</v>
      </c>
      <c r="C5132" s="335" t="s">
        <v>532</v>
      </c>
      <c r="D5132" s="335" t="s">
        <v>77</v>
      </c>
      <c r="E5132" s="337" t="str">
        <f t="shared" si="1"/>
        <v>東鐵岡山:直納</v>
      </c>
      <c r="F5132" s="338" t="s">
        <v>573</v>
      </c>
      <c r="G5132" s="339" t="str">
        <f t="shared" si="2"/>
        <v>東鐵岡山:直納Ｌ２(H4･級外･L1ﾊﾞﾗ)</v>
      </c>
      <c r="H5132" s="340">
        <f t="shared" si="3"/>
        <v>46</v>
      </c>
      <c r="I5132" s="341">
        <v>1.0</v>
      </c>
      <c r="J5132" s="332">
        <f>IFERROR(__xludf.DUMMYFUNCTION("IF(IF(COUNTIF(P$2:P5131, P5132)=0, """", INDEX(H$2:H5131,
MAX(FILTER(ROW(H$2:H5131) - ROW(H$2) + 1, P$2:P5131 = P5132))))=""単価"","""",
IF(COUNTIF(P$2:P5131, P5132)=0, """", INDEX(H$2:H5131,
MAX(FILTER(ROW(H$2:H5131) - ROW(H$2) + 1, P$2:P5131 = P5132)))))"),45.0)</f>
        <v>45</v>
      </c>
      <c r="N5132" s="335" t="str">
        <f>IF(MAXIFS('単価履歴'!$O:$O,'単価履歴'!$E:$E,E5132,'単価履歴'!$F:$F,F5132)=O5132,"●","")</f>
        <v/>
      </c>
      <c r="O5132" s="346">
        <v>46119.27693287037</v>
      </c>
      <c r="P5132" s="334" t="str">
        <f t="shared" si="4"/>
        <v>東鐵岡山:直納Ｌ２(H4･級外･L1ﾊﾞﾗ)</v>
      </c>
    </row>
    <row r="5133" ht="15.75" customHeight="1">
      <c r="A5133" s="335" t="s">
        <v>6280</v>
      </c>
      <c r="B5133" s="336">
        <v>46119.0</v>
      </c>
      <c r="C5133" s="335" t="s">
        <v>532</v>
      </c>
      <c r="D5133" s="335" t="s">
        <v>77</v>
      </c>
      <c r="E5133" s="337" t="str">
        <f t="shared" si="1"/>
        <v>東鐵岡山:直納</v>
      </c>
      <c r="F5133" s="338" t="s">
        <v>145</v>
      </c>
      <c r="G5133" s="339" t="str">
        <f t="shared" si="2"/>
        <v>東鐵岡山:直納シュレＡ</v>
      </c>
      <c r="H5133" s="340">
        <f t="shared" si="3"/>
        <v>51.5</v>
      </c>
      <c r="I5133" s="341">
        <v>1.0</v>
      </c>
      <c r="J5133" s="332">
        <f>IFERROR(__xludf.DUMMYFUNCTION("IF(IF(COUNTIF(P$2:P5132, P5133)=0, """", INDEX(H$2:H5132,
MAX(FILTER(ROW(H$2:H5132) - ROW(H$2) + 1, P$2:P5132 = P5133))))=""単価"","""",
IF(COUNTIF(P$2:P5132, P5133)=0, """", INDEX(H$2:H5132,
MAX(FILTER(ROW(H$2:H5132) - ROW(H$2) + 1, P$2:P5132 = P5133)))))"),50.5)</f>
        <v>50.5</v>
      </c>
      <c r="N5133" s="335" t="str">
        <f>IF(MAXIFS('単価履歴'!$O:$O,'単価履歴'!$E:$E,E5133,'単価履歴'!$F:$F,F5133)=O5133,"●","")</f>
        <v/>
      </c>
      <c r="O5133" s="346">
        <v>46119.27693287037</v>
      </c>
      <c r="P5133" s="334" t="str">
        <f t="shared" si="4"/>
        <v>東鐵岡山:直納シュレＡ</v>
      </c>
    </row>
    <row r="5134" ht="15.75" customHeight="1">
      <c r="A5134" s="335" t="s">
        <v>6281</v>
      </c>
      <c r="B5134" s="336">
        <v>46119.0</v>
      </c>
      <c r="C5134" s="335" t="s">
        <v>532</v>
      </c>
      <c r="D5134" s="335" t="s">
        <v>77</v>
      </c>
      <c r="E5134" s="337" t="str">
        <f t="shared" si="1"/>
        <v>東鐵岡山:直納</v>
      </c>
      <c r="F5134" s="338" t="s">
        <v>151</v>
      </c>
      <c r="G5134" s="339" t="str">
        <f t="shared" si="2"/>
        <v>東鐵岡山:直納シュレＣ</v>
      </c>
      <c r="H5134" s="340">
        <f t="shared" si="3"/>
        <v>51</v>
      </c>
      <c r="I5134" s="341">
        <v>1.0</v>
      </c>
      <c r="J5134" s="332">
        <f>IFERROR(__xludf.DUMMYFUNCTION("IF(IF(COUNTIF(P$2:P5133, P5134)=0, """", INDEX(H$2:H5133,
MAX(FILTER(ROW(H$2:H5133) - ROW(H$2) + 1, P$2:P5133 = P5134))))=""単価"","""",
IF(COUNTIF(P$2:P5133, P5134)=0, """", INDEX(H$2:H5133,
MAX(FILTER(ROW(H$2:H5133) - ROW(H$2) + 1, P$2:P5133 = P5134)))))"),50.0)</f>
        <v>50</v>
      </c>
      <c r="N5134" s="335" t="str">
        <f>IF(MAXIFS('単価履歴'!$O:$O,'単価履歴'!$E:$E,E5134,'単価履歴'!$F:$F,F5134)=O5134,"●","")</f>
        <v/>
      </c>
      <c r="O5134" s="346">
        <v>46119.27693287037</v>
      </c>
      <c r="P5134" s="334" t="str">
        <f t="shared" si="4"/>
        <v>東鐵岡山:直納シュレＣ</v>
      </c>
    </row>
    <row r="5135" ht="15.75" customHeight="1">
      <c r="A5135" s="335" t="s">
        <v>6282</v>
      </c>
      <c r="B5135" s="336">
        <v>46119.0</v>
      </c>
      <c r="C5135" s="335" t="s">
        <v>532</v>
      </c>
      <c r="D5135" s="335" t="s">
        <v>77</v>
      </c>
      <c r="E5135" s="337" t="str">
        <f t="shared" si="1"/>
        <v>東鐵岡山:直納</v>
      </c>
      <c r="F5135" s="338" t="s">
        <v>130</v>
      </c>
      <c r="G5135" s="339" t="str">
        <f t="shared" si="2"/>
        <v>東鐵岡山:直納新断Ａ</v>
      </c>
      <c r="H5135" s="340">
        <f t="shared" si="3"/>
        <v>52</v>
      </c>
      <c r="I5135" s="341">
        <v>1.0</v>
      </c>
      <c r="J5135" s="332">
        <f>IFERROR(__xludf.DUMMYFUNCTION("IF(IF(COUNTIF(P$2:P5134, P5135)=0, """", INDEX(H$2:H5134,
MAX(FILTER(ROW(H$2:H5134) - ROW(H$2) + 1, P$2:P5134 = P5135))))=""単価"","""",
IF(COUNTIF(P$2:P5134, P5135)=0, """", INDEX(H$2:H5134,
MAX(FILTER(ROW(H$2:H5134) - ROW(H$2) + 1, P$2:P5134 = P5135)))))"),51.0)</f>
        <v>51</v>
      </c>
      <c r="N5135" s="335" t="str">
        <f>IF(MAXIFS('単価履歴'!$O:$O,'単価履歴'!$E:$E,E5135,'単価履歴'!$F:$F,F5135)=O5135,"●","")</f>
        <v/>
      </c>
      <c r="O5135" s="346">
        <v>46119.27693287037</v>
      </c>
      <c r="P5135" s="334" t="str">
        <f t="shared" si="4"/>
        <v>東鐵岡山:直納新断Ａ</v>
      </c>
    </row>
    <row r="5136" ht="15.75" customHeight="1">
      <c r="A5136" s="335" t="s">
        <v>6283</v>
      </c>
      <c r="B5136" s="336">
        <v>46119.0</v>
      </c>
      <c r="C5136" s="335" t="s">
        <v>532</v>
      </c>
      <c r="D5136" s="335" t="s">
        <v>77</v>
      </c>
      <c r="E5136" s="337" t="str">
        <f t="shared" si="1"/>
        <v>東鐵岡山:直納</v>
      </c>
      <c r="F5136" s="338" t="s">
        <v>131</v>
      </c>
      <c r="G5136" s="339" t="str">
        <f t="shared" si="2"/>
        <v>東鐵岡山:直納新断Ｂ</v>
      </c>
      <c r="H5136" s="340">
        <f t="shared" si="3"/>
        <v>52</v>
      </c>
      <c r="I5136" s="341">
        <v>1.0</v>
      </c>
      <c r="J5136" s="332">
        <f>IFERROR(__xludf.DUMMYFUNCTION("IF(IF(COUNTIF(P$2:P5135, P5136)=0, """", INDEX(H$2:H5135,
MAX(FILTER(ROW(H$2:H5135) - ROW(H$2) + 1, P$2:P5135 = P5136))))=""単価"","""",
IF(COUNTIF(P$2:P5135, P5136)=0, """", INDEX(H$2:H5135,
MAX(FILTER(ROW(H$2:H5135) - ROW(H$2) + 1, P$2:P5135 = P5136)))))"),51.0)</f>
        <v>51</v>
      </c>
      <c r="N5136" s="335" t="str">
        <f>IF(MAXIFS('単価履歴'!$O:$O,'単価履歴'!$E:$E,E5136,'単価履歴'!$F:$F,F5136)=O5136,"●","")</f>
        <v/>
      </c>
      <c r="O5136" s="346">
        <v>46119.27693287037</v>
      </c>
      <c r="P5136" s="334" t="str">
        <f t="shared" si="4"/>
        <v>東鐵岡山:直納新断Ｂ</v>
      </c>
    </row>
    <row r="5137" ht="15.75" customHeight="1">
      <c r="A5137" s="335" t="s">
        <v>6284</v>
      </c>
      <c r="B5137" s="336">
        <v>46119.0</v>
      </c>
      <c r="C5137" s="335" t="s">
        <v>532</v>
      </c>
      <c r="D5137" s="335" t="s">
        <v>77</v>
      </c>
      <c r="E5137" s="337" t="str">
        <f t="shared" si="1"/>
        <v>東鐵岡山:直納</v>
      </c>
      <c r="F5137" s="338" t="s">
        <v>575</v>
      </c>
      <c r="G5137" s="339" t="str">
        <f t="shared" si="2"/>
        <v>東鐵岡山:直納鋼ダライＡ</v>
      </c>
      <c r="H5137" s="340">
        <f t="shared" si="3"/>
        <v>46.5</v>
      </c>
      <c r="I5137" s="341">
        <v>1.0</v>
      </c>
      <c r="J5137" s="332">
        <f>IFERROR(__xludf.DUMMYFUNCTION("IF(IF(COUNTIF(P$2:P5136, P5137)=0, """", INDEX(H$2:H5136,
MAX(FILTER(ROW(H$2:H5136) - ROW(H$2) + 1, P$2:P5136 = P5137))))=""単価"","""",
IF(COUNTIF(P$2:P5136, P5137)=0, """", INDEX(H$2:H5136,
MAX(FILTER(ROW(H$2:H5136) - ROW(H$2) + 1, P$2:P5136 = P5137)))))"),45.5)</f>
        <v>45.5</v>
      </c>
      <c r="N5137" s="335" t="str">
        <f>IF(MAXIFS('単価履歴'!$O:$O,'単価履歴'!$E:$E,E5137,'単価履歴'!$F:$F,F5137)=O5137,"●","")</f>
        <v/>
      </c>
      <c r="O5137" s="346">
        <v>46119.27693287037</v>
      </c>
      <c r="P5137" s="334" t="str">
        <f t="shared" si="4"/>
        <v>東鐵岡山:直納鋼ダライＡ</v>
      </c>
    </row>
    <row r="5138" ht="15.75" customHeight="1">
      <c r="A5138" s="335" t="s">
        <v>6285</v>
      </c>
      <c r="B5138" s="336">
        <v>46119.0</v>
      </c>
      <c r="C5138" s="335" t="s">
        <v>532</v>
      </c>
      <c r="D5138" s="335" t="s">
        <v>77</v>
      </c>
      <c r="E5138" s="337" t="str">
        <f t="shared" si="1"/>
        <v>東鐵岡山:直納</v>
      </c>
      <c r="F5138" s="338" t="s">
        <v>25</v>
      </c>
      <c r="G5138" s="339" t="str">
        <f t="shared" si="2"/>
        <v>東鐵岡山:直納銑ダライ</v>
      </c>
      <c r="H5138" s="340">
        <f t="shared" si="3"/>
        <v>43</v>
      </c>
      <c r="I5138" s="341">
        <v>1.0</v>
      </c>
      <c r="J5138" s="332">
        <f>IFERROR(__xludf.DUMMYFUNCTION("IF(IF(COUNTIF(P$2:P5137, P5138)=0, """", INDEX(H$2:H5137,
MAX(FILTER(ROW(H$2:H5137) - ROW(H$2) + 1, P$2:P5137 = P5138))))=""単価"","""",
IF(COUNTIF(P$2:P5137, P5138)=0, """", INDEX(H$2:H5137,
MAX(FILTER(ROW(H$2:H5137) - ROW(H$2) + 1, P$2:P5137 = P5138)))))"),42.0)</f>
        <v>42</v>
      </c>
      <c r="N5138" s="335" t="str">
        <f>IF(MAXIFS('単価履歴'!$O:$O,'単価履歴'!$E:$E,E5138,'単価履歴'!$F:$F,F5138)=O5138,"●","")</f>
        <v/>
      </c>
      <c r="O5138" s="346">
        <v>46119.27693287037</v>
      </c>
      <c r="P5138" s="334" t="str">
        <f t="shared" si="4"/>
        <v>東鐵岡山:直納銑ダライ</v>
      </c>
    </row>
    <row r="5139" ht="15.75" customHeight="1">
      <c r="A5139" s="335" t="s">
        <v>6286</v>
      </c>
      <c r="B5139" s="336">
        <v>46119.0</v>
      </c>
      <c r="C5139" s="335" t="s">
        <v>532</v>
      </c>
      <c r="D5139" s="335" t="s">
        <v>77</v>
      </c>
      <c r="E5139" s="337" t="str">
        <f t="shared" si="1"/>
        <v>東鐵岡山:直納</v>
      </c>
      <c r="F5139" s="338" t="s">
        <v>154</v>
      </c>
      <c r="G5139" s="339" t="str">
        <f t="shared" si="2"/>
        <v>東鐵岡山:直納ＣＰ Ａ</v>
      </c>
      <c r="H5139" s="340">
        <f t="shared" si="3"/>
        <v>49.5</v>
      </c>
      <c r="I5139" s="341">
        <v>1.0</v>
      </c>
      <c r="J5139" s="332">
        <f>IFERROR(__xludf.DUMMYFUNCTION("IF(IF(COUNTIF(P$2:P5138, P5139)=0, """", INDEX(H$2:H5138,
MAX(FILTER(ROW(H$2:H5138) - ROW(H$2) + 1, P$2:P5138 = P5139))))=""単価"","""",
IF(COUNTIF(P$2:P5138, P5139)=0, """", INDEX(H$2:H5138,
MAX(FILTER(ROW(H$2:H5138) - ROW(H$2) + 1, P$2:P5138 = P5139)))))"),48.5)</f>
        <v>48.5</v>
      </c>
      <c r="N5139" s="335" t="str">
        <f>IF(MAXIFS('単価履歴'!$O:$O,'単価履歴'!$E:$E,E5139,'単価履歴'!$F:$F,F5139)=O5139,"●","")</f>
        <v/>
      </c>
      <c r="O5139" s="346">
        <v>46119.27693287037</v>
      </c>
      <c r="P5139" s="334" t="str">
        <f t="shared" si="4"/>
        <v>東鐵岡山:直納ＣＰ Ａ</v>
      </c>
    </row>
    <row r="5140" ht="15.75" customHeight="1">
      <c r="A5140" s="335" t="s">
        <v>6287</v>
      </c>
      <c r="B5140" s="336">
        <v>46119.0</v>
      </c>
      <c r="C5140" s="335" t="s">
        <v>535</v>
      </c>
      <c r="D5140" s="335" t="s">
        <v>77</v>
      </c>
      <c r="E5140" s="337" t="str">
        <f t="shared" si="1"/>
        <v>東鐵名古屋:直納</v>
      </c>
      <c r="F5140" s="338" t="s">
        <v>1199</v>
      </c>
      <c r="G5140" s="339" t="str">
        <f t="shared" si="2"/>
        <v>東鐵名古屋:直納ＨＳ１(単体H1/電特A/HS))</v>
      </c>
      <c r="H5140" s="340">
        <f t="shared" si="3"/>
        <v>53.5</v>
      </c>
      <c r="I5140" s="341">
        <v>1.0</v>
      </c>
      <c r="J5140" s="332">
        <f>IFERROR(__xludf.DUMMYFUNCTION("IF(IF(COUNTIF(P$2:P5139, P5140)=0, """", INDEX(H$2:H5139,
MAX(FILTER(ROW(H$2:H5139) - ROW(H$2) + 1, P$2:P5139 = P5140))))=""単価"","""",
IF(COUNTIF(P$2:P5139, P5140)=0, """", INDEX(H$2:H5139,
MAX(FILTER(ROW(H$2:H5139) - ROW(H$2) + 1, P$2:P5139 = P5140)))))"),52.5)</f>
        <v>52.5</v>
      </c>
      <c r="N5140" s="335" t="str">
        <f>IF(MAXIFS('単価履歴'!$O:$O,'単価履歴'!$E:$E,E5140,'単価履歴'!$F:$F,F5140)=O5140,"●","")</f>
        <v/>
      </c>
      <c r="O5140" s="346">
        <v>46119.27715277778</v>
      </c>
      <c r="P5140" s="334" t="str">
        <f t="shared" si="4"/>
        <v>東鐵名古屋:直納ＨＳ１(単体H1/電特A/HS))</v>
      </c>
    </row>
    <row r="5141" ht="15.75" customHeight="1">
      <c r="A5141" s="335" t="s">
        <v>6288</v>
      </c>
      <c r="B5141" s="336">
        <v>46119.0</v>
      </c>
      <c r="C5141" s="335" t="s">
        <v>535</v>
      </c>
      <c r="D5141" s="335" t="s">
        <v>77</v>
      </c>
      <c r="E5141" s="337" t="str">
        <f t="shared" si="1"/>
        <v>東鐵名古屋:直納</v>
      </c>
      <c r="F5141" s="338" t="s">
        <v>111</v>
      </c>
      <c r="G5141" s="339" t="str">
        <f t="shared" si="2"/>
        <v>東鐵名古屋:直納Ｈ１(特A)</v>
      </c>
      <c r="H5141" s="340">
        <f t="shared" si="3"/>
        <v>53</v>
      </c>
      <c r="I5141" s="341">
        <v>1.0</v>
      </c>
      <c r="J5141" s="332">
        <f>IFERROR(__xludf.DUMMYFUNCTION("IF(IF(COUNTIF(P$2:P5140, P5141)=0, """", INDEX(H$2:H5140,
MAX(FILTER(ROW(H$2:H5140) - ROW(H$2) + 1, P$2:P5140 = P5141))))=""単価"","""",
IF(COUNTIF(P$2:P5140, P5141)=0, """", INDEX(H$2:H5140,
MAX(FILTER(ROW(H$2:H5140) - ROW(H$2) + 1, P$2:P5140 = P5141)))))"),52.0)</f>
        <v>52</v>
      </c>
      <c r="N5141" s="335" t="str">
        <f>IF(MAXIFS('単価履歴'!$O:$O,'単価履歴'!$E:$E,E5141,'単価履歴'!$F:$F,F5141)=O5141,"●","")</f>
        <v/>
      </c>
      <c r="O5141" s="346">
        <v>46119.27715277778</v>
      </c>
      <c r="P5141" s="334" t="str">
        <f t="shared" si="4"/>
        <v>東鐵名古屋:直納Ｈ１(特A)</v>
      </c>
    </row>
    <row r="5142" ht="15.75" customHeight="1">
      <c r="A5142" s="335" t="s">
        <v>6289</v>
      </c>
      <c r="B5142" s="336">
        <v>46119.0</v>
      </c>
      <c r="C5142" s="335" t="s">
        <v>535</v>
      </c>
      <c r="D5142" s="335" t="s">
        <v>77</v>
      </c>
      <c r="E5142" s="337" t="str">
        <f t="shared" si="1"/>
        <v>東鐵名古屋:直納</v>
      </c>
      <c r="F5142" s="338" t="s">
        <v>116</v>
      </c>
      <c r="G5142" s="339" t="str">
        <f t="shared" si="2"/>
        <v>東鐵名古屋:直納Ｈ２(特級)</v>
      </c>
      <c r="H5142" s="340">
        <f t="shared" si="3"/>
        <v>51</v>
      </c>
      <c r="I5142" s="341">
        <v>1.0</v>
      </c>
      <c r="J5142" s="332">
        <f>IFERROR(__xludf.DUMMYFUNCTION("IF(IF(COUNTIF(P$2:P5141, P5142)=0, """", INDEX(H$2:H5141,
MAX(FILTER(ROW(H$2:H5141) - ROW(H$2) + 1, P$2:P5141 = P5142))))=""単価"","""",
IF(COUNTIF(P$2:P5141, P5142)=0, """", INDEX(H$2:H5141,
MAX(FILTER(ROW(H$2:H5141) - ROW(H$2) + 1, P$2:P5141 = P5142)))))"),50.0)</f>
        <v>50</v>
      </c>
      <c r="N5142" s="335" t="str">
        <f>IF(MAXIFS('単価履歴'!$O:$O,'単価履歴'!$E:$E,E5142,'単価履歴'!$F:$F,F5142)=O5142,"●","")</f>
        <v/>
      </c>
      <c r="O5142" s="346">
        <v>46119.27715277778</v>
      </c>
      <c r="P5142" s="334" t="str">
        <f t="shared" si="4"/>
        <v>東鐵名古屋:直納Ｈ２(特級)</v>
      </c>
    </row>
    <row r="5143" ht="15.75" customHeight="1">
      <c r="A5143" s="335" t="s">
        <v>6290</v>
      </c>
      <c r="B5143" s="336">
        <v>46119.0</v>
      </c>
      <c r="C5143" s="335" t="s">
        <v>535</v>
      </c>
      <c r="D5143" s="335" t="s">
        <v>77</v>
      </c>
      <c r="E5143" s="337" t="str">
        <f t="shared" si="1"/>
        <v>東鐵名古屋:直納</v>
      </c>
      <c r="F5143" s="338" t="s">
        <v>119</v>
      </c>
      <c r="G5143" s="339" t="str">
        <f t="shared" si="2"/>
        <v>東鐵名古屋:直納Ｈ３(1級)</v>
      </c>
      <c r="H5143" s="340">
        <f t="shared" si="3"/>
        <v>51</v>
      </c>
      <c r="I5143" s="341">
        <v>1.0</v>
      </c>
      <c r="J5143" s="332">
        <f>IFERROR(__xludf.DUMMYFUNCTION("IF(IF(COUNTIF(P$2:P5142, P5143)=0, """", INDEX(H$2:H5142,
MAX(FILTER(ROW(H$2:H5142) - ROW(H$2) + 1, P$2:P5142 = P5143))))=""単価"","""",
IF(COUNTIF(P$2:P5142, P5143)=0, """", INDEX(H$2:H5142,
MAX(FILTER(ROW(H$2:H5142) - ROW(H$2) + 1, P$2:P5142 = P5143)))))"),50.0)</f>
        <v>50</v>
      </c>
      <c r="N5143" s="335" t="str">
        <f>IF(MAXIFS('単価履歴'!$O:$O,'単価履歴'!$E:$E,E5143,'単価履歴'!$F:$F,F5143)=O5143,"●","")</f>
        <v/>
      </c>
      <c r="O5143" s="346">
        <v>46119.27715277778</v>
      </c>
      <c r="P5143" s="334" t="str">
        <f t="shared" si="4"/>
        <v>東鐵名古屋:直納Ｈ３(1級)</v>
      </c>
    </row>
    <row r="5144" ht="15.75" customHeight="1">
      <c r="A5144" s="335" t="s">
        <v>6291</v>
      </c>
      <c r="B5144" s="336">
        <v>46119.0</v>
      </c>
      <c r="C5144" s="335" t="s">
        <v>535</v>
      </c>
      <c r="D5144" s="335" t="s">
        <v>77</v>
      </c>
      <c r="E5144" s="337" t="str">
        <f t="shared" si="1"/>
        <v>東鐵名古屋:直納</v>
      </c>
      <c r="F5144" s="338" t="s">
        <v>122</v>
      </c>
      <c r="G5144" s="339" t="str">
        <f t="shared" si="2"/>
        <v>東鐵名古屋:直納Ｌ１(2級)</v>
      </c>
      <c r="H5144" s="340">
        <f t="shared" si="3"/>
        <v>50.5</v>
      </c>
      <c r="I5144" s="341">
        <v>1.0</v>
      </c>
      <c r="J5144" s="332">
        <f>IFERROR(__xludf.DUMMYFUNCTION("IF(IF(COUNTIF(P$2:P5143, P5144)=0, """", INDEX(H$2:H5143,
MAX(FILTER(ROW(H$2:H5143) - ROW(H$2) + 1, P$2:P5143 = P5144))))=""単価"","""",
IF(COUNTIF(P$2:P5143, P5144)=0, """", INDEX(H$2:H5143,
MAX(FILTER(ROW(H$2:H5143) - ROW(H$2) + 1, P$2:P5143 = P5144)))))"),49.5)</f>
        <v>49.5</v>
      </c>
      <c r="N5144" s="335" t="str">
        <f>IF(MAXIFS('単価履歴'!$O:$O,'単価履歴'!$E:$E,E5144,'単価履歴'!$F:$F,F5144)=O5144,"●","")</f>
        <v/>
      </c>
      <c r="O5144" s="346">
        <v>46119.27715277778</v>
      </c>
      <c r="P5144" s="334" t="str">
        <f t="shared" si="4"/>
        <v>東鐵名古屋:直納Ｌ１(2級)</v>
      </c>
    </row>
    <row r="5145" ht="15.75" customHeight="1">
      <c r="A5145" s="335" t="s">
        <v>6292</v>
      </c>
      <c r="B5145" s="336">
        <v>46119.0</v>
      </c>
      <c r="C5145" s="335" t="s">
        <v>535</v>
      </c>
      <c r="D5145" s="335" t="s">
        <v>77</v>
      </c>
      <c r="E5145" s="337" t="str">
        <f t="shared" si="1"/>
        <v>東鐵名古屋:直納</v>
      </c>
      <c r="F5145" s="338" t="s">
        <v>573</v>
      </c>
      <c r="G5145" s="339" t="str">
        <f t="shared" si="2"/>
        <v>東鐵名古屋:直納Ｌ２(H4･級外･L1ﾊﾞﾗ)</v>
      </c>
      <c r="H5145" s="340">
        <f t="shared" si="3"/>
        <v>46</v>
      </c>
      <c r="I5145" s="341">
        <v>1.0</v>
      </c>
      <c r="J5145" s="332">
        <f>IFERROR(__xludf.DUMMYFUNCTION("IF(IF(COUNTIF(P$2:P5144, P5145)=0, """", INDEX(H$2:H5144,
MAX(FILTER(ROW(H$2:H5144) - ROW(H$2) + 1, P$2:P5144 = P5145))))=""単価"","""",
IF(COUNTIF(P$2:P5144, P5145)=0, """", INDEX(H$2:H5144,
MAX(FILTER(ROW(H$2:H5144) - ROW(H$2) + 1, P$2:P5144 = P5145)))))"),45.0)</f>
        <v>45</v>
      </c>
      <c r="N5145" s="335" t="str">
        <f>IF(MAXIFS('単価履歴'!$O:$O,'単価履歴'!$E:$E,E5145,'単価履歴'!$F:$F,F5145)=O5145,"●","")</f>
        <v/>
      </c>
      <c r="O5145" s="346">
        <v>46119.27715277778</v>
      </c>
      <c r="P5145" s="334" t="str">
        <f t="shared" si="4"/>
        <v>東鐵名古屋:直納Ｌ２(H4･級外･L1ﾊﾞﾗ)</v>
      </c>
    </row>
    <row r="5146" ht="15.75" customHeight="1">
      <c r="A5146" s="335" t="s">
        <v>6293</v>
      </c>
      <c r="B5146" s="336">
        <v>46119.0</v>
      </c>
      <c r="C5146" s="335" t="s">
        <v>535</v>
      </c>
      <c r="D5146" s="335" t="s">
        <v>77</v>
      </c>
      <c r="E5146" s="337" t="str">
        <f t="shared" si="1"/>
        <v>東鐵名古屋:直納</v>
      </c>
      <c r="F5146" s="338" t="s">
        <v>145</v>
      </c>
      <c r="G5146" s="339" t="str">
        <f t="shared" si="2"/>
        <v>東鐵名古屋:直納シュレＡ</v>
      </c>
      <c r="H5146" s="340">
        <f t="shared" si="3"/>
        <v>52</v>
      </c>
      <c r="I5146" s="341">
        <v>1.0</v>
      </c>
      <c r="J5146" s="332">
        <f>IFERROR(__xludf.DUMMYFUNCTION("IF(IF(COUNTIF(P$2:P5145, P5146)=0, """", INDEX(H$2:H5145,
MAX(FILTER(ROW(H$2:H5145) - ROW(H$2) + 1, P$2:P5145 = P5146))))=""単価"","""",
IF(COUNTIF(P$2:P5145, P5146)=0, """", INDEX(H$2:H5145,
MAX(FILTER(ROW(H$2:H5145) - ROW(H$2) + 1, P$2:P5145 = P5146)))))"),51.0)</f>
        <v>51</v>
      </c>
      <c r="N5146" s="335" t="str">
        <f>IF(MAXIFS('単価履歴'!$O:$O,'単価履歴'!$E:$E,E5146,'単価履歴'!$F:$F,F5146)=O5146,"●","")</f>
        <v/>
      </c>
      <c r="O5146" s="346">
        <v>46119.27715277778</v>
      </c>
      <c r="P5146" s="334" t="str">
        <f t="shared" si="4"/>
        <v>東鐵名古屋:直納シュレＡ</v>
      </c>
    </row>
    <row r="5147" ht="15.75" customHeight="1">
      <c r="A5147" s="335" t="s">
        <v>6294</v>
      </c>
      <c r="B5147" s="336">
        <v>46119.0</v>
      </c>
      <c r="C5147" s="335" t="s">
        <v>535</v>
      </c>
      <c r="D5147" s="335" t="s">
        <v>77</v>
      </c>
      <c r="E5147" s="337" t="str">
        <f t="shared" si="1"/>
        <v>東鐵名古屋:直納</v>
      </c>
      <c r="F5147" s="338" t="s">
        <v>151</v>
      </c>
      <c r="G5147" s="339" t="str">
        <f t="shared" si="2"/>
        <v>東鐵名古屋:直納シュレＣ</v>
      </c>
      <c r="H5147" s="340">
        <f t="shared" si="3"/>
        <v>51.5</v>
      </c>
      <c r="I5147" s="341">
        <v>1.0</v>
      </c>
      <c r="J5147" s="332">
        <f>IFERROR(__xludf.DUMMYFUNCTION("IF(IF(COUNTIF(P$2:P5146, P5147)=0, """", INDEX(H$2:H5146,
MAX(FILTER(ROW(H$2:H5146) - ROW(H$2) + 1, P$2:P5146 = P5147))))=""単価"","""",
IF(COUNTIF(P$2:P5146, P5147)=0, """", INDEX(H$2:H5146,
MAX(FILTER(ROW(H$2:H5146) - ROW(H$2) + 1, P$2:P5146 = P5147)))))"),50.5)</f>
        <v>50.5</v>
      </c>
      <c r="N5147" s="335" t="str">
        <f>IF(MAXIFS('単価履歴'!$O:$O,'単価履歴'!$E:$E,E5147,'単価履歴'!$F:$F,F5147)=O5147,"●","")</f>
        <v/>
      </c>
      <c r="O5147" s="346">
        <v>46119.27715277778</v>
      </c>
      <c r="P5147" s="334" t="str">
        <f t="shared" si="4"/>
        <v>東鐵名古屋:直納シュレＣ</v>
      </c>
    </row>
    <row r="5148" ht="15.75" customHeight="1">
      <c r="A5148" s="335" t="s">
        <v>6295</v>
      </c>
      <c r="B5148" s="336">
        <v>46119.0</v>
      </c>
      <c r="C5148" s="335" t="s">
        <v>536</v>
      </c>
      <c r="D5148" s="335" t="s">
        <v>77</v>
      </c>
      <c r="E5148" s="337" t="str">
        <f t="shared" si="1"/>
        <v>東鐵田原:直納</v>
      </c>
      <c r="F5148" s="338" t="s">
        <v>1199</v>
      </c>
      <c r="G5148" s="339" t="str">
        <f t="shared" si="2"/>
        <v>東鐵田原:直納ＨＳ１(単体H1/電特A/HS))</v>
      </c>
      <c r="H5148" s="340">
        <f t="shared" si="3"/>
        <v>54.5</v>
      </c>
      <c r="I5148" s="341">
        <v>1.0</v>
      </c>
      <c r="J5148" s="332">
        <f>IFERROR(__xludf.DUMMYFUNCTION("IF(IF(COUNTIF(P$2:P5147, P5148)=0, """", INDEX(H$2:H5147,
MAX(FILTER(ROW(H$2:H5147) - ROW(H$2) + 1, P$2:P5147 = P5148))))=""単価"","""",
IF(COUNTIF(P$2:P5147, P5148)=0, """", INDEX(H$2:H5147,
MAX(FILTER(ROW(H$2:H5147) - ROW(H$2) + 1, P$2:P5147 = P5148)))))"),53.5)</f>
        <v>53.5</v>
      </c>
      <c r="N5148" s="335" t="str">
        <f>IF(MAXIFS('単価履歴'!$O:$O,'単価履歴'!$E:$E,E5148,'単価履歴'!$F:$F,F5148)=O5148,"●","")</f>
        <v/>
      </c>
      <c r="O5148" s="346">
        <v>46119.27732638889</v>
      </c>
      <c r="P5148" s="334" t="str">
        <f t="shared" si="4"/>
        <v>東鐵田原:直納ＨＳ１(単体H1/電特A/HS))</v>
      </c>
    </row>
    <row r="5149" ht="15.75" customHeight="1">
      <c r="A5149" s="335" t="s">
        <v>6296</v>
      </c>
      <c r="B5149" s="336">
        <v>46119.0</v>
      </c>
      <c r="C5149" s="335" t="s">
        <v>536</v>
      </c>
      <c r="D5149" s="335" t="s">
        <v>77</v>
      </c>
      <c r="E5149" s="337" t="str">
        <f t="shared" si="1"/>
        <v>東鐵田原:直納</v>
      </c>
      <c r="F5149" s="338" t="s">
        <v>111</v>
      </c>
      <c r="G5149" s="339" t="str">
        <f t="shared" si="2"/>
        <v>東鐵田原:直納Ｈ１(特A)</v>
      </c>
      <c r="H5149" s="340">
        <f t="shared" si="3"/>
        <v>54</v>
      </c>
      <c r="I5149" s="341">
        <v>1.0</v>
      </c>
      <c r="J5149" s="332">
        <f>IFERROR(__xludf.DUMMYFUNCTION("IF(IF(COUNTIF(P$2:P5148, P5149)=0, """", INDEX(H$2:H5148,
MAX(FILTER(ROW(H$2:H5148) - ROW(H$2) + 1, P$2:P5148 = P5149))))=""単価"","""",
IF(COUNTIF(P$2:P5148, P5149)=0, """", INDEX(H$2:H5148,
MAX(FILTER(ROW(H$2:H5148) - ROW(H$2) + 1, P$2:P5148 = P5149)))))"),53.0)</f>
        <v>53</v>
      </c>
      <c r="N5149" s="335" t="str">
        <f>IF(MAXIFS('単価履歴'!$O:$O,'単価履歴'!$E:$E,E5149,'単価履歴'!$F:$F,F5149)=O5149,"●","")</f>
        <v/>
      </c>
      <c r="O5149" s="346">
        <v>46119.27732638889</v>
      </c>
      <c r="P5149" s="334" t="str">
        <f t="shared" si="4"/>
        <v>東鐵田原:直納Ｈ１(特A)</v>
      </c>
    </row>
    <row r="5150" ht="15.75" customHeight="1">
      <c r="A5150" s="335" t="s">
        <v>6297</v>
      </c>
      <c r="B5150" s="336">
        <v>46119.0</v>
      </c>
      <c r="C5150" s="335" t="s">
        <v>536</v>
      </c>
      <c r="D5150" s="335" t="s">
        <v>77</v>
      </c>
      <c r="E5150" s="337" t="str">
        <f t="shared" si="1"/>
        <v>東鐵田原:直納</v>
      </c>
      <c r="F5150" s="338" t="s">
        <v>116</v>
      </c>
      <c r="G5150" s="339" t="str">
        <f t="shared" si="2"/>
        <v>東鐵田原:直納Ｈ２(特級)</v>
      </c>
      <c r="H5150" s="340">
        <f t="shared" si="3"/>
        <v>51</v>
      </c>
      <c r="I5150" s="341">
        <v>1.0</v>
      </c>
      <c r="J5150" s="332">
        <f>IFERROR(__xludf.DUMMYFUNCTION("IF(IF(COUNTIF(P$2:P5149, P5150)=0, """", INDEX(H$2:H5149,
MAX(FILTER(ROW(H$2:H5149) - ROW(H$2) + 1, P$2:P5149 = P5150))))=""単価"","""",
IF(COUNTIF(P$2:P5149, P5150)=0, """", INDEX(H$2:H5149,
MAX(FILTER(ROW(H$2:H5149) - ROW(H$2) + 1, P$2:P5149 = P5150)))))"),50.0)</f>
        <v>50</v>
      </c>
      <c r="N5150" s="335" t="str">
        <f>IF(MAXIFS('単価履歴'!$O:$O,'単価履歴'!$E:$E,E5150,'単価履歴'!$F:$F,F5150)=O5150,"●","")</f>
        <v/>
      </c>
      <c r="O5150" s="346">
        <v>46119.27732638889</v>
      </c>
      <c r="P5150" s="334" t="str">
        <f t="shared" si="4"/>
        <v>東鐵田原:直納Ｈ２(特級)</v>
      </c>
    </row>
    <row r="5151" ht="15.75" customHeight="1">
      <c r="A5151" s="335" t="s">
        <v>6298</v>
      </c>
      <c r="B5151" s="336">
        <v>46119.0</v>
      </c>
      <c r="C5151" s="335" t="s">
        <v>536</v>
      </c>
      <c r="D5151" s="335" t="s">
        <v>77</v>
      </c>
      <c r="E5151" s="337" t="str">
        <f t="shared" si="1"/>
        <v>東鐵田原:直納</v>
      </c>
      <c r="F5151" s="338" t="s">
        <v>119</v>
      </c>
      <c r="G5151" s="339" t="str">
        <f t="shared" si="2"/>
        <v>東鐵田原:直納Ｈ３(1級)</v>
      </c>
      <c r="H5151" s="340">
        <f t="shared" si="3"/>
        <v>51</v>
      </c>
      <c r="I5151" s="341">
        <v>1.0</v>
      </c>
      <c r="J5151" s="332">
        <f>IFERROR(__xludf.DUMMYFUNCTION("IF(IF(COUNTIF(P$2:P5150, P5151)=0, """", INDEX(H$2:H5150,
MAX(FILTER(ROW(H$2:H5150) - ROW(H$2) + 1, P$2:P5150 = P5151))))=""単価"","""",
IF(COUNTIF(P$2:P5150, P5151)=0, """", INDEX(H$2:H5150,
MAX(FILTER(ROW(H$2:H5150) - ROW(H$2) + 1, P$2:P5150 = P5151)))))"),50.0)</f>
        <v>50</v>
      </c>
      <c r="N5151" s="335" t="str">
        <f>IF(MAXIFS('単価履歴'!$O:$O,'単価履歴'!$E:$E,E5151,'単価履歴'!$F:$F,F5151)=O5151,"●","")</f>
        <v/>
      </c>
      <c r="O5151" s="346">
        <v>46119.27732638889</v>
      </c>
      <c r="P5151" s="334" t="str">
        <f t="shared" si="4"/>
        <v>東鐵田原:直納Ｈ３(1級)</v>
      </c>
    </row>
    <row r="5152" ht="15.75" customHeight="1">
      <c r="A5152" s="335" t="s">
        <v>6299</v>
      </c>
      <c r="B5152" s="336">
        <v>46119.0</v>
      </c>
      <c r="C5152" s="335" t="s">
        <v>536</v>
      </c>
      <c r="D5152" s="335" t="s">
        <v>77</v>
      </c>
      <c r="E5152" s="337" t="str">
        <f t="shared" si="1"/>
        <v>東鐵田原:直納</v>
      </c>
      <c r="F5152" s="338" t="s">
        <v>122</v>
      </c>
      <c r="G5152" s="339" t="str">
        <f t="shared" si="2"/>
        <v>東鐵田原:直納Ｌ１(2級)</v>
      </c>
      <c r="H5152" s="340">
        <f t="shared" si="3"/>
        <v>50.5</v>
      </c>
      <c r="I5152" s="341">
        <v>1.0</v>
      </c>
      <c r="J5152" s="332">
        <f>IFERROR(__xludf.DUMMYFUNCTION("IF(IF(COUNTIF(P$2:P5151, P5152)=0, """", INDEX(H$2:H5151,
MAX(FILTER(ROW(H$2:H5151) - ROW(H$2) + 1, P$2:P5151 = P5152))))=""単価"","""",
IF(COUNTIF(P$2:P5151, P5152)=0, """", INDEX(H$2:H5151,
MAX(FILTER(ROW(H$2:H5151) - ROW(H$2) + 1, P$2:P5151 = P5152)))))"),49.5)</f>
        <v>49.5</v>
      </c>
      <c r="N5152" s="335" t="str">
        <f>IF(MAXIFS('単価履歴'!$O:$O,'単価履歴'!$E:$E,E5152,'単価履歴'!$F:$F,F5152)=O5152,"●","")</f>
        <v/>
      </c>
      <c r="O5152" s="346">
        <v>46119.27732638889</v>
      </c>
      <c r="P5152" s="334" t="str">
        <f t="shared" si="4"/>
        <v>東鐵田原:直納Ｌ１(2級)</v>
      </c>
    </row>
    <row r="5153" ht="15.75" customHeight="1">
      <c r="A5153" s="335" t="s">
        <v>6300</v>
      </c>
      <c r="B5153" s="336">
        <v>46119.0</v>
      </c>
      <c r="C5153" s="335" t="s">
        <v>536</v>
      </c>
      <c r="D5153" s="335" t="s">
        <v>77</v>
      </c>
      <c r="E5153" s="337" t="str">
        <f t="shared" si="1"/>
        <v>東鐵田原:直納</v>
      </c>
      <c r="F5153" s="338" t="s">
        <v>573</v>
      </c>
      <c r="G5153" s="339" t="str">
        <f t="shared" si="2"/>
        <v>東鐵田原:直納Ｌ２(H4･級外･L1ﾊﾞﾗ)</v>
      </c>
      <c r="H5153" s="340">
        <f t="shared" si="3"/>
        <v>46</v>
      </c>
      <c r="I5153" s="341">
        <v>1.0</v>
      </c>
      <c r="J5153" s="332">
        <f>IFERROR(__xludf.DUMMYFUNCTION("IF(IF(COUNTIF(P$2:P5152, P5153)=0, """", INDEX(H$2:H5152,
MAX(FILTER(ROW(H$2:H5152) - ROW(H$2) + 1, P$2:P5152 = P5153))))=""単価"","""",
IF(COUNTIF(P$2:P5152, P5153)=0, """", INDEX(H$2:H5152,
MAX(FILTER(ROW(H$2:H5152) - ROW(H$2) + 1, P$2:P5152 = P5153)))))"),45.0)</f>
        <v>45</v>
      </c>
      <c r="N5153" s="335" t="str">
        <f>IF(MAXIFS('単価履歴'!$O:$O,'単価履歴'!$E:$E,E5153,'単価履歴'!$F:$F,F5153)=O5153,"●","")</f>
        <v/>
      </c>
      <c r="O5153" s="346">
        <v>46119.27732638889</v>
      </c>
      <c r="P5153" s="334" t="str">
        <f t="shared" si="4"/>
        <v>東鐵田原:直納Ｌ２(H4･級外･L1ﾊﾞﾗ)</v>
      </c>
    </row>
    <row r="5154" ht="15.75" customHeight="1">
      <c r="A5154" s="335" t="s">
        <v>6301</v>
      </c>
      <c r="B5154" s="336">
        <v>46119.0</v>
      </c>
      <c r="C5154" s="335" t="s">
        <v>536</v>
      </c>
      <c r="D5154" s="335" t="s">
        <v>77</v>
      </c>
      <c r="E5154" s="337" t="str">
        <f t="shared" si="1"/>
        <v>東鐵田原:直納</v>
      </c>
      <c r="F5154" s="338" t="s">
        <v>130</v>
      </c>
      <c r="G5154" s="339" t="str">
        <f t="shared" si="2"/>
        <v>東鐵田原:直納新断Ａ</v>
      </c>
      <c r="H5154" s="340">
        <f t="shared" si="3"/>
        <v>56</v>
      </c>
      <c r="I5154" s="341">
        <v>1.0</v>
      </c>
      <c r="J5154" s="332">
        <f>IFERROR(__xludf.DUMMYFUNCTION("IF(IF(COUNTIF(P$2:P5153, P5154)=0, """", INDEX(H$2:H5153,
MAX(FILTER(ROW(H$2:H5153) - ROW(H$2) + 1, P$2:P5153 = P5154))))=""単価"","""",
IF(COUNTIF(P$2:P5153, P5154)=0, """", INDEX(H$2:H5153,
MAX(FILTER(ROW(H$2:H5153) - ROW(H$2) + 1, P$2:P5153 = P5154)))))"),55.0)</f>
        <v>55</v>
      </c>
      <c r="N5154" s="335" t="str">
        <f>IF(MAXIFS('単価履歴'!$O:$O,'単価履歴'!$E:$E,E5154,'単価履歴'!$F:$F,F5154)=O5154,"●","")</f>
        <v/>
      </c>
      <c r="O5154" s="346">
        <v>46119.27732638889</v>
      </c>
      <c r="P5154" s="334" t="str">
        <f t="shared" si="4"/>
        <v>東鐵田原:直納新断Ａ</v>
      </c>
    </row>
    <row r="5155" ht="15.75" customHeight="1">
      <c r="A5155" s="335" t="s">
        <v>6302</v>
      </c>
      <c r="B5155" s="336">
        <v>46119.0</v>
      </c>
      <c r="C5155" s="335" t="s">
        <v>536</v>
      </c>
      <c r="D5155" s="335" t="s">
        <v>77</v>
      </c>
      <c r="E5155" s="337" t="str">
        <f t="shared" si="1"/>
        <v>東鐵田原:直納</v>
      </c>
      <c r="F5155" s="338" t="s">
        <v>131</v>
      </c>
      <c r="G5155" s="339" t="str">
        <f t="shared" si="2"/>
        <v>東鐵田原:直納新断Ｂ</v>
      </c>
      <c r="H5155" s="340">
        <f t="shared" si="3"/>
        <v>56</v>
      </c>
      <c r="I5155" s="341">
        <v>1.0</v>
      </c>
      <c r="J5155" s="332">
        <f>IFERROR(__xludf.DUMMYFUNCTION("IF(IF(COUNTIF(P$2:P5154, P5155)=0, """", INDEX(H$2:H5154,
MAX(FILTER(ROW(H$2:H5154) - ROW(H$2) + 1, P$2:P5154 = P5155))))=""単価"","""",
IF(COUNTIF(P$2:P5154, P5155)=0, """", INDEX(H$2:H5154,
MAX(FILTER(ROW(H$2:H5154) - ROW(H$2) + 1, P$2:P5154 = P5155)))))"),55.0)</f>
        <v>55</v>
      </c>
      <c r="N5155" s="335" t="str">
        <f>IF(MAXIFS('単価履歴'!$O:$O,'単価履歴'!$E:$E,E5155,'単価履歴'!$F:$F,F5155)=O5155,"●","")</f>
        <v/>
      </c>
      <c r="O5155" s="346">
        <v>46119.27732638889</v>
      </c>
      <c r="P5155" s="334" t="str">
        <f t="shared" si="4"/>
        <v>東鐵田原:直納新断Ｂ</v>
      </c>
    </row>
    <row r="5156" ht="15.75" customHeight="1">
      <c r="A5156" s="335" t="s">
        <v>6303</v>
      </c>
      <c r="B5156" s="336">
        <v>46119.0</v>
      </c>
      <c r="C5156" s="335" t="s">
        <v>536</v>
      </c>
      <c r="D5156" s="335" t="s">
        <v>77</v>
      </c>
      <c r="E5156" s="337" t="str">
        <f t="shared" si="1"/>
        <v>東鐵田原:直納</v>
      </c>
      <c r="F5156" s="338" t="s">
        <v>575</v>
      </c>
      <c r="G5156" s="339" t="str">
        <f t="shared" si="2"/>
        <v>東鐵田原:直納鋼ダライＡ</v>
      </c>
      <c r="H5156" s="340">
        <f t="shared" si="3"/>
        <v>49.5</v>
      </c>
      <c r="I5156" s="341">
        <v>1.0</v>
      </c>
      <c r="J5156" s="332">
        <f>IFERROR(__xludf.DUMMYFUNCTION("IF(IF(COUNTIF(P$2:P5155, P5156)=0, """", INDEX(H$2:H5155,
MAX(FILTER(ROW(H$2:H5155) - ROW(H$2) + 1, P$2:P5155 = P5156))))=""単価"","""",
IF(COUNTIF(P$2:P5155, P5156)=0, """", INDEX(H$2:H5155,
MAX(FILTER(ROW(H$2:H5155) - ROW(H$2) + 1, P$2:P5155 = P5156)))))"),48.5)</f>
        <v>48.5</v>
      </c>
      <c r="N5156" s="335" t="str">
        <f>IF(MAXIFS('単価履歴'!$O:$O,'単価履歴'!$E:$E,E5156,'単価履歴'!$F:$F,F5156)=O5156,"●","")</f>
        <v/>
      </c>
      <c r="O5156" s="346">
        <v>46119.27732638889</v>
      </c>
      <c r="P5156" s="334" t="str">
        <f t="shared" si="4"/>
        <v>東鐵田原:直納鋼ダライＡ</v>
      </c>
    </row>
    <row r="5157" ht="15.75" customHeight="1">
      <c r="A5157" s="335" t="s">
        <v>6304</v>
      </c>
      <c r="B5157" s="336">
        <v>46119.0</v>
      </c>
      <c r="C5157" s="335" t="s">
        <v>536</v>
      </c>
      <c r="D5157" s="335" t="s">
        <v>77</v>
      </c>
      <c r="E5157" s="337" t="str">
        <f t="shared" si="1"/>
        <v>東鐵田原:直納</v>
      </c>
      <c r="F5157" s="338" t="s">
        <v>145</v>
      </c>
      <c r="G5157" s="339" t="str">
        <f t="shared" si="2"/>
        <v>東鐵田原:直納シュレＡ</v>
      </c>
      <c r="H5157" s="340">
        <f t="shared" si="3"/>
        <v>52</v>
      </c>
      <c r="I5157" s="341">
        <v>1.0</v>
      </c>
      <c r="J5157" s="332">
        <f>IFERROR(__xludf.DUMMYFUNCTION("IF(IF(COUNTIF(P$2:P5156, P5157)=0, """", INDEX(H$2:H5156,
MAX(FILTER(ROW(H$2:H5156) - ROW(H$2) + 1, P$2:P5156 = P5157))))=""単価"","""",
IF(COUNTIF(P$2:P5156, P5157)=0, """", INDEX(H$2:H5156,
MAX(FILTER(ROW(H$2:H5156) - ROW(H$2) + 1, P$2:P5156 = P5157)))))"),51.0)</f>
        <v>51</v>
      </c>
      <c r="N5157" s="335" t="str">
        <f>IF(MAXIFS('単価履歴'!$O:$O,'単価履歴'!$E:$E,E5157,'単価履歴'!$F:$F,F5157)=O5157,"●","")</f>
        <v/>
      </c>
      <c r="O5157" s="346">
        <v>46119.27732638889</v>
      </c>
      <c r="P5157" s="334" t="str">
        <f t="shared" si="4"/>
        <v>東鐵田原:直納シュレＡ</v>
      </c>
    </row>
    <row r="5158" ht="15.75" customHeight="1">
      <c r="A5158" s="335" t="s">
        <v>6305</v>
      </c>
      <c r="B5158" s="336">
        <v>46119.0</v>
      </c>
      <c r="C5158" s="335" t="s">
        <v>536</v>
      </c>
      <c r="D5158" s="335" t="s">
        <v>77</v>
      </c>
      <c r="E5158" s="337" t="str">
        <f t="shared" si="1"/>
        <v>東鐵田原:直納</v>
      </c>
      <c r="F5158" s="338" t="s">
        <v>151</v>
      </c>
      <c r="G5158" s="339" t="str">
        <f t="shared" si="2"/>
        <v>東鐵田原:直納シュレＣ</v>
      </c>
      <c r="H5158" s="340">
        <f t="shared" si="3"/>
        <v>51.5</v>
      </c>
      <c r="I5158" s="341">
        <v>1.0</v>
      </c>
      <c r="J5158" s="332">
        <f>IFERROR(__xludf.DUMMYFUNCTION("IF(IF(COUNTIF(P$2:P5157, P5158)=0, """", INDEX(H$2:H5157,
MAX(FILTER(ROW(H$2:H5157) - ROW(H$2) + 1, P$2:P5157 = P5158))))=""単価"","""",
IF(COUNTIF(P$2:P5157, P5158)=0, """", INDEX(H$2:H5157,
MAX(FILTER(ROW(H$2:H5157) - ROW(H$2) + 1, P$2:P5157 = P5158)))))"),50.5)</f>
        <v>50.5</v>
      </c>
      <c r="N5158" s="335" t="str">
        <f>IF(MAXIFS('単価履歴'!$O:$O,'単価履歴'!$E:$E,E5158,'単価履歴'!$F:$F,F5158)=O5158,"●","")</f>
        <v/>
      </c>
      <c r="O5158" s="346">
        <v>46119.27732638889</v>
      </c>
      <c r="P5158" s="334" t="str">
        <f t="shared" si="4"/>
        <v>東鐵田原:直納シュレＣ</v>
      </c>
    </row>
    <row r="5159" ht="15.75" customHeight="1">
      <c r="A5159" s="335" t="s">
        <v>6306</v>
      </c>
      <c r="B5159" s="336">
        <v>46119.0</v>
      </c>
      <c r="C5159" s="335" t="s">
        <v>536</v>
      </c>
      <c r="D5159" s="335" t="s">
        <v>77</v>
      </c>
      <c r="E5159" s="337" t="str">
        <f t="shared" si="1"/>
        <v>東鐵田原:直納</v>
      </c>
      <c r="F5159" s="338" t="s">
        <v>154</v>
      </c>
      <c r="G5159" s="339" t="str">
        <f t="shared" si="2"/>
        <v>東鐵田原:直納ＣＰ Ａ</v>
      </c>
      <c r="H5159" s="340">
        <f t="shared" si="3"/>
        <v>49.5</v>
      </c>
      <c r="I5159" s="341">
        <v>1.0</v>
      </c>
      <c r="J5159" s="332">
        <f>IFERROR(__xludf.DUMMYFUNCTION("IF(IF(COUNTIF(P$2:P5158, P5159)=0, """", INDEX(H$2:H5158,
MAX(FILTER(ROW(H$2:H5158) - ROW(H$2) + 1, P$2:P5158 = P5159))))=""単価"","""",
IF(COUNTIF(P$2:P5158, P5159)=0, """", INDEX(H$2:H5158,
MAX(FILTER(ROW(H$2:H5158) - ROW(H$2) + 1, P$2:P5158 = P5159)))))"),48.5)</f>
        <v>48.5</v>
      </c>
      <c r="N5159" s="335" t="str">
        <f>IF(MAXIFS('単価履歴'!$O:$O,'単価履歴'!$E:$E,E5159,'単価履歴'!$F:$F,F5159)=O5159,"●","")</f>
        <v/>
      </c>
      <c r="O5159" s="346">
        <v>46119.27732638889</v>
      </c>
      <c r="P5159" s="334" t="str">
        <f t="shared" si="4"/>
        <v>東鐵田原:直納ＣＰ Ａ</v>
      </c>
    </row>
    <row r="5160" ht="15.75" customHeight="1">
      <c r="A5160" s="335" t="s">
        <v>6307</v>
      </c>
      <c r="B5160" s="336">
        <v>46119.0</v>
      </c>
      <c r="C5160" s="335" t="s">
        <v>5</v>
      </c>
      <c r="D5160" s="335" t="s">
        <v>46</v>
      </c>
      <c r="E5160" s="337" t="str">
        <f t="shared" si="1"/>
        <v>中山製鋼:阪和</v>
      </c>
      <c r="F5160" s="338" t="s">
        <v>101</v>
      </c>
      <c r="G5160" s="339" t="str">
        <f t="shared" si="2"/>
        <v>中山製鋼:阪和ＨＳ２</v>
      </c>
      <c r="H5160" s="340">
        <f t="shared" si="3"/>
        <v>55.4</v>
      </c>
      <c r="I5160" s="341">
        <v>1.0</v>
      </c>
      <c r="J5160" s="332">
        <f>IFERROR(__xludf.DUMMYFUNCTION("IF(IF(COUNTIF(P$2:P5159, P5160)=0, """", INDEX(H$2:H5159,
MAX(FILTER(ROW(H$2:H5159) - ROW(H$2) + 1, P$2:P5159 = P5160))))=""単価"","""",
IF(COUNTIF(P$2:P5159, P5160)=0, """", INDEX(H$2:H5159,
MAX(FILTER(ROW(H$2:H5159) - ROW(H$2) + 1, P$2:P5159 = P5160)))))"),54.4)</f>
        <v>54.4</v>
      </c>
      <c r="N5160" s="335" t="str">
        <f>IF(MAXIFS('単価履歴'!$O:$O,'単価履歴'!$E:$E,E5160,'単価履歴'!$F:$F,F5160)=O5160,"●","")</f>
        <v/>
      </c>
      <c r="O5160" s="346">
        <v>46119.27751157407</v>
      </c>
      <c r="P5160" s="334" t="str">
        <f t="shared" si="4"/>
        <v>中山製鋼:阪和ＨＳ２</v>
      </c>
    </row>
    <row r="5161" ht="15.75" customHeight="1">
      <c r="A5161" s="335" t="s">
        <v>6308</v>
      </c>
      <c r="B5161" s="336">
        <v>46119.0</v>
      </c>
      <c r="C5161" s="335" t="s">
        <v>5</v>
      </c>
      <c r="D5161" s="335" t="s">
        <v>46</v>
      </c>
      <c r="E5161" s="337" t="str">
        <f t="shared" si="1"/>
        <v>中山製鋼:阪和</v>
      </c>
      <c r="F5161" s="338" t="s">
        <v>108</v>
      </c>
      <c r="G5161" s="339" t="str">
        <f t="shared" si="2"/>
        <v>中山製鋼:阪和Ｈ１/ｻﾑﾃｯｸ</v>
      </c>
      <c r="H5161" s="340">
        <f t="shared" si="3"/>
        <v>8.5</v>
      </c>
      <c r="I5161" s="341">
        <v>1.0</v>
      </c>
      <c r="J5161" s="332">
        <f>IFERROR(__xludf.DUMMYFUNCTION("IF(IF(COUNTIF(P$2:P5160, P5161)=0, """", INDEX(H$2:H5160,
MAX(FILTER(ROW(H$2:H5160) - ROW(H$2) + 1, P$2:P5160 = P5161))))=""単価"","""",
IF(COUNTIF(P$2:P5160, P5161)=0, """", INDEX(H$2:H5160,
MAX(FILTER(ROW(H$2:H5160) - ROW(H$2) + 1, P$2:P5160 = P5161)))))"),7.5)</f>
        <v>7.5</v>
      </c>
      <c r="N5161" s="335" t="str">
        <f>IF(MAXIFS('単価履歴'!$O:$O,'単価履歴'!$E:$E,E5161,'単価履歴'!$F:$F,F5161)=O5161,"●","")</f>
        <v/>
      </c>
      <c r="O5161" s="346">
        <v>46119.27751157407</v>
      </c>
      <c r="P5161" s="334" t="str">
        <f t="shared" si="4"/>
        <v>中山製鋼:阪和Ｈ１/ｻﾑﾃｯｸ</v>
      </c>
    </row>
    <row r="5162" ht="15.75" customHeight="1">
      <c r="A5162" s="335" t="s">
        <v>6309</v>
      </c>
      <c r="B5162" s="336">
        <v>46119.0</v>
      </c>
      <c r="C5162" s="335" t="s">
        <v>5</v>
      </c>
      <c r="D5162" s="335" t="s">
        <v>46</v>
      </c>
      <c r="E5162" s="337" t="str">
        <f t="shared" si="1"/>
        <v>中山製鋼:阪和</v>
      </c>
      <c r="F5162" s="338" t="s">
        <v>111</v>
      </c>
      <c r="G5162" s="339" t="str">
        <f t="shared" si="2"/>
        <v>中山製鋼:阪和Ｈ１(特A)</v>
      </c>
      <c r="H5162" s="340">
        <f t="shared" si="3"/>
        <v>53.3</v>
      </c>
      <c r="I5162" s="341">
        <v>1.0</v>
      </c>
      <c r="J5162" s="332">
        <f>IFERROR(__xludf.DUMMYFUNCTION("IF(IF(COUNTIF(P$2:P5161, P5162)=0, """", INDEX(H$2:H5161,
MAX(FILTER(ROW(H$2:H5161) - ROW(H$2) + 1, P$2:P5161 = P5162))))=""単価"","""",
IF(COUNTIF(P$2:P5161, P5162)=0, """", INDEX(H$2:H5161,
MAX(FILTER(ROW(H$2:H5161) - ROW(H$2) + 1, P$2:P5161 = P5162)))))"),52.3)</f>
        <v>52.3</v>
      </c>
      <c r="N5162" s="335" t="str">
        <f>IF(MAXIFS('単価履歴'!$O:$O,'単価履歴'!$E:$E,E5162,'単価履歴'!$F:$F,F5162)=O5162,"●","")</f>
        <v/>
      </c>
      <c r="O5162" s="346">
        <v>46119.27751157407</v>
      </c>
      <c r="P5162" s="334" t="str">
        <f t="shared" si="4"/>
        <v>中山製鋼:阪和Ｈ１(特A)</v>
      </c>
    </row>
    <row r="5163" ht="15.75" customHeight="1">
      <c r="A5163" s="335" t="s">
        <v>6310</v>
      </c>
      <c r="B5163" s="336">
        <v>46119.0</v>
      </c>
      <c r="C5163" s="335" t="s">
        <v>5</v>
      </c>
      <c r="D5163" s="335" t="s">
        <v>46</v>
      </c>
      <c r="E5163" s="337" t="str">
        <f t="shared" si="1"/>
        <v>中山製鋼:阪和</v>
      </c>
      <c r="F5163" s="338" t="s">
        <v>116</v>
      </c>
      <c r="G5163" s="339" t="str">
        <f t="shared" si="2"/>
        <v>中山製鋼:阪和Ｈ２(特級)</v>
      </c>
      <c r="H5163" s="340">
        <f t="shared" si="3"/>
        <v>50.5</v>
      </c>
      <c r="I5163" s="341">
        <v>1.0</v>
      </c>
      <c r="J5163" s="332">
        <f>IFERROR(__xludf.DUMMYFUNCTION("IF(IF(COUNTIF(P$2:P5162, P5163)=0, """", INDEX(H$2:H5162,
MAX(FILTER(ROW(H$2:H5162) - ROW(H$2) + 1, P$2:P5162 = P5163))))=""単価"","""",
IF(COUNTIF(P$2:P5162, P5163)=0, """", INDEX(H$2:H5162,
MAX(FILTER(ROW(H$2:H5162) - ROW(H$2) + 1, P$2:P5162 = P5163)))))"),49.49999999999999)</f>
        <v>49.5</v>
      </c>
      <c r="N5163" s="335" t="str">
        <f>IF(MAXIFS('単価履歴'!$O:$O,'単価履歴'!$E:$E,E5163,'単価履歴'!$F:$F,F5163)=O5163,"●","")</f>
        <v/>
      </c>
      <c r="O5163" s="346">
        <v>46119.27751157407</v>
      </c>
      <c r="P5163" s="334" t="str">
        <f t="shared" si="4"/>
        <v>中山製鋼:阪和Ｈ２(特級)</v>
      </c>
    </row>
    <row r="5164" ht="15.75" customHeight="1">
      <c r="A5164" s="335" t="s">
        <v>6311</v>
      </c>
      <c r="B5164" s="336">
        <v>46119.0</v>
      </c>
      <c r="C5164" s="335" t="s">
        <v>5</v>
      </c>
      <c r="D5164" s="335" t="s">
        <v>46</v>
      </c>
      <c r="E5164" s="337" t="str">
        <f t="shared" si="1"/>
        <v>中山製鋼:阪和</v>
      </c>
      <c r="F5164" s="338" t="s">
        <v>119</v>
      </c>
      <c r="G5164" s="339" t="str">
        <f t="shared" si="2"/>
        <v>中山製鋼:阪和Ｈ３(1級)</v>
      </c>
      <c r="H5164" s="340">
        <f t="shared" si="3"/>
        <v>49.5</v>
      </c>
      <c r="I5164" s="341">
        <v>1.0</v>
      </c>
      <c r="J5164" s="332">
        <f>IFERROR(__xludf.DUMMYFUNCTION("IF(IF(COUNTIF(P$2:P5163, P5164)=0, """", INDEX(H$2:H5163,
MAX(FILTER(ROW(H$2:H5163) - ROW(H$2) + 1, P$2:P5163 = P5164))))=""単価"","""",
IF(COUNTIF(P$2:P5163, P5164)=0, """", INDEX(H$2:H5163,
MAX(FILTER(ROW(H$2:H5163) - ROW(H$2) + 1, P$2:P5163 = P5164)))))"),48.5)</f>
        <v>48.5</v>
      </c>
      <c r="N5164" s="335" t="str">
        <f>IF(MAXIFS('単価履歴'!$O:$O,'単価履歴'!$E:$E,E5164,'単価履歴'!$F:$F,F5164)=O5164,"●","")</f>
        <v/>
      </c>
      <c r="O5164" s="346">
        <v>46119.27751157407</v>
      </c>
      <c r="P5164" s="334" t="str">
        <f t="shared" si="4"/>
        <v>中山製鋼:阪和Ｈ３(1級)</v>
      </c>
    </row>
    <row r="5165" ht="15.75" customHeight="1">
      <c r="A5165" s="335" t="s">
        <v>6312</v>
      </c>
      <c r="B5165" s="336">
        <v>46119.0</v>
      </c>
      <c r="C5165" s="335" t="s">
        <v>5</v>
      </c>
      <c r="D5165" s="335" t="s">
        <v>46</v>
      </c>
      <c r="E5165" s="337" t="str">
        <f t="shared" si="1"/>
        <v>中山製鋼:阪和</v>
      </c>
      <c r="F5165" s="338" t="s">
        <v>122</v>
      </c>
      <c r="G5165" s="339" t="str">
        <f t="shared" si="2"/>
        <v>中山製鋼:阪和Ｌ１(2級)</v>
      </c>
      <c r="H5165" s="340">
        <f t="shared" si="3"/>
        <v>49</v>
      </c>
      <c r="I5165" s="341">
        <v>1.0</v>
      </c>
      <c r="J5165" s="332">
        <f>IFERROR(__xludf.DUMMYFUNCTION("IF(IF(COUNTIF(P$2:P5164, P5165)=0, """", INDEX(H$2:H5164,
MAX(FILTER(ROW(H$2:H5164) - ROW(H$2) + 1, P$2:P5164 = P5165))))=""単価"","""",
IF(COUNTIF(P$2:P5164, P5165)=0, """", INDEX(H$2:H5164,
MAX(FILTER(ROW(H$2:H5164) - ROW(H$2) + 1, P$2:P5164 = P5165)))))"),48.0)</f>
        <v>48</v>
      </c>
      <c r="N5165" s="335" t="str">
        <f>IF(MAXIFS('単価履歴'!$O:$O,'単価履歴'!$E:$E,E5165,'単価履歴'!$F:$F,F5165)=O5165,"●","")</f>
        <v/>
      </c>
      <c r="O5165" s="346">
        <v>46119.27751157407</v>
      </c>
      <c r="P5165" s="334" t="str">
        <f t="shared" si="4"/>
        <v>中山製鋼:阪和Ｌ１(2級)</v>
      </c>
    </row>
    <row r="5166" ht="15.75" customHeight="1">
      <c r="A5166" s="335" t="s">
        <v>6313</v>
      </c>
      <c r="B5166" s="336">
        <v>46119.0</v>
      </c>
      <c r="C5166" s="335" t="s">
        <v>5</v>
      </c>
      <c r="D5166" s="335" t="s">
        <v>46</v>
      </c>
      <c r="E5166" s="337" t="str">
        <f t="shared" si="1"/>
        <v>中山製鋼:阪和</v>
      </c>
      <c r="F5166" s="338" t="s">
        <v>130</v>
      </c>
      <c r="G5166" s="339" t="str">
        <f t="shared" si="2"/>
        <v>中山製鋼:阪和新断Ａ</v>
      </c>
      <c r="H5166" s="340">
        <f t="shared" si="3"/>
        <v>56.3</v>
      </c>
      <c r="I5166" s="341">
        <v>1.0</v>
      </c>
      <c r="J5166" s="332">
        <f>IFERROR(__xludf.DUMMYFUNCTION("IF(IF(COUNTIF(P$2:P5165, P5166)=0, """", INDEX(H$2:H5165,
MAX(FILTER(ROW(H$2:H5165) - ROW(H$2) + 1, P$2:P5165 = P5166))))=""単価"","""",
IF(COUNTIF(P$2:P5165, P5166)=0, """", INDEX(H$2:H5165,
MAX(FILTER(ROW(H$2:H5165) - ROW(H$2) + 1, P$2:P5165 = P5166)))))"),55.3)</f>
        <v>55.3</v>
      </c>
      <c r="N5166" s="335" t="str">
        <f>IF(MAXIFS('単価履歴'!$O:$O,'単価履歴'!$E:$E,E5166,'単価履歴'!$F:$F,F5166)=O5166,"●","")</f>
        <v/>
      </c>
      <c r="O5166" s="346">
        <v>46119.27751157407</v>
      </c>
      <c r="P5166" s="334" t="str">
        <f t="shared" si="4"/>
        <v>中山製鋼:阪和新断Ａ</v>
      </c>
    </row>
    <row r="5167" ht="15.75" customHeight="1">
      <c r="A5167" s="335" t="s">
        <v>6314</v>
      </c>
      <c r="B5167" s="336">
        <v>46119.0</v>
      </c>
      <c r="C5167" s="335" t="s">
        <v>5</v>
      </c>
      <c r="D5167" s="335" t="s">
        <v>46</v>
      </c>
      <c r="E5167" s="337" t="str">
        <f t="shared" si="1"/>
        <v>中山製鋼:阪和</v>
      </c>
      <c r="F5167" s="338" t="s">
        <v>131</v>
      </c>
      <c r="G5167" s="339" t="str">
        <f t="shared" si="2"/>
        <v>中山製鋼:阪和新断Ｂ</v>
      </c>
      <c r="H5167" s="340">
        <f t="shared" si="3"/>
        <v>55.3</v>
      </c>
      <c r="I5167" s="341">
        <v>1.0</v>
      </c>
      <c r="J5167" s="332">
        <f>IFERROR(__xludf.DUMMYFUNCTION("IF(IF(COUNTIF(P$2:P5166, P5167)=0, """", INDEX(H$2:H5166,
MAX(FILTER(ROW(H$2:H5166) - ROW(H$2) + 1, P$2:P5166 = P5167))))=""単価"","""",
IF(COUNTIF(P$2:P5166, P5167)=0, """", INDEX(H$2:H5166,
MAX(FILTER(ROW(H$2:H5166) - ROW(H$2) + 1, P$2:P5166 = P5167)))))"),54.3)</f>
        <v>54.3</v>
      </c>
      <c r="N5167" s="335" t="str">
        <f>IF(MAXIFS('単価履歴'!$O:$O,'単価履歴'!$E:$E,E5167,'単価履歴'!$F:$F,F5167)=O5167,"●","")</f>
        <v/>
      </c>
      <c r="O5167" s="346">
        <v>46119.27751157407</v>
      </c>
      <c r="P5167" s="334" t="str">
        <f t="shared" si="4"/>
        <v>中山製鋼:阪和新断Ｂ</v>
      </c>
    </row>
    <row r="5168" ht="15.75" customHeight="1">
      <c r="A5168" s="335" t="s">
        <v>6315</v>
      </c>
      <c r="B5168" s="336">
        <v>46119.0</v>
      </c>
      <c r="C5168" s="335" t="s">
        <v>5</v>
      </c>
      <c r="D5168" s="335" t="s">
        <v>46</v>
      </c>
      <c r="E5168" s="337" t="str">
        <f t="shared" si="1"/>
        <v>中山製鋼:阪和</v>
      </c>
      <c r="F5168" s="338" t="s">
        <v>574</v>
      </c>
      <c r="G5168" s="339" t="str">
        <f t="shared" si="2"/>
        <v>中山製鋼:阪和新断Ｃ</v>
      </c>
      <c r="H5168" s="340">
        <f t="shared" si="3"/>
        <v>54.3</v>
      </c>
      <c r="I5168" s="341">
        <v>1.0</v>
      </c>
      <c r="J5168" s="332">
        <f>IFERROR(__xludf.DUMMYFUNCTION("IF(IF(COUNTIF(P$2:P5167, P5168)=0, """", INDEX(H$2:H5167,
MAX(FILTER(ROW(H$2:H5167) - ROW(H$2) + 1, P$2:P5167 = P5168))))=""単価"","""",
IF(COUNTIF(P$2:P5167, P5168)=0, """", INDEX(H$2:H5167,
MAX(FILTER(ROW(H$2:H5167) - ROW(H$2) + 1, P$2:P5167 = P5168)))))"),53.3)</f>
        <v>53.3</v>
      </c>
      <c r="N5168" s="335" t="str">
        <f>IF(MAXIFS('単価履歴'!$O:$O,'単価履歴'!$E:$E,E5168,'単価履歴'!$F:$F,F5168)=O5168,"●","")</f>
        <v/>
      </c>
      <c r="O5168" s="346">
        <v>46119.27751157407</v>
      </c>
      <c r="P5168" s="334" t="str">
        <f t="shared" si="4"/>
        <v>中山製鋼:阪和新断Ｃ</v>
      </c>
    </row>
    <row r="5169" ht="15.75" customHeight="1">
      <c r="A5169" s="335" t="s">
        <v>6316</v>
      </c>
      <c r="B5169" s="336">
        <v>46119.0</v>
      </c>
      <c r="C5169" s="335" t="s">
        <v>5</v>
      </c>
      <c r="D5169" s="335" t="s">
        <v>47</v>
      </c>
      <c r="E5169" s="337" t="str">
        <f t="shared" si="1"/>
        <v>中山製鋼:豊通</v>
      </c>
      <c r="F5169" s="338" t="s">
        <v>1199</v>
      </c>
      <c r="G5169" s="339" t="str">
        <f t="shared" si="2"/>
        <v>中山製鋼:豊通ＨＳ１(単体H1/電特A/HS))</v>
      </c>
      <c r="H5169" s="340">
        <f t="shared" si="3"/>
        <v>55.3</v>
      </c>
      <c r="I5169" s="341">
        <v>1.0</v>
      </c>
      <c r="J5169" s="332">
        <f>IFERROR(__xludf.DUMMYFUNCTION("IF(IF(COUNTIF(P$2:P5168, P5169)=0, """", INDEX(H$2:H5168,
MAX(FILTER(ROW(H$2:H5168) - ROW(H$2) + 1, P$2:P5168 = P5169))))=""単価"","""",
IF(COUNTIF(P$2:P5168, P5169)=0, """", INDEX(H$2:H5168,
MAX(FILTER(ROW(H$2:H5168) - ROW(H$2) + 1, P$2:P5168 = P5169)))))"),54.3)</f>
        <v>54.3</v>
      </c>
      <c r="N5169" s="335" t="str">
        <f>IF(MAXIFS('単価履歴'!$O:$O,'単価履歴'!$E:$E,E5169,'単価履歴'!$F:$F,F5169)=O5169,"●","")</f>
        <v/>
      </c>
      <c r="O5169" s="346">
        <v>46119.27767361111</v>
      </c>
      <c r="P5169" s="334" t="str">
        <f t="shared" si="4"/>
        <v>中山製鋼:豊通ＨＳ１(単体H1/電特A/HS))</v>
      </c>
    </row>
    <row r="5170" ht="15.75" customHeight="1">
      <c r="A5170" s="335" t="s">
        <v>6317</v>
      </c>
      <c r="B5170" s="336">
        <v>46119.0</v>
      </c>
      <c r="C5170" s="335" t="s">
        <v>5</v>
      </c>
      <c r="D5170" s="335" t="s">
        <v>47</v>
      </c>
      <c r="E5170" s="337" t="str">
        <f t="shared" si="1"/>
        <v>中山製鋼:豊通</v>
      </c>
      <c r="F5170" s="338" t="s">
        <v>101</v>
      </c>
      <c r="G5170" s="339" t="str">
        <f t="shared" si="2"/>
        <v>中山製鋼:豊通ＨＳ２</v>
      </c>
      <c r="H5170" s="340">
        <f t="shared" si="3"/>
        <v>55.3</v>
      </c>
      <c r="I5170" s="341">
        <v>1.0</v>
      </c>
      <c r="J5170" s="332">
        <f>IFERROR(__xludf.DUMMYFUNCTION("IF(IF(COUNTIF(P$2:P5169, P5170)=0, """", INDEX(H$2:H5169,
MAX(FILTER(ROW(H$2:H5169) - ROW(H$2) + 1, P$2:P5169 = P5170))))=""単価"","""",
IF(COUNTIF(P$2:P5169, P5170)=0, """", INDEX(H$2:H5169,
MAX(FILTER(ROW(H$2:H5169) - ROW(H$2) + 1, P$2:P5169 = P5170)))))"),54.3)</f>
        <v>54.3</v>
      </c>
      <c r="N5170" s="335" t="str">
        <f>IF(MAXIFS('単価履歴'!$O:$O,'単価履歴'!$E:$E,E5170,'単価履歴'!$F:$F,F5170)=O5170,"●","")</f>
        <v/>
      </c>
      <c r="O5170" s="346">
        <v>46119.27767361111</v>
      </c>
      <c r="P5170" s="334" t="str">
        <f t="shared" si="4"/>
        <v>中山製鋼:豊通ＨＳ２</v>
      </c>
    </row>
    <row r="5171" ht="15.75" customHeight="1">
      <c r="A5171" s="335" t="s">
        <v>6318</v>
      </c>
      <c r="B5171" s="336">
        <v>46119.0</v>
      </c>
      <c r="C5171" s="335" t="s">
        <v>5</v>
      </c>
      <c r="D5171" s="335" t="s">
        <v>47</v>
      </c>
      <c r="E5171" s="337" t="str">
        <f t="shared" si="1"/>
        <v>中山製鋼:豊通</v>
      </c>
      <c r="F5171" s="338" t="s">
        <v>108</v>
      </c>
      <c r="G5171" s="339" t="str">
        <f t="shared" si="2"/>
        <v>中山製鋼:豊通Ｈ１/ｻﾑﾃｯｸ</v>
      </c>
      <c r="H5171" s="340">
        <f t="shared" si="3"/>
        <v>8.5</v>
      </c>
      <c r="I5171" s="341">
        <v>1.0</v>
      </c>
      <c r="J5171" s="332">
        <f>IFERROR(__xludf.DUMMYFUNCTION("IF(IF(COUNTIF(P$2:P5170, P5171)=0, """", INDEX(H$2:H5170,
MAX(FILTER(ROW(H$2:H5170) - ROW(H$2) + 1, P$2:P5170 = P5171))))=""単価"","""",
IF(COUNTIF(P$2:P5170, P5171)=0, """", INDEX(H$2:H5170,
MAX(FILTER(ROW(H$2:H5170) - ROW(H$2) + 1, P$2:P5170 = P5171)))))"),7.5)</f>
        <v>7.5</v>
      </c>
      <c r="N5171" s="335" t="str">
        <f>IF(MAXIFS('単価履歴'!$O:$O,'単価履歴'!$E:$E,E5171,'単価履歴'!$F:$F,F5171)=O5171,"●","")</f>
        <v/>
      </c>
      <c r="O5171" s="346">
        <v>46119.27767361111</v>
      </c>
      <c r="P5171" s="334" t="str">
        <f t="shared" si="4"/>
        <v>中山製鋼:豊通Ｈ１/ｻﾑﾃｯｸ</v>
      </c>
    </row>
    <row r="5172" ht="15.75" customHeight="1">
      <c r="A5172" s="335" t="s">
        <v>6319</v>
      </c>
      <c r="B5172" s="336">
        <v>46119.0</v>
      </c>
      <c r="C5172" s="335" t="s">
        <v>5</v>
      </c>
      <c r="D5172" s="335" t="s">
        <v>47</v>
      </c>
      <c r="E5172" s="337" t="str">
        <f t="shared" si="1"/>
        <v>中山製鋼:豊通</v>
      </c>
      <c r="F5172" s="338" t="s">
        <v>111</v>
      </c>
      <c r="G5172" s="339" t="str">
        <f t="shared" si="2"/>
        <v>中山製鋼:豊通Ｈ１(特A)</v>
      </c>
      <c r="H5172" s="340">
        <f t="shared" si="3"/>
        <v>53.3</v>
      </c>
      <c r="I5172" s="341">
        <v>1.0</v>
      </c>
      <c r="J5172" s="332">
        <f>IFERROR(__xludf.DUMMYFUNCTION("IF(IF(COUNTIF(P$2:P5171, P5172)=0, """", INDEX(H$2:H5171,
MAX(FILTER(ROW(H$2:H5171) - ROW(H$2) + 1, P$2:P5171 = P5172))))=""単価"","""",
IF(COUNTIF(P$2:P5171, P5172)=0, """", INDEX(H$2:H5171,
MAX(FILTER(ROW(H$2:H5171) - ROW(H$2) + 1, P$2:P5171 = P5172)))))"),52.3)</f>
        <v>52.3</v>
      </c>
      <c r="N5172" s="335" t="str">
        <f>IF(MAXIFS('単価履歴'!$O:$O,'単価履歴'!$E:$E,E5172,'単価履歴'!$F:$F,F5172)=O5172,"●","")</f>
        <v/>
      </c>
      <c r="O5172" s="346">
        <v>46119.27767361111</v>
      </c>
      <c r="P5172" s="334" t="str">
        <f t="shared" si="4"/>
        <v>中山製鋼:豊通Ｈ１(特A)</v>
      </c>
    </row>
    <row r="5173" ht="15.75" customHeight="1">
      <c r="A5173" s="335" t="s">
        <v>6320</v>
      </c>
      <c r="B5173" s="336">
        <v>46119.0</v>
      </c>
      <c r="C5173" s="335" t="s">
        <v>5</v>
      </c>
      <c r="D5173" s="335" t="s">
        <v>47</v>
      </c>
      <c r="E5173" s="337" t="str">
        <f t="shared" si="1"/>
        <v>中山製鋼:豊通</v>
      </c>
      <c r="F5173" s="338" t="s">
        <v>116</v>
      </c>
      <c r="G5173" s="339" t="str">
        <f t="shared" si="2"/>
        <v>中山製鋼:豊通Ｈ２(特級)</v>
      </c>
      <c r="H5173" s="340">
        <f t="shared" si="3"/>
        <v>47.3</v>
      </c>
      <c r="I5173" s="341">
        <v>1.0</v>
      </c>
      <c r="J5173" s="332">
        <f>IFERROR(__xludf.DUMMYFUNCTION("IF(IF(COUNTIF(P$2:P5172, P5173)=0, """", INDEX(H$2:H5172,
MAX(FILTER(ROW(H$2:H5172) - ROW(H$2) + 1, P$2:P5172 = P5173))))=""単価"","""",
IF(COUNTIF(P$2:P5172, P5173)=0, """", INDEX(H$2:H5172,
MAX(FILTER(ROW(H$2:H5172) - ROW(H$2) + 1, P$2:P5172 = P5173)))))"),46.3)</f>
        <v>46.3</v>
      </c>
      <c r="N5173" s="335" t="str">
        <f>IF(MAXIFS('単価履歴'!$O:$O,'単価履歴'!$E:$E,E5173,'単価履歴'!$F:$F,F5173)=O5173,"●","")</f>
        <v/>
      </c>
      <c r="O5173" s="346">
        <v>46119.27767361111</v>
      </c>
      <c r="P5173" s="334" t="str">
        <f t="shared" si="4"/>
        <v>中山製鋼:豊通Ｈ２(特級)</v>
      </c>
    </row>
    <row r="5174" ht="15.75" customHeight="1">
      <c r="A5174" s="335" t="s">
        <v>6321</v>
      </c>
      <c r="B5174" s="336">
        <v>46119.0</v>
      </c>
      <c r="C5174" s="335" t="s">
        <v>5</v>
      </c>
      <c r="D5174" s="335" t="s">
        <v>47</v>
      </c>
      <c r="E5174" s="337" t="str">
        <f t="shared" si="1"/>
        <v>中山製鋼:豊通</v>
      </c>
      <c r="F5174" s="338" t="s">
        <v>119</v>
      </c>
      <c r="G5174" s="339" t="str">
        <f t="shared" si="2"/>
        <v>中山製鋼:豊通Ｈ３(1級)</v>
      </c>
      <c r="H5174" s="340">
        <f t="shared" si="3"/>
        <v>43.3</v>
      </c>
      <c r="I5174" s="341">
        <v>1.0</v>
      </c>
      <c r="J5174" s="332">
        <f>IFERROR(__xludf.DUMMYFUNCTION("IF(IF(COUNTIF(P$2:P5173, P5174)=0, """", INDEX(H$2:H5173,
MAX(FILTER(ROW(H$2:H5173) - ROW(H$2) + 1, P$2:P5173 = P5174))))=""単価"","""",
IF(COUNTIF(P$2:P5173, P5174)=0, """", INDEX(H$2:H5173,
MAX(FILTER(ROW(H$2:H5173) - ROW(H$2) + 1, P$2:P5173 = P5174)))))"),42.3)</f>
        <v>42.3</v>
      </c>
      <c r="N5174" s="335" t="str">
        <f>IF(MAXIFS('単価履歴'!$O:$O,'単価履歴'!$E:$E,E5174,'単価履歴'!$F:$F,F5174)=O5174,"●","")</f>
        <v/>
      </c>
      <c r="O5174" s="346">
        <v>46119.27767361111</v>
      </c>
      <c r="P5174" s="334" t="str">
        <f t="shared" si="4"/>
        <v>中山製鋼:豊通Ｈ３(1級)</v>
      </c>
    </row>
    <row r="5175" ht="15.75" customHeight="1">
      <c r="A5175" s="335" t="s">
        <v>6322</v>
      </c>
      <c r="B5175" s="336">
        <v>46119.0</v>
      </c>
      <c r="C5175" s="335" t="s">
        <v>5</v>
      </c>
      <c r="D5175" s="335" t="s">
        <v>47</v>
      </c>
      <c r="E5175" s="337" t="str">
        <f t="shared" si="1"/>
        <v>中山製鋼:豊通</v>
      </c>
      <c r="F5175" s="338" t="s">
        <v>122</v>
      </c>
      <c r="G5175" s="339" t="str">
        <f t="shared" si="2"/>
        <v>中山製鋼:豊通Ｌ１(2級)</v>
      </c>
      <c r="H5175" s="340">
        <f t="shared" si="3"/>
        <v>36.8</v>
      </c>
      <c r="I5175" s="341">
        <v>1.0</v>
      </c>
      <c r="J5175" s="332">
        <f>IFERROR(__xludf.DUMMYFUNCTION("IF(IF(COUNTIF(P$2:P5174, P5175)=0, """", INDEX(H$2:H5174,
MAX(FILTER(ROW(H$2:H5174) - ROW(H$2) + 1, P$2:P5174 = P5175))))=""単価"","""",
IF(COUNTIF(P$2:P5174, P5175)=0, """", INDEX(H$2:H5174,
MAX(FILTER(ROW(H$2:H5174) - ROW(H$2) + 1, P$2:P5174 = P5175)))))"),35.8)</f>
        <v>35.8</v>
      </c>
      <c r="N5175" s="335" t="str">
        <f>IF(MAXIFS('単価履歴'!$O:$O,'単価履歴'!$E:$E,E5175,'単価履歴'!$F:$F,F5175)=O5175,"●","")</f>
        <v/>
      </c>
      <c r="O5175" s="346">
        <v>46119.27767361111</v>
      </c>
      <c r="P5175" s="334" t="str">
        <f t="shared" si="4"/>
        <v>中山製鋼:豊通Ｌ１(2級)</v>
      </c>
    </row>
    <row r="5176" ht="15.75" customHeight="1">
      <c r="A5176" s="335" t="s">
        <v>6323</v>
      </c>
      <c r="B5176" s="336">
        <v>46119.0</v>
      </c>
      <c r="C5176" s="335" t="s">
        <v>5</v>
      </c>
      <c r="D5176" s="335" t="s">
        <v>47</v>
      </c>
      <c r="E5176" s="337" t="str">
        <f t="shared" si="1"/>
        <v>中山製鋼:豊通</v>
      </c>
      <c r="F5176" s="338" t="s">
        <v>130</v>
      </c>
      <c r="G5176" s="339" t="str">
        <f t="shared" si="2"/>
        <v>中山製鋼:豊通新断Ａ</v>
      </c>
      <c r="H5176" s="340">
        <f t="shared" si="3"/>
        <v>56.3</v>
      </c>
      <c r="I5176" s="341">
        <v>1.0</v>
      </c>
      <c r="J5176" s="332">
        <f>IFERROR(__xludf.DUMMYFUNCTION("IF(IF(COUNTIF(P$2:P5175, P5176)=0, """", INDEX(H$2:H5175,
MAX(FILTER(ROW(H$2:H5175) - ROW(H$2) + 1, P$2:P5175 = P5176))))=""単価"","""",
IF(COUNTIF(P$2:P5175, P5176)=0, """", INDEX(H$2:H5175,
MAX(FILTER(ROW(H$2:H5175) - ROW(H$2) + 1, P$2:P5175 = P5176)))))"),55.3)</f>
        <v>55.3</v>
      </c>
      <c r="N5176" s="335" t="str">
        <f>IF(MAXIFS('単価履歴'!$O:$O,'単価履歴'!$E:$E,E5176,'単価履歴'!$F:$F,F5176)=O5176,"●","")</f>
        <v/>
      </c>
      <c r="O5176" s="346">
        <v>46119.27767361111</v>
      </c>
      <c r="P5176" s="334" t="str">
        <f t="shared" si="4"/>
        <v>中山製鋼:豊通新断Ａ</v>
      </c>
    </row>
    <row r="5177" ht="15.75" customHeight="1">
      <c r="A5177" s="335" t="s">
        <v>6324</v>
      </c>
      <c r="B5177" s="336">
        <v>46119.0</v>
      </c>
      <c r="C5177" s="335" t="s">
        <v>5</v>
      </c>
      <c r="D5177" s="335" t="s">
        <v>47</v>
      </c>
      <c r="E5177" s="337" t="str">
        <f t="shared" si="1"/>
        <v>中山製鋼:豊通</v>
      </c>
      <c r="F5177" s="338" t="s">
        <v>131</v>
      </c>
      <c r="G5177" s="339" t="str">
        <f t="shared" si="2"/>
        <v>中山製鋼:豊通新断Ｂ</v>
      </c>
      <c r="H5177" s="340">
        <f t="shared" si="3"/>
        <v>55.3</v>
      </c>
      <c r="I5177" s="341">
        <v>1.0</v>
      </c>
      <c r="J5177" s="332">
        <f>IFERROR(__xludf.DUMMYFUNCTION("IF(IF(COUNTIF(P$2:P5176, P5177)=0, """", INDEX(H$2:H5176,
MAX(FILTER(ROW(H$2:H5176) - ROW(H$2) + 1, P$2:P5176 = P5177))))=""単価"","""",
IF(COUNTIF(P$2:P5176, P5177)=0, """", INDEX(H$2:H5176,
MAX(FILTER(ROW(H$2:H5176) - ROW(H$2) + 1, P$2:P5176 = P5177)))))"),54.3)</f>
        <v>54.3</v>
      </c>
      <c r="N5177" s="335" t="str">
        <f>IF(MAXIFS('単価履歴'!$O:$O,'単価履歴'!$E:$E,E5177,'単価履歴'!$F:$F,F5177)=O5177,"●","")</f>
        <v/>
      </c>
      <c r="O5177" s="346">
        <v>46119.27767361111</v>
      </c>
      <c r="P5177" s="334" t="str">
        <f t="shared" si="4"/>
        <v>中山製鋼:豊通新断Ｂ</v>
      </c>
    </row>
    <row r="5178" ht="15.75" customHeight="1">
      <c r="A5178" s="335" t="s">
        <v>6325</v>
      </c>
      <c r="B5178" s="336">
        <v>46119.0</v>
      </c>
      <c r="C5178" s="335" t="s">
        <v>5</v>
      </c>
      <c r="D5178" s="335" t="s">
        <v>47</v>
      </c>
      <c r="E5178" s="337" t="str">
        <f t="shared" si="1"/>
        <v>中山製鋼:豊通</v>
      </c>
      <c r="F5178" s="338" t="s">
        <v>574</v>
      </c>
      <c r="G5178" s="339" t="str">
        <f t="shared" si="2"/>
        <v>中山製鋼:豊通新断Ｃ</v>
      </c>
      <c r="H5178" s="340">
        <f t="shared" si="3"/>
        <v>54.3</v>
      </c>
      <c r="I5178" s="341">
        <v>1.0</v>
      </c>
      <c r="J5178" s="332">
        <f>IFERROR(__xludf.DUMMYFUNCTION("IF(IF(COUNTIF(P$2:P5177, P5178)=0, """", INDEX(H$2:H5177,
MAX(FILTER(ROW(H$2:H5177) - ROW(H$2) + 1, P$2:P5177 = P5178))))=""単価"","""",
IF(COUNTIF(P$2:P5177, P5178)=0, """", INDEX(H$2:H5177,
MAX(FILTER(ROW(H$2:H5177) - ROW(H$2) + 1, P$2:P5177 = P5178)))))"),53.3)</f>
        <v>53.3</v>
      </c>
      <c r="N5178" s="335" t="str">
        <f>IF(MAXIFS('単価履歴'!$O:$O,'単価履歴'!$E:$E,E5178,'単価履歴'!$F:$F,F5178)=O5178,"●","")</f>
        <v/>
      </c>
      <c r="O5178" s="346">
        <v>46119.27767361111</v>
      </c>
      <c r="P5178" s="334" t="str">
        <f t="shared" si="4"/>
        <v>中山製鋼:豊通新断Ｃ</v>
      </c>
    </row>
    <row r="5179" ht="15.75" customHeight="1">
      <c r="A5179" s="335" t="s">
        <v>6326</v>
      </c>
      <c r="B5179" s="336">
        <v>46119.0</v>
      </c>
      <c r="C5179" s="335" t="s">
        <v>5</v>
      </c>
      <c r="D5179" s="335" t="s">
        <v>1232</v>
      </c>
      <c r="E5179" s="337" t="str">
        <f t="shared" si="1"/>
        <v>中山製鋼:豊通/出張商店</v>
      </c>
      <c r="F5179" s="338" t="s">
        <v>130</v>
      </c>
      <c r="G5179" s="339" t="str">
        <f t="shared" si="2"/>
        <v>中山製鋼:豊通/出張商店新断Ａ</v>
      </c>
      <c r="H5179" s="340">
        <f t="shared" si="3"/>
        <v>55.3</v>
      </c>
      <c r="I5179" s="341">
        <v>1.0</v>
      </c>
      <c r="J5179" s="332">
        <f>IFERROR(__xludf.DUMMYFUNCTION("IF(IF(COUNTIF(P$2:P5178, P5179)=0, """", INDEX(H$2:H5178,
MAX(FILTER(ROW(H$2:H5178) - ROW(H$2) + 1, P$2:P5178 = P5179))))=""単価"","""",
IF(COUNTIF(P$2:P5178, P5179)=0, """", INDEX(H$2:H5178,
MAX(FILTER(ROW(H$2:H5178) - ROW(H$2) + 1, P$2:P5178 = P5179)))))"),54.3)</f>
        <v>54.3</v>
      </c>
      <c r="N5179" s="335" t="str">
        <f>IF(MAXIFS('単価履歴'!$O:$O,'単価履歴'!$E:$E,E5179,'単価履歴'!$F:$F,F5179)=O5179,"●","")</f>
        <v/>
      </c>
      <c r="O5179" s="346">
        <v>46119.277870370366</v>
      </c>
      <c r="P5179" s="334" t="str">
        <f t="shared" si="4"/>
        <v>中山製鋼:豊通/出張商店新断Ａ</v>
      </c>
    </row>
    <row r="5180" ht="15.75" customHeight="1">
      <c r="A5180" s="335" t="s">
        <v>6327</v>
      </c>
      <c r="B5180" s="336">
        <v>46119.0</v>
      </c>
      <c r="C5180" s="335" t="s">
        <v>5</v>
      </c>
      <c r="D5180" s="335" t="s">
        <v>1234</v>
      </c>
      <c r="E5180" s="337" t="str">
        <f t="shared" si="1"/>
        <v>中山製鋼:豊通/中川嘉弘商店</v>
      </c>
      <c r="F5180" s="338" t="s">
        <v>130</v>
      </c>
      <c r="G5180" s="339" t="str">
        <f t="shared" si="2"/>
        <v>中山製鋼:豊通/中川嘉弘商店新断Ａ</v>
      </c>
      <c r="H5180" s="340">
        <f t="shared" si="3"/>
        <v>53.3</v>
      </c>
      <c r="I5180" s="341">
        <v>1.0</v>
      </c>
      <c r="J5180" s="332">
        <f>IFERROR(__xludf.DUMMYFUNCTION("IF(IF(COUNTIF(P$2:P5179, P5180)=0, """", INDEX(H$2:H5179,
MAX(FILTER(ROW(H$2:H5179) - ROW(H$2) + 1, P$2:P5179 = P5180))))=""単価"","""",
IF(COUNTIF(P$2:P5179, P5180)=0, """", INDEX(H$2:H5179,
MAX(FILTER(ROW(H$2:H5179) - ROW(H$2) + 1, P$2:P5179 = P5180)))))"),52.3)</f>
        <v>52.3</v>
      </c>
      <c r="N5180" s="335" t="str">
        <f>IF(MAXIFS('単価履歴'!$O:$O,'単価履歴'!$E:$E,E5180,'単価履歴'!$F:$F,F5180)=O5180,"●","")</f>
        <v/>
      </c>
      <c r="O5180" s="346">
        <v>46119.277870370366</v>
      </c>
      <c r="P5180" s="334" t="str">
        <f t="shared" si="4"/>
        <v>中山製鋼:豊通/中川嘉弘商店新断Ａ</v>
      </c>
    </row>
    <row r="5181" ht="15.75" customHeight="1">
      <c r="A5181" s="335" t="s">
        <v>6328</v>
      </c>
      <c r="B5181" s="336">
        <v>46119.0</v>
      </c>
      <c r="C5181" s="335" t="s">
        <v>534</v>
      </c>
      <c r="D5181" s="335" t="s">
        <v>46</v>
      </c>
      <c r="E5181" s="337" t="str">
        <f t="shared" si="1"/>
        <v>合同姫路:阪和</v>
      </c>
      <c r="F5181" s="338" t="s">
        <v>130</v>
      </c>
      <c r="G5181" s="339" t="str">
        <f t="shared" si="2"/>
        <v>合同姫路:阪和新断Ａ</v>
      </c>
      <c r="H5181" s="340">
        <f t="shared" si="3"/>
        <v>55.8</v>
      </c>
      <c r="I5181" s="341">
        <v>1.0</v>
      </c>
      <c r="J5181" s="332">
        <f>IFERROR(__xludf.DUMMYFUNCTION("IF(IF(COUNTIF(P$2:P5180, P5181)=0, """", INDEX(H$2:H5180,
MAX(FILTER(ROW(H$2:H5180) - ROW(H$2) + 1, P$2:P5180 = P5181))))=""単価"","""",
IF(COUNTIF(P$2:P5180, P5181)=0, """", INDEX(H$2:H5180,
MAX(FILTER(ROW(H$2:H5180) - ROW(H$2) + 1, P$2:P5180 = P5181)))))"),54.8)</f>
        <v>54.8</v>
      </c>
      <c r="N5181" s="335" t="str">
        <f>IF(MAXIFS('単価履歴'!$O:$O,'単価履歴'!$E:$E,E5181,'単価履歴'!$F:$F,F5181)=O5181,"●","")</f>
        <v/>
      </c>
      <c r="O5181" s="346">
        <v>46119.27819444444</v>
      </c>
      <c r="P5181" s="334" t="str">
        <f t="shared" si="4"/>
        <v>合同姫路:阪和新断Ａ</v>
      </c>
    </row>
    <row r="5182" ht="15.75" customHeight="1">
      <c r="A5182" s="335" t="s">
        <v>6329</v>
      </c>
      <c r="B5182" s="336">
        <v>46119.0</v>
      </c>
      <c r="C5182" s="335" t="s">
        <v>534</v>
      </c>
      <c r="D5182" s="335" t="s">
        <v>46</v>
      </c>
      <c r="E5182" s="337" t="str">
        <f t="shared" si="1"/>
        <v>合同姫路:阪和</v>
      </c>
      <c r="F5182" s="338" t="s">
        <v>131</v>
      </c>
      <c r="G5182" s="339" t="str">
        <f t="shared" si="2"/>
        <v>合同姫路:阪和新断Ｂ</v>
      </c>
      <c r="H5182" s="340">
        <f t="shared" si="3"/>
        <v>54.8</v>
      </c>
      <c r="I5182" s="341">
        <v>1.0</v>
      </c>
      <c r="J5182" s="332">
        <f>IFERROR(__xludf.DUMMYFUNCTION("IF(IF(COUNTIF(P$2:P5181, P5182)=0, """", INDEX(H$2:H5181,
MAX(FILTER(ROW(H$2:H5181) - ROW(H$2) + 1, P$2:P5181 = P5182))))=""単価"","""",
IF(COUNTIF(P$2:P5181, P5182)=0, """", INDEX(H$2:H5181,
MAX(FILTER(ROW(H$2:H5181) - ROW(H$2) + 1, P$2:P5181 = P5182)))))"),53.8)</f>
        <v>53.8</v>
      </c>
      <c r="N5182" s="335" t="str">
        <f>IF(MAXIFS('単価履歴'!$O:$O,'単価履歴'!$E:$E,E5182,'単価履歴'!$F:$F,F5182)=O5182,"●","")</f>
        <v/>
      </c>
      <c r="O5182" s="346">
        <v>46119.27819444444</v>
      </c>
      <c r="P5182" s="334" t="str">
        <f t="shared" si="4"/>
        <v>合同姫路:阪和新断Ｂ</v>
      </c>
    </row>
    <row r="5183" ht="15.75" customHeight="1">
      <c r="A5183" s="335" t="s">
        <v>6330</v>
      </c>
      <c r="B5183" s="336">
        <v>46119.0</v>
      </c>
      <c r="C5183" s="335" t="s">
        <v>11</v>
      </c>
      <c r="D5183" s="335" t="s">
        <v>46</v>
      </c>
      <c r="E5183" s="337" t="str">
        <f t="shared" si="1"/>
        <v>ﾔﾏﾄ:阪和</v>
      </c>
      <c r="F5183" s="338" t="s">
        <v>116</v>
      </c>
      <c r="G5183" s="339" t="str">
        <f t="shared" si="2"/>
        <v>ﾔﾏﾄ:阪和Ｈ２(特級)</v>
      </c>
      <c r="H5183" s="340">
        <f t="shared" si="3"/>
        <v>52.1</v>
      </c>
      <c r="I5183" s="341">
        <v>1.0</v>
      </c>
      <c r="J5183" s="332">
        <f>IFERROR(__xludf.DUMMYFUNCTION("IF(IF(COUNTIF(P$2:P5182, P5183)=0, """", INDEX(H$2:H5182,
MAX(FILTER(ROW(H$2:H5182) - ROW(H$2) + 1, P$2:P5182 = P5183))))=""単価"","""",
IF(COUNTIF(P$2:P5182, P5183)=0, """", INDEX(H$2:H5182,
MAX(FILTER(ROW(H$2:H5182) - ROW(H$2) + 1, P$2:P5182 = P5183)))))"),51.1)</f>
        <v>51.1</v>
      </c>
      <c r="N5183" s="335" t="str">
        <f>IF(MAXIFS('単価履歴'!$O:$O,'単価履歴'!$E:$E,E5183,'単価履歴'!$F:$F,F5183)=O5183,"●","")</f>
        <v/>
      </c>
      <c r="O5183" s="346">
        <v>46119.27865740741</v>
      </c>
      <c r="P5183" s="334" t="str">
        <f t="shared" si="4"/>
        <v>ﾔﾏﾄ:阪和Ｈ２(特級)</v>
      </c>
    </row>
    <row r="5184" ht="15.75" customHeight="1">
      <c r="A5184" s="335" t="s">
        <v>6331</v>
      </c>
      <c r="B5184" s="336">
        <v>46119.0</v>
      </c>
      <c r="C5184" s="335" t="s">
        <v>11</v>
      </c>
      <c r="D5184" s="335" t="s">
        <v>46</v>
      </c>
      <c r="E5184" s="337" t="str">
        <f t="shared" si="1"/>
        <v>ﾔﾏﾄ:阪和</v>
      </c>
      <c r="F5184" s="338" t="s">
        <v>119</v>
      </c>
      <c r="G5184" s="339" t="str">
        <f t="shared" si="2"/>
        <v>ﾔﾏﾄ:阪和Ｈ３(1級)</v>
      </c>
      <c r="H5184" s="340">
        <f t="shared" si="3"/>
        <v>51.1</v>
      </c>
      <c r="I5184" s="341">
        <v>1.0</v>
      </c>
      <c r="J5184" s="332">
        <f>IFERROR(__xludf.DUMMYFUNCTION("IF(IF(COUNTIF(P$2:P5183, P5184)=0, """", INDEX(H$2:H5183,
MAX(FILTER(ROW(H$2:H5183) - ROW(H$2) + 1, P$2:P5183 = P5184))))=""単価"","""",
IF(COUNTIF(P$2:P5183, P5184)=0, """", INDEX(H$2:H5183,
MAX(FILTER(ROW(H$2:H5183) - ROW(H$2) + 1, P$2:P5183 = P5184)))))"),50.1)</f>
        <v>50.1</v>
      </c>
      <c r="N5184" s="335" t="str">
        <f>IF(MAXIFS('単価履歴'!$O:$O,'単価履歴'!$E:$E,E5184,'単価履歴'!$F:$F,F5184)=O5184,"●","")</f>
        <v/>
      </c>
      <c r="O5184" s="346">
        <v>46119.27865740741</v>
      </c>
      <c r="P5184" s="334" t="str">
        <f t="shared" si="4"/>
        <v>ﾔﾏﾄ:阪和Ｈ３(1級)</v>
      </c>
    </row>
    <row r="5185" ht="15.75" customHeight="1">
      <c r="A5185" s="335" t="s">
        <v>6332</v>
      </c>
      <c r="B5185" s="336">
        <v>46119.0</v>
      </c>
      <c r="C5185" s="335" t="s">
        <v>11</v>
      </c>
      <c r="D5185" s="335" t="s">
        <v>46</v>
      </c>
      <c r="E5185" s="337" t="str">
        <f t="shared" si="1"/>
        <v>ﾔﾏﾄ:阪和</v>
      </c>
      <c r="F5185" s="338" t="s">
        <v>122</v>
      </c>
      <c r="G5185" s="339" t="str">
        <f t="shared" si="2"/>
        <v>ﾔﾏﾄ:阪和Ｌ１(2級)</v>
      </c>
      <c r="H5185" s="340">
        <f t="shared" si="3"/>
        <v>49.1</v>
      </c>
      <c r="I5185" s="341">
        <v>1.0</v>
      </c>
      <c r="J5185" s="332">
        <f>IFERROR(__xludf.DUMMYFUNCTION("IF(IF(COUNTIF(P$2:P5184, P5185)=0, """", INDEX(H$2:H5184,
MAX(FILTER(ROW(H$2:H5184) - ROW(H$2) + 1, P$2:P5184 = P5185))))=""単価"","""",
IF(COUNTIF(P$2:P5184, P5185)=0, """", INDEX(H$2:H5184,
MAX(FILTER(ROW(H$2:H5184) - ROW(H$2) + 1, P$2:P5184 = P5185)))))"),48.1)</f>
        <v>48.1</v>
      </c>
      <c r="N5185" s="335" t="str">
        <f>IF(MAXIFS('単価履歴'!$O:$O,'単価履歴'!$E:$E,E5185,'単価履歴'!$F:$F,F5185)=O5185,"●","")</f>
        <v/>
      </c>
      <c r="O5185" s="346">
        <v>46119.27865740741</v>
      </c>
      <c r="P5185" s="334" t="str">
        <f t="shared" si="4"/>
        <v>ﾔﾏﾄ:阪和Ｌ１(2級)</v>
      </c>
    </row>
    <row r="5186" ht="15.75" customHeight="1">
      <c r="A5186" s="335" t="s">
        <v>6333</v>
      </c>
      <c r="B5186" s="336">
        <v>46119.0</v>
      </c>
      <c r="C5186" s="335" t="s">
        <v>11</v>
      </c>
      <c r="D5186" s="335" t="s">
        <v>46</v>
      </c>
      <c r="E5186" s="337" t="str">
        <f t="shared" si="1"/>
        <v>ﾔﾏﾄ:阪和</v>
      </c>
      <c r="F5186" s="338" t="s">
        <v>111</v>
      </c>
      <c r="G5186" s="339" t="str">
        <f t="shared" si="2"/>
        <v>ﾔﾏﾄ:阪和Ｈ１(特A)</v>
      </c>
      <c r="H5186" s="340">
        <f t="shared" si="3"/>
        <v>53.1</v>
      </c>
      <c r="I5186" s="341">
        <v>1.0</v>
      </c>
      <c r="J5186" s="332">
        <f>IFERROR(__xludf.DUMMYFUNCTION("IF(IF(COUNTIF(P$2:P5185, P5186)=0, """", INDEX(H$2:H5185,
MAX(FILTER(ROW(H$2:H5185) - ROW(H$2) + 1, P$2:P5185 = P5186))))=""単価"","""",
IF(COUNTIF(P$2:P5185, P5186)=0, """", INDEX(H$2:H5185,
MAX(FILTER(ROW(H$2:H5185) - ROW(H$2) + 1, P$2:P5185 = P5186)))))"),52.1)</f>
        <v>52.1</v>
      </c>
      <c r="N5186" s="335" t="str">
        <f>IF(MAXIFS('単価履歴'!$O:$O,'単価履歴'!$E:$E,E5186,'単価履歴'!$F:$F,F5186)=O5186,"●","")</f>
        <v/>
      </c>
      <c r="O5186" s="346">
        <v>46119.27865740741</v>
      </c>
      <c r="P5186" s="334" t="str">
        <f t="shared" si="4"/>
        <v>ﾔﾏﾄ:阪和Ｈ１(特A)</v>
      </c>
    </row>
    <row r="5187" ht="15.75" customHeight="1">
      <c r="A5187" s="335" t="s">
        <v>6334</v>
      </c>
      <c r="B5187" s="336">
        <v>46119.0</v>
      </c>
      <c r="C5187" s="335" t="s">
        <v>11</v>
      </c>
      <c r="D5187" s="335" t="s">
        <v>46</v>
      </c>
      <c r="E5187" s="337" t="str">
        <f t="shared" si="1"/>
        <v>ﾔﾏﾄ:阪和</v>
      </c>
      <c r="F5187" s="338" t="s">
        <v>573</v>
      </c>
      <c r="G5187" s="339" t="str">
        <f t="shared" si="2"/>
        <v>ﾔﾏﾄ:阪和Ｌ２(H4･級外･L1ﾊﾞﾗ)</v>
      </c>
      <c r="H5187" s="340">
        <f t="shared" si="3"/>
        <v>46.6</v>
      </c>
      <c r="I5187" s="341">
        <v>1.0</v>
      </c>
      <c r="J5187" s="332">
        <f>IFERROR(__xludf.DUMMYFUNCTION("IF(IF(COUNTIF(P$2:P5186, P5187)=0, """", INDEX(H$2:H5186,
MAX(FILTER(ROW(H$2:H5186) - ROW(H$2) + 1, P$2:P5186 = P5187))))=""単価"","""",
IF(COUNTIF(P$2:P5186, P5187)=0, """", INDEX(H$2:H5186,
MAX(FILTER(ROW(H$2:H5186) - ROW(H$2) + 1, P$2:P5186 = P5187)))))"),45.6)</f>
        <v>45.6</v>
      </c>
      <c r="N5187" s="335" t="str">
        <f>IF(MAXIFS('単価履歴'!$O:$O,'単価履歴'!$E:$E,E5187,'単価履歴'!$F:$F,F5187)=O5187,"●","")</f>
        <v/>
      </c>
      <c r="O5187" s="346">
        <v>46119.27865740741</v>
      </c>
      <c r="P5187" s="334" t="str">
        <f t="shared" si="4"/>
        <v>ﾔﾏﾄ:阪和Ｌ２(H4･級外･L1ﾊﾞﾗ)</v>
      </c>
    </row>
    <row r="5188" ht="15.75" customHeight="1">
      <c r="A5188" s="335" t="s">
        <v>6335</v>
      </c>
      <c r="B5188" s="336">
        <v>46119.0</v>
      </c>
      <c r="C5188" s="335" t="s">
        <v>19</v>
      </c>
      <c r="D5188" s="335" t="s">
        <v>61</v>
      </c>
      <c r="E5188" s="337" t="str">
        <f t="shared" si="1"/>
        <v>トピー工業:ＭＭ</v>
      </c>
      <c r="F5188" s="338" t="s">
        <v>116</v>
      </c>
      <c r="G5188" s="339" t="str">
        <f t="shared" si="2"/>
        <v>トピー工業:ＭＭＨ２(特級)</v>
      </c>
      <c r="H5188" s="340">
        <f t="shared" si="3"/>
        <v>45</v>
      </c>
      <c r="I5188" s="341">
        <v>1.0</v>
      </c>
      <c r="J5188" s="332">
        <f>IFERROR(__xludf.DUMMYFUNCTION("IF(IF(COUNTIF(P$2:P5187, P5188)=0, """", INDEX(H$2:H5187,
MAX(FILTER(ROW(H$2:H5187) - ROW(H$2) + 1, P$2:P5187 = P5188))))=""単価"","""",
IF(COUNTIF(P$2:P5187, P5188)=0, """", INDEX(H$2:H5187,
MAX(FILTER(ROW(H$2:H5187) - ROW(H$2) + 1, P$2:P5187 = P5188)))))"),44.0)</f>
        <v>44</v>
      </c>
      <c r="N5188" s="335" t="str">
        <f>IF(MAXIFS('単価履歴'!$O:$O,'単価履歴'!$E:$E,E5188,'単価履歴'!$F:$F,F5188)=O5188,"●","")</f>
        <v/>
      </c>
      <c r="O5188" s="346">
        <v>46119.27909722222</v>
      </c>
      <c r="P5188" s="334" t="str">
        <f t="shared" si="4"/>
        <v>トピー工業:ＭＭＨ２(特級)</v>
      </c>
    </row>
    <row r="5189" ht="15.75" customHeight="1">
      <c r="A5189" s="335" t="s">
        <v>6336</v>
      </c>
      <c r="B5189" s="336">
        <v>46119.0</v>
      </c>
      <c r="C5189" s="335" t="s">
        <v>9</v>
      </c>
      <c r="D5189" s="335" t="s">
        <v>51</v>
      </c>
      <c r="E5189" s="337" t="str">
        <f t="shared" si="1"/>
        <v>大鉄　堺:大鉄堺</v>
      </c>
      <c r="F5189" s="338" t="s">
        <v>111</v>
      </c>
      <c r="G5189" s="339" t="str">
        <f t="shared" si="2"/>
        <v>大鉄　堺:大鉄堺Ｈ１(特A)</v>
      </c>
      <c r="H5189" s="340">
        <f t="shared" si="3"/>
        <v>52.5</v>
      </c>
      <c r="I5189" s="341">
        <v>1.0</v>
      </c>
      <c r="J5189" s="332">
        <f>IFERROR(__xludf.DUMMYFUNCTION("IF(IF(COUNTIF(P$2:P5188, P5189)=0, """", INDEX(H$2:H5188,
MAX(FILTER(ROW(H$2:H5188) - ROW(H$2) + 1, P$2:P5188 = P5189))))=""単価"","""",
IF(COUNTIF(P$2:P5188, P5189)=0, """", INDEX(H$2:H5188,
MAX(FILTER(ROW(H$2:H5188) - ROW(H$2) + 1, P$2:P5188 = P5189)))))"),51.5)</f>
        <v>51.5</v>
      </c>
      <c r="N5189" s="335" t="str">
        <f>IF(MAXIFS('単価履歴'!$O:$O,'単価履歴'!$E:$E,E5189,'単価履歴'!$F:$F,F5189)=O5189,"●","")</f>
        <v/>
      </c>
      <c r="O5189" s="346">
        <v>46119.2794212963</v>
      </c>
      <c r="P5189" s="334" t="str">
        <f t="shared" si="4"/>
        <v>大鉄　堺:大鉄堺Ｈ１(特A)</v>
      </c>
    </row>
    <row r="5190" ht="15.75" customHeight="1">
      <c r="A5190" s="335" t="s">
        <v>6337</v>
      </c>
      <c r="B5190" s="336">
        <v>46119.0</v>
      </c>
      <c r="C5190" s="335" t="s">
        <v>9</v>
      </c>
      <c r="D5190" s="335" t="s">
        <v>51</v>
      </c>
      <c r="E5190" s="337" t="str">
        <f t="shared" si="1"/>
        <v>大鉄　堺:大鉄堺</v>
      </c>
      <c r="F5190" s="338" t="s">
        <v>116</v>
      </c>
      <c r="G5190" s="339" t="str">
        <f t="shared" si="2"/>
        <v>大鉄　堺:大鉄堺Ｈ２(特級)</v>
      </c>
      <c r="H5190" s="340">
        <f t="shared" si="3"/>
        <v>49.5</v>
      </c>
      <c r="I5190" s="341">
        <v>1.0</v>
      </c>
      <c r="J5190" s="332">
        <f>IFERROR(__xludf.DUMMYFUNCTION("IF(IF(COUNTIF(P$2:P5189, P5190)=0, """", INDEX(H$2:H5189,
MAX(FILTER(ROW(H$2:H5189) - ROW(H$2) + 1, P$2:P5189 = P5190))))=""単価"","""",
IF(COUNTIF(P$2:P5189, P5190)=0, """", INDEX(H$2:H5189,
MAX(FILTER(ROW(H$2:H5189) - ROW(H$2) + 1, P$2:P5189 = P5190)))))"),48.5)</f>
        <v>48.5</v>
      </c>
      <c r="N5190" s="335" t="str">
        <f>IF(MAXIFS('単価履歴'!$O:$O,'単価履歴'!$E:$E,E5190,'単価履歴'!$F:$F,F5190)=O5190,"●","")</f>
        <v/>
      </c>
      <c r="O5190" s="346">
        <v>46119.2794212963</v>
      </c>
      <c r="P5190" s="334" t="str">
        <f t="shared" si="4"/>
        <v>大鉄　堺:大鉄堺Ｈ２(特級)</v>
      </c>
    </row>
    <row r="5191" ht="15.75" customHeight="1">
      <c r="A5191" s="335" t="s">
        <v>6338</v>
      </c>
      <c r="B5191" s="336">
        <v>46119.0</v>
      </c>
      <c r="C5191" s="335" t="s">
        <v>9</v>
      </c>
      <c r="D5191" s="335" t="s">
        <v>51</v>
      </c>
      <c r="E5191" s="337" t="str">
        <f t="shared" si="1"/>
        <v>大鉄　堺:大鉄堺</v>
      </c>
      <c r="F5191" s="338" t="s">
        <v>1237</v>
      </c>
      <c r="G5191" s="339" t="str">
        <f t="shared" si="2"/>
        <v>大鉄　堺:大鉄堺ＪＨ１(H2T山口)鍛造ﾊﾞﾘ</v>
      </c>
      <c r="H5191" s="340">
        <f t="shared" si="3"/>
        <v>51.5</v>
      </c>
      <c r="I5191" s="341">
        <v>1.0</v>
      </c>
      <c r="J5191" s="332">
        <f>IFERROR(__xludf.DUMMYFUNCTION("IF(IF(COUNTIF(P$2:P5190, P5191)=0, """", INDEX(H$2:H5190,
MAX(FILTER(ROW(H$2:H5190) - ROW(H$2) + 1, P$2:P5190 = P5191))))=""単価"","""",
IF(COUNTIF(P$2:P5190, P5191)=0, """", INDEX(H$2:H5190,
MAX(FILTER(ROW(H$2:H5190) - ROW(H$2) + 1, P$2:P5190 = P5191)))))"),50.5)</f>
        <v>50.5</v>
      </c>
      <c r="N5191" s="335" t="str">
        <f>IF(MAXIFS('単価履歴'!$O:$O,'単価履歴'!$E:$E,E5191,'単価履歴'!$F:$F,F5191)=O5191,"●","")</f>
        <v/>
      </c>
      <c r="O5191" s="346">
        <v>46119.2794212963</v>
      </c>
      <c r="P5191" s="334" t="str">
        <f t="shared" si="4"/>
        <v>大鉄　堺:大鉄堺ＪＨ１(H2T山口)鍛造ﾊﾞﾘ</v>
      </c>
    </row>
    <row r="5192" ht="15.75" customHeight="1">
      <c r="A5192" s="335" t="s">
        <v>6339</v>
      </c>
      <c r="B5192" s="336">
        <v>46119.0</v>
      </c>
      <c r="C5192" s="335" t="s">
        <v>9</v>
      </c>
      <c r="D5192" s="335" t="s">
        <v>51</v>
      </c>
      <c r="E5192" s="337" t="str">
        <f t="shared" si="1"/>
        <v>大鉄　堺:大鉄堺</v>
      </c>
      <c r="F5192" s="338" t="s">
        <v>119</v>
      </c>
      <c r="G5192" s="339" t="str">
        <f t="shared" si="2"/>
        <v>大鉄　堺:大鉄堺Ｈ３(1級)</v>
      </c>
      <c r="H5192" s="340">
        <f t="shared" si="3"/>
        <v>49</v>
      </c>
      <c r="I5192" s="341">
        <v>1.0</v>
      </c>
      <c r="J5192" s="332">
        <f>IFERROR(__xludf.DUMMYFUNCTION("IF(IF(COUNTIF(P$2:P5191, P5192)=0, """", INDEX(H$2:H5191,
MAX(FILTER(ROW(H$2:H5191) - ROW(H$2) + 1, P$2:P5191 = P5192))))=""単価"","""",
IF(COUNTIF(P$2:P5191, P5192)=0, """", INDEX(H$2:H5191,
MAX(FILTER(ROW(H$2:H5191) - ROW(H$2) + 1, P$2:P5191 = P5192)))))"),48.0)</f>
        <v>48</v>
      </c>
      <c r="N5192" s="335" t="str">
        <f>IF(MAXIFS('単価履歴'!$O:$O,'単価履歴'!$E:$E,E5192,'単価履歴'!$F:$F,F5192)=O5192,"●","")</f>
        <v/>
      </c>
      <c r="O5192" s="346">
        <v>46119.2794212963</v>
      </c>
      <c r="P5192" s="334" t="str">
        <f t="shared" si="4"/>
        <v>大鉄　堺:大鉄堺Ｈ３(1級)</v>
      </c>
    </row>
    <row r="5193" ht="15.75" customHeight="1">
      <c r="A5193" s="335" t="s">
        <v>6340</v>
      </c>
      <c r="B5193" s="336">
        <v>46119.0</v>
      </c>
      <c r="C5193" s="335" t="s">
        <v>9</v>
      </c>
      <c r="D5193" s="335" t="s">
        <v>51</v>
      </c>
      <c r="E5193" s="337" t="str">
        <f t="shared" si="1"/>
        <v>大鉄　堺:大鉄堺</v>
      </c>
      <c r="F5193" s="338" t="s">
        <v>122</v>
      </c>
      <c r="G5193" s="339" t="str">
        <f t="shared" si="2"/>
        <v>大鉄　堺:大鉄堺Ｌ１(2級)</v>
      </c>
      <c r="H5193" s="340">
        <f t="shared" si="3"/>
        <v>48.5</v>
      </c>
      <c r="I5193" s="341">
        <v>1.0</v>
      </c>
      <c r="J5193" s="332">
        <f>IFERROR(__xludf.DUMMYFUNCTION("IF(IF(COUNTIF(P$2:P5192, P5193)=0, """", INDEX(H$2:H5192,
MAX(FILTER(ROW(H$2:H5192) - ROW(H$2) + 1, P$2:P5192 = P5193))))=""単価"","""",
IF(COUNTIF(P$2:P5192, P5193)=0, """", INDEX(H$2:H5192,
MAX(FILTER(ROW(H$2:H5192) - ROW(H$2) + 1, P$2:P5192 = P5193)))))"),47.5)</f>
        <v>47.5</v>
      </c>
      <c r="N5193" s="335" t="str">
        <f>IF(MAXIFS('単価履歴'!$O:$O,'単価履歴'!$E:$E,E5193,'単価履歴'!$F:$F,F5193)=O5193,"●","")</f>
        <v/>
      </c>
      <c r="O5193" s="346">
        <v>46119.2794212963</v>
      </c>
      <c r="P5193" s="334" t="str">
        <f t="shared" si="4"/>
        <v>大鉄　堺:大鉄堺Ｌ１(2級)</v>
      </c>
    </row>
    <row r="5194" ht="15.75" customHeight="1">
      <c r="A5194" s="335" t="s">
        <v>6341</v>
      </c>
      <c r="B5194" s="336">
        <v>46119.0</v>
      </c>
      <c r="C5194" s="335" t="s">
        <v>9</v>
      </c>
      <c r="D5194" s="335" t="s">
        <v>51</v>
      </c>
      <c r="E5194" s="337" t="str">
        <f t="shared" si="1"/>
        <v>大鉄　堺:大鉄堺</v>
      </c>
      <c r="F5194" s="338" t="s">
        <v>130</v>
      </c>
      <c r="G5194" s="339" t="str">
        <f t="shared" si="2"/>
        <v>大鉄　堺:大鉄堺新断Ａ</v>
      </c>
      <c r="H5194" s="340">
        <f t="shared" si="3"/>
        <v>36</v>
      </c>
      <c r="I5194" s="341">
        <v>1.0</v>
      </c>
      <c r="J5194" s="332">
        <f>IFERROR(__xludf.DUMMYFUNCTION("IF(IF(COUNTIF(P$2:P5193, P5194)=0, """", INDEX(H$2:H5193,
MAX(FILTER(ROW(H$2:H5193) - ROW(H$2) + 1, P$2:P5193 = P5194))))=""単価"","""",
IF(COUNTIF(P$2:P5193, P5194)=0, """", INDEX(H$2:H5193,
MAX(FILTER(ROW(H$2:H5193) - ROW(H$2) + 1, P$2:P5193 = P5194)))))"),35.0)</f>
        <v>35</v>
      </c>
      <c r="N5194" s="335" t="str">
        <f>IF(MAXIFS('単価履歴'!$O:$O,'単価履歴'!$E:$E,E5194,'単価履歴'!$F:$F,F5194)=O5194,"●","")</f>
        <v/>
      </c>
      <c r="O5194" s="346">
        <v>46119.2794212963</v>
      </c>
      <c r="P5194" s="334" t="str">
        <f t="shared" si="4"/>
        <v>大鉄　堺:大鉄堺新断Ａ</v>
      </c>
    </row>
    <row r="5195" ht="15.75" customHeight="1">
      <c r="A5195" s="335" t="s">
        <v>6342</v>
      </c>
      <c r="B5195" s="336">
        <v>46119.0</v>
      </c>
      <c r="C5195" s="335" t="s">
        <v>9</v>
      </c>
      <c r="D5195" s="335" t="s">
        <v>51</v>
      </c>
      <c r="E5195" s="337" t="str">
        <f t="shared" si="1"/>
        <v>大鉄　堺:大鉄堺</v>
      </c>
      <c r="F5195" s="338" t="s">
        <v>131</v>
      </c>
      <c r="G5195" s="339" t="str">
        <f t="shared" si="2"/>
        <v>大鉄　堺:大鉄堺新断Ｂ</v>
      </c>
      <c r="H5195" s="340">
        <f t="shared" si="3"/>
        <v>35.5</v>
      </c>
      <c r="I5195" s="341">
        <v>1.0</v>
      </c>
      <c r="J5195" s="332">
        <f>IFERROR(__xludf.DUMMYFUNCTION("IF(IF(COUNTIF(P$2:P5194, P5195)=0, """", INDEX(H$2:H5194,
MAX(FILTER(ROW(H$2:H5194) - ROW(H$2) + 1, P$2:P5194 = P5195))))=""単価"","""",
IF(COUNTIF(P$2:P5194, P5195)=0, """", INDEX(H$2:H5194,
MAX(FILTER(ROW(H$2:H5194) - ROW(H$2) + 1, P$2:P5194 = P5195)))))"),34.5)</f>
        <v>34.5</v>
      </c>
      <c r="N5195" s="335" t="str">
        <f>IF(MAXIFS('単価履歴'!$O:$O,'単価履歴'!$E:$E,E5195,'単価履歴'!$F:$F,F5195)=O5195,"●","")</f>
        <v/>
      </c>
      <c r="O5195" s="346">
        <v>46119.2794212963</v>
      </c>
      <c r="P5195" s="334" t="str">
        <f t="shared" si="4"/>
        <v>大鉄　堺:大鉄堺新断Ｂ</v>
      </c>
    </row>
    <row r="5196" ht="15.75" customHeight="1">
      <c r="A5196" s="335" t="s">
        <v>6343</v>
      </c>
      <c r="B5196" s="336">
        <v>46119.0</v>
      </c>
      <c r="C5196" s="335" t="s">
        <v>9</v>
      </c>
      <c r="D5196" s="335" t="s">
        <v>51</v>
      </c>
      <c r="E5196" s="337" t="str">
        <f t="shared" si="1"/>
        <v>大鉄　堺:大鉄堺</v>
      </c>
      <c r="F5196" s="338" t="s">
        <v>575</v>
      </c>
      <c r="G5196" s="339" t="str">
        <f t="shared" si="2"/>
        <v>大鉄　堺:大鉄堺鋼ダライＡ</v>
      </c>
      <c r="H5196" s="340">
        <f t="shared" si="3"/>
        <v>35.5</v>
      </c>
      <c r="I5196" s="341">
        <v>1.0</v>
      </c>
      <c r="J5196" s="332">
        <f>IFERROR(__xludf.DUMMYFUNCTION("IF(IF(COUNTIF(P$2:P5195, P5196)=0, """", INDEX(H$2:H5195,
MAX(FILTER(ROW(H$2:H5195) - ROW(H$2) + 1, P$2:P5195 = P5196))))=""単価"","""",
IF(COUNTIF(P$2:P5195, P5196)=0, """", INDEX(H$2:H5195,
MAX(FILTER(ROW(H$2:H5195) - ROW(H$2) + 1, P$2:P5195 = P5196)))))"),34.5)</f>
        <v>34.5</v>
      </c>
      <c r="N5196" s="335" t="str">
        <f>IF(MAXIFS('単価履歴'!$O:$O,'単価履歴'!$E:$E,E5196,'単価履歴'!$F:$F,F5196)=O5196,"●","")</f>
        <v/>
      </c>
      <c r="O5196" s="346">
        <v>46119.2794212963</v>
      </c>
      <c r="P5196" s="334" t="str">
        <f t="shared" si="4"/>
        <v>大鉄　堺:大鉄堺鋼ダライＡ</v>
      </c>
    </row>
    <row r="5197" ht="15.75" customHeight="1">
      <c r="A5197" s="335" t="s">
        <v>6344</v>
      </c>
      <c r="B5197" s="336">
        <v>46119.0</v>
      </c>
      <c r="C5197" s="335" t="s">
        <v>9</v>
      </c>
      <c r="D5197" s="335" t="s">
        <v>51</v>
      </c>
      <c r="E5197" s="337" t="str">
        <f t="shared" si="1"/>
        <v>大鉄　堺:大鉄堺</v>
      </c>
      <c r="F5197" s="338" t="s">
        <v>576</v>
      </c>
      <c r="G5197" s="339" t="str">
        <f t="shared" si="2"/>
        <v>大鉄　堺:大鉄堺鋼ダライＢ</v>
      </c>
      <c r="H5197" s="340">
        <f t="shared" si="3"/>
        <v>35.5</v>
      </c>
      <c r="I5197" s="341">
        <v>1.0</v>
      </c>
      <c r="J5197" s="332">
        <f>IFERROR(__xludf.DUMMYFUNCTION("IF(IF(COUNTIF(P$2:P5196, P5197)=0, """", INDEX(H$2:H5196,
MAX(FILTER(ROW(H$2:H5196) - ROW(H$2) + 1, P$2:P5196 = P5197))))=""単価"","""",
IF(COUNTIF(P$2:P5196, P5197)=0, """", INDEX(H$2:H5196,
MAX(FILTER(ROW(H$2:H5196) - ROW(H$2) + 1, P$2:P5196 = P5197)))))"),34.5)</f>
        <v>34.5</v>
      </c>
      <c r="N5197" s="335" t="str">
        <f>IF(MAXIFS('単価履歴'!$O:$O,'単価履歴'!$E:$E,E5197,'単価履歴'!$F:$F,F5197)=O5197,"●","")</f>
        <v/>
      </c>
      <c r="O5197" s="346">
        <v>46119.2794212963</v>
      </c>
      <c r="P5197" s="334" t="str">
        <f t="shared" si="4"/>
        <v>大鉄　堺:大鉄堺鋼ダライＢ</v>
      </c>
    </row>
    <row r="5198" ht="15.75" customHeight="1">
      <c r="A5198" s="335" t="s">
        <v>6345</v>
      </c>
      <c r="B5198" s="336">
        <v>46119.0</v>
      </c>
      <c r="C5198" s="335" t="s">
        <v>9</v>
      </c>
      <c r="D5198" s="335" t="s">
        <v>51</v>
      </c>
      <c r="E5198" s="337" t="str">
        <f t="shared" si="1"/>
        <v>大鉄　堺:大鉄堺</v>
      </c>
      <c r="F5198" s="338" t="s">
        <v>145</v>
      </c>
      <c r="G5198" s="339" t="str">
        <f t="shared" si="2"/>
        <v>大鉄　堺:大鉄堺シュレＡ</v>
      </c>
      <c r="H5198" s="340">
        <f t="shared" si="3"/>
        <v>38.5</v>
      </c>
      <c r="I5198" s="341">
        <v>1.0</v>
      </c>
      <c r="J5198" s="332">
        <f>IFERROR(__xludf.DUMMYFUNCTION("IF(IF(COUNTIF(P$2:P5197, P5198)=0, """", INDEX(H$2:H5197,
MAX(FILTER(ROW(H$2:H5197) - ROW(H$2) + 1, P$2:P5197 = P5198))))=""単価"","""",
IF(COUNTIF(P$2:P5197, P5198)=0, """", INDEX(H$2:H5197,
MAX(FILTER(ROW(H$2:H5197) - ROW(H$2) + 1, P$2:P5197 = P5198)))))"),37.5)</f>
        <v>37.5</v>
      </c>
      <c r="N5198" s="335" t="str">
        <f>IF(MAXIFS('単価履歴'!$O:$O,'単価履歴'!$E:$E,E5198,'単価履歴'!$F:$F,F5198)=O5198,"●","")</f>
        <v/>
      </c>
      <c r="O5198" s="346">
        <v>46119.2794212963</v>
      </c>
      <c r="P5198" s="334" t="str">
        <f t="shared" si="4"/>
        <v>大鉄　堺:大鉄堺シュレＡ</v>
      </c>
    </row>
    <row r="5199" ht="15.75" customHeight="1">
      <c r="A5199" s="335" t="s">
        <v>6346</v>
      </c>
      <c r="B5199" s="336">
        <v>46119.0</v>
      </c>
      <c r="C5199" s="335" t="s">
        <v>9</v>
      </c>
      <c r="D5199" s="335" t="s">
        <v>51</v>
      </c>
      <c r="E5199" s="337" t="str">
        <f t="shared" si="1"/>
        <v>大鉄　堺:大鉄堺</v>
      </c>
      <c r="F5199" s="338" t="s">
        <v>149</v>
      </c>
      <c r="G5199" s="339" t="str">
        <f t="shared" si="2"/>
        <v>大鉄　堺:大鉄堺シュレＢ</v>
      </c>
      <c r="H5199" s="340">
        <f t="shared" si="3"/>
        <v>37.8</v>
      </c>
      <c r="I5199" s="341">
        <v>1.0</v>
      </c>
      <c r="J5199" s="332">
        <f>IFERROR(__xludf.DUMMYFUNCTION("IF(IF(COUNTIF(P$2:P5198, P5199)=0, """", INDEX(H$2:H5198,
MAX(FILTER(ROW(H$2:H5198) - ROW(H$2) + 1, P$2:P5198 = P5199))))=""単価"","""",
IF(COUNTIF(P$2:P5198, P5199)=0, """", INDEX(H$2:H5198,
MAX(FILTER(ROW(H$2:H5198) - ROW(H$2) + 1, P$2:P5198 = P5199)))))"),36.8)</f>
        <v>36.8</v>
      </c>
      <c r="N5199" s="335" t="str">
        <f>IF(MAXIFS('単価履歴'!$O:$O,'単価履歴'!$E:$E,E5199,'単価履歴'!$F:$F,F5199)=O5199,"●","")</f>
        <v/>
      </c>
      <c r="O5199" s="346">
        <v>46119.2794212963</v>
      </c>
      <c r="P5199" s="334" t="str">
        <f t="shared" si="4"/>
        <v>大鉄　堺:大鉄堺シュレＢ</v>
      </c>
    </row>
    <row r="5200" ht="15.75" customHeight="1">
      <c r="A5200" s="335" t="s">
        <v>6347</v>
      </c>
      <c r="B5200" s="336">
        <v>46119.0</v>
      </c>
      <c r="C5200" s="335" t="s">
        <v>9</v>
      </c>
      <c r="D5200" s="335" t="s">
        <v>51</v>
      </c>
      <c r="E5200" s="337" t="str">
        <f t="shared" si="1"/>
        <v>大鉄　堺:大鉄堺</v>
      </c>
      <c r="F5200" s="338" t="s">
        <v>151</v>
      </c>
      <c r="G5200" s="339" t="str">
        <f t="shared" si="2"/>
        <v>大鉄　堺:大鉄堺シュレＣ</v>
      </c>
      <c r="H5200" s="340">
        <f t="shared" si="3"/>
        <v>36.4</v>
      </c>
      <c r="I5200" s="341">
        <v>1.0</v>
      </c>
      <c r="J5200" s="332">
        <f>IFERROR(__xludf.DUMMYFUNCTION("IF(IF(COUNTIF(P$2:P5199, P5200)=0, """", INDEX(H$2:H5199,
MAX(FILTER(ROW(H$2:H5199) - ROW(H$2) + 1, P$2:P5199 = P5200))))=""単価"","""",
IF(COUNTIF(P$2:P5199, P5200)=0, """", INDEX(H$2:H5199,
MAX(FILTER(ROW(H$2:H5199) - ROW(H$2) + 1, P$2:P5199 = P5200)))))"),35.4)</f>
        <v>35.4</v>
      </c>
      <c r="N5200" s="335" t="str">
        <f>IF(MAXIFS('単価履歴'!$O:$O,'単価履歴'!$E:$E,E5200,'単価履歴'!$F:$F,F5200)=O5200,"●","")</f>
        <v/>
      </c>
      <c r="O5200" s="346">
        <v>46119.2794212963</v>
      </c>
      <c r="P5200" s="334" t="str">
        <f t="shared" si="4"/>
        <v>大鉄　堺:大鉄堺シュレＣ</v>
      </c>
    </row>
    <row r="5201" ht="15.75" customHeight="1">
      <c r="A5201" s="335" t="s">
        <v>6348</v>
      </c>
      <c r="B5201" s="336">
        <v>46119.0</v>
      </c>
      <c r="C5201" s="335" t="s">
        <v>9</v>
      </c>
      <c r="D5201" s="335" t="s">
        <v>51</v>
      </c>
      <c r="E5201" s="337" t="str">
        <f t="shared" si="1"/>
        <v>大鉄　堺:大鉄堺</v>
      </c>
      <c r="F5201" s="338" t="s">
        <v>154</v>
      </c>
      <c r="G5201" s="339" t="str">
        <f t="shared" si="2"/>
        <v>大鉄　堺:大鉄堺ＣＰ Ａ</v>
      </c>
      <c r="H5201" s="340">
        <f t="shared" si="3"/>
        <v>44</v>
      </c>
      <c r="I5201" s="341">
        <v>1.0</v>
      </c>
      <c r="J5201" s="332">
        <f>IFERROR(__xludf.DUMMYFUNCTION("IF(IF(COUNTIF(P$2:P5200, P5201)=0, """", INDEX(H$2:H5200,
MAX(FILTER(ROW(H$2:H5200) - ROW(H$2) + 1, P$2:P5200 = P5201))))=""単価"","""",
IF(COUNTIF(P$2:P5200, P5201)=0, """", INDEX(H$2:H5200,
MAX(FILTER(ROW(H$2:H5200) - ROW(H$2) + 1, P$2:P5200 = P5201)))))"),43.0)</f>
        <v>43</v>
      </c>
      <c r="N5201" s="335" t="str">
        <f>IF(MAXIFS('単価履歴'!$O:$O,'単価履歴'!$E:$E,E5201,'単価履歴'!$F:$F,F5201)=O5201,"●","")</f>
        <v/>
      </c>
      <c r="O5201" s="346">
        <v>46119.2794212963</v>
      </c>
      <c r="P5201" s="334" t="str">
        <f t="shared" si="4"/>
        <v>大鉄　堺:大鉄堺ＣＰ Ａ</v>
      </c>
    </row>
    <row r="5202" ht="15.75" customHeight="1">
      <c r="A5202" s="335" t="s">
        <v>6349</v>
      </c>
      <c r="B5202" s="336">
        <v>46119.0</v>
      </c>
      <c r="C5202" s="335" t="s">
        <v>9</v>
      </c>
      <c r="D5202" s="335" t="s">
        <v>51</v>
      </c>
      <c r="E5202" s="337" t="str">
        <f t="shared" si="1"/>
        <v>大鉄　堺:大鉄堺</v>
      </c>
      <c r="F5202" s="338" t="s">
        <v>156</v>
      </c>
      <c r="G5202" s="339" t="str">
        <f t="shared" si="2"/>
        <v>大鉄　堺:大鉄堺ＣＰ Ｂ一斗缶</v>
      </c>
      <c r="H5202" s="340">
        <f t="shared" si="3"/>
        <v>37.5</v>
      </c>
      <c r="I5202" s="341">
        <v>1.0</v>
      </c>
      <c r="J5202" s="332">
        <f>IFERROR(__xludf.DUMMYFUNCTION("IF(IF(COUNTIF(P$2:P5201, P5202)=0, """", INDEX(H$2:H5201,
MAX(FILTER(ROW(H$2:H5201) - ROW(H$2) + 1, P$2:P5201 = P5202))))=""単価"","""",
IF(COUNTIF(P$2:P5201, P5202)=0, """", INDEX(H$2:H5201,
MAX(FILTER(ROW(H$2:H5201) - ROW(H$2) + 1, P$2:P5201 = P5202)))))"),36.5)</f>
        <v>36.5</v>
      </c>
      <c r="N5202" s="335" t="str">
        <f>IF(MAXIFS('単価履歴'!$O:$O,'単価履歴'!$E:$E,E5202,'単価履歴'!$F:$F,F5202)=O5202,"●","")</f>
        <v/>
      </c>
      <c r="O5202" s="346">
        <v>46119.2794212963</v>
      </c>
      <c r="P5202" s="334" t="str">
        <f t="shared" si="4"/>
        <v>大鉄　堺:大鉄堺ＣＰ Ｂ一斗缶</v>
      </c>
    </row>
    <row r="5203" ht="15.75" customHeight="1">
      <c r="A5203" s="335" t="s">
        <v>6350</v>
      </c>
      <c r="B5203" s="336">
        <v>46119.0</v>
      </c>
      <c r="C5203" s="335" t="s">
        <v>9</v>
      </c>
      <c r="D5203" s="335" t="s">
        <v>47</v>
      </c>
      <c r="E5203" s="337" t="str">
        <f t="shared" si="1"/>
        <v>大鉄　堺:豊通</v>
      </c>
      <c r="F5203" s="338" t="s">
        <v>111</v>
      </c>
      <c r="G5203" s="339" t="str">
        <f t="shared" si="2"/>
        <v>大鉄　堺:豊通Ｈ１(特A)</v>
      </c>
      <c r="H5203" s="340">
        <f t="shared" si="3"/>
        <v>37.4</v>
      </c>
      <c r="I5203" s="341">
        <v>1.0</v>
      </c>
      <c r="J5203" s="332">
        <f>IFERROR(__xludf.DUMMYFUNCTION("IF(IF(COUNTIF(P$2:P5202, P5203)=0, """", INDEX(H$2:H5202,
MAX(FILTER(ROW(H$2:H5202) - ROW(H$2) + 1, P$2:P5202 = P5203))))=""単価"","""",
IF(COUNTIF(P$2:P5202, P5203)=0, """", INDEX(H$2:H5202,
MAX(FILTER(ROW(H$2:H5202) - ROW(H$2) + 1, P$2:P5202 = P5203)))))"),36.4)</f>
        <v>36.4</v>
      </c>
      <c r="N5203" s="335" t="str">
        <f>IF(MAXIFS('単価履歴'!$O:$O,'単価履歴'!$E:$E,E5203,'単価履歴'!$F:$F,F5203)=O5203,"●","")</f>
        <v/>
      </c>
      <c r="O5203" s="346">
        <v>46119.27962962963</v>
      </c>
      <c r="P5203" s="334" t="str">
        <f t="shared" si="4"/>
        <v>大鉄　堺:豊通Ｈ１(特A)</v>
      </c>
    </row>
    <row r="5204" ht="15.75" customHeight="1">
      <c r="A5204" s="335" t="s">
        <v>6351</v>
      </c>
      <c r="B5204" s="336">
        <v>46119.0</v>
      </c>
      <c r="C5204" s="335" t="s">
        <v>9</v>
      </c>
      <c r="D5204" s="335" t="s">
        <v>47</v>
      </c>
      <c r="E5204" s="337" t="str">
        <f t="shared" si="1"/>
        <v>大鉄　堺:豊通</v>
      </c>
      <c r="F5204" s="338" t="s">
        <v>1237</v>
      </c>
      <c r="G5204" s="339" t="str">
        <f t="shared" si="2"/>
        <v>大鉄　堺:豊通ＪＨ１(H2T山口)鍛造ﾊﾞﾘ</v>
      </c>
      <c r="H5204" s="340">
        <f t="shared" si="3"/>
        <v>36.4</v>
      </c>
      <c r="I5204" s="341">
        <v>1.0</v>
      </c>
      <c r="J5204" s="332">
        <f>IFERROR(__xludf.DUMMYFUNCTION("IF(IF(COUNTIF(P$2:P5203, P5204)=0, """", INDEX(H$2:H5203,
MAX(FILTER(ROW(H$2:H5203) - ROW(H$2) + 1, P$2:P5203 = P5204))))=""単価"","""",
IF(COUNTIF(P$2:P5203, P5204)=0, """", INDEX(H$2:H5203,
MAX(FILTER(ROW(H$2:H5203) - ROW(H$2) + 1, P$2:P5203 = P5204)))))"),35.4)</f>
        <v>35.4</v>
      </c>
      <c r="N5204" s="335" t="str">
        <f>IF(MAXIFS('単価履歴'!$O:$O,'単価履歴'!$E:$E,E5204,'単価履歴'!$F:$F,F5204)=O5204,"●","")</f>
        <v/>
      </c>
      <c r="O5204" s="346">
        <v>46119.27962962963</v>
      </c>
      <c r="P5204" s="334" t="str">
        <f t="shared" si="4"/>
        <v>大鉄　堺:豊通ＪＨ１(H2T山口)鍛造ﾊﾞﾘ</v>
      </c>
    </row>
    <row r="5205" ht="15.75" customHeight="1">
      <c r="A5205" s="335" t="s">
        <v>6352</v>
      </c>
      <c r="B5205" s="336">
        <v>46119.0</v>
      </c>
      <c r="C5205" s="335" t="s">
        <v>9</v>
      </c>
      <c r="D5205" s="335" t="s">
        <v>47</v>
      </c>
      <c r="E5205" s="337" t="str">
        <f t="shared" si="1"/>
        <v>大鉄　堺:豊通</v>
      </c>
      <c r="F5205" s="338" t="s">
        <v>116</v>
      </c>
      <c r="G5205" s="339" t="str">
        <f t="shared" si="2"/>
        <v>大鉄　堺:豊通Ｈ２(特級)</v>
      </c>
      <c r="H5205" s="340">
        <f t="shared" si="3"/>
        <v>33.2</v>
      </c>
      <c r="I5205" s="341">
        <v>1.0</v>
      </c>
      <c r="J5205" s="332">
        <f>IFERROR(__xludf.DUMMYFUNCTION("IF(IF(COUNTIF(P$2:P5204, P5205)=0, """", INDEX(H$2:H5204,
MAX(FILTER(ROW(H$2:H5204) - ROW(H$2) + 1, P$2:P5204 = P5205))))=""単価"","""",
IF(COUNTIF(P$2:P5204, P5205)=0, """", INDEX(H$2:H5204,
MAX(FILTER(ROW(H$2:H5204) - ROW(H$2) + 1, P$2:P5204 = P5205)))))"),32.2)</f>
        <v>32.2</v>
      </c>
      <c r="N5205" s="335" t="str">
        <f>IF(MAXIFS('単価履歴'!$O:$O,'単価履歴'!$E:$E,E5205,'単価履歴'!$F:$F,F5205)=O5205,"●","")</f>
        <v/>
      </c>
      <c r="O5205" s="346">
        <v>46119.27962962963</v>
      </c>
      <c r="P5205" s="334" t="str">
        <f t="shared" si="4"/>
        <v>大鉄　堺:豊通Ｈ２(特級)</v>
      </c>
    </row>
    <row r="5206" ht="15.75" customHeight="1">
      <c r="A5206" s="335" t="s">
        <v>6353</v>
      </c>
      <c r="B5206" s="336">
        <v>46119.0</v>
      </c>
      <c r="C5206" s="335" t="s">
        <v>9</v>
      </c>
      <c r="D5206" s="335" t="s">
        <v>47</v>
      </c>
      <c r="E5206" s="337" t="str">
        <f t="shared" si="1"/>
        <v>大鉄　堺:豊通</v>
      </c>
      <c r="F5206" s="338" t="s">
        <v>119</v>
      </c>
      <c r="G5206" s="339" t="str">
        <f t="shared" si="2"/>
        <v>大鉄　堺:豊通Ｈ３(1級)</v>
      </c>
      <c r="H5206" s="340">
        <f t="shared" si="3"/>
        <v>32.2</v>
      </c>
      <c r="I5206" s="341">
        <v>1.0</v>
      </c>
      <c r="J5206" s="332">
        <f>IFERROR(__xludf.DUMMYFUNCTION("IF(IF(COUNTIF(P$2:P5205, P5206)=0, """", INDEX(H$2:H5205,
MAX(FILTER(ROW(H$2:H5205) - ROW(H$2) + 1, P$2:P5205 = P5206))))=""単価"","""",
IF(COUNTIF(P$2:P5205, P5206)=0, """", INDEX(H$2:H5205,
MAX(FILTER(ROW(H$2:H5205) - ROW(H$2) + 1, P$2:P5205 = P5206)))))"),31.2)</f>
        <v>31.2</v>
      </c>
      <c r="N5206" s="335" t="str">
        <f>IF(MAXIFS('単価履歴'!$O:$O,'単価履歴'!$E:$E,E5206,'単価履歴'!$F:$F,F5206)=O5206,"●","")</f>
        <v/>
      </c>
      <c r="O5206" s="346">
        <v>46119.27962962963</v>
      </c>
      <c r="P5206" s="334" t="str">
        <f t="shared" si="4"/>
        <v>大鉄　堺:豊通Ｈ３(1級)</v>
      </c>
    </row>
    <row r="5207" ht="15.75" customHeight="1">
      <c r="A5207" s="335" t="s">
        <v>6354</v>
      </c>
      <c r="B5207" s="336">
        <v>46119.0</v>
      </c>
      <c r="C5207" s="335" t="s">
        <v>9</v>
      </c>
      <c r="D5207" s="335" t="s">
        <v>47</v>
      </c>
      <c r="E5207" s="337" t="str">
        <f t="shared" si="1"/>
        <v>大鉄　堺:豊通</v>
      </c>
      <c r="F5207" s="338" t="s">
        <v>122</v>
      </c>
      <c r="G5207" s="339" t="str">
        <f t="shared" si="2"/>
        <v>大鉄　堺:豊通Ｌ１(2級)</v>
      </c>
      <c r="H5207" s="340">
        <f t="shared" si="3"/>
        <v>30.7</v>
      </c>
      <c r="I5207" s="341">
        <v>1.0</v>
      </c>
      <c r="J5207" s="332">
        <f>IFERROR(__xludf.DUMMYFUNCTION("IF(IF(COUNTIF(P$2:P5206, P5207)=0, """", INDEX(H$2:H5206,
MAX(FILTER(ROW(H$2:H5206) - ROW(H$2) + 1, P$2:P5206 = P5207))))=""単価"","""",
IF(COUNTIF(P$2:P5206, P5207)=0, """", INDEX(H$2:H5206,
MAX(FILTER(ROW(H$2:H5206) - ROW(H$2) + 1, P$2:P5206 = P5207)))))"),29.7)</f>
        <v>29.7</v>
      </c>
      <c r="N5207" s="335" t="str">
        <f>IF(MAXIFS('単価履歴'!$O:$O,'単価履歴'!$E:$E,E5207,'単価履歴'!$F:$F,F5207)=O5207,"●","")</f>
        <v/>
      </c>
      <c r="O5207" s="346">
        <v>46119.27962962963</v>
      </c>
      <c r="P5207" s="334" t="str">
        <f t="shared" si="4"/>
        <v>大鉄　堺:豊通Ｌ１(2級)</v>
      </c>
    </row>
    <row r="5208" ht="15.75" customHeight="1">
      <c r="A5208" s="335" t="s">
        <v>6355</v>
      </c>
      <c r="B5208" s="336">
        <v>46119.0</v>
      </c>
      <c r="C5208" s="335" t="s">
        <v>9</v>
      </c>
      <c r="D5208" s="335" t="s">
        <v>47</v>
      </c>
      <c r="E5208" s="337" t="str">
        <f t="shared" si="1"/>
        <v>大鉄　堺:豊通</v>
      </c>
      <c r="F5208" s="338" t="s">
        <v>130</v>
      </c>
      <c r="G5208" s="339" t="str">
        <f t="shared" si="2"/>
        <v>大鉄　堺:豊通新断Ａ</v>
      </c>
      <c r="H5208" s="340">
        <f t="shared" si="3"/>
        <v>34.2</v>
      </c>
      <c r="I5208" s="341">
        <v>1.0</v>
      </c>
      <c r="J5208" s="332">
        <f>IFERROR(__xludf.DUMMYFUNCTION("IF(IF(COUNTIF(P$2:P5207, P5208)=0, """", INDEX(H$2:H5207,
MAX(FILTER(ROW(H$2:H5207) - ROW(H$2) + 1, P$2:P5207 = P5208))))=""単価"","""",
IF(COUNTIF(P$2:P5207, P5208)=0, """", INDEX(H$2:H5207,
MAX(FILTER(ROW(H$2:H5207) - ROW(H$2) + 1, P$2:P5207 = P5208)))))"),33.2)</f>
        <v>33.2</v>
      </c>
      <c r="N5208" s="335" t="str">
        <f>IF(MAXIFS('単価履歴'!$O:$O,'単価履歴'!$E:$E,E5208,'単価履歴'!$F:$F,F5208)=O5208,"●","")</f>
        <v/>
      </c>
      <c r="O5208" s="346">
        <v>46119.27962962963</v>
      </c>
      <c r="P5208" s="334" t="str">
        <f t="shared" si="4"/>
        <v>大鉄　堺:豊通新断Ａ</v>
      </c>
    </row>
    <row r="5209" ht="15.75" customHeight="1">
      <c r="A5209" s="335" t="s">
        <v>6356</v>
      </c>
      <c r="B5209" s="336">
        <v>46119.0</v>
      </c>
      <c r="C5209" s="335" t="s">
        <v>9</v>
      </c>
      <c r="D5209" s="335" t="s">
        <v>47</v>
      </c>
      <c r="E5209" s="337" t="str">
        <f t="shared" si="1"/>
        <v>大鉄　堺:豊通</v>
      </c>
      <c r="F5209" s="338" t="s">
        <v>131</v>
      </c>
      <c r="G5209" s="339" t="str">
        <f t="shared" si="2"/>
        <v>大鉄　堺:豊通新断Ｂ</v>
      </c>
      <c r="H5209" s="340">
        <f t="shared" si="3"/>
        <v>33.7</v>
      </c>
      <c r="I5209" s="341">
        <v>1.0</v>
      </c>
      <c r="J5209" s="332">
        <f>IFERROR(__xludf.DUMMYFUNCTION("IF(IF(COUNTIF(P$2:P5208, P5209)=0, """", INDEX(H$2:H5208,
MAX(FILTER(ROW(H$2:H5208) - ROW(H$2) + 1, P$2:P5208 = P5209))))=""単価"","""",
IF(COUNTIF(P$2:P5208, P5209)=0, """", INDEX(H$2:H5208,
MAX(FILTER(ROW(H$2:H5208) - ROW(H$2) + 1, P$2:P5208 = P5209)))))"),32.7)</f>
        <v>32.7</v>
      </c>
      <c r="N5209" s="335" t="str">
        <f>IF(MAXIFS('単価履歴'!$O:$O,'単価履歴'!$E:$E,E5209,'単価履歴'!$F:$F,F5209)=O5209,"●","")</f>
        <v/>
      </c>
      <c r="O5209" s="346">
        <v>46119.27962962963</v>
      </c>
      <c r="P5209" s="334" t="str">
        <f t="shared" si="4"/>
        <v>大鉄　堺:豊通新断Ｂ</v>
      </c>
    </row>
    <row r="5210" ht="15.75" customHeight="1">
      <c r="A5210" s="335" t="s">
        <v>6357</v>
      </c>
      <c r="B5210" s="336">
        <v>46119.0</v>
      </c>
      <c r="C5210" s="335" t="s">
        <v>9</v>
      </c>
      <c r="D5210" s="335" t="s">
        <v>47</v>
      </c>
      <c r="E5210" s="337" t="str">
        <f t="shared" si="1"/>
        <v>大鉄　堺:豊通</v>
      </c>
      <c r="F5210" s="338" t="s">
        <v>575</v>
      </c>
      <c r="G5210" s="339" t="str">
        <f t="shared" si="2"/>
        <v>大鉄　堺:豊通鋼ダライＡ</v>
      </c>
      <c r="H5210" s="340">
        <f t="shared" si="3"/>
        <v>35.2</v>
      </c>
      <c r="I5210" s="341">
        <v>1.0</v>
      </c>
      <c r="J5210" s="332">
        <f>IFERROR(__xludf.DUMMYFUNCTION("IF(IF(COUNTIF(P$2:P5209, P5210)=0, """", INDEX(H$2:H5209,
MAX(FILTER(ROW(H$2:H5209) - ROW(H$2) + 1, P$2:P5209 = P5210))))=""単価"","""",
IF(COUNTIF(P$2:P5209, P5210)=0, """", INDEX(H$2:H5209,
MAX(FILTER(ROW(H$2:H5209) - ROW(H$2) + 1, P$2:P5209 = P5210)))))"),34.2)</f>
        <v>34.2</v>
      </c>
      <c r="N5210" s="335" t="str">
        <f>IF(MAXIFS('単価履歴'!$O:$O,'単価履歴'!$E:$E,E5210,'単価履歴'!$F:$F,F5210)=O5210,"●","")</f>
        <v/>
      </c>
      <c r="O5210" s="346">
        <v>46119.27962962963</v>
      </c>
      <c r="P5210" s="334" t="str">
        <f t="shared" si="4"/>
        <v>大鉄　堺:豊通鋼ダライＡ</v>
      </c>
    </row>
    <row r="5211" ht="15.75" customHeight="1">
      <c r="A5211" s="335" t="s">
        <v>6358</v>
      </c>
      <c r="B5211" s="336">
        <v>46119.0</v>
      </c>
      <c r="C5211" s="335" t="s">
        <v>9</v>
      </c>
      <c r="D5211" s="335" t="s">
        <v>47</v>
      </c>
      <c r="E5211" s="337" t="str">
        <f t="shared" si="1"/>
        <v>大鉄　堺:豊通</v>
      </c>
      <c r="F5211" s="338" t="s">
        <v>576</v>
      </c>
      <c r="G5211" s="339" t="str">
        <f t="shared" si="2"/>
        <v>大鉄　堺:豊通鋼ダライＢ</v>
      </c>
      <c r="H5211" s="340">
        <f t="shared" si="3"/>
        <v>35.2</v>
      </c>
      <c r="I5211" s="341">
        <v>1.0</v>
      </c>
      <c r="J5211" s="332">
        <f>IFERROR(__xludf.DUMMYFUNCTION("IF(IF(COUNTIF(P$2:P5210, P5211)=0, """", INDEX(H$2:H5210,
MAX(FILTER(ROW(H$2:H5210) - ROW(H$2) + 1, P$2:P5210 = P5211))))=""単価"","""",
IF(COUNTIF(P$2:P5210, P5211)=0, """", INDEX(H$2:H5210,
MAX(FILTER(ROW(H$2:H5210) - ROW(H$2) + 1, P$2:P5210 = P5211)))))"),34.2)</f>
        <v>34.2</v>
      </c>
      <c r="N5211" s="335" t="str">
        <f>IF(MAXIFS('単価履歴'!$O:$O,'単価履歴'!$E:$E,E5211,'単価履歴'!$F:$F,F5211)=O5211,"●","")</f>
        <v/>
      </c>
      <c r="O5211" s="346">
        <v>46119.27962962963</v>
      </c>
      <c r="P5211" s="334" t="str">
        <f t="shared" si="4"/>
        <v>大鉄　堺:豊通鋼ダライＢ</v>
      </c>
    </row>
    <row r="5212" ht="15.75" customHeight="1">
      <c r="A5212" s="335" t="s">
        <v>6359</v>
      </c>
      <c r="B5212" s="336">
        <v>46119.0</v>
      </c>
      <c r="C5212" s="335" t="s">
        <v>9</v>
      </c>
      <c r="D5212" s="335" t="s">
        <v>47</v>
      </c>
      <c r="E5212" s="337" t="str">
        <f t="shared" si="1"/>
        <v>大鉄　堺:豊通</v>
      </c>
      <c r="F5212" s="338" t="s">
        <v>145</v>
      </c>
      <c r="G5212" s="339" t="str">
        <f t="shared" si="2"/>
        <v>大鉄　堺:豊通シュレＡ</v>
      </c>
      <c r="H5212" s="340">
        <f t="shared" si="3"/>
        <v>37.7</v>
      </c>
      <c r="I5212" s="341">
        <v>1.0</v>
      </c>
      <c r="J5212" s="332">
        <f>IFERROR(__xludf.DUMMYFUNCTION("IF(IF(COUNTIF(P$2:P5211, P5212)=0, """", INDEX(H$2:H5211,
MAX(FILTER(ROW(H$2:H5211) - ROW(H$2) + 1, P$2:P5211 = P5212))))=""単価"","""",
IF(COUNTIF(P$2:P5211, P5212)=0, """", INDEX(H$2:H5211,
MAX(FILTER(ROW(H$2:H5211) - ROW(H$2) + 1, P$2:P5211 = P5212)))))"),36.7)</f>
        <v>36.7</v>
      </c>
      <c r="N5212" s="335" t="str">
        <f>IF(MAXIFS('単価履歴'!$O:$O,'単価履歴'!$E:$E,E5212,'単価履歴'!$F:$F,F5212)=O5212,"●","")</f>
        <v/>
      </c>
      <c r="O5212" s="346">
        <v>46119.27962962963</v>
      </c>
      <c r="P5212" s="334" t="str">
        <f t="shared" si="4"/>
        <v>大鉄　堺:豊通シュレＡ</v>
      </c>
    </row>
    <row r="5213" ht="15.75" customHeight="1">
      <c r="A5213" s="335" t="s">
        <v>6360</v>
      </c>
      <c r="B5213" s="336">
        <v>46119.0</v>
      </c>
      <c r="C5213" s="335" t="s">
        <v>9</v>
      </c>
      <c r="D5213" s="335" t="s">
        <v>47</v>
      </c>
      <c r="E5213" s="337" t="str">
        <f t="shared" si="1"/>
        <v>大鉄　堺:豊通</v>
      </c>
      <c r="F5213" s="338" t="s">
        <v>149</v>
      </c>
      <c r="G5213" s="339" t="str">
        <f t="shared" si="2"/>
        <v>大鉄　堺:豊通シュレＢ</v>
      </c>
      <c r="H5213" s="340">
        <f t="shared" si="3"/>
        <v>37</v>
      </c>
      <c r="I5213" s="341">
        <v>1.0</v>
      </c>
      <c r="J5213" s="332">
        <f>IFERROR(__xludf.DUMMYFUNCTION("IF(IF(COUNTIF(P$2:P5212, P5213)=0, """", INDEX(H$2:H5212,
MAX(FILTER(ROW(H$2:H5212) - ROW(H$2) + 1, P$2:P5212 = P5213))))=""単価"","""",
IF(COUNTIF(P$2:P5212, P5213)=0, """", INDEX(H$2:H5212,
MAX(FILTER(ROW(H$2:H5212) - ROW(H$2) + 1, P$2:P5212 = P5213)))))"),36.0)</f>
        <v>36</v>
      </c>
      <c r="N5213" s="335" t="str">
        <f>IF(MAXIFS('単価履歴'!$O:$O,'単価履歴'!$E:$E,E5213,'単価履歴'!$F:$F,F5213)=O5213,"●","")</f>
        <v/>
      </c>
      <c r="O5213" s="346">
        <v>46119.27962962963</v>
      </c>
      <c r="P5213" s="334" t="str">
        <f t="shared" si="4"/>
        <v>大鉄　堺:豊通シュレＢ</v>
      </c>
    </row>
    <row r="5214" ht="15.75" customHeight="1">
      <c r="A5214" s="335" t="s">
        <v>6361</v>
      </c>
      <c r="B5214" s="336">
        <v>46119.0</v>
      </c>
      <c r="C5214" s="335" t="s">
        <v>9</v>
      </c>
      <c r="D5214" s="335" t="s">
        <v>47</v>
      </c>
      <c r="E5214" s="337" t="str">
        <f t="shared" si="1"/>
        <v>大鉄　堺:豊通</v>
      </c>
      <c r="F5214" s="338" t="s">
        <v>151</v>
      </c>
      <c r="G5214" s="339" t="str">
        <f t="shared" si="2"/>
        <v>大鉄　堺:豊通シュレＣ</v>
      </c>
      <c r="H5214" s="340">
        <f t="shared" si="3"/>
        <v>35.6</v>
      </c>
      <c r="I5214" s="341">
        <v>1.0</v>
      </c>
      <c r="J5214" s="332">
        <f>IFERROR(__xludf.DUMMYFUNCTION("IF(IF(COUNTIF(P$2:P5213, P5214)=0, """", INDEX(H$2:H5213,
MAX(FILTER(ROW(H$2:H5213) - ROW(H$2) + 1, P$2:P5213 = P5214))))=""単価"","""",
IF(COUNTIF(P$2:P5213, P5214)=0, """", INDEX(H$2:H5213,
MAX(FILTER(ROW(H$2:H5213) - ROW(H$2) + 1, P$2:P5213 = P5214)))))"),34.6)</f>
        <v>34.6</v>
      </c>
      <c r="N5214" s="335" t="str">
        <f>IF(MAXIFS('単価履歴'!$O:$O,'単価履歴'!$E:$E,E5214,'単価履歴'!$F:$F,F5214)=O5214,"●","")</f>
        <v/>
      </c>
      <c r="O5214" s="346">
        <v>46119.27962962963</v>
      </c>
      <c r="P5214" s="334" t="str">
        <f t="shared" si="4"/>
        <v>大鉄　堺:豊通シュレＣ</v>
      </c>
    </row>
    <row r="5215" ht="15.75" customHeight="1">
      <c r="A5215" s="335" t="s">
        <v>6362</v>
      </c>
      <c r="B5215" s="336">
        <v>46119.0</v>
      </c>
      <c r="C5215" s="335" t="s">
        <v>9</v>
      </c>
      <c r="D5215" s="335" t="s">
        <v>47</v>
      </c>
      <c r="E5215" s="337" t="str">
        <f t="shared" si="1"/>
        <v>大鉄　堺:豊通</v>
      </c>
      <c r="F5215" s="338" t="s">
        <v>154</v>
      </c>
      <c r="G5215" s="339" t="str">
        <f t="shared" si="2"/>
        <v>大鉄　堺:豊通ＣＰ Ａ</v>
      </c>
      <c r="H5215" s="340">
        <f t="shared" si="3"/>
        <v>48.2</v>
      </c>
      <c r="I5215" s="341">
        <v>1.0</v>
      </c>
      <c r="J5215" s="332">
        <f>IFERROR(__xludf.DUMMYFUNCTION("IF(IF(COUNTIF(P$2:P5214, P5215)=0, """", INDEX(H$2:H5214,
MAX(FILTER(ROW(H$2:H5214) - ROW(H$2) + 1, P$2:P5214 = P5215))))=""単価"","""",
IF(COUNTIF(P$2:P5214, P5215)=0, """", INDEX(H$2:H5214,
MAX(FILTER(ROW(H$2:H5214) - ROW(H$2) + 1, P$2:P5214 = P5215)))))"),47.2)</f>
        <v>47.2</v>
      </c>
      <c r="N5215" s="335" t="str">
        <f>IF(MAXIFS('単価履歴'!$O:$O,'単価履歴'!$E:$E,E5215,'単価履歴'!$F:$F,F5215)=O5215,"●","")</f>
        <v/>
      </c>
      <c r="O5215" s="346">
        <v>46119.27962962963</v>
      </c>
      <c r="P5215" s="334" t="str">
        <f t="shared" si="4"/>
        <v>大鉄　堺:豊通ＣＰ Ａ</v>
      </c>
    </row>
    <row r="5216" ht="15.75" customHeight="1">
      <c r="A5216" s="335" t="s">
        <v>6363</v>
      </c>
      <c r="B5216" s="336">
        <v>46119.0</v>
      </c>
      <c r="C5216" s="335" t="s">
        <v>9</v>
      </c>
      <c r="D5216" s="335" t="s">
        <v>47</v>
      </c>
      <c r="E5216" s="337" t="str">
        <f t="shared" si="1"/>
        <v>大鉄　堺:豊通</v>
      </c>
      <c r="F5216" s="338" t="s">
        <v>156</v>
      </c>
      <c r="G5216" s="339" t="str">
        <f t="shared" si="2"/>
        <v>大鉄　堺:豊通ＣＰ Ｂ一斗缶</v>
      </c>
      <c r="H5216" s="340">
        <f t="shared" si="3"/>
        <v>41.7</v>
      </c>
      <c r="I5216" s="341">
        <v>1.0</v>
      </c>
      <c r="J5216" s="332">
        <f>IFERROR(__xludf.DUMMYFUNCTION("IF(IF(COUNTIF(P$2:P5215, P5216)=0, """", INDEX(H$2:H5215,
MAX(FILTER(ROW(H$2:H5215) - ROW(H$2) + 1, P$2:P5215 = P5216))))=""単価"","""",
IF(COUNTIF(P$2:P5215, P5216)=0, """", INDEX(H$2:H5215,
MAX(FILTER(ROW(H$2:H5215) - ROW(H$2) + 1, P$2:P5215 = P5216)))))"),40.7)</f>
        <v>40.7</v>
      </c>
      <c r="N5216" s="335" t="str">
        <f>IF(MAXIFS('単価履歴'!$O:$O,'単価履歴'!$E:$E,E5216,'単価履歴'!$F:$F,F5216)=O5216,"●","")</f>
        <v/>
      </c>
      <c r="O5216" s="346">
        <v>46119.27962962963</v>
      </c>
      <c r="P5216" s="334" t="str">
        <f t="shared" si="4"/>
        <v>大鉄　堺:豊通ＣＰ Ｂ一斗缶</v>
      </c>
    </row>
    <row r="5217" ht="15.75" customHeight="1">
      <c r="A5217" s="335" t="s">
        <v>6364</v>
      </c>
      <c r="B5217" s="336">
        <v>46119.0</v>
      </c>
      <c r="C5217" s="335" t="s">
        <v>9</v>
      </c>
      <c r="D5217" s="335" t="s">
        <v>50</v>
      </c>
      <c r="E5217" s="337" t="str">
        <f t="shared" si="1"/>
        <v>大鉄　堺:産振</v>
      </c>
      <c r="F5217" s="338" t="s">
        <v>111</v>
      </c>
      <c r="G5217" s="339" t="str">
        <f t="shared" si="2"/>
        <v>大鉄　堺:産振Ｈ１(特A)</v>
      </c>
      <c r="H5217" s="340">
        <f t="shared" si="3"/>
        <v>54.2</v>
      </c>
      <c r="I5217" s="341">
        <v>1.0</v>
      </c>
      <c r="J5217" s="332">
        <f>IFERROR(__xludf.DUMMYFUNCTION("IF(IF(COUNTIF(P$2:P5216, P5217)=0, """", INDEX(H$2:H5216,
MAX(FILTER(ROW(H$2:H5216) - ROW(H$2) + 1, P$2:P5216 = P5217))))=""単価"","""",
IF(COUNTIF(P$2:P5216, P5217)=0, """", INDEX(H$2:H5216,
MAX(FILTER(ROW(H$2:H5216) - ROW(H$2) + 1, P$2:P5216 = P5217)))))"),53.2)</f>
        <v>53.2</v>
      </c>
      <c r="N5217" s="335" t="str">
        <f>IF(MAXIFS('単価履歴'!$O:$O,'単価履歴'!$E:$E,E5217,'単価履歴'!$F:$F,F5217)=O5217,"●","")</f>
        <v/>
      </c>
      <c r="O5217" s="346">
        <v>46119.27983796297</v>
      </c>
      <c r="P5217" s="334" t="str">
        <f t="shared" si="4"/>
        <v>大鉄　堺:産振Ｈ１(特A)</v>
      </c>
    </row>
    <row r="5218" ht="15.75" customHeight="1">
      <c r="A5218" s="335" t="s">
        <v>6365</v>
      </c>
      <c r="B5218" s="336">
        <v>46119.0</v>
      </c>
      <c r="C5218" s="335" t="s">
        <v>9</v>
      </c>
      <c r="D5218" s="335" t="s">
        <v>50</v>
      </c>
      <c r="E5218" s="337" t="str">
        <f t="shared" si="1"/>
        <v>大鉄　堺:産振</v>
      </c>
      <c r="F5218" s="338" t="s">
        <v>116</v>
      </c>
      <c r="G5218" s="339" t="str">
        <f t="shared" si="2"/>
        <v>大鉄　堺:産振Ｈ２(特級)</v>
      </c>
      <c r="H5218" s="340">
        <f t="shared" si="3"/>
        <v>51.7</v>
      </c>
      <c r="I5218" s="341">
        <v>1.0</v>
      </c>
      <c r="J5218" s="332">
        <f>IFERROR(__xludf.DUMMYFUNCTION("IF(IF(COUNTIF(P$2:P5217, P5218)=0, """", INDEX(H$2:H5217,
MAX(FILTER(ROW(H$2:H5217) - ROW(H$2) + 1, P$2:P5217 = P5218))))=""単価"","""",
IF(COUNTIF(P$2:P5217, P5218)=0, """", INDEX(H$2:H5217,
MAX(FILTER(ROW(H$2:H5217) - ROW(H$2) + 1, P$2:P5217 = P5218)))))"),50.7)</f>
        <v>50.7</v>
      </c>
      <c r="N5218" s="335" t="str">
        <f>IF(MAXIFS('単価履歴'!$O:$O,'単価履歴'!$E:$E,E5218,'単価履歴'!$F:$F,F5218)=O5218,"●","")</f>
        <v/>
      </c>
      <c r="O5218" s="346">
        <v>46119.27983796297</v>
      </c>
      <c r="P5218" s="334" t="str">
        <f t="shared" si="4"/>
        <v>大鉄　堺:産振Ｈ２(特級)</v>
      </c>
    </row>
    <row r="5219" ht="15.75" customHeight="1">
      <c r="A5219" s="335" t="s">
        <v>6366</v>
      </c>
      <c r="B5219" s="336">
        <v>46119.0</v>
      </c>
      <c r="C5219" s="335" t="s">
        <v>9</v>
      </c>
      <c r="D5219" s="335" t="s">
        <v>50</v>
      </c>
      <c r="E5219" s="337" t="str">
        <f t="shared" si="1"/>
        <v>大鉄　堺:産振</v>
      </c>
      <c r="F5219" s="338" t="s">
        <v>119</v>
      </c>
      <c r="G5219" s="339" t="str">
        <f t="shared" si="2"/>
        <v>大鉄　堺:産振Ｈ３(1級)</v>
      </c>
      <c r="H5219" s="340">
        <f t="shared" si="3"/>
        <v>48.7</v>
      </c>
      <c r="I5219" s="341">
        <v>1.0</v>
      </c>
      <c r="J5219" s="332">
        <f>IFERROR(__xludf.DUMMYFUNCTION("IF(IF(COUNTIF(P$2:P5218, P5219)=0, """", INDEX(H$2:H5218,
MAX(FILTER(ROW(H$2:H5218) - ROW(H$2) + 1, P$2:P5218 = P5219))))=""単価"","""",
IF(COUNTIF(P$2:P5218, P5219)=0, """", INDEX(H$2:H5218,
MAX(FILTER(ROW(H$2:H5218) - ROW(H$2) + 1, P$2:P5218 = P5219)))))"),47.7)</f>
        <v>47.7</v>
      </c>
      <c r="N5219" s="335" t="str">
        <f>IF(MAXIFS('単価履歴'!$O:$O,'単価履歴'!$E:$E,E5219,'単価履歴'!$F:$F,F5219)=O5219,"●","")</f>
        <v/>
      </c>
      <c r="O5219" s="346">
        <v>46119.27983796297</v>
      </c>
      <c r="P5219" s="334" t="str">
        <f t="shared" si="4"/>
        <v>大鉄　堺:産振Ｈ３(1級)</v>
      </c>
    </row>
    <row r="5220" ht="15.75" customHeight="1">
      <c r="A5220" s="335" t="s">
        <v>6367</v>
      </c>
      <c r="B5220" s="336">
        <v>46119.0</v>
      </c>
      <c r="C5220" s="335" t="s">
        <v>9</v>
      </c>
      <c r="D5220" s="335" t="s">
        <v>50</v>
      </c>
      <c r="E5220" s="337" t="str">
        <f t="shared" si="1"/>
        <v>大鉄　堺:産振</v>
      </c>
      <c r="F5220" s="338" t="s">
        <v>154</v>
      </c>
      <c r="G5220" s="339" t="str">
        <f t="shared" si="2"/>
        <v>大鉄　堺:産振ＣＰ Ａ</v>
      </c>
      <c r="H5220" s="340">
        <f t="shared" si="3"/>
        <v>53.7</v>
      </c>
      <c r="I5220" s="341">
        <v>1.0</v>
      </c>
      <c r="J5220" s="332">
        <f>IFERROR(__xludf.DUMMYFUNCTION("IF(IF(COUNTIF(P$2:P5219, P5220)=0, """", INDEX(H$2:H5219,
MAX(FILTER(ROW(H$2:H5219) - ROW(H$2) + 1, P$2:P5219 = P5220))))=""単価"","""",
IF(COUNTIF(P$2:P5219, P5220)=0, """", INDEX(H$2:H5219,
MAX(FILTER(ROW(H$2:H5219) - ROW(H$2) + 1, P$2:P5219 = P5220)))))"),52.7)</f>
        <v>52.7</v>
      </c>
      <c r="N5220" s="335" t="str">
        <f>IF(MAXIFS('単価履歴'!$O:$O,'単価履歴'!$E:$E,E5220,'単価履歴'!$F:$F,F5220)=O5220,"●","")</f>
        <v/>
      </c>
      <c r="O5220" s="346">
        <v>46119.27983796297</v>
      </c>
      <c r="P5220" s="334" t="str">
        <f t="shared" si="4"/>
        <v>大鉄　堺:産振ＣＰ Ａ</v>
      </c>
    </row>
    <row r="5221" ht="15.75" customHeight="1">
      <c r="A5221" s="335" t="s">
        <v>6368</v>
      </c>
      <c r="B5221" s="336">
        <v>46119.0</v>
      </c>
      <c r="C5221" s="335" t="s">
        <v>9</v>
      </c>
      <c r="D5221" s="335" t="s">
        <v>50</v>
      </c>
      <c r="E5221" s="337" t="str">
        <f t="shared" si="1"/>
        <v>大鉄　堺:産振</v>
      </c>
      <c r="F5221" s="338" t="s">
        <v>156</v>
      </c>
      <c r="G5221" s="339" t="str">
        <f t="shared" si="2"/>
        <v>大鉄　堺:産振ＣＰ Ｂ一斗缶</v>
      </c>
      <c r="H5221" s="340">
        <f t="shared" si="3"/>
        <v>43.5</v>
      </c>
      <c r="I5221" s="341">
        <v>1.0</v>
      </c>
      <c r="J5221" s="332">
        <f>IFERROR(__xludf.DUMMYFUNCTION("IF(IF(COUNTIF(P$2:P5220, P5221)=0, """", INDEX(H$2:H5220,
MAX(FILTER(ROW(H$2:H5220) - ROW(H$2) + 1, P$2:P5220 = P5221))))=""単価"","""",
IF(COUNTIF(P$2:P5220, P5221)=0, """", INDEX(H$2:H5220,
MAX(FILTER(ROW(H$2:H5220) - ROW(H$2) + 1, P$2:P5220 = P5221)))))"),42.5)</f>
        <v>42.5</v>
      </c>
      <c r="N5221" s="335" t="str">
        <f>IF(MAXIFS('単価履歴'!$O:$O,'単価履歴'!$E:$E,E5221,'単価履歴'!$F:$F,F5221)=O5221,"●","")</f>
        <v/>
      </c>
      <c r="O5221" s="346">
        <v>46119.27983796297</v>
      </c>
      <c r="P5221" s="334" t="str">
        <f t="shared" si="4"/>
        <v>大鉄　堺:産振ＣＰ Ｂ一斗缶</v>
      </c>
    </row>
    <row r="5222" ht="15.75" customHeight="1">
      <c r="A5222" s="335" t="s">
        <v>6369</v>
      </c>
      <c r="B5222" s="336">
        <v>46119.0</v>
      </c>
      <c r="C5222" s="335" t="s">
        <v>9</v>
      </c>
      <c r="D5222" s="335" t="s">
        <v>50</v>
      </c>
      <c r="E5222" s="337" t="str">
        <f t="shared" si="1"/>
        <v>大鉄　堺:産振</v>
      </c>
      <c r="F5222" s="338" t="s">
        <v>122</v>
      </c>
      <c r="G5222" s="339" t="str">
        <f t="shared" si="2"/>
        <v>大鉄　堺:産振Ｌ１(2級)</v>
      </c>
      <c r="H5222" s="340">
        <f t="shared" si="3"/>
        <v>47.7</v>
      </c>
      <c r="I5222" s="341">
        <v>1.0</v>
      </c>
      <c r="J5222" s="332">
        <f>IFERROR(__xludf.DUMMYFUNCTION("IF(IF(COUNTIF(P$2:P5221, P5222)=0, """", INDEX(H$2:H5221,
MAX(FILTER(ROW(H$2:H5221) - ROW(H$2) + 1, P$2:P5221 = P5222))))=""単価"","""",
IF(COUNTIF(P$2:P5221, P5222)=0, """", INDEX(H$2:H5221,
MAX(FILTER(ROW(H$2:H5221) - ROW(H$2) + 1, P$2:P5221 = P5222)))))"),46.7)</f>
        <v>46.7</v>
      </c>
      <c r="N5222" s="335" t="str">
        <f>IF(MAXIFS('単価履歴'!$O:$O,'単価履歴'!$E:$E,E5222,'単価履歴'!$F:$F,F5222)=O5222,"●","")</f>
        <v/>
      </c>
      <c r="O5222" s="346">
        <v>46119.27983796297</v>
      </c>
      <c r="P5222" s="334" t="str">
        <f t="shared" si="4"/>
        <v>大鉄　堺:産振Ｌ１(2級)</v>
      </c>
    </row>
    <row r="5223" ht="15.75" customHeight="1">
      <c r="A5223" s="335" t="s">
        <v>6370</v>
      </c>
      <c r="B5223" s="336">
        <v>46119.0</v>
      </c>
      <c r="C5223" s="335" t="s">
        <v>9</v>
      </c>
      <c r="D5223" s="335" t="s">
        <v>50</v>
      </c>
      <c r="E5223" s="337" t="str">
        <f t="shared" si="1"/>
        <v>大鉄　堺:産振</v>
      </c>
      <c r="F5223" s="338" t="s">
        <v>130</v>
      </c>
      <c r="G5223" s="339" t="str">
        <f t="shared" si="2"/>
        <v>大鉄　堺:産振新断Ａ</v>
      </c>
      <c r="H5223" s="340">
        <f t="shared" si="3"/>
        <v>49.7</v>
      </c>
      <c r="I5223" s="341">
        <v>1.0</v>
      </c>
      <c r="J5223" s="332">
        <f>IFERROR(__xludf.DUMMYFUNCTION("IF(IF(COUNTIF(P$2:P5222, P5223)=0, """", INDEX(H$2:H5222,
MAX(FILTER(ROW(H$2:H5222) - ROW(H$2) + 1, P$2:P5222 = P5223))))=""単価"","""",
IF(COUNTIF(P$2:P5222, P5223)=0, """", INDEX(H$2:H5222,
MAX(FILTER(ROW(H$2:H5222) - ROW(H$2) + 1, P$2:P5222 = P5223)))))"),48.7)</f>
        <v>48.7</v>
      </c>
      <c r="N5223" s="335" t="str">
        <f>IF(MAXIFS('単価履歴'!$O:$O,'単価履歴'!$E:$E,E5223,'単価履歴'!$F:$F,F5223)=O5223,"●","")</f>
        <v/>
      </c>
      <c r="O5223" s="346">
        <v>46119.27983796297</v>
      </c>
      <c r="P5223" s="334" t="str">
        <f t="shared" si="4"/>
        <v>大鉄　堺:産振新断Ａ</v>
      </c>
    </row>
    <row r="5224" ht="15.75" customHeight="1">
      <c r="A5224" s="335" t="s">
        <v>6371</v>
      </c>
      <c r="B5224" s="336">
        <v>46119.0</v>
      </c>
      <c r="C5224" s="335" t="s">
        <v>9</v>
      </c>
      <c r="D5224" s="335" t="s">
        <v>50</v>
      </c>
      <c r="E5224" s="337" t="str">
        <f t="shared" si="1"/>
        <v>大鉄　堺:産振</v>
      </c>
      <c r="F5224" s="338" t="s">
        <v>131</v>
      </c>
      <c r="G5224" s="339" t="str">
        <f t="shared" si="2"/>
        <v>大鉄　堺:産振新断Ｂ</v>
      </c>
      <c r="H5224" s="340">
        <f t="shared" si="3"/>
        <v>49.2</v>
      </c>
      <c r="I5224" s="341">
        <v>1.0</v>
      </c>
      <c r="J5224" s="332">
        <f>IFERROR(__xludf.DUMMYFUNCTION("IF(IF(COUNTIF(P$2:P5223, P5224)=0, """", INDEX(H$2:H5223,
MAX(FILTER(ROW(H$2:H5223) - ROW(H$2) + 1, P$2:P5223 = P5224))))=""単価"","""",
IF(COUNTIF(P$2:P5223, P5224)=0, """", INDEX(H$2:H5223,
MAX(FILTER(ROW(H$2:H5223) - ROW(H$2) + 1, P$2:P5223 = P5224)))))"),48.2)</f>
        <v>48.2</v>
      </c>
      <c r="N5224" s="335" t="str">
        <f>IF(MAXIFS('単価履歴'!$O:$O,'単価履歴'!$E:$E,E5224,'単価履歴'!$F:$F,F5224)=O5224,"●","")</f>
        <v/>
      </c>
      <c r="O5224" s="346">
        <v>46119.27983796297</v>
      </c>
      <c r="P5224" s="334" t="str">
        <f t="shared" si="4"/>
        <v>大鉄　堺:産振新断Ｂ</v>
      </c>
    </row>
    <row r="5225" ht="15.75" customHeight="1">
      <c r="A5225" s="335" t="s">
        <v>6372</v>
      </c>
      <c r="B5225" s="336">
        <v>46119.0</v>
      </c>
      <c r="C5225" s="335" t="s">
        <v>9</v>
      </c>
      <c r="D5225" s="335" t="s">
        <v>50</v>
      </c>
      <c r="E5225" s="337" t="str">
        <f t="shared" si="1"/>
        <v>大鉄　堺:産振</v>
      </c>
      <c r="F5225" s="338" t="s">
        <v>575</v>
      </c>
      <c r="G5225" s="339" t="str">
        <f t="shared" si="2"/>
        <v>大鉄　堺:産振鋼ダライＡ</v>
      </c>
      <c r="H5225" s="340">
        <f t="shared" si="3"/>
        <v>45.2</v>
      </c>
      <c r="I5225" s="341">
        <v>1.0</v>
      </c>
      <c r="J5225" s="332">
        <f>IFERROR(__xludf.DUMMYFUNCTION("IF(IF(COUNTIF(P$2:P5224, P5225)=0, """", INDEX(H$2:H5224,
MAX(FILTER(ROW(H$2:H5224) - ROW(H$2) + 1, P$2:P5224 = P5225))))=""単価"","""",
IF(COUNTIF(P$2:P5224, P5225)=0, """", INDEX(H$2:H5224,
MAX(FILTER(ROW(H$2:H5224) - ROW(H$2) + 1, P$2:P5224 = P5225)))))"),44.2)</f>
        <v>44.2</v>
      </c>
      <c r="N5225" s="335" t="str">
        <f>IF(MAXIFS('単価履歴'!$O:$O,'単価履歴'!$E:$E,E5225,'単価履歴'!$F:$F,F5225)=O5225,"●","")</f>
        <v/>
      </c>
      <c r="O5225" s="346">
        <v>46119.27983796297</v>
      </c>
      <c r="P5225" s="334" t="str">
        <f t="shared" si="4"/>
        <v>大鉄　堺:産振鋼ダライＡ</v>
      </c>
    </row>
    <row r="5226" ht="15.75" customHeight="1">
      <c r="A5226" s="335" t="s">
        <v>6373</v>
      </c>
      <c r="B5226" s="336">
        <v>46119.0</v>
      </c>
      <c r="C5226" s="335" t="s">
        <v>9</v>
      </c>
      <c r="D5226" s="335" t="s">
        <v>49</v>
      </c>
      <c r="E5226" s="337" t="str">
        <f t="shared" si="1"/>
        <v>大鉄　堺:伊藤忠</v>
      </c>
      <c r="F5226" s="338" t="s">
        <v>111</v>
      </c>
      <c r="G5226" s="339" t="str">
        <f t="shared" si="2"/>
        <v>大鉄　堺:伊藤忠Ｈ１(特A)</v>
      </c>
      <c r="H5226" s="340">
        <f t="shared" si="3"/>
        <v>36.3</v>
      </c>
      <c r="I5226" s="341">
        <v>1.0</v>
      </c>
      <c r="J5226" s="332">
        <f>IFERROR(__xludf.DUMMYFUNCTION("IF(IF(COUNTIF(P$2:P5225, P5226)=0, """", INDEX(H$2:H5225,
MAX(FILTER(ROW(H$2:H5225) - ROW(H$2) + 1, P$2:P5225 = P5226))))=""単価"","""",
IF(COUNTIF(P$2:P5225, P5226)=0, """", INDEX(H$2:H5225,
MAX(FILTER(ROW(H$2:H5225) - ROW(H$2) + 1, P$2:P5225 = P5226)))))"),35.3)</f>
        <v>35.3</v>
      </c>
      <c r="N5226" s="335" t="str">
        <f>IF(MAXIFS('単価履歴'!$O:$O,'単価履歴'!$E:$E,E5226,'単価履歴'!$F:$F,F5226)=O5226,"●","")</f>
        <v/>
      </c>
      <c r="O5226" s="346">
        <v>46119.28010416667</v>
      </c>
      <c r="P5226" s="334" t="str">
        <f t="shared" si="4"/>
        <v>大鉄　堺:伊藤忠Ｈ１(特A)</v>
      </c>
    </row>
    <row r="5227" ht="15.75" customHeight="1">
      <c r="A5227" s="335" t="s">
        <v>6374</v>
      </c>
      <c r="B5227" s="336">
        <v>46119.0</v>
      </c>
      <c r="C5227" s="335" t="s">
        <v>9</v>
      </c>
      <c r="D5227" s="335" t="s">
        <v>49</v>
      </c>
      <c r="E5227" s="337" t="str">
        <f t="shared" si="1"/>
        <v>大鉄　堺:伊藤忠</v>
      </c>
      <c r="F5227" s="338" t="s">
        <v>1237</v>
      </c>
      <c r="G5227" s="339" t="str">
        <f t="shared" si="2"/>
        <v>大鉄　堺:伊藤忠ＪＨ１(H2T山口)鍛造ﾊﾞﾘ</v>
      </c>
      <c r="H5227" s="340">
        <f t="shared" si="3"/>
        <v>43.7</v>
      </c>
      <c r="I5227" s="341">
        <v>1.0</v>
      </c>
      <c r="J5227" s="332">
        <f>IFERROR(__xludf.DUMMYFUNCTION("IF(IF(COUNTIF(P$2:P5226, P5227)=0, """", INDEX(H$2:H5226,
MAX(FILTER(ROW(H$2:H5226) - ROW(H$2) + 1, P$2:P5226 = P5227))))=""単価"","""",
IF(COUNTIF(P$2:P5226, P5227)=0, """", INDEX(H$2:H5226,
MAX(FILTER(ROW(H$2:H5226) - ROW(H$2) + 1, P$2:P5226 = P5227)))))"),42.7)</f>
        <v>42.7</v>
      </c>
      <c r="N5227" s="335" t="str">
        <f>IF(MAXIFS('単価履歴'!$O:$O,'単価履歴'!$E:$E,E5227,'単価履歴'!$F:$F,F5227)=O5227,"●","")</f>
        <v/>
      </c>
      <c r="O5227" s="346">
        <v>46119.28010416667</v>
      </c>
      <c r="P5227" s="334" t="str">
        <f t="shared" si="4"/>
        <v>大鉄　堺:伊藤忠ＪＨ１(H2T山口)鍛造ﾊﾞﾘ</v>
      </c>
    </row>
    <row r="5228" ht="15.75" customHeight="1">
      <c r="A5228" s="335" t="s">
        <v>6375</v>
      </c>
      <c r="B5228" s="336">
        <v>46119.0</v>
      </c>
      <c r="C5228" s="335" t="s">
        <v>9</v>
      </c>
      <c r="D5228" s="335" t="s">
        <v>49</v>
      </c>
      <c r="E5228" s="337" t="str">
        <f t="shared" si="1"/>
        <v>大鉄　堺:伊藤忠</v>
      </c>
      <c r="F5228" s="338" t="s">
        <v>116</v>
      </c>
      <c r="G5228" s="339" t="str">
        <f t="shared" si="2"/>
        <v>大鉄　堺:伊藤忠Ｈ２(特級)</v>
      </c>
      <c r="H5228" s="340">
        <f t="shared" si="3"/>
        <v>41.5</v>
      </c>
      <c r="I5228" s="341">
        <v>1.0</v>
      </c>
      <c r="J5228" s="332">
        <f>IFERROR(__xludf.DUMMYFUNCTION("IF(IF(COUNTIF(P$2:P5227, P5228)=0, """", INDEX(H$2:H5227,
MAX(FILTER(ROW(H$2:H5227) - ROW(H$2) + 1, P$2:P5227 = P5228))))=""単価"","""",
IF(COUNTIF(P$2:P5227, P5228)=0, """", INDEX(H$2:H5227,
MAX(FILTER(ROW(H$2:H5227) - ROW(H$2) + 1, P$2:P5227 = P5228)))))"),40.5)</f>
        <v>40.5</v>
      </c>
      <c r="N5228" s="335" t="str">
        <f>IF(MAXIFS('単価履歴'!$O:$O,'単価履歴'!$E:$E,E5228,'単価履歴'!$F:$F,F5228)=O5228,"●","")</f>
        <v/>
      </c>
      <c r="O5228" s="346">
        <v>46119.28010416667</v>
      </c>
      <c r="P5228" s="334" t="str">
        <f t="shared" si="4"/>
        <v>大鉄　堺:伊藤忠Ｈ２(特級)</v>
      </c>
    </row>
    <row r="5229" ht="15.75" customHeight="1">
      <c r="A5229" s="335" t="s">
        <v>6376</v>
      </c>
      <c r="B5229" s="336">
        <v>46119.0</v>
      </c>
      <c r="C5229" s="335" t="s">
        <v>9</v>
      </c>
      <c r="D5229" s="335" t="s">
        <v>49</v>
      </c>
      <c r="E5229" s="337" t="str">
        <f t="shared" si="1"/>
        <v>大鉄　堺:伊藤忠</v>
      </c>
      <c r="F5229" s="338" t="s">
        <v>119</v>
      </c>
      <c r="G5229" s="339" t="str">
        <f t="shared" si="2"/>
        <v>大鉄　堺:伊藤忠Ｈ３(1級)</v>
      </c>
      <c r="H5229" s="340">
        <f t="shared" si="3"/>
        <v>40.5</v>
      </c>
      <c r="I5229" s="341">
        <v>1.0</v>
      </c>
      <c r="J5229" s="332">
        <f>IFERROR(__xludf.DUMMYFUNCTION("IF(IF(COUNTIF(P$2:P5228, P5229)=0, """", INDEX(H$2:H5228,
MAX(FILTER(ROW(H$2:H5228) - ROW(H$2) + 1, P$2:P5228 = P5229))))=""単価"","""",
IF(COUNTIF(P$2:P5228, P5229)=0, """", INDEX(H$2:H5228,
MAX(FILTER(ROW(H$2:H5228) - ROW(H$2) + 1, P$2:P5228 = P5229)))))"),39.5)</f>
        <v>39.5</v>
      </c>
      <c r="N5229" s="335" t="str">
        <f>IF(MAXIFS('単価履歴'!$O:$O,'単価履歴'!$E:$E,E5229,'単価履歴'!$F:$F,F5229)=O5229,"●","")</f>
        <v/>
      </c>
      <c r="O5229" s="346">
        <v>46119.28010416667</v>
      </c>
      <c r="P5229" s="334" t="str">
        <f t="shared" si="4"/>
        <v>大鉄　堺:伊藤忠Ｈ３(1級)</v>
      </c>
    </row>
    <row r="5230" ht="15.75" customHeight="1">
      <c r="A5230" s="335" t="s">
        <v>6377</v>
      </c>
      <c r="B5230" s="336">
        <v>46119.0</v>
      </c>
      <c r="C5230" s="335" t="s">
        <v>9</v>
      </c>
      <c r="D5230" s="335" t="s">
        <v>49</v>
      </c>
      <c r="E5230" s="337" t="str">
        <f t="shared" si="1"/>
        <v>大鉄　堺:伊藤忠</v>
      </c>
      <c r="F5230" s="338" t="s">
        <v>122</v>
      </c>
      <c r="G5230" s="339" t="str">
        <f t="shared" si="2"/>
        <v>大鉄　堺:伊藤忠Ｌ１(2級)</v>
      </c>
      <c r="H5230" s="340">
        <f t="shared" si="3"/>
        <v>39.5</v>
      </c>
      <c r="I5230" s="341">
        <v>1.0</v>
      </c>
      <c r="J5230" s="332">
        <f>IFERROR(__xludf.DUMMYFUNCTION("IF(IF(COUNTIF(P$2:P5229, P5230)=0, """", INDEX(H$2:H5229,
MAX(FILTER(ROW(H$2:H5229) - ROW(H$2) + 1, P$2:P5229 = P5230))))=""単価"","""",
IF(COUNTIF(P$2:P5229, P5230)=0, """", INDEX(H$2:H5229,
MAX(FILTER(ROW(H$2:H5229) - ROW(H$2) + 1, P$2:P5229 = P5230)))))"),38.5)</f>
        <v>38.5</v>
      </c>
      <c r="N5230" s="335" t="str">
        <f>IF(MAXIFS('単価履歴'!$O:$O,'単価履歴'!$E:$E,E5230,'単価履歴'!$F:$F,F5230)=O5230,"●","")</f>
        <v/>
      </c>
      <c r="O5230" s="346">
        <v>46119.28010416667</v>
      </c>
      <c r="P5230" s="334" t="str">
        <f t="shared" si="4"/>
        <v>大鉄　堺:伊藤忠Ｌ１(2級)</v>
      </c>
    </row>
    <row r="5231" ht="15.75" customHeight="1">
      <c r="A5231" s="335" t="s">
        <v>6378</v>
      </c>
      <c r="B5231" s="336">
        <v>46119.0</v>
      </c>
      <c r="C5231" s="335" t="s">
        <v>9</v>
      </c>
      <c r="D5231" s="335" t="s">
        <v>49</v>
      </c>
      <c r="E5231" s="337" t="str">
        <f t="shared" si="1"/>
        <v>大鉄　堺:伊藤忠</v>
      </c>
      <c r="F5231" s="338" t="s">
        <v>130</v>
      </c>
      <c r="G5231" s="339" t="str">
        <f t="shared" si="2"/>
        <v>大鉄　堺:伊藤忠新断Ａ</v>
      </c>
      <c r="H5231" s="340">
        <f t="shared" si="3"/>
        <v>35.8</v>
      </c>
      <c r="I5231" s="341">
        <v>1.0</v>
      </c>
      <c r="J5231" s="332">
        <f>IFERROR(__xludf.DUMMYFUNCTION("IF(IF(COUNTIF(P$2:P5230, P5231)=0, """", INDEX(H$2:H5230,
MAX(FILTER(ROW(H$2:H5230) - ROW(H$2) + 1, P$2:P5230 = P5231))))=""単価"","""",
IF(COUNTIF(P$2:P5230, P5231)=0, """", INDEX(H$2:H5230,
MAX(FILTER(ROW(H$2:H5230) - ROW(H$2) + 1, P$2:P5230 = P5231)))))"),34.8)</f>
        <v>34.8</v>
      </c>
      <c r="N5231" s="335" t="str">
        <f>IF(MAXIFS('単価履歴'!$O:$O,'単価履歴'!$E:$E,E5231,'単価履歴'!$F:$F,F5231)=O5231,"●","")</f>
        <v/>
      </c>
      <c r="O5231" s="346">
        <v>46119.28010416667</v>
      </c>
      <c r="P5231" s="334" t="str">
        <f t="shared" si="4"/>
        <v>大鉄　堺:伊藤忠新断Ａ</v>
      </c>
    </row>
    <row r="5232" ht="15.75" customHeight="1">
      <c r="A5232" s="335" t="s">
        <v>6379</v>
      </c>
      <c r="B5232" s="336">
        <v>46119.0</v>
      </c>
      <c r="C5232" s="335" t="s">
        <v>9</v>
      </c>
      <c r="D5232" s="335" t="s">
        <v>49</v>
      </c>
      <c r="E5232" s="337" t="str">
        <f t="shared" si="1"/>
        <v>大鉄　堺:伊藤忠</v>
      </c>
      <c r="F5232" s="338" t="s">
        <v>131</v>
      </c>
      <c r="G5232" s="339" t="str">
        <f t="shared" si="2"/>
        <v>大鉄　堺:伊藤忠新断Ｂ</v>
      </c>
      <c r="H5232" s="340">
        <f t="shared" si="3"/>
        <v>35.3</v>
      </c>
      <c r="I5232" s="341">
        <v>1.0</v>
      </c>
      <c r="J5232" s="332">
        <f>IFERROR(__xludf.DUMMYFUNCTION("IF(IF(COUNTIF(P$2:P5231, P5232)=0, """", INDEX(H$2:H5231,
MAX(FILTER(ROW(H$2:H5231) - ROW(H$2) + 1, P$2:P5231 = P5232))))=""単価"","""",
IF(COUNTIF(P$2:P5231, P5232)=0, """", INDEX(H$2:H5231,
MAX(FILTER(ROW(H$2:H5231) - ROW(H$2) + 1, P$2:P5231 = P5232)))))"),34.3)</f>
        <v>34.3</v>
      </c>
      <c r="N5232" s="335" t="str">
        <f>IF(MAXIFS('単価履歴'!$O:$O,'単価履歴'!$E:$E,E5232,'単価履歴'!$F:$F,F5232)=O5232,"●","")</f>
        <v/>
      </c>
      <c r="O5232" s="346">
        <v>46119.28010416667</v>
      </c>
      <c r="P5232" s="334" t="str">
        <f t="shared" si="4"/>
        <v>大鉄　堺:伊藤忠新断Ｂ</v>
      </c>
    </row>
    <row r="5233" ht="15.75" customHeight="1">
      <c r="A5233" s="335" t="s">
        <v>6380</v>
      </c>
      <c r="B5233" s="336">
        <v>46119.0</v>
      </c>
      <c r="C5233" s="335" t="s">
        <v>9</v>
      </c>
      <c r="D5233" s="335" t="s">
        <v>48</v>
      </c>
      <c r="E5233" s="337" t="str">
        <f t="shared" si="1"/>
        <v>大鉄　堺:ナベ</v>
      </c>
      <c r="F5233" s="338" t="s">
        <v>116</v>
      </c>
      <c r="G5233" s="339" t="str">
        <f t="shared" si="2"/>
        <v>大鉄　堺:ナベＨ２(特級)</v>
      </c>
      <c r="H5233" s="340">
        <f t="shared" si="3"/>
        <v>51.7</v>
      </c>
      <c r="I5233" s="341">
        <v>1.0</v>
      </c>
      <c r="J5233" s="332">
        <f>IFERROR(__xludf.DUMMYFUNCTION("IF(IF(COUNTIF(P$2:P5232, P5233)=0, """", INDEX(H$2:H5232,
MAX(FILTER(ROW(H$2:H5232) - ROW(H$2) + 1, P$2:P5232 = P5233))))=""単価"","""",
IF(COUNTIF(P$2:P5232, P5233)=0, """", INDEX(H$2:H5232,
MAX(FILTER(ROW(H$2:H5232) - ROW(H$2) + 1, P$2:P5232 = P5233)))))"),50.7)</f>
        <v>50.7</v>
      </c>
      <c r="N5233" s="335" t="str">
        <f>IF(MAXIFS('単価履歴'!$O:$O,'単価履歴'!$E:$E,E5233,'単価履歴'!$F:$F,F5233)=O5233,"●","")</f>
        <v/>
      </c>
      <c r="O5233" s="346">
        <v>46119.280277777776</v>
      </c>
      <c r="P5233" s="334" t="str">
        <f t="shared" si="4"/>
        <v>大鉄　堺:ナベＨ２(特級)</v>
      </c>
    </row>
    <row r="5234" ht="15.75" customHeight="1">
      <c r="A5234" s="335" t="s">
        <v>6381</v>
      </c>
      <c r="B5234" s="336">
        <v>46119.0</v>
      </c>
      <c r="C5234" s="335" t="s">
        <v>9</v>
      </c>
      <c r="D5234" s="335" t="s">
        <v>48</v>
      </c>
      <c r="E5234" s="337" t="str">
        <f t="shared" si="1"/>
        <v>大鉄　堺:ナベ</v>
      </c>
      <c r="F5234" s="338" t="s">
        <v>119</v>
      </c>
      <c r="G5234" s="339" t="str">
        <f t="shared" si="2"/>
        <v>大鉄　堺:ナベＨ３(1級)</v>
      </c>
      <c r="H5234" s="340">
        <f t="shared" si="3"/>
        <v>51.2</v>
      </c>
      <c r="I5234" s="341">
        <v>1.0</v>
      </c>
      <c r="J5234" s="332">
        <f>IFERROR(__xludf.DUMMYFUNCTION("IF(IF(COUNTIF(P$2:P5233, P5234)=0, """", INDEX(H$2:H5233,
MAX(FILTER(ROW(H$2:H5233) - ROW(H$2) + 1, P$2:P5233 = P5234))))=""単価"","""",
IF(COUNTIF(P$2:P5233, P5234)=0, """", INDEX(H$2:H5233,
MAX(FILTER(ROW(H$2:H5233) - ROW(H$2) + 1, P$2:P5233 = P5234)))))"),50.2)</f>
        <v>50.2</v>
      </c>
      <c r="N5234" s="335" t="str">
        <f>IF(MAXIFS('単価履歴'!$O:$O,'単価履歴'!$E:$E,E5234,'単価履歴'!$F:$F,F5234)=O5234,"●","")</f>
        <v/>
      </c>
      <c r="O5234" s="346">
        <v>46119.280277777776</v>
      </c>
      <c r="P5234" s="334" t="str">
        <f t="shared" si="4"/>
        <v>大鉄　堺:ナベＨ３(1級)</v>
      </c>
    </row>
    <row r="5235" ht="15.75" customHeight="1">
      <c r="A5235" s="335" t="s">
        <v>6382</v>
      </c>
      <c r="B5235" s="336">
        <v>46119.0</v>
      </c>
      <c r="C5235" s="335" t="s">
        <v>9</v>
      </c>
      <c r="D5235" s="335" t="s">
        <v>48</v>
      </c>
      <c r="E5235" s="337" t="str">
        <f t="shared" si="1"/>
        <v>大鉄　堺:ナベ</v>
      </c>
      <c r="F5235" s="338" t="s">
        <v>122</v>
      </c>
      <c r="G5235" s="339" t="str">
        <f t="shared" si="2"/>
        <v>大鉄　堺:ナベＬ１(2級)</v>
      </c>
      <c r="H5235" s="340">
        <f t="shared" si="3"/>
        <v>50.7</v>
      </c>
      <c r="I5235" s="341">
        <v>1.0</v>
      </c>
      <c r="J5235" s="332">
        <f>IFERROR(__xludf.DUMMYFUNCTION("IF(IF(COUNTIF(P$2:P5234, P5235)=0, """", INDEX(H$2:H5234,
MAX(FILTER(ROW(H$2:H5234) - ROW(H$2) + 1, P$2:P5234 = P5235))))=""単価"","""",
IF(COUNTIF(P$2:P5234, P5235)=0, """", INDEX(H$2:H5234,
MAX(FILTER(ROW(H$2:H5234) - ROW(H$2) + 1, P$2:P5234 = P5235)))))"),49.7)</f>
        <v>49.7</v>
      </c>
      <c r="N5235" s="335" t="str">
        <f>IF(MAXIFS('単価履歴'!$O:$O,'単価履歴'!$E:$E,E5235,'単価履歴'!$F:$F,F5235)=O5235,"●","")</f>
        <v/>
      </c>
      <c r="O5235" s="346">
        <v>46119.280277777776</v>
      </c>
      <c r="P5235" s="334" t="str">
        <f t="shared" si="4"/>
        <v>大鉄　堺:ナベＬ１(2級)</v>
      </c>
    </row>
    <row r="5236" ht="15.75" customHeight="1">
      <c r="A5236" s="335" t="s">
        <v>6383</v>
      </c>
      <c r="B5236" s="336">
        <v>46119.0</v>
      </c>
      <c r="C5236" s="335" t="s">
        <v>10</v>
      </c>
      <c r="D5236" s="335" t="s">
        <v>47</v>
      </c>
      <c r="E5236" s="337" t="str">
        <f t="shared" si="1"/>
        <v>岸和田:豊通</v>
      </c>
      <c r="F5236" s="338" t="s">
        <v>111</v>
      </c>
      <c r="G5236" s="339" t="str">
        <f t="shared" si="2"/>
        <v>岸和田:豊通Ｈ１(特A)</v>
      </c>
      <c r="H5236" s="340">
        <f t="shared" si="3"/>
        <v>51.5</v>
      </c>
      <c r="I5236" s="341">
        <v>1.0</v>
      </c>
      <c r="J5236" s="332">
        <f>IFERROR(__xludf.DUMMYFUNCTION("IF(IF(COUNTIF(P$2:P5235, P5236)=0, """", INDEX(H$2:H5235,
MAX(FILTER(ROW(H$2:H5235) - ROW(H$2) + 1, P$2:P5235 = P5236))))=""単価"","""",
IF(COUNTIF(P$2:P5235, P5236)=0, """", INDEX(H$2:H5235,
MAX(FILTER(ROW(H$2:H5235) - ROW(H$2) + 1, P$2:P5235 = P5236)))))"),50.5)</f>
        <v>50.5</v>
      </c>
      <c r="N5236" s="335" t="str">
        <f>IF(MAXIFS('単価履歴'!$O:$O,'単価履歴'!$E:$E,E5236,'単価履歴'!$F:$F,F5236)=O5236,"●","")</f>
        <v/>
      </c>
      <c r="O5236" s="346">
        <v>46119.280590277776</v>
      </c>
      <c r="P5236" s="334" t="str">
        <f t="shared" si="4"/>
        <v>岸和田:豊通Ｈ１(特A)</v>
      </c>
    </row>
    <row r="5237" ht="15.75" customHeight="1">
      <c r="A5237" s="335" t="s">
        <v>6384</v>
      </c>
      <c r="B5237" s="336">
        <v>46119.0</v>
      </c>
      <c r="C5237" s="335" t="s">
        <v>10</v>
      </c>
      <c r="D5237" s="335" t="s">
        <v>47</v>
      </c>
      <c r="E5237" s="337" t="str">
        <f t="shared" si="1"/>
        <v>岸和田:豊通</v>
      </c>
      <c r="F5237" s="338" t="s">
        <v>116</v>
      </c>
      <c r="G5237" s="339" t="str">
        <f t="shared" si="2"/>
        <v>岸和田:豊通Ｈ２(特級)</v>
      </c>
      <c r="H5237" s="340">
        <f t="shared" si="3"/>
        <v>49</v>
      </c>
      <c r="I5237" s="341">
        <v>1.0</v>
      </c>
      <c r="J5237" s="332">
        <f>IFERROR(__xludf.DUMMYFUNCTION("IF(IF(COUNTIF(P$2:P5236, P5237)=0, """", INDEX(H$2:H5236,
MAX(FILTER(ROW(H$2:H5236) - ROW(H$2) + 1, P$2:P5236 = P5237))))=""単価"","""",
IF(COUNTIF(P$2:P5236, P5237)=0, """", INDEX(H$2:H5236,
MAX(FILTER(ROW(H$2:H5236) - ROW(H$2) + 1, P$2:P5236 = P5237)))))"),48.0)</f>
        <v>48</v>
      </c>
      <c r="N5237" s="335" t="str">
        <f>IF(MAXIFS('単価履歴'!$O:$O,'単価履歴'!$E:$E,E5237,'単価履歴'!$F:$F,F5237)=O5237,"●","")</f>
        <v/>
      </c>
      <c r="O5237" s="346">
        <v>46119.280590277776</v>
      </c>
      <c r="P5237" s="334" t="str">
        <f t="shared" si="4"/>
        <v>岸和田:豊通Ｈ２(特級)</v>
      </c>
    </row>
    <row r="5238" ht="15.75" customHeight="1">
      <c r="A5238" s="335" t="s">
        <v>6385</v>
      </c>
      <c r="B5238" s="336">
        <v>46119.0</v>
      </c>
      <c r="C5238" s="335" t="s">
        <v>10</v>
      </c>
      <c r="D5238" s="335" t="s">
        <v>47</v>
      </c>
      <c r="E5238" s="337" t="str">
        <f t="shared" si="1"/>
        <v>岸和田:豊通</v>
      </c>
      <c r="F5238" s="338" t="s">
        <v>119</v>
      </c>
      <c r="G5238" s="339" t="str">
        <f t="shared" si="2"/>
        <v>岸和田:豊通Ｈ３(1級)</v>
      </c>
      <c r="H5238" s="340">
        <f t="shared" si="3"/>
        <v>48.5</v>
      </c>
      <c r="I5238" s="341">
        <v>1.0</v>
      </c>
      <c r="J5238" s="332">
        <f>IFERROR(__xludf.DUMMYFUNCTION("IF(IF(COUNTIF(P$2:P5237, P5238)=0, """", INDEX(H$2:H5237,
MAX(FILTER(ROW(H$2:H5237) - ROW(H$2) + 1, P$2:P5237 = P5238))))=""単価"","""",
IF(COUNTIF(P$2:P5237, P5238)=0, """", INDEX(H$2:H5237,
MAX(FILTER(ROW(H$2:H5237) - ROW(H$2) + 1, P$2:P5237 = P5238)))))"),47.5)</f>
        <v>47.5</v>
      </c>
      <c r="N5238" s="335" t="str">
        <f>IF(MAXIFS('単価履歴'!$O:$O,'単価履歴'!$E:$E,E5238,'単価履歴'!$F:$F,F5238)=O5238,"●","")</f>
        <v/>
      </c>
      <c r="O5238" s="346">
        <v>46119.280590277776</v>
      </c>
      <c r="P5238" s="334" t="str">
        <f t="shared" si="4"/>
        <v>岸和田:豊通Ｈ３(1級)</v>
      </c>
    </row>
    <row r="5239" ht="15.75" customHeight="1">
      <c r="A5239" s="335" t="s">
        <v>6386</v>
      </c>
      <c r="B5239" s="336">
        <v>46119.0</v>
      </c>
      <c r="C5239" s="335" t="s">
        <v>10</v>
      </c>
      <c r="D5239" s="335" t="s">
        <v>47</v>
      </c>
      <c r="E5239" s="337" t="str">
        <f t="shared" si="1"/>
        <v>岸和田:豊通</v>
      </c>
      <c r="F5239" s="338" t="s">
        <v>122</v>
      </c>
      <c r="G5239" s="339" t="str">
        <f t="shared" si="2"/>
        <v>岸和田:豊通Ｌ１(2級)</v>
      </c>
      <c r="H5239" s="340">
        <f t="shared" si="3"/>
        <v>48</v>
      </c>
      <c r="I5239" s="341">
        <v>1.0</v>
      </c>
      <c r="J5239" s="332">
        <f>IFERROR(__xludf.DUMMYFUNCTION("IF(IF(COUNTIF(P$2:P5238, P5239)=0, """", INDEX(H$2:H5238,
MAX(FILTER(ROW(H$2:H5238) - ROW(H$2) + 1, P$2:P5238 = P5239))))=""単価"","""",
IF(COUNTIF(P$2:P5238, P5239)=0, """", INDEX(H$2:H5238,
MAX(FILTER(ROW(H$2:H5238) - ROW(H$2) + 1, P$2:P5238 = P5239)))))"),47.0)</f>
        <v>47</v>
      </c>
      <c r="N5239" s="335" t="str">
        <f>IF(MAXIFS('単価履歴'!$O:$O,'単価履歴'!$E:$E,E5239,'単価履歴'!$F:$F,F5239)=O5239,"●","")</f>
        <v/>
      </c>
      <c r="O5239" s="346">
        <v>46119.280590277776</v>
      </c>
      <c r="P5239" s="334" t="str">
        <f t="shared" si="4"/>
        <v>岸和田:豊通Ｌ１(2級)</v>
      </c>
    </row>
    <row r="5240" ht="15.75" customHeight="1">
      <c r="A5240" s="335" t="s">
        <v>6387</v>
      </c>
      <c r="B5240" s="336">
        <v>46119.0</v>
      </c>
      <c r="C5240" s="335" t="s">
        <v>10</v>
      </c>
      <c r="D5240" s="335" t="s">
        <v>47</v>
      </c>
      <c r="E5240" s="337" t="str">
        <f t="shared" si="1"/>
        <v>岸和田:豊通</v>
      </c>
      <c r="F5240" s="338" t="s">
        <v>154</v>
      </c>
      <c r="G5240" s="339" t="str">
        <f t="shared" si="2"/>
        <v>岸和田:豊通ＣＰ Ａ</v>
      </c>
      <c r="H5240" s="340">
        <f t="shared" si="3"/>
        <v>51.2</v>
      </c>
      <c r="I5240" s="341">
        <v>1.0</v>
      </c>
      <c r="J5240" s="332">
        <f>IFERROR(__xludf.DUMMYFUNCTION("IF(IF(COUNTIF(P$2:P5239, P5240)=0, """", INDEX(H$2:H5239,
MAX(FILTER(ROW(H$2:H5239) - ROW(H$2) + 1, P$2:P5239 = P5240))))=""単価"","""",
IF(COUNTIF(P$2:P5239, P5240)=0, """", INDEX(H$2:H5239,
MAX(FILTER(ROW(H$2:H5239) - ROW(H$2) + 1, P$2:P5239 = P5240)))))"),50.2)</f>
        <v>50.2</v>
      </c>
      <c r="N5240" s="335" t="str">
        <f>IF(MAXIFS('単価履歴'!$O:$O,'単価履歴'!$E:$E,E5240,'単価履歴'!$F:$F,F5240)=O5240,"●","")</f>
        <v/>
      </c>
      <c r="O5240" s="346">
        <v>46119.280590277776</v>
      </c>
      <c r="P5240" s="334" t="str">
        <f t="shared" si="4"/>
        <v>岸和田:豊通ＣＰ Ａ</v>
      </c>
    </row>
    <row r="5241" ht="15.75" customHeight="1">
      <c r="A5241" s="335" t="s">
        <v>6388</v>
      </c>
      <c r="B5241" s="336">
        <v>46119.0</v>
      </c>
      <c r="C5241" s="335" t="s">
        <v>10</v>
      </c>
      <c r="D5241" s="335" t="s">
        <v>46</v>
      </c>
      <c r="E5241" s="337" t="str">
        <f t="shared" si="1"/>
        <v>岸和田:阪和</v>
      </c>
      <c r="F5241" s="338" t="s">
        <v>149</v>
      </c>
      <c r="G5241" s="339" t="str">
        <f t="shared" si="2"/>
        <v>岸和田:阪和シュレＢ</v>
      </c>
      <c r="H5241" s="340">
        <f t="shared" si="3"/>
        <v>49.8</v>
      </c>
      <c r="I5241" s="341">
        <v>1.0</v>
      </c>
      <c r="J5241" s="332">
        <f>IFERROR(__xludf.DUMMYFUNCTION("IF(IF(COUNTIF(P$2:P5240, P5241)=0, """", INDEX(H$2:H5240,
MAX(FILTER(ROW(H$2:H5240) - ROW(H$2) + 1, P$2:P5240 = P5241))))=""単価"","""",
IF(COUNTIF(P$2:P5240, P5241)=0, """", INDEX(H$2:H5240,
MAX(FILTER(ROW(H$2:H5240) - ROW(H$2) + 1, P$2:P5240 = P5241)))))"),48.8)</f>
        <v>48.8</v>
      </c>
      <c r="N5241" s="335" t="str">
        <f>IF(MAXIFS('単価履歴'!$O:$O,'単価履歴'!$E:$E,E5241,'単価履歴'!$F:$F,F5241)=O5241,"●","")</f>
        <v/>
      </c>
      <c r="O5241" s="346">
        <v>46119.280752314815</v>
      </c>
      <c r="P5241" s="334" t="str">
        <f t="shared" si="4"/>
        <v>岸和田:阪和シュレＢ</v>
      </c>
    </row>
    <row r="5242" ht="15.75" customHeight="1">
      <c r="A5242" s="335" t="s">
        <v>6389</v>
      </c>
      <c r="B5242" s="336">
        <v>46119.0</v>
      </c>
      <c r="C5242" s="335" t="s">
        <v>10</v>
      </c>
      <c r="D5242" s="335" t="s">
        <v>539</v>
      </c>
      <c r="E5242" s="337" t="str">
        <f t="shared" si="1"/>
        <v>岸和田:岡谷鋼機</v>
      </c>
      <c r="F5242" s="338" t="s">
        <v>111</v>
      </c>
      <c r="G5242" s="339" t="str">
        <f t="shared" si="2"/>
        <v>岸和田:岡谷鋼機Ｈ１(特A)</v>
      </c>
      <c r="H5242" s="340">
        <f t="shared" si="3"/>
        <v>56.2</v>
      </c>
      <c r="I5242" s="341">
        <v>1.0</v>
      </c>
      <c r="J5242" s="332">
        <f>IFERROR(__xludf.DUMMYFUNCTION("IF(IF(COUNTIF(P$2:P5241, P5242)=0, """", INDEX(H$2:H5241,
MAX(FILTER(ROW(H$2:H5241) - ROW(H$2) + 1, P$2:P5241 = P5242))))=""単価"","""",
IF(COUNTIF(P$2:P5241, P5242)=0, """", INDEX(H$2:H5241,
MAX(FILTER(ROW(H$2:H5241) - ROW(H$2) + 1, P$2:P5241 = P5242)))))"),55.2)</f>
        <v>55.2</v>
      </c>
      <c r="N5242" s="335" t="str">
        <f>IF(MAXIFS('単価履歴'!$O:$O,'単価履歴'!$E:$E,E5242,'単価履歴'!$F:$F,F5242)=O5242,"●","")</f>
        <v/>
      </c>
      <c r="O5242" s="346">
        <v>46119.281053240746</v>
      </c>
      <c r="P5242" s="334" t="str">
        <f t="shared" si="4"/>
        <v>岸和田:岡谷鋼機Ｈ１(特A)</v>
      </c>
    </row>
    <row r="5243" ht="15.75" customHeight="1">
      <c r="A5243" s="335" t="s">
        <v>6390</v>
      </c>
      <c r="B5243" s="336">
        <v>46119.0</v>
      </c>
      <c r="C5243" s="335" t="s">
        <v>10</v>
      </c>
      <c r="D5243" s="335" t="s">
        <v>539</v>
      </c>
      <c r="E5243" s="337" t="str">
        <f t="shared" si="1"/>
        <v>岸和田:岡谷鋼機</v>
      </c>
      <c r="F5243" s="338" t="s">
        <v>116</v>
      </c>
      <c r="G5243" s="339" t="str">
        <f t="shared" si="2"/>
        <v>岸和田:岡谷鋼機Ｈ２(特級)</v>
      </c>
      <c r="H5243" s="340">
        <f t="shared" si="3"/>
        <v>54.2</v>
      </c>
      <c r="I5243" s="341">
        <v>1.0</v>
      </c>
      <c r="J5243" s="332">
        <f>IFERROR(__xludf.DUMMYFUNCTION("IF(IF(COUNTIF(P$2:P5242, P5243)=0, """", INDEX(H$2:H5242,
MAX(FILTER(ROW(H$2:H5242) - ROW(H$2) + 1, P$2:P5242 = P5243))))=""単価"","""",
IF(COUNTIF(P$2:P5242, P5243)=0, """", INDEX(H$2:H5242,
MAX(FILTER(ROW(H$2:H5242) - ROW(H$2) + 1, P$2:P5242 = P5243)))))"),53.2)</f>
        <v>53.2</v>
      </c>
      <c r="N5243" s="335" t="str">
        <f>IF(MAXIFS('単価履歴'!$O:$O,'単価履歴'!$E:$E,E5243,'単価履歴'!$F:$F,F5243)=O5243,"●","")</f>
        <v/>
      </c>
      <c r="O5243" s="346">
        <v>46119.281053240746</v>
      </c>
      <c r="P5243" s="334" t="str">
        <f t="shared" si="4"/>
        <v>岸和田:岡谷鋼機Ｈ２(特級)</v>
      </c>
    </row>
    <row r="5244" ht="15.75" customHeight="1">
      <c r="A5244" s="335" t="s">
        <v>6391</v>
      </c>
      <c r="B5244" s="336">
        <v>46119.0</v>
      </c>
      <c r="C5244" s="335" t="s">
        <v>10</v>
      </c>
      <c r="D5244" s="335" t="s">
        <v>539</v>
      </c>
      <c r="E5244" s="337" t="str">
        <f t="shared" si="1"/>
        <v>岸和田:岡谷鋼機</v>
      </c>
      <c r="F5244" s="338" t="s">
        <v>119</v>
      </c>
      <c r="G5244" s="339" t="str">
        <f t="shared" si="2"/>
        <v>岸和田:岡谷鋼機Ｈ３(1級)</v>
      </c>
      <c r="H5244" s="340">
        <f t="shared" si="3"/>
        <v>52.2</v>
      </c>
      <c r="I5244" s="341">
        <v>1.0</v>
      </c>
      <c r="J5244" s="332">
        <f>IFERROR(__xludf.DUMMYFUNCTION("IF(IF(COUNTIF(P$2:P5243, P5244)=0, """", INDEX(H$2:H5243,
MAX(FILTER(ROW(H$2:H5243) - ROW(H$2) + 1, P$2:P5243 = P5244))))=""単価"","""",
IF(COUNTIF(P$2:P5243, P5244)=0, """", INDEX(H$2:H5243,
MAX(FILTER(ROW(H$2:H5243) - ROW(H$2) + 1, P$2:P5243 = P5244)))))"),51.2)</f>
        <v>51.2</v>
      </c>
      <c r="N5244" s="335" t="str">
        <f>IF(MAXIFS('単価履歴'!$O:$O,'単価履歴'!$E:$E,E5244,'単価履歴'!$F:$F,F5244)=O5244,"●","")</f>
        <v/>
      </c>
      <c r="O5244" s="346">
        <v>46119.281053240746</v>
      </c>
      <c r="P5244" s="334" t="str">
        <f t="shared" si="4"/>
        <v>岸和田:岡谷鋼機Ｈ３(1級)</v>
      </c>
    </row>
    <row r="5245" ht="15.75" customHeight="1">
      <c r="A5245" s="335" t="s">
        <v>6392</v>
      </c>
      <c r="B5245" s="336">
        <v>46119.0</v>
      </c>
      <c r="C5245" s="335" t="s">
        <v>36</v>
      </c>
      <c r="D5245" s="335" t="s">
        <v>1303</v>
      </c>
      <c r="E5245" s="337" t="str">
        <f t="shared" si="1"/>
        <v>共英枚方:ナベ/置場単価</v>
      </c>
      <c r="F5245" s="338" t="s">
        <v>111</v>
      </c>
      <c r="G5245" s="339" t="str">
        <f t="shared" si="2"/>
        <v>共英枚方:ナベ/置場単価Ｈ１(特A)</v>
      </c>
      <c r="H5245" s="340">
        <f t="shared" si="3"/>
        <v>51</v>
      </c>
      <c r="I5245" s="341">
        <v>1.0</v>
      </c>
      <c r="J5245" s="332">
        <f>IFERROR(__xludf.DUMMYFUNCTION("IF(IF(COUNTIF(P$2:P5244, P5245)=0, """", INDEX(H$2:H5244,
MAX(FILTER(ROW(H$2:H5244) - ROW(H$2) + 1, P$2:P5244 = P5245))))=""単価"","""",
IF(COUNTIF(P$2:P5244, P5245)=0, """", INDEX(H$2:H5244,
MAX(FILTER(ROW(H$2:H5244) - ROW(H$2) + 1, P$2:P5244 = P5245)))))"),50.0)</f>
        <v>50</v>
      </c>
      <c r="N5245" s="335" t="str">
        <f>IF(MAXIFS('単価履歴'!$O:$O,'単価履歴'!$E:$E,E5245,'単価履歴'!$F:$F,F5245)=O5245,"●","")</f>
        <v/>
      </c>
      <c r="O5245" s="346">
        <v>46119.28155092592</v>
      </c>
      <c r="P5245" s="334" t="str">
        <f t="shared" si="4"/>
        <v>共英枚方:ナベ/置場単価Ｈ１(特A)</v>
      </c>
    </row>
    <row r="5246" ht="15.75" customHeight="1">
      <c r="A5246" s="335" t="s">
        <v>6393</v>
      </c>
      <c r="B5246" s="336">
        <v>46119.0</v>
      </c>
      <c r="C5246" s="335" t="s">
        <v>36</v>
      </c>
      <c r="D5246" s="335" t="s">
        <v>1303</v>
      </c>
      <c r="E5246" s="337" t="str">
        <f t="shared" si="1"/>
        <v>共英枚方:ナベ/置場単価</v>
      </c>
      <c r="F5246" s="338" t="s">
        <v>116</v>
      </c>
      <c r="G5246" s="339" t="str">
        <f t="shared" si="2"/>
        <v>共英枚方:ナベ/置場単価Ｈ２(特級)</v>
      </c>
      <c r="H5246" s="340">
        <f t="shared" si="3"/>
        <v>49.5</v>
      </c>
      <c r="I5246" s="341">
        <v>1.0</v>
      </c>
      <c r="J5246" s="332">
        <f>IFERROR(__xludf.DUMMYFUNCTION("IF(IF(COUNTIF(P$2:P5245, P5246)=0, """", INDEX(H$2:H5245,
MAX(FILTER(ROW(H$2:H5245) - ROW(H$2) + 1, P$2:P5245 = P5246))))=""単価"","""",
IF(COUNTIF(P$2:P5245, P5246)=0, """", INDEX(H$2:H5245,
MAX(FILTER(ROW(H$2:H5245) - ROW(H$2) + 1, P$2:P5245 = P5246)))))"),48.5)</f>
        <v>48.5</v>
      </c>
      <c r="N5246" s="335" t="str">
        <f>IF(MAXIFS('単価履歴'!$O:$O,'単価履歴'!$E:$E,E5246,'単価履歴'!$F:$F,F5246)=O5246,"●","")</f>
        <v/>
      </c>
      <c r="O5246" s="346">
        <v>46119.28155092592</v>
      </c>
      <c r="P5246" s="334" t="str">
        <f t="shared" si="4"/>
        <v>共英枚方:ナベ/置場単価Ｈ２(特級)</v>
      </c>
    </row>
    <row r="5247" ht="15.75" customHeight="1">
      <c r="A5247" s="335" t="s">
        <v>6394</v>
      </c>
      <c r="B5247" s="336">
        <v>46119.0</v>
      </c>
      <c r="C5247" s="335" t="s">
        <v>36</v>
      </c>
      <c r="D5247" s="335" t="s">
        <v>1303</v>
      </c>
      <c r="E5247" s="337" t="str">
        <f t="shared" si="1"/>
        <v>共英枚方:ナベ/置場単価</v>
      </c>
      <c r="F5247" s="338" t="s">
        <v>119</v>
      </c>
      <c r="G5247" s="339" t="str">
        <f t="shared" si="2"/>
        <v>共英枚方:ナベ/置場単価Ｈ３(1級)</v>
      </c>
      <c r="H5247" s="340">
        <f t="shared" si="3"/>
        <v>49.5</v>
      </c>
      <c r="I5247" s="341">
        <v>1.0</v>
      </c>
      <c r="J5247" s="332">
        <f>IFERROR(__xludf.DUMMYFUNCTION("IF(IF(COUNTIF(P$2:P5246, P5247)=0, """", INDEX(H$2:H5246,
MAX(FILTER(ROW(H$2:H5246) - ROW(H$2) + 1, P$2:P5246 = P5247))))=""単価"","""",
IF(COUNTIF(P$2:P5246, P5247)=0, """", INDEX(H$2:H5246,
MAX(FILTER(ROW(H$2:H5246) - ROW(H$2) + 1, P$2:P5246 = P5247)))))"),48.5)</f>
        <v>48.5</v>
      </c>
      <c r="N5247" s="335" t="str">
        <f>IF(MAXIFS('単価履歴'!$O:$O,'単価履歴'!$E:$E,E5247,'単価履歴'!$F:$F,F5247)=O5247,"●","")</f>
        <v/>
      </c>
      <c r="O5247" s="346">
        <v>46119.28155092592</v>
      </c>
      <c r="P5247" s="334" t="str">
        <f t="shared" si="4"/>
        <v>共英枚方:ナベ/置場単価Ｈ３(1級)</v>
      </c>
    </row>
    <row r="5248" ht="15.75" customHeight="1">
      <c r="A5248" s="335" t="s">
        <v>6395</v>
      </c>
      <c r="B5248" s="336">
        <v>46119.0</v>
      </c>
      <c r="C5248" s="335" t="s">
        <v>36</v>
      </c>
      <c r="D5248" s="335" t="s">
        <v>1303</v>
      </c>
      <c r="E5248" s="337" t="str">
        <f t="shared" si="1"/>
        <v>共英枚方:ナベ/置場単価</v>
      </c>
      <c r="F5248" s="338" t="s">
        <v>122</v>
      </c>
      <c r="G5248" s="339" t="str">
        <f t="shared" si="2"/>
        <v>共英枚方:ナベ/置場単価Ｌ１(2級)</v>
      </c>
      <c r="H5248" s="340">
        <f t="shared" si="3"/>
        <v>49.5</v>
      </c>
      <c r="I5248" s="341">
        <v>1.0</v>
      </c>
      <c r="J5248" s="332">
        <f>IFERROR(__xludf.DUMMYFUNCTION("IF(IF(COUNTIF(P$2:P5247, P5248)=0, """", INDEX(H$2:H5247,
MAX(FILTER(ROW(H$2:H5247) - ROW(H$2) + 1, P$2:P5247 = P5248))))=""単価"","""",
IF(COUNTIF(P$2:P5247, P5248)=0, """", INDEX(H$2:H5247,
MAX(FILTER(ROW(H$2:H5247) - ROW(H$2) + 1, P$2:P5247 = P5248)))))"),48.5)</f>
        <v>48.5</v>
      </c>
      <c r="N5248" s="335" t="str">
        <f>IF(MAXIFS('単価履歴'!$O:$O,'単価履歴'!$E:$E,E5248,'単価履歴'!$F:$F,F5248)=O5248,"●","")</f>
        <v/>
      </c>
      <c r="O5248" s="346">
        <v>46119.28155092592</v>
      </c>
      <c r="P5248" s="334" t="str">
        <f t="shared" si="4"/>
        <v>共英枚方:ナベ/置場単価Ｌ１(2級)</v>
      </c>
    </row>
    <row r="5249" ht="15.75" customHeight="1">
      <c r="A5249" s="335" t="s">
        <v>6396</v>
      </c>
      <c r="B5249" s="336">
        <v>46119.0</v>
      </c>
      <c r="C5249" s="335" t="s">
        <v>36</v>
      </c>
      <c r="D5249" s="335" t="s">
        <v>1303</v>
      </c>
      <c r="E5249" s="337" t="str">
        <f t="shared" si="1"/>
        <v>共英枚方:ナベ/置場単価</v>
      </c>
      <c r="F5249" s="338" t="s">
        <v>154</v>
      </c>
      <c r="G5249" s="339" t="str">
        <f t="shared" si="2"/>
        <v>共英枚方:ナベ/置場単価ＣＰ Ａ</v>
      </c>
      <c r="H5249" s="340">
        <f t="shared" si="3"/>
        <v>53</v>
      </c>
      <c r="I5249" s="341">
        <v>1.0</v>
      </c>
      <c r="J5249" s="332">
        <f>IFERROR(__xludf.DUMMYFUNCTION("IF(IF(COUNTIF(P$2:P5248, P5249)=0, """", INDEX(H$2:H5248,
MAX(FILTER(ROW(H$2:H5248) - ROW(H$2) + 1, P$2:P5248 = P5249))))=""単価"","""",
IF(COUNTIF(P$2:P5248, P5249)=0, """", INDEX(H$2:H5248,
MAX(FILTER(ROW(H$2:H5248) - ROW(H$2) + 1, P$2:P5248 = P5249)))))"),52.0)</f>
        <v>52</v>
      </c>
      <c r="N5249" s="335" t="str">
        <f>IF(MAXIFS('単価履歴'!$O:$O,'単価履歴'!$E:$E,E5249,'単価履歴'!$F:$F,F5249)=O5249,"●","")</f>
        <v/>
      </c>
      <c r="O5249" s="346">
        <v>46119.28155092592</v>
      </c>
      <c r="P5249" s="334" t="str">
        <f t="shared" si="4"/>
        <v>共英枚方:ナベ/置場単価ＣＰ Ａ</v>
      </c>
    </row>
    <row r="5250" ht="15.75" customHeight="1">
      <c r="A5250" s="335" t="s">
        <v>6397</v>
      </c>
      <c r="B5250" s="336">
        <v>46119.0</v>
      </c>
      <c r="C5250" s="335" t="s">
        <v>12</v>
      </c>
      <c r="D5250" s="335" t="s">
        <v>50</v>
      </c>
      <c r="E5250" s="337" t="str">
        <f t="shared" si="1"/>
        <v>山陽特殊:産振</v>
      </c>
      <c r="F5250" s="338" t="s">
        <v>1199</v>
      </c>
      <c r="G5250" s="339" t="str">
        <f t="shared" si="2"/>
        <v>山陽特殊:産振ＨＳ１(単体H1/電特A/HS))</v>
      </c>
      <c r="H5250" s="340">
        <f t="shared" si="3"/>
        <v>54.1</v>
      </c>
      <c r="I5250" s="341">
        <v>1.0</v>
      </c>
      <c r="J5250" s="332">
        <f>IFERROR(__xludf.DUMMYFUNCTION("IF(IF(COUNTIF(P$2:P5249, P5250)=0, """", INDEX(H$2:H5249,
MAX(FILTER(ROW(H$2:H5249) - ROW(H$2) + 1, P$2:P5249 = P5250))))=""単価"","""",
IF(COUNTIF(P$2:P5249, P5250)=0, """", INDEX(H$2:H5249,
MAX(FILTER(ROW(H$2:H5249) - ROW(H$2) + 1, P$2:P5249 = P5250)))))"),53.1)</f>
        <v>53.1</v>
      </c>
      <c r="N5250" s="335" t="str">
        <f>IF(MAXIFS('単価履歴'!$O:$O,'単価履歴'!$E:$E,E5250,'単価履歴'!$F:$F,F5250)=O5250,"●","")</f>
        <v/>
      </c>
      <c r="O5250" s="346">
        <v>46119.281909722224</v>
      </c>
      <c r="P5250" s="334" t="str">
        <f t="shared" si="4"/>
        <v>山陽特殊:産振ＨＳ１(単体H1/電特A/HS))</v>
      </c>
    </row>
    <row r="5251" ht="15.75" customHeight="1">
      <c r="A5251" s="335" t="s">
        <v>6398</v>
      </c>
      <c r="B5251" s="336">
        <v>46119.0</v>
      </c>
      <c r="C5251" s="335" t="s">
        <v>12</v>
      </c>
      <c r="D5251" s="335" t="s">
        <v>50</v>
      </c>
      <c r="E5251" s="337" t="str">
        <f t="shared" si="1"/>
        <v>山陽特殊:産振</v>
      </c>
      <c r="F5251" s="338" t="s">
        <v>101</v>
      </c>
      <c r="G5251" s="339" t="str">
        <f t="shared" si="2"/>
        <v>山陽特殊:産振ＨＳ２</v>
      </c>
      <c r="H5251" s="340">
        <f t="shared" si="3"/>
        <v>53.9</v>
      </c>
      <c r="I5251" s="341">
        <v>1.0</v>
      </c>
      <c r="J5251" s="332">
        <f>IFERROR(__xludf.DUMMYFUNCTION("IF(IF(COUNTIF(P$2:P5250, P5251)=0, """", INDEX(H$2:H5250,
MAX(FILTER(ROW(H$2:H5250) - ROW(H$2) + 1, P$2:P5250 = P5251))))=""単価"","""",
IF(COUNTIF(P$2:P5250, P5251)=0, """", INDEX(H$2:H5250,
MAX(FILTER(ROW(H$2:H5250) - ROW(H$2) + 1, P$2:P5250 = P5251)))))"),52.9)</f>
        <v>52.9</v>
      </c>
      <c r="N5251" s="335" t="str">
        <f>IF(MAXIFS('単価履歴'!$O:$O,'単価履歴'!$E:$E,E5251,'単価履歴'!$F:$F,F5251)=O5251,"●","")</f>
        <v/>
      </c>
      <c r="O5251" s="346">
        <v>46119.281909722224</v>
      </c>
      <c r="P5251" s="334" t="str">
        <f t="shared" si="4"/>
        <v>山陽特殊:産振ＨＳ２</v>
      </c>
    </row>
    <row r="5252" ht="15.75" customHeight="1">
      <c r="A5252" s="335" t="s">
        <v>6399</v>
      </c>
      <c r="B5252" s="336">
        <v>46119.0</v>
      </c>
      <c r="C5252" s="335" t="s">
        <v>12</v>
      </c>
      <c r="D5252" s="335" t="s">
        <v>50</v>
      </c>
      <c r="E5252" s="337" t="str">
        <f t="shared" si="1"/>
        <v>山陽特殊:産振</v>
      </c>
      <c r="F5252" s="338" t="s">
        <v>105</v>
      </c>
      <c r="G5252" s="339" t="str">
        <f t="shared" si="2"/>
        <v>山陽特殊:産振ＨＳ３</v>
      </c>
      <c r="H5252" s="340">
        <f t="shared" si="3"/>
        <v>51.9</v>
      </c>
      <c r="I5252" s="341">
        <v>1.0</v>
      </c>
      <c r="J5252" s="332">
        <f>IFERROR(__xludf.DUMMYFUNCTION("IF(IF(COUNTIF(P$2:P5251, P5252)=0, """", INDEX(H$2:H5251,
MAX(FILTER(ROW(H$2:H5251) - ROW(H$2) + 1, P$2:P5251 = P5252))))=""単価"","""",
IF(COUNTIF(P$2:P5251, P5252)=0, """", INDEX(H$2:H5251,
MAX(FILTER(ROW(H$2:H5251) - ROW(H$2) + 1, P$2:P5251 = P5252)))))"),50.9)</f>
        <v>50.9</v>
      </c>
      <c r="N5252" s="335" t="str">
        <f>IF(MAXIFS('単価履歴'!$O:$O,'単価履歴'!$E:$E,E5252,'単価履歴'!$F:$F,F5252)=O5252,"●","")</f>
        <v/>
      </c>
      <c r="O5252" s="346">
        <v>46119.281909722224</v>
      </c>
      <c r="P5252" s="334" t="str">
        <f t="shared" si="4"/>
        <v>山陽特殊:産振ＨＳ３</v>
      </c>
    </row>
    <row r="5253" ht="15.75" customHeight="1">
      <c r="A5253" s="335" t="s">
        <v>6400</v>
      </c>
      <c r="B5253" s="336">
        <v>46119.0</v>
      </c>
      <c r="C5253" s="335" t="s">
        <v>12</v>
      </c>
      <c r="D5253" s="335" t="s">
        <v>53</v>
      </c>
      <c r="E5253" s="337" t="str">
        <f t="shared" si="1"/>
        <v>山陽特殊:MM</v>
      </c>
      <c r="F5253" s="338" t="s">
        <v>1199</v>
      </c>
      <c r="G5253" s="339" t="str">
        <f t="shared" si="2"/>
        <v>山陽特殊:MMＨＳ１(単体H1/電特A/HS))</v>
      </c>
      <c r="H5253" s="340">
        <f t="shared" si="3"/>
        <v>57</v>
      </c>
      <c r="I5253" s="341">
        <v>1.0</v>
      </c>
      <c r="J5253" s="332">
        <f>IFERROR(__xludf.DUMMYFUNCTION("IF(IF(COUNTIF(P$2:P5252, P5253)=0, """", INDEX(H$2:H5252,
MAX(FILTER(ROW(H$2:H5252) - ROW(H$2) + 1, P$2:P5252 = P5253))))=""単価"","""",
IF(COUNTIF(P$2:P5252, P5253)=0, """", INDEX(H$2:H5252,
MAX(FILTER(ROW(H$2:H5252) - ROW(H$2) + 1, P$2:P5252 = P5253)))))"),56.0)</f>
        <v>56</v>
      </c>
      <c r="N5253" s="335" t="str">
        <f>IF(MAXIFS('単価履歴'!$O:$O,'単価履歴'!$E:$E,E5253,'単価履歴'!$F:$F,F5253)=O5253,"●","")</f>
        <v/>
      </c>
      <c r="O5253" s="346">
        <v>46119.28210648148</v>
      </c>
      <c r="P5253" s="334" t="str">
        <f t="shared" si="4"/>
        <v>山陽特殊:MMＨＳ１(単体H1/電特A/HS))</v>
      </c>
    </row>
    <row r="5254" ht="15.75" customHeight="1">
      <c r="A5254" s="335" t="s">
        <v>6401</v>
      </c>
      <c r="B5254" s="336">
        <v>46119.0</v>
      </c>
      <c r="C5254" s="335" t="s">
        <v>12</v>
      </c>
      <c r="D5254" s="335" t="s">
        <v>53</v>
      </c>
      <c r="E5254" s="337" t="str">
        <f t="shared" si="1"/>
        <v>山陽特殊:MM</v>
      </c>
      <c r="F5254" s="338" t="s">
        <v>101</v>
      </c>
      <c r="G5254" s="339" t="str">
        <f t="shared" si="2"/>
        <v>山陽特殊:MMＨＳ２</v>
      </c>
      <c r="H5254" s="340">
        <f t="shared" si="3"/>
        <v>56.8</v>
      </c>
      <c r="I5254" s="341">
        <v>1.0</v>
      </c>
      <c r="J5254" s="332">
        <f>IFERROR(__xludf.DUMMYFUNCTION("IF(IF(COUNTIF(P$2:P5253, P5254)=0, """", INDEX(H$2:H5253,
MAX(FILTER(ROW(H$2:H5253) - ROW(H$2) + 1, P$2:P5253 = P5254))))=""単価"","""",
IF(COUNTIF(P$2:P5253, P5254)=0, """", INDEX(H$2:H5253,
MAX(FILTER(ROW(H$2:H5253) - ROW(H$2) + 1, P$2:P5253 = P5254)))))"),55.8)</f>
        <v>55.8</v>
      </c>
      <c r="N5254" s="335" t="str">
        <f>IF(MAXIFS('単価履歴'!$O:$O,'単価履歴'!$E:$E,E5254,'単価履歴'!$F:$F,F5254)=O5254,"●","")</f>
        <v/>
      </c>
      <c r="O5254" s="346">
        <v>46119.28210648148</v>
      </c>
      <c r="P5254" s="334" t="str">
        <f t="shared" si="4"/>
        <v>山陽特殊:MMＨＳ２</v>
      </c>
    </row>
    <row r="5255" ht="15.75" customHeight="1">
      <c r="A5255" s="335" t="s">
        <v>6402</v>
      </c>
      <c r="B5255" s="336">
        <v>46119.0</v>
      </c>
      <c r="C5255" s="335" t="s">
        <v>12</v>
      </c>
      <c r="D5255" s="335" t="s">
        <v>53</v>
      </c>
      <c r="E5255" s="337" t="str">
        <f t="shared" si="1"/>
        <v>山陽特殊:MM</v>
      </c>
      <c r="F5255" s="338" t="s">
        <v>105</v>
      </c>
      <c r="G5255" s="339" t="str">
        <f t="shared" si="2"/>
        <v>山陽特殊:MMＨＳ３</v>
      </c>
      <c r="H5255" s="340">
        <f t="shared" si="3"/>
        <v>54.8</v>
      </c>
      <c r="I5255" s="341">
        <v>1.0</v>
      </c>
      <c r="J5255" s="332">
        <f>IFERROR(__xludf.DUMMYFUNCTION("IF(IF(COUNTIF(P$2:P5254, P5255)=0, """", INDEX(H$2:H5254,
MAX(FILTER(ROW(H$2:H5254) - ROW(H$2) + 1, P$2:P5254 = P5255))))=""単価"","""",
IF(COUNTIF(P$2:P5254, P5255)=0, """", INDEX(H$2:H5254,
MAX(FILTER(ROW(H$2:H5254) - ROW(H$2) + 1, P$2:P5254 = P5255)))))"),53.8)</f>
        <v>53.8</v>
      </c>
      <c r="N5255" s="335" t="str">
        <f>IF(MAXIFS('単価履歴'!$O:$O,'単価履歴'!$E:$E,E5255,'単価履歴'!$F:$F,F5255)=O5255,"●","")</f>
        <v/>
      </c>
      <c r="O5255" s="346">
        <v>46119.28210648148</v>
      </c>
      <c r="P5255" s="334" t="str">
        <f t="shared" si="4"/>
        <v>山陽特殊:MMＨＳ３</v>
      </c>
    </row>
    <row r="5256" ht="15.75" customHeight="1">
      <c r="A5256" s="335" t="s">
        <v>6403</v>
      </c>
      <c r="B5256" s="336">
        <v>46119.0</v>
      </c>
      <c r="C5256" s="335" t="s">
        <v>12</v>
      </c>
      <c r="D5256" s="335" t="s">
        <v>53</v>
      </c>
      <c r="E5256" s="337" t="str">
        <f t="shared" si="1"/>
        <v>山陽特殊:MM</v>
      </c>
      <c r="F5256" s="338" t="s">
        <v>122</v>
      </c>
      <c r="G5256" s="339" t="str">
        <f t="shared" si="2"/>
        <v>山陽特殊:MMＬ１(2級)</v>
      </c>
      <c r="H5256" s="340">
        <f t="shared" si="3"/>
        <v>13</v>
      </c>
      <c r="I5256" s="341">
        <v>1.0</v>
      </c>
      <c r="J5256" s="332">
        <f>IFERROR(__xludf.DUMMYFUNCTION("IF(IF(COUNTIF(P$2:P5255, P5256)=0, """", INDEX(H$2:H5255,
MAX(FILTER(ROW(H$2:H5255) - ROW(H$2) + 1, P$2:P5255 = P5256))))=""単価"","""",
IF(COUNTIF(P$2:P5255, P5256)=0, """", INDEX(H$2:H5255,
MAX(FILTER(ROW(H$2:H5255) - ROW(H$2) + 1, P$2:P5255 = P5256)))))"),12.0)</f>
        <v>12</v>
      </c>
      <c r="N5256" s="335" t="str">
        <f>IF(MAXIFS('単価履歴'!$O:$O,'単価履歴'!$E:$E,E5256,'単価履歴'!$F:$F,F5256)=O5256,"●","")</f>
        <v/>
      </c>
      <c r="O5256" s="346">
        <v>46119.28210648148</v>
      </c>
      <c r="P5256" s="334" t="str">
        <f t="shared" si="4"/>
        <v>山陽特殊:MMＬ１(2級)</v>
      </c>
    </row>
    <row r="5257" ht="15.75" customHeight="1">
      <c r="A5257" s="335" t="s">
        <v>6404</v>
      </c>
      <c r="B5257" s="336">
        <v>46119.0</v>
      </c>
      <c r="C5257" s="335" t="s">
        <v>12</v>
      </c>
      <c r="D5257" s="335" t="s">
        <v>53</v>
      </c>
      <c r="E5257" s="337" t="str">
        <f t="shared" si="1"/>
        <v>山陽特殊:MM</v>
      </c>
      <c r="F5257" s="338" t="s">
        <v>130</v>
      </c>
      <c r="G5257" s="339" t="str">
        <f t="shared" si="2"/>
        <v>山陽特殊:MM新断Ａ</v>
      </c>
      <c r="H5257" s="340">
        <f t="shared" si="3"/>
        <v>56.5</v>
      </c>
      <c r="I5257" s="341">
        <v>1.0</v>
      </c>
      <c r="J5257" s="332">
        <f>IFERROR(__xludf.DUMMYFUNCTION("IF(IF(COUNTIF(P$2:P5256, P5257)=0, """", INDEX(H$2:H5256,
MAX(FILTER(ROW(H$2:H5256) - ROW(H$2) + 1, P$2:P5256 = P5257))))=""単価"","""",
IF(COUNTIF(P$2:P5256, P5257)=0, """", INDEX(H$2:H5256,
MAX(FILTER(ROW(H$2:H5256) - ROW(H$2) + 1, P$2:P5256 = P5257)))))"),55.5)</f>
        <v>55.5</v>
      </c>
      <c r="N5257" s="335" t="str">
        <f>IF(MAXIFS('単価履歴'!$O:$O,'単価履歴'!$E:$E,E5257,'単価履歴'!$F:$F,F5257)=O5257,"●","")</f>
        <v/>
      </c>
      <c r="O5257" s="346">
        <v>46119.28210648148</v>
      </c>
      <c r="P5257" s="334" t="str">
        <f t="shared" si="4"/>
        <v>山陽特殊:MM新断Ａ</v>
      </c>
    </row>
    <row r="5258" ht="15.75" customHeight="1">
      <c r="A5258" s="335" t="s">
        <v>6405</v>
      </c>
      <c r="B5258" s="336">
        <v>46119.0</v>
      </c>
      <c r="C5258" s="335" t="s">
        <v>12</v>
      </c>
      <c r="D5258" s="335" t="s">
        <v>53</v>
      </c>
      <c r="E5258" s="337" t="str">
        <f t="shared" si="1"/>
        <v>山陽特殊:MM</v>
      </c>
      <c r="F5258" s="338" t="s">
        <v>131</v>
      </c>
      <c r="G5258" s="339" t="str">
        <f t="shared" si="2"/>
        <v>山陽特殊:MM新断Ｂ</v>
      </c>
      <c r="H5258" s="340">
        <f t="shared" si="3"/>
        <v>55.5</v>
      </c>
      <c r="I5258" s="341">
        <v>1.0</v>
      </c>
      <c r="J5258" s="332">
        <f>IFERROR(__xludf.DUMMYFUNCTION("IF(IF(COUNTIF(P$2:P5257, P5258)=0, """", INDEX(H$2:H5257,
MAX(FILTER(ROW(H$2:H5257) - ROW(H$2) + 1, P$2:P5257 = P5258))))=""単価"","""",
IF(COUNTIF(P$2:P5257, P5258)=0, """", INDEX(H$2:H5257,
MAX(FILTER(ROW(H$2:H5257) - ROW(H$2) + 1, P$2:P5257 = P5258)))))"),54.5)</f>
        <v>54.5</v>
      </c>
      <c r="N5258" s="335" t="str">
        <f>IF(MAXIFS('単価履歴'!$O:$O,'単価履歴'!$E:$E,E5258,'単価履歴'!$F:$F,F5258)=O5258,"●","")</f>
        <v/>
      </c>
      <c r="O5258" s="346">
        <v>46119.28210648148</v>
      </c>
      <c r="P5258" s="334" t="str">
        <f t="shared" si="4"/>
        <v>山陽特殊:MM新断Ｂ</v>
      </c>
    </row>
    <row r="5259" ht="15.75" customHeight="1">
      <c r="A5259" s="335" t="s">
        <v>6406</v>
      </c>
      <c r="B5259" s="336">
        <v>46119.0</v>
      </c>
      <c r="C5259" s="335" t="s">
        <v>12</v>
      </c>
      <c r="D5259" s="335" t="s">
        <v>53</v>
      </c>
      <c r="E5259" s="337" t="str">
        <f t="shared" si="1"/>
        <v>山陽特殊:MM</v>
      </c>
      <c r="F5259" s="338" t="s">
        <v>574</v>
      </c>
      <c r="G5259" s="339" t="str">
        <f t="shared" si="2"/>
        <v>山陽特殊:MM新断Ｃ</v>
      </c>
      <c r="H5259" s="340">
        <f t="shared" si="3"/>
        <v>54.2</v>
      </c>
      <c r="I5259" s="341">
        <v>1.0</v>
      </c>
      <c r="J5259" s="332">
        <f>IFERROR(__xludf.DUMMYFUNCTION("IF(IF(COUNTIF(P$2:P5258, P5259)=0, """", INDEX(H$2:H5258,
MAX(FILTER(ROW(H$2:H5258) - ROW(H$2) + 1, P$2:P5258 = P5259))))=""単価"","""",
IF(COUNTIF(P$2:P5258, P5259)=0, """", INDEX(H$2:H5258,
MAX(FILTER(ROW(H$2:H5258) - ROW(H$2) + 1, P$2:P5258 = P5259)))))"),53.199999999999996)</f>
        <v>53.2</v>
      </c>
      <c r="N5259" s="335" t="str">
        <f>IF(MAXIFS('単価履歴'!$O:$O,'単価履歴'!$E:$E,E5259,'単価履歴'!$F:$F,F5259)=O5259,"●","")</f>
        <v/>
      </c>
      <c r="O5259" s="346">
        <v>46119.28210648148</v>
      </c>
      <c r="P5259" s="334" t="str">
        <f t="shared" si="4"/>
        <v>山陽特殊:MM新断Ｃ</v>
      </c>
    </row>
    <row r="5260" ht="15.75" customHeight="1">
      <c r="A5260" s="335" t="s">
        <v>6407</v>
      </c>
      <c r="B5260" s="336">
        <v>46119.0</v>
      </c>
      <c r="C5260" s="335" t="s">
        <v>12</v>
      </c>
      <c r="D5260" s="335" t="s">
        <v>541</v>
      </c>
      <c r="E5260" s="337" t="str">
        <f t="shared" si="1"/>
        <v>山陽特殊:大同</v>
      </c>
      <c r="F5260" s="338" t="s">
        <v>1199</v>
      </c>
      <c r="G5260" s="339" t="str">
        <f t="shared" si="2"/>
        <v>山陽特殊:大同ＨＳ１(単体H1/電特A/HS))</v>
      </c>
      <c r="H5260" s="340">
        <f t="shared" si="3"/>
        <v>57.2</v>
      </c>
      <c r="I5260" s="341">
        <v>1.0</v>
      </c>
      <c r="J5260" s="332">
        <f>IFERROR(__xludf.DUMMYFUNCTION("IF(IF(COUNTIF(P$2:P5259, P5260)=0, """", INDEX(H$2:H5259,
MAX(FILTER(ROW(H$2:H5259) - ROW(H$2) + 1, P$2:P5259 = P5260))))=""単価"","""",
IF(COUNTIF(P$2:P5259, P5260)=0, """", INDEX(H$2:H5259,
MAX(FILTER(ROW(H$2:H5259) - ROW(H$2) + 1, P$2:P5259 = P5260)))))"),56.2)</f>
        <v>56.2</v>
      </c>
      <c r="N5260" s="335" t="str">
        <f>IF(MAXIFS('単価履歴'!$O:$O,'単価履歴'!$E:$E,E5260,'単価履歴'!$F:$F,F5260)=O5260,"●","")</f>
        <v/>
      </c>
      <c r="O5260" s="346">
        <v>46119.28233796296</v>
      </c>
      <c r="P5260" s="334" t="str">
        <f t="shared" si="4"/>
        <v>山陽特殊:大同ＨＳ１(単体H1/電特A/HS))</v>
      </c>
    </row>
    <row r="5261" ht="15.75" customHeight="1">
      <c r="A5261" s="335" t="s">
        <v>6408</v>
      </c>
      <c r="B5261" s="336">
        <v>46119.0</v>
      </c>
      <c r="C5261" s="335" t="s">
        <v>12</v>
      </c>
      <c r="D5261" s="335" t="s">
        <v>541</v>
      </c>
      <c r="E5261" s="337" t="str">
        <f t="shared" si="1"/>
        <v>山陽特殊:大同</v>
      </c>
      <c r="F5261" s="338" t="s">
        <v>101</v>
      </c>
      <c r="G5261" s="339" t="str">
        <f t="shared" si="2"/>
        <v>山陽特殊:大同ＨＳ２</v>
      </c>
      <c r="H5261" s="340">
        <f t="shared" si="3"/>
        <v>57</v>
      </c>
      <c r="I5261" s="341">
        <v>1.0</v>
      </c>
      <c r="J5261" s="332">
        <f>IFERROR(__xludf.DUMMYFUNCTION("IF(IF(COUNTIF(P$2:P5260, P5261)=0, """", INDEX(H$2:H5260,
MAX(FILTER(ROW(H$2:H5260) - ROW(H$2) + 1, P$2:P5260 = P5261))))=""単価"","""",
IF(COUNTIF(P$2:P5260, P5261)=0, """", INDEX(H$2:H5260,
MAX(FILTER(ROW(H$2:H5260) - ROW(H$2) + 1, P$2:P5260 = P5261)))))"),56.0)</f>
        <v>56</v>
      </c>
      <c r="N5261" s="335" t="str">
        <f>IF(MAXIFS('単価履歴'!$O:$O,'単価履歴'!$E:$E,E5261,'単価履歴'!$F:$F,F5261)=O5261,"●","")</f>
        <v/>
      </c>
      <c r="O5261" s="346">
        <v>46119.28233796296</v>
      </c>
      <c r="P5261" s="334" t="str">
        <f t="shared" si="4"/>
        <v>山陽特殊:大同ＨＳ２</v>
      </c>
    </row>
    <row r="5262" ht="15.75" customHeight="1">
      <c r="A5262" s="335" t="s">
        <v>6409</v>
      </c>
      <c r="B5262" s="336">
        <v>46119.0</v>
      </c>
      <c r="C5262" s="335" t="s">
        <v>12</v>
      </c>
      <c r="D5262" s="335" t="s">
        <v>541</v>
      </c>
      <c r="E5262" s="337" t="str">
        <f t="shared" si="1"/>
        <v>山陽特殊:大同</v>
      </c>
      <c r="F5262" s="338" t="s">
        <v>105</v>
      </c>
      <c r="G5262" s="339" t="str">
        <f t="shared" si="2"/>
        <v>山陽特殊:大同ＨＳ３</v>
      </c>
      <c r="H5262" s="340">
        <f t="shared" si="3"/>
        <v>55</v>
      </c>
      <c r="I5262" s="341">
        <v>1.0</v>
      </c>
      <c r="J5262" s="332">
        <f>IFERROR(__xludf.DUMMYFUNCTION("IF(IF(COUNTIF(P$2:P5261, P5262)=0, """", INDEX(H$2:H5261,
MAX(FILTER(ROW(H$2:H5261) - ROW(H$2) + 1, P$2:P5261 = P5262))))=""単価"","""",
IF(COUNTIF(P$2:P5261, P5262)=0, """", INDEX(H$2:H5261,
MAX(FILTER(ROW(H$2:H5261) - ROW(H$2) + 1, P$2:P5261 = P5262)))))"),54.0)</f>
        <v>54</v>
      </c>
      <c r="N5262" s="335" t="str">
        <f>IF(MAXIFS('単価履歴'!$O:$O,'単価履歴'!$E:$E,E5262,'単価履歴'!$F:$F,F5262)=O5262,"●","")</f>
        <v/>
      </c>
      <c r="O5262" s="346">
        <v>46119.28233796296</v>
      </c>
      <c r="P5262" s="334" t="str">
        <f t="shared" si="4"/>
        <v>山陽特殊:大同ＨＳ３</v>
      </c>
    </row>
    <row r="5263" ht="15.75" customHeight="1">
      <c r="A5263" s="335" t="s">
        <v>6410</v>
      </c>
      <c r="B5263" s="336">
        <v>46119.0</v>
      </c>
      <c r="C5263" s="335" t="s">
        <v>14</v>
      </c>
      <c r="D5263" s="335" t="s">
        <v>46</v>
      </c>
      <c r="E5263" s="337" t="str">
        <f t="shared" si="1"/>
        <v>愛知:阪和</v>
      </c>
      <c r="F5263" s="338" t="s">
        <v>1199</v>
      </c>
      <c r="G5263" s="339" t="str">
        <f t="shared" si="2"/>
        <v>愛知:阪和ＨＳ１(単体H1/電特A/HS))</v>
      </c>
      <c r="H5263" s="340">
        <f t="shared" si="3"/>
        <v>53.7</v>
      </c>
      <c r="I5263" s="341">
        <v>1.0</v>
      </c>
      <c r="J5263" s="332">
        <f>IFERROR(__xludf.DUMMYFUNCTION("IF(IF(COUNTIF(P$2:P5262, P5263)=0, """", INDEX(H$2:H5262,
MAX(FILTER(ROW(H$2:H5262) - ROW(H$2) + 1, P$2:P5262 = P5263))))=""単価"","""",
IF(COUNTIF(P$2:P5262, P5263)=0, """", INDEX(H$2:H5262,
MAX(FILTER(ROW(H$2:H5262) - ROW(H$2) + 1, P$2:P5262 = P5263)))))"),52.7)</f>
        <v>52.7</v>
      </c>
      <c r="N5263" s="335" t="str">
        <f>IF(MAXIFS('単価履歴'!$O:$O,'単価履歴'!$E:$E,E5263,'単価履歴'!$F:$F,F5263)=O5263,"●","")</f>
        <v/>
      </c>
      <c r="O5263" s="346">
        <v>46119.28266203703</v>
      </c>
      <c r="P5263" s="334" t="str">
        <f t="shared" si="4"/>
        <v>愛知:阪和ＨＳ１(単体H1/電特A/HS))</v>
      </c>
    </row>
    <row r="5264" ht="15.75" customHeight="1">
      <c r="A5264" s="335" t="s">
        <v>6411</v>
      </c>
      <c r="B5264" s="336">
        <v>46119.0</v>
      </c>
      <c r="C5264" s="335" t="s">
        <v>14</v>
      </c>
      <c r="D5264" s="335" t="s">
        <v>46</v>
      </c>
      <c r="E5264" s="337" t="str">
        <f t="shared" si="1"/>
        <v>愛知:阪和</v>
      </c>
      <c r="F5264" s="338" t="s">
        <v>101</v>
      </c>
      <c r="G5264" s="339" t="str">
        <f t="shared" si="2"/>
        <v>愛知:阪和ＨＳ２</v>
      </c>
      <c r="H5264" s="340">
        <f t="shared" si="3"/>
        <v>53.2</v>
      </c>
      <c r="I5264" s="341">
        <v>1.0</v>
      </c>
      <c r="J5264" s="332">
        <f>IFERROR(__xludf.DUMMYFUNCTION("IF(IF(COUNTIF(P$2:P5263, P5264)=0, """", INDEX(H$2:H5263,
MAX(FILTER(ROW(H$2:H5263) - ROW(H$2) + 1, P$2:P5263 = P5264))))=""単価"","""",
IF(COUNTIF(P$2:P5263, P5264)=0, """", INDEX(H$2:H5263,
MAX(FILTER(ROW(H$2:H5263) - ROW(H$2) + 1, P$2:P5263 = P5264)))))"),52.2)</f>
        <v>52.2</v>
      </c>
      <c r="N5264" s="335" t="str">
        <f>IF(MAXIFS('単価履歴'!$O:$O,'単価履歴'!$E:$E,E5264,'単価履歴'!$F:$F,F5264)=O5264,"●","")</f>
        <v/>
      </c>
      <c r="O5264" s="346">
        <v>46119.28266203703</v>
      </c>
      <c r="P5264" s="334" t="str">
        <f t="shared" si="4"/>
        <v>愛知:阪和ＨＳ２</v>
      </c>
    </row>
    <row r="5265" ht="15.75" customHeight="1">
      <c r="A5265" s="335" t="s">
        <v>6412</v>
      </c>
      <c r="B5265" s="336">
        <v>46119.0</v>
      </c>
      <c r="C5265" s="335" t="s">
        <v>14</v>
      </c>
      <c r="D5265" s="335" t="s">
        <v>46</v>
      </c>
      <c r="E5265" s="337" t="str">
        <f t="shared" si="1"/>
        <v>愛知:阪和</v>
      </c>
      <c r="F5265" s="338" t="s">
        <v>111</v>
      </c>
      <c r="G5265" s="339" t="str">
        <f t="shared" si="2"/>
        <v>愛知:阪和Ｈ１(特A)</v>
      </c>
      <c r="H5265" s="340">
        <f t="shared" si="3"/>
        <v>48.7</v>
      </c>
      <c r="I5265" s="341">
        <v>1.0</v>
      </c>
      <c r="J5265" s="332">
        <f>IFERROR(__xludf.DUMMYFUNCTION("IF(IF(COUNTIF(P$2:P5264, P5265)=0, """", INDEX(H$2:H5264,
MAX(FILTER(ROW(H$2:H5264) - ROW(H$2) + 1, P$2:P5264 = P5265))))=""単価"","""",
IF(COUNTIF(P$2:P5264, P5265)=0, """", INDEX(H$2:H5264,
MAX(FILTER(ROW(H$2:H5264) - ROW(H$2) + 1, P$2:P5264 = P5265)))))"),47.7)</f>
        <v>47.7</v>
      </c>
      <c r="N5265" s="335" t="str">
        <f>IF(MAXIFS('単価履歴'!$O:$O,'単価履歴'!$E:$E,E5265,'単価履歴'!$F:$F,F5265)=O5265,"●","")</f>
        <v/>
      </c>
      <c r="O5265" s="346">
        <v>46119.28266203703</v>
      </c>
      <c r="P5265" s="334" t="str">
        <f t="shared" si="4"/>
        <v>愛知:阪和Ｈ１(特A)</v>
      </c>
    </row>
    <row r="5266" ht="15.75" customHeight="1">
      <c r="A5266" s="335" t="s">
        <v>6413</v>
      </c>
      <c r="B5266" s="336">
        <v>46119.0</v>
      </c>
      <c r="C5266" s="335" t="s">
        <v>14</v>
      </c>
      <c r="D5266" s="335" t="s">
        <v>46</v>
      </c>
      <c r="E5266" s="337" t="str">
        <f t="shared" si="1"/>
        <v>愛知:阪和</v>
      </c>
      <c r="F5266" s="338" t="s">
        <v>116</v>
      </c>
      <c r="G5266" s="339" t="str">
        <f t="shared" si="2"/>
        <v>愛知:阪和Ｈ２(特級)</v>
      </c>
      <c r="H5266" s="340">
        <f t="shared" si="3"/>
        <v>48.2</v>
      </c>
      <c r="I5266" s="341">
        <v>1.0</v>
      </c>
      <c r="J5266" s="332">
        <f>IFERROR(__xludf.DUMMYFUNCTION("IF(IF(COUNTIF(P$2:P5265, P5266)=0, """", INDEX(H$2:H5265,
MAX(FILTER(ROW(H$2:H5265) - ROW(H$2) + 1, P$2:P5265 = P5266))))=""単価"","""",
IF(COUNTIF(P$2:P5265, P5266)=0, """", INDEX(H$2:H5265,
MAX(FILTER(ROW(H$2:H5265) - ROW(H$2) + 1, P$2:P5265 = P5266)))))"),47.2)</f>
        <v>47.2</v>
      </c>
      <c r="N5266" s="335" t="str">
        <f>IF(MAXIFS('単価履歴'!$O:$O,'単価履歴'!$E:$E,E5266,'単価履歴'!$F:$F,F5266)=O5266,"●","")</f>
        <v/>
      </c>
      <c r="O5266" s="346">
        <v>46119.28266203703</v>
      </c>
      <c r="P5266" s="334" t="str">
        <f t="shared" si="4"/>
        <v>愛知:阪和Ｈ２(特級)</v>
      </c>
    </row>
    <row r="5267" ht="15.75" customHeight="1">
      <c r="A5267" s="335" t="s">
        <v>6414</v>
      </c>
      <c r="B5267" s="336">
        <v>46119.0</v>
      </c>
      <c r="C5267" s="335" t="s">
        <v>14</v>
      </c>
      <c r="D5267" s="335" t="s">
        <v>46</v>
      </c>
      <c r="E5267" s="337" t="str">
        <f t="shared" si="1"/>
        <v>愛知:阪和</v>
      </c>
      <c r="F5267" s="338" t="s">
        <v>119</v>
      </c>
      <c r="G5267" s="339" t="str">
        <f t="shared" si="2"/>
        <v>愛知:阪和Ｈ３(1級)</v>
      </c>
      <c r="H5267" s="340">
        <f t="shared" si="3"/>
        <v>47.2</v>
      </c>
      <c r="I5267" s="341">
        <v>1.0</v>
      </c>
      <c r="J5267" s="332">
        <f>IFERROR(__xludf.DUMMYFUNCTION("IF(IF(COUNTIF(P$2:P5266, P5267)=0, """", INDEX(H$2:H5266,
MAX(FILTER(ROW(H$2:H5266) - ROW(H$2) + 1, P$2:P5266 = P5267))))=""単価"","""",
IF(COUNTIF(P$2:P5266, P5267)=0, """", INDEX(H$2:H5266,
MAX(FILTER(ROW(H$2:H5266) - ROW(H$2) + 1, P$2:P5266 = P5267)))))"),46.2)</f>
        <v>46.2</v>
      </c>
      <c r="N5267" s="335" t="str">
        <f>IF(MAXIFS('単価履歴'!$O:$O,'単価履歴'!$E:$E,E5267,'単価履歴'!$F:$F,F5267)=O5267,"●","")</f>
        <v/>
      </c>
      <c r="O5267" s="346">
        <v>46119.28266203703</v>
      </c>
      <c r="P5267" s="334" t="str">
        <f t="shared" si="4"/>
        <v>愛知:阪和Ｈ３(1級)</v>
      </c>
    </row>
    <row r="5268" ht="15.75" customHeight="1">
      <c r="A5268" s="335" t="s">
        <v>6415</v>
      </c>
      <c r="B5268" s="336">
        <v>46119.0</v>
      </c>
      <c r="C5268" s="335" t="s">
        <v>14</v>
      </c>
      <c r="D5268" s="335" t="s">
        <v>46</v>
      </c>
      <c r="E5268" s="337" t="str">
        <f t="shared" si="1"/>
        <v>愛知:阪和</v>
      </c>
      <c r="F5268" s="338" t="s">
        <v>573</v>
      </c>
      <c r="G5268" s="339" t="str">
        <f t="shared" si="2"/>
        <v>愛知:阪和Ｌ２(H4･級外･L1ﾊﾞﾗ)</v>
      </c>
      <c r="H5268" s="340">
        <f t="shared" si="3"/>
        <v>43.8</v>
      </c>
      <c r="I5268" s="341">
        <v>1.0</v>
      </c>
      <c r="J5268" s="332">
        <f>IFERROR(__xludf.DUMMYFUNCTION("IF(IF(COUNTIF(P$2:P5267, P5268)=0, """", INDEX(H$2:H5267,
MAX(FILTER(ROW(H$2:H5267) - ROW(H$2) + 1, P$2:P5267 = P5268))))=""単価"","""",
IF(COUNTIF(P$2:P5267, P5268)=0, """", INDEX(H$2:H5267,
MAX(FILTER(ROW(H$2:H5267) - ROW(H$2) + 1, P$2:P5267 = P5268)))))"),42.8)</f>
        <v>42.8</v>
      </c>
      <c r="N5268" s="335" t="str">
        <f>IF(MAXIFS('単価履歴'!$O:$O,'単価履歴'!$E:$E,E5268,'単価履歴'!$F:$F,F5268)=O5268,"●","")</f>
        <v/>
      </c>
      <c r="O5268" s="346">
        <v>46119.28266203703</v>
      </c>
      <c r="P5268" s="334" t="str">
        <f t="shared" si="4"/>
        <v>愛知:阪和Ｌ２(H4･級外･L1ﾊﾞﾗ)</v>
      </c>
    </row>
    <row r="5269" ht="15.75" customHeight="1">
      <c r="A5269" s="335" t="s">
        <v>6416</v>
      </c>
      <c r="B5269" s="336">
        <v>46119.0</v>
      </c>
      <c r="C5269" s="335" t="s">
        <v>14</v>
      </c>
      <c r="D5269" s="335" t="s">
        <v>46</v>
      </c>
      <c r="E5269" s="337" t="str">
        <f t="shared" si="1"/>
        <v>愛知:阪和</v>
      </c>
      <c r="F5269" s="338" t="s">
        <v>130</v>
      </c>
      <c r="G5269" s="339" t="str">
        <f t="shared" si="2"/>
        <v>愛知:阪和新断Ａ</v>
      </c>
      <c r="H5269" s="340">
        <f t="shared" si="3"/>
        <v>54.5</v>
      </c>
      <c r="I5269" s="341">
        <v>1.0</v>
      </c>
      <c r="J5269" s="332">
        <f>IFERROR(__xludf.DUMMYFUNCTION("IF(IF(COUNTIF(P$2:P5268, P5269)=0, """", INDEX(H$2:H5268,
MAX(FILTER(ROW(H$2:H5268) - ROW(H$2) + 1, P$2:P5268 = P5269))))=""単価"","""",
IF(COUNTIF(P$2:P5268, P5269)=0, """", INDEX(H$2:H5268,
MAX(FILTER(ROW(H$2:H5268) - ROW(H$2) + 1, P$2:P5268 = P5269)))))"),53.5)</f>
        <v>53.5</v>
      </c>
      <c r="N5269" s="335" t="str">
        <f>IF(MAXIFS('単価履歴'!$O:$O,'単価履歴'!$E:$E,E5269,'単価履歴'!$F:$F,F5269)=O5269,"●","")</f>
        <v/>
      </c>
      <c r="O5269" s="346">
        <v>46119.28266203703</v>
      </c>
      <c r="P5269" s="334" t="str">
        <f t="shared" si="4"/>
        <v>愛知:阪和新断Ａ</v>
      </c>
    </row>
    <row r="5270" ht="15.75" customHeight="1">
      <c r="A5270" s="335" t="s">
        <v>6417</v>
      </c>
      <c r="B5270" s="336">
        <v>46119.0</v>
      </c>
      <c r="C5270" s="335" t="s">
        <v>14</v>
      </c>
      <c r="D5270" s="335" t="s">
        <v>46</v>
      </c>
      <c r="E5270" s="337" t="str">
        <f t="shared" si="1"/>
        <v>愛知:阪和</v>
      </c>
      <c r="F5270" s="338" t="s">
        <v>131</v>
      </c>
      <c r="G5270" s="339" t="str">
        <f t="shared" si="2"/>
        <v>愛知:阪和新断Ｂ</v>
      </c>
      <c r="H5270" s="340">
        <f t="shared" si="3"/>
        <v>53.5</v>
      </c>
      <c r="I5270" s="341">
        <v>1.0</v>
      </c>
      <c r="J5270" s="332">
        <f>IFERROR(__xludf.DUMMYFUNCTION("IF(IF(COUNTIF(P$2:P5269, P5270)=0, """", INDEX(H$2:H5269,
MAX(FILTER(ROW(H$2:H5269) - ROW(H$2) + 1, P$2:P5269 = P5270))))=""単価"","""",
IF(COUNTIF(P$2:P5269, P5270)=0, """", INDEX(H$2:H5269,
MAX(FILTER(ROW(H$2:H5269) - ROW(H$2) + 1, P$2:P5269 = P5270)))))"),52.5)</f>
        <v>52.5</v>
      </c>
      <c r="N5270" s="335" t="str">
        <f>IF(MAXIFS('単価履歴'!$O:$O,'単価履歴'!$E:$E,E5270,'単価履歴'!$F:$F,F5270)=O5270,"●","")</f>
        <v/>
      </c>
      <c r="O5270" s="346">
        <v>46119.28266203703</v>
      </c>
      <c r="P5270" s="334" t="str">
        <f t="shared" si="4"/>
        <v>愛知:阪和新断Ｂ</v>
      </c>
    </row>
    <row r="5271" ht="15.75" customHeight="1">
      <c r="A5271" s="335" t="s">
        <v>6418</v>
      </c>
      <c r="B5271" s="336">
        <v>46119.0</v>
      </c>
      <c r="C5271" s="335" t="s">
        <v>14</v>
      </c>
      <c r="D5271" s="335" t="s">
        <v>46</v>
      </c>
      <c r="E5271" s="337" t="str">
        <f t="shared" si="1"/>
        <v>愛知:阪和</v>
      </c>
      <c r="F5271" s="338" t="s">
        <v>145</v>
      </c>
      <c r="G5271" s="339" t="str">
        <f t="shared" si="2"/>
        <v>愛知:阪和シュレＡ</v>
      </c>
      <c r="H5271" s="340">
        <f t="shared" si="3"/>
        <v>54.5</v>
      </c>
      <c r="I5271" s="341">
        <v>1.0</v>
      </c>
      <c r="J5271" s="332">
        <f>IFERROR(__xludf.DUMMYFUNCTION("IF(IF(COUNTIF(P$2:P5270, P5271)=0, """", INDEX(H$2:H5270,
MAX(FILTER(ROW(H$2:H5270) - ROW(H$2) + 1, P$2:P5270 = P5271))))=""単価"","""",
IF(COUNTIF(P$2:P5270, P5271)=0, """", INDEX(H$2:H5270,
MAX(FILTER(ROW(H$2:H5270) - ROW(H$2) + 1, P$2:P5270 = P5271)))))"),53.5)</f>
        <v>53.5</v>
      </c>
      <c r="N5271" s="335" t="str">
        <f>IF(MAXIFS('単価履歴'!$O:$O,'単価履歴'!$E:$E,E5271,'単価履歴'!$F:$F,F5271)=O5271,"●","")</f>
        <v/>
      </c>
      <c r="O5271" s="346">
        <v>46119.28266203703</v>
      </c>
      <c r="P5271" s="334" t="str">
        <f t="shared" si="4"/>
        <v>愛知:阪和シュレＡ</v>
      </c>
    </row>
    <row r="5272" ht="15.75" customHeight="1">
      <c r="A5272" s="335" t="s">
        <v>6419</v>
      </c>
      <c r="B5272" s="336">
        <v>46119.0</v>
      </c>
      <c r="C5272" s="335" t="s">
        <v>14</v>
      </c>
      <c r="D5272" s="335" t="s">
        <v>48</v>
      </c>
      <c r="E5272" s="337" t="str">
        <f t="shared" si="1"/>
        <v>愛知:ナベ</v>
      </c>
      <c r="F5272" s="338" t="s">
        <v>1199</v>
      </c>
      <c r="G5272" s="339" t="str">
        <f t="shared" si="2"/>
        <v>愛知:ナベＨＳ１(単体H1/電特A/HS))</v>
      </c>
      <c r="H5272" s="340">
        <f t="shared" si="3"/>
        <v>51</v>
      </c>
      <c r="I5272" s="341">
        <v>1.0</v>
      </c>
      <c r="J5272" s="332">
        <f>IFERROR(__xludf.DUMMYFUNCTION("IF(IF(COUNTIF(P$2:P5271, P5272)=0, """", INDEX(H$2:H5271,
MAX(FILTER(ROW(H$2:H5271) - ROW(H$2) + 1, P$2:P5271 = P5272))))=""単価"","""",
IF(COUNTIF(P$2:P5271, P5272)=0, """", INDEX(H$2:H5271,
MAX(FILTER(ROW(H$2:H5271) - ROW(H$2) + 1, P$2:P5271 = P5272)))))"),50.0)</f>
        <v>50</v>
      </c>
      <c r="N5272" s="335" t="str">
        <f>IF(MAXIFS('単価履歴'!$O:$O,'単価履歴'!$E:$E,E5272,'単価履歴'!$F:$F,F5272)=O5272,"●","")</f>
        <v/>
      </c>
      <c r="O5272" s="346">
        <v>46119.28296296296</v>
      </c>
      <c r="P5272" s="334" t="str">
        <f t="shared" si="4"/>
        <v>愛知:ナベＨＳ１(単体H1/電特A/HS))</v>
      </c>
    </row>
    <row r="5273" ht="15.75" customHeight="1">
      <c r="A5273" s="335" t="s">
        <v>6420</v>
      </c>
      <c r="B5273" s="336">
        <v>46119.0</v>
      </c>
      <c r="C5273" s="335" t="s">
        <v>14</v>
      </c>
      <c r="D5273" s="335" t="s">
        <v>48</v>
      </c>
      <c r="E5273" s="337" t="str">
        <f t="shared" si="1"/>
        <v>愛知:ナベ</v>
      </c>
      <c r="F5273" s="338" t="s">
        <v>101</v>
      </c>
      <c r="G5273" s="339" t="str">
        <f t="shared" si="2"/>
        <v>愛知:ナベＨＳ２</v>
      </c>
      <c r="H5273" s="340">
        <f t="shared" si="3"/>
        <v>50.5</v>
      </c>
      <c r="I5273" s="341">
        <v>1.0</v>
      </c>
      <c r="J5273" s="332">
        <f>IFERROR(__xludf.DUMMYFUNCTION("IF(IF(COUNTIF(P$2:P5272, P5273)=0, """", INDEX(H$2:H5272,
MAX(FILTER(ROW(H$2:H5272) - ROW(H$2) + 1, P$2:P5272 = P5273))))=""単価"","""",
IF(COUNTIF(P$2:P5272, P5273)=0, """", INDEX(H$2:H5272,
MAX(FILTER(ROW(H$2:H5272) - ROW(H$2) + 1, P$2:P5272 = P5273)))))"),49.5)</f>
        <v>49.5</v>
      </c>
      <c r="N5273" s="335" t="str">
        <f>IF(MAXIFS('単価履歴'!$O:$O,'単価履歴'!$E:$E,E5273,'単価履歴'!$F:$F,F5273)=O5273,"●","")</f>
        <v/>
      </c>
      <c r="O5273" s="346">
        <v>46119.28296296296</v>
      </c>
      <c r="P5273" s="334" t="str">
        <f t="shared" si="4"/>
        <v>愛知:ナベＨＳ２</v>
      </c>
    </row>
    <row r="5274" ht="15.75" customHeight="1">
      <c r="A5274" s="335" t="s">
        <v>6421</v>
      </c>
      <c r="B5274" s="336">
        <v>46119.0</v>
      </c>
      <c r="C5274" s="335" t="s">
        <v>14</v>
      </c>
      <c r="D5274" s="335" t="s">
        <v>48</v>
      </c>
      <c r="E5274" s="337" t="str">
        <f t="shared" si="1"/>
        <v>愛知:ナベ</v>
      </c>
      <c r="F5274" s="338" t="s">
        <v>111</v>
      </c>
      <c r="G5274" s="339" t="str">
        <f t="shared" si="2"/>
        <v>愛知:ナベＨ１(特A)</v>
      </c>
      <c r="H5274" s="340">
        <f t="shared" si="3"/>
        <v>50</v>
      </c>
      <c r="I5274" s="341">
        <v>1.0</v>
      </c>
      <c r="J5274" s="332">
        <f>IFERROR(__xludf.DUMMYFUNCTION("IF(IF(COUNTIF(P$2:P5273, P5274)=0, """", INDEX(H$2:H5273,
MAX(FILTER(ROW(H$2:H5273) - ROW(H$2) + 1, P$2:P5273 = P5274))))=""単価"","""",
IF(COUNTIF(P$2:P5273, P5274)=0, """", INDEX(H$2:H5273,
MAX(FILTER(ROW(H$2:H5273) - ROW(H$2) + 1, P$2:P5273 = P5274)))))"),49.0)</f>
        <v>49</v>
      </c>
      <c r="N5274" s="335" t="str">
        <f>IF(MAXIFS('単価履歴'!$O:$O,'単価履歴'!$E:$E,E5274,'単価履歴'!$F:$F,F5274)=O5274,"●","")</f>
        <v/>
      </c>
      <c r="O5274" s="346">
        <v>46119.28296296296</v>
      </c>
      <c r="P5274" s="334" t="str">
        <f t="shared" si="4"/>
        <v>愛知:ナベＨ１(特A)</v>
      </c>
    </row>
    <row r="5275" ht="15.75" customHeight="1">
      <c r="A5275" s="335" t="s">
        <v>6422</v>
      </c>
      <c r="B5275" s="336">
        <v>46119.0</v>
      </c>
      <c r="C5275" s="335" t="s">
        <v>14</v>
      </c>
      <c r="D5275" s="335" t="s">
        <v>48</v>
      </c>
      <c r="E5275" s="337" t="str">
        <f t="shared" si="1"/>
        <v>愛知:ナベ</v>
      </c>
      <c r="F5275" s="338" t="s">
        <v>116</v>
      </c>
      <c r="G5275" s="339" t="str">
        <f t="shared" si="2"/>
        <v>愛知:ナベＨ２(特級)</v>
      </c>
      <c r="H5275" s="340">
        <f t="shared" si="3"/>
        <v>48.4</v>
      </c>
      <c r="I5275" s="341">
        <v>1.0</v>
      </c>
      <c r="J5275" s="332">
        <f>IFERROR(__xludf.DUMMYFUNCTION("IF(IF(COUNTIF(P$2:P5274, P5275)=0, """", INDEX(H$2:H5274,
MAX(FILTER(ROW(H$2:H5274) - ROW(H$2) + 1, P$2:P5274 = P5275))))=""単価"","""",
IF(COUNTIF(P$2:P5274, P5275)=0, """", INDEX(H$2:H5274,
MAX(FILTER(ROW(H$2:H5274) - ROW(H$2) + 1, P$2:P5274 = P5275)))))"),47.4)</f>
        <v>47.4</v>
      </c>
      <c r="N5275" s="335" t="str">
        <f>IF(MAXIFS('単価履歴'!$O:$O,'単価履歴'!$E:$E,E5275,'単価履歴'!$F:$F,F5275)=O5275,"●","")</f>
        <v/>
      </c>
      <c r="O5275" s="346">
        <v>46119.28296296296</v>
      </c>
      <c r="P5275" s="334" t="str">
        <f t="shared" si="4"/>
        <v>愛知:ナベＨ２(特級)</v>
      </c>
    </row>
    <row r="5276" ht="15.75" customHeight="1">
      <c r="A5276" s="335" t="s">
        <v>6423</v>
      </c>
      <c r="B5276" s="336">
        <v>46119.0</v>
      </c>
      <c r="C5276" s="335" t="s">
        <v>14</v>
      </c>
      <c r="D5276" s="335" t="s">
        <v>48</v>
      </c>
      <c r="E5276" s="337" t="str">
        <f t="shared" si="1"/>
        <v>愛知:ナベ</v>
      </c>
      <c r="F5276" s="338" t="s">
        <v>119</v>
      </c>
      <c r="G5276" s="339" t="str">
        <f t="shared" si="2"/>
        <v>愛知:ナベＨ３(1級)</v>
      </c>
      <c r="H5276" s="340">
        <f t="shared" si="3"/>
        <v>47.4</v>
      </c>
      <c r="I5276" s="341">
        <v>1.0</v>
      </c>
      <c r="J5276" s="332">
        <f>IFERROR(__xludf.DUMMYFUNCTION("IF(IF(COUNTIF(P$2:P5275, P5276)=0, """", INDEX(H$2:H5275,
MAX(FILTER(ROW(H$2:H5275) - ROW(H$2) + 1, P$2:P5275 = P5276))))=""単価"","""",
IF(COUNTIF(P$2:P5275, P5276)=0, """", INDEX(H$2:H5275,
MAX(FILTER(ROW(H$2:H5275) - ROW(H$2) + 1, P$2:P5275 = P5276)))))"),46.4)</f>
        <v>46.4</v>
      </c>
      <c r="N5276" s="335" t="str">
        <f>IF(MAXIFS('単価履歴'!$O:$O,'単価履歴'!$E:$E,E5276,'単価履歴'!$F:$F,F5276)=O5276,"●","")</f>
        <v/>
      </c>
      <c r="O5276" s="346">
        <v>46119.28296296296</v>
      </c>
      <c r="P5276" s="334" t="str">
        <f t="shared" si="4"/>
        <v>愛知:ナベＨ３(1級)</v>
      </c>
    </row>
    <row r="5277" ht="15.75" customHeight="1">
      <c r="A5277" s="335" t="s">
        <v>6424</v>
      </c>
      <c r="B5277" s="336">
        <v>46119.0</v>
      </c>
      <c r="C5277" s="335" t="s">
        <v>14</v>
      </c>
      <c r="D5277" s="335" t="s">
        <v>48</v>
      </c>
      <c r="E5277" s="337" t="str">
        <f t="shared" si="1"/>
        <v>愛知:ナベ</v>
      </c>
      <c r="F5277" s="338" t="s">
        <v>573</v>
      </c>
      <c r="G5277" s="339" t="str">
        <f t="shared" si="2"/>
        <v>愛知:ナベＬ２(H4･級外･L1ﾊﾞﾗ)</v>
      </c>
      <c r="H5277" s="340">
        <f t="shared" si="3"/>
        <v>43.4</v>
      </c>
      <c r="I5277" s="341">
        <v>1.0</v>
      </c>
      <c r="J5277" s="332">
        <f>IFERROR(__xludf.DUMMYFUNCTION("IF(IF(COUNTIF(P$2:P5276, P5277)=0, """", INDEX(H$2:H5276,
MAX(FILTER(ROW(H$2:H5276) - ROW(H$2) + 1, P$2:P5276 = P5277))))=""単価"","""",
IF(COUNTIF(P$2:P5276, P5277)=0, """", INDEX(H$2:H5276,
MAX(FILTER(ROW(H$2:H5276) - ROW(H$2) + 1, P$2:P5276 = P5277)))))"),42.4)</f>
        <v>42.4</v>
      </c>
      <c r="N5277" s="335" t="str">
        <f>IF(MAXIFS('単価履歴'!$O:$O,'単価履歴'!$E:$E,E5277,'単価履歴'!$F:$F,F5277)=O5277,"●","")</f>
        <v/>
      </c>
      <c r="O5277" s="346">
        <v>46119.28296296296</v>
      </c>
      <c r="P5277" s="334" t="str">
        <f t="shared" si="4"/>
        <v>愛知:ナベＬ２(H4･級外･L1ﾊﾞﾗ)</v>
      </c>
    </row>
    <row r="5278" ht="15.75" customHeight="1">
      <c r="A5278" s="335" t="s">
        <v>6425</v>
      </c>
      <c r="B5278" s="336">
        <v>46119.0</v>
      </c>
      <c r="C5278" s="335" t="s">
        <v>14</v>
      </c>
      <c r="D5278" s="335" t="s">
        <v>48</v>
      </c>
      <c r="E5278" s="337" t="str">
        <f t="shared" si="1"/>
        <v>愛知:ナベ</v>
      </c>
      <c r="F5278" s="338" t="s">
        <v>575</v>
      </c>
      <c r="G5278" s="339" t="str">
        <f t="shared" si="2"/>
        <v>愛知:ナベ鋼ダライＡ</v>
      </c>
      <c r="H5278" s="340">
        <f t="shared" si="3"/>
        <v>9.5</v>
      </c>
      <c r="I5278" s="341">
        <v>1.0</v>
      </c>
      <c r="J5278" s="332">
        <f>IFERROR(__xludf.DUMMYFUNCTION("IF(IF(COUNTIF(P$2:P5277, P5278)=0, """", INDEX(H$2:H5277,
MAX(FILTER(ROW(H$2:H5277) - ROW(H$2) + 1, P$2:P5277 = P5278))))=""単価"","""",
IF(COUNTIF(P$2:P5277, P5278)=0, """", INDEX(H$2:H5277,
MAX(FILTER(ROW(H$2:H5277) - ROW(H$2) + 1, P$2:P5277 = P5278)))))"),8.5)</f>
        <v>8.5</v>
      </c>
      <c r="N5278" s="335" t="str">
        <f>IF(MAXIFS('単価履歴'!$O:$O,'単価履歴'!$E:$E,E5278,'単価履歴'!$F:$F,F5278)=O5278,"●","")</f>
        <v/>
      </c>
      <c r="O5278" s="346">
        <v>46119.28296296296</v>
      </c>
      <c r="P5278" s="334" t="str">
        <f t="shared" si="4"/>
        <v>愛知:ナベ鋼ダライＡ</v>
      </c>
    </row>
    <row r="5279" ht="15.75" customHeight="1">
      <c r="A5279" s="335" t="s">
        <v>6426</v>
      </c>
      <c r="B5279" s="336">
        <v>46119.0</v>
      </c>
      <c r="C5279" s="335" t="s">
        <v>15</v>
      </c>
      <c r="D5279" s="335" t="s">
        <v>58</v>
      </c>
      <c r="E5279" s="337" t="str">
        <f t="shared" si="1"/>
        <v>山口鋼業:MM建材</v>
      </c>
      <c r="F5279" s="338" t="s">
        <v>1199</v>
      </c>
      <c r="G5279" s="339" t="str">
        <f t="shared" si="2"/>
        <v>山口鋼業:MM建材ＨＳ１(単体H1/電特A/HS))</v>
      </c>
      <c r="H5279" s="340">
        <f t="shared" si="3"/>
        <v>51</v>
      </c>
      <c r="I5279" s="341">
        <v>1.0</v>
      </c>
      <c r="J5279" s="332">
        <f>IFERROR(__xludf.DUMMYFUNCTION("IF(IF(COUNTIF(P$2:P5278, P5279)=0, """", INDEX(H$2:H5278,
MAX(FILTER(ROW(H$2:H5278) - ROW(H$2) + 1, P$2:P5278 = P5279))))=""単価"","""",
IF(COUNTIF(P$2:P5278, P5279)=0, """", INDEX(H$2:H5278,
MAX(FILTER(ROW(H$2:H5278) - ROW(H$2) + 1, P$2:P5278 = P5279)))))"),50.0)</f>
        <v>50</v>
      </c>
      <c r="N5279" s="335" t="str">
        <f>IF(MAXIFS('単価履歴'!$O:$O,'単価履歴'!$E:$E,E5279,'単価履歴'!$F:$F,F5279)=O5279,"●","")</f>
        <v/>
      </c>
      <c r="O5279" s="346">
        <v>46119.28319444445</v>
      </c>
      <c r="P5279" s="334" t="str">
        <f t="shared" si="4"/>
        <v>山口鋼業:MM建材ＨＳ１(単体H1/電特A/HS))</v>
      </c>
    </row>
    <row r="5280" ht="15.75" customHeight="1">
      <c r="A5280" s="335" t="s">
        <v>6427</v>
      </c>
      <c r="B5280" s="336">
        <v>46119.0</v>
      </c>
      <c r="C5280" s="335" t="s">
        <v>15</v>
      </c>
      <c r="D5280" s="335" t="s">
        <v>58</v>
      </c>
      <c r="E5280" s="337" t="str">
        <f t="shared" si="1"/>
        <v>山口鋼業:MM建材</v>
      </c>
      <c r="F5280" s="338" t="s">
        <v>1237</v>
      </c>
      <c r="G5280" s="339" t="str">
        <f t="shared" si="2"/>
        <v>山口鋼業:MM建材ＪＨ１(H2T山口)鍛造ﾊﾞﾘ</v>
      </c>
      <c r="H5280" s="340">
        <f t="shared" si="3"/>
        <v>50</v>
      </c>
      <c r="I5280" s="341">
        <v>1.0</v>
      </c>
      <c r="J5280" s="332">
        <f>IFERROR(__xludf.DUMMYFUNCTION("IF(IF(COUNTIF(P$2:P5279, P5280)=0, """", INDEX(H$2:H5279,
MAX(FILTER(ROW(H$2:H5279) - ROW(H$2) + 1, P$2:P5279 = P5280))))=""単価"","""",
IF(COUNTIF(P$2:P5279, P5280)=0, """", INDEX(H$2:H5279,
MAX(FILTER(ROW(H$2:H5279) - ROW(H$2) + 1, P$2:P5279 = P5280)))))"),49.0)</f>
        <v>49</v>
      </c>
      <c r="N5280" s="335" t="str">
        <f>IF(MAXIFS('単価履歴'!$O:$O,'単価履歴'!$E:$E,E5280,'単価履歴'!$F:$F,F5280)=O5280,"●","")</f>
        <v/>
      </c>
      <c r="O5280" s="346">
        <v>46119.28319444445</v>
      </c>
      <c r="P5280" s="334" t="str">
        <f t="shared" si="4"/>
        <v>山口鋼業:MM建材ＪＨ１(H2T山口)鍛造ﾊﾞﾘ</v>
      </c>
    </row>
    <row r="5281" ht="15.75" customHeight="1">
      <c r="A5281" s="335" t="s">
        <v>6428</v>
      </c>
      <c r="B5281" s="336">
        <v>46119.0</v>
      </c>
      <c r="C5281" s="335" t="s">
        <v>15</v>
      </c>
      <c r="D5281" s="335" t="s">
        <v>58</v>
      </c>
      <c r="E5281" s="337" t="str">
        <f t="shared" si="1"/>
        <v>山口鋼業:MM建材</v>
      </c>
      <c r="F5281" s="338" t="s">
        <v>116</v>
      </c>
      <c r="G5281" s="339" t="str">
        <f t="shared" si="2"/>
        <v>山口鋼業:MM建材Ｈ２(特級)</v>
      </c>
      <c r="H5281" s="340">
        <f t="shared" si="3"/>
        <v>49</v>
      </c>
      <c r="I5281" s="341">
        <v>1.0</v>
      </c>
      <c r="J5281" s="332">
        <f>IFERROR(__xludf.DUMMYFUNCTION("IF(IF(COUNTIF(P$2:P5280, P5281)=0, """", INDEX(H$2:H5280,
MAX(FILTER(ROW(H$2:H5280) - ROW(H$2) + 1, P$2:P5280 = P5281))))=""単価"","""",
IF(COUNTIF(P$2:P5280, P5281)=0, """", INDEX(H$2:H5280,
MAX(FILTER(ROW(H$2:H5280) - ROW(H$2) + 1, P$2:P5280 = P5281)))))"),48.0)</f>
        <v>48</v>
      </c>
      <c r="N5281" s="335" t="str">
        <f>IF(MAXIFS('単価履歴'!$O:$O,'単価履歴'!$E:$E,E5281,'単価履歴'!$F:$F,F5281)=O5281,"●","")</f>
        <v/>
      </c>
      <c r="O5281" s="346">
        <v>46119.28319444445</v>
      </c>
      <c r="P5281" s="334" t="str">
        <f t="shared" si="4"/>
        <v>山口鋼業:MM建材Ｈ２(特級)</v>
      </c>
    </row>
    <row r="5282" ht="15.75" customHeight="1">
      <c r="A5282" s="335" t="s">
        <v>6429</v>
      </c>
      <c r="B5282" s="336">
        <v>46119.0</v>
      </c>
      <c r="C5282" s="335" t="s">
        <v>15</v>
      </c>
      <c r="D5282" s="335" t="s">
        <v>58</v>
      </c>
      <c r="E5282" s="337" t="str">
        <f t="shared" si="1"/>
        <v>山口鋼業:MM建材</v>
      </c>
      <c r="F5282" s="338" t="s">
        <v>119</v>
      </c>
      <c r="G5282" s="339" t="str">
        <f t="shared" si="2"/>
        <v>山口鋼業:MM建材Ｈ３(1級)</v>
      </c>
      <c r="H5282" s="340">
        <f t="shared" si="3"/>
        <v>48</v>
      </c>
      <c r="I5282" s="341">
        <v>1.0</v>
      </c>
      <c r="J5282" s="332">
        <f>IFERROR(__xludf.DUMMYFUNCTION("IF(IF(COUNTIF(P$2:P5281, P5282)=0, """", INDEX(H$2:H5281,
MAX(FILTER(ROW(H$2:H5281) - ROW(H$2) + 1, P$2:P5281 = P5282))))=""単価"","""",
IF(COUNTIF(P$2:P5281, P5282)=0, """", INDEX(H$2:H5281,
MAX(FILTER(ROW(H$2:H5281) - ROW(H$2) + 1, P$2:P5281 = P5282)))))"),47.0)</f>
        <v>47</v>
      </c>
      <c r="N5282" s="335" t="str">
        <f>IF(MAXIFS('単価履歴'!$O:$O,'単価履歴'!$E:$E,E5282,'単価履歴'!$F:$F,F5282)=O5282,"●","")</f>
        <v/>
      </c>
      <c r="O5282" s="346">
        <v>46119.28319444445</v>
      </c>
      <c r="P5282" s="334" t="str">
        <f t="shared" si="4"/>
        <v>山口鋼業:MM建材Ｈ３(1級)</v>
      </c>
    </row>
    <row r="5283" ht="15.75" customHeight="1">
      <c r="A5283" s="335" t="s">
        <v>6430</v>
      </c>
      <c r="B5283" s="336">
        <v>46119.0</v>
      </c>
      <c r="C5283" s="335" t="s">
        <v>15</v>
      </c>
      <c r="D5283" s="335" t="s">
        <v>58</v>
      </c>
      <c r="E5283" s="337" t="str">
        <f t="shared" si="1"/>
        <v>山口鋼業:MM建材</v>
      </c>
      <c r="F5283" s="338" t="s">
        <v>573</v>
      </c>
      <c r="G5283" s="339" t="str">
        <f t="shared" si="2"/>
        <v>山口鋼業:MM建材Ｌ２(H4･級外･L1ﾊﾞﾗ)</v>
      </c>
      <c r="H5283" s="340">
        <f t="shared" si="3"/>
        <v>46.5</v>
      </c>
      <c r="I5283" s="341">
        <v>1.0</v>
      </c>
      <c r="J5283" s="332">
        <f>IFERROR(__xludf.DUMMYFUNCTION("IF(IF(COUNTIF(P$2:P5282, P5283)=0, """", INDEX(H$2:H5282,
MAX(FILTER(ROW(H$2:H5282) - ROW(H$2) + 1, P$2:P5282 = P5283))))=""単価"","""",
IF(COUNTIF(P$2:P5282, P5283)=0, """", INDEX(H$2:H5282,
MAX(FILTER(ROW(H$2:H5282) - ROW(H$2) + 1, P$2:P5282 = P5283)))))"),45.5)</f>
        <v>45.5</v>
      </c>
      <c r="N5283" s="335" t="str">
        <f>IF(MAXIFS('単価履歴'!$O:$O,'単価履歴'!$E:$E,E5283,'単価履歴'!$F:$F,F5283)=O5283,"●","")</f>
        <v/>
      </c>
      <c r="O5283" s="346">
        <v>46119.28319444445</v>
      </c>
      <c r="P5283" s="334" t="str">
        <f t="shared" si="4"/>
        <v>山口鋼業:MM建材Ｌ２(H4･級外･L1ﾊﾞﾗ)</v>
      </c>
    </row>
    <row r="5284" ht="15.75" customHeight="1">
      <c r="A5284" s="335" t="s">
        <v>6431</v>
      </c>
      <c r="B5284" s="336">
        <v>46119.0</v>
      </c>
      <c r="C5284" s="335" t="s">
        <v>15</v>
      </c>
      <c r="D5284" s="335" t="s">
        <v>58</v>
      </c>
      <c r="E5284" s="337" t="str">
        <f t="shared" si="1"/>
        <v>山口鋼業:MM建材</v>
      </c>
      <c r="F5284" s="338" t="s">
        <v>575</v>
      </c>
      <c r="G5284" s="339" t="str">
        <f t="shared" si="2"/>
        <v>山口鋼業:MM建材鋼ダライＡ</v>
      </c>
      <c r="H5284" s="340">
        <f t="shared" si="3"/>
        <v>45.6</v>
      </c>
      <c r="I5284" s="341">
        <v>1.0</v>
      </c>
      <c r="J5284" s="332">
        <f>IFERROR(__xludf.DUMMYFUNCTION("IF(IF(COUNTIF(P$2:P5283, P5284)=0, """", INDEX(H$2:H5283,
MAX(FILTER(ROW(H$2:H5283) - ROW(H$2) + 1, P$2:P5283 = P5284))))=""単価"","""",
IF(COUNTIF(P$2:P5283, P5284)=0, """", INDEX(H$2:H5283,
MAX(FILTER(ROW(H$2:H5283) - ROW(H$2) + 1, P$2:P5283 = P5284)))))"),44.6)</f>
        <v>44.6</v>
      </c>
      <c r="N5284" s="335" t="str">
        <f>IF(MAXIFS('単価履歴'!$O:$O,'単価履歴'!$E:$E,E5284,'単価履歴'!$F:$F,F5284)=O5284,"●","")</f>
        <v/>
      </c>
      <c r="O5284" s="346">
        <v>46119.28319444445</v>
      </c>
      <c r="P5284" s="334" t="str">
        <f t="shared" si="4"/>
        <v>山口鋼業:MM建材鋼ダライＡ</v>
      </c>
    </row>
    <row r="5285" ht="15.75" customHeight="1">
      <c r="A5285" s="335" t="s">
        <v>6432</v>
      </c>
      <c r="B5285" s="336">
        <v>46119.0</v>
      </c>
      <c r="C5285" s="335" t="s">
        <v>15</v>
      </c>
      <c r="D5285" s="335" t="s">
        <v>58</v>
      </c>
      <c r="E5285" s="337" t="str">
        <f t="shared" si="1"/>
        <v>山口鋼業:MM建材</v>
      </c>
      <c r="F5285" s="338" t="s">
        <v>577</v>
      </c>
      <c r="G5285" s="339" t="str">
        <f t="shared" si="2"/>
        <v>山口鋼業:MM建材鋳物・ﾀﾞｸﾀｲﾙ</v>
      </c>
      <c r="H5285" s="340">
        <f t="shared" si="3"/>
        <v>49.5</v>
      </c>
      <c r="I5285" s="341">
        <v>1.0</v>
      </c>
      <c r="J5285" s="332">
        <f>IFERROR(__xludf.DUMMYFUNCTION("IF(IF(COUNTIF(P$2:P5284, P5285)=0, """", INDEX(H$2:H5284,
MAX(FILTER(ROW(H$2:H5284) - ROW(H$2) + 1, P$2:P5284 = P5285))))=""単価"","""",
IF(COUNTIF(P$2:P5284, P5285)=0, """", INDEX(H$2:H5284,
MAX(FILTER(ROW(H$2:H5284) - ROW(H$2) + 1, P$2:P5284 = P5285)))))"),48.5)</f>
        <v>48.5</v>
      </c>
      <c r="N5285" s="335" t="str">
        <f>IF(MAXIFS('単価履歴'!$O:$O,'単価履歴'!$E:$E,E5285,'単価履歴'!$F:$F,F5285)=O5285,"●","")</f>
        <v/>
      </c>
      <c r="O5285" s="346">
        <v>46119.28319444445</v>
      </c>
      <c r="P5285" s="334" t="str">
        <f t="shared" si="4"/>
        <v>山口鋼業:MM建材鋳物・ﾀﾞｸﾀｲﾙ</v>
      </c>
    </row>
    <row r="5286" ht="15.75" customHeight="1">
      <c r="A5286" s="335" t="s">
        <v>6433</v>
      </c>
      <c r="B5286" s="336">
        <v>46119.0</v>
      </c>
      <c r="C5286" s="335" t="s">
        <v>15</v>
      </c>
      <c r="D5286" s="335" t="s">
        <v>46</v>
      </c>
      <c r="E5286" s="337" t="str">
        <f t="shared" si="1"/>
        <v>山口鋼業:阪和</v>
      </c>
      <c r="F5286" s="338" t="s">
        <v>1199</v>
      </c>
      <c r="G5286" s="339" t="str">
        <f t="shared" si="2"/>
        <v>山口鋼業:阪和ＨＳ１(単体H1/電特A/HS))</v>
      </c>
      <c r="H5286" s="340">
        <f t="shared" si="3"/>
        <v>52.5</v>
      </c>
      <c r="I5286" s="341">
        <v>1.0</v>
      </c>
      <c r="J5286" s="332">
        <f>IFERROR(__xludf.DUMMYFUNCTION("IF(IF(COUNTIF(P$2:P5285, P5286)=0, """", INDEX(H$2:H5285,
MAX(FILTER(ROW(H$2:H5285) - ROW(H$2) + 1, P$2:P5285 = P5286))))=""単価"","""",
IF(COUNTIF(P$2:P5285, P5286)=0, """", INDEX(H$2:H5285,
MAX(FILTER(ROW(H$2:H5285) - ROW(H$2) + 1, P$2:P5285 = P5286)))))"),51.5)</f>
        <v>51.5</v>
      </c>
      <c r="N5286" s="335" t="str">
        <f>IF(MAXIFS('単価履歴'!$O:$O,'単価履歴'!$E:$E,E5286,'単価履歴'!$F:$F,F5286)=O5286,"●","")</f>
        <v/>
      </c>
      <c r="O5286" s="346">
        <v>46119.28340277778</v>
      </c>
      <c r="P5286" s="334" t="str">
        <f t="shared" si="4"/>
        <v>山口鋼業:阪和ＨＳ１(単体H1/電特A/HS))</v>
      </c>
    </row>
    <row r="5287" ht="15.75" customHeight="1">
      <c r="A5287" s="335" t="s">
        <v>6434</v>
      </c>
      <c r="B5287" s="336">
        <v>46119.0</v>
      </c>
      <c r="C5287" s="335" t="s">
        <v>15</v>
      </c>
      <c r="D5287" s="335" t="s">
        <v>46</v>
      </c>
      <c r="E5287" s="337" t="str">
        <f t="shared" si="1"/>
        <v>山口鋼業:阪和</v>
      </c>
      <c r="F5287" s="338" t="s">
        <v>111</v>
      </c>
      <c r="G5287" s="339" t="str">
        <f t="shared" si="2"/>
        <v>山口鋼業:阪和Ｈ１(特A)</v>
      </c>
      <c r="H5287" s="340">
        <f t="shared" si="3"/>
        <v>50.5</v>
      </c>
      <c r="I5287" s="341">
        <v>1.0</v>
      </c>
      <c r="J5287" s="332">
        <f>IFERROR(__xludf.DUMMYFUNCTION("IF(IF(COUNTIF(P$2:P5286, P5287)=0, """", INDEX(H$2:H5286,
MAX(FILTER(ROW(H$2:H5286) - ROW(H$2) + 1, P$2:P5286 = P5287))))=""単価"","""",
IF(COUNTIF(P$2:P5286, P5287)=0, """", INDEX(H$2:H5286,
MAX(FILTER(ROW(H$2:H5286) - ROW(H$2) + 1, P$2:P5286 = P5287)))))"),49.5)</f>
        <v>49.5</v>
      </c>
      <c r="N5287" s="335" t="str">
        <f>IF(MAXIFS('単価履歴'!$O:$O,'単価履歴'!$E:$E,E5287,'単価履歴'!$F:$F,F5287)=O5287,"●","")</f>
        <v/>
      </c>
      <c r="O5287" s="346">
        <v>46119.28340277778</v>
      </c>
      <c r="P5287" s="334" t="str">
        <f t="shared" si="4"/>
        <v>山口鋼業:阪和Ｈ１(特A)</v>
      </c>
    </row>
    <row r="5288" ht="15.75" customHeight="1">
      <c r="A5288" s="335" t="s">
        <v>6435</v>
      </c>
      <c r="B5288" s="336">
        <v>46119.0</v>
      </c>
      <c r="C5288" s="335" t="s">
        <v>15</v>
      </c>
      <c r="D5288" s="335" t="s">
        <v>46</v>
      </c>
      <c r="E5288" s="337" t="str">
        <f t="shared" si="1"/>
        <v>山口鋼業:阪和</v>
      </c>
      <c r="F5288" s="338" t="s">
        <v>116</v>
      </c>
      <c r="G5288" s="339" t="str">
        <f t="shared" si="2"/>
        <v>山口鋼業:阪和Ｈ２(特級)</v>
      </c>
      <c r="H5288" s="340">
        <f t="shared" si="3"/>
        <v>50</v>
      </c>
      <c r="I5288" s="341">
        <v>1.0</v>
      </c>
      <c r="J5288" s="332">
        <f>IFERROR(__xludf.DUMMYFUNCTION("IF(IF(COUNTIF(P$2:P5287, P5288)=0, """", INDEX(H$2:H5287,
MAX(FILTER(ROW(H$2:H5287) - ROW(H$2) + 1, P$2:P5287 = P5288))))=""単価"","""",
IF(COUNTIF(P$2:P5287, P5288)=0, """", INDEX(H$2:H5287,
MAX(FILTER(ROW(H$2:H5287) - ROW(H$2) + 1, P$2:P5287 = P5288)))))"),49.0)</f>
        <v>49</v>
      </c>
      <c r="N5288" s="335" t="str">
        <f>IF(MAXIFS('単価履歴'!$O:$O,'単価履歴'!$E:$E,E5288,'単価履歴'!$F:$F,F5288)=O5288,"●","")</f>
        <v/>
      </c>
      <c r="O5288" s="346">
        <v>46119.28340277778</v>
      </c>
      <c r="P5288" s="334" t="str">
        <f t="shared" si="4"/>
        <v>山口鋼業:阪和Ｈ２(特級)</v>
      </c>
    </row>
    <row r="5289" ht="15.75" customHeight="1">
      <c r="A5289" s="335" t="s">
        <v>6436</v>
      </c>
      <c r="B5289" s="336">
        <v>46119.0</v>
      </c>
      <c r="C5289" s="335" t="s">
        <v>15</v>
      </c>
      <c r="D5289" s="335" t="s">
        <v>46</v>
      </c>
      <c r="E5289" s="337" t="str">
        <f t="shared" si="1"/>
        <v>山口鋼業:阪和</v>
      </c>
      <c r="F5289" s="338" t="s">
        <v>119</v>
      </c>
      <c r="G5289" s="339" t="str">
        <f t="shared" si="2"/>
        <v>山口鋼業:阪和Ｈ３(1級)</v>
      </c>
      <c r="H5289" s="340">
        <f t="shared" si="3"/>
        <v>49</v>
      </c>
      <c r="I5289" s="341">
        <v>1.0</v>
      </c>
      <c r="J5289" s="332">
        <f>IFERROR(__xludf.DUMMYFUNCTION("IF(IF(COUNTIF(P$2:P5288, P5289)=0, """", INDEX(H$2:H5288,
MAX(FILTER(ROW(H$2:H5288) - ROW(H$2) + 1, P$2:P5288 = P5289))))=""単価"","""",
IF(COUNTIF(P$2:P5288, P5289)=0, """", INDEX(H$2:H5288,
MAX(FILTER(ROW(H$2:H5288) - ROW(H$2) + 1, P$2:P5288 = P5289)))))"),48.0)</f>
        <v>48</v>
      </c>
      <c r="N5289" s="335" t="str">
        <f>IF(MAXIFS('単価履歴'!$O:$O,'単価履歴'!$E:$E,E5289,'単価履歴'!$F:$F,F5289)=O5289,"●","")</f>
        <v/>
      </c>
      <c r="O5289" s="346">
        <v>46119.28340277778</v>
      </c>
      <c r="P5289" s="334" t="str">
        <f t="shared" si="4"/>
        <v>山口鋼業:阪和Ｈ３(1級)</v>
      </c>
    </row>
    <row r="5290" ht="15.75" customHeight="1">
      <c r="A5290" s="335" t="s">
        <v>6437</v>
      </c>
      <c r="B5290" s="336">
        <v>46119.0</v>
      </c>
      <c r="C5290" s="335" t="s">
        <v>15</v>
      </c>
      <c r="D5290" s="335" t="s">
        <v>46</v>
      </c>
      <c r="E5290" s="337" t="str">
        <f t="shared" si="1"/>
        <v>山口鋼業:阪和</v>
      </c>
      <c r="F5290" s="338" t="s">
        <v>573</v>
      </c>
      <c r="G5290" s="339" t="str">
        <f t="shared" si="2"/>
        <v>山口鋼業:阪和Ｌ２(H4･級外･L1ﾊﾞﾗ)</v>
      </c>
      <c r="H5290" s="340">
        <f t="shared" si="3"/>
        <v>47.5</v>
      </c>
      <c r="I5290" s="341">
        <v>1.0</v>
      </c>
      <c r="J5290" s="332">
        <f>IFERROR(__xludf.DUMMYFUNCTION("IF(IF(COUNTIF(P$2:P5289, P5290)=0, """", INDEX(H$2:H5289,
MAX(FILTER(ROW(H$2:H5289) - ROW(H$2) + 1, P$2:P5289 = P5290))))=""単価"","""",
IF(COUNTIF(P$2:P5289, P5290)=0, """", INDEX(H$2:H5289,
MAX(FILTER(ROW(H$2:H5289) - ROW(H$2) + 1, P$2:P5289 = P5290)))))"),46.5)</f>
        <v>46.5</v>
      </c>
      <c r="N5290" s="335" t="str">
        <f>IF(MAXIFS('単価履歴'!$O:$O,'単価履歴'!$E:$E,E5290,'単価履歴'!$F:$F,F5290)=O5290,"●","")</f>
        <v/>
      </c>
      <c r="O5290" s="346">
        <v>46119.28340277778</v>
      </c>
      <c r="P5290" s="334" t="str">
        <f t="shared" si="4"/>
        <v>山口鋼業:阪和Ｌ２(H4･級外･L1ﾊﾞﾗ)</v>
      </c>
    </row>
    <row r="5291" ht="15.75" customHeight="1">
      <c r="A5291" s="335" t="s">
        <v>6438</v>
      </c>
      <c r="B5291" s="336">
        <v>46119.0</v>
      </c>
      <c r="C5291" s="335" t="s">
        <v>537</v>
      </c>
      <c r="D5291" s="335" t="s">
        <v>59</v>
      </c>
      <c r="E5291" s="337" t="str">
        <f t="shared" si="1"/>
        <v>大同特殊鋼:大同興業</v>
      </c>
      <c r="F5291" s="338" t="s">
        <v>1199</v>
      </c>
      <c r="G5291" s="339" t="str">
        <f t="shared" si="2"/>
        <v>大同特殊鋼:大同興業ＨＳ１(単体H1/電特A/HS))</v>
      </c>
      <c r="H5291" s="340">
        <f t="shared" si="3"/>
        <v>54</v>
      </c>
      <c r="I5291" s="341">
        <v>1.0</v>
      </c>
      <c r="J5291" s="332">
        <f>IFERROR(__xludf.DUMMYFUNCTION("IF(IF(COUNTIF(P$2:P5290, P5291)=0, """", INDEX(H$2:H5290,
MAX(FILTER(ROW(H$2:H5290) - ROW(H$2) + 1, P$2:P5290 = P5291))))=""単価"","""",
IF(COUNTIF(P$2:P5290, P5291)=0, """", INDEX(H$2:H5290,
MAX(FILTER(ROW(H$2:H5290) - ROW(H$2) + 1, P$2:P5290 = P5291)))))"),53.0)</f>
        <v>53</v>
      </c>
      <c r="N5291" s="335" t="str">
        <f>IF(MAXIFS('単価履歴'!$O:$O,'単価履歴'!$E:$E,E5291,'単価履歴'!$F:$F,F5291)=O5291,"●","")</f>
        <v/>
      </c>
      <c r="O5291" s="346">
        <v>46119.28359953704</v>
      </c>
      <c r="P5291" s="334" t="str">
        <f t="shared" si="4"/>
        <v>大同特殊鋼:大同興業ＨＳ１(単体H1/電特A/HS))</v>
      </c>
    </row>
    <row r="5292" ht="15.75" customHeight="1">
      <c r="A5292" s="335" t="s">
        <v>6439</v>
      </c>
      <c r="B5292" s="336">
        <v>46119.0</v>
      </c>
      <c r="C5292" s="335" t="s">
        <v>537</v>
      </c>
      <c r="D5292" s="335" t="s">
        <v>59</v>
      </c>
      <c r="E5292" s="337" t="str">
        <f t="shared" si="1"/>
        <v>大同特殊鋼:大同興業</v>
      </c>
      <c r="F5292" s="338" t="s">
        <v>575</v>
      </c>
      <c r="G5292" s="339" t="str">
        <f t="shared" si="2"/>
        <v>大同特殊鋼:大同興業鋼ダライＡ</v>
      </c>
      <c r="H5292" s="340">
        <f t="shared" si="3"/>
        <v>46.4</v>
      </c>
      <c r="I5292" s="341">
        <v>1.0</v>
      </c>
      <c r="J5292" s="332">
        <f>IFERROR(__xludf.DUMMYFUNCTION("IF(IF(COUNTIF(P$2:P5291, P5292)=0, """", INDEX(H$2:H5291,
MAX(FILTER(ROW(H$2:H5291) - ROW(H$2) + 1, P$2:P5291 = P5292))))=""単価"","""",
IF(COUNTIF(P$2:P5291, P5292)=0, """", INDEX(H$2:H5291,
MAX(FILTER(ROW(H$2:H5291) - ROW(H$2) + 1, P$2:P5291 = P5292)))))"),45.4)</f>
        <v>45.4</v>
      </c>
      <c r="N5292" s="335" t="str">
        <f>IF(MAXIFS('単価履歴'!$O:$O,'単価履歴'!$E:$E,E5292,'単価履歴'!$F:$F,F5292)=O5292,"●","")</f>
        <v/>
      </c>
      <c r="O5292" s="346">
        <v>46119.28359953704</v>
      </c>
      <c r="P5292" s="334" t="str">
        <f t="shared" si="4"/>
        <v>大同特殊鋼:大同興業鋼ダライＡ</v>
      </c>
    </row>
    <row r="5293" ht="15.75" customHeight="1">
      <c r="A5293" s="335" t="s">
        <v>6440</v>
      </c>
      <c r="B5293" s="336">
        <v>46119.0</v>
      </c>
      <c r="C5293" s="335" t="s">
        <v>537</v>
      </c>
      <c r="D5293" s="335" t="s">
        <v>1404</v>
      </c>
      <c r="E5293" s="337" t="str">
        <f t="shared" si="1"/>
        <v>大同特殊鋼:JSE/大和ﾘﾃｯｸ</v>
      </c>
      <c r="F5293" s="338" t="s">
        <v>1199</v>
      </c>
      <c r="G5293" s="339" t="str">
        <f t="shared" si="2"/>
        <v>大同特殊鋼:JSE/大和ﾘﾃｯｸＨＳ１(単体H1/電特A/HS))</v>
      </c>
      <c r="H5293" s="340">
        <f t="shared" si="3"/>
        <v>53.3</v>
      </c>
      <c r="I5293" s="341">
        <v>1.0</v>
      </c>
      <c r="J5293" s="332">
        <f>IFERROR(__xludf.DUMMYFUNCTION("IF(IF(COUNTIF(P$2:P5292, P5293)=0, """", INDEX(H$2:H5292,
MAX(FILTER(ROW(H$2:H5292) - ROW(H$2) + 1, P$2:P5292 = P5293))))=""単価"","""",
IF(COUNTIF(P$2:P5292, P5293)=0, """", INDEX(H$2:H5292,
MAX(FILTER(ROW(H$2:H5292) - ROW(H$2) + 1, P$2:P5292 = P5293)))))"),52.3)</f>
        <v>52.3</v>
      </c>
      <c r="N5293" s="335" t="str">
        <f>IF(MAXIFS('単価履歴'!$O:$O,'単価履歴'!$E:$E,E5293,'単価履歴'!$F:$F,F5293)=O5293,"●","")</f>
        <v/>
      </c>
      <c r="O5293" s="346">
        <v>46119.28380787037</v>
      </c>
      <c r="P5293" s="334" t="str">
        <f t="shared" si="4"/>
        <v>大同特殊鋼:JSE/大和ﾘﾃｯｸＨＳ１(単体H1/電特A/HS))</v>
      </c>
    </row>
    <row r="5294" ht="15.75" customHeight="1">
      <c r="A5294" s="335" t="s">
        <v>6441</v>
      </c>
      <c r="B5294" s="336">
        <v>46119.0</v>
      </c>
      <c r="C5294" s="335" t="s">
        <v>537</v>
      </c>
      <c r="D5294" s="335" t="s">
        <v>1404</v>
      </c>
      <c r="E5294" s="337" t="str">
        <f t="shared" si="1"/>
        <v>大同特殊鋼:JSE/大和ﾘﾃｯｸ</v>
      </c>
      <c r="F5294" s="338" t="s">
        <v>116</v>
      </c>
      <c r="G5294" s="339" t="str">
        <f t="shared" si="2"/>
        <v>大同特殊鋼:JSE/大和ﾘﾃｯｸＨ２(特級)</v>
      </c>
      <c r="H5294" s="340">
        <f t="shared" si="3"/>
        <v>50.2</v>
      </c>
      <c r="I5294" s="341">
        <v>1.0</v>
      </c>
      <c r="J5294" s="332">
        <f>IFERROR(__xludf.DUMMYFUNCTION("IF(IF(COUNTIF(P$2:P5293, P5294)=0, """", INDEX(H$2:H5293,
MAX(FILTER(ROW(H$2:H5293) - ROW(H$2) + 1, P$2:P5293 = P5294))))=""単価"","""",
IF(COUNTIF(P$2:P5293, P5294)=0, """", INDEX(H$2:H5293,
MAX(FILTER(ROW(H$2:H5293) - ROW(H$2) + 1, P$2:P5293 = P5294)))))"),49.2)</f>
        <v>49.2</v>
      </c>
      <c r="N5294" s="335" t="str">
        <f>IF(MAXIFS('単価履歴'!$O:$O,'単価履歴'!$E:$E,E5294,'単価履歴'!$F:$F,F5294)=O5294,"●","")</f>
        <v/>
      </c>
      <c r="O5294" s="346">
        <v>46119.28380787037</v>
      </c>
      <c r="P5294" s="334" t="str">
        <f t="shared" si="4"/>
        <v>大同特殊鋼:JSE/大和ﾘﾃｯｸＨ２(特級)</v>
      </c>
    </row>
    <row r="5295" ht="15.75" customHeight="1">
      <c r="A5295" s="335" t="s">
        <v>6442</v>
      </c>
      <c r="B5295" s="336">
        <v>46119.0</v>
      </c>
      <c r="C5295" s="335" t="s">
        <v>537</v>
      </c>
      <c r="D5295" s="335" t="s">
        <v>1404</v>
      </c>
      <c r="E5295" s="337" t="str">
        <f t="shared" si="1"/>
        <v>大同特殊鋼:JSE/大和ﾘﾃｯｸ</v>
      </c>
      <c r="F5295" s="338" t="s">
        <v>575</v>
      </c>
      <c r="G5295" s="339" t="str">
        <f t="shared" si="2"/>
        <v>大同特殊鋼:JSE/大和ﾘﾃｯｸ鋼ダライＡ</v>
      </c>
      <c r="H5295" s="340">
        <f t="shared" si="3"/>
        <v>48.5</v>
      </c>
      <c r="I5295" s="341">
        <v>1.0</v>
      </c>
      <c r="J5295" s="332">
        <f>IFERROR(__xludf.DUMMYFUNCTION("IF(IF(COUNTIF(P$2:P5294, P5295)=0, """", INDEX(H$2:H5294,
MAX(FILTER(ROW(H$2:H5294) - ROW(H$2) + 1, P$2:P5294 = P5295))))=""単価"","""",
IF(COUNTIF(P$2:P5294, P5295)=0, """", INDEX(H$2:H5294,
MAX(FILTER(ROW(H$2:H5294) - ROW(H$2) + 1, P$2:P5294 = P5295)))))"),47.5)</f>
        <v>47.5</v>
      </c>
      <c r="N5295" s="335" t="str">
        <f>IF(MAXIFS('単価履歴'!$O:$O,'単価履歴'!$E:$E,E5295,'単価履歴'!$F:$F,F5295)=O5295,"●","")</f>
        <v/>
      </c>
      <c r="O5295" s="346">
        <v>46119.28380787037</v>
      </c>
      <c r="P5295" s="334" t="str">
        <f t="shared" si="4"/>
        <v>大同特殊鋼:JSE/大和ﾘﾃｯｸ鋼ダライＡ</v>
      </c>
    </row>
    <row r="5296" ht="15.75" customHeight="1">
      <c r="A5296" s="335" t="s">
        <v>6443</v>
      </c>
      <c r="B5296" s="336">
        <v>46119.0</v>
      </c>
      <c r="C5296" s="335" t="s">
        <v>537</v>
      </c>
      <c r="D5296" s="335" t="s">
        <v>1407</v>
      </c>
      <c r="E5296" s="337" t="str">
        <f t="shared" si="1"/>
        <v>大同特殊鋼:JSE/第二＠2.3</v>
      </c>
      <c r="F5296" s="338" t="s">
        <v>1199</v>
      </c>
      <c r="G5296" s="339" t="str">
        <f t="shared" si="2"/>
        <v>大同特殊鋼:JSE/第二＠2.3ＨＳ１(単体H1/電特A/HS))</v>
      </c>
      <c r="H5296" s="340">
        <f t="shared" si="3"/>
        <v>51</v>
      </c>
      <c r="I5296" s="341">
        <v>1.0</v>
      </c>
      <c r="J5296" s="332">
        <f>IFERROR(__xludf.DUMMYFUNCTION("IF(IF(COUNTIF(P$2:P5295, P5296)=0, """", INDEX(H$2:H5295,
MAX(FILTER(ROW(H$2:H5295) - ROW(H$2) + 1, P$2:P5295 = P5296))))=""単価"","""",
IF(COUNTIF(P$2:P5295, P5296)=0, """", INDEX(H$2:H5295,
MAX(FILTER(ROW(H$2:H5295) - ROW(H$2) + 1, P$2:P5295 = P5296)))))"),50.0)</f>
        <v>50</v>
      </c>
      <c r="N5296" s="335" t="str">
        <f>IF(MAXIFS('単価履歴'!$O:$O,'単価履歴'!$E:$E,E5296,'単価履歴'!$F:$F,F5296)=O5296,"●","")</f>
        <v/>
      </c>
      <c r="O5296" s="346">
        <v>46119.28380787037</v>
      </c>
      <c r="P5296" s="334" t="str">
        <f t="shared" si="4"/>
        <v>大同特殊鋼:JSE/第二＠2.3ＨＳ１(単体H1/電特A/HS))</v>
      </c>
    </row>
    <row r="5297" ht="15.75" customHeight="1">
      <c r="A5297" s="335" t="s">
        <v>6444</v>
      </c>
      <c r="B5297" s="336">
        <v>46119.0</v>
      </c>
      <c r="C5297" s="335" t="s">
        <v>537</v>
      </c>
      <c r="D5297" s="335" t="s">
        <v>1407</v>
      </c>
      <c r="E5297" s="337" t="str">
        <f t="shared" si="1"/>
        <v>大同特殊鋼:JSE/第二＠2.3</v>
      </c>
      <c r="F5297" s="338" t="s">
        <v>116</v>
      </c>
      <c r="G5297" s="339" t="str">
        <f t="shared" si="2"/>
        <v>大同特殊鋼:JSE/第二＠2.3Ｈ２(特級)</v>
      </c>
      <c r="H5297" s="340">
        <f t="shared" si="3"/>
        <v>47.9</v>
      </c>
      <c r="I5297" s="341">
        <v>1.0</v>
      </c>
      <c r="J5297" s="332">
        <f>IFERROR(__xludf.DUMMYFUNCTION("IF(IF(COUNTIF(P$2:P5296, P5297)=0, """", INDEX(H$2:H5296,
MAX(FILTER(ROW(H$2:H5296) - ROW(H$2) + 1, P$2:P5296 = P5297))))=""単価"","""",
IF(COUNTIF(P$2:P5296, P5297)=0, """", INDEX(H$2:H5296,
MAX(FILTER(ROW(H$2:H5296) - ROW(H$2) + 1, P$2:P5296 = P5297)))))"),46.900000000000006)</f>
        <v>46.9</v>
      </c>
      <c r="N5297" s="335" t="str">
        <f>IF(MAXIFS('単価履歴'!$O:$O,'単価履歴'!$E:$E,E5297,'単価履歴'!$F:$F,F5297)=O5297,"●","")</f>
        <v/>
      </c>
      <c r="O5297" s="346">
        <v>46119.28380787037</v>
      </c>
      <c r="P5297" s="334" t="str">
        <f t="shared" si="4"/>
        <v>大同特殊鋼:JSE/第二＠2.3Ｈ２(特級)</v>
      </c>
    </row>
    <row r="5298" ht="15.75" customHeight="1">
      <c r="A5298" s="335" t="s">
        <v>6445</v>
      </c>
      <c r="B5298" s="336">
        <v>46119.0</v>
      </c>
      <c r="C5298" s="335" t="s">
        <v>537</v>
      </c>
      <c r="D5298" s="335" t="s">
        <v>1407</v>
      </c>
      <c r="E5298" s="337" t="str">
        <f t="shared" si="1"/>
        <v>大同特殊鋼:JSE/第二＠2.3</v>
      </c>
      <c r="F5298" s="338" t="s">
        <v>575</v>
      </c>
      <c r="G5298" s="339" t="str">
        <f t="shared" si="2"/>
        <v>大同特殊鋼:JSE/第二＠2.3鋼ダライＡ</v>
      </c>
      <c r="H5298" s="340">
        <f t="shared" si="3"/>
        <v>46.2</v>
      </c>
      <c r="I5298" s="341">
        <v>1.0</v>
      </c>
      <c r="J5298" s="332">
        <f>IFERROR(__xludf.DUMMYFUNCTION("IF(IF(COUNTIF(P$2:P5297, P5298)=0, """", INDEX(H$2:H5297,
MAX(FILTER(ROW(H$2:H5297) - ROW(H$2) + 1, P$2:P5297 = P5298))))=""単価"","""",
IF(COUNTIF(P$2:P5297, P5298)=0, """", INDEX(H$2:H5297,
MAX(FILTER(ROW(H$2:H5297) - ROW(H$2) + 1, P$2:P5297 = P5298)))))"),45.2)</f>
        <v>45.2</v>
      </c>
      <c r="N5298" s="335" t="str">
        <f>IF(MAXIFS('単価履歴'!$O:$O,'単価履歴'!$E:$E,E5298,'単価履歴'!$F:$F,F5298)=O5298,"●","")</f>
        <v/>
      </c>
      <c r="O5298" s="346">
        <v>46119.28380787037</v>
      </c>
      <c r="P5298" s="334" t="str">
        <f t="shared" si="4"/>
        <v>大同特殊鋼:JSE/第二＠2.3鋼ダライＡ</v>
      </c>
    </row>
    <row r="5299" ht="15.75" customHeight="1">
      <c r="A5299" s="335" t="s">
        <v>6446</v>
      </c>
      <c r="B5299" s="336">
        <v>46119.0</v>
      </c>
      <c r="C5299" s="335" t="s">
        <v>537</v>
      </c>
      <c r="D5299" s="335" t="s">
        <v>1410</v>
      </c>
      <c r="E5299" s="337" t="str">
        <f t="shared" si="1"/>
        <v>大同特殊鋼:JSE/岐阜＠1.5</v>
      </c>
      <c r="F5299" s="338" t="s">
        <v>1199</v>
      </c>
      <c r="G5299" s="339" t="str">
        <f t="shared" si="2"/>
        <v>大同特殊鋼:JSE/岐阜＠1.5ＨＳ１(単体H1/電特A/HS))</v>
      </c>
      <c r="H5299" s="340">
        <f t="shared" si="3"/>
        <v>51.8</v>
      </c>
      <c r="I5299" s="341">
        <v>1.0</v>
      </c>
      <c r="J5299" s="332">
        <f>IFERROR(__xludf.DUMMYFUNCTION("IF(IF(COUNTIF(P$2:P5298, P5299)=0, """", INDEX(H$2:H5298,
MAX(FILTER(ROW(H$2:H5298) - ROW(H$2) + 1, P$2:P5298 = P5299))))=""単価"","""",
IF(COUNTIF(P$2:P5298, P5299)=0, """", INDEX(H$2:H5298,
MAX(FILTER(ROW(H$2:H5298) - ROW(H$2) + 1, P$2:P5298 = P5299)))))"),50.8)</f>
        <v>50.8</v>
      </c>
      <c r="N5299" s="335" t="str">
        <f>IF(MAXIFS('単価履歴'!$O:$O,'単価履歴'!$E:$E,E5299,'単価履歴'!$F:$F,F5299)=O5299,"●","")</f>
        <v/>
      </c>
      <c r="O5299" s="346">
        <v>46119.28380787037</v>
      </c>
      <c r="P5299" s="334" t="str">
        <f t="shared" si="4"/>
        <v>大同特殊鋼:JSE/岐阜＠1.5ＨＳ１(単体H1/電特A/HS))</v>
      </c>
    </row>
    <row r="5300" ht="15.75" customHeight="1">
      <c r="A5300" s="335" t="s">
        <v>6447</v>
      </c>
      <c r="B5300" s="336">
        <v>46119.0</v>
      </c>
      <c r="C5300" s="335" t="s">
        <v>537</v>
      </c>
      <c r="D5300" s="335" t="s">
        <v>1410</v>
      </c>
      <c r="E5300" s="337" t="str">
        <f t="shared" si="1"/>
        <v>大同特殊鋼:JSE/岐阜＠1.5</v>
      </c>
      <c r="F5300" s="338" t="s">
        <v>116</v>
      </c>
      <c r="G5300" s="339" t="str">
        <f t="shared" si="2"/>
        <v>大同特殊鋼:JSE/岐阜＠1.5Ｈ２(特級)</v>
      </c>
      <c r="H5300" s="340">
        <f t="shared" si="3"/>
        <v>48.7</v>
      </c>
      <c r="I5300" s="341">
        <v>1.0</v>
      </c>
      <c r="J5300" s="332">
        <f>IFERROR(__xludf.DUMMYFUNCTION("IF(IF(COUNTIF(P$2:P5299, P5300)=0, """", INDEX(H$2:H5299,
MAX(FILTER(ROW(H$2:H5299) - ROW(H$2) + 1, P$2:P5299 = P5300))))=""単価"","""",
IF(COUNTIF(P$2:P5299, P5300)=0, """", INDEX(H$2:H5299,
MAX(FILTER(ROW(H$2:H5299) - ROW(H$2) + 1, P$2:P5299 = P5300)))))"),47.7)</f>
        <v>47.7</v>
      </c>
      <c r="N5300" s="335" t="str">
        <f>IF(MAXIFS('単価履歴'!$O:$O,'単価履歴'!$E:$E,E5300,'単価履歴'!$F:$F,F5300)=O5300,"●","")</f>
        <v/>
      </c>
      <c r="O5300" s="346">
        <v>46119.28380787037</v>
      </c>
      <c r="P5300" s="334" t="str">
        <f t="shared" si="4"/>
        <v>大同特殊鋼:JSE/岐阜＠1.5Ｈ２(特級)</v>
      </c>
    </row>
    <row r="5301" ht="15.75" customHeight="1">
      <c r="A5301" s="335" t="s">
        <v>6448</v>
      </c>
      <c r="B5301" s="336">
        <v>46119.0</v>
      </c>
      <c r="C5301" s="335" t="s">
        <v>537</v>
      </c>
      <c r="D5301" s="335" t="s">
        <v>1410</v>
      </c>
      <c r="E5301" s="337" t="str">
        <f t="shared" si="1"/>
        <v>大同特殊鋼:JSE/岐阜＠1.5</v>
      </c>
      <c r="F5301" s="338" t="s">
        <v>575</v>
      </c>
      <c r="G5301" s="339" t="str">
        <f t="shared" si="2"/>
        <v>大同特殊鋼:JSE/岐阜＠1.5鋼ダライＡ</v>
      </c>
      <c r="H5301" s="340">
        <f t="shared" si="3"/>
        <v>47</v>
      </c>
      <c r="I5301" s="341">
        <v>1.0</v>
      </c>
      <c r="J5301" s="332">
        <f>IFERROR(__xludf.DUMMYFUNCTION("IF(IF(COUNTIF(P$2:P5300, P5301)=0, """", INDEX(H$2:H5300,
MAX(FILTER(ROW(H$2:H5300) - ROW(H$2) + 1, P$2:P5300 = P5301))))=""単価"","""",
IF(COUNTIF(P$2:P5300, P5301)=0, """", INDEX(H$2:H5300,
MAX(FILTER(ROW(H$2:H5300) - ROW(H$2) + 1, P$2:P5300 = P5301)))))"),46.0)</f>
        <v>46</v>
      </c>
      <c r="N5301" s="335" t="str">
        <f>IF(MAXIFS('単価履歴'!$O:$O,'単価履歴'!$E:$E,E5301,'単価履歴'!$F:$F,F5301)=O5301,"●","")</f>
        <v/>
      </c>
      <c r="O5301" s="346">
        <v>46119.28380787037</v>
      </c>
      <c r="P5301" s="334" t="str">
        <f t="shared" si="4"/>
        <v>大同特殊鋼:JSE/岐阜＠1.5鋼ダライＡ</v>
      </c>
    </row>
    <row r="5302" ht="15.75" customHeight="1">
      <c r="A5302" s="335" t="s">
        <v>6449</v>
      </c>
      <c r="B5302" s="336">
        <v>46119.0</v>
      </c>
      <c r="C5302" s="335" t="s">
        <v>37</v>
      </c>
      <c r="D5302" s="335" t="s">
        <v>48</v>
      </c>
      <c r="E5302" s="337" t="str">
        <f t="shared" si="1"/>
        <v>共英名古屋:ナベ</v>
      </c>
      <c r="F5302" s="338" t="s">
        <v>111</v>
      </c>
      <c r="G5302" s="339" t="str">
        <f t="shared" si="2"/>
        <v>共英名古屋:ナベＨ１(特A)</v>
      </c>
      <c r="H5302" s="340">
        <f t="shared" si="3"/>
        <v>52.7</v>
      </c>
      <c r="I5302" s="341">
        <v>1.0</v>
      </c>
      <c r="J5302" s="332">
        <f>IFERROR(__xludf.DUMMYFUNCTION("IF(IF(COUNTIF(P$2:P5301, P5302)=0, """", INDEX(H$2:H5301,
MAX(FILTER(ROW(H$2:H5301) - ROW(H$2) + 1, P$2:P5301 = P5302))))=""単価"","""",
IF(COUNTIF(P$2:P5301, P5302)=0, """", INDEX(H$2:H5301,
MAX(FILTER(ROW(H$2:H5301) - ROW(H$2) + 1, P$2:P5301 = P5302)))))"),51.7)</f>
        <v>51.7</v>
      </c>
      <c r="N5302" s="335" t="str">
        <f>IF(MAXIFS('単価履歴'!$O:$O,'単価履歴'!$E:$E,E5302,'単価履歴'!$F:$F,F5302)=O5302,"●","")</f>
        <v/>
      </c>
      <c r="O5302" s="346">
        <v>46119.28439814815</v>
      </c>
      <c r="P5302" s="334" t="str">
        <f t="shared" si="4"/>
        <v>共英名古屋:ナベＨ１(特A)</v>
      </c>
    </row>
    <row r="5303" ht="15.75" customHeight="1">
      <c r="A5303" s="335" t="s">
        <v>6450</v>
      </c>
      <c r="B5303" s="336">
        <v>46119.0</v>
      </c>
      <c r="C5303" s="335" t="s">
        <v>37</v>
      </c>
      <c r="D5303" s="335" t="s">
        <v>48</v>
      </c>
      <c r="E5303" s="337" t="str">
        <f t="shared" si="1"/>
        <v>共英名古屋:ナベ</v>
      </c>
      <c r="F5303" s="338" t="s">
        <v>116</v>
      </c>
      <c r="G5303" s="339" t="str">
        <f t="shared" si="2"/>
        <v>共英名古屋:ナベＨ２(特級)</v>
      </c>
      <c r="H5303" s="340">
        <f t="shared" si="3"/>
        <v>50</v>
      </c>
      <c r="I5303" s="341">
        <v>1.0</v>
      </c>
      <c r="J5303" s="332">
        <f>IFERROR(__xludf.DUMMYFUNCTION("IF(IF(COUNTIF(P$2:P5302, P5303)=0, """", INDEX(H$2:H5302,
MAX(FILTER(ROW(H$2:H5302) - ROW(H$2) + 1, P$2:P5302 = P5303))))=""単価"","""",
IF(COUNTIF(P$2:P5302, P5303)=0, """", INDEX(H$2:H5302,
MAX(FILTER(ROW(H$2:H5302) - ROW(H$2) + 1, P$2:P5302 = P5303)))))"),49.0)</f>
        <v>49</v>
      </c>
      <c r="N5303" s="335" t="str">
        <f>IF(MAXIFS('単価履歴'!$O:$O,'単価履歴'!$E:$E,E5303,'単価履歴'!$F:$F,F5303)=O5303,"●","")</f>
        <v/>
      </c>
      <c r="O5303" s="346">
        <v>46119.28439814815</v>
      </c>
      <c r="P5303" s="334" t="str">
        <f t="shared" si="4"/>
        <v>共英名古屋:ナベＨ２(特級)</v>
      </c>
    </row>
    <row r="5304" ht="15.75" customHeight="1">
      <c r="A5304" s="335" t="s">
        <v>6451</v>
      </c>
      <c r="B5304" s="336">
        <v>46119.0</v>
      </c>
      <c r="C5304" s="335" t="s">
        <v>37</v>
      </c>
      <c r="D5304" s="335" t="s">
        <v>48</v>
      </c>
      <c r="E5304" s="337" t="str">
        <f t="shared" si="1"/>
        <v>共英名古屋:ナベ</v>
      </c>
      <c r="F5304" s="338" t="s">
        <v>119</v>
      </c>
      <c r="G5304" s="339" t="str">
        <f t="shared" si="2"/>
        <v>共英名古屋:ナベＨ３(1級)</v>
      </c>
      <c r="H5304" s="340">
        <f t="shared" si="3"/>
        <v>49</v>
      </c>
      <c r="I5304" s="341">
        <v>1.0</v>
      </c>
      <c r="J5304" s="332">
        <f>IFERROR(__xludf.DUMMYFUNCTION("IF(IF(COUNTIF(P$2:P5303, P5304)=0, """", INDEX(H$2:H5303,
MAX(FILTER(ROW(H$2:H5303) - ROW(H$2) + 1, P$2:P5303 = P5304))))=""単価"","""",
IF(COUNTIF(P$2:P5303, P5304)=0, """", INDEX(H$2:H5303,
MAX(FILTER(ROW(H$2:H5303) - ROW(H$2) + 1, P$2:P5303 = P5304)))))"),48.0)</f>
        <v>48</v>
      </c>
      <c r="N5304" s="335" t="str">
        <f>IF(MAXIFS('単価履歴'!$O:$O,'単価履歴'!$E:$E,E5304,'単価履歴'!$F:$F,F5304)=O5304,"●","")</f>
        <v/>
      </c>
      <c r="O5304" s="346">
        <v>46119.28439814815</v>
      </c>
      <c r="P5304" s="334" t="str">
        <f t="shared" si="4"/>
        <v>共英名古屋:ナベＨ３(1級)</v>
      </c>
    </row>
    <row r="5305" ht="15.75" customHeight="1">
      <c r="A5305" s="335" t="s">
        <v>6452</v>
      </c>
      <c r="B5305" s="336">
        <v>46119.0</v>
      </c>
      <c r="C5305" s="335" t="s">
        <v>37</v>
      </c>
      <c r="D5305" s="335" t="s">
        <v>48</v>
      </c>
      <c r="E5305" s="337" t="str">
        <f t="shared" si="1"/>
        <v>共英名古屋:ナベ</v>
      </c>
      <c r="F5305" s="338" t="s">
        <v>122</v>
      </c>
      <c r="G5305" s="339" t="str">
        <f t="shared" si="2"/>
        <v>共英名古屋:ナベＬ１(2級)</v>
      </c>
      <c r="H5305" s="340">
        <f t="shared" si="3"/>
        <v>46</v>
      </c>
      <c r="I5305" s="341">
        <v>1.0</v>
      </c>
      <c r="J5305" s="332">
        <f>IFERROR(__xludf.DUMMYFUNCTION("IF(IF(COUNTIF(P$2:P5304, P5305)=0, """", INDEX(H$2:H5304,
MAX(FILTER(ROW(H$2:H5304) - ROW(H$2) + 1, P$2:P5304 = P5305))))=""単価"","""",
IF(COUNTIF(P$2:P5304, P5305)=0, """", INDEX(H$2:H5304,
MAX(FILTER(ROW(H$2:H5304) - ROW(H$2) + 1, P$2:P5304 = P5305)))))"),45.0)</f>
        <v>45</v>
      </c>
      <c r="N5305" s="335" t="str">
        <f>IF(MAXIFS('単価履歴'!$O:$O,'単価履歴'!$E:$E,E5305,'単価履歴'!$F:$F,F5305)=O5305,"●","")</f>
        <v/>
      </c>
      <c r="O5305" s="346">
        <v>46119.28439814815</v>
      </c>
      <c r="P5305" s="334" t="str">
        <f t="shared" si="4"/>
        <v>共英名古屋:ナベＬ１(2級)</v>
      </c>
    </row>
    <row r="5306" ht="15.75" customHeight="1">
      <c r="A5306" s="335" t="s">
        <v>6453</v>
      </c>
      <c r="B5306" s="336">
        <v>46119.0</v>
      </c>
      <c r="C5306" s="335" t="s">
        <v>22</v>
      </c>
      <c r="D5306" s="335" t="s">
        <v>47</v>
      </c>
      <c r="E5306" s="337" t="str">
        <f t="shared" si="1"/>
        <v>栗本鐵工:豊通</v>
      </c>
      <c r="F5306" s="338" t="s">
        <v>1199</v>
      </c>
      <c r="G5306" s="339" t="str">
        <f t="shared" si="2"/>
        <v>栗本鐵工:豊通ＨＳ１(単体H1/電特A/HS))</v>
      </c>
      <c r="H5306" s="340">
        <f t="shared" si="3"/>
        <v>56.8</v>
      </c>
      <c r="I5306" s="341">
        <v>1.0</v>
      </c>
      <c r="J5306" s="332">
        <f>IFERROR(__xludf.DUMMYFUNCTION("IF(IF(COUNTIF(P$2:P5305, P5306)=0, """", INDEX(H$2:H5305,
MAX(FILTER(ROW(H$2:H5305) - ROW(H$2) + 1, P$2:P5305 = P5306))))=""単価"","""",
IF(COUNTIF(P$2:P5305, P5306)=0, """", INDEX(H$2:H5305,
MAX(FILTER(ROW(H$2:H5305) - ROW(H$2) + 1, P$2:P5305 = P5306)))))"),55.8)</f>
        <v>55.8</v>
      </c>
      <c r="N5306" s="335" t="str">
        <f>IF(MAXIFS('単価履歴'!$O:$O,'単価履歴'!$E:$E,E5306,'単価履歴'!$F:$F,F5306)=O5306,"●","")</f>
        <v/>
      </c>
      <c r="O5306" s="346">
        <v>46119.28648148148</v>
      </c>
      <c r="P5306" s="334" t="str">
        <f t="shared" si="4"/>
        <v>栗本鐵工:豊通ＨＳ１(単体H1/電特A/HS))</v>
      </c>
    </row>
    <row r="5307" ht="15.75" customHeight="1">
      <c r="A5307" s="335" t="s">
        <v>6454</v>
      </c>
      <c r="B5307" s="336">
        <v>46119.0</v>
      </c>
      <c r="C5307" s="335" t="s">
        <v>22</v>
      </c>
      <c r="D5307" s="335" t="s">
        <v>47</v>
      </c>
      <c r="E5307" s="337" t="str">
        <f t="shared" si="1"/>
        <v>栗本鐵工:豊通</v>
      </c>
      <c r="F5307" s="338" t="s">
        <v>101</v>
      </c>
      <c r="G5307" s="339" t="str">
        <f t="shared" si="2"/>
        <v>栗本鐵工:豊通ＨＳ２</v>
      </c>
      <c r="H5307" s="340">
        <f t="shared" si="3"/>
        <v>56.5</v>
      </c>
      <c r="I5307" s="341">
        <v>1.0</v>
      </c>
      <c r="J5307" s="332">
        <f>IFERROR(__xludf.DUMMYFUNCTION("IF(IF(COUNTIF(P$2:P5306, P5307)=0, """", INDEX(H$2:H5306,
MAX(FILTER(ROW(H$2:H5306) - ROW(H$2) + 1, P$2:P5306 = P5307))))=""単価"","""",
IF(COUNTIF(P$2:P5306, P5307)=0, """", INDEX(H$2:H5306,
MAX(FILTER(ROW(H$2:H5306) - ROW(H$2) + 1, P$2:P5306 = P5307)))))"),55.5)</f>
        <v>55.5</v>
      </c>
      <c r="N5307" s="335" t="str">
        <f>IF(MAXIFS('単価履歴'!$O:$O,'単価履歴'!$E:$E,E5307,'単価履歴'!$F:$F,F5307)=O5307,"●","")</f>
        <v/>
      </c>
      <c r="O5307" s="346">
        <v>46119.28648148148</v>
      </c>
      <c r="P5307" s="334" t="str">
        <f t="shared" si="4"/>
        <v>栗本鐵工:豊通ＨＳ２</v>
      </c>
    </row>
    <row r="5308" ht="15.75" customHeight="1">
      <c r="A5308" s="335" t="s">
        <v>6455</v>
      </c>
      <c r="B5308" s="336">
        <v>46119.0</v>
      </c>
      <c r="C5308" s="335" t="s">
        <v>22</v>
      </c>
      <c r="D5308" s="335" t="s">
        <v>47</v>
      </c>
      <c r="E5308" s="337" t="str">
        <f t="shared" si="1"/>
        <v>栗本鐵工:豊通</v>
      </c>
      <c r="F5308" s="338" t="s">
        <v>105</v>
      </c>
      <c r="G5308" s="339" t="str">
        <f t="shared" si="2"/>
        <v>栗本鐵工:豊通ＨＳ３</v>
      </c>
      <c r="H5308" s="340">
        <f t="shared" si="3"/>
        <v>55.6</v>
      </c>
      <c r="I5308" s="341">
        <v>1.0</v>
      </c>
      <c r="J5308" s="332">
        <f>IFERROR(__xludf.DUMMYFUNCTION("IF(IF(COUNTIF(P$2:P5307, P5308)=0, """", INDEX(H$2:H5307,
MAX(FILTER(ROW(H$2:H5307) - ROW(H$2) + 1, P$2:P5307 = P5308))))=""単価"","""",
IF(COUNTIF(P$2:P5307, P5308)=0, """", INDEX(H$2:H5307,
MAX(FILTER(ROW(H$2:H5307) - ROW(H$2) + 1, P$2:P5307 = P5308)))))"),54.6)</f>
        <v>54.6</v>
      </c>
      <c r="N5308" s="335" t="str">
        <f>IF(MAXIFS('単価履歴'!$O:$O,'単価履歴'!$E:$E,E5308,'単価履歴'!$F:$F,F5308)=O5308,"●","")</f>
        <v/>
      </c>
      <c r="O5308" s="346">
        <v>46119.28648148148</v>
      </c>
      <c r="P5308" s="334" t="str">
        <f t="shared" si="4"/>
        <v>栗本鐵工:豊通ＨＳ３</v>
      </c>
    </row>
    <row r="5309" ht="15.75" customHeight="1">
      <c r="A5309" s="335" t="s">
        <v>6456</v>
      </c>
      <c r="B5309" s="336">
        <v>46119.0</v>
      </c>
      <c r="C5309" s="335" t="s">
        <v>22</v>
      </c>
      <c r="D5309" s="335" t="s">
        <v>47</v>
      </c>
      <c r="E5309" s="337" t="str">
        <f t="shared" si="1"/>
        <v>栗本鐵工:豊通</v>
      </c>
      <c r="F5309" s="338" t="s">
        <v>577</v>
      </c>
      <c r="G5309" s="339" t="str">
        <f t="shared" si="2"/>
        <v>栗本鐵工:豊通鋳物・ﾀﾞｸﾀｲﾙ</v>
      </c>
      <c r="H5309" s="340">
        <f t="shared" si="3"/>
        <v>55.4</v>
      </c>
      <c r="I5309" s="341">
        <v>1.0</v>
      </c>
      <c r="J5309" s="332">
        <f>IFERROR(__xludf.DUMMYFUNCTION("IF(IF(COUNTIF(P$2:P5308, P5309)=0, """", INDEX(H$2:H5308,
MAX(FILTER(ROW(H$2:H5308) - ROW(H$2) + 1, P$2:P5308 = P5309))))=""単価"","""",
IF(COUNTIF(P$2:P5308, P5309)=0, """", INDEX(H$2:H5308,
MAX(FILTER(ROW(H$2:H5308) - ROW(H$2) + 1, P$2:P5308 = P5309)))))"),54.4)</f>
        <v>54.4</v>
      </c>
      <c r="N5309" s="335" t="str">
        <f>IF(MAXIFS('単価履歴'!$O:$O,'単価履歴'!$E:$E,E5309,'単価履歴'!$F:$F,F5309)=O5309,"●","")</f>
        <v/>
      </c>
      <c r="O5309" s="346">
        <v>46119.28648148148</v>
      </c>
      <c r="P5309" s="334" t="str">
        <f t="shared" si="4"/>
        <v>栗本鐵工:豊通鋳物・ﾀﾞｸﾀｲﾙ</v>
      </c>
    </row>
    <row r="5310" ht="15.75" customHeight="1">
      <c r="A5310" s="335" t="s">
        <v>6457</v>
      </c>
      <c r="B5310" s="336">
        <v>46119.0</v>
      </c>
      <c r="C5310" s="335" t="s">
        <v>28</v>
      </c>
      <c r="D5310" s="335" t="s">
        <v>52</v>
      </c>
      <c r="E5310" s="337" t="str">
        <f t="shared" si="1"/>
        <v>ＪＦＥ条鋼:リバイブ</v>
      </c>
      <c r="F5310" s="338" t="s">
        <v>111</v>
      </c>
      <c r="G5310" s="339" t="str">
        <f t="shared" si="2"/>
        <v>ＪＦＥ条鋼:リバイブＨ１(特A)</v>
      </c>
      <c r="H5310" s="340">
        <f t="shared" si="3"/>
        <v>52.5</v>
      </c>
      <c r="I5310" s="341">
        <v>1.0</v>
      </c>
      <c r="J5310" s="332">
        <f>IFERROR(__xludf.DUMMYFUNCTION("IF(IF(COUNTIF(P$2:P5309, P5310)=0, """", INDEX(H$2:H5309,
MAX(FILTER(ROW(H$2:H5309) - ROW(H$2) + 1, P$2:P5309 = P5310))))=""単価"","""",
IF(COUNTIF(P$2:P5309, P5310)=0, """", INDEX(H$2:H5309,
MAX(FILTER(ROW(H$2:H5309) - ROW(H$2) + 1, P$2:P5309 = P5310)))))"),51.5)</f>
        <v>51.5</v>
      </c>
      <c r="N5310" s="335" t="str">
        <f>IF(MAXIFS('単価履歴'!$O:$O,'単価履歴'!$E:$E,E5310,'単価履歴'!$F:$F,F5310)=O5310,"●","")</f>
        <v/>
      </c>
      <c r="O5310" s="346">
        <v>46119.69011574074</v>
      </c>
      <c r="P5310" s="334" t="str">
        <f t="shared" si="4"/>
        <v>ＪＦＥ条鋼:リバイブＨ１(特A)</v>
      </c>
    </row>
    <row r="5311" ht="15.75" customHeight="1">
      <c r="A5311" s="335" t="s">
        <v>6458</v>
      </c>
      <c r="B5311" s="336">
        <v>46119.0</v>
      </c>
      <c r="C5311" s="335" t="s">
        <v>28</v>
      </c>
      <c r="D5311" s="335" t="s">
        <v>52</v>
      </c>
      <c r="E5311" s="337" t="str">
        <f t="shared" si="1"/>
        <v>ＪＦＥ条鋼:リバイブ</v>
      </c>
      <c r="F5311" s="338" t="s">
        <v>116</v>
      </c>
      <c r="G5311" s="339" t="str">
        <f t="shared" si="2"/>
        <v>ＪＦＥ条鋼:リバイブＨ２(特級)</v>
      </c>
      <c r="H5311" s="340">
        <f t="shared" si="3"/>
        <v>52.5</v>
      </c>
      <c r="I5311" s="341">
        <v>1.0</v>
      </c>
      <c r="J5311" s="332">
        <f>IFERROR(__xludf.DUMMYFUNCTION("IF(IF(COUNTIF(P$2:P5310, P5311)=0, """", INDEX(H$2:H5310,
MAX(FILTER(ROW(H$2:H5310) - ROW(H$2) + 1, P$2:P5310 = P5311))))=""単価"","""",
IF(COUNTIF(P$2:P5310, P5311)=0, """", INDEX(H$2:H5310,
MAX(FILTER(ROW(H$2:H5310) - ROW(H$2) + 1, P$2:P5310 = P5311)))))"),51.5)</f>
        <v>51.5</v>
      </c>
      <c r="N5311" s="335" t="str">
        <f>IF(MAXIFS('単価履歴'!$O:$O,'単価履歴'!$E:$E,E5311,'単価履歴'!$F:$F,F5311)=O5311,"●","")</f>
        <v/>
      </c>
      <c r="O5311" s="346">
        <v>46119.69011574074</v>
      </c>
      <c r="P5311" s="334" t="str">
        <f t="shared" si="4"/>
        <v>ＪＦＥ条鋼:リバイブＨ２(特級)</v>
      </c>
    </row>
    <row r="5312" ht="15.75" customHeight="1">
      <c r="A5312" s="335" t="s">
        <v>6459</v>
      </c>
      <c r="B5312" s="336">
        <v>46119.0</v>
      </c>
      <c r="C5312" s="335" t="s">
        <v>28</v>
      </c>
      <c r="D5312" s="335" t="s">
        <v>52</v>
      </c>
      <c r="E5312" s="337" t="str">
        <f t="shared" si="1"/>
        <v>ＪＦＥ条鋼:リバイブ</v>
      </c>
      <c r="F5312" s="338" t="s">
        <v>119</v>
      </c>
      <c r="G5312" s="339" t="str">
        <f t="shared" si="2"/>
        <v>ＪＦＥ条鋼:リバイブＨ３(1級)</v>
      </c>
      <c r="H5312" s="340">
        <f t="shared" si="3"/>
        <v>51.5</v>
      </c>
      <c r="I5312" s="341">
        <v>1.0</v>
      </c>
      <c r="J5312" s="332">
        <f>IFERROR(__xludf.DUMMYFUNCTION("IF(IF(COUNTIF(P$2:P5311, P5312)=0, """", INDEX(H$2:H5311,
MAX(FILTER(ROW(H$2:H5311) - ROW(H$2) + 1, P$2:P5311 = P5312))))=""単価"","""",
IF(COUNTIF(P$2:P5311, P5312)=0, """", INDEX(H$2:H5311,
MAX(FILTER(ROW(H$2:H5311) - ROW(H$2) + 1, P$2:P5311 = P5312)))))"),50.5)</f>
        <v>50.5</v>
      </c>
      <c r="N5312" s="335" t="str">
        <f>IF(MAXIFS('単価履歴'!$O:$O,'単価履歴'!$E:$E,E5312,'単価履歴'!$F:$F,F5312)=O5312,"●","")</f>
        <v/>
      </c>
      <c r="O5312" s="346">
        <v>46119.69011574074</v>
      </c>
      <c r="P5312" s="334" t="str">
        <f t="shared" si="4"/>
        <v>ＪＦＥ条鋼:リバイブＨ３(1級)</v>
      </c>
    </row>
    <row r="5313" ht="15.75" customHeight="1">
      <c r="A5313" s="335" t="s">
        <v>6460</v>
      </c>
      <c r="B5313" s="336">
        <v>46119.0</v>
      </c>
      <c r="C5313" s="335" t="s">
        <v>28</v>
      </c>
      <c r="D5313" s="335" t="s">
        <v>52</v>
      </c>
      <c r="E5313" s="337" t="str">
        <f t="shared" si="1"/>
        <v>ＪＦＥ条鋼:リバイブ</v>
      </c>
      <c r="F5313" s="338" t="s">
        <v>122</v>
      </c>
      <c r="G5313" s="339" t="str">
        <f t="shared" si="2"/>
        <v>ＪＦＥ条鋼:リバイブＬ１(2級)</v>
      </c>
      <c r="H5313" s="340">
        <f t="shared" si="3"/>
        <v>48.5</v>
      </c>
      <c r="I5313" s="341">
        <v>1.0</v>
      </c>
      <c r="J5313" s="332">
        <f>IFERROR(__xludf.DUMMYFUNCTION("IF(IF(COUNTIF(P$2:P5312, P5313)=0, """", INDEX(H$2:H5312,
MAX(FILTER(ROW(H$2:H5312) - ROW(H$2) + 1, P$2:P5312 = P5313))))=""単価"","""",
IF(COUNTIF(P$2:P5312, P5313)=0, """", INDEX(H$2:H5312,
MAX(FILTER(ROW(H$2:H5312) - ROW(H$2) + 1, P$2:P5312 = P5313)))))"),47.5)</f>
        <v>47.5</v>
      </c>
      <c r="N5313" s="335" t="str">
        <f>IF(MAXIFS('単価履歴'!$O:$O,'単価履歴'!$E:$E,E5313,'単価履歴'!$F:$F,F5313)=O5313,"●","")</f>
        <v/>
      </c>
      <c r="O5313" s="346">
        <v>46119.69011574074</v>
      </c>
      <c r="P5313" s="334" t="str">
        <f t="shared" si="4"/>
        <v>ＪＦＥ条鋼:リバイブＬ１(2級)</v>
      </c>
    </row>
    <row r="5314" ht="15.75" customHeight="1">
      <c r="A5314" s="335" t="s">
        <v>6461</v>
      </c>
      <c r="B5314" s="336">
        <v>46119.0</v>
      </c>
      <c r="C5314" s="335" t="s">
        <v>28</v>
      </c>
      <c r="D5314" s="335" t="s">
        <v>52</v>
      </c>
      <c r="E5314" s="337" t="str">
        <f t="shared" si="1"/>
        <v>ＪＦＥ条鋼:リバイブ</v>
      </c>
      <c r="F5314" s="338" t="s">
        <v>573</v>
      </c>
      <c r="G5314" s="339" t="str">
        <f t="shared" si="2"/>
        <v>ＪＦＥ条鋼:リバイブＬ２(H4･級外･L1ﾊﾞﾗ)</v>
      </c>
      <c r="H5314" s="340">
        <f t="shared" si="3"/>
        <v>41.5</v>
      </c>
      <c r="I5314" s="341">
        <v>1.0</v>
      </c>
      <c r="J5314" s="332">
        <f>IFERROR(__xludf.DUMMYFUNCTION("IF(IF(COUNTIF(P$2:P5313, P5314)=0, """", INDEX(H$2:H5313,
MAX(FILTER(ROW(H$2:H5313) - ROW(H$2) + 1, P$2:P5313 = P5314))))=""単価"","""",
IF(COUNTIF(P$2:P5313, P5314)=0, """", INDEX(H$2:H5313,
MAX(FILTER(ROW(H$2:H5313) - ROW(H$2) + 1, P$2:P5313 = P5314)))))"),40.5)</f>
        <v>40.5</v>
      </c>
      <c r="N5314" s="335" t="str">
        <f>IF(MAXIFS('単価履歴'!$O:$O,'単価履歴'!$E:$E,E5314,'単価履歴'!$F:$F,F5314)=O5314,"●","")</f>
        <v/>
      </c>
      <c r="O5314" s="346">
        <v>46119.69011574074</v>
      </c>
      <c r="P5314" s="334" t="str">
        <f t="shared" si="4"/>
        <v>ＪＦＥ条鋼:リバイブＬ２(H4･級外･L1ﾊﾞﾗ)</v>
      </c>
    </row>
    <row r="5315" ht="15.75" customHeight="1">
      <c r="A5315" s="335" t="s">
        <v>6462</v>
      </c>
      <c r="B5315" s="336">
        <v>46119.0</v>
      </c>
      <c r="C5315" s="335" t="s">
        <v>28</v>
      </c>
      <c r="D5315" s="335" t="s">
        <v>52</v>
      </c>
      <c r="E5315" s="337" t="str">
        <f t="shared" si="1"/>
        <v>ＪＦＥ条鋼:リバイブ</v>
      </c>
      <c r="F5315" s="338" t="s">
        <v>130</v>
      </c>
      <c r="G5315" s="339" t="str">
        <f t="shared" si="2"/>
        <v>ＪＦＥ条鋼:リバイブ新断Ａ</v>
      </c>
      <c r="H5315" s="340">
        <f t="shared" si="3"/>
        <v>55</v>
      </c>
      <c r="I5315" s="341">
        <v>1.0</v>
      </c>
      <c r="J5315" s="332">
        <f>IFERROR(__xludf.DUMMYFUNCTION("IF(IF(COUNTIF(P$2:P5314, P5315)=0, """", INDEX(H$2:H5314,
MAX(FILTER(ROW(H$2:H5314) - ROW(H$2) + 1, P$2:P5314 = P5315))))=""単価"","""",
IF(COUNTIF(P$2:P5314, P5315)=0, """", INDEX(H$2:H5314,
MAX(FILTER(ROW(H$2:H5314) - ROW(H$2) + 1, P$2:P5314 = P5315)))))"),54.0)</f>
        <v>54</v>
      </c>
      <c r="N5315" s="335" t="str">
        <f>IF(MAXIFS('単価履歴'!$O:$O,'単価履歴'!$E:$E,E5315,'単価履歴'!$F:$F,F5315)=O5315,"●","")</f>
        <v/>
      </c>
      <c r="O5315" s="346">
        <v>46119.69011574074</v>
      </c>
      <c r="P5315" s="334" t="str">
        <f t="shared" si="4"/>
        <v>ＪＦＥ条鋼:リバイブ新断Ａ</v>
      </c>
    </row>
    <row r="5316" ht="15.75" customHeight="1">
      <c r="A5316" s="335" t="s">
        <v>6463</v>
      </c>
      <c r="B5316" s="336">
        <v>46119.0</v>
      </c>
      <c r="C5316" s="335" t="s">
        <v>28</v>
      </c>
      <c r="D5316" s="335" t="s">
        <v>52</v>
      </c>
      <c r="E5316" s="337" t="str">
        <f t="shared" si="1"/>
        <v>ＪＦＥ条鋼:リバイブ</v>
      </c>
      <c r="F5316" s="338" t="s">
        <v>131</v>
      </c>
      <c r="G5316" s="339" t="str">
        <f t="shared" si="2"/>
        <v>ＪＦＥ条鋼:リバイブ新断Ｂ</v>
      </c>
      <c r="H5316" s="340">
        <f t="shared" si="3"/>
        <v>54</v>
      </c>
      <c r="I5316" s="341">
        <v>1.0</v>
      </c>
      <c r="J5316" s="332">
        <f>IFERROR(__xludf.DUMMYFUNCTION("IF(IF(COUNTIF(P$2:P5315, P5316)=0, """", INDEX(H$2:H5315,
MAX(FILTER(ROW(H$2:H5315) - ROW(H$2) + 1, P$2:P5315 = P5316))))=""単価"","""",
IF(COUNTIF(P$2:P5315, P5316)=0, """", INDEX(H$2:H5315,
MAX(FILTER(ROW(H$2:H5315) - ROW(H$2) + 1, P$2:P5315 = P5316)))))"),53.0)</f>
        <v>53</v>
      </c>
      <c r="N5316" s="335" t="str">
        <f>IF(MAXIFS('単価履歴'!$O:$O,'単価履歴'!$E:$E,E5316,'単価履歴'!$F:$F,F5316)=O5316,"●","")</f>
        <v/>
      </c>
      <c r="O5316" s="346">
        <v>46119.69011574074</v>
      </c>
      <c r="P5316" s="334" t="str">
        <f t="shared" si="4"/>
        <v>ＪＦＥ条鋼:リバイブ新断Ｂ</v>
      </c>
    </row>
    <row r="5317" ht="15.75" customHeight="1">
      <c r="A5317" s="335" t="s">
        <v>6464</v>
      </c>
      <c r="B5317" s="336">
        <v>46119.0</v>
      </c>
      <c r="C5317" s="335" t="s">
        <v>28</v>
      </c>
      <c r="D5317" s="335" t="s">
        <v>52</v>
      </c>
      <c r="E5317" s="337" t="str">
        <f t="shared" si="1"/>
        <v>ＪＦＥ条鋼:リバイブ</v>
      </c>
      <c r="F5317" s="338" t="s">
        <v>575</v>
      </c>
      <c r="G5317" s="339" t="str">
        <f t="shared" si="2"/>
        <v>ＪＦＥ条鋼:リバイブ鋼ダライＡ</v>
      </c>
      <c r="H5317" s="340">
        <f t="shared" si="3"/>
        <v>46.5</v>
      </c>
      <c r="I5317" s="341">
        <v>1.0</v>
      </c>
      <c r="J5317" s="332">
        <f>IFERROR(__xludf.DUMMYFUNCTION("IF(IF(COUNTIF(P$2:P5316, P5317)=0, """", INDEX(H$2:H5316,
MAX(FILTER(ROW(H$2:H5316) - ROW(H$2) + 1, P$2:P5316 = P5317))))=""単価"","""",
IF(COUNTIF(P$2:P5316, P5317)=0, """", INDEX(H$2:H5316,
MAX(FILTER(ROW(H$2:H5316) - ROW(H$2) + 1, P$2:P5316 = P5317)))))"),45.5)</f>
        <v>45.5</v>
      </c>
      <c r="N5317" s="335" t="str">
        <f>IF(MAXIFS('単価履歴'!$O:$O,'単価履歴'!$E:$E,E5317,'単価履歴'!$F:$F,F5317)=O5317,"●","")</f>
        <v/>
      </c>
      <c r="O5317" s="346">
        <v>46119.69011574074</v>
      </c>
      <c r="P5317" s="334" t="str">
        <f t="shared" si="4"/>
        <v>ＪＦＥ条鋼:リバイブ鋼ダライＡ</v>
      </c>
    </row>
    <row r="5318" ht="15.75" customHeight="1">
      <c r="A5318" s="335" t="s">
        <v>6465</v>
      </c>
      <c r="B5318" s="336">
        <v>46119.0</v>
      </c>
      <c r="C5318" s="335" t="s">
        <v>28</v>
      </c>
      <c r="D5318" s="335" t="s">
        <v>52</v>
      </c>
      <c r="E5318" s="337" t="str">
        <f t="shared" si="1"/>
        <v>ＪＦＥ条鋼:リバイブ</v>
      </c>
      <c r="F5318" s="338" t="s">
        <v>154</v>
      </c>
      <c r="G5318" s="339" t="str">
        <f t="shared" si="2"/>
        <v>ＪＦＥ条鋼:リバイブＣＰ Ａ</v>
      </c>
      <c r="H5318" s="340">
        <f t="shared" si="3"/>
        <v>53.5</v>
      </c>
      <c r="I5318" s="341">
        <v>1.0</v>
      </c>
      <c r="J5318" s="332">
        <f>IFERROR(__xludf.DUMMYFUNCTION("IF(IF(COUNTIF(P$2:P5317, P5318)=0, """", INDEX(H$2:H5317,
MAX(FILTER(ROW(H$2:H5317) - ROW(H$2) + 1, P$2:P5317 = P5318))))=""単価"","""",
IF(COUNTIF(P$2:P5317, P5318)=0, """", INDEX(H$2:H5317,
MAX(FILTER(ROW(H$2:H5317) - ROW(H$2) + 1, P$2:P5317 = P5318)))))"),52.5)</f>
        <v>52.5</v>
      </c>
      <c r="N5318" s="335" t="str">
        <f>IF(MAXIFS('単価履歴'!$O:$O,'単価履歴'!$E:$E,E5318,'単価履歴'!$F:$F,F5318)=O5318,"●","")</f>
        <v/>
      </c>
      <c r="O5318" s="346">
        <v>46119.69011574074</v>
      </c>
      <c r="P5318" s="334" t="str">
        <f t="shared" si="4"/>
        <v>ＪＦＥ条鋼:リバイブＣＰ Ａ</v>
      </c>
    </row>
    <row r="5319" ht="15.75" customHeight="1">
      <c r="A5319" s="335" t="s">
        <v>6466</v>
      </c>
      <c r="B5319" s="336">
        <v>46119.0</v>
      </c>
      <c r="C5319" s="335" t="s">
        <v>32</v>
      </c>
      <c r="D5319" s="335" t="s">
        <v>52</v>
      </c>
      <c r="E5319" s="337" t="str">
        <f t="shared" si="1"/>
        <v>泉北大都:リバイブ</v>
      </c>
      <c r="F5319" s="338" t="s">
        <v>116</v>
      </c>
      <c r="G5319" s="339" t="str">
        <f t="shared" si="2"/>
        <v>泉北大都:リバイブＨ２(特級)</v>
      </c>
      <c r="H5319" s="340">
        <f t="shared" si="3"/>
        <v>52</v>
      </c>
      <c r="I5319" s="341">
        <v>1.0</v>
      </c>
      <c r="J5319" s="332">
        <f>IFERROR(__xludf.DUMMYFUNCTION("IF(IF(COUNTIF(P$2:P5318, P5319)=0, """", INDEX(H$2:H5318,
MAX(FILTER(ROW(H$2:H5318) - ROW(H$2) + 1, P$2:P5318 = P5319))))=""単価"","""",
IF(COUNTIF(P$2:P5318, P5319)=0, """", INDEX(H$2:H5318,
MAX(FILTER(ROW(H$2:H5318) - ROW(H$2) + 1, P$2:P5318 = P5319)))))"),51.0)</f>
        <v>51</v>
      </c>
      <c r="N5319" s="335" t="str">
        <f>IF(MAXIFS('単価履歴'!$O:$O,'単価履歴'!$E:$E,E5319,'単価履歴'!$F:$F,F5319)=O5319,"●","")</f>
        <v/>
      </c>
      <c r="O5319" s="346">
        <v>46119.690625</v>
      </c>
      <c r="P5319" s="334" t="str">
        <f t="shared" si="4"/>
        <v>泉北大都:リバイブＨ２(特級)</v>
      </c>
    </row>
    <row r="5320" ht="15.75" customHeight="1">
      <c r="A5320" s="335" t="s">
        <v>6467</v>
      </c>
      <c r="B5320" s="336">
        <v>46119.0</v>
      </c>
      <c r="C5320" s="335" t="s">
        <v>31</v>
      </c>
      <c r="D5320" s="335" t="s">
        <v>47</v>
      </c>
      <c r="E5320" s="337" t="str">
        <f t="shared" si="1"/>
        <v>泉北中谷:豊通</v>
      </c>
      <c r="F5320" s="338" t="s">
        <v>130</v>
      </c>
      <c r="G5320" s="339" t="str">
        <f t="shared" si="2"/>
        <v>泉北中谷:豊通新断Ａ</v>
      </c>
      <c r="H5320" s="340">
        <f t="shared" si="3"/>
        <v>55.5</v>
      </c>
      <c r="I5320" s="341">
        <v>1.0</v>
      </c>
      <c r="J5320" s="332">
        <f>IFERROR(__xludf.DUMMYFUNCTION("IF(IF(COUNTIF(P$2:P5319, P5320)=0, """", INDEX(H$2:H5319,
MAX(FILTER(ROW(H$2:H5319) - ROW(H$2) + 1, P$2:P5319 = P5320))))=""単価"","""",
IF(COUNTIF(P$2:P5319, P5320)=0, """", INDEX(H$2:H5319,
MAX(FILTER(ROW(H$2:H5319) - ROW(H$2) + 1, P$2:P5319 = P5320)))))"),54.5)</f>
        <v>54.5</v>
      </c>
      <c r="N5320" s="335" t="str">
        <f>IF(MAXIFS('単価履歴'!$O:$O,'単価履歴'!$E:$E,E5320,'単価履歴'!$F:$F,F5320)=O5320,"●","")</f>
        <v/>
      </c>
      <c r="O5320" s="346">
        <v>46119.690833333334</v>
      </c>
      <c r="P5320" s="334" t="str">
        <f t="shared" si="4"/>
        <v>泉北中谷:豊通新断Ａ</v>
      </c>
    </row>
    <row r="5321" ht="15.75" customHeight="1">
      <c r="A5321" s="335" t="s">
        <v>6468</v>
      </c>
      <c r="B5321" s="336">
        <v>46119.0</v>
      </c>
      <c r="C5321" s="335" t="s">
        <v>34</v>
      </c>
      <c r="D5321" s="335" t="s">
        <v>48</v>
      </c>
      <c r="E5321" s="337" t="str">
        <f t="shared" si="1"/>
        <v>ﾆｭｰｽｺﾝ尼崎:ナベ</v>
      </c>
      <c r="F5321" s="338" t="s">
        <v>130</v>
      </c>
      <c r="G5321" s="339" t="str">
        <f t="shared" si="2"/>
        <v>ﾆｭｰｽｺﾝ尼崎:ナベ新断Ａ</v>
      </c>
      <c r="H5321" s="340">
        <f t="shared" si="3"/>
        <v>56.5</v>
      </c>
      <c r="I5321" s="341">
        <v>1.0</v>
      </c>
      <c r="J5321" s="332">
        <f>IFERROR(__xludf.DUMMYFUNCTION("IF(IF(COUNTIF(P$2:P5320, P5321)=0, """", INDEX(H$2:H5320,
MAX(FILTER(ROW(H$2:H5320) - ROW(H$2) + 1, P$2:P5320 = P5321))))=""単価"","""",
IF(COUNTIF(P$2:P5320, P5321)=0, """", INDEX(H$2:H5320,
MAX(FILTER(ROW(H$2:H5320) - ROW(H$2) + 1, P$2:P5320 = P5321)))))"),55.5)</f>
        <v>55.5</v>
      </c>
      <c r="N5321" s="335" t="str">
        <f>IF(MAXIFS('単価履歴'!$O:$O,'単価履歴'!$E:$E,E5321,'単価履歴'!$F:$F,F5321)=O5321,"●","")</f>
        <v/>
      </c>
      <c r="O5321" s="346">
        <v>46119.69158564815</v>
      </c>
      <c r="P5321" s="334" t="str">
        <f t="shared" si="4"/>
        <v>ﾆｭｰｽｺﾝ尼崎:ナベ新断Ａ</v>
      </c>
    </row>
    <row r="5322" ht="15.75" customHeight="1">
      <c r="A5322" s="335" t="s">
        <v>6469</v>
      </c>
      <c r="B5322" s="336">
        <v>46119.0</v>
      </c>
      <c r="C5322" s="335" t="s">
        <v>31</v>
      </c>
      <c r="D5322" s="335" t="s">
        <v>64</v>
      </c>
      <c r="E5322" s="337" t="str">
        <f t="shared" si="1"/>
        <v>泉北中谷:ナベ双葉</v>
      </c>
      <c r="F5322" s="338" t="s">
        <v>130</v>
      </c>
      <c r="G5322" s="339" t="str">
        <f t="shared" si="2"/>
        <v>泉北中谷:ナベ双葉新断Ａ</v>
      </c>
      <c r="H5322" s="340">
        <f t="shared" si="3"/>
        <v>57</v>
      </c>
      <c r="I5322" s="341">
        <v>11.0</v>
      </c>
      <c r="J5322" s="332">
        <f>IFERROR(__xludf.DUMMYFUNCTION("IF(IF(COUNTIF(P$2:P5321, P5322)=0, """", INDEX(H$2:H5321,
MAX(FILTER(ROW(H$2:H5321) - ROW(H$2) + 1, P$2:P5321 = P5322))))=""単価"","""",
IF(COUNTIF(P$2:P5321, P5322)=0, """", INDEX(H$2:H5321,
MAX(FILTER(ROW(H$2:H5321) - ROW(H$2) + 1, P$2:P5321 = P5322)))))"),46.0)</f>
        <v>46</v>
      </c>
      <c r="N5322" s="335" t="str">
        <f>IF(MAXIFS('単価履歴'!$O:$O,'単価履歴'!$E:$E,E5322,'単価履歴'!$F:$F,F5322)=O5322,"●","")</f>
        <v/>
      </c>
      <c r="O5322" s="346">
        <v>46119.69201388889</v>
      </c>
      <c r="P5322" s="334" t="str">
        <f t="shared" si="4"/>
        <v>泉北中谷:ナベ双葉新断Ａ</v>
      </c>
    </row>
    <row r="5323" ht="15.75" customHeight="1">
      <c r="A5323" s="335" t="s">
        <v>6470</v>
      </c>
      <c r="B5323" s="336">
        <v>46119.0</v>
      </c>
      <c r="C5323" s="335" t="s">
        <v>22</v>
      </c>
      <c r="D5323" s="335" t="s">
        <v>47</v>
      </c>
      <c r="E5323" s="337" t="str">
        <f t="shared" si="1"/>
        <v>栗本鐵工:豊通</v>
      </c>
      <c r="F5323" s="338" t="s">
        <v>1199</v>
      </c>
      <c r="G5323" s="339" t="str">
        <f t="shared" si="2"/>
        <v>栗本鐵工:豊通ＨＳ１(単体H1/電特A/HS))</v>
      </c>
      <c r="H5323" s="340">
        <f t="shared" si="3"/>
        <v>57.8</v>
      </c>
      <c r="I5323" s="341">
        <v>1.0</v>
      </c>
      <c r="J5323" s="332">
        <f>IFERROR(__xludf.DUMMYFUNCTION("IF(IF(COUNTIF(P$2:P5322, P5323)=0, """", INDEX(H$2:H5322,
MAX(FILTER(ROW(H$2:H5322) - ROW(H$2) + 1, P$2:P5322 = P5323))))=""単価"","""",
IF(COUNTIF(P$2:P5322, P5323)=0, """", INDEX(H$2:H5322,
MAX(FILTER(ROW(H$2:H5322) - ROW(H$2) + 1, P$2:P5322 = P5323)))))"),56.8)</f>
        <v>56.8</v>
      </c>
      <c r="N5323" s="335" t="str">
        <f>IF(MAXIFS('単価履歴'!$O:$O,'単価履歴'!$E:$E,E5323,'単価履歴'!$F:$F,F5323)=O5323,"●","")</f>
        <v/>
      </c>
      <c r="O5323" s="346">
        <v>46119.68943287037</v>
      </c>
      <c r="P5323" s="334" t="str">
        <f t="shared" si="4"/>
        <v>栗本鐵工:豊通ＨＳ１(単体H1/電特A/HS))</v>
      </c>
    </row>
    <row r="5324" ht="15.75" customHeight="1">
      <c r="A5324" s="335" t="s">
        <v>6471</v>
      </c>
      <c r="B5324" s="336">
        <v>46119.0</v>
      </c>
      <c r="C5324" s="335" t="s">
        <v>22</v>
      </c>
      <c r="D5324" s="335" t="s">
        <v>47</v>
      </c>
      <c r="E5324" s="337" t="str">
        <f t="shared" si="1"/>
        <v>栗本鐵工:豊通</v>
      </c>
      <c r="F5324" s="338" t="s">
        <v>101</v>
      </c>
      <c r="G5324" s="339" t="str">
        <f t="shared" si="2"/>
        <v>栗本鐵工:豊通ＨＳ２</v>
      </c>
      <c r="H5324" s="340">
        <f t="shared" si="3"/>
        <v>57.5</v>
      </c>
      <c r="I5324" s="341">
        <v>1.0</v>
      </c>
      <c r="J5324" s="332">
        <f>IFERROR(__xludf.DUMMYFUNCTION("IF(IF(COUNTIF(P$2:P5323, P5324)=0, """", INDEX(H$2:H5323,
MAX(FILTER(ROW(H$2:H5323) - ROW(H$2) + 1, P$2:P5323 = P5324))))=""単価"","""",
IF(COUNTIF(P$2:P5323, P5324)=0, """", INDEX(H$2:H5323,
MAX(FILTER(ROW(H$2:H5323) - ROW(H$2) + 1, P$2:P5323 = P5324)))))"),56.5)</f>
        <v>56.5</v>
      </c>
      <c r="N5324" s="335" t="str">
        <f>IF(MAXIFS('単価履歴'!$O:$O,'単価履歴'!$E:$E,E5324,'単価履歴'!$F:$F,F5324)=O5324,"●","")</f>
        <v/>
      </c>
      <c r="O5324" s="346">
        <v>46119.68943287037</v>
      </c>
      <c r="P5324" s="334" t="str">
        <f t="shared" si="4"/>
        <v>栗本鐵工:豊通ＨＳ２</v>
      </c>
    </row>
    <row r="5325" ht="15.75" customHeight="1">
      <c r="A5325" s="335" t="s">
        <v>6472</v>
      </c>
      <c r="B5325" s="336">
        <v>46119.0</v>
      </c>
      <c r="C5325" s="335" t="s">
        <v>22</v>
      </c>
      <c r="D5325" s="335" t="s">
        <v>47</v>
      </c>
      <c r="E5325" s="337" t="str">
        <f t="shared" si="1"/>
        <v>栗本鐵工:豊通</v>
      </c>
      <c r="F5325" s="338" t="s">
        <v>105</v>
      </c>
      <c r="G5325" s="339" t="str">
        <f t="shared" si="2"/>
        <v>栗本鐵工:豊通ＨＳ３</v>
      </c>
      <c r="H5325" s="340">
        <f t="shared" si="3"/>
        <v>56.6</v>
      </c>
      <c r="I5325" s="341">
        <v>1.0</v>
      </c>
      <c r="J5325" s="332">
        <f>IFERROR(__xludf.DUMMYFUNCTION("IF(IF(COUNTIF(P$2:P5324, P5325)=0, """", INDEX(H$2:H5324,
MAX(FILTER(ROW(H$2:H5324) - ROW(H$2) + 1, P$2:P5324 = P5325))))=""単価"","""",
IF(COUNTIF(P$2:P5324, P5325)=0, """", INDEX(H$2:H5324,
MAX(FILTER(ROW(H$2:H5324) - ROW(H$2) + 1, P$2:P5324 = P5325)))))"),55.6)</f>
        <v>55.6</v>
      </c>
      <c r="N5325" s="335" t="str">
        <f>IF(MAXIFS('単価履歴'!$O:$O,'単価履歴'!$E:$E,E5325,'単価履歴'!$F:$F,F5325)=O5325,"●","")</f>
        <v/>
      </c>
      <c r="O5325" s="346">
        <v>46119.68943287037</v>
      </c>
      <c r="P5325" s="334" t="str">
        <f t="shared" si="4"/>
        <v>栗本鐵工:豊通ＨＳ３</v>
      </c>
    </row>
    <row r="5326" ht="15.75" customHeight="1">
      <c r="A5326" s="335" t="s">
        <v>6473</v>
      </c>
      <c r="B5326" s="336">
        <v>46119.0</v>
      </c>
      <c r="C5326" s="335" t="s">
        <v>22</v>
      </c>
      <c r="D5326" s="335" t="s">
        <v>47</v>
      </c>
      <c r="E5326" s="337" t="str">
        <f t="shared" si="1"/>
        <v>栗本鐵工:豊通</v>
      </c>
      <c r="F5326" s="338" t="s">
        <v>577</v>
      </c>
      <c r="G5326" s="339" t="str">
        <f t="shared" si="2"/>
        <v>栗本鐵工:豊通鋳物・ﾀﾞｸﾀｲﾙ</v>
      </c>
      <c r="H5326" s="340">
        <f t="shared" si="3"/>
        <v>56.4</v>
      </c>
      <c r="I5326" s="341">
        <v>1.0</v>
      </c>
      <c r="J5326" s="332">
        <f>IFERROR(__xludf.DUMMYFUNCTION("IF(IF(COUNTIF(P$2:P5325, P5326)=0, """", INDEX(H$2:H5325,
MAX(FILTER(ROW(H$2:H5325) - ROW(H$2) + 1, P$2:P5325 = P5326))))=""単価"","""",
IF(COUNTIF(P$2:P5325, P5326)=0, """", INDEX(H$2:H5325,
MAX(FILTER(ROW(H$2:H5325) - ROW(H$2) + 1, P$2:P5325 = P5326)))))"),55.4)</f>
        <v>55.4</v>
      </c>
      <c r="N5326" s="335" t="str">
        <f>IF(MAXIFS('単価履歴'!$O:$O,'単価履歴'!$E:$E,E5326,'単価履歴'!$F:$F,F5326)=O5326,"●","")</f>
        <v/>
      </c>
      <c r="O5326" s="346">
        <v>46119.68943287037</v>
      </c>
      <c r="P5326" s="334" t="str">
        <f t="shared" si="4"/>
        <v>栗本鐵工:豊通鋳物・ﾀﾞｸﾀｲﾙ</v>
      </c>
    </row>
    <row r="5327" ht="15.75" customHeight="1">
      <c r="A5327" s="335" t="s">
        <v>6474</v>
      </c>
      <c r="B5327" s="336">
        <v>46119.0</v>
      </c>
      <c r="C5327" s="335" t="s">
        <v>22</v>
      </c>
      <c r="D5327" s="335" t="s">
        <v>47</v>
      </c>
      <c r="E5327" s="337" t="str">
        <f t="shared" si="1"/>
        <v>栗本鐵工:豊通</v>
      </c>
      <c r="F5327" s="338" t="s">
        <v>1199</v>
      </c>
      <c r="G5327" s="339" t="str">
        <f t="shared" si="2"/>
        <v>栗本鐵工:豊通ＨＳ１(単体H1/電特A/HS))</v>
      </c>
      <c r="H5327" s="340">
        <f t="shared" si="3"/>
        <v>56.8</v>
      </c>
      <c r="I5327" s="341">
        <v>-1.0</v>
      </c>
      <c r="J5327" s="332">
        <f>IFERROR(__xludf.DUMMYFUNCTION("IF(IF(COUNTIF(P$2:P5326, P5327)=0, """", INDEX(H$2:H5326,
MAX(FILTER(ROW(H$2:H5326) - ROW(H$2) + 1, P$2:P5326 = P5327))))=""単価"","""",
IF(COUNTIF(P$2:P5326, P5327)=0, """", INDEX(H$2:H5326,
MAX(FILTER(ROW(H$2:H5326) - ROW(H$2) + 1, P$2:P5326 = P5327)))))"),57.8)</f>
        <v>57.8</v>
      </c>
      <c r="N5327" s="335" t="str">
        <f>IF(MAXIFS('単価履歴'!$O:$O,'単価履歴'!$E:$E,E5327,'単価履歴'!$F:$F,F5327)=O5327,"●","")</f>
        <v/>
      </c>
      <c r="O5327" s="346">
        <v>46119.699421296296</v>
      </c>
      <c r="P5327" s="334" t="str">
        <f t="shared" si="4"/>
        <v>栗本鐵工:豊通ＨＳ１(単体H1/電特A/HS))</v>
      </c>
    </row>
    <row r="5328" ht="15.75" customHeight="1">
      <c r="A5328" s="335" t="s">
        <v>6475</v>
      </c>
      <c r="B5328" s="336">
        <v>46119.0</v>
      </c>
      <c r="C5328" s="335" t="s">
        <v>22</v>
      </c>
      <c r="D5328" s="335" t="s">
        <v>47</v>
      </c>
      <c r="E5328" s="337" t="str">
        <f t="shared" si="1"/>
        <v>栗本鐵工:豊通</v>
      </c>
      <c r="F5328" s="338" t="s">
        <v>101</v>
      </c>
      <c r="G5328" s="339" t="str">
        <f t="shared" si="2"/>
        <v>栗本鐵工:豊通ＨＳ２</v>
      </c>
      <c r="H5328" s="340">
        <f t="shared" si="3"/>
        <v>56.5</v>
      </c>
      <c r="I5328" s="341">
        <v>-1.0</v>
      </c>
      <c r="J5328" s="332">
        <f>IFERROR(__xludf.DUMMYFUNCTION("IF(IF(COUNTIF(P$2:P5327, P5328)=0, """", INDEX(H$2:H5327,
MAX(FILTER(ROW(H$2:H5327) - ROW(H$2) + 1, P$2:P5327 = P5328))))=""単価"","""",
IF(COUNTIF(P$2:P5327, P5328)=0, """", INDEX(H$2:H5327,
MAX(FILTER(ROW(H$2:H5327) - ROW(H$2) + 1, P$2:P5327 = P5328)))))"),57.5)</f>
        <v>57.5</v>
      </c>
      <c r="N5328" s="335" t="str">
        <f>IF(MAXIFS('単価履歴'!$O:$O,'単価履歴'!$E:$E,E5328,'単価履歴'!$F:$F,F5328)=O5328,"●","")</f>
        <v/>
      </c>
      <c r="O5328" s="346">
        <v>46119.699421296296</v>
      </c>
      <c r="P5328" s="334" t="str">
        <f t="shared" si="4"/>
        <v>栗本鐵工:豊通ＨＳ２</v>
      </c>
    </row>
    <row r="5329" ht="15.75" customHeight="1">
      <c r="A5329" s="335" t="s">
        <v>6476</v>
      </c>
      <c r="B5329" s="336">
        <v>46119.0</v>
      </c>
      <c r="C5329" s="335" t="s">
        <v>22</v>
      </c>
      <c r="D5329" s="335" t="s">
        <v>47</v>
      </c>
      <c r="E5329" s="337" t="str">
        <f t="shared" si="1"/>
        <v>栗本鐵工:豊通</v>
      </c>
      <c r="F5329" s="338" t="s">
        <v>105</v>
      </c>
      <c r="G5329" s="339" t="str">
        <f t="shared" si="2"/>
        <v>栗本鐵工:豊通ＨＳ３</v>
      </c>
      <c r="H5329" s="340">
        <f t="shared" si="3"/>
        <v>55.6</v>
      </c>
      <c r="I5329" s="341">
        <v>-1.0</v>
      </c>
      <c r="J5329" s="332">
        <f>IFERROR(__xludf.DUMMYFUNCTION("IF(IF(COUNTIF(P$2:P5328, P5329)=0, """", INDEX(H$2:H5328,
MAX(FILTER(ROW(H$2:H5328) - ROW(H$2) + 1, P$2:P5328 = P5329))))=""単価"","""",
IF(COUNTIF(P$2:P5328, P5329)=0, """", INDEX(H$2:H5328,
MAX(FILTER(ROW(H$2:H5328) - ROW(H$2) + 1, P$2:P5328 = P5329)))))"),56.6)</f>
        <v>56.6</v>
      </c>
      <c r="N5329" s="335" t="str">
        <f>IF(MAXIFS('単価履歴'!$O:$O,'単価履歴'!$E:$E,E5329,'単価履歴'!$F:$F,F5329)=O5329,"●","")</f>
        <v/>
      </c>
      <c r="O5329" s="346">
        <v>46119.699421296296</v>
      </c>
      <c r="P5329" s="334" t="str">
        <f t="shared" si="4"/>
        <v>栗本鐵工:豊通ＨＳ３</v>
      </c>
    </row>
    <row r="5330" ht="15.75" customHeight="1">
      <c r="A5330" s="335" t="s">
        <v>6477</v>
      </c>
      <c r="B5330" s="336">
        <v>46119.0</v>
      </c>
      <c r="C5330" s="335" t="s">
        <v>22</v>
      </c>
      <c r="D5330" s="335" t="s">
        <v>47</v>
      </c>
      <c r="E5330" s="337" t="str">
        <f t="shared" si="1"/>
        <v>栗本鐵工:豊通</v>
      </c>
      <c r="F5330" s="338" t="s">
        <v>577</v>
      </c>
      <c r="G5330" s="339" t="str">
        <f t="shared" si="2"/>
        <v>栗本鐵工:豊通鋳物・ﾀﾞｸﾀｲﾙ</v>
      </c>
      <c r="H5330" s="340">
        <f t="shared" si="3"/>
        <v>55.4</v>
      </c>
      <c r="I5330" s="341">
        <v>-1.0</v>
      </c>
      <c r="J5330" s="332">
        <f>IFERROR(__xludf.DUMMYFUNCTION("IF(IF(COUNTIF(P$2:P5329, P5330)=0, """", INDEX(H$2:H5329,
MAX(FILTER(ROW(H$2:H5329) - ROW(H$2) + 1, P$2:P5329 = P5330))))=""単価"","""",
IF(COUNTIF(P$2:P5329, P5330)=0, """", INDEX(H$2:H5329,
MAX(FILTER(ROW(H$2:H5329) - ROW(H$2) + 1, P$2:P5329 = P5330)))))"),56.4)</f>
        <v>56.4</v>
      </c>
      <c r="N5330" s="335" t="str">
        <f>IF(MAXIFS('単価履歴'!$O:$O,'単価履歴'!$E:$E,E5330,'単価履歴'!$F:$F,F5330)=O5330,"●","")</f>
        <v/>
      </c>
      <c r="O5330" s="346">
        <v>46119.699421296296</v>
      </c>
      <c r="P5330" s="334" t="str">
        <f t="shared" si="4"/>
        <v>栗本鐵工:豊通鋳物・ﾀﾞｸﾀｲﾙ</v>
      </c>
    </row>
    <row r="5331" ht="15.75" customHeight="1">
      <c r="A5331" s="335" t="s">
        <v>6478</v>
      </c>
      <c r="B5331" s="336">
        <v>46120.0</v>
      </c>
      <c r="C5331" s="335" t="s">
        <v>6</v>
      </c>
      <c r="D5331" s="335" t="s">
        <v>48</v>
      </c>
      <c r="E5331" s="337" t="str">
        <f t="shared" si="1"/>
        <v>中山鋼業:ナベ</v>
      </c>
      <c r="F5331" s="338" t="s">
        <v>116</v>
      </c>
      <c r="G5331" s="339" t="str">
        <f t="shared" si="2"/>
        <v>中山鋼業:ナベＨ２(特級)</v>
      </c>
      <c r="H5331" s="340">
        <f t="shared" si="3"/>
        <v>51.5</v>
      </c>
      <c r="I5331" s="341">
        <v>0.5</v>
      </c>
      <c r="J5331" s="332">
        <f>IFERROR(__xludf.DUMMYFUNCTION("IF(IF(COUNTIF(P$2:P5330, P5331)=0, """", INDEX(H$2:H5330,
MAX(FILTER(ROW(H$2:H5330) - ROW(H$2) + 1, P$2:P5330 = P5331))))=""単価"","""",
IF(COUNTIF(P$2:P5330, P5331)=0, """", INDEX(H$2:H5330,
MAX(FILTER(ROW(H$2:H5330) - ROW(H$2) + 1, P$2:P5330 = P5331)))))"),51.0)</f>
        <v>51</v>
      </c>
      <c r="N5331" s="335" t="str">
        <f>IF(MAXIFS('単価履歴'!$O:$O,'単価履歴'!$E:$E,E5331,'単価履歴'!$F:$F,F5331)=O5331,"●","")</f>
        <v/>
      </c>
      <c r="O5331" s="346">
        <v>46119.77804398148</v>
      </c>
      <c r="P5331" s="334" t="str">
        <f t="shared" si="4"/>
        <v>中山鋼業:ナベＨ２(特級)</v>
      </c>
    </row>
    <row r="5332" ht="15.75" customHeight="1">
      <c r="A5332" s="335" t="s">
        <v>6479</v>
      </c>
      <c r="B5332" s="336">
        <v>46119.0</v>
      </c>
      <c r="C5332" s="335" t="s">
        <v>6</v>
      </c>
      <c r="D5332" s="335" t="s">
        <v>48</v>
      </c>
      <c r="E5332" s="337" t="str">
        <f t="shared" si="1"/>
        <v>中山鋼業:ナベ</v>
      </c>
      <c r="F5332" s="338" t="s">
        <v>119</v>
      </c>
      <c r="G5332" s="339" t="str">
        <f t="shared" si="2"/>
        <v>中山鋼業:ナベＨ３(1級)</v>
      </c>
      <c r="H5332" s="340">
        <f t="shared" si="3"/>
        <v>51</v>
      </c>
      <c r="I5332" s="341">
        <v>1.5</v>
      </c>
      <c r="J5332" s="332">
        <f>IFERROR(__xludf.DUMMYFUNCTION("IF(IF(COUNTIF(P$2:P5331, P5332)=0, """", INDEX(H$2:H5331,
MAX(FILTER(ROW(H$2:H5331) - ROW(H$2) + 1, P$2:P5331 = P5332))))=""単価"","""",
IF(COUNTIF(P$2:P5331, P5332)=0, """", INDEX(H$2:H5331,
MAX(FILTER(ROW(H$2:H5331) - ROW(H$2) + 1, P$2:P5331 = P5332)))))"),49.5)</f>
        <v>49.5</v>
      </c>
      <c r="N5332" s="335" t="str">
        <f>IF(MAXIFS('単価履歴'!$O:$O,'単価履歴'!$E:$E,E5332,'単価履歴'!$F:$F,F5332)=O5332,"●","")</f>
        <v/>
      </c>
      <c r="O5332" s="346">
        <v>46119.77835648148</v>
      </c>
      <c r="P5332" s="334" t="str">
        <f t="shared" si="4"/>
        <v>中山鋼業:ナベＨ３(1級)</v>
      </c>
    </row>
    <row r="5333" ht="15.75" customHeight="1">
      <c r="A5333" s="335" t="s">
        <v>6480</v>
      </c>
      <c r="B5333" s="336">
        <v>46119.0</v>
      </c>
      <c r="C5333" s="335" t="s">
        <v>6</v>
      </c>
      <c r="D5333" s="335" t="s">
        <v>48</v>
      </c>
      <c r="E5333" s="337" t="str">
        <f t="shared" si="1"/>
        <v>中山鋼業:ナベ</v>
      </c>
      <c r="F5333" s="338" t="s">
        <v>122</v>
      </c>
      <c r="G5333" s="339" t="str">
        <f t="shared" si="2"/>
        <v>中山鋼業:ナベＬ１(2級)</v>
      </c>
      <c r="H5333" s="340">
        <f t="shared" si="3"/>
        <v>50.5</v>
      </c>
      <c r="I5333" s="341">
        <v>1.5</v>
      </c>
      <c r="J5333" s="332">
        <f>IFERROR(__xludf.DUMMYFUNCTION("IF(IF(COUNTIF(P$2:P5332, P5333)=0, """", INDEX(H$2:H5332,
MAX(FILTER(ROW(H$2:H5332) - ROW(H$2) + 1, P$2:P5332 = P5333))))=""単価"","""",
IF(COUNTIF(P$2:P5332, P5333)=0, """", INDEX(H$2:H5332,
MAX(FILTER(ROW(H$2:H5332) - ROW(H$2) + 1, P$2:P5332 = P5333)))))"),49.0)</f>
        <v>49</v>
      </c>
      <c r="N5333" s="335" t="str">
        <f>IF(MAXIFS('単価履歴'!$O:$O,'単価履歴'!$E:$E,E5333,'単価履歴'!$F:$F,F5333)=O5333,"●","")</f>
        <v/>
      </c>
      <c r="O5333" s="346">
        <v>46119.77835648148</v>
      </c>
      <c r="P5333" s="334" t="str">
        <f t="shared" si="4"/>
        <v>中山鋼業:ナベＬ１(2級)</v>
      </c>
    </row>
    <row r="5334" ht="15.75" customHeight="1">
      <c r="A5334" s="335" t="s">
        <v>6481</v>
      </c>
      <c r="B5334" s="336">
        <v>46120.0</v>
      </c>
      <c r="C5334" s="335" t="s">
        <v>6</v>
      </c>
      <c r="D5334" s="335" t="s">
        <v>48</v>
      </c>
      <c r="E5334" s="337" t="str">
        <f t="shared" si="1"/>
        <v>中山鋼業:ナベ</v>
      </c>
      <c r="F5334" s="338" t="s">
        <v>575</v>
      </c>
      <c r="G5334" s="339" t="str">
        <f t="shared" si="2"/>
        <v>中山鋼業:ナベ鋼ダライＡ</v>
      </c>
      <c r="H5334" s="340">
        <f t="shared" si="3"/>
        <v>41.7</v>
      </c>
      <c r="I5334" s="341">
        <v>1.0</v>
      </c>
      <c r="J5334" s="332">
        <f>IFERROR(__xludf.DUMMYFUNCTION("IF(IF(COUNTIF(P$2:P5333, P5334)=0, """", INDEX(H$2:H5333,
MAX(FILTER(ROW(H$2:H5333) - ROW(H$2) + 1, P$2:P5333 = P5334))))=""単価"","""",
IF(COUNTIF(P$2:P5333, P5334)=0, """", INDEX(H$2:H5333,
MAX(FILTER(ROW(H$2:H5333) - ROW(H$2) + 1, P$2:P5333 = P5334)))))"),40.7)</f>
        <v>40.7</v>
      </c>
      <c r="N5334" s="335" t="str">
        <f>IF(MAXIFS('単価履歴'!$O:$O,'単価履歴'!$E:$E,E5334,'単価履歴'!$F:$F,F5334)=O5334,"●","")</f>
        <v/>
      </c>
      <c r="O5334" s="346">
        <v>46119.77866898148</v>
      </c>
      <c r="P5334" s="334" t="str">
        <f t="shared" si="4"/>
        <v>中山鋼業:ナベ鋼ダライＡ</v>
      </c>
    </row>
    <row r="5335" ht="15.75" customHeight="1">
      <c r="A5335" s="335" t="s">
        <v>6482</v>
      </c>
      <c r="B5335" s="336">
        <v>46120.0</v>
      </c>
      <c r="C5335" s="335" t="s">
        <v>6</v>
      </c>
      <c r="D5335" s="335" t="s">
        <v>48</v>
      </c>
      <c r="E5335" s="337" t="str">
        <f t="shared" si="1"/>
        <v>中山鋼業:ナベ</v>
      </c>
      <c r="F5335" s="338" t="s">
        <v>130</v>
      </c>
      <c r="G5335" s="339" t="str">
        <f t="shared" si="2"/>
        <v>中山鋼業:ナベ新断Ａ</v>
      </c>
      <c r="H5335" s="340">
        <f t="shared" si="3"/>
        <v>8</v>
      </c>
      <c r="I5335" s="341">
        <v>0.5</v>
      </c>
      <c r="J5335" s="332">
        <f>IFERROR(__xludf.DUMMYFUNCTION("IF(IF(COUNTIF(P$2:P5334, P5335)=0, """", INDEX(H$2:H5334,
MAX(FILTER(ROW(H$2:H5334) - ROW(H$2) + 1, P$2:P5334 = P5335))))=""単価"","""",
IF(COUNTIF(P$2:P5334, P5335)=0, """", INDEX(H$2:H5334,
MAX(FILTER(ROW(H$2:H5334) - ROW(H$2) + 1, P$2:P5334 = P5335)))))"),7.5)</f>
        <v>7.5</v>
      </c>
      <c r="N5335" s="335" t="str">
        <f>IF(MAXIFS('単価履歴'!$O:$O,'単価履歴'!$E:$E,E5335,'単価履歴'!$F:$F,F5335)=O5335,"●","")</f>
        <v/>
      </c>
      <c r="O5335" s="346">
        <v>46119.77894675926</v>
      </c>
      <c r="P5335" s="334" t="str">
        <f t="shared" si="4"/>
        <v>中山鋼業:ナベ新断Ａ</v>
      </c>
    </row>
    <row r="5336" ht="15.75" customHeight="1">
      <c r="A5336" s="335" t="s">
        <v>6483</v>
      </c>
      <c r="B5336" s="336">
        <v>46120.0</v>
      </c>
      <c r="C5336" s="335" t="s">
        <v>6</v>
      </c>
      <c r="D5336" s="335" t="s">
        <v>48</v>
      </c>
      <c r="E5336" s="337" t="str">
        <f t="shared" si="1"/>
        <v>中山鋼業:ナベ</v>
      </c>
      <c r="F5336" s="338" t="s">
        <v>573</v>
      </c>
      <c r="G5336" s="339" t="str">
        <f t="shared" si="2"/>
        <v>中山鋼業:ナベＬ２(H4･級外･L1ﾊﾞﾗ)</v>
      </c>
      <c r="H5336" s="340">
        <f t="shared" si="3"/>
        <v>45.5</v>
      </c>
      <c r="I5336" s="341">
        <v>0.5</v>
      </c>
      <c r="J5336" s="332">
        <f>IFERROR(__xludf.DUMMYFUNCTION("IF(IF(COUNTIF(P$2:P5335, P5336)=0, """", INDEX(H$2:H5335,
MAX(FILTER(ROW(H$2:H5335) - ROW(H$2) + 1, P$2:P5335 = P5336))))=""単価"","""",
IF(COUNTIF(P$2:P5335, P5336)=0, """", INDEX(H$2:H5335,
MAX(FILTER(ROW(H$2:H5335) - ROW(H$2) + 1, P$2:P5335 = P5336)))))"),45.0)</f>
        <v>45</v>
      </c>
      <c r="N5336" s="335" t="str">
        <f>IF(MAXIFS('単価履歴'!$O:$O,'単価履歴'!$E:$E,E5336,'単価履歴'!$F:$F,F5336)=O5336,"●","")</f>
        <v/>
      </c>
      <c r="O5336" s="346">
        <v>46119.77894675926</v>
      </c>
      <c r="P5336" s="334" t="str">
        <f t="shared" si="4"/>
        <v>中山鋼業:ナベＬ２(H4･級外･L1ﾊﾞﾗ)</v>
      </c>
    </row>
    <row r="5337" ht="15.75" customHeight="1">
      <c r="A5337" s="335" t="s">
        <v>6484</v>
      </c>
      <c r="B5337" s="336">
        <v>46120.0</v>
      </c>
      <c r="C5337" s="335" t="s">
        <v>6</v>
      </c>
      <c r="D5337" s="335" t="s">
        <v>48</v>
      </c>
      <c r="E5337" s="337" t="str">
        <f t="shared" si="1"/>
        <v>中山鋼業:ナベ</v>
      </c>
      <c r="F5337" s="338" t="s">
        <v>1237</v>
      </c>
      <c r="G5337" s="339" t="str">
        <f t="shared" si="2"/>
        <v>中山鋼業:ナベＪＨ１(H2T山口)鍛造ﾊﾞﾘ</v>
      </c>
      <c r="H5337" s="340">
        <f t="shared" si="3"/>
        <v>50.2</v>
      </c>
      <c r="I5337" s="341">
        <v>-1.5</v>
      </c>
      <c r="J5337" s="332">
        <f>IFERROR(__xludf.DUMMYFUNCTION("IF(IF(COUNTIF(P$2:P5336, P5337)=0, """", INDEX(H$2:H5336,
MAX(FILTER(ROW(H$2:H5336) - ROW(H$2) + 1, P$2:P5336 = P5337))))=""単価"","""",
IF(COUNTIF(P$2:P5336, P5337)=0, """", INDEX(H$2:H5336,
MAX(FILTER(ROW(H$2:H5336) - ROW(H$2) + 1, P$2:P5336 = P5337)))))"),51.7)</f>
        <v>51.7</v>
      </c>
      <c r="N5337" s="335" t="str">
        <f>IF(MAXIFS('単価履歴'!$O:$O,'単価履歴'!$E:$E,E5337,'単価履歴'!$F:$F,F5337)=O5337,"●","")</f>
        <v/>
      </c>
      <c r="O5337" s="346">
        <v>46119.782685185186</v>
      </c>
      <c r="P5337" s="334" t="str">
        <f t="shared" si="4"/>
        <v>中山鋼業:ナベＪＨ１(H2T山口)鍛造ﾊﾞﾘ</v>
      </c>
    </row>
    <row r="5338" ht="15.75" customHeight="1">
      <c r="A5338" s="335" t="s">
        <v>6485</v>
      </c>
      <c r="B5338" s="336">
        <v>46120.0</v>
      </c>
      <c r="C5338" s="335" t="s">
        <v>11</v>
      </c>
      <c r="D5338" s="335" t="s">
        <v>46</v>
      </c>
      <c r="E5338" s="337" t="str">
        <f t="shared" si="1"/>
        <v>ﾔﾏﾄ:阪和</v>
      </c>
      <c r="F5338" s="338" t="s">
        <v>111</v>
      </c>
      <c r="G5338" s="339" t="str">
        <f t="shared" si="2"/>
        <v>ﾔﾏﾄ:阪和Ｈ１(特A)</v>
      </c>
      <c r="H5338" s="340">
        <f t="shared" si="3"/>
        <v>54.1</v>
      </c>
      <c r="I5338" s="341">
        <v>1.0</v>
      </c>
      <c r="J5338" s="332">
        <f>IFERROR(__xludf.DUMMYFUNCTION("IF(IF(COUNTIF(P$2:P5337, P5338)=0, """", INDEX(H$2:H5337,
MAX(FILTER(ROW(H$2:H5337) - ROW(H$2) + 1, P$2:P5337 = P5338))))=""単価"","""",
IF(COUNTIF(P$2:P5337, P5338)=0, """", INDEX(H$2:H5337,
MAX(FILTER(ROW(H$2:H5337) - ROW(H$2) + 1, P$2:P5337 = P5338)))))"),53.1)</f>
        <v>53.1</v>
      </c>
      <c r="N5338" s="335" t="str">
        <f>IF(MAXIFS('単価履歴'!$O:$O,'単価履歴'!$E:$E,E5338,'単価履歴'!$F:$F,F5338)=O5338,"●","")</f>
        <v/>
      </c>
      <c r="O5338" s="346">
        <v>46119.78346064815</v>
      </c>
      <c r="P5338" s="334" t="str">
        <f t="shared" si="4"/>
        <v>ﾔﾏﾄ:阪和Ｈ１(特A)</v>
      </c>
    </row>
    <row r="5339" ht="15.75" customHeight="1">
      <c r="A5339" s="335" t="s">
        <v>6486</v>
      </c>
      <c r="B5339" s="336">
        <v>46120.0</v>
      </c>
      <c r="C5339" s="335" t="s">
        <v>11</v>
      </c>
      <c r="D5339" s="335" t="s">
        <v>46</v>
      </c>
      <c r="E5339" s="337" t="str">
        <f t="shared" si="1"/>
        <v>ﾔﾏﾄ:阪和</v>
      </c>
      <c r="F5339" s="338" t="s">
        <v>119</v>
      </c>
      <c r="G5339" s="339" t="str">
        <f t="shared" si="2"/>
        <v>ﾔﾏﾄ:阪和Ｈ３(1級)</v>
      </c>
      <c r="H5339" s="340">
        <f t="shared" si="3"/>
        <v>52.1</v>
      </c>
      <c r="I5339" s="341">
        <v>1.0</v>
      </c>
      <c r="J5339" s="332">
        <f>IFERROR(__xludf.DUMMYFUNCTION("IF(IF(COUNTIF(P$2:P5338, P5339)=0, """", INDEX(H$2:H5338,
MAX(FILTER(ROW(H$2:H5338) - ROW(H$2) + 1, P$2:P5338 = P5339))))=""単価"","""",
IF(COUNTIF(P$2:P5338, P5339)=0, """", INDEX(H$2:H5338,
MAX(FILTER(ROW(H$2:H5338) - ROW(H$2) + 1, P$2:P5338 = P5339)))))"),51.1)</f>
        <v>51.1</v>
      </c>
      <c r="N5339" s="335" t="str">
        <f>IF(MAXIFS('単価履歴'!$O:$O,'単価履歴'!$E:$E,E5339,'単価履歴'!$F:$F,F5339)=O5339,"●","")</f>
        <v/>
      </c>
      <c r="O5339" s="346">
        <v>46119.78346064815</v>
      </c>
      <c r="P5339" s="334" t="str">
        <f t="shared" si="4"/>
        <v>ﾔﾏﾄ:阪和Ｈ３(1級)</v>
      </c>
    </row>
    <row r="5340" ht="15.75" customHeight="1">
      <c r="A5340" s="335" t="s">
        <v>6487</v>
      </c>
      <c r="B5340" s="336">
        <v>46120.0</v>
      </c>
      <c r="C5340" s="335" t="s">
        <v>11</v>
      </c>
      <c r="D5340" s="335" t="s">
        <v>46</v>
      </c>
      <c r="E5340" s="337" t="str">
        <f t="shared" si="1"/>
        <v>ﾔﾏﾄ:阪和</v>
      </c>
      <c r="F5340" s="338" t="s">
        <v>122</v>
      </c>
      <c r="G5340" s="339" t="str">
        <f t="shared" si="2"/>
        <v>ﾔﾏﾄ:阪和Ｌ１(2級)</v>
      </c>
      <c r="H5340" s="340">
        <f t="shared" si="3"/>
        <v>51.1</v>
      </c>
      <c r="I5340" s="341">
        <v>2.0</v>
      </c>
      <c r="J5340" s="332">
        <f>IFERROR(__xludf.DUMMYFUNCTION("IF(IF(COUNTIF(P$2:P5339, P5340)=0, """", INDEX(H$2:H5339,
MAX(FILTER(ROW(H$2:H5339) - ROW(H$2) + 1, P$2:P5339 = P5340))))=""単価"","""",
IF(COUNTIF(P$2:P5339, P5340)=0, """", INDEX(H$2:H5339,
MAX(FILTER(ROW(H$2:H5339) - ROW(H$2) + 1, P$2:P5339 = P5340)))))"),49.1)</f>
        <v>49.1</v>
      </c>
      <c r="N5340" s="335" t="str">
        <f>IF(MAXIFS('単価履歴'!$O:$O,'単価履歴'!$E:$E,E5340,'単価履歴'!$F:$F,F5340)=O5340,"●","")</f>
        <v/>
      </c>
      <c r="O5340" s="346">
        <v>46119.78385416667</v>
      </c>
      <c r="P5340" s="334" t="str">
        <f t="shared" si="4"/>
        <v>ﾔﾏﾄ:阪和Ｌ１(2級)</v>
      </c>
    </row>
    <row r="5341" ht="15.75" customHeight="1">
      <c r="A5341" s="335" t="s">
        <v>6488</v>
      </c>
      <c r="B5341" s="336">
        <v>46120.0</v>
      </c>
      <c r="C5341" s="335" t="s">
        <v>11</v>
      </c>
      <c r="D5341" s="335" t="s">
        <v>46</v>
      </c>
      <c r="E5341" s="337" t="str">
        <f t="shared" si="1"/>
        <v>ﾔﾏﾄ:阪和</v>
      </c>
      <c r="F5341" s="338" t="s">
        <v>116</v>
      </c>
      <c r="G5341" s="339" t="str">
        <f t="shared" si="2"/>
        <v>ﾔﾏﾄ:阪和Ｈ２(特級)</v>
      </c>
      <c r="H5341" s="340">
        <f t="shared" si="3"/>
        <v>52.6</v>
      </c>
      <c r="I5341" s="341">
        <v>0.5</v>
      </c>
      <c r="J5341" s="332">
        <f>IFERROR(__xludf.DUMMYFUNCTION("IF(IF(COUNTIF(P$2:P5340, P5341)=0, """", INDEX(H$2:H5340,
MAX(FILTER(ROW(H$2:H5340) - ROW(H$2) + 1, P$2:P5340 = P5341))))=""単価"","""",
IF(COUNTIF(P$2:P5340, P5341)=0, """", INDEX(H$2:H5340,
MAX(FILTER(ROW(H$2:H5340) - ROW(H$2) + 1, P$2:P5340 = P5341)))))"),52.1)</f>
        <v>52.1</v>
      </c>
      <c r="N5341" s="335" t="str">
        <f>IF(MAXIFS('単価履歴'!$O:$O,'単価履歴'!$E:$E,E5341,'単価履歴'!$F:$F,F5341)=O5341,"●","")</f>
        <v/>
      </c>
      <c r="O5341" s="346">
        <v>46119.78420138889</v>
      </c>
      <c r="P5341" s="334" t="str">
        <f t="shared" si="4"/>
        <v>ﾔﾏﾄ:阪和Ｈ２(特級)</v>
      </c>
    </row>
    <row r="5342" ht="15.75" customHeight="1">
      <c r="A5342" s="335" t="s">
        <v>6489</v>
      </c>
      <c r="B5342" s="336">
        <v>46120.0</v>
      </c>
      <c r="C5342" s="335" t="s">
        <v>11</v>
      </c>
      <c r="D5342" s="335" t="s">
        <v>46</v>
      </c>
      <c r="E5342" s="337" t="str">
        <f t="shared" si="1"/>
        <v>ﾔﾏﾄ:阪和</v>
      </c>
      <c r="F5342" s="338" t="s">
        <v>573</v>
      </c>
      <c r="G5342" s="339" t="str">
        <f t="shared" si="2"/>
        <v>ﾔﾏﾄ:阪和Ｌ２(H4･級外･L1ﾊﾞﾗ)</v>
      </c>
      <c r="H5342" s="340">
        <f t="shared" si="3"/>
        <v>47.1</v>
      </c>
      <c r="I5342" s="341">
        <v>0.5</v>
      </c>
      <c r="J5342" s="332">
        <f>IFERROR(__xludf.DUMMYFUNCTION("IF(IF(COUNTIF(P$2:P5341, P5342)=0, """", INDEX(H$2:H5341,
MAX(FILTER(ROW(H$2:H5341) - ROW(H$2) + 1, P$2:P5341 = P5342))))=""単価"","""",
IF(COUNTIF(P$2:P5341, P5342)=0, """", INDEX(H$2:H5341,
MAX(FILTER(ROW(H$2:H5341) - ROW(H$2) + 1, P$2:P5341 = P5342)))))"),46.6)</f>
        <v>46.6</v>
      </c>
      <c r="N5342" s="335" t="str">
        <f>IF(MAXIFS('単価履歴'!$O:$O,'単価履歴'!$E:$E,E5342,'単価履歴'!$F:$F,F5342)=O5342,"●","")</f>
        <v/>
      </c>
      <c r="O5342" s="346">
        <v>46119.78420138889</v>
      </c>
      <c r="P5342" s="334" t="str">
        <f t="shared" si="4"/>
        <v>ﾔﾏﾄ:阪和Ｌ２(H4･級外･L1ﾊﾞﾗ)</v>
      </c>
    </row>
    <row r="5343" ht="15.75" customHeight="1">
      <c r="A5343" s="335" t="s">
        <v>6490</v>
      </c>
      <c r="B5343" s="336">
        <v>46122.0</v>
      </c>
      <c r="C5343" s="370" t="s">
        <v>531</v>
      </c>
      <c r="D5343" s="370" t="s">
        <v>77</v>
      </c>
      <c r="E5343" s="337" t="str">
        <f t="shared" si="1"/>
        <v>東鐵関西:直納</v>
      </c>
      <c r="F5343" s="338" t="s">
        <v>1199</v>
      </c>
      <c r="G5343" s="339" t="str">
        <f t="shared" si="2"/>
        <v>東鐵関西:直納ＨＳ１(単体H1/電特A/HS))</v>
      </c>
      <c r="H5343" s="340">
        <f t="shared" si="3"/>
        <v>55</v>
      </c>
      <c r="I5343" s="341">
        <v>1.5</v>
      </c>
      <c r="J5343" s="332">
        <f>IFERROR(__xludf.DUMMYFUNCTION("IF(IF(COUNTIF(P$2:P5342, P5343)=0, """", INDEX(H$2:H5342,
MAX(FILTER(ROW(H$2:H5342) - ROW(H$2) + 1, P$2:P5342 = P5343))))=""単価"","""",
IF(COUNTIF(P$2:P5342, P5343)=0, """", INDEX(H$2:H5342,
MAX(FILTER(ROW(H$2:H5342) - ROW(H$2) + 1, P$2:P5342 = P5343)))))"),53.5)</f>
        <v>53.5</v>
      </c>
      <c r="N5343" s="335" t="str">
        <f>IF(MAXIFS('単価履歴'!$O:$O,'単価履歴'!$E:$E,E5343,'単価履歴'!$F:$F,F5343)=O5343,"●","")</f>
        <v/>
      </c>
      <c r="O5343" s="346">
        <v>46122.275092592594</v>
      </c>
      <c r="P5343" s="334" t="str">
        <f t="shared" si="4"/>
        <v>東鐵関西:直納ＨＳ１(単体H1/電特A/HS))</v>
      </c>
    </row>
    <row r="5344" ht="15.75" customHeight="1">
      <c r="A5344" s="335" t="s">
        <v>6491</v>
      </c>
      <c r="B5344" s="336">
        <v>46122.0</v>
      </c>
      <c r="C5344" s="370" t="s">
        <v>531</v>
      </c>
      <c r="D5344" s="370" t="s">
        <v>77</v>
      </c>
      <c r="E5344" s="337" t="str">
        <f t="shared" si="1"/>
        <v>東鐵関西:直納</v>
      </c>
      <c r="F5344" s="338" t="s">
        <v>111</v>
      </c>
      <c r="G5344" s="339" t="str">
        <f t="shared" si="2"/>
        <v>東鐵関西:直納Ｈ１(特A)</v>
      </c>
      <c r="H5344" s="340">
        <f t="shared" si="3"/>
        <v>54.5</v>
      </c>
      <c r="I5344" s="341">
        <v>1.5</v>
      </c>
      <c r="J5344" s="332">
        <f>IFERROR(__xludf.DUMMYFUNCTION("IF(IF(COUNTIF(P$2:P5343, P5344)=0, """", INDEX(H$2:H5343,
MAX(FILTER(ROW(H$2:H5343) - ROW(H$2) + 1, P$2:P5343 = P5344))))=""単価"","""",
IF(COUNTIF(P$2:P5343, P5344)=0, """", INDEX(H$2:H5343,
MAX(FILTER(ROW(H$2:H5343) - ROW(H$2) + 1, P$2:P5343 = P5344)))))"),53.0)</f>
        <v>53</v>
      </c>
      <c r="N5344" s="335" t="str">
        <f>IF(MAXIFS('単価履歴'!$O:$O,'単価履歴'!$E:$E,E5344,'単価履歴'!$F:$F,F5344)=O5344,"●","")</f>
        <v/>
      </c>
      <c r="O5344" s="346">
        <v>46122.275092592594</v>
      </c>
      <c r="P5344" s="334" t="str">
        <f t="shared" si="4"/>
        <v>東鐵関西:直納Ｈ１(特A)</v>
      </c>
    </row>
    <row r="5345" ht="15.75" customHeight="1">
      <c r="A5345" s="335" t="s">
        <v>6492</v>
      </c>
      <c r="B5345" s="336">
        <v>46122.0</v>
      </c>
      <c r="C5345" s="370" t="s">
        <v>531</v>
      </c>
      <c r="D5345" s="370" t="s">
        <v>77</v>
      </c>
      <c r="E5345" s="337" t="str">
        <f t="shared" si="1"/>
        <v>東鐵関西:直納</v>
      </c>
      <c r="F5345" s="338" t="s">
        <v>116</v>
      </c>
      <c r="G5345" s="339" t="str">
        <f t="shared" si="2"/>
        <v>東鐵関西:直納Ｈ２(特級)</v>
      </c>
      <c r="H5345" s="340">
        <f t="shared" si="3"/>
        <v>52.5</v>
      </c>
      <c r="I5345" s="341">
        <v>1.5</v>
      </c>
      <c r="J5345" s="332">
        <f>IFERROR(__xludf.DUMMYFUNCTION("IF(IF(COUNTIF(P$2:P5344, P5345)=0, """", INDEX(H$2:H5344,
MAX(FILTER(ROW(H$2:H5344) - ROW(H$2) + 1, P$2:P5344 = P5345))))=""単価"","""",
IF(COUNTIF(P$2:P5344, P5345)=0, """", INDEX(H$2:H5344,
MAX(FILTER(ROW(H$2:H5344) - ROW(H$2) + 1, P$2:P5344 = P5345)))))"),51.0)</f>
        <v>51</v>
      </c>
      <c r="N5345" s="335" t="str">
        <f>IF(MAXIFS('単価履歴'!$O:$O,'単価履歴'!$E:$E,E5345,'単価履歴'!$F:$F,F5345)=O5345,"●","")</f>
        <v/>
      </c>
      <c r="O5345" s="346">
        <v>46122.275092592594</v>
      </c>
      <c r="P5345" s="334" t="str">
        <f t="shared" si="4"/>
        <v>東鐵関西:直納Ｈ２(特級)</v>
      </c>
    </row>
    <row r="5346" ht="15.75" customHeight="1">
      <c r="A5346" s="335" t="s">
        <v>6493</v>
      </c>
      <c r="B5346" s="336">
        <v>46122.0</v>
      </c>
      <c r="C5346" s="370" t="s">
        <v>531</v>
      </c>
      <c r="D5346" s="370" t="s">
        <v>77</v>
      </c>
      <c r="E5346" s="337" t="str">
        <f t="shared" si="1"/>
        <v>東鐵関西:直納</v>
      </c>
      <c r="F5346" s="338" t="s">
        <v>119</v>
      </c>
      <c r="G5346" s="339" t="str">
        <f t="shared" si="2"/>
        <v>東鐵関西:直納Ｈ３(1級)</v>
      </c>
      <c r="H5346" s="340">
        <f t="shared" si="3"/>
        <v>52.5</v>
      </c>
      <c r="I5346" s="341">
        <v>1.5</v>
      </c>
      <c r="J5346" s="332">
        <f>IFERROR(__xludf.DUMMYFUNCTION("IF(IF(COUNTIF(P$2:P5345, P5346)=0, """", INDEX(H$2:H5345,
MAX(FILTER(ROW(H$2:H5345) - ROW(H$2) + 1, P$2:P5345 = P5346))))=""単価"","""",
IF(COUNTIF(P$2:P5345, P5346)=0, """", INDEX(H$2:H5345,
MAX(FILTER(ROW(H$2:H5345) - ROW(H$2) + 1, P$2:P5345 = P5346)))))"),51.0)</f>
        <v>51</v>
      </c>
      <c r="N5346" s="335" t="str">
        <f>IF(MAXIFS('単価履歴'!$O:$O,'単価履歴'!$E:$E,E5346,'単価履歴'!$F:$F,F5346)=O5346,"●","")</f>
        <v/>
      </c>
      <c r="O5346" s="346">
        <v>46122.275092592594</v>
      </c>
      <c r="P5346" s="334" t="str">
        <f t="shared" si="4"/>
        <v>東鐵関西:直納Ｈ３(1級)</v>
      </c>
    </row>
    <row r="5347" ht="15.75" customHeight="1">
      <c r="A5347" s="335" t="s">
        <v>6494</v>
      </c>
      <c r="B5347" s="336">
        <v>46122.0</v>
      </c>
      <c r="C5347" s="370" t="s">
        <v>531</v>
      </c>
      <c r="D5347" s="370" t="s">
        <v>77</v>
      </c>
      <c r="E5347" s="337" t="str">
        <f t="shared" si="1"/>
        <v>東鐵関西:直納</v>
      </c>
      <c r="F5347" s="338" t="s">
        <v>122</v>
      </c>
      <c r="G5347" s="339" t="str">
        <f t="shared" si="2"/>
        <v>東鐵関西:直納Ｌ１(2級)</v>
      </c>
      <c r="H5347" s="340">
        <f t="shared" si="3"/>
        <v>52</v>
      </c>
      <c r="I5347" s="341">
        <v>1.5</v>
      </c>
      <c r="J5347" s="332">
        <f>IFERROR(__xludf.DUMMYFUNCTION("IF(IF(COUNTIF(P$2:P5346, P5347)=0, """", INDEX(H$2:H5346,
MAX(FILTER(ROW(H$2:H5346) - ROW(H$2) + 1, P$2:P5346 = P5347))))=""単価"","""",
IF(COUNTIF(P$2:P5346, P5347)=0, """", INDEX(H$2:H5346,
MAX(FILTER(ROW(H$2:H5346) - ROW(H$2) + 1, P$2:P5346 = P5347)))))"),50.5)</f>
        <v>50.5</v>
      </c>
      <c r="N5347" s="335" t="str">
        <f>IF(MAXIFS('単価履歴'!$O:$O,'単価履歴'!$E:$E,E5347,'単価履歴'!$F:$F,F5347)=O5347,"●","")</f>
        <v/>
      </c>
      <c r="O5347" s="346">
        <v>46122.275092592594</v>
      </c>
      <c r="P5347" s="334" t="str">
        <f t="shared" si="4"/>
        <v>東鐵関西:直納Ｌ１(2級)</v>
      </c>
    </row>
    <row r="5348" ht="15.75" customHeight="1">
      <c r="A5348" s="335" t="s">
        <v>6495</v>
      </c>
      <c r="B5348" s="336">
        <v>46122.0</v>
      </c>
      <c r="C5348" s="370" t="s">
        <v>531</v>
      </c>
      <c r="D5348" s="370" t="s">
        <v>77</v>
      </c>
      <c r="E5348" s="337" t="str">
        <f t="shared" si="1"/>
        <v>東鐵関西:直納</v>
      </c>
      <c r="F5348" s="338" t="s">
        <v>573</v>
      </c>
      <c r="G5348" s="339" t="str">
        <f t="shared" si="2"/>
        <v>東鐵関西:直納Ｌ２(H4･級外･L1ﾊﾞﾗ)</v>
      </c>
      <c r="H5348" s="340">
        <f t="shared" si="3"/>
        <v>47.5</v>
      </c>
      <c r="I5348" s="341">
        <v>1.5</v>
      </c>
      <c r="J5348" s="332">
        <f>IFERROR(__xludf.DUMMYFUNCTION("IF(IF(COUNTIF(P$2:P5347, P5348)=0, """", INDEX(H$2:H5347,
MAX(FILTER(ROW(H$2:H5347) - ROW(H$2) + 1, P$2:P5347 = P5348))))=""単価"","""",
IF(COUNTIF(P$2:P5347, P5348)=0, """", INDEX(H$2:H5347,
MAX(FILTER(ROW(H$2:H5347) - ROW(H$2) + 1, P$2:P5347 = P5348)))))"),46.0)</f>
        <v>46</v>
      </c>
      <c r="N5348" s="335" t="str">
        <f>IF(MAXIFS('単価履歴'!$O:$O,'単価履歴'!$E:$E,E5348,'単価履歴'!$F:$F,F5348)=O5348,"●","")</f>
        <v/>
      </c>
      <c r="O5348" s="346">
        <v>46122.275092592594</v>
      </c>
      <c r="P5348" s="334" t="str">
        <f t="shared" si="4"/>
        <v>東鐵関西:直納Ｌ２(H4･級外･L1ﾊﾞﾗ)</v>
      </c>
    </row>
    <row r="5349" ht="15.75" customHeight="1">
      <c r="A5349" s="335" t="s">
        <v>6496</v>
      </c>
      <c r="B5349" s="336">
        <v>46122.0</v>
      </c>
      <c r="C5349" s="370" t="s">
        <v>531</v>
      </c>
      <c r="D5349" s="370" t="s">
        <v>77</v>
      </c>
      <c r="E5349" s="337" t="str">
        <f t="shared" si="1"/>
        <v>東鐵関西:直納</v>
      </c>
      <c r="F5349" s="338" t="s">
        <v>145</v>
      </c>
      <c r="G5349" s="339" t="str">
        <f t="shared" si="2"/>
        <v>東鐵関西:直納シュレＡ</v>
      </c>
      <c r="H5349" s="340">
        <f t="shared" si="3"/>
        <v>54</v>
      </c>
      <c r="I5349" s="341">
        <v>1.5</v>
      </c>
      <c r="J5349" s="332">
        <f>IFERROR(__xludf.DUMMYFUNCTION("IF(IF(COUNTIF(P$2:P5348, P5349)=0, """", INDEX(H$2:H5348,
MAX(FILTER(ROW(H$2:H5348) - ROW(H$2) + 1, P$2:P5348 = P5349))))=""単価"","""",
IF(COUNTIF(P$2:P5348, P5349)=0, """", INDEX(H$2:H5348,
MAX(FILTER(ROW(H$2:H5348) - ROW(H$2) + 1, P$2:P5348 = P5349)))))"),52.5)</f>
        <v>52.5</v>
      </c>
      <c r="N5349" s="335" t="str">
        <f>IF(MAXIFS('単価履歴'!$O:$O,'単価履歴'!$E:$E,E5349,'単価履歴'!$F:$F,F5349)=O5349,"●","")</f>
        <v/>
      </c>
      <c r="O5349" s="346">
        <v>46122.275092592594</v>
      </c>
      <c r="P5349" s="334" t="str">
        <f t="shared" si="4"/>
        <v>東鐵関西:直納シュレＡ</v>
      </c>
    </row>
    <row r="5350" ht="15.75" customHeight="1">
      <c r="A5350" s="335" t="s">
        <v>6497</v>
      </c>
      <c r="B5350" s="336">
        <v>46122.0</v>
      </c>
      <c r="C5350" s="370" t="s">
        <v>531</v>
      </c>
      <c r="D5350" s="370" t="s">
        <v>77</v>
      </c>
      <c r="E5350" s="337" t="str">
        <f t="shared" si="1"/>
        <v>東鐵関西:直納</v>
      </c>
      <c r="F5350" s="338" t="s">
        <v>151</v>
      </c>
      <c r="G5350" s="339" t="str">
        <f t="shared" si="2"/>
        <v>東鐵関西:直納シュレＣ</v>
      </c>
      <c r="H5350" s="340">
        <f t="shared" si="3"/>
        <v>53</v>
      </c>
      <c r="I5350" s="341">
        <v>1.5</v>
      </c>
      <c r="J5350" s="332">
        <f>IFERROR(__xludf.DUMMYFUNCTION("IF(IF(COUNTIF(P$2:P5349, P5350)=0, """", INDEX(H$2:H5349,
MAX(FILTER(ROW(H$2:H5349) - ROW(H$2) + 1, P$2:P5349 = P5350))))=""単価"","""",
IF(COUNTIF(P$2:P5349, P5350)=0, """", INDEX(H$2:H5349,
MAX(FILTER(ROW(H$2:H5349) - ROW(H$2) + 1, P$2:P5349 = P5350)))))"),51.5)</f>
        <v>51.5</v>
      </c>
      <c r="N5350" s="335" t="str">
        <f>IF(MAXIFS('単価履歴'!$O:$O,'単価履歴'!$E:$E,E5350,'単価履歴'!$F:$F,F5350)=O5350,"●","")</f>
        <v/>
      </c>
      <c r="O5350" s="346">
        <v>46122.275092592594</v>
      </c>
      <c r="P5350" s="334" t="str">
        <f t="shared" si="4"/>
        <v>東鐵関西:直納シュレＣ</v>
      </c>
    </row>
    <row r="5351" ht="15.75" customHeight="1">
      <c r="A5351" s="335" t="s">
        <v>6498</v>
      </c>
      <c r="B5351" s="336">
        <v>46122.0</v>
      </c>
      <c r="C5351" s="370" t="s">
        <v>532</v>
      </c>
      <c r="D5351" s="370" t="s">
        <v>77</v>
      </c>
      <c r="E5351" s="337" t="str">
        <f t="shared" si="1"/>
        <v>東鐵岡山:直納</v>
      </c>
      <c r="F5351" s="338" t="s">
        <v>1199</v>
      </c>
      <c r="G5351" s="339" t="str">
        <f t="shared" si="2"/>
        <v>東鐵岡山:直納ＨＳ１(単体H1/電特A/HS))</v>
      </c>
      <c r="H5351" s="340">
        <f t="shared" si="3"/>
        <v>54.5</v>
      </c>
      <c r="I5351" s="341">
        <v>1.5</v>
      </c>
      <c r="J5351" s="332">
        <f>IFERROR(__xludf.DUMMYFUNCTION("IF(IF(COUNTIF(P$2:P5350, P5351)=0, """", INDEX(H$2:H5350,
MAX(FILTER(ROW(H$2:H5350) - ROW(H$2) + 1, P$2:P5350 = P5351))))=""単価"","""",
IF(COUNTIF(P$2:P5350, P5351)=0, """", INDEX(H$2:H5350,
MAX(FILTER(ROW(H$2:H5350) - ROW(H$2) + 1, P$2:P5350 = P5351)))))"),53.0)</f>
        <v>53</v>
      </c>
      <c r="N5351" s="335" t="str">
        <f>IF(MAXIFS('単価履歴'!$O:$O,'単価履歴'!$E:$E,E5351,'単価履歴'!$F:$F,F5351)=O5351,"●","")</f>
        <v/>
      </c>
      <c r="O5351" s="346">
        <v>46122.275775462964</v>
      </c>
      <c r="P5351" s="334" t="str">
        <f t="shared" si="4"/>
        <v>東鐵岡山:直納ＨＳ１(単体H1/電特A/HS))</v>
      </c>
    </row>
    <row r="5352" ht="15.75" customHeight="1">
      <c r="A5352" s="335" t="s">
        <v>6499</v>
      </c>
      <c r="B5352" s="336">
        <v>46122.0</v>
      </c>
      <c r="C5352" s="370" t="s">
        <v>532</v>
      </c>
      <c r="D5352" s="370" t="s">
        <v>77</v>
      </c>
      <c r="E5352" s="337" t="str">
        <f t="shared" si="1"/>
        <v>東鐵岡山:直納</v>
      </c>
      <c r="F5352" s="338" t="s">
        <v>111</v>
      </c>
      <c r="G5352" s="339" t="str">
        <f t="shared" si="2"/>
        <v>東鐵岡山:直納Ｈ１(特A)</v>
      </c>
      <c r="H5352" s="340">
        <f t="shared" si="3"/>
        <v>54</v>
      </c>
      <c r="I5352" s="341">
        <v>1.5</v>
      </c>
      <c r="J5352" s="332">
        <f>IFERROR(__xludf.DUMMYFUNCTION("IF(IF(COUNTIF(P$2:P5351, P5352)=0, """", INDEX(H$2:H5351,
MAX(FILTER(ROW(H$2:H5351) - ROW(H$2) + 1, P$2:P5351 = P5352))))=""単価"","""",
IF(COUNTIF(P$2:P5351, P5352)=0, """", INDEX(H$2:H5351,
MAX(FILTER(ROW(H$2:H5351) - ROW(H$2) + 1, P$2:P5351 = P5352)))))"),52.5)</f>
        <v>52.5</v>
      </c>
      <c r="N5352" s="335" t="str">
        <f>IF(MAXIFS('単価履歴'!$O:$O,'単価履歴'!$E:$E,E5352,'単価履歴'!$F:$F,F5352)=O5352,"●","")</f>
        <v/>
      </c>
      <c r="O5352" s="346">
        <v>46122.275775462964</v>
      </c>
      <c r="P5352" s="334" t="str">
        <f t="shared" si="4"/>
        <v>東鐵岡山:直納Ｈ１(特A)</v>
      </c>
    </row>
    <row r="5353" ht="15.75" customHeight="1">
      <c r="A5353" s="335" t="s">
        <v>6500</v>
      </c>
      <c r="B5353" s="336">
        <v>46122.0</v>
      </c>
      <c r="C5353" s="370" t="s">
        <v>532</v>
      </c>
      <c r="D5353" s="370" t="s">
        <v>77</v>
      </c>
      <c r="E5353" s="337" t="str">
        <f t="shared" si="1"/>
        <v>東鐵岡山:直納</v>
      </c>
      <c r="F5353" s="338" t="s">
        <v>116</v>
      </c>
      <c r="G5353" s="339" t="str">
        <f t="shared" si="2"/>
        <v>東鐵岡山:直納Ｈ２(特級)</v>
      </c>
      <c r="H5353" s="340">
        <f t="shared" si="3"/>
        <v>52.5</v>
      </c>
      <c r="I5353" s="341">
        <v>1.5</v>
      </c>
      <c r="J5353" s="332">
        <f>IFERROR(__xludf.DUMMYFUNCTION("IF(IF(COUNTIF(P$2:P5352, P5353)=0, """", INDEX(H$2:H5352,
MAX(FILTER(ROW(H$2:H5352) - ROW(H$2) + 1, P$2:P5352 = P5353))))=""単価"","""",
IF(COUNTIF(P$2:P5352, P5353)=0, """", INDEX(H$2:H5352,
MAX(FILTER(ROW(H$2:H5352) - ROW(H$2) + 1, P$2:P5352 = P5353)))))"),51.0)</f>
        <v>51</v>
      </c>
      <c r="N5353" s="335" t="str">
        <f>IF(MAXIFS('単価履歴'!$O:$O,'単価履歴'!$E:$E,E5353,'単価履歴'!$F:$F,F5353)=O5353,"●","")</f>
        <v/>
      </c>
      <c r="O5353" s="346">
        <v>46122.275775462964</v>
      </c>
      <c r="P5353" s="334" t="str">
        <f t="shared" si="4"/>
        <v>東鐵岡山:直納Ｈ２(特級)</v>
      </c>
    </row>
    <row r="5354" ht="15.75" customHeight="1">
      <c r="A5354" s="335" t="s">
        <v>6501</v>
      </c>
      <c r="B5354" s="336">
        <v>46122.0</v>
      </c>
      <c r="C5354" s="370" t="s">
        <v>532</v>
      </c>
      <c r="D5354" s="370" t="s">
        <v>77</v>
      </c>
      <c r="E5354" s="337" t="str">
        <f t="shared" si="1"/>
        <v>東鐵岡山:直納</v>
      </c>
      <c r="F5354" s="338" t="s">
        <v>119</v>
      </c>
      <c r="G5354" s="339" t="str">
        <f t="shared" si="2"/>
        <v>東鐵岡山:直納Ｈ３(1級)</v>
      </c>
      <c r="H5354" s="340">
        <f t="shared" si="3"/>
        <v>52.5</v>
      </c>
      <c r="I5354" s="341">
        <v>1.5</v>
      </c>
      <c r="J5354" s="332">
        <f>IFERROR(__xludf.DUMMYFUNCTION("IF(IF(COUNTIF(P$2:P5353, P5354)=0, """", INDEX(H$2:H5353,
MAX(FILTER(ROW(H$2:H5353) - ROW(H$2) + 1, P$2:P5353 = P5354))))=""単価"","""",
IF(COUNTIF(P$2:P5353, P5354)=0, """", INDEX(H$2:H5353,
MAX(FILTER(ROW(H$2:H5353) - ROW(H$2) + 1, P$2:P5353 = P5354)))))"),51.0)</f>
        <v>51</v>
      </c>
      <c r="N5354" s="335" t="str">
        <f>IF(MAXIFS('単価履歴'!$O:$O,'単価履歴'!$E:$E,E5354,'単価履歴'!$F:$F,F5354)=O5354,"●","")</f>
        <v/>
      </c>
      <c r="O5354" s="346">
        <v>46122.275775462964</v>
      </c>
      <c r="P5354" s="334" t="str">
        <f t="shared" si="4"/>
        <v>東鐵岡山:直納Ｈ３(1級)</v>
      </c>
    </row>
    <row r="5355" ht="15.75" customHeight="1">
      <c r="A5355" s="335" t="s">
        <v>6502</v>
      </c>
      <c r="B5355" s="336">
        <v>46122.0</v>
      </c>
      <c r="C5355" s="370" t="s">
        <v>532</v>
      </c>
      <c r="D5355" s="370" t="s">
        <v>77</v>
      </c>
      <c r="E5355" s="337" t="str">
        <f t="shared" si="1"/>
        <v>東鐵岡山:直納</v>
      </c>
      <c r="F5355" s="338" t="s">
        <v>122</v>
      </c>
      <c r="G5355" s="339" t="str">
        <f t="shared" si="2"/>
        <v>東鐵岡山:直納Ｌ１(2級)</v>
      </c>
      <c r="H5355" s="340">
        <f t="shared" si="3"/>
        <v>52</v>
      </c>
      <c r="I5355" s="341">
        <v>1.5</v>
      </c>
      <c r="J5355" s="332">
        <f>IFERROR(__xludf.DUMMYFUNCTION("IF(IF(COUNTIF(P$2:P5354, P5355)=0, """", INDEX(H$2:H5354,
MAX(FILTER(ROW(H$2:H5354) - ROW(H$2) + 1, P$2:P5354 = P5355))))=""単価"","""",
IF(COUNTIF(P$2:P5354, P5355)=0, """", INDEX(H$2:H5354,
MAX(FILTER(ROW(H$2:H5354) - ROW(H$2) + 1, P$2:P5354 = P5355)))))"),50.5)</f>
        <v>50.5</v>
      </c>
      <c r="N5355" s="335" t="str">
        <f>IF(MAXIFS('単価履歴'!$O:$O,'単価履歴'!$E:$E,E5355,'単価履歴'!$F:$F,F5355)=O5355,"●","")</f>
        <v/>
      </c>
      <c r="O5355" s="346">
        <v>46122.275775462964</v>
      </c>
      <c r="P5355" s="334" t="str">
        <f t="shared" si="4"/>
        <v>東鐵岡山:直納Ｌ１(2級)</v>
      </c>
    </row>
    <row r="5356" ht="15.75" customHeight="1">
      <c r="A5356" s="335" t="s">
        <v>6503</v>
      </c>
      <c r="B5356" s="336">
        <v>46122.0</v>
      </c>
      <c r="C5356" s="370" t="s">
        <v>532</v>
      </c>
      <c r="D5356" s="370" t="s">
        <v>77</v>
      </c>
      <c r="E5356" s="337" t="str">
        <f t="shared" si="1"/>
        <v>東鐵岡山:直納</v>
      </c>
      <c r="F5356" s="338" t="s">
        <v>573</v>
      </c>
      <c r="G5356" s="339" t="str">
        <f t="shared" si="2"/>
        <v>東鐵岡山:直納Ｌ２(H4･級外･L1ﾊﾞﾗ)</v>
      </c>
      <c r="H5356" s="340">
        <f t="shared" si="3"/>
        <v>47.5</v>
      </c>
      <c r="I5356" s="341">
        <v>1.5</v>
      </c>
      <c r="J5356" s="332">
        <f>IFERROR(__xludf.DUMMYFUNCTION("IF(IF(COUNTIF(P$2:P5355, P5356)=0, """", INDEX(H$2:H5355,
MAX(FILTER(ROW(H$2:H5355) - ROW(H$2) + 1, P$2:P5355 = P5356))))=""単価"","""",
IF(COUNTIF(P$2:P5355, P5356)=0, """", INDEX(H$2:H5355,
MAX(FILTER(ROW(H$2:H5355) - ROW(H$2) + 1, P$2:P5355 = P5356)))))"),46.0)</f>
        <v>46</v>
      </c>
      <c r="N5356" s="335" t="str">
        <f>IF(MAXIFS('単価履歴'!$O:$O,'単価履歴'!$E:$E,E5356,'単価履歴'!$F:$F,F5356)=O5356,"●","")</f>
        <v/>
      </c>
      <c r="O5356" s="346">
        <v>46122.275775462964</v>
      </c>
      <c r="P5356" s="334" t="str">
        <f t="shared" si="4"/>
        <v>東鐵岡山:直納Ｌ２(H4･級外･L1ﾊﾞﾗ)</v>
      </c>
    </row>
    <row r="5357" ht="15.75" customHeight="1">
      <c r="A5357" s="335" t="s">
        <v>6504</v>
      </c>
      <c r="B5357" s="336">
        <v>46122.0</v>
      </c>
      <c r="C5357" s="370" t="s">
        <v>532</v>
      </c>
      <c r="D5357" s="370" t="s">
        <v>77</v>
      </c>
      <c r="E5357" s="337" t="str">
        <f t="shared" si="1"/>
        <v>東鐵岡山:直納</v>
      </c>
      <c r="F5357" s="338" t="s">
        <v>145</v>
      </c>
      <c r="G5357" s="339" t="str">
        <f t="shared" si="2"/>
        <v>東鐵岡山:直納シュレＡ</v>
      </c>
      <c r="H5357" s="340">
        <f t="shared" si="3"/>
        <v>53</v>
      </c>
      <c r="I5357" s="341">
        <v>1.5</v>
      </c>
      <c r="J5357" s="332">
        <f>IFERROR(__xludf.DUMMYFUNCTION("IF(IF(COUNTIF(P$2:P5356, P5357)=0, """", INDEX(H$2:H5356,
MAX(FILTER(ROW(H$2:H5356) - ROW(H$2) + 1, P$2:P5356 = P5357))))=""単価"","""",
IF(COUNTIF(P$2:P5356, P5357)=0, """", INDEX(H$2:H5356,
MAX(FILTER(ROW(H$2:H5356) - ROW(H$2) + 1, P$2:P5356 = P5357)))))"),51.5)</f>
        <v>51.5</v>
      </c>
      <c r="N5357" s="335" t="str">
        <f>IF(MAXIFS('単価履歴'!$O:$O,'単価履歴'!$E:$E,E5357,'単価履歴'!$F:$F,F5357)=O5357,"●","")</f>
        <v/>
      </c>
      <c r="O5357" s="346">
        <v>46122.275775462964</v>
      </c>
      <c r="P5357" s="334" t="str">
        <f t="shared" si="4"/>
        <v>東鐵岡山:直納シュレＡ</v>
      </c>
    </row>
    <row r="5358" ht="15.75" customHeight="1">
      <c r="A5358" s="335" t="s">
        <v>6505</v>
      </c>
      <c r="B5358" s="336">
        <v>46122.0</v>
      </c>
      <c r="C5358" s="370" t="s">
        <v>532</v>
      </c>
      <c r="D5358" s="370" t="s">
        <v>77</v>
      </c>
      <c r="E5358" s="337" t="str">
        <f t="shared" si="1"/>
        <v>東鐵岡山:直納</v>
      </c>
      <c r="F5358" s="338" t="s">
        <v>151</v>
      </c>
      <c r="G5358" s="339" t="str">
        <f t="shared" si="2"/>
        <v>東鐵岡山:直納シュレＣ</v>
      </c>
      <c r="H5358" s="340">
        <f t="shared" si="3"/>
        <v>52.5</v>
      </c>
      <c r="I5358" s="341">
        <v>1.5</v>
      </c>
      <c r="J5358" s="332">
        <f>IFERROR(__xludf.DUMMYFUNCTION("IF(IF(COUNTIF(P$2:P5357, P5358)=0, """", INDEX(H$2:H5357,
MAX(FILTER(ROW(H$2:H5357) - ROW(H$2) + 1, P$2:P5357 = P5358))))=""単価"","""",
IF(COUNTIF(P$2:P5357, P5358)=0, """", INDEX(H$2:H5357,
MAX(FILTER(ROW(H$2:H5357) - ROW(H$2) + 1, P$2:P5357 = P5358)))))"),51.0)</f>
        <v>51</v>
      </c>
      <c r="N5358" s="335" t="str">
        <f>IF(MAXIFS('単価履歴'!$O:$O,'単価履歴'!$E:$E,E5358,'単価履歴'!$F:$F,F5358)=O5358,"●","")</f>
        <v/>
      </c>
      <c r="O5358" s="346">
        <v>46122.275775462964</v>
      </c>
      <c r="P5358" s="334" t="str">
        <f t="shared" si="4"/>
        <v>東鐵岡山:直納シュレＣ</v>
      </c>
    </row>
    <row r="5359" ht="15.75" customHeight="1">
      <c r="A5359" s="335" t="s">
        <v>6506</v>
      </c>
      <c r="B5359" s="336">
        <v>46122.0</v>
      </c>
      <c r="C5359" s="370" t="s">
        <v>532</v>
      </c>
      <c r="D5359" s="370" t="s">
        <v>77</v>
      </c>
      <c r="E5359" s="337" t="str">
        <f t="shared" si="1"/>
        <v>東鐵岡山:直納</v>
      </c>
      <c r="F5359" s="338" t="s">
        <v>130</v>
      </c>
      <c r="G5359" s="339" t="str">
        <f t="shared" si="2"/>
        <v>東鐵岡山:直納新断Ａ</v>
      </c>
      <c r="H5359" s="340">
        <f t="shared" si="3"/>
        <v>53.5</v>
      </c>
      <c r="I5359" s="341">
        <v>1.5</v>
      </c>
      <c r="J5359" s="332">
        <f>IFERROR(__xludf.DUMMYFUNCTION("IF(IF(COUNTIF(P$2:P5358, P5359)=0, """", INDEX(H$2:H5358,
MAX(FILTER(ROW(H$2:H5358) - ROW(H$2) + 1, P$2:P5358 = P5359))))=""単価"","""",
IF(COUNTIF(P$2:P5358, P5359)=0, """", INDEX(H$2:H5358,
MAX(FILTER(ROW(H$2:H5358) - ROW(H$2) + 1, P$2:P5358 = P5359)))))"),52.0)</f>
        <v>52</v>
      </c>
      <c r="N5359" s="335" t="str">
        <f>IF(MAXIFS('単価履歴'!$O:$O,'単価履歴'!$E:$E,E5359,'単価履歴'!$F:$F,F5359)=O5359,"●","")</f>
        <v/>
      </c>
      <c r="O5359" s="346">
        <v>46122.275775462964</v>
      </c>
      <c r="P5359" s="334" t="str">
        <f t="shared" si="4"/>
        <v>東鐵岡山:直納新断Ａ</v>
      </c>
    </row>
    <row r="5360" ht="15.75" customHeight="1">
      <c r="A5360" s="335" t="s">
        <v>6507</v>
      </c>
      <c r="B5360" s="336">
        <v>46122.0</v>
      </c>
      <c r="C5360" s="370" t="s">
        <v>532</v>
      </c>
      <c r="D5360" s="370" t="s">
        <v>77</v>
      </c>
      <c r="E5360" s="337" t="str">
        <f t="shared" si="1"/>
        <v>東鐵岡山:直納</v>
      </c>
      <c r="F5360" s="338" t="s">
        <v>131</v>
      </c>
      <c r="G5360" s="339" t="str">
        <f t="shared" si="2"/>
        <v>東鐵岡山:直納新断Ｂ</v>
      </c>
      <c r="H5360" s="340">
        <f t="shared" si="3"/>
        <v>53.5</v>
      </c>
      <c r="I5360" s="341">
        <v>1.5</v>
      </c>
      <c r="J5360" s="332">
        <f>IFERROR(__xludf.DUMMYFUNCTION("IF(IF(COUNTIF(P$2:P5359, P5360)=0, """", INDEX(H$2:H5359,
MAX(FILTER(ROW(H$2:H5359) - ROW(H$2) + 1, P$2:P5359 = P5360))))=""単価"","""",
IF(COUNTIF(P$2:P5359, P5360)=0, """", INDEX(H$2:H5359,
MAX(FILTER(ROW(H$2:H5359) - ROW(H$2) + 1, P$2:P5359 = P5360)))))"),52.0)</f>
        <v>52</v>
      </c>
      <c r="N5360" s="335" t="str">
        <f>IF(MAXIFS('単価履歴'!$O:$O,'単価履歴'!$E:$E,E5360,'単価履歴'!$F:$F,F5360)=O5360,"●","")</f>
        <v/>
      </c>
      <c r="O5360" s="346">
        <v>46122.275775462964</v>
      </c>
      <c r="P5360" s="334" t="str">
        <f t="shared" si="4"/>
        <v>東鐵岡山:直納新断Ｂ</v>
      </c>
    </row>
    <row r="5361" ht="15.75" customHeight="1">
      <c r="A5361" s="335" t="s">
        <v>6508</v>
      </c>
      <c r="B5361" s="336">
        <v>46122.0</v>
      </c>
      <c r="C5361" s="370" t="s">
        <v>532</v>
      </c>
      <c r="D5361" s="370" t="s">
        <v>77</v>
      </c>
      <c r="E5361" s="337" t="str">
        <f t="shared" si="1"/>
        <v>東鐵岡山:直納</v>
      </c>
      <c r="F5361" s="338" t="s">
        <v>575</v>
      </c>
      <c r="G5361" s="339" t="str">
        <f t="shared" si="2"/>
        <v>東鐵岡山:直納鋼ダライＡ</v>
      </c>
      <c r="H5361" s="340">
        <f t="shared" si="3"/>
        <v>48</v>
      </c>
      <c r="I5361" s="341">
        <v>1.5</v>
      </c>
      <c r="J5361" s="332">
        <f>IFERROR(__xludf.DUMMYFUNCTION("IF(IF(COUNTIF(P$2:P5360, P5361)=0, """", INDEX(H$2:H5360,
MAX(FILTER(ROW(H$2:H5360) - ROW(H$2) + 1, P$2:P5360 = P5361))))=""単価"","""",
IF(COUNTIF(P$2:P5360, P5361)=0, """", INDEX(H$2:H5360,
MAX(FILTER(ROW(H$2:H5360) - ROW(H$2) + 1, P$2:P5360 = P5361)))))"),46.5)</f>
        <v>46.5</v>
      </c>
      <c r="N5361" s="335" t="str">
        <f>IF(MAXIFS('単価履歴'!$O:$O,'単価履歴'!$E:$E,E5361,'単価履歴'!$F:$F,F5361)=O5361,"●","")</f>
        <v/>
      </c>
      <c r="O5361" s="346">
        <v>46122.275775462964</v>
      </c>
      <c r="P5361" s="334" t="str">
        <f t="shared" si="4"/>
        <v>東鐵岡山:直納鋼ダライＡ</v>
      </c>
    </row>
    <row r="5362" ht="15.75" customHeight="1">
      <c r="A5362" s="335" t="s">
        <v>6509</v>
      </c>
      <c r="B5362" s="336">
        <v>46122.0</v>
      </c>
      <c r="C5362" s="370" t="s">
        <v>532</v>
      </c>
      <c r="D5362" s="370" t="s">
        <v>77</v>
      </c>
      <c r="E5362" s="337" t="str">
        <f t="shared" si="1"/>
        <v>東鐵岡山:直納</v>
      </c>
      <c r="F5362" s="338" t="s">
        <v>25</v>
      </c>
      <c r="G5362" s="339" t="str">
        <f t="shared" si="2"/>
        <v>東鐵岡山:直納銑ダライ</v>
      </c>
      <c r="H5362" s="340">
        <f t="shared" si="3"/>
        <v>44.5</v>
      </c>
      <c r="I5362" s="341">
        <v>1.5</v>
      </c>
      <c r="J5362" s="332">
        <f>IFERROR(__xludf.DUMMYFUNCTION("IF(IF(COUNTIF(P$2:P5361, P5362)=0, """", INDEX(H$2:H5361,
MAX(FILTER(ROW(H$2:H5361) - ROW(H$2) + 1, P$2:P5361 = P5362))))=""単価"","""",
IF(COUNTIF(P$2:P5361, P5362)=0, """", INDEX(H$2:H5361,
MAX(FILTER(ROW(H$2:H5361) - ROW(H$2) + 1, P$2:P5361 = P5362)))))"),43.0)</f>
        <v>43</v>
      </c>
      <c r="N5362" s="335" t="str">
        <f>IF(MAXIFS('単価履歴'!$O:$O,'単価履歴'!$E:$E,E5362,'単価履歴'!$F:$F,F5362)=O5362,"●","")</f>
        <v/>
      </c>
      <c r="O5362" s="346">
        <v>46122.275775462964</v>
      </c>
      <c r="P5362" s="334" t="str">
        <f t="shared" si="4"/>
        <v>東鐵岡山:直納銑ダライ</v>
      </c>
    </row>
    <row r="5363" ht="15.75" customHeight="1">
      <c r="A5363" s="335" t="s">
        <v>6510</v>
      </c>
      <c r="B5363" s="336">
        <v>46122.0</v>
      </c>
      <c r="C5363" s="370" t="s">
        <v>532</v>
      </c>
      <c r="D5363" s="370" t="s">
        <v>77</v>
      </c>
      <c r="E5363" s="337" t="str">
        <f t="shared" si="1"/>
        <v>東鐵岡山:直納</v>
      </c>
      <c r="F5363" s="338" t="s">
        <v>154</v>
      </c>
      <c r="G5363" s="339" t="str">
        <f t="shared" si="2"/>
        <v>東鐵岡山:直納ＣＰ Ａ</v>
      </c>
      <c r="H5363" s="340">
        <f t="shared" si="3"/>
        <v>51</v>
      </c>
      <c r="I5363" s="341">
        <v>1.5</v>
      </c>
      <c r="J5363" s="332">
        <f>IFERROR(__xludf.DUMMYFUNCTION("IF(IF(COUNTIF(P$2:P5362, P5363)=0, """", INDEX(H$2:H5362,
MAX(FILTER(ROW(H$2:H5362) - ROW(H$2) + 1, P$2:P5362 = P5363))))=""単価"","""",
IF(COUNTIF(P$2:P5362, P5363)=0, """", INDEX(H$2:H5362,
MAX(FILTER(ROW(H$2:H5362) - ROW(H$2) + 1, P$2:P5362 = P5363)))))"),49.5)</f>
        <v>49.5</v>
      </c>
      <c r="N5363" s="335" t="str">
        <f>IF(MAXIFS('単価履歴'!$O:$O,'単価履歴'!$E:$E,E5363,'単価履歴'!$F:$F,F5363)=O5363,"●","")</f>
        <v/>
      </c>
      <c r="O5363" s="346">
        <v>46122.275775462964</v>
      </c>
      <c r="P5363" s="334" t="str">
        <f t="shared" si="4"/>
        <v>東鐵岡山:直納ＣＰ Ａ</v>
      </c>
    </row>
    <row r="5364" ht="15.75" customHeight="1">
      <c r="A5364" s="335" t="s">
        <v>6511</v>
      </c>
      <c r="B5364" s="336">
        <v>46122.0</v>
      </c>
      <c r="C5364" s="370" t="s">
        <v>535</v>
      </c>
      <c r="D5364" s="370" t="s">
        <v>77</v>
      </c>
      <c r="E5364" s="337" t="str">
        <f t="shared" si="1"/>
        <v>東鐵名古屋:直納</v>
      </c>
      <c r="F5364" s="338" t="s">
        <v>1199</v>
      </c>
      <c r="G5364" s="339" t="str">
        <f t="shared" si="2"/>
        <v>東鐵名古屋:直納ＨＳ１(単体H1/電特A/HS))</v>
      </c>
      <c r="H5364" s="340">
        <f t="shared" si="3"/>
        <v>55</v>
      </c>
      <c r="I5364" s="341">
        <v>1.5</v>
      </c>
      <c r="J5364" s="332">
        <f>IFERROR(__xludf.DUMMYFUNCTION("IF(IF(COUNTIF(P$2:P5363, P5364)=0, """", INDEX(H$2:H5363,
MAX(FILTER(ROW(H$2:H5363) - ROW(H$2) + 1, P$2:P5363 = P5364))))=""単価"","""",
IF(COUNTIF(P$2:P5363, P5364)=0, """", INDEX(H$2:H5363,
MAX(FILTER(ROW(H$2:H5363) - ROW(H$2) + 1, P$2:P5363 = P5364)))))"),53.5)</f>
        <v>53.5</v>
      </c>
      <c r="N5364" s="335" t="str">
        <f>IF(MAXIFS('単価履歴'!$O:$O,'単価履歴'!$E:$E,E5364,'単価履歴'!$F:$F,F5364)=O5364,"●","")</f>
        <v/>
      </c>
      <c r="O5364" s="346">
        <v>46122.275983796295</v>
      </c>
      <c r="P5364" s="334" t="str">
        <f t="shared" si="4"/>
        <v>東鐵名古屋:直納ＨＳ１(単体H1/電特A/HS))</v>
      </c>
    </row>
    <row r="5365" ht="15.75" customHeight="1">
      <c r="A5365" s="335" t="s">
        <v>6512</v>
      </c>
      <c r="B5365" s="336">
        <v>46122.0</v>
      </c>
      <c r="C5365" s="370" t="s">
        <v>535</v>
      </c>
      <c r="D5365" s="370" t="s">
        <v>77</v>
      </c>
      <c r="E5365" s="337" t="str">
        <f t="shared" si="1"/>
        <v>東鐵名古屋:直納</v>
      </c>
      <c r="F5365" s="338" t="s">
        <v>111</v>
      </c>
      <c r="G5365" s="339" t="str">
        <f t="shared" si="2"/>
        <v>東鐵名古屋:直納Ｈ１(特A)</v>
      </c>
      <c r="H5365" s="340">
        <f t="shared" si="3"/>
        <v>54.5</v>
      </c>
      <c r="I5365" s="341">
        <v>1.5</v>
      </c>
      <c r="J5365" s="332">
        <f>IFERROR(__xludf.DUMMYFUNCTION("IF(IF(COUNTIF(P$2:P5364, P5365)=0, """", INDEX(H$2:H5364,
MAX(FILTER(ROW(H$2:H5364) - ROW(H$2) + 1, P$2:P5364 = P5365))))=""単価"","""",
IF(COUNTIF(P$2:P5364, P5365)=0, """", INDEX(H$2:H5364,
MAX(FILTER(ROW(H$2:H5364) - ROW(H$2) + 1, P$2:P5364 = P5365)))))"),53.0)</f>
        <v>53</v>
      </c>
      <c r="N5365" s="335" t="str">
        <f>IF(MAXIFS('単価履歴'!$O:$O,'単価履歴'!$E:$E,E5365,'単価履歴'!$F:$F,F5365)=O5365,"●","")</f>
        <v/>
      </c>
      <c r="O5365" s="346">
        <v>46122.275983796295</v>
      </c>
      <c r="P5365" s="334" t="str">
        <f t="shared" si="4"/>
        <v>東鐵名古屋:直納Ｈ１(特A)</v>
      </c>
    </row>
    <row r="5366" ht="15.75" customHeight="1">
      <c r="A5366" s="335" t="s">
        <v>6513</v>
      </c>
      <c r="B5366" s="336">
        <v>46122.0</v>
      </c>
      <c r="C5366" s="370" t="s">
        <v>535</v>
      </c>
      <c r="D5366" s="370" t="s">
        <v>77</v>
      </c>
      <c r="E5366" s="337" t="str">
        <f t="shared" si="1"/>
        <v>東鐵名古屋:直納</v>
      </c>
      <c r="F5366" s="338" t="s">
        <v>116</v>
      </c>
      <c r="G5366" s="339" t="str">
        <f t="shared" si="2"/>
        <v>東鐵名古屋:直納Ｈ２(特級)</v>
      </c>
      <c r="H5366" s="340">
        <f t="shared" si="3"/>
        <v>52.5</v>
      </c>
      <c r="I5366" s="341">
        <v>1.5</v>
      </c>
      <c r="J5366" s="332">
        <f>IFERROR(__xludf.DUMMYFUNCTION("IF(IF(COUNTIF(P$2:P5365, P5366)=0, """", INDEX(H$2:H5365,
MAX(FILTER(ROW(H$2:H5365) - ROW(H$2) + 1, P$2:P5365 = P5366))))=""単価"","""",
IF(COUNTIF(P$2:P5365, P5366)=0, """", INDEX(H$2:H5365,
MAX(FILTER(ROW(H$2:H5365) - ROW(H$2) + 1, P$2:P5365 = P5366)))))"),51.0)</f>
        <v>51</v>
      </c>
      <c r="N5366" s="335" t="str">
        <f>IF(MAXIFS('単価履歴'!$O:$O,'単価履歴'!$E:$E,E5366,'単価履歴'!$F:$F,F5366)=O5366,"●","")</f>
        <v/>
      </c>
      <c r="O5366" s="346">
        <v>46122.275983796295</v>
      </c>
      <c r="P5366" s="334" t="str">
        <f t="shared" si="4"/>
        <v>東鐵名古屋:直納Ｈ２(特級)</v>
      </c>
    </row>
    <row r="5367" ht="15.75" customHeight="1">
      <c r="A5367" s="335" t="s">
        <v>6514</v>
      </c>
      <c r="B5367" s="336">
        <v>46122.0</v>
      </c>
      <c r="C5367" s="370" t="s">
        <v>535</v>
      </c>
      <c r="D5367" s="370" t="s">
        <v>77</v>
      </c>
      <c r="E5367" s="337" t="str">
        <f t="shared" si="1"/>
        <v>東鐵名古屋:直納</v>
      </c>
      <c r="F5367" s="338" t="s">
        <v>119</v>
      </c>
      <c r="G5367" s="339" t="str">
        <f t="shared" si="2"/>
        <v>東鐵名古屋:直納Ｈ３(1級)</v>
      </c>
      <c r="H5367" s="340">
        <f t="shared" si="3"/>
        <v>52.5</v>
      </c>
      <c r="I5367" s="341">
        <v>1.5</v>
      </c>
      <c r="J5367" s="332">
        <f>IFERROR(__xludf.DUMMYFUNCTION("IF(IF(COUNTIF(P$2:P5366, P5367)=0, """", INDEX(H$2:H5366,
MAX(FILTER(ROW(H$2:H5366) - ROW(H$2) + 1, P$2:P5366 = P5367))))=""単価"","""",
IF(COUNTIF(P$2:P5366, P5367)=0, """", INDEX(H$2:H5366,
MAX(FILTER(ROW(H$2:H5366) - ROW(H$2) + 1, P$2:P5366 = P5367)))))"),51.0)</f>
        <v>51</v>
      </c>
      <c r="N5367" s="335" t="str">
        <f>IF(MAXIFS('単価履歴'!$O:$O,'単価履歴'!$E:$E,E5367,'単価履歴'!$F:$F,F5367)=O5367,"●","")</f>
        <v/>
      </c>
      <c r="O5367" s="346">
        <v>46122.275983796295</v>
      </c>
      <c r="P5367" s="334" t="str">
        <f t="shared" si="4"/>
        <v>東鐵名古屋:直納Ｈ３(1級)</v>
      </c>
    </row>
    <row r="5368" ht="15.75" customHeight="1">
      <c r="A5368" s="335" t="s">
        <v>6515</v>
      </c>
      <c r="B5368" s="336">
        <v>46122.0</v>
      </c>
      <c r="C5368" s="370" t="s">
        <v>535</v>
      </c>
      <c r="D5368" s="370" t="s">
        <v>77</v>
      </c>
      <c r="E5368" s="337" t="str">
        <f t="shared" si="1"/>
        <v>東鐵名古屋:直納</v>
      </c>
      <c r="F5368" s="338" t="s">
        <v>122</v>
      </c>
      <c r="G5368" s="339" t="str">
        <f t="shared" si="2"/>
        <v>東鐵名古屋:直納Ｌ１(2級)</v>
      </c>
      <c r="H5368" s="340">
        <f t="shared" si="3"/>
        <v>52</v>
      </c>
      <c r="I5368" s="341">
        <v>1.5</v>
      </c>
      <c r="J5368" s="332">
        <f>IFERROR(__xludf.DUMMYFUNCTION("IF(IF(COUNTIF(P$2:P5367, P5368)=0, """", INDEX(H$2:H5367,
MAX(FILTER(ROW(H$2:H5367) - ROW(H$2) + 1, P$2:P5367 = P5368))))=""単価"","""",
IF(COUNTIF(P$2:P5367, P5368)=0, """", INDEX(H$2:H5367,
MAX(FILTER(ROW(H$2:H5367) - ROW(H$2) + 1, P$2:P5367 = P5368)))))"),50.5)</f>
        <v>50.5</v>
      </c>
      <c r="N5368" s="335" t="str">
        <f>IF(MAXIFS('単価履歴'!$O:$O,'単価履歴'!$E:$E,E5368,'単価履歴'!$F:$F,F5368)=O5368,"●","")</f>
        <v/>
      </c>
      <c r="O5368" s="346">
        <v>46122.275983796295</v>
      </c>
      <c r="P5368" s="334" t="str">
        <f t="shared" si="4"/>
        <v>東鐵名古屋:直納Ｌ１(2級)</v>
      </c>
    </row>
    <row r="5369" ht="15.75" customHeight="1">
      <c r="A5369" s="335" t="s">
        <v>6516</v>
      </c>
      <c r="B5369" s="336">
        <v>46122.0</v>
      </c>
      <c r="C5369" s="370" t="s">
        <v>535</v>
      </c>
      <c r="D5369" s="370" t="s">
        <v>77</v>
      </c>
      <c r="E5369" s="337" t="str">
        <f t="shared" si="1"/>
        <v>東鐵名古屋:直納</v>
      </c>
      <c r="F5369" s="338" t="s">
        <v>573</v>
      </c>
      <c r="G5369" s="339" t="str">
        <f t="shared" si="2"/>
        <v>東鐵名古屋:直納Ｌ２(H4･級外･L1ﾊﾞﾗ)</v>
      </c>
      <c r="H5369" s="340">
        <f t="shared" si="3"/>
        <v>47.5</v>
      </c>
      <c r="I5369" s="341">
        <v>1.5</v>
      </c>
      <c r="J5369" s="332">
        <f>IFERROR(__xludf.DUMMYFUNCTION("IF(IF(COUNTIF(P$2:P5368, P5369)=0, """", INDEX(H$2:H5368,
MAX(FILTER(ROW(H$2:H5368) - ROW(H$2) + 1, P$2:P5368 = P5369))))=""単価"","""",
IF(COUNTIF(P$2:P5368, P5369)=0, """", INDEX(H$2:H5368,
MAX(FILTER(ROW(H$2:H5368) - ROW(H$2) + 1, P$2:P5368 = P5369)))))"),46.0)</f>
        <v>46</v>
      </c>
      <c r="N5369" s="335" t="str">
        <f>IF(MAXIFS('単価履歴'!$O:$O,'単価履歴'!$E:$E,E5369,'単価履歴'!$F:$F,F5369)=O5369,"●","")</f>
        <v/>
      </c>
      <c r="O5369" s="346">
        <v>46122.275983796295</v>
      </c>
      <c r="P5369" s="334" t="str">
        <f t="shared" si="4"/>
        <v>東鐵名古屋:直納Ｌ２(H4･級外･L1ﾊﾞﾗ)</v>
      </c>
    </row>
    <row r="5370" ht="15.75" customHeight="1">
      <c r="A5370" s="335" t="s">
        <v>6517</v>
      </c>
      <c r="B5370" s="336">
        <v>46122.0</v>
      </c>
      <c r="C5370" s="370" t="s">
        <v>535</v>
      </c>
      <c r="D5370" s="370" t="s">
        <v>77</v>
      </c>
      <c r="E5370" s="337" t="str">
        <f t="shared" si="1"/>
        <v>東鐵名古屋:直納</v>
      </c>
      <c r="F5370" s="338" t="s">
        <v>145</v>
      </c>
      <c r="G5370" s="339" t="str">
        <f t="shared" si="2"/>
        <v>東鐵名古屋:直納シュレＡ</v>
      </c>
      <c r="H5370" s="340">
        <f t="shared" si="3"/>
        <v>53.5</v>
      </c>
      <c r="I5370" s="341">
        <v>1.5</v>
      </c>
      <c r="J5370" s="332">
        <f>IFERROR(__xludf.DUMMYFUNCTION("IF(IF(COUNTIF(P$2:P5369, P5370)=0, """", INDEX(H$2:H5369,
MAX(FILTER(ROW(H$2:H5369) - ROW(H$2) + 1, P$2:P5369 = P5370))))=""単価"","""",
IF(COUNTIF(P$2:P5369, P5370)=0, """", INDEX(H$2:H5369,
MAX(FILTER(ROW(H$2:H5369) - ROW(H$2) + 1, P$2:P5369 = P5370)))))"),52.0)</f>
        <v>52</v>
      </c>
      <c r="N5370" s="335" t="str">
        <f>IF(MAXIFS('単価履歴'!$O:$O,'単価履歴'!$E:$E,E5370,'単価履歴'!$F:$F,F5370)=O5370,"●","")</f>
        <v/>
      </c>
      <c r="O5370" s="346">
        <v>46122.275983796295</v>
      </c>
      <c r="P5370" s="334" t="str">
        <f t="shared" si="4"/>
        <v>東鐵名古屋:直納シュレＡ</v>
      </c>
    </row>
    <row r="5371" ht="15.75" customHeight="1">
      <c r="A5371" s="335" t="s">
        <v>6518</v>
      </c>
      <c r="B5371" s="336">
        <v>46122.0</v>
      </c>
      <c r="C5371" s="370" t="s">
        <v>535</v>
      </c>
      <c r="D5371" s="370" t="s">
        <v>77</v>
      </c>
      <c r="E5371" s="337" t="str">
        <f t="shared" si="1"/>
        <v>東鐵名古屋:直納</v>
      </c>
      <c r="F5371" s="338" t="s">
        <v>151</v>
      </c>
      <c r="G5371" s="339" t="str">
        <f t="shared" si="2"/>
        <v>東鐵名古屋:直納シュレＣ</v>
      </c>
      <c r="H5371" s="340">
        <f t="shared" si="3"/>
        <v>53</v>
      </c>
      <c r="I5371" s="341">
        <v>1.5</v>
      </c>
      <c r="J5371" s="332">
        <f>IFERROR(__xludf.DUMMYFUNCTION("IF(IF(COUNTIF(P$2:P5370, P5371)=0, """", INDEX(H$2:H5370,
MAX(FILTER(ROW(H$2:H5370) - ROW(H$2) + 1, P$2:P5370 = P5371))))=""単価"","""",
IF(COUNTIF(P$2:P5370, P5371)=0, """", INDEX(H$2:H5370,
MAX(FILTER(ROW(H$2:H5370) - ROW(H$2) + 1, P$2:P5370 = P5371)))))"),51.5)</f>
        <v>51.5</v>
      </c>
      <c r="N5371" s="335" t="str">
        <f>IF(MAXIFS('単価履歴'!$O:$O,'単価履歴'!$E:$E,E5371,'単価履歴'!$F:$F,F5371)=O5371,"●","")</f>
        <v/>
      </c>
      <c r="O5371" s="346">
        <v>46122.275983796295</v>
      </c>
      <c r="P5371" s="334" t="str">
        <f t="shared" si="4"/>
        <v>東鐵名古屋:直納シュレＣ</v>
      </c>
    </row>
    <row r="5372" ht="15.75" customHeight="1">
      <c r="A5372" s="335" t="s">
        <v>6519</v>
      </c>
      <c r="B5372" s="336">
        <v>46122.0</v>
      </c>
      <c r="C5372" s="370" t="s">
        <v>536</v>
      </c>
      <c r="D5372" s="370" t="s">
        <v>77</v>
      </c>
      <c r="E5372" s="337" t="str">
        <f t="shared" si="1"/>
        <v>東鐵田原:直納</v>
      </c>
      <c r="F5372" s="338" t="s">
        <v>1199</v>
      </c>
      <c r="G5372" s="339" t="str">
        <f t="shared" si="2"/>
        <v>東鐵田原:直納ＨＳ１(単体H1/電特A/HS))</v>
      </c>
      <c r="H5372" s="340">
        <f t="shared" si="3"/>
        <v>56</v>
      </c>
      <c r="I5372" s="341">
        <v>1.5</v>
      </c>
      <c r="J5372" s="332">
        <f>IFERROR(__xludf.DUMMYFUNCTION("IF(IF(COUNTIF(P$2:P5371, P5372)=0, """", INDEX(H$2:H5371,
MAX(FILTER(ROW(H$2:H5371) - ROW(H$2) + 1, P$2:P5371 = P5372))))=""単価"","""",
IF(COUNTIF(P$2:P5371, P5372)=0, """", INDEX(H$2:H5371,
MAX(FILTER(ROW(H$2:H5371) - ROW(H$2) + 1, P$2:P5371 = P5372)))))"),54.5)</f>
        <v>54.5</v>
      </c>
      <c r="N5372" s="335" t="str">
        <f>IF(MAXIFS('単価履歴'!$O:$O,'単価履歴'!$E:$E,E5372,'単価履歴'!$F:$F,F5372)=O5372,"●","")</f>
        <v/>
      </c>
      <c r="O5372" s="346">
        <v>46122.2762037037</v>
      </c>
      <c r="P5372" s="334" t="str">
        <f t="shared" si="4"/>
        <v>東鐵田原:直納ＨＳ１(単体H1/電特A/HS))</v>
      </c>
    </row>
    <row r="5373" ht="15.75" customHeight="1">
      <c r="A5373" s="335" t="s">
        <v>6520</v>
      </c>
      <c r="B5373" s="336">
        <v>46122.0</v>
      </c>
      <c r="C5373" s="370" t="s">
        <v>536</v>
      </c>
      <c r="D5373" s="370" t="s">
        <v>77</v>
      </c>
      <c r="E5373" s="337" t="str">
        <f t="shared" si="1"/>
        <v>東鐵田原:直納</v>
      </c>
      <c r="F5373" s="338" t="s">
        <v>111</v>
      </c>
      <c r="G5373" s="339" t="str">
        <f t="shared" si="2"/>
        <v>東鐵田原:直納Ｈ１(特A)</v>
      </c>
      <c r="H5373" s="340">
        <f t="shared" si="3"/>
        <v>55.5</v>
      </c>
      <c r="I5373" s="341">
        <v>1.5</v>
      </c>
      <c r="J5373" s="332">
        <f>IFERROR(__xludf.DUMMYFUNCTION("IF(IF(COUNTIF(P$2:P5372, P5373)=0, """", INDEX(H$2:H5372,
MAX(FILTER(ROW(H$2:H5372) - ROW(H$2) + 1, P$2:P5372 = P5373))))=""単価"","""",
IF(COUNTIF(P$2:P5372, P5373)=0, """", INDEX(H$2:H5372,
MAX(FILTER(ROW(H$2:H5372) - ROW(H$2) + 1, P$2:P5372 = P5373)))))"),54.0)</f>
        <v>54</v>
      </c>
      <c r="N5373" s="335" t="str">
        <f>IF(MAXIFS('単価履歴'!$O:$O,'単価履歴'!$E:$E,E5373,'単価履歴'!$F:$F,F5373)=O5373,"●","")</f>
        <v/>
      </c>
      <c r="O5373" s="346">
        <v>46122.2762037037</v>
      </c>
      <c r="P5373" s="334" t="str">
        <f t="shared" si="4"/>
        <v>東鐵田原:直納Ｈ１(特A)</v>
      </c>
    </row>
    <row r="5374" ht="15.75" customHeight="1">
      <c r="A5374" s="335" t="s">
        <v>6521</v>
      </c>
      <c r="B5374" s="336">
        <v>46122.0</v>
      </c>
      <c r="C5374" s="370" t="s">
        <v>536</v>
      </c>
      <c r="D5374" s="370" t="s">
        <v>77</v>
      </c>
      <c r="E5374" s="337" t="str">
        <f t="shared" si="1"/>
        <v>東鐵田原:直納</v>
      </c>
      <c r="F5374" s="338" t="s">
        <v>116</v>
      </c>
      <c r="G5374" s="339" t="str">
        <f t="shared" si="2"/>
        <v>東鐵田原:直納Ｈ２(特級)</v>
      </c>
      <c r="H5374" s="340">
        <f t="shared" si="3"/>
        <v>52.5</v>
      </c>
      <c r="I5374" s="341">
        <v>1.5</v>
      </c>
      <c r="J5374" s="332">
        <f>IFERROR(__xludf.DUMMYFUNCTION("IF(IF(COUNTIF(P$2:P5373, P5374)=0, """", INDEX(H$2:H5373,
MAX(FILTER(ROW(H$2:H5373) - ROW(H$2) + 1, P$2:P5373 = P5374))))=""単価"","""",
IF(COUNTIF(P$2:P5373, P5374)=0, """", INDEX(H$2:H5373,
MAX(FILTER(ROW(H$2:H5373) - ROW(H$2) + 1, P$2:P5373 = P5374)))))"),51.0)</f>
        <v>51</v>
      </c>
      <c r="N5374" s="335" t="str">
        <f>IF(MAXIFS('単価履歴'!$O:$O,'単価履歴'!$E:$E,E5374,'単価履歴'!$F:$F,F5374)=O5374,"●","")</f>
        <v/>
      </c>
      <c r="O5374" s="346">
        <v>46122.2762037037</v>
      </c>
      <c r="P5374" s="334" t="str">
        <f t="shared" si="4"/>
        <v>東鐵田原:直納Ｈ２(特級)</v>
      </c>
    </row>
    <row r="5375" ht="15.75" customHeight="1">
      <c r="A5375" s="335" t="s">
        <v>6522</v>
      </c>
      <c r="B5375" s="336">
        <v>46122.0</v>
      </c>
      <c r="C5375" s="370" t="s">
        <v>536</v>
      </c>
      <c r="D5375" s="370" t="s">
        <v>77</v>
      </c>
      <c r="E5375" s="337" t="str">
        <f t="shared" si="1"/>
        <v>東鐵田原:直納</v>
      </c>
      <c r="F5375" s="338" t="s">
        <v>119</v>
      </c>
      <c r="G5375" s="339" t="str">
        <f t="shared" si="2"/>
        <v>東鐵田原:直納Ｈ３(1級)</v>
      </c>
      <c r="H5375" s="340">
        <f t="shared" si="3"/>
        <v>52.5</v>
      </c>
      <c r="I5375" s="341">
        <v>1.5</v>
      </c>
      <c r="J5375" s="332">
        <f>IFERROR(__xludf.DUMMYFUNCTION("IF(IF(COUNTIF(P$2:P5374, P5375)=0, """", INDEX(H$2:H5374,
MAX(FILTER(ROW(H$2:H5374) - ROW(H$2) + 1, P$2:P5374 = P5375))))=""単価"","""",
IF(COUNTIF(P$2:P5374, P5375)=0, """", INDEX(H$2:H5374,
MAX(FILTER(ROW(H$2:H5374) - ROW(H$2) + 1, P$2:P5374 = P5375)))))"),51.0)</f>
        <v>51</v>
      </c>
      <c r="N5375" s="335" t="str">
        <f>IF(MAXIFS('単価履歴'!$O:$O,'単価履歴'!$E:$E,E5375,'単価履歴'!$F:$F,F5375)=O5375,"●","")</f>
        <v/>
      </c>
      <c r="O5375" s="346">
        <v>46122.2762037037</v>
      </c>
      <c r="P5375" s="334" t="str">
        <f t="shared" si="4"/>
        <v>東鐵田原:直納Ｈ３(1級)</v>
      </c>
    </row>
    <row r="5376" ht="15.75" customHeight="1">
      <c r="A5376" s="335" t="s">
        <v>6523</v>
      </c>
      <c r="B5376" s="336">
        <v>46122.0</v>
      </c>
      <c r="C5376" s="370" t="s">
        <v>536</v>
      </c>
      <c r="D5376" s="370" t="s">
        <v>77</v>
      </c>
      <c r="E5376" s="337" t="str">
        <f t="shared" si="1"/>
        <v>東鐵田原:直納</v>
      </c>
      <c r="F5376" s="338" t="s">
        <v>122</v>
      </c>
      <c r="G5376" s="339" t="str">
        <f t="shared" si="2"/>
        <v>東鐵田原:直納Ｌ１(2級)</v>
      </c>
      <c r="H5376" s="340">
        <f t="shared" si="3"/>
        <v>52</v>
      </c>
      <c r="I5376" s="341">
        <v>1.5</v>
      </c>
      <c r="J5376" s="332">
        <f>IFERROR(__xludf.DUMMYFUNCTION("IF(IF(COUNTIF(P$2:P5375, P5376)=0, """", INDEX(H$2:H5375,
MAX(FILTER(ROW(H$2:H5375) - ROW(H$2) + 1, P$2:P5375 = P5376))))=""単価"","""",
IF(COUNTIF(P$2:P5375, P5376)=0, """", INDEX(H$2:H5375,
MAX(FILTER(ROW(H$2:H5375) - ROW(H$2) + 1, P$2:P5375 = P5376)))))"),50.5)</f>
        <v>50.5</v>
      </c>
      <c r="N5376" s="335" t="str">
        <f>IF(MAXIFS('単価履歴'!$O:$O,'単価履歴'!$E:$E,E5376,'単価履歴'!$F:$F,F5376)=O5376,"●","")</f>
        <v/>
      </c>
      <c r="O5376" s="346">
        <v>46122.2762037037</v>
      </c>
      <c r="P5376" s="334" t="str">
        <f t="shared" si="4"/>
        <v>東鐵田原:直納Ｌ１(2級)</v>
      </c>
    </row>
    <row r="5377" ht="15.75" customHeight="1">
      <c r="A5377" s="335" t="s">
        <v>6524</v>
      </c>
      <c r="B5377" s="336">
        <v>46122.0</v>
      </c>
      <c r="C5377" s="370" t="s">
        <v>536</v>
      </c>
      <c r="D5377" s="370" t="s">
        <v>77</v>
      </c>
      <c r="E5377" s="337" t="str">
        <f t="shared" si="1"/>
        <v>東鐵田原:直納</v>
      </c>
      <c r="F5377" s="338" t="s">
        <v>573</v>
      </c>
      <c r="G5377" s="339" t="str">
        <f t="shared" si="2"/>
        <v>東鐵田原:直納Ｌ２(H4･級外･L1ﾊﾞﾗ)</v>
      </c>
      <c r="H5377" s="340">
        <f t="shared" si="3"/>
        <v>47.5</v>
      </c>
      <c r="I5377" s="341">
        <v>1.5</v>
      </c>
      <c r="J5377" s="332">
        <f>IFERROR(__xludf.DUMMYFUNCTION("IF(IF(COUNTIF(P$2:P5376, P5377)=0, """", INDEX(H$2:H5376,
MAX(FILTER(ROW(H$2:H5376) - ROW(H$2) + 1, P$2:P5376 = P5377))))=""単価"","""",
IF(COUNTIF(P$2:P5376, P5377)=0, """", INDEX(H$2:H5376,
MAX(FILTER(ROW(H$2:H5376) - ROW(H$2) + 1, P$2:P5376 = P5377)))))"),46.0)</f>
        <v>46</v>
      </c>
      <c r="N5377" s="335" t="str">
        <f>IF(MAXIFS('単価履歴'!$O:$O,'単価履歴'!$E:$E,E5377,'単価履歴'!$F:$F,F5377)=O5377,"●","")</f>
        <v/>
      </c>
      <c r="O5377" s="346">
        <v>46122.2762037037</v>
      </c>
      <c r="P5377" s="334" t="str">
        <f t="shared" si="4"/>
        <v>東鐵田原:直納Ｌ２(H4･級外･L1ﾊﾞﾗ)</v>
      </c>
    </row>
    <row r="5378" ht="15.75" customHeight="1">
      <c r="A5378" s="335" t="s">
        <v>6525</v>
      </c>
      <c r="B5378" s="336">
        <v>46122.0</v>
      </c>
      <c r="C5378" s="370" t="s">
        <v>536</v>
      </c>
      <c r="D5378" s="370" t="s">
        <v>77</v>
      </c>
      <c r="E5378" s="337" t="str">
        <f t="shared" si="1"/>
        <v>東鐵田原:直納</v>
      </c>
      <c r="F5378" s="338" t="s">
        <v>130</v>
      </c>
      <c r="G5378" s="339" t="str">
        <f t="shared" si="2"/>
        <v>東鐵田原:直納新断Ａ</v>
      </c>
      <c r="H5378" s="340">
        <f t="shared" si="3"/>
        <v>57.5</v>
      </c>
      <c r="I5378" s="341">
        <v>1.5</v>
      </c>
      <c r="J5378" s="332">
        <f>IFERROR(__xludf.DUMMYFUNCTION("IF(IF(COUNTIF(P$2:P5377, P5378)=0, """", INDEX(H$2:H5377,
MAX(FILTER(ROW(H$2:H5377) - ROW(H$2) + 1, P$2:P5377 = P5378))))=""単価"","""",
IF(COUNTIF(P$2:P5377, P5378)=0, """", INDEX(H$2:H5377,
MAX(FILTER(ROW(H$2:H5377) - ROW(H$2) + 1, P$2:P5377 = P5378)))))"),56.0)</f>
        <v>56</v>
      </c>
      <c r="N5378" s="335" t="str">
        <f>IF(MAXIFS('単価履歴'!$O:$O,'単価履歴'!$E:$E,E5378,'単価履歴'!$F:$F,F5378)=O5378,"●","")</f>
        <v/>
      </c>
      <c r="O5378" s="346">
        <v>46122.2762037037</v>
      </c>
      <c r="P5378" s="334" t="str">
        <f t="shared" si="4"/>
        <v>東鐵田原:直納新断Ａ</v>
      </c>
    </row>
    <row r="5379" ht="15.75" customHeight="1">
      <c r="A5379" s="335" t="s">
        <v>6526</v>
      </c>
      <c r="B5379" s="336">
        <v>46122.0</v>
      </c>
      <c r="C5379" s="370" t="s">
        <v>536</v>
      </c>
      <c r="D5379" s="370" t="s">
        <v>77</v>
      </c>
      <c r="E5379" s="337" t="str">
        <f t="shared" si="1"/>
        <v>東鐵田原:直納</v>
      </c>
      <c r="F5379" s="338" t="s">
        <v>131</v>
      </c>
      <c r="G5379" s="339" t="str">
        <f t="shared" si="2"/>
        <v>東鐵田原:直納新断Ｂ</v>
      </c>
      <c r="H5379" s="340">
        <f t="shared" si="3"/>
        <v>57.5</v>
      </c>
      <c r="I5379" s="341">
        <v>1.5</v>
      </c>
      <c r="J5379" s="332">
        <f>IFERROR(__xludf.DUMMYFUNCTION("IF(IF(COUNTIF(P$2:P5378, P5379)=0, """", INDEX(H$2:H5378,
MAX(FILTER(ROW(H$2:H5378) - ROW(H$2) + 1, P$2:P5378 = P5379))))=""単価"","""",
IF(COUNTIF(P$2:P5378, P5379)=0, """", INDEX(H$2:H5378,
MAX(FILTER(ROW(H$2:H5378) - ROW(H$2) + 1, P$2:P5378 = P5379)))))"),56.0)</f>
        <v>56</v>
      </c>
      <c r="N5379" s="335" t="str">
        <f>IF(MAXIFS('単価履歴'!$O:$O,'単価履歴'!$E:$E,E5379,'単価履歴'!$F:$F,F5379)=O5379,"●","")</f>
        <v/>
      </c>
      <c r="O5379" s="346">
        <v>46122.2762037037</v>
      </c>
      <c r="P5379" s="334" t="str">
        <f t="shared" si="4"/>
        <v>東鐵田原:直納新断Ｂ</v>
      </c>
    </row>
    <row r="5380" ht="15.75" customHeight="1">
      <c r="A5380" s="335" t="s">
        <v>6527</v>
      </c>
      <c r="B5380" s="336">
        <v>46122.0</v>
      </c>
      <c r="C5380" s="370" t="s">
        <v>536</v>
      </c>
      <c r="D5380" s="370" t="s">
        <v>77</v>
      </c>
      <c r="E5380" s="337" t="str">
        <f t="shared" si="1"/>
        <v>東鐵田原:直納</v>
      </c>
      <c r="F5380" s="338" t="s">
        <v>575</v>
      </c>
      <c r="G5380" s="339" t="str">
        <f t="shared" si="2"/>
        <v>東鐵田原:直納鋼ダライＡ</v>
      </c>
      <c r="H5380" s="340">
        <f t="shared" si="3"/>
        <v>51</v>
      </c>
      <c r="I5380" s="341">
        <v>1.5</v>
      </c>
      <c r="J5380" s="332">
        <f>IFERROR(__xludf.DUMMYFUNCTION("IF(IF(COUNTIF(P$2:P5379, P5380)=0, """", INDEX(H$2:H5379,
MAX(FILTER(ROW(H$2:H5379) - ROW(H$2) + 1, P$2:P5379 = P5380))))=""単価"","""",
IF(COUNTIF(P$2:P5379, P5380)=0, """", INDEX(H$2:H5379,
MAX(FILTER(ROW(H$2:H5379) - ROW(H$2) + 1, P$2:P5379 = P5380)))))"),49.5)</f>
        <v>49.5</v>
      </c>
      <c r="N5380" s="335" t="str">
        <f>IF(MAXIFS('単価履歴'!$O:$O,'単価履歴'!$E:$E,E5380,'単価履歴'!$F:$F,F5380)=O5380,"●","")</f>
        <v/>
      </c>
      <c r="O5380" s="346">
        <v>46122.2762037037</v>
      </c>
      <c r="P5380" s="334" t="str">
        <f t="shared" si="4"/>
        <v>東鐵田原:直納鋼ダライＡ</v>
      </c>
    </row>
    <row r="5381" ht="15.75" customHeight="1">
      <c r="A5381" s="335" t="s">
        <v>6528</v>
      </c>
      <c r="B5381" s="336">
        <v>46122.0</v>
      </c>
      <c r="C5381" s="370" t="s">
        <v>536</v>
      </c>
      <c r="D5381" s="370" t="s">
        <v>77</v>
      </c>
      <c r="E5381" s="337" t="str">
        <f t="shared" si="1"/>
        <v>東鐵田原:直納</v>
      </c>
      <c r="F5381" s="338" t="s">
        <v>145</v>
      </c>
      <c r="G5381" s="339" t="str">
        <f t="shared" si="2"/>
        <v>東鐵田原:直納シュレＡ</v>
      </c>
      <c r="H5381" s="340">
        <f t="shared" si="3"/>
        <v>53.5</v>
      </c>
      <c r="I5381" s="341">
        <v>1.5</v>
      </c>
      <c r="J5381" s="332">
        <f>IFERROR(__xludf.DUMMYFUNCTION("IF(IF(COUNTIF(P$2:P5380, P5381)=0, """", INDEX(H$2:H5380,
MAX(FILTER(ROW(H$2:H5380) - ROW(H$2) + 1, P$2:P5380 = P5381))))=""単価"","""",
IF(COUNTIF(P$2:P5380, P5381)=0, """", INDEX(H$2:H5380,
MAX(FILTER(ROW(H$2:H5380) - ROW(H$2) + 1, P$2:P5380 = P5381)))))"),52.0)</f>
        <v>52</v>
      </c>
      <c r="N5381" s="335" t="str">
        <f>IF(MAXIFS('単価履歴'!$O:$O,'単価履歴'!$E:$E,E5381,'単価履歴'!$F:$F,F5381)=O5381,"●","")</f>
        <v/>
      </c>
      <c r="O5381" s="346">
        <v>46122.2762037037</v>
      </c>
      <c r="P5381" s="334" t="str">
        <f t="shared" si="4"/>
        <v>東鐵田原:直納シュレＡ</v>
      </c>
    </row>
    <row r="5382" ht="15.75" customHeight="1">
      <c r="A5382" s="335" t="s">
        <v>6529</v>
      </c>
      <c r="B5382" s="336">
        <v>46122.0</v>
      </c>
      <c r="C5382" s="370" t="s">
        <v>536</v>
      </c>
      <c r="D5382" s="370" t="s">
        <v>77</v>
      </c>
      <c r="E5382" s="337" t="str">
        <f t="shared" si="1"/>
        <v>東鐵田原:直納</v>
      </c>
      <c r="F5382" s="338" t="s">
        <v>151</v>
      </c>
      <c r="G5382" s="339" t="str">
        <f t="shared" si="2"/>
        <v>東鐵田原:直納シュレＣ</v>
      </c>
      <c r="H5382" s="340">
        <f t="shared" si="3"/>
        <v>53</v>
      </c>
      <c r="I5382" s="341">
        <v>1.5</v>
      </c>
      <c r="J5382" s="332">
        <f>IFERROR(__xludf.DUMMYFUNCTION("IF(IF(COUNTIF(P$2:P5381, P5382)=0, """", INDEX(H$2:H5381,
MAX(FILTER(ROW(H$2:H5381) - ROW(H$2) + 1, P$2:P5381 = P5382))))=""単価"","""",
IF(COUNTIF(P$2:P5381, P5382)=0, """", INDEX(H$2:H5381,
MAX(FILTER(ROW(H$2:H5381) - ROW(H$2) + 1, P$2:P5381 = P5382)))))"),51.5)</f>
        <v>51.5</v>
      </c>
      <c r="N5382" s="335" t="str">
        <f>IF(MAXIFS('単価履歴'!$O:$O,'単価履歴'!$E:$E,E5382,'単価履歴'!$F:$F,F5382)=O5382,"●","")</f>
        <v/>
      </c>
      <c r="O5382" s="346">
        <v>46122.2762037037</v>
      </c>
      <c r="P5382" s="334" t="str">
        <f t="shared" si="4"/>
        <v>東鐵田原:直納シュレＣ</v>
      </c>
    </row>
    <row r="5383" ht="15.75" customHeight="1">
      <c r="A5383" s="335" t="s">
        <v>6530</v>
      </c>
      <c r="B5383" s="336">
        <v>46122.0</v>
      </c>
      <c r="C5383" s="370" t="s">
        <v>536</v>
      </c>
      <c r="D5383" s="370" t="s">
        <v>77</v>
      </c>
      <c r="E5383" s="337" t="str">
        <f t="shared" si="1"/>
        <v>東鐵田原:直納</v>
      </c>
      <c r="F5383" s="338" t="s">
        <v>154</v>
      </c>
      <c r="G5383" s="339" t="str">
        <f t="shared" si="2"/>
        <v>東鐵田原:直納ＣＰ Ａ</v>
      </c>
      <c r="H5383" s="340">
        <f t="shared" si="3"/>
        <v>51</v>
      </c>
      <c r="I5383" s="341">
        <v>1.5</v>
      </c>
      <c r="J5383" s="332">
        <f>IFERROR(__xludf.DUMMYFUNCTION("IF(IF(COUNTIF(P$2:P5382, P5383)=0, """", INDEX(H$2:H5382,
MAX(FILTER(ROW(H$2:H5382) - ROW(H$2) + 1, P$2:P5382 = P5383))))=""単価"","""",
IF(COUNTIF(P$2:P5382, P5383)=0, """", INDEX(H$2:H5382,
MAX(FILTER(ROW(H$2:H5382) - ROW(H$2) + 1, P$2:P5382 = P5383)))))"),49.5)</f>
        <v>49.5</v>
      </c>
      <c r="N5383" s="335" t="str">
        <f>IF(MAXIFS('単価履歴'!$O:$O,'単価履歴'!$E:$E,E5383,'単価履歴'!$F:$F,F5383)=O5383,"●","")</f>
        <v/>
      </c>
      <c r="O5383" s="346">
        <v>46122.2762037037</v>
      </c>
      <c r="P5383" s="334" t="str">
        <f t="shared" si="4"/>
        <v>東鐵田原:直納ＣＰ Ａ</v>
      </c>
    </row>
    <row r="5384" ht="15.75" customHeight="1">
      <c r="A5384" s="335" t="s">
        <v>6531</v>
      </c>
      <c r="B5384" s="336">
        <v>46122.0</v>
      </c>
      <c r="C5384" s="370" t="s">
        <v>534</v>
      </c>
      <c r="D5384" s="370" t="s">
        <v>46</v>
      </c>
      <c r="E5384" s="337" t="str">
        <f t="shared" si="1"/>
        <v>合同姫路:阪和</v>
      </c>
      <c r="F5384" s="338" t="s">
        <v>130</v>
      </c>
      <c r="G5384" s="339" t="str">
        <f t="shared" si="2"/>
        <v>合同姫路:阪和新断Ａ</v>
      </c>
      <c r="H5384" s="340">
        <f t="shared" si="3"/>
        <v>57.3</v>
      </c>
      <c r="I5384" s="341">
        <v>1.5</v>
      </c>
      <c r="J5384" s="332">
        <f>IFERROR(__xludf.DUMMYFUNCTION("IF(IF(COUNTIF(P$2:P5383, P5384)=0, """", INDEX(H$2:H5383,
MAX(FILTER(ROW(H$2:H5383) - ROW(H$2) + 1, P$2:P5383 = P5384))))=""単価"","""",
IF(COUNTIF(P$2:P5383, P5384)=0, """", INDEX(H$2:H5383,
MAX(FILTER(ROW(H$2:H5383) - ROW(H$2) + 1, P$2:P5383 = P5384)))))"),55.8)</f>
        <v>55.8</v>
      </c>
      <c r="N5384" s="335" t="str">
        <f>IF(MAXIFS('単価履歴'!$O:$O,'単価履歴'!$E:$E,E5384,'単価履歴'!$F:$F,F5384)=O5384,"●","")</f>
        <v/>
      </c>
      <c r="O5384" s="346">
        <v>46122.27668981481</v>
      </c>
      <c r="P5384" s="334" t="str">
        <f t="shared" si="4"/>
        <v>合同姫路:阪和新断Ａ</v>
      </c>
    </row>
    <row r="5385" ht="15.75" customHeight="1">
      <c r="A5385" s="335" t="s">
        <v>6532</v>
      </c>
      <c r="B5385" s="336">
        <v>46122.0</v>
      </c>
      <c r="C5385" s="370" t="s">
        <v>534</v>
      </c>
      <c r="D5385" s="370" t="s">
        <v>46</v>
      </c>
      <c r="E5385" s="337" t="str">
        <f t="shared" si="1"/>
        <v>合同姫路:阪和</v>
      </c>
      <c r="F5385" s="338" t="s">
        <v>131</v>
      </c>
      <c r="G5385" s="339" t="str">
        <f t="shared" si="2"/>
        <v>合同姫路:阪和新断Ｂ</v>
      </c>
      <c r="H5385" s="340">
        <f t="shared" si="3"/>
        <v>56.3</v>
      </c>
      <c r="I5385" s="341">
        <v>1.5</v>
      </c>
      <c r="J5385" s="332">
        <f>IFERROR(__xludf.DUMMYFUNCTION("IF(IF(COUNTIF(P$2:P5384, P5385)=0, """", INDEX(H$2:H5384,
MAX(FILTER(ROW(H$2:H5384) - ROW(H$2) + 1, P$2:P5384 = P5385))))=""単価"","""",
IF(COUNTIF(P$2:P5384, P5385)=0, """", INDEX(H$2:H5384,
MAX(FILTER(ROW(H$2:H5384) - ROW(H$2) + 1, P$2:P5384 = P5385)))))"),54.8)</f>
        <v>54.8</v>
      </c>
      <c r="N5385" s="335" t="str">
        <f>IF(MAXIFS('単価履歴'!$O:$O,'単価履歴'!$E:$E,E5385,'単価履歴'!$F:$F,F5385)=O5385,"●","")</f>
        <v/>
      </c>
      <c r="O5385" s="346">
        <v>46122.27668981481</v>
      </c>
      <c r="P5385" s="334" t="str">
        <f t="shared" si="4"/>
        <v>合同姫路:阪和新断Ｂ</v>
      </c>
    </row>
    <row r="5386" ht="15.75" customHeight="1">
      <c r="A5386" s="335" t="s">
        <v>6533</v>
      </c>
      <c r="B5386" s="336">
        <v>46122.0</v>
      </c>
      <c r="C5386" s="370" t="s">
        <v>11</v>
      </c>
      <c r="D5386" s="370" t="s">
        <v>46</v>
      </c>
      <c r="E5386" s="337" t="str">
        <f t="shared" si="1"/>
        <v>ﾔﾏﾄ:阪和</v>
      </c>
      <c r="F5386" s="338" t="s">
        <v>116</v>
      </c>
      <c r="G5386" s="339" t="str">
        <f t="shared" si="2"/>
        <v>ﾔﾏﾄ:阪和Ｈ２(特級)</v>
      </c>
      <c r="H5386" s="340">
        <f t="shared" si="3"/>
        <v>54.1</v>
      </c>
      <c r="I5386" s="341">
        <v>1.5</v>
      </c>
      <c r="J5386" s="332">
        <f>IFERROR(__xludf.DUMMYFUNCTION("IF(IF(COUNTIF(P$2:P5385, P5386)=0, """", INDEX(H$2:H5385,
MAX(FILTER(ROW(H$2:H5385) - ROW(H$2) + 1, P$2:P5385 = P5386))))=""単価"","""",
IF(COUNTIF(P$2:P5385, P5386)=0, """", INDEX(H$2:H5385,
MAX(FILTER(ROW(H$2:H5385) - ROW(H$2) + 1, P$2:P5385 = P5386)))))"),52.6)</f>
        <v>52.6</v>
      </c>
      <c r="N5386" s="335" t="str">
        <f>IF(MAXIFS('単価履歴'!$O:$O,'単価履歴'!$E:$E,E5386,'単価履歴'!$F:$F,F5386)=O5386,"●","")</f>
        <v/>
      </c>
      <c r="O5386" s="346">
        <v>46122.27701388889</v>
      </c>
      <c r="P5386" s="334" t="str">
        <f t="shared" si="4"/>
        <v>ﾔﾏﾄ:阪和Ｈ２(特級)</v>
      </c>
    </row>
    <row r="5387" ht="15.75" customHeight="1">
      <c r="A5387" s="335" t="s">
        <v>6534</v>
      </c>
      <c r="B5387" s="336">
        <v>46122.0</v>
      </c>
      <c r="C5387" s="370" t="s">
        <v>11</v>
      </c>
      <c r="D5387" s="370" t="s">
        <v>46</v>
      </c>
      <c r="E5387" s="337" t="str">
        <f t="shared" si="1"/>
        <v>ﾔﾏﾄ:阪和</v>
      </c>
      <c r="F5387" s="338" t="s">
        <v>119</v>
      </c>
      <c r="G5387" s="339" t="str">
        <f t="shared" si="2"/>
        <v>ﾔﾏﾄ:阪和Ｈ３(1級)</v>
      </c>
      <c r="H5387" s="340">
        <f t="shared" si="3"/>
        <v>53.6</v>
      </c>
      <c r="I5387" s="341">
        <v>1.5</v>
      </c>
      <c r="J5387" s="332">
        <f>IFERROR(__xludf.DUMMYFUNCTION("IF(IF(COUNTIF(P$2:P5386, P5387)=0, """", INDEX(H$2:H5386,
MAX(FILTER(ROW(H$2:H5386) - ROW(H$2) + 1, P$2:P5386 = P5387))))=""単価"","""",
IF(COUNTIF(P$2:P5386, P5387)=0, """", INDEX(H$2:H5386,
MAX(FILTER(ROW(H$2:H5386) - ROW(H$2) + 1, P$2:P5386 = P5387)))))"),52.1)</f>
        <v>52.1</v>
      </c>
      <c r="N5387" s="335" t="str">
        <f>IF(MAXIFS('単価履歴'!$O:$O,'単価履歴'!$E:$E,E5387,'単価履歴'!$F:$F,F5387)=O5387,"●","")</f>
        <v/>
      </c>
      <c r="O5387" s="346">
        <v>46122.27701388889</v>
      </c>
      <c r="P5387" s="334" t="str">
        <f t="shared" si="4"/>
        <v>ﾔﾏﾄ:阪和Ｈ３(1級)</v>
      </c>
    </row>
    <row r="5388" ht="15.75" customHeight="1">
      <c r="A5388" s="335" t="s">
        <v>6535</v>
      </c>
      <c r="B5388" s="336">
        <v>46122.0</v>
      </c>
      <c r="C5388" s="370" t="s">
        <v>11</v>
      </c>
      <c r="D5388" s="370" t="s">
        <v>46</v>
      </c>
      <c r="E5388" s="337" t="str">
        <f t="shared" si="1"/>
        <v>ﾔﾏﾄ:阪和</v>
      </c>
      <c r="F5388" s="338" t="s">
        <v>122</v>
      </c>
      <c r="G5388" s="339" t="str">
        <f t="shared" si="2"/>
        <v>ﾔﾏﾄ:阪和Ｌ１(2級)</v>
      </c>
      <c r="H5388" s="340">
        <f t="shared" si="3"/>
        <v>52.6</v>
      </c>
      <c r="I5388" s="341">
        <v>1.5</v>
      </c>
      <c r="J5388" s="332">
        <f>IFERROR(__xludf.DUMMYFUNCTION("IF(IF(COUNTIF(P$2:P5387, P5388)=0, """", INDEX(H$2:H5387,
MAX(FILTER(ROW(H$2:H5387) - ROW(H$2) + 1, P$2:P5387 = P5388))))=""単価"","""",
IF(COUNTIF(P$2:P5387, P5388)=0, """", INDEX(H$2:H5387,
MAX(FILTER(ROW(H$2:H5387) - ROW(H$2) + 1, P$2:P5387 = P5388)))))"),51.1)</f>
        <v>51.1</v>
      </c>
      <c r="N5388" s="335" t="str">
        <f>IF(MAXIFS('単価履歴'!$O:$O,'単価履歴'!$E:$E,E5388,'単価履歴'!$F:$F,F5388)=O5388,"●","")</f>
        <v/>
      </c>
      <c r="O5388" s="346">
        <v>46122.27701388889</v>
      </c>
      <c r="P5388" s="334" t="str">
        <f t="shared" si="4"/>
        <v>ﾔﾏﾄ:阪和Ｌ１(2級)</v>
      </c>
    </row>
    <row r="5389" ht="15.75" customHeight="1">
      <c r="A5389" s="335" t="s">
        <v>6536</v>
      </c>
      <c r="B5389" s="336">
        <v>46122.0</v>
      </c>
      <c r="C5389" s="370" t="s">
        <v>11</v>
      </c>
      <c r="D5389" s="370" t="s">
        <v>46</v>
      </c>
      <c r="E5389" s="337" t="str">
        <f t="shared" si="1"/>
        <v>ﾔﾏﾄ:阪和</v>
      </c>
      <c r="F5389" s="338" t="s">
        <v>111</v>
      </c>
      <c r="G5389" s="339" t="str">
        <f t="shared" si="2"/>
        <v>ﾔﾏﾄ:阪和Ｈ１(特A)</v>
      </c>
      <c r="H5389" s="340">
        <f t="shared" si="3"/>
        <v>55.6</v>
      </c>
      <c r="I5389" s="341">
        <v>1.5</v>
      </c>
      <c r="J5389" s="332">
        <f>IFERROR(__xludf.DUMMYFUNCTION("IF(IF(COUNTIF(P$2:P5388, P5389)=0, """", INDEX(H$2:H5388,
MAX(FILTER(ROW(H$2:H5388) - ROW(H$2) + 1, P$2:P5388 = P5389))))=""単価"","""",
IF(COUNTIF(P$2:P5388, P5389)=0, """", INDEX(H$2:H5388,
MAX(FILTER(ROW(H$2:H5388) - ROW(H$2) + 1, P$2:P5388 = P5389)))))"),54.1)</f>
        <v>54.1</v>
      </c>
      <c r="N5389" s="335" t="str">
        <f>IF(MAXIFS('単価履歴'!$O:$O,'単価履歴'!$E:$E,E5389,'単価履歴'!$F:$F,F5389)=O5389,"●","")</f>
        <v/>
      </c>
      <c r="O5389" s="346">
        <v>46122.27701388889</v>
      </c>
      <c r="P5389" s="334" t="str">
        <f t="shared" si="4"/>
        <v>ﾔﾏﾄ:阪和Ｈ１(特A)</v>
      </c>
    </row>
    <row r="5390" ht="15.75" customHeight="1">
      <c r="A5390" s="335" t="s">
        <v>6537</v>
      </c>
      <c r="B5390" s="336">
        <v>46122.0</v>
      </c>
      <c r="C5390" s="370" t="s">
        <v>11</v>
      </c>
      <c r="D5390" s="370" t="s">
        <v>46</v>
      </c>
      <c r="E5390" s="337" t="str">
        <f t="shared" si="1"/>
        <v>ﾔﾏﾄ:阪和</v>
      </c>
      <c r="F5390" s="338" t="s">
        <v>573</v>
      </c>
      <c r="G5390" s="339" t="str">
        <f t="shared" si="2"/>
        <v>ﾔﾏﾄ:阪和Ｌ２(H4･級外･L1ﾊﾞﾗ)</v>
      </c>
      <c r="H5390" s="340">
        <f t="shared" si="3"/>
        <v>48.6</v>
      </c>
      <c r="I5390" s="341">
        <v>1.5</v>
      </c>
      <c r="J5390" s="332">
        <f>IFERROR(__xludf.DUMMYFUNCTION("IF(IF(COUNTIF(P$2:P5389, P5390)=0, """", INDEX(H$2:H5389,
MAX(FILTER(ROW(H$2:H5389) - ROW(H$2) + 1, P$2:P5389 = P5390))))=""単価"","""",
IF(COUNTIF(P$2:P5389, P5390)=0, """", INDEX(H$2:H5389,
MAX(FILTER(ROW(H$2:H5389) - ROW(H$2) + 1, P$2:P5389 = P5390)))))"),47.1)</f>
        <v>47.1</v>
      </c>
      <c r="N5390" s="335" t="str">
        <f>IF(MAXIFS('単価履歴'!$O:$O,'単価履歴'!$E:$E,E5390,'単価履歴'!$F:$F,F5390)=O5390,"●","")</f>
        <v/>
      </c>
      <c r="O5390" s="346">
        <v>46122.27701388889</v>
      </c>
      <c r="P5390" s="334" t="str">
        <f t="shared" si="4"/>
        <v>ﾔﾏﾄ:阪和Ｌ２(H4･級外･L1ﾊﾞﾗ)</v>
      </c>
    </row>
    <row r="5391" ht="15.75" customHeight="1">
      <c r="A5391" s="335" t="s">
        <v>6538</v>
      </c>
      <c r="B5391" s="336">
        <v>46122.0</v>
      </c>
      <c r="C5391" s="370" t="s">
        <v>19</v>
      </c>
      <c r="D5391" s="370" t="s">
        <v>61</v>
      </c>
      <c r="E5391" s="337" t="str">
        <f t="shared" si="1"/>
        <v>トピー工業:ＭＭ</v>
      </c>
      <c r="F5391" s="338" t="s">
        <v>116</v>
      </c>
      <c r="G5391" s="339" t="str">
        <f t="shared" si="2"/>
        <v>トピー工業:ＭＭＨ２(特級)</v>
      </c>
      <c r="H5391" s="340">
        <f t="shared" si="3"/>
        <v>46.5</v>
      </c>
      <c r="I5391" s="341">
        <v>1.5</v>
      </c>
      <c r="J5391" s="332">
        <f>IFERROR(__xludf.DUMMYFUNCTION("IF(IF(COUNTIF(P$2:P5390, P5391)=0, """", INDEX(H$2:H5390,
MAX(FILTER(ROW(H$2:H5390) - ROW(H$2) + 1, P$2:P5390 = P5391))))=""単価"","""",
IF(COUNTIF(P$2:P5390, P5391)=0, """", INDEX(H$2:H5390,
MAX(FILTER(ROW(H$2:H5390) - ROW(H$2) + 1, P$2:P5390 = P5391)))))"),45.0)</f>
        <v>45</v>
      </c>
      <c r="N5391" s="335" t="str">
        <f>IF(MAXIFS('単価履歴'!$O:$O,'単価履歴'!$E:$E,E5391,'単価履歴'!$F:$F,F5391)=O5391,"●","")</f>
        <v/>
      </c>
      <c r="O5391" s="346">
        <v>46122.27767361111</v>
      </c>
      <c r="P5391" s="334" t="str">
        <f t="shared" si="4"/>
        <v>トピー工業:ＭＭＨ２(特級)</v>
      </c>
    </row>
    <row r="5392" ht="15.75" customHeight="1">
      <c r="A5392" s="335" t="s">
        <v>6539</v>
      </c>
      <c r="B5392" s="336">
        <v>46122.0</v>
      </c>
      <c r="C5392" s="370" t="s">
        <v>5</v>
      </c>
      <c r="D5392" s="370" t="s">
        <v>46</v>
      </c>
      <c r="E5392" s="337" t="str">
        <f t="shared" si="1"/>
        <v>中山製鋼:阪和</v>
      </c>
      <c r="F5392" s="338" t="s">
        <v>101</v>
      </c>
      <c r="G5392" s="339" t="str">
        <f t="shared" si="2"/>
        <v>中山製鋼:阪和ＨＳ２</v>
      </c>
      <c r="H5392" s="340">
        <f t="shared" si="3"/>
        <v>56.9</v>
      </c>
      <c r="I5392" s="341">
        <v>1.5</v>
      </c>
      <c r="J5392" s="332">
        <f>IFERROR(__xludf.DUMMYFUNCTION("IF(IF(COUNTIF(P$2:P5391, P5392)=0, """", INDEX(H$2:H5391,
MAX(FILTER(ROW(H$2:H5391) - ROW(H$2) + 1, P$2:P5391 = P5392))))=""単価"","""",
IF(COUNTIF(P$2:P5391, P5392)=0, """", INDEX(H$2:H5391,
MAX(FILTER(ROW(H$2:H5391) - ROW(H$2) + 1, P$2:P5391 = P5392)))))"),55.4)</f>
        <v>55.4</v>
      </c>
      <c r="N5392" s="335" t="str">
        <f>IF(MAXIFS('単価履歴'!$O:$O,'単価履歴'!$E:$E,E5392,'単価履歴'!$F:$F,F5392)=O5392,"●","")</f>
        <v/>
      </c>
      <c r="O5392" s="346">
        <v>46122.277962962966</v>
      </c>
      <c r="P5392" s="334" t="str">
        <f t="shared" si="4"/>
        <v>中山製鋼:阪和ＨＳ２</v>
      </c>
    </row>
    <row r="5393" ht="15.75" customHeight="1">
      <c r="A5393" s="335" t="s">
        <v>6540</v>
      </c>
      <c r="B5393" s="336">
        <v>46122.0</v>
      </c>
      <c r="C5393" s="370" t="s">
        <v>5</v>
      </c>
      <c r="D5393" s="370" t="s">
        <v>46</v>
      </c>
      <c r="E5393" s="337" t="str">
        <f t="shared" si="1"/>
        <v>中山製鋼:阪和</v>
      </c>
      <c r="F5393" s="338" t="s">
        <v>108</v>
      </c>
      <c r="G5393" s="339" t="str">
        <f t="shared" si="2"/>
        <v>中山製鋼:阪和Ｈ１/ｻﾑﾃｯｸ</v>
      </c>
      <c r="H5393" s="340">
        <f t="shared" si="3"/>
        <v>10</v>
      </c>
      <c r="I5393" s="341">
        <v>1.5</v>
      </c>
      <c r="J5393" s="332">
        <f>IFERROR(__xludf.DUMMYFUNCTION("IF(IF(COUNTIF(P$2:P5392, P5393)=0, """", INDEX(H$2:H5392,
MAX(FILTER(ROW(H$2:H5392) - ROW(H$2) + 1, P$2:P5392 = P5393))))=""単価"","""",
IF(COUNTIF(P$2:P5392, P5393)=0, """", INDEX(H$2:H5392,
MAX(FILTER(ROW(H$2:H5392) - ROW(H$2) + 1, P$2:P5392 = P5393)))))"),8.5)</f>
        <v>8.5</v>
      </c>
      <c r="N5393" s="335" t="str">
        <f>IF(MAXIFS('単価履歴'!$O:$O,'単価履歴'!$E:$E,E5393,'単価履歴'!$F:$F,F5393)=O5393,"●","")</f>
        <v/>
      </c>
      <c r="O5393" s="346">
        <v>46122.277962962966</v>
      </c>
      <c r="P5393" s="334" t="str">
        <f t="shared" si="4"/>
        <v>中山製鋼:阪和Ｈ１/ｻﾑﾃｯｸ</v>
      </c>
    </row>
    <row r="5394" ht="15.75" customHeight="1">
      <c r="A5394" s="335" t="s">
        <v>6541</v>
      </c>
      <c r="B5394" s="336">
        <v>46122.0</v>
      </c>
      <c r="C5394" s="370" t="s">
        <v>5</v>
      </c>
      <c r="D5394" s="370" t="s">
        <v>46</v>
      </c>
      <c r="E5394" s="337" t="str">
        <f t="shared" si="1"/>
        <v>中山製鋼:阪和</v>
      </c>
      <c r="F5394" s="338" t="s">
        <v>111</v>
      </c>
      <c r="G5394" s="339" t="str">
        <f t="shared" si="2"/>
        <v>中山製鋼:阪和Ｈ１(特A)</v>
      </c>
      <c r="H5394" s="340">
        <f t="shared" si="3"/>
        <v>54.8</v>
      </c>
      <c r="I5394" s="341">
        <v>1.5</v>
      </c>
      <c r="J5394" s="332">
        <f>IFERROR(__xludf.DUMMYFUNCTION("IF(IF(COUNTIF(P$2:P5393, P5394)=0, """", INDEX(H$2:H5393,
MAX(FILTER(ROW(H$2:H5393) - ROW(H$2) + 1, P$2:P5393 = P5394))))=""単価"","""",
IF(COUNTIF(P$2:P5393, P5394)=0, """", INDEX(H$2:H5393,
MAX(FILTER(ROW(H$2:H5393) - ROW(H$2) + 1, P$2:P5393 = P5394)))))"),53.3)</f>
        <v>53.3</v>
      </c>
      <c r="N5394" s="335" t="str">
        <f>IF(MAXIFS('単価履歴'!$O:$O,'単価履歴'!$E:$E,E5394,'単価履歴'!$F:$F,F5394)=O5394,"●","")</f>
        <v/>
      </c>
      <c r="O5394" s="346">
        <v>46122.277962962966</v>
      </c>
      <c r="P5394" s="334" t="str">
        <f t="shared" si="4"/>
        <v>中山製鋼:阪和Ｈ１(特A)</v>
      </c>
    </row>
    <row r="5395" ht="15.75" customHeight="1">
      <c r="A5395" s="335" t="s">
        <v>6542</v>
      </c>
      <c r="B5395" s="336">
        <v>46122.0</v>
      </c>
      <c r="C5395" s="370" t="s">
        <v>5</v>
      </c>
      <c r="D5395" s="370" t="s">
        <v>46</v>
      </c>
      <c r="E5395" s="337" t="str">
        <f t="shared" si="1"/>
        <v>中山製鋼:阪和</v>
      </c>
      <c r="F5395" s="338" t="s">
        <v>116</v>
      </c>
      <c r="G5395" s="339" t="str">
        <f t="shared" si="2"/>
        <v>中山製鋼:阪和Ｈ２(特級)</v>
      </c>
      <c r="H5395" s="340">
        <f t="shared" si="3"/>
        <v>52</v>
      </c>
      <c r="I5395" s="341">
        <v>1.5</v>
      </c>
      <c r="J5395" s="332">
        <f>IFERROR(__xludf.DUMMYFUNCTION("IF(IF(COUNTIF(P$2:P5394, P5395)=0, """", INDEX(H$2:H5394,
MAX(FILTER(ROW(H$2:H5394) - ROW(H$2) + 1, P$2:P5394 = P5395))))=""単価"","""",
IF(COUNTIF(P$2:P5394, P5395)=0, """", INDEX(H$2:H5394,
MAX(FILTER(ROW(H$2:H5394) - ROW(H$2) + 1, P$2:P5394 = P5395)))))"),50.49999999999999)</f>
        <v>50.5</v>
      </c>
      <c r="N5395" s="335" t="str">
        <f>IF(MAXIFS('単価履歴'!$O:$O,'単価履歴'!$E:$E,E5395,'単価履歴'!$F:$F,F5395)=O5395,"●","")</f>
        <v/>
      </c>
      <c r="O5395" s="346">
        <v>46122.277962962966</v>
      </c>
      <c r="P5395" s="334" t="str">
        <f t="shared" si="4"/>
        <v>中山製鋼:阪和Ｈ２(特級)</v>
      </c>
    </row>
    <row r="5396" ht="15.75" customHeight="1">
      <c r="A5396" s="335" t="s">
        <v>6543</v>
      </c>
      <c r="B5396" s="336">
        <v>46122.0</v>
      </c>
      <c r="C5396" s="370" t="s">
        <v>5</v>
      </c>
      <c r="D5396" s="370" t="s">
        <v>46</v>
      </c>
      <c r="E5396" s="337" t="str">
        <f t="shared" si="1"/>
        <v>中山製鋼:阪和</v>
      </c>
      <c r="F5396" s="338" t="s">
        <v>119</v>
      </c>
      <c r="G5396" s="339" t="str">
        <f t="shared" si="2"/>
        <v>中山製鋼:阪和Ｈ３(1級)</v>
      </c>
      <c r="H5396" s="340">
        <f t="shared" si="3"/>
        <v>51</v>
      </c>
      <c r="I5396" s="341">
        <v>1.5</v>
      </c>
      <c r="J5396" s="332">
        <f>IFERROR(__xludf.DUMMYFUNCTION("IF(IF(COUNTIF(P$2:P5395, P5396)=0, """", INDEX(H$2:H5395,
MAX(FILTER(ROW(H$2:H5395) - ROW(H$2) + 1, P$2:P5395 = P5396))))=""単価"","""",
IF(COUNTIF(P$2:P5395, P5396)=0, """", INDEX(H$2:H5395,
MAX(FILTER(ROW(H$2:H5395) - ROW(H$2) + 1, P$2:P5395 = P5396)))))"),49.5)</f>
        <v>49.5</v>
      </c>
      <c r="N5396" s="335" t="str">
        <f>IF(MAXIFS('単価履歴'!$O:$O,'単価履歴'!$E:$E,E5396,'単価履歴'!$F:$F,F5396)=O5396,"●","")</f>
        <v/>
      </c>
      <c r="O5396" s="346">
        <v>46122.277962962966</v>
      </c>
      <c r="P5396" s="334" t="str">
        <f t="shared" si="4"/>
        <v>中山製鋼:阪和Ｈ３(1級)</v>
      </c>
    </row>
    <row r="5397" ht="15.75" customHeight="1">
      <c r="A5397" s="335" t="s">
        <v>6544</v>
      </c>
      <c r="B5397" s="336">
        <v>46122.0</v>
      </c>
      <c r="C5397" s="370" t="s">
        <v>5</v>
      </c>
      <c r="D5397" s="370" t="s">
        <v>46</v>
      </c>
      <c r="E5397" s="337" t="str">
        <f t="shared" si="1"/>
        <v>中山製鋼:阪和</v>
      </c>
      <c r="F5397" s="338" t="s">
        <v>122</v>
      </c>
      <c r="G5397" s="339" t="str">
        <f t="shared" si="2"/>
        <v>中山製鋼:阪和Ｌ１(2級)</v>
      </c>
      <c r="H5397" s="340">
        <f t="shared" si="3"/>
        <v>50.5</v>
      </c>
      <c r="I5397" s="341">
        <v>1.5</v>
      </c>
      <c r="J5397" s="332">
        <f>IFERROR(__xludf.DUMMYFUNCTION("IF(IF(COUNTIF(P$2:P5396, P5397)=0, """", INDEX(H$2:H5396,
MAX(FILTER(ROW(H$2:H5396) - ROW(H$2) + 1, P$2:P5396 = P5397))))=""単価"","""",
IF(COUNTIF(P$2:P5396, P5397)=0, """", INDEX(H$2:H5396,
MAX(FILTER(ROW(H$2:H5396) - ROW(H$2) + 1, P$2:P5396 = P5397)))))"),49.0)</f>
        <v>49</v>
      </c>
      <c r="N5397" s="335" t="str">
        <f>IF(MAXIFS('単価履歴'!$O:$O,'単価履歴'!$E:$E,E5397,'単価履歴'!$F:$F,F5397)=O5397,"●","")</f>
        <v/>
      </c>
      <c r="O5397" s="346">
        <v>46122.277962962966</v>
      </c>
      <c r="P5397" s="334" t="str">
        <f t="shared" si="4"/>
        <v>中山製鋼:阪和Ｌ１(2級)</v>
      </c>
    </row>
    <row r="5398" ht="15.75" customHeight="1">
      <c r="A5398" s="335" t="s">
        <v>6545</v>
      </c>
      <c r="B5398" s="336">
        <v>46122.0</v>
      </c>
      <c r="C5398" s="370" t="s">
        <v>5</v>
      </c>
      <c r="D5398" s="370" t="s">
        <v>46</v>
      </c>
      <c r="E5398" s="337" t="str">
        <f t="shared" si="1"/>
        <v>中山製鋼:阪和</v>
      </c>
      <c r="F5398" s="338" t="s">
        <v>130</v>
      </c>
      <c r="G5398" s="339" t="str">
        <f t="shared" si="2"/>
        <v>中山製鋼:阪和新断Ａ</v>
      </c>
      <c r="H5398" s="340">
        <f t="shared" si="3"/>
        <v>57.8</v>
      </c>
      <c r="I5398" s="341">
        <v>1.5</v>
      </c>
      <c r="J5398" s="332">
        <f>IFERROR(__xludf.DUMMYFUNCTION("IF(IF(COUNTIF(P$2:P5397, P5398)=0, """", INDEX(H$2:H5397,
MAX(FILTER(ROW(H$2:H5397) - ROW(H$2) + 1, P$2:P5397 = P5398))))=""単価"","""",
IF(COUNTIF(P$2:P5397, P5398)=0, """", INDEX(H$2:H5397,
MAX(FILTER(ROW(H$2:H5397) - ROW(H$2) + 1, P$2:P5397 = P5398)))))"),56.3)</f>
        <v>56.3</v>
      </c>
      <c r="N5398" s="335" t="str">
        <f>IF(MAXIFS('単価履歴'!$O:$O,'単価履歴'!$E:$E,E5398,'単価履歴'!$F:$F,F5398)=O5398,"●","")</f>
        <v/>
      </c>
      <c r="O5398" s="346">
        <v>46122.277962962966</v>
      </c>
      <c r="P5398" s="334" t="str">
        <f t="shared" si="4"/>
        <v>中山製鋼:阪和新断Ａ</v>
      </c>
    </row>
    <row r="5399" ht="15.75" customHeight="1">
      <c r="A5399" s="335" t="s">
        <v>6546</v>
      </c>
      <c r="B5399" s="336">
        <v>46122.0</v>
      </c>
      <c r="C5399" s="370" t="s">
        <v>5</v>
      </c>
      <c r="D5399" s="370" t="s">
        <v>46</v>
      </c>
      <c r="E5399" s="337" t="str">
        <f t="shared" si="1"/>
        <v>中山製鋼:阪和</v>
      </c>
      <c r="F5399" s="338" t="s">
        <v>131</v>
      </c>
      <c r="G5399" s="339" t="str">
        <f t="shared" si="2"/>
        <v>中山製鋼:阪和新断Ｂ</v>
      </c>
      <c r="H5399" s="340">
        <f t="shared" si="3"/>
        <v>56.8</v>
      </c>
      <c r="I5399" s="341">
        <v>1.5</v>
      </c>
      <c r="J5399" s="332">
        <f>IFERROR(__xludf.DUMMYFUNCTION("IF(IF(COUNTIF(P$2:P5398, P5399)=0, """", INDEX(H$2:H5398,
MAX(FILTER(ROW(H$2:H5398) - ROW(H$2) + 1, P$2:P5398 = P5399))))=""単価"","""",
IF(COUNTIF(P$2:P5398, P5399)=0, """", INDEX(H$2:H5398,
MAX(FILTER(ROW(H$2:H5398) - ROW(H$2) + 1, P$2:P5398 = P5399)))))"),55.3)</f>
        <v>55.3</v>
      </c>
      <c r="N5399" s="335" t="str">
        <f>IF(MAXIFS('単価履歴'!$O:$O,'単価履歴'!$E:$E,E5399,'単価履歴'!$F:$F,F5399)=O5399,"●","")</f>
        <v/>
      </c>
      <c r="O5399" s="346">
        <v>46122.277962962966</v>
      </c>
      <c r="P5399" s="334" t="str">
        <f t="shared" si="4"/>
        <v>中山製鋼:阪和新断Ｂ</v>
      </c>
    </row>
    <row r="5400" ht="15.75" customHeight="1">
      <c r="A5400" s="335" t="s">
        <v>6547</v>
      </c>
      <c r="B5400" s="336">
        <v>46122.0</v>
      </c>
      <c r="C5400" s="370" t="s">
        <v>5</v>
      </c>
      <c r="D5400" s="370" t="s">
        <v>46</v>
      </c>
      <c r="E5400" s="337" t="str">
        <f t="shared" si="1"/>
        <v>中山製鋼:阪和</v>
      </c>
      <c r="F5400" s="338" t="s">
        <v>574</v>
      </c>
      <c r="G5400" s="339" t="str">
        <f t="shared" si="2"/>
        <v>中山製鋼:阪和新断Ｃ</v>
      </c>
      <c r="H5400" s="340">
        <f t="shared" si="3"/>
        <v>55.8</v>
      </c>
      <c r="I5400" s="341">
        <v>1.5</v>
      </c>
      <c r="J5400" s="332">
        <f>IFERROR(__xludf.DUMMYFUNCTION("IF(IF(COUNTIF(P$2:P5399, P5400)=0, """", INDEX(H$2:H5399,
MAX(FILTER(ROW(H$2:H5399) - ROW(H$2) + 1, P$2:P5399 = P5400))))=""単価"","""",
IF(COUNTIF(P$2:P5399, P5400)=0, """", INDEX(H$2:H5399,
MAX(FILTER(ROW(H$2:H5399) - ROW(H$2) + 1, P$2:P5399 = P5400)))))"),54.3)</f>
        <v>54.3</v>
      </c>
      <c r="N5400" s="335" t="str">
        <f>IF(MAXIFS('単価履歴'!$O:$O,'単価履歴'!$E:$E,E5400,'単価履歴'!$F:$F,F5400)=O5400,"●","")</f>
        <v/>
      </c>
      <c r="O5400" s="346">
        <v>46122.277962962966</v>
      </c>
      <c r="P5400" s="334" t="str">
        <f t="shared" si="4"/>
        <v>中山製鋼:阪和新断Ｃ</v>
      </c>
    </row>
    <row r="5401" ht="15.75" customHeight="1">
      <c r="A5401" s="335" t="s">
        <v>6548</v>
      </c>
      <c r="B5401" s="336">
        <v>46122.0</v>
      </c>
      <c r="C5401" s="370" t="s">
        <v>5</v>
      </c>
      <c r="D5401" s="370" t="s">
        <v>47</v>
      </c>
      <c r="E5401" s="337" t="str">
        <f t="shared" si="1"/>
        <v>中山製鋼:豊通</v>
      </c>
      <c r="F5401" s="338" t="s">
        <v>1199</v>
      </c>
      <c r="G5401" s="339" t="str">
        <f t="shared" si="2"/>
        <v>中山製鋼:豊通ＨＳ１(単体H1/電特A/HS))</v>
      </c>
      <c r="H5401" s="340">
        <f t="shared" si="3"/>
        <v>56.8</v>
      </c>
      <c r="I5401" s="341">
        <v>1.5</v>
      </c>
      <c r="J5401" s="332">
        <f>IFERROR(__xludf.DUMMYFUNCTION("IF(IF(COUNTIF(P$2:P5400, P5401)=0, """", INDEX(H$2:H5400,
MAX(FILTER(ROW(H$2:H5400) - ROW(H$2) + 1, P$2:P5400 = P5401))))=""単価"","""",
IF(COUNTIF(P$2:P5400, P5401)=0, """", INDEX(H$2:H5400,
MAX(FILTER(ROW(H$2:H5400) - ROW(H$2) + 1, P$2:P5400 = P5401)))))"),55.3)</f>
        <v>55.3</v>
      </c>
      <c r="N5401" s="335" t="str">
        <f>IF(MAXIFS('単価履歴'!$O:$O,'単価履歴'!$E:$E,E5401,'単価履歴'!$F:$F,F5401)=O5401,"●","")</f>
        <v/>
      </c>
      <c r="O5401" s="346">
        <v>46122.2782175926</v>
      </c>
      <c r="P5401" s="334" t="str">
        <f t="shared" si="4"/>
        <v>中山製鋼:豊通ＨＳ１(単体H1/電特A/HS))</v>
      </c>
    </row>
    <row r="5402" ht="15.75" customHeight="1">
      <c r="A5402" s="335" t="s">
        <v>6549</v>
      </c>
      <c r="B5402" s="336">
        <v>46122.0</v>
      </c>
      <c r="C5402" s="370" t="s">
        <v>5</v>
      </c>
      <c r="D5402" s="370" t="s">
        <v>47</v>
      </c>
      <c r="E5402" s="337" t="str">
        <f t="shared" si="1"/>
        <v>中山製鋼:豊通</v>
      </c>
      <c r="F5402" s="338" t="s">
        <v>101</v>
      </c>
      <c r="G5402" s="339" t="str">
        <f t="shared" si="2"/>
        <v>中山製鋼:豊通ＨＳ２</v>
      </c>
      <c r="H5402" s="340">
        <f t="shared" si="3"/>
        <v>56.8</v>
      </c>
      <c r="I5402" s="341">
        <v>1.5</v>
      </c>
      <c r="J5402" s="332">
        <f>IFERROR(__xludf.DUMMYFUNCTION("IF(IF(COUNTIF(P$2:P5401, P5402)=0, """", INDEX(H$2:H5401,
MAX(FILTER(ROW(H$2:H5401) - ROW(H$2) + 1, P$2:P5401 = P5402))))=""単価"","""",
IF(COUNTIF(P$2:P5401, P5402)=0, """", INDEX(H$2:H5401,
MAX(FILTER(ROW(H$2:H5401) - ROW(H$2) + 1, P$2:P5401 = P5402)))))"),55.3)</f>
        <v>55.3</v>
      </c>
      <c r="N5402" s="335" t="str">
        <f>IF(MAXIFS('単価履歴'!$O:$O,'単価履歴'!$E:$E,E5402,'単価履歴'!$F:$F,F5402)=O5402,"●","")</f>
        <v/>
      </c>
      <c r="O5402" s="346">
        <v>46122.2782175926</v>
      </c>
      <c r="P5402" s="334" t="str">
        <f t="shared" si="4"/>
        <v>中山製鋼:豊通ＨＳ２</v>
      </c>
    </row>
    <row r="5403" ht="15.75" customHeight="1">
      <c r="A5403" s="335" t="s">
        <v>6550</v>
      </c>
      <c r="B5403" s="336">
        <v>46122.0</v>
      </c>
      <c r="C5403" s="370" t="s">
        <v>5</v>
      </c>
      <c r="D5403" s="370" t="s">
        <v>47</v>
      </c>
      <c r="E5403" s="337" t="str">
        <f t="shared" si="1"/>
        <v>中山製鋼:豊通</v>
      </c>
      <c r="F5403" s="338" t="s">
        <v>108</v>
      </c>
      <c r="G5403" s="339" t="str">
        <f t="shared" si="2"/>
        <v>中山製鋼:豊通Ｈ１/ｻﾑﾃｯｸ</v>
      </c>
      <c r="H5403" s="340">
        <f t="shared" si="3"/>
        <v>10</v>
      </c>
      <c r="I5403" s="341">
        <v>1.5</v>
      </c>
      <c r="J5403" s="332">
        <f>IFERROR(__xludf.DUMMYFUNCTION("IF(IF(COUNTIF(P$2:P5402, P5403)=0, """", INDEX(H$2:H5402,
MAX(FILTER(ROW(H$2:H5402) - ROW(H$2) + 1, P$2:P5402 = P5403))))=""単価"","""",
IF(COUNTIF(P$2:P5402, P5403)=0, """", INDEX(H$2:H5402,
MAX(FILTER(ROW(H$2:H5402) - ROW(H$2) + 1, P$2:P5402 = P5403)))))"),8.5)</f>
        <v>8.5</v>
      </c>
      <c r="N5403" s="335" t="str">
        <f>IF(MAXIFS('単価履歴'!$O:$O,'単価履歴'!$E:$E,E5403,'単価履歴'!$F:$F,F5403)=O5403,"●","")</f>
        <v/>
      </c>
      <c r="O5403" s="346">
        <v>46122.2782175926</v>
      </c>
      <c r="P5403" s="334" t="str">
        <f t="shared" si="4"/>
        <v>中山製鋼:豊通Ｈ１/ｻﾑﾃｯｸ</v>
      </c>
    </row>
    <row r="5404" ht="15.75" customHeight="1">
      <c r="A5404" s="335" t="s">
        <v>6551</v>
      </c>
      <c r="B5404" s="336">
        <v>46122.0</v>
      </c>
      <c r="C5404" s="370" t="s">
        <v>5</v>
      </c>
      <c r="D5404" s="370" t="s">
        <v>47</v>
      </c>
      <c r="E5404" s="337" t="str">
        <f t="shared" si="1"/>
        <v>中山製鋼:豊通</v>
      </c>
      <c r="F5404" s="338" t="s">
        <v>111</v>
      </c>
      <c r="G5404" s="339" t="str">
        <f t="shared" si="2"/>
        <v>中山製鋼:豊通Ｈ１(特A)</v>
      </c>
      <c r="H5404" s="340">
        <f t="shared" si="3"/>
        <v>54.8</v>
      </c>
      <c r="I5404" s="341">
        <v>1.5</v>
      </c>
      <c r="J5404" s="332">
        <f>IFERROR(__xludf.DUMMYFUNCTION("IF(IF(COUNTIF(P$2:P5403, P5404)=0, """", INDEX(H$2:H5403,
MAX(FILTER(ROW(H$2:H5403) - ROW(H$2) + 1, P$2:P5403 = P5404))))=""単価"","""",
IF(COUNTIF(P$2:P5403, P5404)=0, """", INDEX(H$2:H5403,
MAX(FILTER(ROW(H$2:H5403) - ROW(H$2) + 1, P$2:P5403 = P5404)))))"),53.3)</f>
        <v>53.3</v>
      </c>
      <c r="N5404" s="335" t="str">
        <f>IF(MAXIFS('単価履歴'!$O:$O,'単価履歴'!$E:$E,E5404,'単価履歴'!$F:$F,F5404)=O5404,"●","")</f>
        <v/>
      </c>
      <c r="O5404" s="346">
        <v>46122.2782175926</v>
      </c>
      <c r="P5404" s="334" t="str">
        <f t="shared" si="4"/>
        <v>中山製鋼:豊通Ｈ１(特A)</v>
      </c>
    </row>
    <row r="5405" ht="15.75" customHeight="1">
      <c r="A5405" s="335" t="s">
        <v>6552</v>
      </c>
      <c r="B5405" s="336">
        <v>46122.0</v>
      </c>
      <c r="C5405" s="370" t="s">
        <v>5</v>
      </c>
      <c r="D5405" s="370" t="s">
        <v>47</v>
      </c>
      <c r="E5405" s="337" t="str">
        <f t="shared" si="1"/>
        <v>中山製鋼:豊通</v>
      </c>
      <c r="F5405" s="338" t="s">
        <v>116</v>
      </c>
      <c r="G5405" s="339" t="str">
        <f t="shared" si="2"/>
        <v>中山製鋼:豊通Ｈ２(特級)</v>
      </c>
      <c r="H5405" s="340">
        <f t="shared" si="3"/>
        <v>48.8</v>
      </c>
      <c r="I5405" s="341">
        <v>1.5</v>
      </c>
      <c r="J5405" s="332">
        <f>IFERROR(__xludf.DUMMYFUNCTION("IF(IF(COUNTIF(P$2:P5404, P5405)=0, """", INDEX(H$2:H5404,
MAX(FILTER(ROW(H$2:H5404) - ROW(H$2) + 1, P$2:P5404 = P5405))))=""単価"","""",
IF(COUNTIF(P$2:P5404, P5405)=0, """", INDEX(H$2:H5404,
MAX(FILTER(ROW(H$2:H5404) - ROW(H$2) + 1, P$2:P5404 = P5405)))))"),47.3)</f>
        <v>47.3</v>
      </c>
      <c r="N5405" s="335" t="str">
        <f>IF(MAXIFS('単価履歴'!$O:$O,'単価履歴'!$E:$E,E5405,'単価履歴'!$F:$F,F5405)=O5405,"●","")</f>
        <v/>
      </c>
      <c r="O5405" s="346">
        <v>46122.2782175926</v>
      </c>
      <c r="P5405" s="334" t="str">
        <f t="shared" si="4"/>
        <v>中山製鋼:豊通Ｈ２(特級)</v>
      </c>
    </row>
    <row r="5406" ht="15.75" customHeight="1">
      <c r="A5406" s="335" t="s">
        <v>6553</v>
      </c>
      <c r="B5406" s="336">
        <v>46122.0</v>
      </c>
      <c r="C5406" s="370" t="s">
        <v>5</v>
      </c>
      <c r="D5406" s="370" t="s">
        <v>47</v>
      </c>
      <c r="E5406" s="337" t="str">
        <f t="shared" si="1"/>
        <v>中山製鋼:豊通</v>
      </c>
      <c r="F5406" s="338" t="s">
        <v>119</v>
      </c>
      <c r="G5406" s="339" t="str">
        <f t="shared" si="2"/>
        <v>中山製鋼:豊通Ｈ３(1級)</v>
      </c>
      <c r="H5406" s="340">
        <f t="shared" si="3"/>
        <v>44.8</v>
      </c>
      <c r="I5406" s="341">
        <v>1.5</v>
      </c>
      <c r="J5406" s="332">
        <f>IFERROR(__xludf.DUMMYFUNCTION("IF(IF(COUNTIF(P$2:P5405, P5406)=0, """", INDEX(H$2:H5405,
MAX(FILTER(ROW(H$2:H5405) - ROW(H$2) + 1, P$2:P5405 = P5406))))=""単価"","""",
IF(COUNTIF(P$2:P5405, P5406)=0, """", INDEX(H$2:H5405,
MAX(FILTER(ROW(H$2:H5405) - ROW(H$2) + 1, P$2:P5405 = P5406)))))"),43.3)</f>
        <v>43.3</v>
      </c>
      <c r="N5406" s="335" t="str">
        <f>IF(MAXIFS('単価履歴'!$O:$O,'単価履歴'!$E:$E,E5406,'単価履歴'!$F:$F,F5406)=O5406,"●","")</f>
        <v/>
      </c>
      <c r="O5406" s="346">
        <v>46122.2782175926</v>
      </c>
      <c r="P5406" s="334" t="str">
        <f t="shared" si="4"/>
        <v>中山製鋼:豊通Ｈ３(1級)</v>
      </c>
    </row>
    <row r="5407" ht="15.75" customHeight="1">
      <c r="A5407" s="335" t="s">
        <v>6554</v>
      </c>
      <c r="B5407" s="336">
        <v>46122.0</v>
      </c>
      <c r="C5407" s="370" t="s">
        <v>5</v>
      </c>
      <c r="D5407" s="370" t="s">
        <v>47</v>
      </c>
      <c r="E5407" s="337" t="str">
        <f t="shared" si="1"/>
        <v>中山製鋼:豊通</v>
      </c>
      <c r="F5407" s="338" t="s">
        <v>122</v>
      </c>
      <c r="G5407" s="339" t="str">
        <f t="shared" si="2"/>
        <v>中山製鋼:豊通Ｌ１(2級)</v>
      </c>
      <c r="H5407" s="340">
        <f t="shared" si="3"/>
        <v>38.3</v>
      </c>
      <c r="I5407" s="341">
        <v>1.5</v>
      </c>
      <c r="J5407" s="332">
        <f>IFERROR(__xludf.DUMMYFUNCTION("IF(IF(COUNTIF(P$2:P5406, P5407)=0, """", INDEX(H$2:H5406,
MAX(FILTER(ROW(H$2:H5406) - ROW(H$2) + 1, P$2:P5406 = P5407))))=""単価"","""",
IF(COUNTIF(P$2:P5406, P5407)=0, """", INDEX(H$2:H5406,
MAX(FILTER(ROW(H$2:H5406) - ROW(H$2) + 1, P$2:P5406 = P5407)))))"),36.8)</f>
        <v>36.8</v>
      </c>
      <c r="N5407" s="335" t="str">
        <f>IF(MAXIFS('単価履歴'!$O:$O,'単価履歴'!$E:$E,E5407,'単価履歴'!$F:$F,F5407)=O5407,"●","")</f>
        <v/>
      </c>
      <c r="O5407" s="346">
        <v>46122.2782175926</v>
      </c>
      <c r="P5407" s="334" t="str">
        <f t="shared" si="4"/>
        <v>中山製鋼:豊通Ｌ１(2級)</v>
      </c>
    </row>
    <row r="5408" ht="15.75" customHeight="1">
      <c r="A5408" s="335" t="s">
        <v>6555</v>
      </c>
      <c r="B5408" s="336">
        <v>46122.0</v>
      </c>
      <c r="C5408" s="370" t="s">
        <v>5</v>
      </c>
      <c r="D5408" s="370" t="s">
        <v>47</v>
      </c>
      <c r="E5408" s="337" t="str">
        <f t="shared" si="1"/>
        <v>中山製鋼:豊通</v>
      </c>
      <c r="F5408" s="338" t="s">
        <v>130</v>
      </c>
      <c r="G5408" s="339" t="str">
        <f t="shared" si="2"/>
        <v>中山製鋼:豊通新断Ａ</v>
      </c>
      <c r="H5408" s="340">
        <f t="shared" si="3"/>
        <v>57.8</v>
      </c>
      <c r="I5408" s="341">
        <v>1.5</v>
      </c>
      <c r="J5408" s="332">
        <f>IFERROR(__xludf.DUMMYFUNCTION("IF(IF(COUNTIF(P$2:P5407, P5408)=0, """", INDEX(H$2:H5407,
MAX(FILTER(ROW(H$2:H5407) - ROW(H$2) + 1, P$2:P5407 = P5408))))=""単価"","""",
IF(COUNTIF(P$2:P5407, P5408)=0, """", INDEX(H$2:H5407,
MAX(FILTER(ROW(H$2:H5407) - ROW(H$2) + 1, P$2:P5407 = P5408)))))"),56.3)</f>
        <v>56.3</v>
      </c>
      <c r="N5408" s="335" t="str">
        <f>IF(MAXIFS('単価履歴'!$O:$O,'単価履歴'!$E:$E,E5408,'単価履歴'!$F:$F,F5408)=O5408,"●","")</f>
        <v/>
      </c>
      <c r="O5408" s="346">
        <v>46122.2782175926</v>
      </c>
      <c r="P5408" s="334" t="str">
        <f t="shared" si="4"/>
        <v>中山製鋼:豊通新断Ａ</v>
      </c>
    </row>
    <row r="5409" ht="15.75" customHeight="1">
      <c r="A5409" s="335" t="s">
        <v>6556</v>
      </c>
      <c r="B5409" s="336">
        <v>46122.0</v>
      </c>
      <c r="C5409" s="370" t="s">
        <v>5</v>
      </c>
      <c r="D5409" s="370" t="s">
        <v>47</v>
      </c>
      <c r="E5409" s="337" t="str">
        <f t="shared" si="1"/>
        <v>中山製鋼:豊通</v>
      </c>
      <c r="F5409" s="338" t="s">
        <v>131</v>
      </c>
      <c r="G5409" s="339" t="str">
        <f t="shared" si="2"/>
        <v>中山製鋼:豊通新断Ｂ</v>
      </c>
      <c r="H5409" s="340">
        <f t="shared" si="3"/>
        <v>56.8</v>
      </c>
      <c r="I5409" s="341">
        <v>1.5</v>
      </c>
      <c r="J5409" s="332">
        <f>IFERROR(__xludf.DUMMYFUNCTION("IF(IF(COUNTIF(P$2:P5408, P5409)=0, """", INDEX(H$2:H5408,
MAX(FILTER(ROW(H$2:H5408) - ROW(H$2) + 1, P$2:P5408 = P5409))))=""単価"","""",
IF(COUNTIF(P$2:P5408, P5409)=0, """", INDEX(H$2:H5408,
MAX(FILTER(ROW(H$2:H5408) - ROW(H$2) + 1, P$2:P5408 = P5409)))))"),55.3)</f>
        <v>55.3</v>
      </c>
      <c r="N5409" s="335" t="str">
        <f>IF(MAXIFS('単価履歴'!$O:$O,'単価履歴'!$E:$E,E5409,'単価履歴'!$F:$F,F5409)=O5409,"●","")</f>
        <v/>
      </c>
      <c r="O5409" s="346">
        <v>46122.2782175926</v>
      </c>
      <c r="P5409" s="334" t="str">
        <f t="shared" si="4"/>
        <v>中山製鋼:豊通新断Ｂ</v>
      </c>
    </row>
    <row r="5410" ht="15.75" customHeight="1">
      <c r="A5410" s="335" t="s">
        <v>6557</v>
      </c>
      <c r="B5410" s="336">
        <v>46122.0</v>
      </c>
      <c r="C5410" s="370" t="s">
        <v>5</v>
      </c>
      <c r="D5410" s="370" t="s">
        <v>47</v>
      </c>
      <c r="E5410" s="337" t="str">
        <f t="shared" si="1"/>
        <v>中山製鋼:豊通</v>
      </c>
      <c r="F5410" s="338" t="s">
        <v>574</v>
      </c>
      <c r="G5410" s="339" t="str">
        <f t="shared" si="2"/>
        <v>中山製鋼:豊通新断Ｃ</v>
      </c>
      <c r="H5410" s="340">
        <f t="shared" si="3"/>
        <v>55.8</v>
      </c>
      <c r="I5410" s="341">
        <v>1.5</v>
      </c>
      <c r="J5410" s="332">
        <f>IFERROR(__xludf.DUMMYFUNCTION("IF(IF(COUNTIF(P$2:P5409, P5410)=0, """", INDEX(H$2:H5409,
MAX(FILTER(ROW(H$2:H5409) - ROW(H$2) + 1, P$2:P5409 = P5410))))=""単価"","""",
IF(COUNTIF(P$2:P5409, P5410)=0, """", INDEX(H$2:H5409,
MAX(FILTER(ROW(H$2:H5409) - ROW(H$2) + 1, P$2:P5409 = P5410)))))"),54.3)</f>
        <v>54.3</v>
      </c>
      <c r="N5410" s="335" t="str">
        <f>IF(MAXIFS('単価履歴'!$O:$O,'単価履歴'!$E:$E,E5410,'単価履歴'!$F:$F,F5410)=O5410,"●","")</f>
        <v/>
      </c>
      <c r="O5410" s="346">
        <v>46122.2782175926</v>
      </c>
      <c r="P5410" s="334" t="str">
        <f t="shared" si="4"/>
        <v>中山製鋼:豊通新断Ｃ</v>
      </c>
    </row>
    <row r="5411" ht="15.75" customHeight="1">
      <c r="A5411" s="335" t="s">
        <v>6558</v>
      </c>
      <c r="B5411" s="336">
        <v>46122.0</v>
      </c>
      <c r="C5411" s="370" t="s">
        <v>5</v>
      </c>
      <c r="D5411" s="370" t="s">
        <v>1232</v>
      </c>
      <c r="E5411" s="337" t="str">
        <f t="shared" si="1"/>
        <v>中山製鋼:豊通/出張商店</v>
      </c>
      <c r="F5411" s="338" t="s">
        <v>130</v>
      </c>
      <c r="G5411" s="339" t="str">
        <f t="shared" si="2"/>
        <v>中山製鋼:豊通/出張商店新断Ａ</v>
      </c>
      <c r="H5411" s="340">
        <f t="shared" si="3"/>
        <v>56.8</v>
      </c>
      <c r="I5411" s="341">
        <v>1.5</v>
      </c>
      <c r="J5411" s="332">
        <f>IFERROR(__xludf.DUMMYFUNCTION("IF(IF(COUNTIF(P$2:P5410, P5411)=0, """", INDEX(H$2:H5410,
MAX(FILTER(ROW(H$2:H5410) - ROW(H$2) + 1, P$2:P5410 = P5411))))=""単価"","""",
IF(COUNTIF(P$2:P5410, P5411)=0, """", INDEX(H$2:H5410,
MAX(FILTER(ROW(H$2:H5410) - ROW(H$2) + 1, P$2:P5410 = P5411)))))"),55.3)</f>
        <v>55.3</v>
      </c>
      <c r="N5411" s="335" t="str">
        <f>IF(MAXIFS('単価履歴'!$O:$O,'単価履歴'!$E:$E,E5411,'単価履歴'!$F:$F,F5411)=O5411,"●","")</f>
        <v/>
      </c>
      <c r="O5411" s="346">
        <v>46122.278333333335</v>
      </c>
      <c r="P5411" s="334" t="str">
        <f t="shared" si="4"/>
        <v>中山製鋼:豊通/出張商店新断Ａ</v>
      </c>
    </row>
    <row r="5412" ht="15.75" customHeight="1">
      <c r="A5412" s="335" t="s">
        <v>6559</v>
      </c>
      <c r="B5412" s="336">
        <v>46122.0</v>
      </c>
      <c r="C5412" s="370" t="s">
        <v>5</v>
      </c>
      <c r="D5412" s="370" t="s">
        <v>1234</v>
      </c>
      <c r="E5412" s="337" t="str">
        <f t="shared" si="1"/>
        <v>中山製鋼:豊通/中川嘉弘商店</v>
      </c>
      <c r="F5412" s="338" t="s">
        <v>130</v>
      </c>
      <c r="G5412" s="339" t="str">
        <f t="shared" si="2"/>
        <v>中山製鋼:豊通/中川嘉弘商店新断Ａ</v>
      </c>
      <c r="H5412" s="340">
        <f t="shared" si="3"/>
        <v>54.8</v>
      </c>
      <c r="I5412" s="341">
        <v>1.5</v>
      </c>
      <c r="J5412" s="332">
        <f>IFERROR(__xludf.DUMMYFUNCTION("IF(IF(COUNTIF(P$2:P5411, P5412)=0, """", INDEX(H$2:H5411,
MAX(FILTER(ROW(H$2:H5411) - ROW(H$2) + 1, P$2:P5411 = P5412))))=""単価"","""",
IF(COUNTIF(P$2:P5411, P5412)=0, """", INDEX(H$2:H5411,
MAX(FILTER(ROW(H$2:H5411) - ROW(H$2) + 1, P$2:P5411 = P5412)))))"),53.3)</f>
        <v>53.3</v>
      </c>
      <c r="N5412" s="335" t="str">
        <f>IF(MAXIFS('単価履歴'!$O:$O,'単価履歴'!$E:$E,E5412,'単価履歴'!$F:$F,F5412)=O5412,"●","")</f>
        <v/>
      </c>
      <c r="O5412" s="346">
        <v>46122.278333333335</v>
      </c>
      <c r="P5412" s="334" t="str">
        <f t="shared" si="4"/>
        <v>中山製鋼:豊通/中川嘉弘商店新断Ａ</v>
      </c>
    </row>
    <row r="5413" ht="15.75" customHeight="1">
      <c r="A5413" s="335" t="s">
        <v>6560</v>
      </c>
      <c r="B5413" s="336">
        <v>46122.0</v>
      </c>
      <c r="C5413" s="370" t="s">
        <v>6</v>
      </c>
      <c r="D5413" s="370" t="s">
        <v>48</v>
      </c>
      <c r="E5413" s="337" t="str">
        <f t="shared" si="1"/>
        <v>中山鋼業:ナベ</v>
      </c>
      <c r="F5413" s="338" t="s">
        <v>111</v>
      </c>
      <c r="G5413" s="339" t="str">
        <f t="shared" si="2"/>
        <v>中山鋼業:ナベＨ１(特A)</v>
      </c>
      <c r="H5413" s="340">
        <f t="shared" si="3"/>
        <v>54.5</v>
      </c>
      <c r="I5413" s="341">
        <v>1.5</v>
      </c>
      <c r="J5413" s="332">
        <f>IFERROR(__xludf.DUMMYFUNCTION("IF(IF(COUNTIF(P$2:P5412, P5413)=0, """", INDEX(H$2:H5412,
MAX(FILTER(ROW(H$2:H5412) - ROW(H$2) + 1, P$2:P5412 = P5413))))=""単価"","""",
IF(COUNTIF(P$2:P5412, P5413)=0, """", INDEX(H$2:H5412,
MAX(FILTER(ROW(H$2:H5412) - ROW(H$2) + 1, P$2:P5412 = P5413)))))"),53.0)</f>
        <v>53</v>
      </c>
      <c r="N5413" s="335" t="str">
        <f>IF(MAXIFS('単価履歴'!$O:$O,'単価履歴'!$E:$E,E5413,'単価履歴'!$F:$F,F5413)=O5413,"●","")</f>
        <v/>
      </c>
      <c r="O5413" s="346">
        <v>46122.27853009259</v>
      </c>
      <c r="P5413" s="334" t="str">
        <f t="shared" si="4"/>
        <v>中山鋼業:ナベＨ１(特A)</v>
      </c>
    </row>
    <row r="5414" ht="15.75" customHeight="1">
      <c r="A5414" s="335" t="s">
        <v>6561</v>
      </c>
      <c r="B5414" s="336">
        <v>46122.0</v>
      </c>
      <c r="C5414" s="370" t="s">
        <v>6</v>
      </c>
      <c r="D5414" s="370" t="s">
        <v>48</v>
      </c>
      <c r="E5414" s="337" t="str">
        <f t="shared" si="1"/>
        <v>中山鋼業:ナベ</v>
      </c>
      <c r="F5414" s="338" t="s">
        <v>1237</v>
      </c>
      <c r="G5414" s="339" t="str">
        <f t="shared" si="2"/>
        <v>中山鋼業:ナベＪＨ１(H2T山口)鍛造ﾊﾞﾘ</v>
      </c>
      <c r="H5414" s="340">
        <f t="shared" si="3"/>
        <v>51.7</v>
      </c>
      <c r="I5414" s="341">
        <v>1.5</v>
      </c>
      <c r="J5414" s="332">
        <f>IFERROR(__xludf.DUMMYFUNCTION("IF(IF(COUNTIF(P$2:P5413, P5414)=0, """", INDEX(H$2:H5413,
MAX(FILTER(ROW(H$2:H5413) - ROW(H$2) + 1, P$2:P5413 = P5414))))=""単価"","""",
IF(COUNTIF(P$2:P5413, P5414)=0, """", INDEX(H$2:H5413,
MAX(FILTER(ROW(H$2:H5413) - ROW(H$2) + 1, P$2:P5413 = P5414)))))"),50.2)</f>
        <v>50.2</v>
      </c>
      <c r="N5414" s="335" t="str">
        <f>IF(MAXIFS('単価履歴'!$O:$O,'単価履歴'!$E:$E,E5414,'単価履歴'!$F:$F,F5414)=O5414,"●","")</f>
        <v/>
      </c>
      <c r="O5414" s="346">
        <v>46122.27853009259</v>
      </c>
      <c r="P5414" s="334" t="str">
        <f t="shared" si="4"/>
        <v>中山鋼業:ナベＪＨ１(H2T山口)鍛造ﾊﾞﾘ</v>
      </c>
    </row>
    <row r="5415" ht="15.75" customHeight="1">
      <c r="A5415" s="335" t="s">
        <v>6562</v>
      </c>
      <c r="B5415" s="336">
        <v>46122.0</v>
      </c>
      <c r="C5415" s="370" t="s">
        <v>6</v>
      </c>
      <c r="D5415" s="370" t="s">
        <v>48</v>
      </c>
      <c r="E5415" s="337" t="str">
        <f t="shared" si="1"/>
        <v>中山鋼業:ナベ</v>
      </c>
      <c r="F5415" s="338" t="s">
        <v>116</v>
      </c>
      <c r="G5415" s="339" t="str">
        <f t="shared" si="2"/>
        <v>中山鋼業:ナベＨ２(特級)</v>
      </c>
      <c r="H5415" s="340">
        <f t="shared" si="3"/>
        <v>53</v>
      </c>
      <c r="I5415" s="341">
        <v>1.5</v>
      </c>
      <c r="J5415" s="332">
        <f>IFERROR(__xludf.DUMMYFUNCTION("IF(IF(COUNTIF(P$2:P5414, P5415)=0, """", INDEX(H$2:H5414,
MAX(FILTER(ROW(H$2:H5414) - ROW(H$2) + 1, P$2:P5414 = P5415))))=""単価"","""",
IF(COUNTIF(P$2:P5414, P5415)=0, """", INDEX(H$2:H5414,
MAX(FILTER(ROW(H$2:H5414) - ROW(H$2) + 1, P$2:P5414 = P5415)))))"),51.5)</f>
        <v>51.5</v>
      </c>
      <c r="N5415" s="335" t="str">
        <f>IF(MAXIFS('単価履歴'!$O:$O,'単価履歴'!$E:$E,E5415,'単価履歴'!$F:$F,F5415)=O5415,"●","")</f>
        <v/>
      </c>
      <c r="O5415" s="346">
        <v>46122.27853009259</v>
      </c>
      <c r="P5415" s="334" t="str">
        <f t="shared" si="4"/>
        <v>中山鋼業:ナベＨ２(特級)</v>
      </c>
    </row>
    <row r="5416" ht="15.75" customHeight="1">
      <c r="A5416" s="335" t="s">
        <v>6563</v>
      </c>
      <c r="B5416" s="336">
        <v>46122.0</v>
      </c>
      <c r="C5416" s="370" t="s">
        <v>6</v>
      </c>
      <c r="D5416" s="370" t="s">
        <v>48</v>
      </c>
      <c r="E5416" s="337" t="str">
        <f t="shared" si="1"/>
        <v>中山鋼業:ナベ</v>
      </c>
      <c r="F5416" s="338" t="s">
        <v>119</v>
      </c>
      <c r="G5416" s="339" t="str">
        <f t="shared" si="2"/>
        <v>中山鋼業:ナベＨ３(1級)</v>
      </c>
      <c r="H5416" s="340">
        <f t="shared" si="3"/>
        <v>52.5</v>
      </c>
      <c r="I5416" s="341">
        <v>1.5</v>
      </c>
      <c r="J5416" s="332">
        <f>IFERROR(__xludf.DUMMYFUNCTION("IF(IF(COUNTIF(P$2:P5415, P5416)=0, """", INDEX(H$2:H5415,
MAX(FILTER(ROW(H$2:H5415) - ROW(H$2) + 1, P$2:P5415 = P5416))))=""単価"","""",
IF(COUNTIF(P$2:P5415, P5416)=0, """", INDEX(H$2:H5415,
MAX(FILTER(ROW(H$2:H5415) - ROW(H$2) + 1, P$2:P5415 = P5416)))))"),51.0)</f>
        <v>51</v>
      </c>
      <c r="N5416" s="335" t="str">
        <f>IF(MAXIFS('単価履歴'!$O:$O,'単価履歴'!$E:$E,E5416,'単価履歴'!$F:$F,F5416)=O5416,"●","")</f>
        <v/>
      </c>
      <c r="O5416" s="346">
        <v>46122.27853009259</v>
      </c>
      <c r="P5416" s="334" t="str">
        <f t="shared" si="4"/>
        <v>中山鋼業:ナベＨ３(1級)</v>
      </c>
    </row>
    <row r="5417" ht="15.75" customHeight="1">
      <c r="A5417" s="335" t="s">
        <v>6564</v>
      </c>
      <c r="B5417" s="336">
        <v>46122.0</v>
      </c>
      <c r="C5417" s="370" t="s">
        <v>6</v>
      </c>
      <c r="D5417" s="370" t="s">
        <v>48</v>
      </c>
      <c r="E5417" s="337" t="str">
        <f t="shared" si="1"/>
        <v>中山鋼業:ナベ</v>
      </c>
      <c r="F5417" s="338" t="s">
        <v>122</v>
      </c>
      <c r="G5417" s="339" t="str">
        <f t="shared" si="2"/>
        <v>中山鋼業:ナベＬ１(2級)</v>
      </c>
      <c r="H5417" s="340">
        <f t="shared" si="3"/>
        <v>52</v>
      </c>
      <c r="I5417" s="341">
        <v>1.5</v>
      </c>
      <c r="J5417" s="332">
        <f>IFERROR(__xludf.DUMMYFUNCTION("IF(IF(COUNTIF(P$2:P5416, P5417)=0, """", INDEX(H$2:H5416,
MAX(FILTER(ROW(H$2:H5416) - ROW(H$2) + 1, P$2:P5416 = P5417))))=""単価"","""",
IF(COUNTIF(P$2:P5416, P5417)=0, """", INDEX(H$2:H5416,
MAX(FILTER(ROW(H$2:H5416) - ROW(H$2) + 1, P$2:P5416 = P5417)))))"),50.5)</f>
        <v>50.5</v>
      </c>
      <c r="N5417" s="335" t="str">
        <f>IF(MAXIFS('単価履歴'!$O:$O,'単価履歴'!$E:$E,E5417,'単価履歴'!$F:$F,F5417)=O5417,"●","")</f>
        <v/>
      </c>
      <c r="O5417" s="346">
        <v>46122.27853009259</v>
      </c>
      <c r="P5417" s="334" t="str">
        <f t="shared" si="4"/>
        <v>中山鋼業:ナベＬ１(2級)</v>
      </c>
    </row>
    <row r="5418" ht="15.75" customHeight="1">
      <c r="A5418" s="335" t="s">
        <v>6565</v>
      </c>
      <c r="B5418" s="336">
        <v>46122.0</v>
      </c>
      <c r="C5418" s="370" t="s">
        <v>6</v>
      </c>
      <c r="D5418" s="370" t="s">
        <v>48</v>
      </c>
      <c r="E5418" s="337" t="str">
        <f t="shared" si="1"/>
        <v>中山鋼業:ナベ</v>
      </c>
      <c r="F5418" s="338" t="s">
        <v>573</v>
      </c>
      <c r="G5418" s="339" t="str">
        <f t="shared" si="2"/>
        <v>中山鋼業:ナベＬ２(H4･級外･L1ﾊﾞﾗ)</v>
      </c>
      <c r="H5418" s="340">
        <f t="shared" si="3"/>
        <v>47</v>
      </c>
      <c r="I5418" s="341">
        <v>1.5</v>
      </c>
      <c r="J5418" s="332">
        <f>IFERROR(__xludf.DUMMYFUNCTION("IF(IF(COUNTIF(P$2:P5417, P5418)=0, """", INDEX(H$2:H5417,
MAX(FILTER(ROW(H$2:H5417) - ROW(H$2) + 1, P$2:P5417 = P5418))))=""単価"","""",
IF(COUNTIF(P$2:P5417, P5418)=0, """", INDEX(H$2:H5417,
MAX(FILTER(ROW(H$2:H5417) - ROW(H$2) + 1, P$2:P5417 = P5418)))))"),45.5)</f>
        <v>45.5</v>
      </c>
      <c r="N5418" s="335" t="str">
        <f>IF(MAXIFS('単価履歴'!$O:$O,'単価履歴'!$E:$E,E5418,'単価履歴'!$F:$F,F5418)=O5418,"●","")</f>
        <v/>
      </c>
      <c r="O5418" s="346">
        <v>46122.27853009259</v>
      </c>
      <c r="P5418" s="334" t="str">
        <f t="shared" si="4"/>
        <v>中山鋼業:ナベＬ２(H4･級外･L1ﾊﾞﾗ)</v>
      </c>
    </row>
    <row r="5419" ht="15.75" customHeight="1">
      <c r="A5419" s="335" t="s">
        <v>6566</v>
      </c>
      <c r="B5419" s="336">
        <v>46122.0</v>
      </c>
      <c r="C5419" s="370" t="s">
        <v>6</v>
      </c>
      <c r="D5419" s="370" t="s">
        <v>48</v>
      </c>
      <c r="E5419" s="337" t="str">
        <f t="shared" si="1"/>
        <v>中山鋼業:ナベ</v>
      </c>
      <c r="F5419" s="338" t="s">
        <v>130</v>
      </c>
      <c r="G5419" s="339" t="str">
        <f t="shared" si="2"/>
        <v>中山鋼業:ナベ新断Ａ</v>
      </c>
      <c r="H5419" s="340">
        <f t="shared" si="3"/>
        <v>9.5</v>
      </c>
      <c r="I5419" s="341">
        <v>1.5</v>
      </c>
      <c r="J5419" s="332">
        <f>IFERROR(__xludf.DUMMYFUNCTION("IF(IF(COUNTIF(P$2:P5418, P5419)=0, """", INDEX(H$2:H5418,
MAX(FILTER(ROW(H$2:H5418) - ROW(H$2) + 1, P$2:P5418 = P5419))))=""単価"","""",
IF(COUNTIF(P$2:P5418, P5419)=0, """", INDEX(H$2:H5418,
MAX(FILTER(ROW(H$2:H5418) - ROW(H$2) + 1, P$2:P5418 = P5419)))))"),8.0)</f>
        <v>8</v>
      </c>
      <c r="N5419" s="335" t="str">
        <f>IF(MAXIFS('単価履歴'!$O:$O,'単価履歴'!$E:$E,E5419,'単価履歴'!$F:$F,F5419)=O5419,"●","")</f>
        <v/>
      </c>
      <c r="O5419" s="346">
        <v>46122.27853009259</v>
      </c>
      <c r="P5419" s="334" t="str">
        <f t="shared" si="4"/>
        <v>中山鋼業:ナベ新断Ａ</v>
      </c>
    </row>
    <row r="5420" ht="15.75" customHeight="1">
      <c r="A5420" s="335" t="s">
        <v>6567</v>
      </c>
      <c r="B5420" s="336">
        <v>46122.0</v>
      </c>
      <c r="C5420" s="370" t="s">
        <v>6</v>
      </c>
      <c r="D5420" s="370" t="s">
        <v>48</v>
      </c>
      <c r="E5420" s="337" t="str">
        <f t="shared" si="1"/>
        <v>中山鋼業:ナベ</v>
      </c>
      <c r="F5420" s="338" t="s">
        <v>575</v>
      </c>
      <c r="G5420" s="339" t="str">
        <f t="shared" si="2"/>
        <v>中山鋼業:ナベ鋼ダライＡ</v>
      </c>
      <c r="H5420" s="340">
        <f t="shared" si="3"/>
        <v>43.2</v>
      </c>
      <c r="I5420" s="341">
        <v>1.5</v>
      </c>
      <c r="J5420" s="332">
        <f>IFERROR(__xludf.DUMMYFUNCTION("IF(IF(COUNTIF(P$2:P5419, P5420)=0, """", INDEX(H$2:H5419,
MAX(FILTER(ROW(H$2:H5419) - ROW(H$2) + 1, P$2:P5419 = P5420))))=""単価"","""",
IF(COUNTIF(P$2:P5419, P5420)=0, """", INDEX(H$2:H5419,
MAX(FILTER(ROW(H$2:H5419) - ROW(H$2) + 1, P$2:P5419 = P5420)))))"),41.7)</f>
        <v>41.7</v>
      </c>
      <c r="N5420" s="335" t="str">
        <f>IF(MAXIFS('単価履歴'!$O:$O,'単価履歴'!$E:$E,E5420,'単価履歴'!$F:$F,F5420)=O5420,"●","")</f>
        <v/>
      </c>
      <c r="O5420" s="346">
        <v>46122.27853009259</v>
      </c>
      <c r="P5420" s="334" t="str">
        <f t="shared" si="4"/>
        <v>中山鋼業:ナベ鋼ダライＡ</v>
      </c>
    </row>
    <row r="5421" ht="15.75" customHeight="1">
      <c r="A5421" s="335" t="s">
        <v>6568</v>
      </c>
      <c r="B5421" s="336">
        <v>46122.0</v>
      </c>
      <c r="C5421" s="370" t="s">
        <v>534</v>
      </c>
      <c r="D5421" s="370" t="s">
        <v>46</v>
      </c>
      <c r="E5421" s="337" t="str">
        <f t="shared" si="1"/>
        <v>合同姫路:阪和</v>
      </c>
      <c r="F5421" s="338" t="s">
        <v>130</v>
      </c>
      <c r="G5421" s="339" t="str">
        <f t="shared" si="2"/>
        <v>合同姫路:阪和新断Ａ</v>
      </c>
      <c r="H5421" s="340">
        <f t="shared" si="3"/>
        <v>57.8</v>
      </c>
      <c r="I5421" s="341">
        <v>0.5</v>
      </c>
      <c r="J5421" s="332">
        <f>IFERROR(__xludf.DUMMYFUNCTION("IF(IF(COUNTIF(P$2:P5420, P5421)=0, """", INDEX(H$2:H5420,
MAX(FILTER(ROW(H$2:H5420) - ROW(H$2) + 1, P$2:P5420 = P5421))))=""単価"","""",
IF(COUNTIF(P$2:P5420, P5421)=0, """", INDEX(H$2:H5420,
MAX(FILTER(ROW(H$2:H5420) - ROW(H$2) + 1, P$2:P5420 = P5421)))))"),57.3)</f>
        <v>57.3</v>
      </c>
      <c r="N5421" s="335" t="str">
        <f>IF(MAXIFS('単価履歴'!$O:$O,'単価履歴'!$E:$E,E5421,'単価履歴'!$F:$F,F5421)=O5421,"●","")</f>
        <v/>
      </c>
      <c r="O5421" s="346">
        <v>46122.27730324074</v>
      </c>
      <c r="P5421" s="334" t="str">
        <f t="shared" si="4"/>
        <v>合同姫路:阪和新断Ａ</v>
      </c>
    </row>
    <row r="5422" ht="15.75" customHeight="1">
      <c r="A5422" s="335" t="s">
        <v>6569</v>
      </c>
      <c r="B5422" s="336">
        <v>46122.0</v>
      </c>
      <c r="C5422" s="370" t="s">
        <v>534</v>
      </c>
      <c r="D5422" s="370" t="s">
        <v>46</v>
      </c>
      <c r="E5422" s="337" t="str">
        <f t="shared" si="1"/>
        <v>合同姫路:阪和</v>
      </c>
      <c r="F5422" s="338" t="s">
        <v>131</v>
      </c>
      <c r="G5422" s="339" t="str">
        <f t="shared" si="2"/>
        <v>合同姫路:阪和新断Ｂ</v>
      </c>
      <c r="H5422" s="340">
        <f t="shared" si="3"/>
        <v>56.8</v>
      </c>
      <c r="I5422" s="341">
        <v>0.5</v>
      </c>
      <c r="J5422" s="332">
        <f>IFERROR(__xludf.DUMMYFUNCTION("IF(IF(COUNTIF(P$2:P5421, P5422)=0, """", INDEX(H$2:H5421,
MAX(FILTER(ROW(H$2:H5421) - ROW(H$2) + 1, P$2:P5421 = P5422))))=""単価"","""",
IF(COUNTIF(P$2:P5421, P5422)=0, """", INDEX(H$2:H5421,
MAX(FILTER(ROW(H$2:H5421) - ROW(H$2) + 1, P$2:P5421 = P5422)))))"),56.3)</f>
        <v>56.3</v>
      </c>
      <c r="N5422" s="335" t="str">
        <f>IF(MAXIFS('単価履歴'!$O:$O,'単価履歴'!$E:$E,E5422,'単価履歴'!$F:$F,F5422)=O5422,"●","")</f>
        <v/>
      </c>
      <c r="O5422" s="346">
        <v>46122.27730324074</v>
      </c>
      <c r="P5422" s="334" t="str">
        <f t="shared" si="4"/>
        <v>合同姫路:阪和新断Ｂ</v>
      </c>
    </row>
    <row r="5423" ht="15.75" customHeight="1">
      <c r="A5423" s="335" t="s">
        <v>6570</v>
      </c>
      <c r="B5423" s="336">
        <v>46122.0</v>
      </c>
      <c r="C5423" s="371" t="s">
        <v>31</v>
      </c>
      <c r="D5423" s="371" t="s">
        <v>64</v>
      </c>
      <c r="E5423" s="337" t="str">
        <f t="shared" si="1"/>
        <v>泉北中谷:ナベ双葉</v>
      </c>
      <c r="F5423" s="338" t="s">
        <v>130</v>
      </c>
      <c r="G5423" s="339" t="str">
        <f t="shared" si="2"/>
        <v>泉北中谷:ナベ双葉新断Ａ</v>
      </c>
      <c r="H5423" s="340">
        <f t="shared" si="3"/>
        <v>58</v>
      </c>
      <c r="I5423" s="341">
        <v>1.0</v>
      </c>
      <c r="J5423" s="332">
        <f>IFERROR(__xludf.DUMMYFUNCTION("IF(IF(COUNTIF(P$2:P5422, P5423)=0, """", INDEX(H$2:H5422,
MAX(FILTER(ROW(H$2:H5422) - ROW(H$2) + 1, P$2:P5422 = P5423))))=""単価"","""",
IF(COUNTIF(P$2:P5422, P5423)=0, """", INDEX(H$2:H5422,
MAX(FILTER(ROW(H$2:H5422) - ROW(H$2) + 1, P$2:P5422 = P5423)))))"),57.0)</f>
        <v>57</v>
      </c>
      <c r="N5423" s="335" t="str">
        <f>IF(MAXIFS('単価履歴'!$O:$O,'単価履歴'!$E:$E,E5423,'単価履歴'!$F:$F,F5423)=O5423,"●","")</f>
        <v/>
      </c>
      <c r="O5423" s="346">
        <v>46122.27909722222</v>
      </c>
      <c r="P5423" s="334" t="str">
        <f t="shared" si="4"/>
        <v>泉北中谷:ナベ双葉新断Ａ</v>
      </c>
    </row>
    <row r="5424" ht="15.75" customHeight="1">
      <c r="A5424" s="335" t="s">
        <v>6571</v>
      </c>
      <c r="B5424" s="336">
        <v>46122.0</v>
      </c>
      <c r="C5424" s="371" t="s">
        <v>34</v>
      </c>
      <c r="D5424" s="371" t="s">
        <v>48</v>
      </c>
      <c r="E5424" s="337" t="str">
        <f t="shared" si="1"/>
        <v>ﾆｭｰｽｺﾝ尼崎:ナベ</v>
      </c>
      <c r="F5424" s="338" t="s">
        <v>130</v>
      </c>
      <c r="G5424" s="339" t="str">
        <f t="shared" si="2"/>
        <v>ﾆｭｰｽｺﾝ尼崎:ナベ新断Ａ</v>
      </c>
      <c r="H5424" s="340">
        <f t="shared" si="3"/>
        <v>58</v>
      </c>
      <c r="I5424" s="341">
        <v>1.5</v>
      </c>
      <c r="J5424" s="332">
        <f>IFERROR(__xludf.DUMMYFUNCTION("IF(IF(COUNTIF(P$2:P5423, P5424)=0, """", INDEX(H$2:H5423,
MAX(FILTER(ROW(H$2:H5423) - ROW(H$2) + 1, P$2:P5423 = P5424))))=""単価"","""",
IF(COUNTIF(P$2:P5423, P5424)=0, """", INDEX(H$2:H5423,
MAX(FILTER(ROW(H$2:H5423) - ROW(H$2) + 1, P$2:P5423 = P5424)))))"),56.5)</f>
        <v>56.5</v>
      </c>
      <c r="N5424" s="335" t="str">
        <f>IF(MAXIFS('単価履歴'!$O:$O,'単価履歴'!$E:$E,E5424,'単価履歴'!$F:$F,F5424)=O5424,"●","")</f>
        <v/>
      </c>
      <c r="O5424" s="346">
        <v>46122.27931712963</v>
      </c>
      <c r="P5424" s="334" t="str">
        <f t="shared" si="4"/>
        <v>ﾆｭｰｽｺﾝ尼崎:ナベ新断Ａ</v>
      </c>
    </row>
    <row r="5425" ht="15.75" customHeight="1">
      <c r="A5425" s="335" t="s">
        <v>6572</v>
      </c>
      <c r="B5425" s="336">
        <v>46122.0</v>
      </c>
      <c r="C5425" s="371" t="s">
        <v>7</v>
      </c>
      <c r="D5425" s="371" t="s">
        <v>49</v>
      </c>
      <c r="E5425" s="337" t="str">
        <f t="shared" si="1"/>
        <v>合同大阪:伊藤忠</v>
      </c>
      <c r="F5425" s="338" t="s">
        <v>111</v>
      </c>
      <c r="G5425" s="339" t="str">
        <f t="shared" si="2"/>
        <v>合同大阪:伊藤忠Ｈ１(特A)</v>
      </c>
      <c r="H5425" s="340">
        <f t="shared" si="3"/>
        <v>55.3</v>
      </c>
      <c r="I5425" s="341">
        <v>2.0</v>
      </c>
      <c r="J5425" s="332">
        <f>IFERROR(__xludf.DUMMYFUNCTION("IF(IF(COUNTIF(P$2:P5424, P5425)=0, """", INDEX(H$2:H5424,
MAX(FILTER(ROW(H$2:H5424) - ROW(H$2) + 1, P$2:P5424 = P5425))))=""単価"","""",
IF(COUNTIF(P$2:P5424, P5425)=0, """", INDEX(H$2:H5424,
MAX(FILTER(ROW(H$2:H5424) - ROW(H$2) + 1, P$2:P5424 = P5425)))))"),53.3)</f>
        <v>53.3</v>
      </c>
      <c r="N5425" s="335" t="str">
        <f>IF(MAXIFS('単価履歴'!$O:$O,'単価履歴'!$E:$E,E5425,'単価履歴'!$F:$F,F5425)=O5425,"●","")</f>
        <v/>
      </c>
      <c r="O5425" s="346">
        <v>46122.27951388889</v>
      </c>
      <c r="P5425" s="334" t="str">
        <f t="shared" si="4"/>
        <v>合同大阪:伊藤忠Ｈ１(特A)</v>
      </c>
    </row>
    <row r="5426" ht="15.75" customHeight="1">
      <c r="A5426" s="335" t="s">
        <v>6573</v>
      </c>
      <c r="B5426" s="336">
        <v>46122.0</v>
      </c>
      <c r="C5426" s="371" t="s">
        <v>7</v>
      </c>
      <c r="D5426" s="371" t="s">
        <v>49</v>
      </c>
      <c r="E5426" s="337" t="str">
        <f t="shared" si="1"/>
        <v>合同大阪:伊藤忠</v>
      </c>
      <c r="F5426" s="338" t="s">
        <v>116</v>
      </c>
      <c r="G5426" s="339" t="str">
        <f t="shared" si="2"/>
        <v>合同大阪:伊藤忠Ｈ２(特級)</v>
      </c>
      <c r="H5426" s="340">
        <f t="shared" si="3"/>
        <v>53.3</v>
      </c>
      <c r="I5426" s="341">
        <v>2.0</v>
      </c>
      <c r="J5426" s="332">
        <f>IFERROR(__xludf.DUMMYFUNCTION("IF(IF(COUNTIF(P$2:P5425, P5426)=0, """", INDEX(H$2:H5425,
MAX(FILTER(ROW(H$2:H5425) - ROW(H$2) + 1, P$2:P5425 = P5426))))=""単価"","""",
IF(COUNTIF(P$2:P5425, P5426)=0, """", INDEX(H$2:H5425,
MAX(FILTER(ROW(H$2:H5425) - ROW(H$2) + 1, P$2:P5425 = P5426)))))"),51.3)</f>
        <v>51.3</v>
      </c>
      <c r="N5426" s="335" t="str">
        <f>IF(MAXIFS('単価履歴'!$O:$O,'単価履歴'!$E:$E,E5426,'単価履歴'!$F:$F,F5426)=O5426,"●","")</f>
        <v/>
      </c>
      <c r="O5426" s="346">
        <v>46122.27951388889</v>
      </c>
      <c r="P5426" s="334" t="str">
        <f t="shared" si="4"/>
        <v>合同大阪:伊藤忠Ｈ２(特級)</v>
      </c>
    </row>
    <row r="5427" ht="15.75" customHeight="1">
      <c r="A5427" s="335" t="s">
        <v>6574</v>
      </c>
      <c r="B5427" s="336">
        <v>46122.0</v>
      </c>
      <c r="C5427" s="371" t="s">
        <v>7</v>
      </c>
      <c r="D5427" s="371" t="s">
        <v>49</v>
      </c>
      <c r="E5427" s="337" t="str">
        <f t="shared" si="1"/>
        <v>合同大阪:伊藤忠</v>
      </c>
      <c r="F5427" s="338" t="s">
        <v>119</v>
      </c>
      <c r="G5427" s="339" t="str">
        <f t="shared" si="2"/>
        <v>合同大阪:伊藤忠Ｈ３(1級)</v>
      </c>
      <c r="H5427" s="340">
        <f t="shared" si="3"/>
        <v>52.8</v>
      </c>
      <c r="I5427" s="341">
        <v>2.0</v>
      </c>
      <c r="J5427" s="332">
        <f>IFERROR(__xludf.DUMMYFUNCTION("IF(IF(COUNTIF(P$2:P5426, P5427)=0, """", INDEX(H$2:H5426,
MAX(FILTER(ROW(H$2:H5426) - ROW(H$2) + 1, P$2:P5426 = P5427))))=""単価"","""",
IF(COUNTIF(P$2:P5426, P5427)=0, """", INDEX(H$2:H5426,
MAX(FILTER(ROW(H$2:H5426) - ROW(H$2) + 1, P$2:P5426 = P5427)))))"),50.8)</f>
        <v>50.8</v>
      </c>
      <c r="N5427" s="335" t="str">
        <f>IF(MAXIFS('単価履歴'!$O:$O,'単価履歴'!$E:$E,E5427,'単価履歴'!$F:$F,F5427)=O5427,"●","")</f>
        <v/>
      </c>
      <c r="O5427" s="346">
        <v>46122.27951388889</v>
      </c>
      <c r="P5427" s="334" t="str">
        <f t="shared" si="4"/>
        <v>合同大阪:伊藤忠Ｈ３(1級)</v>
      </c>
    </row>
    <row r="5428" ht="15.75" customHeight="1">
      <c r="A5428" s="335" t="s">
        <v>6575</v>
      </c>
      <c r="B5428" s="336">
        <v>46122.0</v>
      </c>
      <c r="C5428" s="371" t="s">
        <v>7</v>
      </c>
      <c r="D5428" s="371" t="s">
        <v>49</v>
      </c>
      <c r="E5428" s="337" t="str">
        <f t="shared" si="1"/>
        <v>合同大阪:伊藤忠</v>
      </c>
      <c r="F5428" s="338" t="s">
        <v>122</v>
      </c>
      <c r="G5428" s="339" t="str">
        <f t="shared" si="2"/>
        <v>合同大阪:伊藤忠Ｌ１(2級)</v>
      </c>
      <c r="H5428" s="340">
        <f t="shared" si="3"/>
        <v>51.8</v>
      </c>
      <c r="I5428" s="341">
        <v>2.0</v>
      </c>
      <c r="J5428" s="332">
        <f>IFERROR(__xludf.DUMMYFUNCTION("IF(IF(COUNTIF(P$2:P5427, P5428)=0, """", INDEX(H$2:H5427,
MAX(FILTER(ROW(H$2:H5427) - ROW(H$2) + 1, P$2:P5427 = P5428))))=""単価"","""",
IF(COUNTIF(P$2:P5427, P5428)=0, """", INDEX(H$2:H5427,
MAX(FILTER(ROW(H$2:H5427) - ROW(H$2) + 1, P$2:P5427 = P5428)))))"),49.8)</f>
        <v>49.8</v>
      </c>
      <c r="N5428" s="335" t="str">
        <f>IF(MAXIFS('単価履歴'!$O:$O,'単価履歴'!$E:$E,E5428,'単価履歴'!$F:$F,F5428)=O5428,"●","")</f>
        <v/>
      </c>
      <c r="O5428" s="346">
        <v>46122.27951388889</v>
      </c>
      <c r="P5428" s="334" t="str">
        <f t="shared" si="4"/>
        <v>合同大阪:伊藤忠Ｌ１(2級)</v>
      </c>
    </row>
    <row r="5429" ht="15.75" customHeight="1">
      <c r="A5429" s="335" t="s">
        <v>6576</v>
      </c>
      <c r="B5429" s="336">
        <v>46122.0</v>
      </c>
      <c r="C5429" s="371" t="s">
        <v>7</v>
      </c>
      <c r="D5429" s="371" t="s">
        <v>49</v>
      </c>
      <c r="E5429" s="337" t="str">
        <f t="shared" si="1"/>
        <v>合同大阪:伊藤忠</v>
      </c>
      <c r="F5429" s="338" t="s">
        <v>1199</v>
      </c>
      <c r="G5429" s="339" t="str">
        <f t="shared" si="2"/>
        <v>合同大阪:伊藤忠ＨＳ１(単体H1/電特A/HS))</v>
      </c>
      <c r="H5429" s="340">
        <f t="shared" si="3"/>
        <v>55.3</v>
      </c>
      <c r="I5429" s="341">
        <v>2.5</v>
      </c>
      <c r="J5429" s="332">
        <f>IFERROR(__xludf.DUMMYFUNCTION("IF(IF(COUNTIF(P$2:P5428, P5429)=0, """", INDEX(H$2:H5428,
MAX(FILTER(ROW(H$2:H5428) - ROW(H$2) + 1, P$2:P5428 = P5429))))=""単価"","""",
IF(COUNTIF(P$2:P5428, P5429)=0, """", INDEX(H$2:H5428,
MAX(FILTER(ROW(H$2:H5428) - ROW(H$2) + 1, P$2:P5428 = P5429)))))"),52.8)</f>
        <v>52.8</v>
      </c>
      <c r="N5429" s="335" t="str">
        <f>IF(MAXIFS('単価履歴'!$O:$O,'単価履歴'!$E:$E,E5429,'単価履歴'!$F:$F,F5429)=O5429,"●","")</f>
        <v/>
      </c>
      <c r="O5429" s="346">
        <v>46122.27994212963</v>
      </c>
      <c r="P5429" s="334" t="str">
        <f t="shared" si="4"/>
        <v>合同大阪:伊藤忠ＨＳ１(単体H1/電特A/HS))</v>
      </c>
    </row>
    <row r="5430" ht="15.75" customHeight="1">
      <c r="A5430" s="335" t="s">
        <v>6577</v>
      </c>
      <c r="B5430" s="336">
        <v>46122.0</v>
      </c>
      <c r="C5430" s="371" t="s">
        <v>7</v>
      </c>
      <c r="D5430" s="371" t="s">
        <v>49</v>
      </c>
      <c r="E5430" s="337" t="str">
        <f t="shared" si="1"/>
        <v>合同大阪:伊藤忠</v>
      </c>
      <c r="F5430" s="338" t="s">
        <v>101</v>
      </c>
      <c r="G5430" s="339" t="str">
        <f t="shared" si="2"/>
        <v>合同大阪:伊藤忠ＨＳ２</v>
      </c>
      <c r="H5430" s="340">
        <f t="shared" si="3"/>
        <v>54.8</v>
      </c>
      <c r="I5430" s="341">
        <v>2.5</v>
      </c>
      <c r="J5430" s="332">
        <f>IFERROR(__xludf.DUMMYFUNCTION("IF(IF(COUNTIF(P$2:P5429, P5430)=0, """", INDEX(H$2:H5429,
MAX(FILTER(ROW(H$2:H5429) - ROW(H$2) + 1, P$2:P5429 = P5430))))=""単価"","""",
IF(COUNTIF(P$2:P5429, P5430)=0, """", INDEX(H$2:H5429,
MAX(FILTER(ROW(H$2:H5429) - ROW(H$2) + 1, P$2:P5429 = P5430)))))"),52.3)</f>
        <v>52.3</v>
      </c>
      <c r="N5430" s="335" t="str">
        <f>IF(MAXIFS('単価履歴'!$O:$O,'単価履歴'!$E:$E,E5430,'単価履歴'!$F:$F,F5430)=O5430,"●","")</f>
        <v/>
      </c>
      <c r="O5430" s="346">
        <v>46122.27994212963</v>
      </c>
      <c r="P5430" s="334" t="str">
        <f t="shared" si="4"/>
        <v>合同大阪:伊藤忠ＨＳ２</v>
      </c>
    </row>
    <row r="5431" ht="15.75" customHeight="1">
      <c r="A5431" s="335" t="s">
        <v>6578</v>
      </c>
      <c r="B5431" s="336">
        <v>46122.0</v>
      </c>
      <c r="C5431" s="371" t="s">
        <v>7</v>
      </c>
      <c r="D5431" s="371" t="s">
        <v>49</v>
      </c>
      <c r="E5431" s="337" t="str">
        <f t="shared" si="1"/>
        <v>合同大阪:伊藤忠</v>
      </c>
      <c r="F5431" s="338" t="s">
        <v>130</v>
      </c>
      <c r="G5431" s="339" t="str">
        <f t="shared" si="2"/>
        <v>合同大阪:伊藤忠新断Ａ</v>
      </c>
      <c r="H5431" s="340">
        <f t="shared" si="3"/>
        <v>57.8</v>
      </c>
      <c r="I5431" s="341">
        <v>2.5</v>
      </c>
      <c r="J5431" s="332">
        <f>IFERROR(__xludf.DUMMYFUNCTION("IF(IF(COUNTIF(P$2:P5430, P5431)=0, """", INDEX(H$2:H5430,
MAX(FILTER(ROW(H$2:H5430) - ROW(H$2) + 1, P$2:P5430 = P5431))))=""単価"","""",
IF(COUNTIF(P$2:P5430, P5431)=0, """", INDEX(H$2:H5430,
MAX(FILTER(ROW(H$2:H5430) - ROW(H$2) + 1, P$2:P5430 = P5431)))))"),55.3)</f>
        <v>55.3</v>
      </c>
      <c r="N5431" s="335" t="str">
        <f>IF(MAXIFS('単価履歴'!$O:$O,'単価履歴'!$E:$E,E5431,'単価履歴'!$F:$F,F5431)=O5431,"●","")</f>
        <v/>
      </c>
      <c r="O5431" s="346">
        <v>46122.27994212963</v>
      </c>
      <c r="P5431" s="334" t="str">
        <f t="shared" si="4"/>
        <v>合同大阪:伊藤忠新断Ａ</v>
      </c>
    </row>
    <row r="5432" ht="15.75" customHeight="1">
      <c r="A5432" s="335" t="s">
        <v>6579</v>
      </c>
      <c r="B5432" s="336">
        <v>46122.0</v>
      </c>
      <c r="C5432" s="371" t="s">
        <v>7</v>
      </c>
      <c r="D5432" s="371" t="s">
        <v>49</v>
      </c>
      <c r="E5432" s="337" t="str">
        <f t="shared" si="1"/>
        <v>合同大阪:伊藤忠</v>
      </c>
      <c r="F5432" s="338" t="s">
        <v>131</v>
      </c>
      <c r="G5432" s="339" t="str">
        <f t="shared" si="2"/>
        <v>合同大阪:伊藤忠新断Ｂ</v>
      </c>
      <c r="H5432" s="340">
        <f t="shared" si="3"/>
        <v>57.3</v>
      </c>
      <c r="I5432" s="341">
        <v>2.5</v>
      </c>
      <c r="J5432" s="332">
        <f>IFERROR(__xludf.DUMMYFUNCTION("IF(IF(COUNTIF(P$2:P5431, P5432)=0, """", INDEX(H$2:H5431,
MAX(FILTER(ROW(H$2:H5431) - ROW(H$2) + 1, P$2:P5431 = P5432))))=""単価"","""",
IF(COUNTIF(P$2:P5431, P5432)=0, """", INDEX(H$2:H5431,
MAX(FILTER(ROW(H$2:H5431) - ROW(H$2) + 1, P$2:P5431 = P5432)))))"),54.8)</f>
        <v>54.8</v>
      </c>
      <c r="N5432" s="335" t="str">
        <f>IF(MAXIFS('単価履歴'!$O:$O,'単価履歴'!$E:$E,E5432,'単価履歴'!$F:$F,F5432)=O5432,"●","")</f>
        <v/>
      </c>
      <c r="O5432" s="346">
        <v>46122.27994212963</v>
      </c>
      <c r="P5432" s="334" t="str">
        <f t="shared" si="4"/>
        <v>合同大阪:伊藤忠新断Ｂ</v>
      </c>
    </row>
    <row r="5433" ht="15.75" customHeight="1">
      <c r="A5433" s="335" t="s">
        <v>6580</v>
      </c>
      <c r="B5433" s="336">
        <v>46122.0</v>
      </c>
      <c r="C5433" s="371" t="s">
        <v>7</v>
      </c>
      <c r="D5433" s="371" t="s">
        <v>49</v>
      </c>
      <c r="E5433" s="337" t="str">
        <f t="shared" si="1"/>
        <v>合同大阪:伊藤忠</v>
      </c>
      <c r="F5433" s="338" t="s">
        <v>575</v>
      </c>
      <c r="G5433" s="339" t="str">
        <f t="shared" si="2"/>
        <v>合同大阪:伊藤忠鋼ダライＡ</v>
      </c>
      <c r="H5433" s="340">
        <f t="shared" si="3"/>
        <v>43.8</v>
      </c>
      <c r="I5433" s="341">
        <v>2.5</v>
      </c>
      <c r="J5433" s="332">
        <f>IFERROR(__xludf.DUMMYFUNCTION("IF(IF(COUNTIF(P$2:P5432, P5433)=0, """", INDEX(H$2:H5432,
MAX(FILTER(ROW(H$2:H5432) - ROW(H$2) + 1, P$2:P5432 = P5433))))=""単価"","""",
IF(COUNTIF(P$2:P5432, P5433)=0, """", INDEX(H$2:H5432,
MAX(FILTER(ROW(H$2:H5432) - ROW(H$2) + 1, P$2:P5432 = P5433)))))"),41.3)</f>
        <v>41.3</v>
      </c>
      <c r="N5433" s="335" t="str">
        <f>IF(MAXIFS('単価履歴'!$O:$O,'単価履歴'!$E:$E,E5433,'単価履歴'!$F:$F,F5433)=O5433,"●","")</f>
        <v/>
      </c>
      <c r="O5433" s="346">
        <v>46122.27994212963</v>
      </c>
      <c r="P5433" s="334" t="str">
        <f t="shared" si="4"/>
        <v>合同大阪:伊藤忠鋼ダライＡ</v>
      </c>
    </row>
    <row r="5434" ht="15.75" customHeight="1">
      <c r="A5434" s="335" t="s">
        <v>6581</v>
      </c>
      <c r="B5434" s="336">
        <v>46122.0</v>
      </c>
      <c r="C5434" s="371" t="s">
        <v>7</v>
      </c>
      <c r="D5434" s="371" t="s">
        <v>49</v>
      </c>
      <c r="E5434" s="337" t="str">
        <f t="shared" si="1"/>
        <v>合同大阪:伊藤忠</v>
      </c>
      <c r="F5434" s="338" t="s">
        <v>576</v>
      </c>
      <c r="G5434" s="339" t="str">
        <f t="shared" si="2"/>
        <v>合同大阪:伊藤忠鋼ダライＢ</v>
      </c>
      <c r="H5434" s="340">
        <f t="shared" si="3"/>
        <v>43.3</v>
      </c>
      <c r="I5434" s="341">
        <v>2.5</v>
      </c>
      <c r="J5434" s="332">
        <f>IFERROR(__xludf.DUMMYFUNCTION("IF(IF(COUNTIF(P$2:P5433, P5434)=0, """", INDEX(H$2:H5433,
MAX(FILTER(ROW(H$2:H5433) - ROW(H$2) + 1, P$2:P5433 = P5434))))=""単価"","""",
IF(COUNTIF(P$2:P5433, P5434)=0, """", INDEX(H$2:H5433,
MAX(FILTER(ROW(H$2:H5433) - ROW(H$2) + 1, P$2:P5433 = P5434)))))"),40.8)</f>
        <v>40.8</v>
      </c>
      <c r="N5434" s="335" t="str">
        <f>IF(MAXIFS('単価履歴'!$O:$O,'単価履歴'!$E:$E,E5434,'単価履歴'!$F:$F,F5434)=O5434,"●","")</f>
        <v/>
      </c>
      <c r="O5434" s="346">
        <v>46122.27994212963</v>
      </c>
      <c r="P5434" s="334" t="str">
        <f t="shared" si="4"/>
        <v>合同大阪:伊藤忠鋼ダライＢ</v>
      </c>
    </row>
    <row r="5435" ht="15.75" customHeight="1">
      <c r="A5435" s="335" t="s">
        <v>6582</v>
      </c>
      <c r="B5435" s="336">
        <v>46122.0</v>
      </c>
      <c r="C5435" s="371" t="s">
        <v>9</v>
      </c>
      <c r="D5435" s="371" t="s">
        <v>51</v>
      </c>
      <c r="E5435" s="337" t="str">
        <f t="shared" si="1"/>
        <v>大鉄　堺:大鉄堺</v>
      </c>
      <c r="F5435" s="338" t="s">
        <v>111</v>
      </c>
      <c r="G5435" s="339" t="str">
        <f t="shared" si="2"/>
        <v>大鉄　堺:大鉄堺Ｈ１(特A)</v>
      </c>
      <c r="H5435" s="340">
        <f t="shared" si="3"/>
        <v>54</v>
      </c>
      <c r="I5435" s="341">
        <v>1.5</v>
      </c>
      <c r="J5435" s="332">
        <f>IFERROR(__xludf.DUMMYFUNCTION("IF(IF(COUNTIF(P$2:P5434, P5435)=0, """", INDEX(H$2:H5434,
MAX(FILTER(ROW(H$2:H5434) - ROW(H$2) + 1, P$2:P5434 = P5435))))=""単価"","""",
IF(COUNTIF(P$2:P5434, P5435)=0, """", INDEX(H$2:H5434,
MAX(FILTER(ROW(H$2:H5434) - ROW(H$2) + 1, P$2:P5434 = P5435)))))"),52.5)</f>
        <v>52.5</v>
      </c>
      <c r="N5435" s="335" t="str">
        <f>IF(MAXIFS('単価履歴'!$O:$O,'単価履歴'!$E:$E,E5435,'単価履歴'!$F:$F,F5435)=O5435,"●","")</f>
        <v>●</v>
      </c>
      <c r="O5435" s="346">
        <v>46122.28040509259</v>
      </c>
      <c r="P5435" s="334" t="str">
        <f t="shared" si="4"/>
        <v>大鉄　堺:大鉄堺Ｈ１(特A)</v>
      </c>
    </row>
    <row r="5436" ht="15.75" customHeight="1">
      <c r="A5436" s="335" t="s">
        <v>6583</v>
      </c>
      <c r="B5436" s="336">
        <v>46122.0</v>
      </c>
      <c r="C5436" s="371" t="s">
        <v>9</v>
      </c>
      <c r="D5436" s="371" t="s">
        <v>51</v>
      </c>
      <c r="E5436" s="337" t="str">
        <f t="shared" si="1"/>
        <v>大鉄　堺:大鉄堺</v>
      </c>
      <c r="F5436" s="338" t="s">
        <v>116</v>
      </c>
      <c r="G5436" s="339" t="str">
        <f t="shared" si="2"/>
        <v>大鉄　堺:大鉄堺Ｈ２(特級)</v>
      </c>
      <c r="H5436" s="340">
        <f t="shared" si="3"/>
        <v>51</v>
      </c>
      <c r="I5436" s="341">
        <v>1.5</v>
      </c>
      <c r="J5436" s="332">
        <f>IFERROR(__xludf.DUMMYFUNCTION("IF(IF(COUNTIF(P$2:P5435, P5436)=0, """", INDEX(H$2:H5435,
MAX(FILTER(ROW(H$2:H5435) - ROW(H$2) + 1, P$2:P5435 = P5436))))=""単価"","""",
IF(COUNTIF(P$2:P5435, P5436)=0, """", INDEX(H$2:H5435,
MAX(FILTER(ROW(H$2:H5435) - ROW(H$2) + 1, P$2:P5435 = P5436)))))"),49.5)</f>
        <v>49.5</v>
      </c>
      <c r="N5436" s="335" t="str">
        <f>IF(MAXIFS('単価履歴'!$O:$O,'単価履歴'!$E:$E,E5436,'単価履歴'!$F:$F,F5436)=O5436,"●","")</f>
        <v>●</v>
      </c>
      <c r="O5436" s="346">
        <v>46122.28040509259</v>
      </c>
      <c r="P5436" s="334" t="str">
        <f t="shared" si="4"/>
        <v>大鉄　堺:大鉄堺Ｈ２(特級)</v>
      </c>
    </row>
    <row r="5437" ht="15.75" customHeight="1">
      <c r="A5437" s="335" t="s">
        <v>6584</v>
      </c>
      <c r="B5437" s="336">
        <v>46122.0</v>
      </c>
      <c r="C5437" s="371" t="s">
        <v>9</v>
      </c>
      <c r="D5437" s="371" t="s">
        <v>51</v>
      </c>
      <c r="E5437" s="337" t="str">
        <f t="shared" si="1"/>
        <v>大鉄　堺:大鉄堺</v>
      </c>
      <c r="F5437" s="338" t="s">
        <v>1237</v>
      </c>
      <c r="G5437" s="339" t="str">
        <f t="shared" si="2"/>
        <v>大鉄　堺:大鉄堺ＪＨ１(H2T山口)鍛造ﾊﾞﾘ</v>
      </c>
      <c r="H5437" s="340">
        <f t="shared" si="3"/>
        <v>53</v>
      </c>
      <c r="I5437" s="341">
        <v>1.5</v>
      </c>
      <c r="J5437" s="332">
        <f>IFERROR(__xludf.DUMMYFUNCTION("IF(IF(COUNTIF(P$2:P5436, P5437)=0, """", INDEX(H$2:H5436,
MAX(FILTER(ROW(H$2:H5436) - ROW(H$2) + 1, P$2:P5436 = P5437))))=""単価"","""",
IF(COUNTIF(P$2:P5436, P5437)=0, """", INDEX(H$2:H5436,
MAX(FILTER(ROW(H$2:H5436) - ROW(H$2) + 1, P$2:P5436 = P5437)))))"),51.5)</f>
        <v>51.5</v>
      </c>
      <c r="N5437" s="335" t="str">
        <f>IF(MAXIFS('単価履歴'!$O:$O,'単価履歴'!$E:$E,E5437,'単価履歴'!$F:$F,F5437)=O5437,"●","")</f>
        <v>●</v>
      </c>
      <c r="O5437" s="346">
        <v>46122.28040509259</v>
      </c>
      <c r="P5437" s="334" t="str">
        <f t="shared" si="4"/>
        <v>大鉄　堺:大鉄堺ＪＨ１(H2T山口)鍛造ﾊﾞﾘ</v>
      </c>
    </row>
    <row r="5438" ht="15.75" customHeight="1">
      <c r="A5438" s="335" t="s">
        <v>6585</v>
      </c>
      <c r="B5438" s="336">
        <v>46122.0</v>
      </c>
      <c r="C5438" s="371" t="s">
        <v>9</v>
      </c>
      <c r="D5438" s="371" t="s">
        <v>51</v>
      </c>
      <c r="E5438" s="337" t="str">
        <f t="shared" si="1"/>
        <v>大鉄　堺:大鉄堺</v>
      </c>
      <c r="F5438" s="338" t="s">
        <v>119</v>
      </c>
      <c r="G5438" s="339" t="str">
        <f t="shared" si="2"/>
        <v>大鉄　堺:大鉄堺Ｈ３(1級)</v>
      </c>
      <c r="H5438" s="340">
        <f t="shared" si="3"/>
        <v>50.5</v>
      </c>
      <c r="I5438" s="341">
        <v>1.5</v>
      </c>
      <c r="J5438" s="332">
        <f>IFERROR(__xludf.DUMMYFUNCTION("IF(IF(COUNTIF(P$2:P5437, P5438)=0, """", INDEX(H$2:H5437,
MAX(FILTER(ROW(H$2:H5437) - ROW(H$2) + 1, P$2:P5437 = P5438))))=""単価"","""",
IF(COUNTIF(P$2:P5437, P5438)=0, """", INDEX(H$2:H5437,
MAX(FILTER(ROW(H$2:H5437) - ROW(H$2) + 1, P$2:P5437 = P5438)))))"),49.0)</f>
        <v>49</v>
      </c>
      <c r="N5438" s="335" t="str">
        <f>IF(MAXIFS('単価履歴'!$O:$O,'単価履歴'!$E:$E,E5438,'単価履歴'!$F:$F,F5438)=O5438,"●","")</f>
        <v>●</v>
      </c>
      <c r="O5438" s="346">
        <v>46122.28040509259</v>
      </c>
      <c r="P5438" s="334" t="str">
        <f t="shared" si="4"/>
        <v>大鉄　堺:大鉄堺Ｈ３(1級)</v>
      </c>
    </row>
    <row r="5439" ht="15.75" customHeight="1">
      <c r="A5439" s="335" t="s">
        <v>6586</v>
      </c>
      <c r="B5439" s="336">
        <v>46122.0</v>
      </c>
      <c r="C5439" s="371" t="s">
        <v>9</v>
      </c>
      <c r="D5439" s="371" t="s">
        <v>51</v>
      </c>
      <c r="E5439" s="337" t="str">
        <f t="shared" si="1"/>
        <v>大鉄　堺:大鉄堺</v>
      </c>
      <c r="F5439" s="338" t="s">
        <v>122</v>
      </c>
      <c r="G5439" s="339" t="str">
        <f t="shared" si="2"/>
        <v>大鉄　堺:大鉄堺Ｌ１(2級)</v>
      </c>
      <c r="H5439" s="340">
        <f t="shared" si="3"/>
        <v>50</v>
      </c>
      <c r="I5439" s="341">
        <v>1.5</v>
      </c>
      <c r="J5439" s="332">
        <f>IFERROR(__xludf.DUMMYFUNCTION("IF(IF(COUNTIF(P$2:P5438, P5439)=0, """", INDEX(H$2:H5438,
MAX(FILTER(ROW(H$2:H5438) - ROW(H$2) + 1, P$2:P5438 = P5439))))=""単価"","""",
IF(COUNTIF(P$2:P5438, P5439)=0, """", INDEX(H$2:H5438,
MAX(FILTER(ROW(H$2:H5438) - ROW(H$2) + 1, P$2:P5438 = P5439)))))"),48.5)</f>
        <v>48.5</v>
      </c>
      <c r="N5439" s="335" t="str">
        <f>IF(MAXIFS('単価履歴'!$O:$O,'単価履歴'!$E:$E,E5439,'単価履歴'!$F:$F,F5439)=O5439,"●","")</f>
        <v>●</v>
      </c>
      <c r="O5439" s="346">
        <v>46122.28040509259</v>
      </c>
      <c r="P5439" s="334" t="str">
        <f t="shared" si="4"/>
        <v>大鉄　堺:大鉄堺Ｌ１(2級)</v>
      </c>
    </row>
    <row r="5440" ht="15.75" customHeight="1">
      <c r="A5440" s="335" t="s">
        <v>6587</v>
      </c>
      <c r="B5440" s="336">
        <v>46122.0</v>
      </c>
      <c r="C5440" s="371" t="s">
        <v>9</v>
      </c>
      <c r="D5440" s="371" t="s">
        <v>51</v>
      </c>
      <c r="E5440" s="337" t="str">
        <f t="shared" si="1"/>
        <v>大鉄　堺:大鉄堺</v>
      </c>
      <c r="F5440" s="338" t="s">
        <v>130</v>
      </c>
      <c r="G5440" s="339" t="str">
        <f t="shared" si="2"/>
        <v>大鉄　堺:大鉄堺新断Ａ</v>
      </c>
      <c r="H5440" s="340">
        <f t="shared" si="3"/>
        <v>37.5</v>
      </c>
      <c r="I5440" s="341">
        <v>1.5</v>
      </c>
      <c r="J5440" s="332">
        <f>IFERROR(__xludf.DUMMYFUNCTION("IF(IF(COUNTIF(P$2:P5439, P5440)=0, """", INDEX(H$2:H5439,
MAX(FILTER(ROW(H$2:H5439) - ROW(H$2) + 1, P$2:P5439 = P5440))))=""単価"","""",
IF(COUNTIF(P$2:P5439, P5440)=0, """", INDEX(H$2:H5439,
MAX(FILTER(ROW(H$2:H5439) - ROW(H$2) + 1, P$2:P5439 = P5440)))))"),36.0)</f>
        <v>36</v>
      </c>
      <c r="N5440" s="335" t="str">
        <f>IF(MAXIFS('単価履歴'!$O:$O,'単価履歴'!$E:$E,E5440,'単価履歴'!$F:$F,F5440)=O5440,"●","")</f>
        <v>●</v>
      </c>
      <c r="O5440" s="346">
        <v>46122.28040509259</v>
      </c>
      <c r="P5440" s="334" t="str">
        <f t="shared" si="4"/>
        <v>大鉄　堺:大鉄堺新断Ａ</v>
      </c>
    </row>
    <row r="5441" ht="15.75" customHeight="1">
      <c r="A5441" s="335" t="s">
        <v>6588</v>
      </c>
      <c r="B5441" s="336">
        <v>46122.0</v>
      </c>
      <c r="C5441" s="371" t="s">
        <v>9</v>
      </c>
      <c r="D5441" s="371" t="s">
        <v>51</v>
      </c>
      <c r="E5441" s="337" t="str">
        <f t="shared" si="1"/>
        <v>大鉄　堺:大鉄堺</v>
      </c>
      <c r="F5441" s="338" t="s">
        <v>131</v>
      </c>
      <c r="G5441" s="339" t="str">
        <f t="shared" si="2"/>
        <v>大鉄　堺:大鉄堺新断Ｂ</v>
      </c>
      <c r="H5441" s="340">
        <f t="shared" si="3"/>
        <v>37</v>
      </c>
      <c r="I5441" s="341">
        <v>1.5</v>
      </c>
      <c r="J5441" s="332">
        <f>IFERROR(__xludf.DUMMYFUNCTION("IF(IF(COUNTIF(P$2:P5440, P5441)=0, """", INDEX(H$2:H5440,
MAX(FILTER(ROW(H$2:H5440) - ROW(H$2) + 1, P$2:P5440 = P5441))))=""単価"","""",
IF(COUNTIF(P$2:P5440, P5441)=0, """", INDEX(H$2:H5440,
MAX(FILTER(ROW(H$2:H5440) - ROW(H$2) + 1, P$2:P5440 = P5441)))))"),35.5)</f>
        <v>35.5</v>
      </c>
      <c r="N5441" s="335" t="str">
        <f>IF(MAXIFS('単価履歴'!$O:$O,'単価履歴'!$E:$E,E5441,'単価履歴'!$F:$F,F5441)=O5441,"●","")</f>
        <v>●</v>
      </c>
      <c r="O5441" s="346">
        <v>46122.28040509259</v>
      </c>
      <c r="P5441" s="334" t="str">
        <f t="shared" si="4"/>
        <v>大鉄　堺:大鉄堺新断Ｂ</v>
      </c>
    </row>
    <row r="5442" ht="15.75" customHeight="1">
      <c r="A5442" s="335" t="s">
        <v>6589</v>
      </c>
      <c r="B5442" s="336">
        <v>46122.0</v>
      </c>
      <c r="C5442" s="371" t="s">
        <v>9</v>
      </c>
      <c r="D5442" s="371" t="s">
        <v>51</v>
      </c>
      <c r="E5442" s="337" t="str">
        <f t="shared" si="1"/>
        <v>大鉄　堺:大鉄堺</v>
      </c>
      <c r="F5442" s="338" t="s">
        <v>575</v>
      </c>
      <c r="G5442" s="339" t="str">
        <f t="shared" si="2"/>
        <v>大鉄　堺:大鉄堺鋼ダライＡ</v>
      </c>
      <c r="H5442" s="340">
        <f t="shared" si="3"/>
        <v>37</v>
      </c>
      <c r="I5442" s="341">
        <v>1.5</v>
      </c>
      <c r="J5442" s="332">
        <f>IFERROR(__xludf.DUMMYFUNCTION("IF(IF(COUNTIF(P$2:P5441, P5442)=0, """", INDEX(H$2:H5441,
MAX(FILTER(ROW(H$2:H5441) - ROW(H$2) + 1, P$2:P5441 = P5442))))=""単価"","""",
IF(COUNTIF(P$2:P5441, P5442)=0, """", INDEX(H$2:H5441,
MAX(FILTER(ROW(H$2:H5441) - ROW(H$2) + 1, P$2:P5441 = P5442)))))"),35.5)</f>
        <v>35.5</v>
      </c>
      <c r="N5442" s="335" t="str">
        <f>IF(MAXIFS('単価履歴'!$O:$O,'単価履歴'!$E:$E,E5442,'単価履歴'!$F:$F,F5442)=O5442,"●","")</f>
        <v>●</v>
      </c>
      <c r="O5442" s="346">
        <v>46122.28040509259</v>
      </c>
      <c r="P5442" s="334" t="str">
        <f t="shared" si="4"/>
        <v>大鉄　堺:大鉄堺鋼ダライＡ</v>
      </c>
    </row>
    <row r="5443" ht="15.75" customHeight="1">
      <c r="A5443" s="335" t="s">
        <v>6590</v>
      </c>
      <c r="B5443" s="336">
        <v>46122.0</v>
      </c>
      <c r="C5443" s="371" t="s">
        <v>9</v>
      </c>
      <c r="D5443" s="371" t="s">
        <v>51</v>
      </c>
      <c r="E5443" s="337" t="str">
        <f t="shared" si="1"/>
        <v>大鉄　堺:大鉄堺</v>
      </c>
      <c r="F5443" s="338" t="s">
        <v>576</v>
      </c>
      <c r="G5443" s="339" t="str">
        <f t="shared" si="2"/>
        <v>大鉄　堺:大鉄堺鋼ダライＢ</v>
      </c>
      <c r="H5443" s="340">
        <f t="shared" si="3"/>
        <v>37</v>
      </c>
      <c r="I5443" s="341">
        <v>1.5</v>
      </c>
      <c r="J5443" s="332">
        <f>IFERROR(__xludf.DUMMYFUNCTION("IF(IF(COUNTIF(P$2:P5442, P5443)=0, """", INDEX(H$2:H5442,
MAX(FILTER(ROW(H$2:H5442) - ROW(H$2) + 1, P$2:P5442 = P5443))))=""単価"","""",
IF(COUNTIF(P$2:P5442, P5443)=0, """", INDEX(H$2:H5442,
MAX(FILTER(ROW(H$2:H5442) - ROW(H$2) + 1, P$2:P5442 = P5443)))))"),35.5)</f>
        <v>35.5</v>
      </c>
      <c r="N5443" s="335" t="str">
        <f>IF(MAXIFS('単価履歴'!$O:$O,'単価履歴'!$E:$E,E5443,'単価履歴'!$F:$F,F5443)=O5443,"●","")</f>
        <v>●</v>
      </c>
      <c r="O5443" s="346">
        <v>46122.28040509259</v>
      </c>
      <c r="P5443" s="334" t="str">
        <f t="shared" si="4"/>
        <v>大鉄　堺:大鉄堺鋼ダライＢ</v>
      </c>
    </row>
    <row r="5444" ht="15.75" customHeight="1">
      <c r="A5444" s="335" t="s">
        <v>6591</v>
      </c>
      <c r="B5444" s="336">
        <v>46122.0</v>
      </c>
      <c r="C5444" s="371" t="s">
        <v>9</v>
      </c>
      <c r="D5444" s="371" t="s">
        <v>51</v>
      </c>
      <c r="E5444" s="337" t="str">
        <f t="shared" si="1"/>
        <v>大鉄　堺:大鉄堺</v>
      </c>
      <c r="F5444" s="338" t="s">
        <v>145</v>
      </c>
      <c r="G5444" s="339" t="str">
        <f t="shared" si="2"/>
        <v>大鉄　堺:大鉄堺シュレＡ</v>
      </c>
      <c r="H5444" s="340">
        <f t="shared" si="3"/>
        <v>40</v>
      </c>
      <c r="I5444" s="341">
        <v>1.5</v>
      </c>
      <c r="J5444" s="332">
        <f>IFERROR(__xludf.DUMMYFUNCTION("IF(IF(COUNTIF(P$2:P5443, P5444)=0, """", INDEX(H$2:H5443,
MAX(FILTER(ROW(H$2:H5443) - ROW(H$2) + 1, P$2:P5443 = P5444))))=""単価"","""",
IF(COUNTIF(P$2:P5443, P5444)=0, """", INDEX(H$2:H5443,
MAX(FILTER(ROW(H$2:H5443) - ROW(H$2) + 1, P$2:P5443 = P5444)))))"),38.5)</f>
        <v>38.5</v>
      </c>
      <c r="N5444" s="335" t="str">
        <f>IF(MAXIFS('単価履歴'!$O:$O,'単価履歴'!$E:$E,E5444,'単価履歴'!$F:$F,F5444)=O5444,"●","")</f>
        <v>●</v>
      </c>
      <c r="O5444" s="346">
        <v>46122.28040509259</v>
      </c>
      <c r="P5444" s="334" t="str">
        <f t="shared" si="4"/>
        <v>大鉄　堺:大鉄堺シュレＡ</v>
      </c>
    </row>
    <row r="5445" ht="15.75" customHeight="1">
      <c r="A5445" s="335" t="s">
        <v>6592</v>
      </c>
      <c r="B5445" s="336">
        <v>46122.0</v>
      </c>
      <c r="C5445" s="371" t="s">
        <v>9</v>
      </c>
      <c r="D5445" s="371" t="s">
        <v>51</v>
      </c>
      <c r="E5445" s="337" t="str">
        <f t="shared" si="1"/>
        <v>大鉄　堺:大鉄堺</v>
      </c>
      <c r="F5445" s="338" t="s">
        <v>149</v>
      </c>
      <c r="G5445" s="339" t="str">
        <f t="shared" si="2"/>
        <v>大鉄　堺:大鉄堺シュレＢ</v>
      </c>
      <c r="H5445" s="340">
        <f t="shared" si="3"/>
        <v>39.3</v>
      </c>
      <c r="I5445" s="341">
        <v>1.5</v>
      </c>
      <c r="J5445" s="332">
        <f>IFERROR(__xludf.DUMMYFUNCTION("IF(IF(COUNTIF(P$2:P5444, P5445)=0, """", INDEX(H$2:H5444,
MAX(FILTER(ROW(H$2:H5444) - ROW(H$2) + 1, P$2:P5444 = P5445))))=""単価"","""",
IF(COUNTIF(P$2:P5444, P5445)=0, """", INDEX(H$2:H5444,
MAX(FILTER(ROW(H$2:H5444) - ROW(H$2) + 1, P$2:P5444 = P5445)))))"),37.8)</f>
        <v>37.8</v>
      </c>
      <c r="N5445" s="335" t="str">
        <f>IF(MAXIFS('単価履歴'!$O:$O,'単価履歴'!$E:$E,E5445,'単価履歴'!$F:$F,F5445)=O5445,"●","")</f>
        <v>●</v>
      </c>
      <c r="O5445" s="346">
        <v>46122.28040509259</v>
      </c>
      <c r="P5445" s="334" t="str">
        <f t="shared" si="4"/>
        <v>大鉄　堺:大鉄堺シュレＢ</v>
      </c>
    </row>
    <row r="5446" ht="15.75" customHeight="1">
      <c r="A5446" s="335" t="s">
        <v>6593</v>
      </c>
      <c r="B5446" s="336">
        <v>46122.0</v>
      </c>
      <c r="C5446" s="371" t="s">
        <v>9</v>
      </c>
      <c r="D5446" s="371" t="s">
        <v>51</v>
      </c>
      <c r="E5446" s="337" t="str">
        <f t="shared" si="1"/>
        <v>大鉄　堺:大鉄堺</v>
      </c>
      <c r="F5446" s="338" t="s">
        <v>151</v>
      </c>
      <c r="G5446" s="339" t="str">
        <f t="shared" si="2"/>
        <v>大鉄　堺:大鉄堺シュレＣ</v>
      </c>
      <c r="H5446" s="340">
        <f t="shared" si="3"/>
        <v>37.9</v>
      </c>
      <c r="I5446" s="341">
        <v>1.5</v>
      </c>
      <c r="J5446" s="332">
        <f>IFERROR(__xludf.DUMMYFUNCTION("IF(IF(COUNTIF(P$2:P5445, P5446)=0, """", INDEX(H$2:H5445,
MAX(FILTER(ROW(H$2:H5445) - ROW(H$2) + 1, P$2:P5445 = P5446))))=""単価"","""",
IF(COUNTIF(P$2:P5445, P5446)=0, """", INDEX(H$2:H5445,
MAX(FILTER(ROW(H$2:H5445) - ROW(H$2) + 1, P$2:P5445 = P5446)))))"),36.4)</f>
        <v>36.4</v>
      </c>
      <c r="N5446" s="335" t="str">
        <f>IF(MAXIFS('単価履歴'!$O:$O,'単価履歴'!$E:$E,E5446,'単価履歴'!$F:$F,F5446)=O5446,"●","")</f>
        <v>●</v>
      </c>
      <c r="O5446" s="346">
        <v>46122.28040509259</v>
      </c>
      <c r="P5446" s="334" t="str">
        <f t="shared" si="4"/>
        <v>大鉄　堺:大鉄堺シュレＣ</v>
      </c>
    </row>
    <row r="5447" ht="15.75" customHeight="1">
      <c r="A5447" s="335" t="s">
        <v>6594</v>
      </c>
      <c r="B5447" s="336">
        <v>46122.0</v>
      </c>
      <c r="C5447" s="371" t="s">
        <v>9</v>
      </c>
      <c r="D5447" s="371" t="s">
        <v>51</v>
      </c>
      <c r="E5447" s="337" t="str">
        <f t="shared" si="1"/>
        <v>大鉄　堺:大鉄堺</v>
      </c>
      <c r="F5447" s="338" t="s">
        <v>154</v>
      </c>
      <c r="G5447" s="339" t="str">
        <f t="shared" si="2"/>
        <v>大鉄　堺:大鉄堺ＣＰ Ａ</v>
      </c>
      <c r="H5447" s="340">
        <f t="shared" si="3"/>
        <v>45.5</v>
      </c>
      <c r="I5447" s="341">
        <v>1.5</v>
      </c>
      <c r="J5447" s="332">
        <f>IFERROR(__xludf.DUMMYFUNCTION("IF(IF(COUNTIF(P$2:P5446, P5447)=0, """", INDEX(H$2:H5446,
MAX(FILTER(ROW(H$2:H5446) - ROW(H$2) + 1, P$2:P5446 = P5447))))=""単価"","""",
IF(COUNTIF(P$2:P5446, P5447)=0, """", INDEX(H$2:H5446,
MAX(FILTER(ROW(H$2:H5446) - ROW(H$2) + 1, P$2:P5446 = P5447)))))"),44.0)</f>
        <v>44</v>
      </c>
      <c r="N5447" s="335" t="str">
        <f>IF(MAXIFS('単価履歴'!$O:$O,'単価履歴'!$E:$E,E5447,'単価履歴'!$F:$F,F5447)=O5447,"●","")</f>
        <v>●</v>
      </c>
      <c r="O5447" s="346">
        <v>46122.28040509259</v>
      </c>
      <c r="P5447" s="334" t="str">
        <f t="shared" si="4"/>
        <v>大鉄　堺:大鉄堺ＣＰ Ａ</v>
      </c>
    </row>
    <row r="5448" ht="15.75" customHeight="1">
      <c r="A5448" s="335" t="s">
        <v>6595</v>
      </c>
      <c r="B5448" s="336">
        <v>46122.0</v>
      </c>
      <c r="C5448" s="371" t="s">
        <v>9</v>
      </c>
      <c r="D5448" s="371" t="s">
        <v>51</v>
      </c>
      <c r="E5448" s="337" t="str">
        <f t="shared" si="1"/>
        <v>大鉄　堺:大鉄堺</v>
      </c>
      <c r="F5448" s="338" t="s">
        <v>156</v>
      </c>
      <c r="G5448" s="339" t="str">
        <f t="shared" si="2"/>
        <v>大鉄　堺:大鉄堺ＣＰ Ｂ一斗缶</v>
      </c>
      <c r="H5448" s="340">
        <f t="shared" si="3"/>
        <v>39</v>
      </c>
      <c r="I5448" s="341">
        <v>1.5</v>
      </c>
      <c r="J5448" s="332">
        <f>IFERROR(__xludf.DUMMYFUNCTION("IF(IF(COUNTIF(P$2:P5447, P5448)=0, """", INDEX(H$2:H5447,
MAX(FILTER(ROW(H$2:H5447) - ROW(H$2) + 1, P$2:P5447 = P5448))))=""単価"","""",
IF(COUNTIF(P$2:P5447, P5448)=0, """", INDEX(H$2:H5447,
MAX(FILTER(ROW(H$2:H5447) - ROW(H$2) + 1, P$2:P5447 = P5448)))))"),37.5)</f>
        <v>37.5</v>
      </c>
      <c r="N5448" s="335" t="str">
        <f>IF(MAXIFS('単価履歴'!$O:$O,'単価履歴'!$E:$E,E5448,'単価履歴'!$F:$F,F5448)=O5448,"●","")</f>
        <v>●</v>
      </c>
      <c r="O5448" s="346">
        <v>46122.28040509259</v>
      </c>
      <c r="P5448" s="334" t="str">
        <f t="shared" si="4"/>
        <v>大鉄　堺:大鉄堺ＣＰ Ｂ一斗缶</v>
      </c>
    </row>
    <row r="5449" ht="15.75" customHeight="1">
      <c r="A5449" s="335" t="s">
        <v>6596</v>
      </c>
      <c r="B5449" s="336">
        <v>46122.0</v>
      </c>
      <c r="C5449" s="371" t="s">
        <v>9</v>
      </c>
      <c r="D5449" s="371" t="s">
        <v>47</v>
      </c>
      <c r="E5449" s="337" t="str">
        <f t="shared" si="1"/>
        <v>大鉄　堺:豊通</v>
      </c>
      <c r="F5449" s="338" t="s">
        <v>111</v>
      </c>
      <c r="G5449" s="339" t="str">
        <f t="shared" si="2"/>
        <v>大鉄　堺:豊通Ｈ１(特A)</v>
      </c>
      <c r="H5449" s="340">
        <f t="shared" si="3"/>
        <v>38.9</v>
      </c>
      <c r="I5449" s="341">
        <v>1.5</v>
      </c>
      <c r="J5449" s="332">
        <f>IFERROR(__xludf.DUMMYFUNCTION("IF(IF(COUNTIF(P$2:P5448, P5449)=0, """", INDEX(H$2:H5448,
MAX(FILTER(ROW(H$2:H5448) - ROW(H$2) + 1, P$2:P5448 = P5449))))=""単価"","""",
IF(COUNTIF(P$2:P5448, P5449)=0, """", INDEX(H$2:H5448,
MAX(FILTER(ROW(H$2:H5448) - ROW(H$2) + 1, P$2:P5448 = P5449)))))"),37.4)</f>
        <v>37.4</v>
      </c>
      <c r="N5449" s="335" t="str">
        <f>IF(MAXIFS('単価履歴'!$O:$O,'単価履歴'!$E:$E,E5449,'単価履歴'!$F:$F,F5449)=O5449,"●","")</f>
        <v/>
      </c>
      <c r="O5449" s="346">
        <v>46122.28063657407</v>
      </c>
      <c r="P5449" s="334" t="str">
        <f t="shared" si="4"/>
        <v>大鉄　堺:豊通Ｈ１(特A)</v>
      </c>
    </row>
    <row r="5450" ht="15.75" customHeight="1">
      <c r="A5450" s="335" t="s">
        <v>6597</v>
      </c>
      <c r="B5450" s="336">
        <v>46122.0</v>
      </c>
      <c r="C5450" s="371" t="s">
        <v>9</v>
      </c>
      <c r="D5450" s="371" t="s">
        <v>47</v>
      </c>
      <c r="E5450" s="337" t="str">
        <f t="shared" si="1"/>
        <v>大鉄　堺:豊通</v>
      </c>
      <c r="F5450" s="338" t="s">
        <v>1237</v>
      </c>
      <c r="G5450" s="339" t="str">
        <f t="shared" si="2"/>
        <v>大鉄　堺:豊通ＪＨ１(H2T山口)鍛造ﾊﾞﾘ</v>
      </c>
      <c r="H5450" s="340">
        <f t="shared" si="3"/>
        <v>37.9</v>
      </c>
      <c r="I5450" s="341">
        <v>1.5</v>
      </c>
      <c r="J5450" s="332">
        <f>IFERROR(__xludf.DUMMYFUNCTION("IF(IF(COUNTIF(P$2:P5449, P5450)=0, """", INDEX(H$2:H5449,
MAX(FILTER(ROW(H$2:H5449) - ROW(H$2) + 1, P$2:P5449 = P5450))))=""単価"","""",
IF(COUNTIF(P$2:P5449, P5450)=0, """", INDEX(H$2:H5449,
MAX(FILTER(ROW(H$2:H5449) - ROW(H$2) + 1, P$2:P5449 = P5450)))))"),36.4)</f>
        <v>36.4</v>
      </c>
      <c r="N5450" s="335" t="str">
        <f>IF(MAXIFS('単価履歴'!$O:$O,'単価履歴'!$E:$E,E5450,'単価履歴'!$F:$F,F5450)=O5450,"●","")</f>
        <v/>
      </c>
      <c r="O5450" s="346">
        <v>46122.28063657407</v>
      </c>
      <c r="P5450" s="334" t="str">
        <f t="shared" si="4"/>
        <v>大鉄　堺:豊通ＪＨ１(H2T山口)鍛造ﾊﾞﾘ</v>
      </c>
    </row>
    <row r="5451" ht="15.75" customHeight="1">
      <c r="A5451" s="335" t="s">
        <v>6598</v>
      </c>
      <c r="B5451" s="336">
        <v>46122.0</v>
      </c>
      <c r="C5451" s="371" t="s">
        <v>9</v>
      </c>
      <c r="D5451" s="371" t="s">
        <v>47</v>
      </c>
      <c r="E5451" s="337" t="str">
        <f t="shared" si="1"/>
        <v>大鉄　堺:豊通</v>
      </c>
      <c r="F5451" s="338" t="s">
        <v>116</v>
      </c>
      <c r="G5451" s="339" t="str">
        <f t="shared" si="2"/>
        <v>大鉄　堺:豊通Ｈ２(特級)</v>
      </c>
      <c r="H5451" s="340">
        <f t="shared" si="3"/>
        <v>34.7</v>
      </c>
      <c r="I5451" s="341">
        <v>1.5</v>
      </c>
      <c r="J5451" s="332">
        <f>IFERROR(__xludf.DUMMYFUNCTION("IF(IF(COUNTIF(P$2:P5450, P5451)=0, """", INDEX(H$2:H5450,
MAX(FILTER(ROW(H$2:H5450) - ROW(H$2) + 1, P$2:P5450 = P5451))))=""単価"","""",
IF(COUNTIF(P$2:P5450, P5451)=0, """", INDEX(H$2:H5450,
MAX(FILTER(ROW(H$2:H5450) - ROW(H$2) + 1, P$2:P5450 = P5451)))))"),33.2)</f>
        <v>33.2</v>
      </c>
      <c r="N5451" s="335" t="str">
        <f>IF(MAXIFS('単価履歴'!$O:$O,'単価履歴'!$E:$E,E5451,'単価履歴'!$F:$F,F5451)=O5451,"●","")</f>
        <v/>
      </c>
      <c r="O5451" s="346">
        <v>46122.28063657407</v>
      </c>
      <c r="P5451" s="334" t="str">
        <f t="shared" si="4"/>
        <v>大鉄　堺:豊通Ｈ２(特級)</v>
      </c>
    </row>
    <row r="5452" ht="15.75" customHeight="1">
      <c r="A5452" s="335" t="s">
        <v>6599</v>
      </c>
      <c r="B5452" s="336">
        <v>46122.0</v>
      </c>
      <c r="C5452" s="371" t="s">
        <v>9</v>
      </c>
      <c r="D5452" s="371" t="s">
        <v>47</v>
      </c>
      <c r="E5452" s="337" t="str">
        <f t="shared" si="1"/>
        <v>大鉄　堺:豊通</v>
      </c>
      <c r="F5452" s="338" t="s">
        <v>119</v>
      </c>
      <c r="G5452" s="339" t="str">
        <f t="shared" si="2"/>
        <v>大鉄　堺:豊通Ｈ３(1級)</v>
      </c>
      <c r="H5452" s="340">
        <f t="shared" si="3"/>
        <v>33.7</v>
      </c>
      <c r="I5452" s="341">
        <v>1.5</v>
      </c>
      <c r="J5452" s="332">
        <f>IFERROR(__xludf.DUMMYFUNCTION("IF(IF(COUNTIF(P$2:P5451, P5452)=0, """", INDEX(H$2:H5451,
MAX(FILTER(ROW(H$2:H5451) - ROW(H$2) + 1, P$2:P5451 = P5452))))=""単価"","""",
IF(COUNTIF(P$2:P5451, P5452)=0, """", INDEX(H$2:H5451,
MAX(FILTER(ROW(H$2:H5451) - ROW(H$2) + 1, P$2:P5451 = P5452)))))"),32.2)</f>
        <v>32.2</v>
      </c>
      <c r="N5452" s="335" t="str">
        <f>IF(MAXIFS('単価履歴'!$O:$O,'単価履歴'!$E:$E,E5452,'単価履歴'!$F:$F,F5452)=O5452,"●","")</f>
        <v/>
      </c>
      <c r="O5452" s="346">
        <v>46122.28063657407</v>
      </c>
      <c r="P5452" s="334" t="str">
        <f t="shared" si="4"/>
        <v>大鉄　堺:豊通Ｈ３(1級)</v>
      </c>
    </row>
    <row r="5453" ht="15.75" customHeight="1">
      <c r="A5453" s="335" t="s">
        <v>6600</v>
      </c>
      <c r="B5453" s="336">
        <v>46122.0</v>
      </c>
      <c r="C5453" s="371" t="s">
        <v>9</v>
      </c>
      <c r="D5453" s="371" t="s">
        <v>47</v>
      </c>
      <c r="E5453" s="337" t="str">
        <f t="shared" si="1"/>
        <v>大鉄　堺:豊通</v>
      </c>
      <c r="F5453" s="338" t="s">
        <v>122</v>
      </c>
      <c r="G5453" s="339" t="str">
        <f t="shared" si="2"/>
        <v>大鉄　堺:豊通Ｌ１(2級)</v>
      </c>
      <c r="H5453" s="340">
        <f t="shared" si="3"/>
        <v>32.2</v>
      </c>
      <c r="I5453" s="341">
        <v>1.5</v>
      </c>
      <c r="J5453" s="332">
        <f>IFERROR(__xludf.DUMMYFUNCTION("IF(IF(COUNTIF(P$2:P5452, P5453)=0, """", INDEX(H$2:H5452,
MAX(FILTER(ROW(H$2:H5452) - ROW(H$2) + 1, P$2:P5452 = P5453))))=""単価"","""",
IF(COUNTIF(P$2:P5452, P5453)=0, """", INDEX(H$2:H5452,
MAX(FILTER(ROW(H$2:H5452) - ROW(H$2) + 1, P$2:P5452 = P5453)))))"),30.7)</f>
        <v>30.7</v>
      </c>
      <c r="N5453" s="335" t="str">
        <f>IF(MAXIFS('単価履歴'!$O:$O,'単価履歴'!$E:$E,E5453,'単価履歴'!$F:$F,F5453)=O5453,"●","")</f>
        <v/>
      </c>
      <c r="O5453" s="346">
        <v>46122.28063657407</v>
      </c>
      <c r="P5453" s="334" t="str">
        <f t="shared" si="4"/>
        <v>大鉄　堺:豊通Ｌ１(2級)</v>
      </c>
    </row>
    <row r="5454" ht="15.75" customHeight="1">
      <c r="A5454" s="335" t="s">
        <v>6601</v>
      </c>
      <c r="B5454" s="336">
        <v>46122.0</v>
      </c>
      <c r="C5454" s="371" t="s">
        <v>9</v>
      </c>
      <c r="D5454" s="371" t="s">
        <v>47</v>
      </c>
      <c r="E5454" s="337" t="str">
        <f t="shared" si="1"/>
        <v>大鉄　堺:豊通</v>
      </c>
      <c r="F5454" s="338" t="s">
        <v>130</v>
      </c>
      <c r="G5454" s="339" t="str">
        <f t="shared" si="2"/>
        <v>大鉄　堺:豊通新断Ａ</v>
      </c>
      <c r="H5454" s="340">
        <f t="shared" si="3"/>
        <v>35.7</v>
      </c>
      <c r="I5454" s="341">
        <v>1.5</v>
      </c>
      <c r="J5454" s="332">
        <f>IFERROR(__xludf.DUMMYFUNCTION("IF(IF(COUNTIF(P$2:P5453, P5454)=0, """", INDEX(H$2:H5453,
MAX(FILTER(ROW(H$2:H5453) - ROW(H$2) + 1, P$2:P5453 = P5454))))=""単価"","""",
IF(COUNTIF(P$2:P5453, P5454)=0, """", INDEX(H$2:H5453,
MAX(FILTER(ROW(H$2:H5453) - ROW(H$2) + 1, P$2:P5453 = P5454)))))"),34.2)</f>
        <v>34.2</v>
      </c>
      <c r="N5454" s="335" t="str">
        <f>IF(MAXIFS('単価履歴'!$O:$O,'単価履歴'!$E:$E,E5454,'単価履歴'!$F:$F,F5454)=O5454,"●","")</f>
        <v/>
      </c>
      <c r="O5454" s="346">
        <v>46122.28063657407</v>
      </c>
      <c r="P5454" s="334" t="str">
        <f t="shared" si="4"/>
        <v>大鉄　堺:豊通新断Ａ</v>
      </c>
    </row>
    <row r="5455" ht="15.75" customHeight="1">
      <c r="A5455" s="335" t="s">
        <v>6602</v>
      </c>
      <c r="B5455" s="336">
        <v>46122.0</v>
      </c>
      <c r="C5455" s="371" t="s">
        <v>9</v>
      </c>
      <c r="D5455" s="371" t="s">
        <v>47</v>
      </c>
      <c r="E5455" s="337" t="str">
        <f t="shared" si="1"/>
        <v>大鉄　堺:豊通</v>
      </c>
      <c r="F5455" s="338" t="s">
        <v>131</v>
      </c>
      <c r="G5455" s="339" t="str">
        <f t="shared" si="2"/>
        <v>大鉄　堺:豊通新断Ｂ</v>
      </c>
      <c r="H5455" s="340">
        <f t="shared" si="3"/>
        <v>35.2</v>
      </c>
      <c r="I5455" s="341">
        <v>1.5</v>
      </c>
      <c r="J5455" s="332">
        <f>IFERROR(__xludf.DUMMYFUNCTION("IF(IF(COUNTIF(P$2:P5454, P5455)=0, """", INDEX(H$2:H5454,
MAX(FILTER(ROW(H$2:H5454) - ROW(H$2) + 1, P$2:P5454 = P5455))))=""単価"","""",
IF(COUNTIF(P$2:P5454, P5455)=0, """", INDEX(H$2:H5454,
MAX(FILTER(ROW(H$2:H5454) - ROW(H$2) + 1, P$2:P5454 = P5455)))))"),33.7)</f>
        <v>33.7</v>
      </c>
      <c r="N5455" s="335" t="str">
        <f>IF(MAXIFS('単価履歴'!$O:$O,'単価履歴'!$E:$E,E5455,'単価履歴'!$F:$F,F5455)=O5455,"●","")</f>
        <v/>
      </c>
      <c r="O5455" s="346">
        <v>46122.28063657407</v>
      </c>
      <c r="P5455" s="334" t="str">
        <f t="shared" si="4"/>
        <v>大鉄　堺:豊通新断Ｂ</v>
      </c>
    </row>
    <row r="5456" ht="15.75" customHeight="1">
      <c r="A5456" s="335" t="s">
        <v>6603</v>
      </c>
      <c r="B5456" s="336">
        <v>46122.0</v>
      </c>
      <c r="C5456" s="371" t="s">
        <v>9</v>
      </c>
      <c r="D5456" s="371" t="s">
        <v>47</v>
      </c>
      <c r="E5456" s="337" t="str">
        <f t="shared" si="1"/>
        <v>大鉄　堺:豊通</v>
      </c>
      <c r="F5456" s="338" t="s">
        <v>575</v>
      </c>
      <c r="G5456" s="339" t="str">
        <f t="shared" si="2"/>
        <v>大鉄　堺:豊通鋼ダライＡ</v>
      </c>
      <c r="H5456" s="340">
        <f t="shared" si="3"/>
        <v>36.7</v>
      </c>
      <c r="I5456" s="341">
        <v>1.5</v>
      </c>
      <c r="J5456" s="332">
        <f>IFERROR(__xludf.DUMMYFUNCTION("IF(IF(COUNTIF(P$2:P5455, P5456)=0, """", INDEX(H$2:H5455,
MAX(FILTER(ROW(H$2:H5455) - ROW(H$2) + 1, P$2:P5455 = P5456))))=""単価"","""",
IF(COUNTIF(P$2:P5455, P5456)=0, """", INDEX(H$2:H5455,
MAX(FILTER(ROW(H$2:H5455) - ROW(H$2) + 1, P$2:P5455 = P5456)))))"),35.2)</f>
        <v>35.2</v>
      </c>
      <c r="N5456" s="335" t="str">
        <f>IF(MAXIFS('単価履歴'!$O:$O,'単価履歴'!$E:$E,E5456,'単価履歴'!$F:$F,F5456)=O5456,"●","")</f>
        <v/>
      </c>
      <c r="O5456" s="346">
        <v>46122.28063657407</v>
      </c>
      <c r="P5456" s="334" t="str">
        <f t="shared" si="4"/>
        <v>大鉄　堺:豊通鋼ダライＡ</v>
      </c>
    </row>
    <row r="5457" ht="15.75" customHeight="1">
      <c r="A5457" s="335" t="s">
        <v>6604</v>
      </c>
      <c r="B5457" s="336">
        <v>46122.0</v>
      </c>
      <c r="C5457" s="371" t="s">
        <v>9</v>
      </c>
      <c r="D5457" s="371" t="s">
        <v>47</v>
      </c>
      <c r="E5457" s="337" t="str">
        <f t="shared" si="1"/>
        <v>大鉄　堺:豊通</v>
      </c>
      <c r="F5457" s="338" t="s">
        <v>576</v>
      </c>
      <c r="G5457" s="339" t="str">
        <f t="shared" si="2"/>
        <v>大鉄　堺:豊通鋼ダライＢ</v>
      </c>
      <c r="H5457" s="340">
        <f t="shared" si="3"/>
        <v>36.7</v>
      </c>
      <c r="I5457" s="341">
        <v>1.5</v>
      </c>
      <c r="J5457" s="332">
        <f>IFERROR(__xludf.DUMMYFUNCTION("IF(IF(COUNTIF(P$2:P5456, P5457)=0, """", INDEX(H$2:H5456,
MAX(FILTER(ROW(H$2:H5456) - ROW(H$2) + 1, P$2:P5456 = P5457))))=""単価"","""",
IF(COUNTIF(P$2:P5456, P5457)=0, """", INDEX(H$2:H5456,
MAX(FILTER(ROW(H$2:H5456) - ROW(H$2) + 1, P$2:P5456 = P5457)))))"),35.2)</f>
        <v>35.2</v>
      </c>
      <c r="N5457" s="335" t="str">
        <f>IF(MAXIFS('単価履歴'!$O:$O,'単価履歴'!$E:$E,E5457,'単価履歴'!$F:$F,F5457)=O5457,"●","")</f>
        <v/>
      </c>
      <c r="O5457" s="346">
        <v>46122.28063657407</v>
      </c>
      <c r="P5457" s="334" t="str">
        <f t="shared" si="4"/>
        <v>大鉄　堺:豊通鋼ダライＢ</v>
      </c>
    </row>
    <row r="5458" ht="15.75" customHeight="1">
      <c r="A5458" s="335" t="s">
        <v>6605</v>
      </c>
      <c r="B5458" s="336">
        <v>46122.0</v>
      </c>
      <c r="C5458" s="371" t="s">
        <v>9</v>
      </c>
      <c r="D5458" s="371" t="s">
        <v>47</v>
      </c>
      <c r="E5458" s="337" t="str">
        <f t="shared" si="1"/>
        <v>大鉄　堺:豊通</v>
      </c>
      <c r="F5458" s="338" t="s">
        <v>145</v>
      </c>
      <c r="G5458" s="339" t="str">
        <f t="shared" si="2"/>
        <v>大鉄　堺:豊通シュレＡ</v>
      </c>
      <c r="H5458" s="340">
        <f t="shared" si="3"/>
        <v>39.2</v>
      </c>
      <c r="I5458" s="341">
        <v>1.5</v>
      </c>
      <c r="J5458" s="332">
        <f>IFERROR(__xludf.DUMMYFUNCTION("IF(IF(COUNTIF(P$2:P5457, P5458)=0, """", INDEX(H$2:H5457,
MAX(FILTER(ROW(H$2:H5457) - ROW(H$2) + 1, P$2:P5457 = P5458))))=""単価"","""",
IF(COUNTIF(P$2:P5457, P5458)=0, """", INDEX(H$2:H5457,
MAX(FILTER(ROW(H$2:H5457) - ROW(H$2) + 1, P$2:P5457 = P5458)))))"),37.7)</f>
        <v>37.7</v>
      </c>
      <c r="N5458" s="335" t="str">
        <f>IF(MAXIFS('単価履歴'!$O:$O,'単価履歴'!$E:$E,E5458,'単価履歴'!$F:$F,F5458)=O5458,"●","")</f>
        <v/>
      </c>
      <c r="O5458" s="346">
        <v>46122.28063657407</v>
      </c>
      <c r="P5458" s="334" t="str">
        <f t="shared" si="4"/>
        <v>大鉄　堺:豊通シュレＡ</v>
      </c>
    </row>
    <row r="5459" ht="15.75" customHeight="1">
      <c r="A5459" s="335" t="s">
        <v>6606</v>
      </c>
      <c r="B5459" s="336">
        <v>46122.0</v>
      </c>
      <c r="C5459" s="371" t="s">
        <v>9</v>
      </c>
      <c r="D5459" s="371" t="s">
        <v>47</v>
      </c>
      <c r="E5459" s="337" t="str">
        <f t="shared" si="1"/>
        <v>大鉄　堺:豊通</v>
      </c>
      <c r="F5459" s="338" t="s">
        <v>149</v>
      </c>
      <c r="G5459" s="339" t="str">
        <f t="shared" si="2"/>
        <v>大鉄　堺:豊通シュレＢ</v>
      </c>
      <c r="H5459" s="340">
        <f t="shared" si="3"/>
        <v>38.5</v>
      </c>
      <c r="I5459" s="341">
        <v>1.5</v>
      </c>
      <c r="J5459" s="332">
        <f>IFERROR(__xludf.DUMMYFUNCTION("IF(IF(COUNTIF(P$2:P5458, P5459)=0, """", INDEX(H$2:H5458,
MAX(FILTER(ROW(H$2:H5458) - ROW(H$2) + 1, P$2:P5458 = P5459))))=""単価"","""",
IF(COUNTIF(P$2:P5458, P5459)=0, """", INDEX(H$2:H5458,
MAX(FILTER(ROW(H$2:H5458) - ROW(H$2) + 1, P$2:P5458 = P5459)))))"),37.0)</f>
        <v>37</v>
      </c>
      <c r="N5459" s="335" t="str">
        <f>IF(MAXIFS('単価履歴'!$O:$O,'単価履歴'!$E:$E,E5459,'単価履歴'!$F:$F,F5459)=O5459,"●","")</f>
        <v/>
      </c>
      <c r="O5459" s="346">
        <v>46122.28063657407</v>
      </c>
      <c r="P5459" s="334" t="str">
        <f t="shared" si="4"/>
        <v>大鉄　堺:豊通シュレＢ</v>
      </c>
    </row>
    <row r="5460" ht="15.75" customHeight="1">
      <c r="A5460" s="335" t="s">
        <v>6607</v>
      </c>
      <c r="B5460" s="336">
        <v>46122.0</v>
      </c>
      <c r="C5460" s="371" t="s">
        <v>9</v>
      </c>
      <c r="D5460" s="371" t="s">
        <v>47</v>
      </c>
      <c r="E5460" s="337" t="str">
        <f t="shared" si="1"/>
        <v>大鉄　堺:豊通</v>
      </c>
      <c r="F5460" s="338" t="s">
        <v>151</v>
      </c>
      <c r="G5460" s="339" t="str">
        <f t="shared" si="2"/>
        <v>大鉄　堺:豊通シュレＣ</v>
      </c>
      <c r="H5460" s="340">
        <f t="shared" si="3"/>
        <v>37.1</v>
      </c>
      <c r="I5460" s="341">
        <v>1.5</v>
      </c>
      <c r="J5460" s="332">
        <f>IFERROR(__xludf.DUMMYFUNCTION("IF(IF(COUNTIF(P$2:P5459, P5460)=0, """", INDEX(H$2:H5459,
MAX(FILTER(ROW(H$2:H5459) - ROW(H$2) + 1, P$2:P5459 = P5460))))=""単価"","""",
IF(COUNTIF(P$2:P5459, P5460)=0, """", INDEX(H$2:H5459,
MAX(FILTER(ROW(H$2:H5459) - ROW(H$2) + 1, P$2:P5459 = P5460)))))"),35.6)</f>
        <v>35.6</v>
      </c>
      <c r="N5460" s="335" t="str">
        <f>IF(MAXIFS('単価履歴'!$O:$O,'単価履歴'!$E:$E,E5460,'単価履歴'!$F:$F,F5460)=O5460,"●","")</f>
        <v/>
      </c>
      <c r="O5460" s="346">
        <v>46122.28063657407</v>
      </c>
      <c r="P5460" s="334" t="str">
        <f t="shared" si="4"/>
        <v>大鉄　堺:豊通シュレＣ</v>
      </c>
    </row>
    <row r="5461" ht="15.75" customHeight="1">
      <c r="A5461" s="335" t="s">
        <v>6608</v>
      </c>
      <c r="B5461" s="336">
        <v>46122.0</v>
      </c>
      <c r="C5461" s="371" t="s">
        <v>9</v>
      </c>
      <c r="D5461" s="371" t="s">
        <v>47</v>
      </c>
      <c r="E5461" s="337" t="str">
        <f t="shared" si="1"/>
        <v>大鉄　堺:豊通</v>
      </c>
      <c r="F5461" s="338" t="s">
        <v>154</v>
      </c>
      <c r="G5461" s="339" t="str">
        <f t="shared" si="2"/>
        <v>大鉄　堺:豊通ＣＰ Ａ</v>
      </c>
      <c r="H5461" s="340">
        <f t="shared" si="3"/>
        <v>49.7</v>
      </c>
      <c r="I5461" s="341">
        <v>1.5</v>
      </c>
      <c r="J5461" s="332">
        <f>IFERROR(__xludf.DUMMYFUNCTION("IF(IF(COUNTIF(P$2:P5460, P5461)=0, """", INDEX(H$2:H5460,
MAX(FILTER(ROW(H$2:H5460) - ROW(H$2) + 1, P$2:P5460 = P5461))))=""単価"","""",
IF(COUNTIF(P$2:P5460, P5461)=0, """", INDEX(H$2:H5460,
MAX(FILTER(ROW(H$2:H5460) - ROW(H$2) + 1, P$2:P5460 = P5461)))))"),48.2)</f>
        <v>48.2</v>
      </c>
      <c r="N5461" s="335" t="str">
        <f>IF(MAXIFS('単価履歴'!$O:$O,'単価履歴'!$E:$E,E5461,'単価履歴'!$F:$F,F5461)=O5461,"●","")</f>
        <v/>
      </c>
      <c r="O5461" s="346">
        <v>46122.28063657407</v>
      </c>
      <c r="P5461" s="334" t="str">
        <f t="shared" si="4"/>
        <v>大鉄　堺:豊通ＣＰ Ａ</v>
      </c>
    </row>
    <row r="5462" ht="15.75" customHeight="1">
      <c r="A5462" s="335" t="s">
        <v>6609</v>
      </c>
      <c r="B5462" s="336">
        <v>46122.0</v>
      </c>
      <c r="C5462" s="371" t="s">
        <v>9</v>
      </c>
      <c r="D5462" s="371" t="s">
        <v>47</v>
      </c>
      <c r="E5462" s="337" t="str">
        <f t="shared" si="1"/>
        <v>大鉄　堺:豊通</v>
      </c>
      <c r="F5462" s="338" t="s">
        <v>156</v>
      </c>
      <c r="G5462" s="339" t="str">
        <f t="shared" si="2"/>
        <v>大鉄　堺:豊通ＣＰ Ｂ一斗缶</v>
      </c>
      <c r="H5462" s="340">
        <f t="shared" si="3"/>
        <v>43.2</v>
      </c>
      <c r="I5462" s="341">
        <v>1.5</v>
      </c>
      <c r="J5462" s="332">
        <f>IFERROR(__xludf.DUMMYFUNCTION("IF(IF(COUNTIF(P$2:P5461, P5462)=0, """", INDEX(H$2:H5461,
MAX(FILTER(ROW(H$2:H5461) - ROW(H$2) + 1, P$2:P5461 = P5462))))=""単価"","""",
IF(COUNTIF(P$2:P5461, P5462)=0, """", INDEX(H$2:H5461,
MAX(FILTER(ROW(H$2:H5461) - ROW(H$2) + 1, P$2:P5461 = P5462)))))"),41.7)</f>
        <v>41.7</v>
      </c>
      <c r="N5462" s="335" t="str">
        <f>IF(MAXIFS('単価履歴'!$O:$O,'単価履歴'!$E:$E,E5462,'単価履歴'!$F:$F,F5462)=O5462,"●","")</f>
        <v/>
      </c>
      <c r="O5462" s="346">
        <v>46122.28063657407</v>
      </c>
      <c r="P5462" s="334" t="str">
        <f t="shared" si="4"/>
        <v>大鉄　堺:豊通ＣＰ Ｂ一斗缶</v>
      </c>
    </row>
    <row r="5463" ht="15.75" customHeight="1">
      <c r="A5463" s="335" t="s">
        <v>6610</v>
      </c>
      <c r="B5463" s="336">
        <v>46122.0</v>
      </c>
      <c r="C5463" s="371" t="s">
        <v>9</v>
      </c>
      <c r="D5463" s="371" t="s">
        <v>50</v>
      </c>
      <c r="E5463" s="337" t="str">
        <f t="shared" si="1"/>
        <v>大鉄　堺:産振</v>
      </c>
      <c r="F5463" s="338" t="s">
        <v>111</v>
      </c>
      <c r="G5463" s="339" t="str">
        <f t="shared" si="2"/>
        <v>大鉄　堺:産振Ｈ１(特A)</v>
      </c>
      <c r="H5463" s="340">
        <f t="shared" si="3"/>
        <v>55.7</v>
      </c>
      <c r="I5463" s="341">
        <v>1.5</v>
      </c>
      <c r="J5463" s="332">
        <f>IFERROR(__xludf.DUMMYFUNCTION("IF(IF(COUNTIF(P$2:P5462, P5463)=0, """", INDEX(H$2:H5462,
MAX(FILTER(ROW(H$2:H5462) - ROW(H$2) + 1, P$2:P5462 = P5463))))=""単価"","""",
IF(COUNTIF(P$2:P5462, P5463)=0, """", INDEX(H$2:H5462,
MAX(FILTER(ROW(H$2:H5462) - ROW(H$2) + 1, P$2:P5462 = P5463)))))"),54.2)</f>
        <v>54.2</v>
      </c>
      <c r="N5463" s="335" t="str">
        <f>IF(MAXIFS('単価履歴'!$O:$O,'単価履歴'!$E:$E,E5463,'単価履歴'!$F:$F,F5463)=O5463,"●","")</f>
        <v/>
      </c>
      <c r="O5463" s="346">
        <v>46122.280752314815</v>
      </c>
      <c r="P5463" s="334" t="str">
        <f t="shared" si="4"/>
        <v>大鉄　堺:産振Ｈ１(特A)</v>
      </c>
    </row>
    <row r="5464" ht="15.75" customHeight="1">
      <c r="A5464" s="335" t="s">
        <v>6611</v>
      </c>
      <c r="B5464" s="336">
        <v>46122.0</v>
      </c>
      <c r="C5464" s="371" t="s">
        <v>9</v>
      </c>
      <c r="D5464" s="371" t="s">
        <v>50</v>
      </c>
      <c r="E5464" s="337" t="str">
        <f t="shared" si="1"/>
        <v>大鉄　堺:産振</v>
      </c>
      <c r="F5464" s="338" t="s">
        <v>116</v>
      </c>
      <c r="G5464" s="339" t="str">
        <f t="shared" si="2"/>
        <v>大鉄　堺:産振Ｈ２(特級)</v>
      </c>
      <c r="H5464" s="340">
        <f t="shared" si="3"/>
        <v>53.2</v>
      </c>
      <c r="I5464" s="341">
        <v>1.5</v>
      </c>
      <c r="J5464" s="332">
        <f>IFERROR(__xludf.DUMMYFUNCTION("IF(IF(COUNTIF(P$2:P5463, P5464)=0, """", INDEX(H$2:H5463,
MAX(FILTER(ROW(H$2:H5463) - ROW(H$2) + 1, P$2:P5463 = P5464))))=""単価"","""",
IF(COUNTIF(P$2:P5463, P5464)=0, """", INDEX(H$2:H5463,
MAX(FILTER(ROW(H$2:H5463) - ROW(H$2) + 1, P$2:P5463 = P5464)))))"),51.7)</f>
        <v>51.7</v>
      </c>
      <c r="N5464" s="335" t="str">
        <f>IF(MAXIFS('単価履歴'!$O:$O,'単価履歴'!$E:$E,E5464,'単価履歴'!$F:$F,F5464)=O5464,"●","")</f>
        <v/>
      </c>
      <c r="O5464" s="346">
        <v>46122.280752314815</v>
      </c>
      <c r="P5464" s="334" t="str">
        <f t="shared" si="4"/>
        <v>大鉄　堺:産振Ｈ２(特級)</v>
      </c>
    </row>
    <row r="5465" ht="15.75" customHeight="1">
      <c r="A5465" s="335" t="s">
        <v>6612</v>
      </c>
      <c r="B5465" s="336">
        <v>46122.0</v>
      </c>
      <c r="C5465" s="371" t="s">
        <v>9</v>
      </c>
      <c r="D5465" s="371" t="s">
        <v>50</v>
      </c>
      <c r="E5465" s="337" t="str">
        <f t="shared" si="1"/>
        <v>大鉄　堺:産振</v>
      </c>
      <c r="F5465" s="338" t="s">
        <v>119</v>
      </c>
      <c r="G5465" s="339" t="str">
        <f t="shared" si="2"/>
        <v>大鉄　堺:産振Ｈ３(1級)</v>
      </c>
      <c r="H5465" s="340">
        <f t="shared" si="3"/>
        <v>50.2</v>
      </c>
      <c r="I5465" s="341">
        <v>1.5</v>
      </c>
      <c r="J5465" s="332">
        <f>IFERROR(__xludf.DUMMYFUNCTION("IF(IF(COUNTIF(P$2:P5464, P5465)=0, """", INDEX(H$2:H5464,
MAX(FILTER(ROW(H$2:H5464) - ROW(H$2) + 1, P$2:P5464 = P5465))))=""単価"","""",
IF(COUNTIF(P$2:P5464, P5465)=0, """", INDEX(H$2:H5464,
MAX(FILTER(ROW(H$2:H5464) - ROW(H$2) + 1, P$2:P5464 = P5465)))))"),48.7)</f>
        <v>48.7</v>
      </c>
      <c r="N5465" s="335" t="str">
        <f>IF(MAXIFS('単価履歴'!$O:$O,'単価履歴'!$E:$E,E5465,'単価履歴'!$F:$F,F5465)=O5465,"●","")</f>
        <v/>
      </c>
      <c r="O5465" s="346">
        <v>46122.280752314815</v>
      </c>
      <c r="P5465" s="334" t="str">
        <f t="shared" si="4"/>
        <v>大鉄　堺:産振Ｈ３(1級)</v>
      </c>
    </row>
    <row r="5466" ht="15.75" customHeight="1">
      <c r="A5466" s="335" t="s">
        <v>6613</v>
      </c>
      <c r="B5466" s="336">
        <v>46122.0</v>
      </c>
      <c r="C5466" s="371" t="s">
        <v>9</v>
      </c>
      <c r="D5466" s="371" t="s">
        <v>50</v>
      </c>
      <c r="E5466" s="337" t="str">
        <f t="shared" si="1"/>
        <v>大鉄　堺:産振</v>
      </c>
      <c r="F5466" s="338" t="s">
        <v>154</v>
      </c>
      <c r="G5466" s="339" t="str">
        <f t="shared" si="2"/>
        <v>大鉄　堺:産振ＣＰ Ａ</v>
      </c>
      <c r="H5466" s="340">
        <f t="shared" si="3"/>
        <v>55.2</v>
      </c>
      <c r="I5466" s="341">
        <v>1.5</v>
      </c>
      <c r="J5466" s="332">
        <f>IFERROR(__xludf.DUMMYFUNCTION("IF(IF(COUNTIF(P$2:P5465, P5466)=0, """", INDEX(H$2:H5465,
MAX(FILTER(ROW(H$2:H5465) - ROW(H$2) + 1, P$2:P5465 = P5466))))=""単価"","""",
IF(COUNTIF(P$2:P5465, P5466)=0, """", INDEX(H$2:H5465,
MAX(FILTER(ROW(H$2:H5465) - ROW(H$2) + 1, P$2:P5465 = P5466)))))"),53.7)</f>
        <v>53.7</v>
      </c>
      <c r="N5466" s="335" t="str">
        <f>IF(MAXIFS('単価履歴'!$O:$O,'単価履歴'!$E:$E,E5466,'単価履歴'!$F:$F,F5466)=O5466,"●","")</f>
        <v/>
      </c>
      <c r="O5466" s="346">
        <v>46122.280752314815</v>
      </c>
      <c r="P5466" s="334" t="str">
        <f t="shared" si="4"/>
        <v>大鉄　堺:産振ＣＰ Ａ</v>
      </c>
    </row>
    <row r="5467" ht="15.75" customHeight="1">
      <c r="A5467" s="335" t="s">
        <v>6614</v>
      </c>
      <c r="B5467" s="336">
        <v>46122.0</v>
      </c>
      <c r="C5467" s="371" t="s">
        <v>9</v>
      </c>
      <c r="D5467" s="371" t="s">
        <v>50</v>
      </c>
      <c r="E5467" s="337" t="str">
        <f t="shared" si="1"/>
        <v>大鉄　堺:産振</v>
      </c>
      <c r="F5467" s="338" t="s">
        <v>156</v>
      </c>
      <c r="G5467" s="339" t="str">
        <f t="shared" si="2"/>
        <v>大鉄　堺:産振ＣＰ Ｂ一斗缶</v>
      </c>
      <c r="H5467" s="340">
        <f t="shared" si="3"/>
        <v>45</v>
      </c>
      <c r="I5467" s="341">
        <v>1.5</v>
      </c>
      <c r="J5467" s="332">
        <f>IFERROR(__xludf.DUMMYFUNCTION("IF(IF(COUNTIF(P$2:P5466, P5467)=0, """", INDEX(H$2:H5466,
MAX(FILTER(ROW(H$2:H5466) - ROW(H$2) + 1, P$2:P5466 = P5467))))=""単価"","""",
IF(COUNTIF(P$2:P5466, P5467)=0, """", INDEX(H$2:H5466,
MAX(FILTER(ROW(H$2:H5466) - ROW(H$2) + 1, P$2:P5466 = P5467)))))"),43.5)</f>
        <v>43.5</v>
      </c>
      <c r="N5467" s="335" t="str">
        <f>IF(MAXIFS('単価履歴'!$O:$O,'単価履歴'!$E:$E,E5467,'単価履歴'!$F:$F,F5467)=O5467,"●","")</f>
        <v/>
      </c>
      <c r="O5467" s="346">
        <v>46122.280752314815</v>
      </c>
      <c r="P5467" s="334" t="str">
        <f t="shared" si="4"/>
        <v>大鉄　堺:産振ＣＰ Ｂ一斗缶</v>
      </c>
    </row>
    <row r="5468" ht="15.75" customHeight="1">
      <c r="A5468" s="335" t="s">
        <v>6615</v>
      </c>
      <c r="B5468" s="336">
        <v>46122.0</v>
      </c>
      <c r="C5468" s="371" t="s">
        <v>9</v>
      </c>
      <c r="D5468" s="371" t="s">
        <v>50</v>
      </c>
      <c r="E5468" s="337" t="str">
        <f t="shared" si="1"/>
        <v>大鉄　堺:産振</v>
      </c>
      <c r="F5468" s="338" t="s">
        <v>122</v>
      </c>
      <c r="G5468" s="339" t="str">
        <f t="shared" si="2"/>
        <v>大鉄　堺:産振Ｌ１(2級)</v>
      </c>
      <c r="H5468" s="340">
        <f t="shared" si="3"/>
        <v>49.2</v>
      </c>
      <c r="I5468" s="341">
        <v>1.5</v>
      </c>
      <c r="J5468" s="332">
        <f>IFERROR(__xludf.DUMMYFUNCTION("IF(IF(COUNTIF(P$2:P5467, P5468)=0, """", INDEX(H$2:H5467,
MAX(FILTER(ROW(H$2:H5467) - ROW(H$2) + 1, P$2:P5467 = P5468))))=""単価"","""",
IF(COUNTIF(P$2:P5467, P5468)=0, """", INDEX(H$2:H5467,
MAX(FILTER(ROW(H$2:H5467) - ROW(H$2) + 1, P$2:P5467 = P5468)))))"),47.7)</f>
        <v>47.7</v>
      </c>
      <c r="N5468" s="335" t="str">
        <f>IF(MAXIFS('単価履歴'!$O:$O,'単価履歴'!$E:$E,E5468,'単価履歴'!$F:$F,F5468)=O5468,"●","")</f>
        <v/>
      </c>
      <c r="O5468" s="346">
        <v>46122.280752314815</v>
      </c>
      <c r="P5468" s="334" t="str">
        <f t="shared" si="4"/>
        <v>大鉄　堺:産振Ｌ１(2級)</v>
      </c>
    </row>
    <row r="5469" ht="15.75" customHeight="1">
      <c r="A5469" s="335" t="s">
        <v>6616</v>
      </c>
      <c r="B5469" s="336">
        <v>46122.0</v>
      </c>
      <c r="C5469" s="371" t="s">
        <v>9</v>
      </c>
      <c r="D5469" s="371" t="s">
        <v>50</v>
      </c>
      <c r="E5469" s="337" t="str">
        <f t="shared" si="1"/>
        <v>大鉄　堺:産振</v>
      </c>
      <c r="F5469" s="338" t="s">
        <v>130</v>
      </c>
      <c r="G5469" s="339" t="str">
        <f t="shared" si="2"/>
        <v>大鉄　堺:産振新断Ａ</v>
      </c>
      <c r="H5469" s="340">
        <f t="shared" si="3"/>
        <v>51.2</v>
      </c>
      <c r="I5469" s="341">
        <v>1.5</v>
      </c>
      <c r="J5469" s="332">
        <f>IFERROR(__xludf.DUMMYFUNCTION("IF(IF(COUNTIF(P$2:P5468, P5469)=0, """", INDEX(H$2:H5468,
MAX(FILTER(ROW(H$2:H5468) - ROW(H$2) + 1, P$2:P5468 = P5469))))=""単価"","""",
IF(COUNTIF(P$2:P5468, P5469)=0, """", INDEX(H$2:H5468,
MAX(FILTER(ROW(H$2:H5468) - ROW(H$2) + 1, P$2:P5468 = P5469)))))"),49.7)</f>
        <v>49.7</v>
      </c>
      <c r="N5469" s="335" t="str">
        <f>IF(MAXIFS('単価履歴'!$O:$O,'単価履歴'!$E:$E,E5469,'単価履歴'!$F:$F,F5469)=O5469,"●","")</f>
        <v/>
      </c>
      <c r="O5469" s="346">
        <v>46122.280752314815</v>
      </c>
      <c r="P5469" s="334" t="str">
        <f t="shared" si="4"/>
        <v>大鉄　堺:産振新断Ａ</v>
      </c>
    </row>
    <row r="5470" ht="15.75" customHeight="1">
      <c r="A5470" s="335" t="s">
        <v>6617</v>
      </c>
      <c r="B5470" s="336">
        <v>46122.0</v>
      </c>
      <c r="C5470" s="371" t="s">
        <v>9</v>
      </c>
      <c r="D5470" s="371" t="s">
        <v>50</v>
      </c>
      <c r="E5470" s="337" t="str">
        <f t="shared" si="1"/>
        <v>大鉄　堺:産振</v>
      </c>
      <c r="F5470" s="338" t="s">
        <v>131</v>
      </c>
      <c r="G5470" s="339" t="str">
        <f t="shared" si="2"/>
        <v>大鉄　堺:産振新断Ｂ</v>
      </c>
      <c r="H5470" s="340">
        <f t="shared" si="3"/>
        <v>50.7</v>
      </c>
      <c r="I5470" s="341">
        <v>1.5</v>
      </c>
      <c r="J5470" s="332">
        <f>IFERROR(__xludf.DUMMYFUNCTION("IF(IF(COUNTIF(P$2:P5469, P5470)=0, """", INDEX(H$2:H5469,
MAX(FILTER(ROW(H$2:H5469) - ROW(H$2) + 1, P$2:P5469 = P5470))))=""単価"","""",
IF(COUNTIF(P$2:P5469, P5470)=0, """", INDEX(H$2:H5469,
MAX(FILTER(ROW(H$2:H5469) - ROW(H$2) + 1, P$2:P5469 = P5470)))))"),49.2)</f>
        <v>49.2</v>
      </c>
      <c r="N5470" s="335" t="str">
        <f>IF(MAXIFS('単価履歴'!$O:$O,'単価履歴'!$E:$E,E5470,'単価履歴'!$F:$F,F5470)=O5470,"●","")</f>
        <v/>
      </c>
      <c r="O5470" s="346">
        <v>46122.280752314815</v>
      </c>
      <c r="P5470" s="334" t="str">
        <f t="shared" si="4"/>
        <v>大鉄　堺:産振新断Ｂ</v>
      </c>
    </row>
    <row r="5471" ht="15.75" customHeight="1">
      <c r="A5471" s="335" t="s">
        <v>6618</v>
      </c>
      <c r="B5471" s="336">
        <v>46122.0</v>
      </c>
      <c r="C5471" s="371" t="s">
        <v>9</v>
      </c>
      <c r="D5471" s="371" t="s">
        <v>50</v>
      </c>
      <c r="E5471" s="337" t="str">
        <f t="shared" si="1"/>
        <v>大鉄　堺:産振</v>
      </c>
      <c r="F5471" s="338" t="s">
        <v>575</v>
      </c>
      <c r="G5471" s="339" t="str">
        <f t="shared" si="2"/>
        <v>大鉄　堺:産振鋼ダライＡ</v>
      </c>
      <c r="H5471" s="340">
        <f t="shared" si="3"/>
        <v>46.7</v>
      </c>
      <c r="I5471" s="341">
        <v>1.5</v>
      </c>
      <c r="J5471" s="332">
        <f>IFERROR(__xludf.DUMMYFUNCTION("IF(IF(COUNTIF(P$2:P5470, P5471)=0, """", INDEX(H$2:H5470,
MAX(FILTER(ROW(H$2:H5470) - ROW(H$2) + 1, P$2:P5470 = P5471))))=""単価"","""",
IF(COUNTIF(P$2:P5470, P5471)=0, """", INDEX(H$2:H5470,
MAX(FILTER(ROW(H$2:H5470) - ROW(H$2) + 1, P$2:P5470 = P5471)))))"),45.2)</f>
        <v>45.2</v>
      </c>
      <c r="N5471" s="335" t="str">
        <f>IF(MAXIFS('単価履歴'!$O:$O,'単価履歴'!$E:$E,E5471,'単価履歴'!$F:$F,F5471)=O5471,"●","")</f>
        <v/>
      </c>
      <c r="O5471" s="346">
        <v>46122.280752314815</v>
      </c>
      <c r="P5471" s="334" t="str">
        <f t="shared" si="4"/>
        <v>大鉄　堺:産振鋼ダライＡ</v>
      </c>
    </row>
    <row r="5472" ht="15.75" customHeight="1">
      <c r="A5472" s="335" t="s">
        <v>6619</v>
      </c>
      <c r="B5472" s="336">
        <v>46122.0</v>
      </c>
      <c r="C5472" s="371" t="s">
        <v>9</v>
      </c>
      <c r="D5472" s="371" t="s">
        <v>49</v>
      </c>
      <c r="E5472" s="337" t="str">
        <f t="shared" si="1"/>
        <v>大鉄　堺:伊藤忠</v>
      </c>
      <c r="F5472" s="338" t="s">
        <v>111</v>
      </c>
      <c r="G5472" s="339" t="str">
        <f t="shared" si="2"/>
        <v>大鉄　堺:伊藤忠Ｈ１(特A)</v>
      </c>
      <c r="H5472" s="340">
        <f t="shared" si="3"/>
        <v>37.8</v>
      </c>
      <c r="I5472" s="341">
        <v>1.5</v>
      </c>
      <c r="J5472" s="332">
        <f>IFERROR(__xludf.DUMMYFUNCTION("IF(IF(COUNTIF(P$2:P5471, P5472)=0, """", INDEX(H$2:H5471,
MAX(FILTER(ROW(H$2:H5471) - ROW(H$2) + 1, P$2:P5471 = P5472))))=""単価"","""",
IF(COUNTIF(P$2:P5471, P5472)=0, """", INDEX(H$2:H5471,
MAX(FILTER(ROW(H$2:H5471) - ROW(H$2) + 1, P$2:P5471 = P5472)))))"),36.3)</f>
        <v>36.3</v>
      </c>
      <c r="N5472" s="335" t="str">
        <f>IF(MAXIFS('単価履歴'!$O:$O,'単価履歴'!$E:$E,E5472,'単価履歴'!$F:$F,F5472)=O5472,"●","")</f>
        <v/>
      </c>
      <c r="O5472" s="346">
        <v>46122.28090277778</v>
      </c>
      <c r="P5472" s="334" t="str">
        <f t="shared" si="4"/>
        <v>大鉄　堺:伊藤忠Ｈ１(特A)</v>
      </c>
    </row>
    <row r="5473" ht="15.75" customHeight="1">
      <c r="A5473" s="335" t="s">
        <v>6620</v>
      </c>
      <c r="B5473" s="336">
        <v>46122.0</v>
      </c>
      <c r="C5473" s="371" t="s">
        <v>9</v>
      </c>
      <c r="D5473" s="371" t="s">
        <v>49</v>
      </c>
      <c r="E5473" s="337" t="str">
        <f t="shared" si="1"/>
        <v>大鉄　堺:伊藤忠</v>
      </c>
      <c r="F5473" s="338" t="s">
        <v>1237</v>
      </c>
      <c r="G5473" s="339" t="str">
        <f t="shared" si="2"/>
        <v>大鉄　堺:伊藤忠ＪＨ１(H2T山口)鍛造ﾊﾞﾘ</v>
      </c>
      <c r="H5473" s="340">
        <f t="shared" si="3"/>
        <v>45.2</v>
      </c>
      <c r="I5473" s="341">
        <v>1.5</v>
      </c>
      <c r="J5473" s="332">
        <f>IFERROR(__xludf.DUMMYFUNCTION("IF(IF(COUNTIF(P$2:P5472, P5473)=0, """", INDEX(H$2:H5472,
MAX(FILTER(ROW(H$2:H5472) - ROW(H$2) + 1, P$2:P5472 = P5473))))=""単価"","""",
IF(COUNTIF(P$2:P5472, P5473)=0, """", INDEX(H$2:H5472,
MAX(FILTER(ROW(H$2:H5472) - ROW(H$2) + 1, P$2:P5472 = P5473)))))"),43.7)</f>
        <v>43.7</v>
      </c>
      <c r="N5473" s="335" t="str">
        <f>IF(MAXIFS('単価履歴'!$O:$O,'単価履歴'!$E:$E,E5473,'単価履歴'!$F:$F,F5473)=O5473,"●","")</f>
        <v/>
      </c>
      <c r="O5473" s="346">
        <v>46122.28090277778</v>
      </c>
      <c r="P5473" s="334" t="str">
        <f t="shared" si="4"/>
        <v>大鉄　堺:伊藤忠ＪＨ１(H2T山口)鍛造ﾊﾞﾘ</v>
      </c>
    </row>
    <row r="5474" ht="15.75" customHeight="1">
      <c r="A5474" s="335" t="s">
        <v>6621</v>
      </c>
      <c r="B5474" s="336">
        <v>46122.0</v>
      </c>
      <c r="C5474" s="371" t="s">
        <v>9</v>
      </c>
      <c r="D5474" s="371" t="s">
        <v>49</v>
      </c>
      <c r="E5474" s="337" t="str">
        <f t="shared" si="1"/>
        <v>大鉄　堺:伊藤忠</v>
      </c>
      <c r="F5474" s="338" t="s">
        <v>116</v>
      </c>
      <c r="G5474" s="339" t="str">
        <f t="shared" si="2"/>
        <v>大鉄　堺:伊藤忠Ｈ２(特級)</v>
      </c>
      <c r="H5474" s="340">
        <f t="shared" si="3"/>
        <v>43</v>
      </c>
      <c r="I5474" s="341">
        <v>1.5</v>
      </c>
      <c r="J5474" s="332">
        <f>IFERROR(__xludf.DUMMYFUNCTION("IF(IF(COUNTIF(P$2:P5473, P5474)=0, """", INDEX(H$2:H5473,
MAX(FILTER(ROW(H$2:H5473) - ROW(H$2) + 1, P$2:P5473 = P5474))))=""単価"","""",
IF(COUNTIF(P$2:P5473, P5474)=0, """", INDEX(H$2:H5473,
MAX(FILTER(ROW(H$2:H5473) - ROW(H$2) + 1, P$2:P5473 = P5474)))))"),41.5)</f>
        <v>41.5</v>
      </c>
      <c r="N5474" s="335" t="str">
        <f>IF(MAXIFS('単価履歴'!$O:$O,'単価履歴'!$E:$E,E5474,'単価履歴'!$F:$F,F5474)=O5474,"●","")</f>
        <v/>
      </c>
      <c r="O5474" s="346">
        <v>46122.28090277778</v>
      </c>
      <c r="P5474" s="334" t="str">
        <f t="shared" si="4"/>
        <v>大鉄　堺:伊藤忠Ｈ２(特級)</v>
      </c>
    </row>
    <row r="5475" ht="15.75" customHeight="1">
      <c r="A5475" s="335" t="s">
        <v>6622</v>
      </c>
      <c r="B5475" s="336">
        <v>46122.0</v>
      </c>
      <c r="C5475" s="371" t="s">
        <v>9</v>
      </c>
      <c r="D5475" s="371" t="s">
        <v>49</v>
      </c>
      <c r="E5475" s="337" t="str">
        <f t="shared" si="1"/>
        <v>大鉄　堺:伊藤忠</v>
      </c>
      <c r="F5475" s="338" t="s">
        <v>119</v>
      </c>
      <c r="G5475" s="339" t="str">
        <f t="shared" si="2"/>
        <v>大鉄　堺:伊藤忠Ｈ３(1級)</v>
      </c>
      <c r="H5475" s="340">
        <f t="shared" si="3"/>
        <v>42</v>
      </c>
      <c r="I5475" s="341">
        <v>1.5</v>
      </c>
      <c r="J5475" s="332">
        <f>IFERROR(__xludf.DUMMYFUNCTION("IF(IF(COUNTIF(P$2:P5474, P5475)=0, """", INDEX(H$2:H5474,
MAX(FILTER(ROW(H$2:H5474) - ROW(H$2) + 1, P$2:P5474 = P5475))))=""単価"","""",
IF(COUNTIF(P$2:P5474, P5475)=0, """", INDEX(H$2:H5474,
MAX(FILTER(ROW(H$2:H5474) - ROW(H$2) + 1, P$2:P5474 = P5475)))))"),40.5)</f>
        <v>40.5</v>
      </c>
      <c r="N5475" s="335" t="str">
        <f>IF(MAXIFS('単価履歴'!$O:$O,'単価履歴'!$E:$E,E5475,'単価履歴'!$F:$F,F5475)=O5475,"●","")</f>
        <v/>
      </c>
      <c r="O5475" s="346">
        <v>46122.28090277778</v>
      </c>
      <c r="P5475" s="334" t="str">
        <f t="shared" si="4"/>
        <v>大鉄　堺:伊藤忠Ｈ３(1級)</v>
      </c>
    </row>
    <row r="5476" ht="15.75" customHeight="1">
      <c r="A5476" s="335" t="s">
        <v>6623</v>
      </c>
      <c r="B5476" s="336">
        <v>46122.0</v>
      </c>
      <c r="C5476" s="371" t="s">
        <v>9</v>
      </c>
      <c r="D5476" s="371" t="s">
        <v>49</v>
      </c>
      <c r="E5476" s="337" t="str">
        <f t="shared" si="1"/>
        <v>大鉄　堺:伊藤忠</v>
      </c>
      <c r="F5476" s="338" t="s">
        <v>122</v>
      </c>
      <c r="G5476" s="339" t="str">
        <f t="shared" si="2"/>
        <v>大鉄　堺:伊藤忠Ｌ１(2級)</v>
      </c>
      <c r="H5476" s="340">
        <f t="shared" si="3"/>
        <v>41</v>
      </c>
      <c r="I5476" s="341">
        <v>1.5</v>
      </c>
      <c r="J5476" s="332">
        <f>IFERROR(__xludf.DUMMYFUNCTION("IF(IF(COUNTIF(P$2:P5475, P5476)=0, """", INDEX(H$2:H5475,
MAX(FILTER(ROW(H$2:H5475) - ROW(H$2) + 1, P$2:P5475 = P5476))))=""単価"","""",
IF(COUNTIF(P$2:P5475, P5476)=0, """", INDEX(H$2:H5475,
MAX(FILTER(ROW(H$2:H5475) - ROW(H$2) + 1, P$2:P5475 = P5476)))))"),39.5)</f>
        <v>39.5</v>
      </c>
      <c r="N5476" s="335" t="str">
        <f>IF(MAXIFS('単価履歴'!$O:$O,'単価履歴'!$E:$E,E5476,'単価履歴'!$F:$F,F5476)=O5476,"●","")</f>
        <v/>
      </c>
      <c r="O5476" s="346">
        <v>46122.28090277778</v>
      </c>
      <c r="P5476" s="334" t="str">
        <f t="shared" si="4"/>
        <v>大鉄　堺:伊藤忠Ｌ１(2級)</v>
      </c>
    </row>
    <row r="5477" ht="15.75" customHeight="1">
      <c r="A5477" s="335" t="s">
        <v>6624</v>
      </c>
      <c r="B5477" s="336">
        <v>46122.0</v>
      </c>
      <c r="C5477" s="371" t="s">
        <v>9</v>
      </c>
      <c r="D5477" s="371" t="s">
        <v>49</v>
      </c>
      <c r="E5477" s="337" t="str">
        <f t="shared" si="1"/>
        <v>大鉄　堺:伊藤忠</v>
      </c>
      <c r="F5477" s="338" t="s">
        <v>130</v>
      </c>
      <c r="G5477" s="339" t="str">
        <f t="shared" si="2"/>
        <v>大鉄　堺:伊藤忠新断Ａ</v>
      </c>
      <c r="H5477" s="340">
        <f t="shared" si="3"/>
        <v>37.3</v>
      </c>
      <c r="I5477" s="341">
        <v>1.5</v>
      </c>
      <c r="J5477" s="332">
        <f>IFERROR(__xludf.DUMMYFUNCTION("IF(IF(COUNTIF(P$2:P5476, P5477)=0, """", INDEX(H$2:H5476,
MAX(FILTER(ROW(H$2:H5476) - ROW(H$2) + 1, P$2:P5476 = P5477))))=""単価"","""",
IF(COUNTIF(P$2:P5476, P5477)=0, """", INDEX(H$2:H5476,
MAX(FILTER(ROW(H$2:H5476) - ROW(H$2) + 1, P$2:P5476 = P5477)))))"),35.8)</f>
        <v>35.8</v>
      </c>
      <c r="N5477" s="335" t="str">
        <f>IF(MAXIFS('単価履歴'!$O:$O,'単価履歴'!$E:$E,E5477,'単価履歴'!$F:$F,F5477)=O5477,"●","")</f>
        <v/>
      </c>
      <c r="O5477" s="346">
        <v>46122.28090277778</v>
      </c>
      <c r="P5477" s="334" t="str">
        <f t="shared" si="4"/>
        <v>大鉄　堺:伊藤忠新断Ａ</v>
      </c>
    </row>
    <row r="5478" ht="15.75" customHeight="1">
      <c r="A5478" s="335" t="s">
        <v>6625</v>
      </c>
      <c r="B5478" s="336">
        <v>46122.0</v>
      </c>
      <c r="C5478" s="371" t="s">
        <v>9</v>
      </c>
      <c r="D5478" s="371" t="s">
        <v>49</v>
      </c>
      <c r="E5478" s="337" t="str">
        <f t="shared" si="1"/>
        <v>大鉄　堺:伊藤忠</v>
      </c>
      <c r="F5478" s="338" t="s">
        <v>131</v>
      </c>
      <c r="G5478" s="339" t="str">
        <f t="shared" si="2"/>
        <v>大鉄　堺:伊藤忠新断Ｂ</v>
      </c>
      <c r="H5478" s="340">
        <f t="shared" si="3"/>
        <v>36.8</v>
      </c>
      <c r="I5478" s="341">
        <v>1.5</v>
      </c>
      <c r="J5478" s="332">
        <f>IFERROR(__xludf.DUMMYFUNCTION("IF(IF(COUNTIF(P$2:P5477, P5478)=0, """", INDEX(H$2:H5477,
MAX(FILTER(ROW(H$2:H5477) - ROW(H$2) + 1, P$2:P5477 = P5478))))=""単価"","""",
IF(COUNTIF(P$2:P5477, P5478)=0, """", INDEX(H$2:H5477,
MAX(FILTER(ROW(H$2:H5477) - ROW(H$2) + 1, P$2:P5477 = P5478)))))"),35.3)</f>
        <v>35.3</v>
      </c>
      <c r="N5478" s="335" t="str">
        <f>IF(MAXIFS('単価履歴'!$O:$O,'単価履歴'!$E:$E,E5478,'単価履歴'!$F:$F,F5478)=O5478,"●","")</f>
        <v/>
      </c>
      <c r="O5478" s="346">
        <v>46122.28090277778</v>
      </c>
      <c r="P5478" s="334" t="str">
        <f t="shared" si="4"/>
        <v>大鉄　堺:伊藤忠新断Ｂ</v>
      </c>
    </row>
    <row r="5479" ht="15.75" customHeight="1">
      <c r="A5479" s="335" t="s">
        <v>6626</v>
      </c>
      <c r="B5479" s="336">
        <v>46122.0</v>
      </c>
      <c r="C5479" s="371" t="s">
        <v>9</v>
      </c>
      <c r="D5479" s="371" t="s">
        <v>48</v>
      </c>
      <c r="E5479" s="337" t="str">
        <f t="shared" si="1"/>
        <v>大鉄　堺:ナベ</v>
      </c>
      <c r="F5479" s="338" t="s">
        <v>116</v>
      </c>
      <c r="G5479" s="339" t="str">
        <f t="shared" si="2"/>
        <v>大鉄　堺:ナベＨ２(特級)</v>
      </c>
      <c r="H5479" s="340">
        <f t="shared" si="3"/>
        <v>53.2</v>
      </c>
      <c r="I5479" s="341">
        <v>1.5</v>
      </c>
      <c r="J5479" s="332">
        <f>IFERROR(__xludf.DUMMYFUNCTION("IF(IF(COUNTIF(P$2:P5478, P5479)=0, """", INDEX(H$2:H5478,
MAX(FILTER(ROW(H$2:H5478) - ROW(H$2) + 1, P$2:P5478 = P5479))))=""単価"","""",
IF(COUNTIF(P$2:P5478, P5479)=0, """", INDEX(H$2:H5478,
MAX(FILTER(ROW(H$2:H5478) - ROW(H$2) + 1, P$2:P5478 = P5479)))))"),51.7)</f>
        <v>51.7</v>
      </c>
      <c r="N5479" s="335" t="str">
        <f>IF(MAXIFS('単価履歴'!$O:$O,'単価履歴'!$E:$E,E5479,'単価履歴'!$F:$F,F5479)=O5479,"●","")</f>
        <v/>
      </c>
      <c r="O5479" s="346">
        <v>46122.28103009259</v>
      </c>
      <c r="P5479" s="334" t="str">
        <f t="shared" si="4"/>
        <v>大鉄　堺:ナベＨ２(特級)</v>
      </c>
    </row>
    <row r="5480" ht="15.75" customHeight="1">
      <c r="A5480" s="335" t="s">
        <v>6627</v>
      </c>
      <c r="B5480" s="336">
        <v>46122.0</v>
      </c>
      <c r="C5480" s="371" t="s">
        <v>9</v>
      </c>
      <c r="D5480" s="371" t="s">
        <v>48</v>
      </c>
      <c r="E5480" s="337" t="str">
        <f t="shared" si="1"/>
        <v>大鉄　堺:ナベ</v>
      </c>
      <c r="F5480" s="338" t="s">
        <v>119</v>
      </c>
      <c r="G5480" s="339" t="str">
        <f t="shared" si="2"/>
        <v>大鉄　堺:ナベＨ３(1級)</v>
      </c>
      <c r="H5480" s="340">
        <f t="shared" si="3"/>
        <v>52.7</v>
      </c>
      <c r="I5480" s="341">
        <v>1.5</v>
      </c>
      <c r="J5480" s="332">
        <f>IFERROR(__xludf.DUMMYFUNCTION("IF(IF(COUNTIF(P$2:P5479, P5480)=0, """", INDEX(H$2:H5479,
MAX(FILTER(ROW(H$2:H5479) - ROW(H$2) + 1, P$2:P5479 = P5480))))=""単価"","""",
IF(COUNTIF(P$2:P5479, P5480)=0, """", INDEX(H$2:H5479,
MAX(FILTER(ROW(H$2:H5479) - ROW(H$2) + 1, P$2:P5479 = P5480)))))"),51.2)</f>
        <v>51.2</v>
      </c>
      <c r="N5480" s="335" t="str">
        <f>IF(MAXIFS('単価履歴'!$O:$O,'単価履歴'!$E:$E,E5480,'単価履歴'!$F:$F,F5480)=O5480,"●","")</f>
        <v/>
      </c>
      <c r="O5480" s="346">
        <v>46122.28103009259</v>
      </c>
      <c r="P5480" s="334" t="str">
        <f t="shared" si="4"/>
        <v>大鉄　堺:ナベＨ３(1級)</v>
      </c>
    </row>
    <row r="5481" ht="15.75" customHeight="1">
      <c r="A5481" s="335" t="s">
        <v>6628</v>
      </c>
      <c r="B5481" s="336">
        <v>46122.0</v>
      </c>
      <c r="C5481" s="371" t="s">
        <v>9</v>
      </c>
      <c r="D5481" s="371" t="s">
        <v>48</v>
      </c>
      <c r="E5481" s="337" t="str">
        <f t="shared" si="1"/>
        <v>大鉄　堺:ナベ</v>
      </c>
      <c r="F5481" s="338" t="s">
        <v>122</v>
      </c>
      <c r="G5481" s="339" t="str">
        <f t="shared" si="2"/>
        <v>大鉄　堺:ナベＬ１(2級)</v>
      </c>
      <c r="H5481" s="340">
        <f t="shared" si="3"/>
        <v>52.2</v>
      </c>
      <c r="I5481" s="341">
        <v>1.5</v>
      </c>
      <c r="J5481" s="332">
        <f>IFERROR(__xludf.DUMMYFUNCTION("IF(IF(COUNTIF(P$2:P5480, P5481)=0, """", INDEX(H$2:H5480,
MAX(FILTER(ROW(H$2:H5480) - ROW(H$2) + 1, P$2:P5480 = P5481))))=""単価"","""",
IF(COUNTIF(P$2:P5480, P5481)=0, """", INDEX(H$2:H5480,
MAX(FILTER(ROW(H$2:H5480) - ROW(H$2) + 1, P$2:P5480 = P5481)))))"),50.7)</f>
        <v>50.7</v>
      </c>
      <c r="N5481" s="335" t="str">
        <f>IF(MAXIFS('単価履歴'!$O:$O,'単価履歴'!$E:$E,E5481,'単価履歴'!$F:$F,F5481)=O5481,"●","")</f>
        <v/>
      </c>
      <c r="O5481" s="346">
        <v>46122.28103009259</v>
      </c>
      <c r="P5481" s="334" t="str">
        <f t="shared" si="4"/>
        <v>大鉄　堺:ナベＬ１(2級)</v>
      </c>
    </row>
    <row r="5482" ht="15.75" customHeight="1">
      <c r="A5482" s="335" t="s">
        <v>6629</v>
      </c>
      <c r="B5482" s="336">
        <v>46122.0</v>
      </c>
      <c r="C5482" s="371" t="s">
        <v>10</v>
      </c>
      <c r="D5482" s="371" t="s">
        <v>47</v>
      </c>
      <c r="E5482" s="337" t="str">
        <f t="shared" si="1"/>
        <v>岸和田:豊通</v>
      </c>
      <c r="F5482" s="338" t="s">
        <v>111</v>
      </c>
      <c r="G5482" s="339" t="str">
        <f t="shared" si="2"/>
        <v>岸和田:豊通Ｈ１(特A)</v>
      </c>
      <c r="H5482" s="340">
        <f t="shared" si="3"/>
        <v>53</v>
      </c>
      <c r="I5482" s="341">
        <v>1.5</v>
      </c>
      <c r="J5482" s="332">
        <f>IFERROR(__xludf.DUMMYFUNCTION("IF(IF(COUNTIF(P$2:P5481, P5482)=0, """", INDEX(H$2:H5481,
MAX(FILTER(ROW(H$2:H5481) - ROW(H$2) + 1, P$2:P5481 = P5482))))=""単価"","""",
IF(COUNTIF(P$2:P5481, P5482)=0, """", INDEX(H$2:H5481,
MAX(FILTER(ROW(H$2:H5481) - ROW(H$2) + 1, P$2:P5481 = P5482)))))"),51.5)</f>
        <v>51.5</v>
      </c>
      <c r="N5482" s="335" t="str">
        <f>IF(MAXIFS('単価履歴'!$O:$O,'単価履歴'!$E:$E,E5482,'単価履歴'!$F:$F,F5482)=O5482,"●","")</f>
        <v/>
      </c>
      <c r="O5482" s="346">
        <v>46122.28128472222</v>
      </c>
      <c r="P5482" s="334" t="str">
        <f t="shared" si="4"/>
        <v>岸和田:豊通Ｈ１(特A)</v>
      </c>
    </row>
    <row r="5483" ht="15.75" customHeight="1">
      <c r="A5483" s="335" t="s">
        <v>6630</v>
      </c>
      <c r="B5483" s="336">
        <v>46122.0</v>
      </c>
      <c r="C5483" s="371" t="s">
        <v>10</v>
      </c>
      <c r="D5483" s="371" t="s">
        <v>47</v>
      </c>
      <c r="E5483" s="337" t="str">
        <f t="shared" si="1"/>
        <v>岸和田:豊通</v>
      </c>
      <c r="F5483" s="338" t="s">
        <v>116</v>
      </c>
      <c r="G5483" s="339" t="str">
        <f t="shared" si="2"/>
        <v>岸和田:豊通Ｈ２(特級)</v>
      </c>
      <c r="H5483" s="340">
        <f t="shared" si="3"/>
        <v>50.5</v>
      </c>
      <c r="I5483" s="341">
        <v>1.5</v>
      </c>
      <c r="J5483" s="332">
        <f>IFERROR(__xludf.DUMMYFUNCTION("IF(IF(COUNTIF(P$2:P5482, P5483)=0, """", INDEX(H$2:H5482,
MAX(FILTER(ROW(H$2:H5482) - ROW(H$2) + 1, P$2:P5482 = P5483))))=""単価"","""",
IF(COUNTIF(P$2:P5482, P5483)=0, """", INDEX(H$2:H5482,
MAX(FILTER(ROW(H$2:H5482) - ROW(H$2) + 1, P$2:P5482 = P5483)))))"),49.0)</f>
        <v>49</v>
      </c>
      <c r="N5483" s="335" t="str">
        <f>IF(MAXIFS('単価履歴'!$O:$O,'単価履歴'!$E:$E,E5483,'単価履歴'!$F:$F,F5483)=O5483,"●","")</f>
        <v/>
      </c>
      <c r="O5483" s="346">
        <v>46122.28128472222</v>
      </c>
      <c r="P5483" s="334" t="str">
        <f t="shared" si="4"/>
        <v>岸和田:豊通Ｈ２(特級)</v>
      </c>
    </row>
    <row r="5484" ht="15.75" customHeight="1">
      <c r="A5484" s="335" t="s">
        <v>6631</v>
      </c>
      <c r="B5484" s="336">
        <v>46122.0</v>
      </c>
      <c r="C5484" s="371" t="s">
        <v>10</v>
      </c>
      <c r="D5484" s="371" t="s">
        <v>47</v>
      </c>
      <c r="E5484" s="337" t="str">
        <f t="shared" si="1"/>
        <v>岸和田:豊通</v>
      </c>
      <c r="F5484" s="338" t="s">
        <v>119</v>
      </c>
      <c r="G5484" s="339" t="str">
        <f t="shared" si="2"/>
        <v>岸和田:豊通Ｈ３(1級)</v>
      </c>
      <c r="H5484" s="340">
        <f t="shared" si="3"/>
        <v>50</v>
      </c>
      <c r="I5484" s="341">
        <v>1.5</v>
      </c>
      <c r="J5484" s="332">
        <f>IFERROR(__xludf.DUMMYFUNCTION("IF(IF(COUNTIF(P$2:P5483, P5484)=0, """", INDEX(H$2:H5483,
MAX(FILTER(ROW(H$2:H5483) - ROW(H$2) + 1, P$2:P5483 = P5484))))=""単価"","""",
IF(COUNTIF(P$2:P5483, P5484)=0, """", INDEX(H$2:H5483,
MAX(FILTER(ROW(H$2:H5483) - ROW(H$2) + 1, P$2:P5483 = P5484)))))"),48.5)</f>
        <v>48.5</v>
      </c>
      <c r="N5484" s="335" t="str">
        <f>IF(MAXIFS('単価履歴'!$O:$O,'単価履歴'!$E:$E,E5484,'単価履歴'!$F:$F,F5484)=O5484,"●","")</f>
        <v/>
      </c>
      <c r="O5484" s="346">
        <v>46122.28128472222</v>
      </c>
      <c r="P5484" s="334" t="str">
        <f t="shared" si="4"/>
        <v>岸和田:豊通Ｈ３(1級)</v>
      </c>
    </row>
    <row r="5485" ht="15.75" customHeight="1">
      <c r="A5485" s="335" t="s">
        <v>6632</v>
      </c>
      <c r="B5485" s="336">
        <v>46122.0</v>
      </c>
      <c r="C5485" s="371" t="s">
        <v>10</v>
      </c>
      <c r="D5485" s="371" t="s">
        <v>47</v>
      </c>
      <c r="E5485" s="337" t="str">
        <f t="shared" si="1"/>
        <v>岸和田:豊通</v>
      </c>
      <c r="F5485" s="338" t="s">
        <v>122</v>
      </c>
      <c r="G5485" s="339" t="str">
        <f t="shared" si="2"/>
        <v>岸和田:豊通Ｌ１(2級)</v>
      </c>
      <c r="H5485" s="340">
        <f t="shared" si="3"/>
        <v>49.5</v>
      </c>
      <c r="I5485" s="341">
        <v>1.5</v>
      </c>
      <c r="J5485" s="332">
        <f>IFERROR(__xludf.DUMMYFUNCTION("IF(IF(COUNTIF(P$2:P5484, P5485)=0, """", INDEX(H$2:H5484,
MAX(FILTER(ROW(H$2:H5484) - ROW(H$2) + 1, P$2:P5484 = P5485))))=""単価"","""",
IF(COUNTIF(P$2:P5484, P5485)=0, """", INDEX(H$2:H5484,
MAX(FILTER(ROW(H$2:H5484) - ROW(H$2) + 1, P$2:P5484 = P5485)))))"),48.0)</f>
        <v>48</v>
      </c>
      <c r="N5485" s="335" t="str">
        <f>IF(MAXIFS('単価履歴'!$O:$O,'単価履歴'!$E:$E,E5485,'単価履歴'!$F:$F,F5485)=O5485,"●","")</f>
        <v/>
      </c>
      <c r="O5485" s="346">
        <v>46122.28128472222</v>
      </c>
      <c r="P5485" s="334" t="str">
        <f t="shared" si="4"/>
        <v>岸和田:豊通Ｌ１(2級)</v>
      </c>
    </row>
    <row r="5486" ht="15.75" customHeight="1">
      <c r="A5486" s="335" t="s">
        <v>6633</v>
      </c>
      <c r="B5486" s="336">
        <v>46122.0</v>
      </c>
      <c r="C5486" s="371" t="s">
        <v>10</v>
      </c>
      <c r="D5486" s="371" t="s">
        <v>47</v>
      </c>
      <c r="E5486" s="337" t="str">
        <f t="shared" si="1"/>
        <v>岸和田:豊通</v>
      </c>
      <c r="F5486" s="338" t="s">
        <v>154</v>
      </c>
      <c r="G5486" s="339" t="str">
        <f t="shared" si="2"/>
        <v>岸和田:豊通ＣＰ Ａ</v>
      </c>
      <c r="H5486" s="340">
        <f t="shared" si="3"/>
        <v>52.7</v>
      </c>
      <c r="I5486" s="341">
        <v>1.5</v>
      </c>
      <c r="J5486" s="332">
        <f>IFERROR(__xludf.DUMMYFUNCTION("IF(IF(COUNTIF(P$2:P5485, P5486)=0, """", INDEX(H$2:H5485,
MAX(FILTER(ROW(H$2:H5485) - ROW(H$2) + 1, P$2:P5485 = P5486))))=""単価"","""",
IF(COUNTIF(P$2:P5485, P5486)=0, """", INDEX(H$2:H5485,
MAX(FILTER(ROW(H$2:H5485) - ROW(H$2) + 1, P$2:P5485 = P5486)))))"),51.2)</f>
        <v>51.2</v>
      </c>
      <c r="N5486" s="335" t="str">
        <f>IF(MAXIFS('単価履歴'!$O:$O,'単価履歴'!$E:$E,E5486,'単価履歴'!$F:$F,F5486)=O5486,"●","")</f>
        <v/>
      </c>
      <c r="O5486" s="346">
        <v>46122.28128472222</v>
      </c>
      <c r="P5486" s="334" t="str">
        <f t="shared" si="4"/>
        <v>岸和田:豊通ＣＰ Ａ</v>
      </c>
    </row>
    <row r="5487" ht="15.75" customHeight="1">
      <c r="A5487" s="335" t="s">
        <v>6634</v>
      </c>
      <c r="B5487" s="336">
        <v>46122.0</v>
      </c>
      <c r="C5487" s="371" t="s">
        <v>10</v>
      </c>
      <c r="D5487" s="371" t="s">
        <v>46</v>
      </c>
      <c r="E5487" s="337" t="str">
        <f t="shared" si="1"/>
        <v>岸和田:阪和</v>
      </c>
      <c r="F5487" s="338" t="s">
        <v>149</v>
      </c>
      <c r="G5487" s="339" t="str">
        <f t="shared" si="2"/>
        <v>岸和田:阪和シュレＢ</v>
      </c>
      <c r="H5487" s="340">
        <f t="shared" si="3"/>
        <v>51.3</v>
      </c>
      <c r="I5487" s="341">
        <v>1.5</v>
      </c>
      <c r="J5487" s="332">
        <f>IFERROR(__xludf.DUMMYFUNCTION("IF(IF(COUNTIF(P$2:P5486, P5487)=0, """", INDEX(H$2:H5486,
MAX(FILTER(ROW(H$2:H5486) - ROW(H$2) + 1, P$2:P5486 = P5487))))=""単価"","""",
IF(COUNTIF(P$2:P5486, P5487)=0, """", INDEX(H$2:H5486,
MAX(FILTER(ROW(H$2:H5486) - ROW(H$2) + 1, P$2:P5486 = P5487)))))"),49.8)</f>
        <v>49.8</v>
      </c>
      <c r="N5487" s="335" t="str">
        <f>IF(MAXIFS('単価履歴'!$O:$O,'単価履歴'!$E:$E,E5487,'単価履歴'!$F:$F,F5487)=O5487,"●","")</f>
        <v/>
      </c>
      <c r="O5487" s="346">
        <v>46122.2815162037</v>
      </c>
      <c r="P5487" s="334" t="str">
        <f t="shared" si="4"/>
        <v>岸和田:阪和シュレＢ</v>
      </c>
    </row>
    <row r="5488" ht="15.75" customHeight="1">
      <c r="A5488" s="335" t="s">
        <v>6635</v>
      </c>
      <c r="B5488" s="336">
        <v>46122.0</v>
      </c>
      <c r="C5488" s="371" t="s">
        <v>10</v>
      </c>
      <c r="D5488" s="371" t="s">
        <v>539</v>
      </c>
      <c r="E5488" s="337" t="str">
        <f t="shared" si="1"/>
        <v>岸和田:岡谷鋼機</v>
      </c>
      <c r="F5488" s="338" t="s">
        <v>111</v>
      </c>
      <c r="G5488" s="339" t="str">
        <f t="shared" si="2"/>
        <v>岸和田:岡谷鋼機Ｈ１(特A)</v>
      </c>
      <c r="H5488" s="340">
        <f t="shared" si="3"/>
        <v>57.7</v>
      </c>
      <c r="I5488" s="341">
        <v>1.5</v>
      </c>
      <c r="J5488" s="332">
        <f>IFERROR(__xludf.DUMMYFUNCTION("IF(IF(COUNTIF(P$2:P5487, P5488)=0, """", INDEX(H$2:H5487,
MAX(FILTER(ROW(H$2:H5487) - ROW(H$2) + 1, P$2:P5487 = P5488))))=""単価"","""",
IF(COUNTIF(P$2:P5487, P5488)=0, """", INDEX(H$2:H5487,
MAX(FILTER(ROW(H$2:H5487) - ROW(H$2) + 1, P$2:P5487 = P5488)))))"),56.2)</f>
        <v>56.2</v>
      </c>
      <c r="N5488" s="335" t="str">
        <f>IF(MAXIFS('単価履歴'!$O:$O,'単価履歴'!$E:$E,E5488,'単価履歴'!$F:$F,F5488)=O5488,"●","")</f>
        <v/>
      </c>
      <c r="O5488" s="346">
        <v>46122.28177083333</v>
      </c>
      <c r="P5488" s="334" t="str">
        <f t="shared" si="4"/>
        <v>岸和田:岡谷鋼機Ｈ１(特A)</v>
      </c>
    </row>
    <row r="5489" ht="15.75" customHeight="1">
      <c r="A5489" s="335" t="s">
        <v>6636</v>
      </c>
      <c r="B5489" s="336">
        <v>46122.0</v>
      </c>
      <c r="C5489" s="371" t="s">
        <v>10</v>
      </c>
      <c r="D5489" s="371" t="s">
        <v>539</v>
      </c>
      <c r="E5489" s="337" t="str">
        <f t="shared" si="1"/>
        <v>岸和田:岡谷鋼機</v>
      </c>
      <c r="F5489" s="338" t="s">
        <v>116</v>
      </c>
      <c r="G5489" s="339" t="str">
        <f t="shared" si="2"/>
        <v>岸和田:岡谷鋼機Ｈ２(特級)</v>
      </c>
      <c r="H5489" s="340">
        <f t="shared" si="3"/>
        <v>55.7</v>
      </c>
      <c r="I5489" s="341">
        <v>1.5</v>
      </c>
      <c r="J5489" s="332">
        <f>IFERROR(__xludf.DUMMYFUNCTION("IF(IF(COUNTIF(P$2:P5488, P5489)=0, """", INDEX(H$2:H5488,
MAX(FILTER(ROW(H$2:H5488) - ROW(H$2) + 1, P$2:P5488 = P5489))))=""単価"","""",
IF(COUNTIF(P$2:P5488, P5489)=0, """", INDEX(H$2:H5488,
MAX(FILTER(ROW(H$2:H5488) - ROW(H$2) + 1, P$2:P5488 = P5489)))))"),54.2)</f>
        <v>54.2</v>
      </c>
      <c r="N5489" s="335" t="str">
        <f>IF(MAXIFS('単価履歴'!$O:$O,'単価履歴'!$E:$E,E5489,'単価履歴'!$F:$F,F5489)=O5489,"●","")</f>
        <v/>
      </c>
      <c r="O5489" s="346">
        <v>46122.28177083333</v>
      </c>
      <c r="P5489" s="334" t="str">
        <f t="shared" si="4"/>
        <v>岸和田:岡谷鋼機Ｈ２(特級)</v>
      </c>
    </row>
    <row r="5490" ht="15.75" customHeight="1">
      <c r="A5490" s="335" t="s">
        <v>6637</v>
      </c>
      <c r="B5490" s="336">
        <v>46122.0</v>
      </c>
      <c r="C5490" s="371" t="s">
        <v>10</v>
      </c>
      <c r="D5490" s="371" t="s">
        <v>539</v>
      </c>
      <c r="E5490" s="337" t="str">
        <f t="shared" si="1"/>
        <v>岸和田:岡谷鋼機</v>
      </c>
      <c r="F5490" s="338" t="s">
        <v>119</v>
      </c>
      <c r="G5490" s="339" t="str">
        <f t="shared" si="2"/>
        <v>岸和田:岡谷鋼機Ｈ３(1級)</v>
      </c>
      <c r="H5490" s="340">
        <f t="shared" si="3"/>
        <v>53.7</v>
      </c>
      <c r="I5490" s="341">
        <v>1.5</v>
      </c>
      <c r="J5490" s="332">
        <f>IFERROR(__xludf.DUMMYFUNCTION("IF(IF(COUNTIF(P$2:P5489, P5490)=0, """", INDEX(H$2:H5489,
MAX(FILTER(ROW(H$2:H5489) - ROW(H$2) + 1, P$2:P5489 = P5490))))=""単価"","""",
IF(COUNTIF(P$2:P5489, P5490)=0, """", INDEX(H$2:H5489,
MAX(FILTER(ROW(H$2:H5489) - ROW(H$2) + 1, P$2:P5489 = P5490)))))"),52.2)</f>
        <v>52.2</v>
      </c>
      <c r="N5490" s="335" t="str">
        <f>IF(MAXIFS('単価履歴'!$O:$O,'単価履歴'!$E:$E,E5490,'単価履歴'!$F:$F,F5490)=O5490,"●","")</f>
        <v/>
      </c>
      <c r="O5490" s="346">
        <v>46122.28177083333</v>
      </c>
      <c r="P5490" s="334" t="str">
        <f t="shared" si="4"/>
        <v>岸和田:岡谷鋼機Ｈ３(1級)</v>
      </c>
    </row>
    <row r="5491" ht="15.75" customHeight="1">
      <c r="A5491" s="335" t="s">
        <v>6638</v>
      </c>
      <c r="B5491" s="336">
        <v>46122.0</v>
      </c>
      <c r="C5491" s="349" t="s">
        <v>22</v>
      </c>
      <c r="D5491" s="349" t="s">
        <v>47</v>
      </c>
      <c r="E5491" s="337" t="str">
        <f t="shared" si="1"/>
        <v>栗本鐵工:豊通</v>
      </c>
      <c r="F5491" s="338" t="s">
        <v>1199</v>
      </c>
      <c r="G5491" s="339" t="str">
        <f t="shared" si="2"/>
        <v>栗本鐵工:豊通ＨＳ１(単体H1/電特A/HS))</v>
      </c>
      <c r="H5491" s="340">
        <f t="shared" si="3"/>
        <v>58.3</v>
      </c>
      <c r="I5491" s="341">
        <v>1.5</v>
      </c>
      <c r="J5491" s="332">
        <f>IFERROR(__xludf.DUMMYFUNCTION("IF(IF(COUNTIF(P$2:P5490, P5491)=0, """", INDEX(H$2:H5490,
MAX(FILTER(ROW(H$2:H5490) - ROW(H$2) + 1, P$2:P5490 = P5491))))=""単価"","""",
IF(COUNTIF(P$2:P5490, P5491)=0, """", INDEX(H$2:H5490,
MAX(FILTER(ROW(H$2:H5490) - ROW(H$2) + 1, P$2:P5490 = P5491)))))"),56.8)</f>
        <v>56.8</v>
      </c>
      <c r="N5491" s="335" t="str">
        <f>IF(MAXIFS('単価履歴'!$O:$O,'単価履歴'!$E:$E,E5491,'単価履歴'!$F:$F,F5491)=O5491,"●","")</f>
        <v/>
      </c>
      <c r="O5491" s="346">
        <v>46122.28212962963</v>
      </c>
      <c r="P5491" s="334" t="str">
        <f t="shared" si="4"/>
        <v>栗本鐵工:豊通ＨＳ１(単体H1/電特A/HS))</v>
      </c>
    </row>
    <row r="5492" ht="15.75" customHeight="1">
      <c r="A5492" s="335" t="s">
        <v>6639</v>
      </c>
      <c r="B5492" s="336">
        <v>46122.0</v>
      </c>
      <c r="C5492" s="349" t="s">
        <v>22</v>
      </c>
      <c r="D5492" s="349" t="s">
        <v>47</v>
      </c>
      <c r="E5492" s="337" t="str">
        <f t="shared" si="1"/>
        <v>栗本鐵工:豊通</v>
      </c>
      <c r="F5492" s="338" t="s">
        <v>101</v>
      </c>
      <c r="G5492" s="339" t="str">
        <f t="shared" si="2"/>
        <v>栗本鐵工:豊通ＨＳ２</v>
      </c>
      <c r="H5492" s="340">
        <f t="shared" si="3"/>
        <v>58</v>
      </c>
      <c r="I5492" s="341">
        <v>1.5</v>
      </c>
      <c r="J5492" s="332">
        <f>IFERROR(__xludf.DUMMYFUNCTION("IF(IF(COUNTIF(P$2:P5491, P5492)=0, """", INDEX(H$2:H5491,
MAX(FILTER(ROW(H$2:H5491) - ROW(H$2) + 1, P$2:P5491 = P5492))))=""単価"","""",
IF(COUNTIF(P$2:P5491, P5492)=0, """", INDEX(H$2:H5491,
MAX(FILTER(ROW(H$2:H5491) - ROW(H$2) + 1, P$2:P5491 = P5492)))))"),56.5)</f>
        <v>56.5</v>
      </c>
      <c r="N5492" s="335" t="str">
        <f>IF(MAXIFS('単価履歴'!$O:$O,'単価履歴'!$E:$E,E5492,'単価履歴'!$F:$F,F5492)=O5492,"●","")</f>
        <v/>
      </c>
      <c r="O5492" s="346">
        <v>46122.28212962963</v>
      </c>
      <c r="P5492" s="334" t="str">
        <f t="shared" si="4"/>
        <v>栗本鐵工:豊通ＨＳ２</v>
      </c>
    </row>
    <row r="5493" ht="15.75" customHeight="1">
      <c r="A5493" s="335" t="s">
        <v>6640</v>
      </c>
      <c r="B5493" s="336">
        <v>46122.0</v>
      </c>
      <c r="C5493" s="349" t="s">
        <v>22</v>
      </c>
      <c r="D5493" s="349" t="s">
        <v>47</v>
      </c>
      <c r="E5493" s="337" t="str">
        <f t="shared" si="1"/>
        <v>栗本鐵工:豊通</v>
      </c>
      <c r="F5493" s="338" t="s">
        <v>105</v>
      </c>
      <c r="G5493" s="339" t="str">
        <f t="shared" si="2"/>
        <v>栗本鐵工:豊通ＨＳ３</v>
      </c>
      <c r="H5493" s="340">
        <f t="shared" si="3"/>
        <v>57.1</v>
      </c>
      <c r="I5493" s="341">
        <v>1.5</v>
      </c>
      <c r="J5493" s="332">
        <f>IFERROR(__xludf.DUMMYFUNCTION("IF(IF(COUNTIF(P$2:P5492, P5493)=0, """", INDEX(H$2:H5492,
MAX(FILTER(ROW(H$2:H5492) - ROW(H$2) + 1, P$2:P5492 = P5493))))=""単価"","""",
IF(COUNTIF(P$2:P5492, P5493)=0, """", INDEX(H$2:H5492,
MAX(FILTER(ROW(H$2:H5492) - ROW(H$2) + 1, P$2:P5492 = P5493)))))"),55.6)</f>
        <v>55.6</v>
      </c>
      <c r="N5493" s="335" t="str">
        <f>IF(MAXIFS('単価履歴'!$O:$O,'単価履歴'!$E:$E,E5493,'単価履歴'!$F:$F,F5493)=O5493,"●","")</f>
        <v/>
      </c>
      <c r="O5493" s="346">
        <v>46122.28212962963</v>
      </c>
      <c r="P5493" s="334" t="str">
        <f t="shared" si="4"/>
        <v>栗本鐵工:豊通ＨＳ３</v>
      </c>
    </row>
    <row r="5494" ht="15.75" customHeight="1">
      <c r="A5494" s="335" t="s">
        <v>6641</v>
      </c>
      <c r="B5494" s="336">
        <v>46122.0</v>
      </c>
      <c r="C5494" s="349" t="s">
        <v>22</v>
      </c>
      <c r="D5494" s="349" t="s">
        <v>47</v>
      </c>
      <c r="E5494" s="337" t="str">
        <f t="shared" si="1"/>
        <v>栗本鐵工:豊通</v>
      </c>
      <c r="F5494" s="338" t="s">
        <v>577</v>
      </c>
      <c r="G5494" s="339" t="str">
        <f t="shared" si="2"/>
        <v>栗本鐵工:豊通鋳物・ﾀﾞｸﾀｲﾙ</v>
      </c>
      <c r="H5494" s="340">
        <f t="shared" si="3"/>
        <v>56.9</v>
      </c>
      <c r="I5494" s="341">
        <v>1.5</v>
      </c>
      <c r="J5494" s="332">
        <f>IFERROR(__xludf.DUMMYFUNCTION("IF(IF(COUNTIF(P$2:P5493, P5494)=0, """", INDEX(H$2:H5493,
MAX(FILTER(ROW(H$2:H5493) - ROW(H$2) + 1, P$2:P5493 = P5494))))=""単価"","""",
IF(COUNTIF(P$2:P5493, P5494)=0, """", INDEX(H$2:H5493,
MAX(FILTER(ROW(H$2:H5493) - ROW(H$2) + 1, P$2:P5493 = P5494)))))"),55.4)</f>
        <v>55.4</v>
      </c>
      <c r="N5494" s="335" t="str">
        <f>IF(MAXIFS('単価履歴'!$O:$O,'単価履歴'!$E:$E,E5494,'単価履歴'!$F:$F,F5494)=O5494,"●","")</f>
        <v/>
      </c>
      <c r="O5494" s="346">
        <v>46122.28212962963</v>
      </c>
      <c r="P5494" s="334" t="str">
        <f t="shared" si="4"/>
        <v>栗本鐵工:豊通鋳物・ﾀﾞｸﾀｲﾙ</v>
      </c>
    </row>
    <row r="5495" ht="15.75" customHeight="1">
      <c r="A5495" s="335" t="s">
        <v>6642</v>
      </c>
      <c r="B5495" s="336">
        <v>46122.0</v>
      </c>
      <c r="C5495" s="349" t="s">
        <v>36</v>
      </c>
      <c r="D5495" s="349" t="s">
        <v>1303</v>
      </c>
      <c r="E5495" s="337" t="str">
        <f t="shared" si="1"/>
        <v>共英枚方:ナベ/置場単価</v>
      </c>
      <c r="F5495" s="338" t="s">
        <v>111</v>
      </c>
      <c r="G5495" s="339" t="str">
        <f t="shared" si="2"/>
        <v>共英枚方:ナベ/置場単価Ｈ１(特A)</v>
      </c>
      <c r="H5495" s="340">
        <f t="shared" si="3"/>
        <v>52.5</v>
      </c>
      <c r="I5495" s="341">
        <v>1.5</v>
      </c>
      <c r="J5495" s="332">
        <f>IFERROR(__xludf.DUMMYFUNCTION("IF(IF(COUNTIF(P$2:P5494, P5495)=0, """", INDEX(H$2:H5494,
MAX(FILTER(ROW(H$2:H5494) - ROW(H$2) + 1, P$2:P5494 = P5495))))=""単価"","""",
IF(COUNTIF(P$2:P5494, P5495)=0, """", INDEX(H$2:H5494,
MAX(FILTER(ROW(H$2:H5494) - ROW(H$2) + 1, P$2:P5494 = P5495)))))"),51.0)</f>
        <v>51</v>
      </c>
      <c r="N5495" s="335" t="str">
        <f>IF(MAXIFS('単価履歴'!$O:$O,'単価履歴'!$E:$E,E5495,'単価履歴'!$F:$F,F5495)=O5495,"●","")</f>
        <v>●</v>
      </c>
      <c r="O5495" s="346">
        <v>46122.282326388886</v>
      </c>
      <c r="P5495" s="334" t="str">
        <f t="shared" si="4"/>
        <v>共英枚方:ナベ/置場単価Ｈ１(特A)</v>
      </c>
    </row>
    <row r="5496" ht="15.75" customHeight="1">
      <c r="A5496" s="335" t="s">
        <v>6643</v>
      </c>
      <c r="B5496" s="336">
        <v>46122.0</v>
      </c>
      <c r="C5496" s="349" t="s">
        <v>36</v>
      </c>
      <c r="D5496" s="349" t="s">
        <v>1303</v>
      </c>
      <c r="E5496" s="337" t="str">
        <f t="shared" si="1"/>
        <v>共英枚方:ナベ/置場単価</v>
      </c>
      <c r="F5496" s="338" t="s">
        <v>116</v>
      </c>
      <c r="G5496" s="339" t="str">
        <f t="shared" si="2"/>
        <v>共英枚方:ナベ/置場単価Ｈ２(特級)</v>
      </c>
      <c r="H5496" s="340">
        <f t="shared" si="3"/>
        <v>51</v>
      </c>
      <c r="I5496" s="341">
        <v>1.5</v>
      </c>
      <c r="J5496" s="332">
        <f>IFERROR(__xludf.DUMMYFUNCTION("IF(IF(COUNTIF(P$2:P5495, P5496)=0, """", INDEX(H$2:H5495,
MAX(FILTER(ROW(H$2:H5495) - ROW(H$2) + 1, P$2:P5495 = P5496))))=""単価"","""",
IF(COUNTIF(P$2:P5495, P5496)=0, """", INDEX(H$2:H5495,
MAX(FILTER(ROW(H$2:H5495) - ROW(H$2) + 1, P$2:P5495 = P5496)))))"),49.5)</f>
        <v>49.5</v>
      </c>
      <c r="N5496" s="335" t="str">
        <f>IF(MAXIFS('単価履歴'!$O:$O,'単価履歴'!$E:$E,E5496,'単価履歴'!$F:$F,F5496)=O5496,"●","")</f>
        <v>●</v>
      </c>
      <c r="O5496" s="346">
        <v>46122.282326388886</v>
      </c>
      <c r="P5496" s="334" t="str">
        <f t="shared" si="4"/>
        <v>共英枚方:ナベ/置場単価Ｈ２(特級)</v>
      </c>
    </row>
    <row r="5497" ht="15.75" customHeight="1">
      <c r="A5497" s="335" t="s">
        <v>6644</v>
      </c>
      <c r="B5497" s="336">
        <v>46122.0</v>
      </c>
      <c r="C5497" s="349" t="s">
        <v>36</v>
      </c>
      <c r="D5497" s="349" t="s">
        <v>1303</v>
      </c>
      <c r="E5497" s="337" t="str">
        <f t="shared" si="1"/>
        <v>共英枚方:ナベ/置場単価</v>
      </c>
      <c r="F5497" s="338" t="s">
        <v>119</v>
      </c>
      <c r="G5497" s="339" t="str">
        <f t="shared" si="2"/>
        <v>共英枚方:ナベ/置場単価Ｈ３(1級)</v>
      </c>
      <c r="H5497" s="340">
        <f t="shared" si="3"/>
        <v>51</v>
      </c>
      <c r="I5497" s="341">
        <v>1.5</v>
      </c>
      <c r="J5497" s="332">
        <f>IFERROR(__xludf.DUMMYFUNCTION("IF(IF(COUNTIF(P$2:P5496, P5497)=0, """", INDEX(H$2:H5496,
MAX(FILTER(ROW(H$2:H5496) - ROW(H$2) + 1, P$2:P5496 = P5497))))=""単価"","""",
IF(COUNTIF(P$2:P5496, P5497)=0, """", INDEX(H$2:H5496,
MAX(FILTER(ROW(H$2:H5496) - ROW(H$2) + 1, P$2:P5496 = P5497)))))"),49.5)</f>
        <v>49.5</v>
      </c>
      <c r="N5497" s="335" t="str">
        <f>IF(MAXIFS('単価履歴'!$O:$O,'単価履歴'!$E:$E,E5497,'単価履歴'!$F:$F,F5497)=O5497,"●","")</f>
        <v>●</v>
      </c>
      <c r="O5497" s="346">
        <v>46122.282326388886</v>
      </c>
      <c r="P5497" s="334" t="str">
        <f t="shared" si="4"/>
        <v>共英枚方:ナベ/置場単価Ｈ３(1級)</v>
      </c>
    </row>
    <row r="5498" ht="15.75" customHeight="1">
      <c r="A5498" s="335" t="s">
        <v>6645</v>
      </c>
      <c r="B5498" s="336">
        <v>46122.0</v>
      </c>
      <c r="C5498" s="349" t="s">
        <v>36</v>
      </c>
      <c r="D5498" s="349" t="s">
        <v>1303</v>
      </c>
      <c r="E5498" s="337" t="str">
        <f t="shared" si="1"/>
        <v>共英枚方:ナベ/置場単価</v>
      </c>
      <c r="F5498" s="338" t="s">
        <v>122</v>
      </c>
      <c r="G5498" s="339" t="str">
        <f t="shared" si="2"/>
        <v>共英枚方:ナベ/置場単価Ｌ１(2級)</v>
      </c>
      <c r="H5498" s="340">
        <f t="shared" si="3"/>
        <v>51</v>
      </c>
      <c r="I5498" s="341">
        <v>1.5</v>
      </c>
      <c r="J5498" s="332">
        <f>IFERROR(__xludf.DUMMYFUNCTION("IF(IF(COUNTIF(P$2:P5497, P5498)=0, """", INDEX(H$2:H5497,
MAX(FILTER(ROW(H$2:H5497) - ROW(H$2) + 1, P$2:P5497 = P5498))))=""単価"","""",
IF(COUNTIF(P$2:P5497, P5498)=0, """", INDEX(H$2:H5497,
MAX(FILTER(ROW(H$2:H5497) - ROW(H$2) + 1, P$2:P5497 = P5498)))))"),49.5)</f>
        <v>49.5</v>
      </c>
      <c r="N5498" s="335" t="str">
        <f>IF(MAXIFS('単価履歴'!$O:$O,'単価履歴'!$E:$E,E5498,'単価履歴'!$F:$F,F5498)=O5498,"●","")</f>
        <v>●</v>
      </c>
      <c r="O5498" s="346">
        <v>46122.282326388886</v>
      </c>
      <c r="P5498" s="334" t="str">
        <f t="shared" si="4"/>
        <v>共英枚方:ナベ/置場単価Ｌ１(2級)</v>
      </c>
    </row>
    <row r="5499" ht="15.75" customHeight="1">
      <c r="A5499" s="335" t="s">
        <v>6646</v>
      </c>
      <c r="B5499" s="336">
        <v>46122.0</v>
      </c>
      <c r="C5499" s="349" t="s">
        <v>36</v>
      </c>
      <c r="D5499" s="349" t="s">
        <v>1303</v>
      </c>
      <c r="E5499" s="337" t="str">
        <f t="shared" si="1"/>
        <v>共英枚方:ナベ/置場単価</v>
      </c>
      <c r="F5499" s="338" t="s">
        <v>154</v>
      </c>
      <c r="G5499" s="339" t="str">
        <f t="shared" si="2"/>
        <v>共英枚方:ナベ/置場単価ＣＰ Ａ</v>
      </c>
      <c r="H5499" s="340">
        <f t="shared" si="3"/>
        <v>54.5</v>
      </c>
      <c r="I5499" s="341">
        <v>1.5</v>
      </c>
      <c r="J5499" s="332">
        <f>IFERROR(__xludf.DUMMYFUNCTION("IF(IF(COUNTIF(P$2:P5498, P5499)=0, """", INDEX(H$2:H5498,
MAX(FILTER(ROW(H$2:H5498) - ROW(H$2) + 1, P$2:P5498 = P5499))))=""単価"","""",
IF(COUNTIF(P$2:P5498, P5499)=0, """", INDEX(H$2:H5498,
MAX(FILTER(ROW(H$2:H5498) - ROW(H$2) + 1, P$2:P5498 = P5499)))))"),53.0)</f>
        <v>53</v>
      </c>
      <c r="N5499" s="335" t="str">
        <f>IF(MAXIFS('単価履歴'!$O:$O,'単価履歴'!$E:$E,E5499,'単価履歴'!$F:$F,F5499)=O5499,"●","")</f>
        <v>●</v>
      </c>
      <c r="O5499" s="346">
        <v>46122.282326388886</v>
      </c>
      <c r="P5499" s="334" t="str">
        <f t="shared" si="4"/>
        <v>共英枚方:ナベ/置場単価ＣＰ Ａ</v>
      </c>
    </row>
    <row r="5500" ht="15.75" customHeight="1">
      <c r="A5500" s="335" t="s">
        <v>6647</v>
      </c>
      <c r="B5500" s="336">
        <v>46122.0</v>
      </c>
      <c r="C5500" s="349" t="s">
        <v>12</v>
      </c>
      <c r="D5500" s="349" t="s">
        <v>50</v>
      </c>
      <c r="E5500" s="337" t="str">
        <f t="shared" si="1"/>
        <v>山陽特殊:産振</v>
      </c>
      <c r="F5500" s="338" t="s">
        <v>1199</v>
      </c>
      <c r="G5500" s="339" t="str">
        <f t="shared" si="2"/>
        <v>山陽特殊:産振ＨＳ１(単体H1/電特A/HS))</v>
      </c>
      <c r="H5500" s="340">
        <f t="shared" si="3"/>
        <v>55.6</v>
      </c>
      <c r="I5500" s="341">
        <v>1.5</v>
      </c>
      <c r="J5500" s="332">
        <f>IFERROR(__xludf.DUMMYFUNCTION("IF(IF(COUNTIF(P$2:P5499, P5500)=0, """", INDEX(H$2:H5499,
MAX(FILTER(ROW(H$2:H5499) - ROW(H$2) + 1, P$2:P5499 = P5500))))=""単価"","""",
IF(COUNTIF(P$2:P5499, P5500)=0, """", INDEX(H$2:H5499,
MAX(FILTER(ROW(H$2:H5499) - ROW(H$2) + 1, P$2:P5499 = P5500)))))"),54.1)</f>
        <v>54.1</v>
      </c>
      <c r="N5500" s="335" t="str">
        <f>IF(MAXIFS('単価履歴'!$O:$O,'単価履歴'!$E:$E,E5500,'単価履歴'!$F:$F,F5500)=O5500,"●","")</f>
        <v/>
      </c>
      <c r="O5500" s="346">
        <v>46122.28260416667</v>
      </c>
      <c r="P5500" s="334" t="str">
        <f t="shared" si="4"/>
        <v>山陽特殊:産振ＨＳ１(単体H1/電特A/HS))</v>
      </c>
    </row>
    <row r="5501" ht="15.75" customHeight="1">
      <c r="A5501" s="335" t="s">
        <v>6648</v>
      </c>
      <c r="B5501" s="336">
        <v>46122.0</v>
      </c>
      <c r="C5501" s="349" t="s">
        <v>12</v>
      </c>
      <c r="D5501" s="349" t="s">
        <v>50</v>
      </c>
      <c r="E5501" s="337" t="str">
        <f t="shared" si="1"/>
        <v>山陽特殊:産振</v>
      </c>
      <c r="F5501" s="338" t="s">
        <v>101</v>
      </c>
      <c r="G5501" s="339" t="str">
        <f t="shared" si="2"/>
        <v>山陽特殊:産振ＨＳ２</v>
      </c>
      <c r="H5501" s="340">
        <f t="shared" si="3"/>
        <v>55.4</v>
      </c>
      <c r="I5501" s="341">
        <v>1.5</v>
      </c>
      <c r="J5501" s="332">
        <f>IFERROR(__xludf.DUMMYFUNCTION("IF(IF(COUNTIF(P$2:P5500, P5501)=0, """", INDEX(H$2:H5500,
MAX(FILTER(ROW(H$2:H5500) - ROW(H$2) + 1, P$2:P5500 = P5501))))=""単価"","""",
IF(COUNTIF(P$2:P5500, P5501)=0, """", INDEX(H$2:H5500,
MAX(FILTER(ROW(H$2:H5500) - ROW(H$2) + 1, P$2:P5500 = P5501)))))"),53.9)</f>
        <v>53.9</v>
      </c>
      <c r="N5501" s="335" t="str">
        <f>IF(MAXIFS('単価履歴'!$O:$O,'単価履歴'!$E:$E,E5501,'単価履歴'!$F:$F,F5501)=O5501,"●","")</f>
        <v/>
      </c>
      <c r="O5501" s="346">
        <v>46122.28260416667</v>
      </c>
      <c r="P5501" s="334" t="str">
        <f t="shared" si="4"/>
        <v>山陽特殊:産振ＨＳ２</v>
      </c>
    </row>
    <row r="5502" ht="15.75" customHeight="1">
      <c r="A5502" s="335" t="s">
        <v>6649</v>
      </c>
      <c r="B5502" s="336">
        <v>46122.0</v>
      </c>
      <c r="C5502" s="349" t="s">
        <v>12</v>
      </c>
      <c r="D5502" s="349" t="s">
        <v>50</v>
      </c>
      <c r="E5502" s="337" t="str">
        <f t="shared" si="1"/>
        <v>山陽特殊:産振</v>
      </c>
      <c r="F5502" s="338" t="s">
        <v>105</v>
      </c>
      <c r="G5502" s="339" t="str">
        <f t="shared" si="2"/>
        <v>山陽特殊:産振ＨＳ３</v>
      </c>
      <c r="H5502" s="340">
        <f t="shared" si="3"/>
        <v>53.4</v>
      </c>
      <c r="I5502" s="341">
        <v>1.5</v>
      </c>
      <c r="J5502" s="332">
        <f>IFERROR(__xludf.DUMMYFUNCTION("IF(IF(COUNTIF(P$2:P5501, P5502)=0, """", INDEX(H$2:H5501,
MAX(FILTER(ROW(H$2:H5501) - ROW(H$2) + 1, P$2:P5501 = P5502))))=""単価"","""",
IF(COUNTIF(P$2:P5501, P5502)=0, """", INDEX(H$2:H5501,
MAX(FILTER(ROW(H$2:H5501) - ROW(H$2) + 1, P$2:P5501 = P5502)))))"),51.9)</f>
        <v>51.9</v>
      </c>
      <c r="N5502" s="335" t="str">
        <f>IF(MAXIFS('単価履歴'!$O:$O,'単価履歴'!$E:$E,E5502,'単価履歴'!$F:$F,F5502)=O5502,"●","")</f>
        <v/>
      </c>
      <c r="O5502" s="346">
        <v>46122.28260416667</v>
      </c>
      <c r="P5502" s="334" t="str">
        <f t="shared" si="4"/>
        <v>山陽特殊:産振ＨＳ３</v>
      </c>
    </row>
    <row r="5503" ht="15.75" customHeight="1">
      <c r="A5503" s="335" t="s">
        <v>6650</v>
      </c>
      <c r="B5503" s="336">
        <v>46122.0</v>
      </c>
      <c r="C5503" s="349" t="s">
        <v>12</v>
      </c>
      <c r="D5503" s="349" t="s">
        <v>53</v>
      </c>
      <c r="E5503" s="337" t="str">
        <f t="shared" si="1"/>
        <v>山陽特殊:MM</v>
      </c>
      <c r="F5503" s="338" t="s">
        <v>1199</v>
      </c>
      <c r="G5503" s="339" t="str">
        <f t="shared" si="2"/>
        <v>山陽特殊:MMＨＳ１(単体H1/電特A/HS))</v>
      </c>
      <c r="H5503" s="340">
        <f t="shared" si="3"/>
        <v>58.5</v>
      </c>
      <c r="I5503" s="341">
        <v>1.5</v>
      </c>
      <c r="J5503" s="332">
        <f>IFERROR(__xludf.DUMMYFUNCTION("IF(IF(COUNTIF(P$2:P5502, P5503)=0, """", INDEX(H$2:H5502,
MAX(FILTER(ROW(H$2:H5502) - ROW(H$2) + 1, P$2:P5502 = P5503))))=""単価"","""",
IF(COUNTIF(P$2:P5502, P5503)=0, """", INDEX(H$2:H5502,
MAX(FILTER(ROW(H$2:H5502) - ROW(H$2) + 1, P$2:P5502 = P5503)))))"),57.0)</f>
        <v>57</v>
      </c>
      <c r="N5503" s="335" t="str">
        <f>IF(MAXIFS('単価履歴'!$O:$O,'単価履歴'!$E:$E,E5503,'単価履歴'!$F:$F,F5503)=O5503,"●","")</f>
        <v/>
      </c>
      <c r="O5503" s="346">
        <v>46122.2828125</v>
      </c>
      <c r="P5503" s="334" t="str">
        <f t="shared" si="4"/>
        <v>山陽特殊:MMＨＳ１(単体H1/電特A/HS))</v>
      </c>
    </row>
    <row r="5504" ht="15.75" customHeight="1">
      <c r="A5504" s="335" t="s">
        <v>6651</v>
      </c>
      <c r="B5504" s="336">
        <v>46122.0</v>
      </c>
      <c r="C5504" s="349" t="s">
        <v>12</v>
      </c>
      <c r="D5504" s="349" t="s">
        <v>53</v>
      </c>
      <c r="E5504" s="337" t="str">
        <f t="shared" si="1"/>
        <v>山陽特殊:MM</v>
      </c>
      <c r="F5504" s="338" t="s">
        <v>101</v>
      </c>
      <c r="G5504" s="339" t="str">
        <f t="shared" si="2"/>
        <v>山陽特殊:MMＨＳ２</v>
      </c>
      <c r="H5504" s="340">
        <f t="shared" si="3"/>
        <v>58.3</v>
      </c>
      <c r="I5504" s="341">
        <v>1.5</v>
      </c>
      <c r="J5504" s="332">
        <f>IFERROR(__xludf.DUMMYFUNCTION("IF(IF(COUNTIF(P$2:P5503, P5504)=0, """", INDEX(H$2:H5503,
MAX(FILTER(ROW(H$2:H5503) - ROW(H$2) + 1, P$2:P5503 = P5504))))=""単価"","""",
IF(COUNTIF(P$2:P5503, P5504)=0, """", INDEX(H$2:H5503,
MAX(FILTER(ROW(H$2:H5503) - ROW(H$2) + 1, P$2:P5503 = P5504)))))"),56.8)</f>
        <v>56.8</v>
      </c>
      <c r="N5504" s="335" t="str">
        <f>IF(MAXIFS('単価履歴'!$O:$O,'単価履歴'!$E:$E,E5504,'単価履歴'!$F:$F,F5504)=O5504,"●","")</f>
        <v/>
      </c>
      <c r="O5504" s="346">
        <v>46122.2828125</v>
      </c>
      <c r="P5504" s="334" t="str">
        <f t="shared" si="4"/>
        <v>山陽特殊:MMＨＳ２</v>
      </c>
    </row>
    <row r="5505" ht="15.75" customHeight="1">
      <c r="A5505" s="335" t="s">
        <v>6652</v>
      </c>
      <c r="B5505" s="336">
        <v>46122.0</v>
      </c>
      <c r="C5505" s="349" t="s">
        <v>12</v>
      </c>
      <c r="D5505" s="349" t="s">
        <v>53</v>
      </c>
      <c r="E5505" s="337" t="str">
        <f t="shared" si="1"/>
        <v>山陽特殊:MM</v>
      </c>
      <c r="F5505" s="338" t="s">
        <v>105</v>
      </c>
      <c r="G5505" s="339" t="str">
        <f t="shared" si="2"/>
        <v>山陽特殊:MMＨＳ３</v>
      </c>
      <c r="H5505" s="340">
        <f t="shared" si="3"/>
        <v>56.3</v>
      </c>
      <c r="I5505" s="341">
        <v>1.5</v>
      </c>
      <c r="J5505" s="332">
        <f>IFERROR(__xludf.DUMMYFUNCTION("IF(IF(COUNTIF(P$2:P5504, P5505)=0, """", INDEX(H$2:H5504,
MAX(FILTER(ROW(H$2:H5504) - ROW(H$2) + 1, P$2:P5504 = P5505))))=""単価"","""",
IF(COUNTIF(P$2:P5504, P5505)=0, """", INDEX(H$2:H5504,
MAX(FILTER(ROW(H$2:H5504) - ROW(H$2) + 1, P$2:P5504 = P5505)))))"),54.8)</f>
        <v>54.8</v>
      </c>
      <c r="N5505" s="335" t="str">
        <f>IF(MAXIFS('単価履歴'!$O:$O,'単価履歴'!$E:$E,E5505,'単価履歴'!$F:$F,F5505)=O5505,"●","")</f>
        <v/>
      </c>
      <c r="O5505" s="346">
        <v>46122.2828125</v>
      </c>
      <c r="P5505" s="334" t="str">
        <f t="shared" si="4"/>
        <v>山陽特殊:MMＨＳ３</v>
      </c>
    </row>
    <row r="5506" ht="15.75" customHeight="1">
      <c r="A5506" s="335" t="s">
        <v>6653</v>
      </c>
      <c r="B5506" s="336">
        <v>46122.0</v>
      </c>
      <c r="C5506" s="349" t="s">
        <v>12</v>
      </c>
      <c r="D5506" s="349" t="s">
        <v>53</v>
      </c>
      <c r="E5506" s="337" t="str">
        <f t="shared" si="1"/>
        <v>山陽特殊:MM</v>
      </c>
      <c r="F5506" s="338" t="s">
        <v>122</v>
      </c>
      <c r="G5506" s="339" t="str">
        <f t="shared" si="2"/>
        <v>山陽特殊:MMＬ１(2級)</v>
      </c>
      <c r="H5506" s="340">
        <f t="shared" si="3"/>
        <v>14.5</v>
      </c>
      <c r="I5506" s="341">
        <v>1.5</v>
      </c>
      <c r="J5506" s="332">
        <f>IFERROR(__xludf.DUMMYFUNCTION("IF(IF(COUNTIF(P$2:P5505, P5506)=0, """", INDEX(H$2:H5505,
MAX(FILTER(ROW(H$2:H5505) - ROW(H$2) + 1, P$2:P5505 = P5506))))=""単価"","""",
IF(COUNTIF(P$2:P5505, P5506)=0, """", INDEX(H$2:H5505,
MAX(FILTER(ROW(H$2:H5505) - ROW(H$2) + 1, P$2:P5505 = P5506)))))"),13.0)</f>
        <v>13</v>
      </c>
      <c r="N5506" s="335" t="str">
        <f>IF(MAXIFS('単価履歴'!$O:$O,'単価履歴'!$E:$E,E5506,'単価履歴'!$F:$F,F5506)=O5506,"●","")</f>
        <v/>
      </c>
      <c r="O5506" s="346">
        <v>46122.2828125</v>
      </c>
      <c r="P5506" s="334" t="str">
        <f t="shared" si="4"/>
        <v>山陽特殊:MMＬ１(2級)</v>
      </c>
    </row>
    <row r="5507" ht="15.75" customHeight="1">
      <c r="A5507" s="335" t="s">
        <v>6654</v>
      </c>
      <c r="B5507" s="336">
        <v>46122.0</v>
      </c>
      <c r="C5507" s="349" t="s">
        <v>12</v>
      </c>
      <c r="D5507" s="349" t="s">
        <v>53</v>
      </c>
      <c r="E5507" s="337" t="str">
        <f t="shared" si="1"/>
        <v>山陽特殊:MM</v>
      </c>
      <c r="F5507" s="338" t="s">
        <v>130</v>
      </c>
      <c r="G5507" s="339" t="str">
        <f t="shared" si="2"/>
        <v>山陽特殊:MM新断Ａ</v>
      </c>
      <c r="H5507" s="340">
        <f t="shared" si="3"/>
        <v>58</v>
      </c>
      <c r="I5507" s="341">
        <v>1.5</v>
      </c>
      <c r="J5507" s="332">
        <f>IFERROR(__xludf.DUMMYFUNCTION("IF(IF(COUNTIF(P$2:P5506, P5507)=0, """", INDEX(H$2:H5506,
MAX(FILTER(ROW(H$2:H5506) - ROW(H$2) + 1, P$2:P5506 = P5507))))=""単価"","""",
IF(COUNTIF(P$2:P5506, P5507)=0, """", INDEX(H$2:H5506,
MAX(FILTER(ROW(H$2:H5506) - ROW(H$2) + 1, P$2:P5506 = P5507)))))"),56.5)</f>
        <v>56.5</v>
      </c>
      <c r="N5507" s="335" t="str">
        <f>IF(MAXIFS('単価履歴'!$O:$O,'単価履歴'!$E:$E,E5507,'単価履歴'!$F:$F,F5507)=O5507,"●","")</f>
        <v/>
      </c>
      <c r="O5507" s="346">
        <v>46122.2828125</v>
      </c>
      <c r="P5507" s="334" t="str">
        <f t="shared" si="4"/>
        <v>山陽特殊:MM新断Ａ</v>
      </c>
    </row>
    <row r="5508" ht="15.75" customHeight="1">
      <c r="A5508" s="335" t="s">
        <v>6655</v>
      </c>
      <c r="B5508" s="336">
        <v>46122.0</v>
      </c>
      <c r="C5508" s="349" t="s">
        <v>12</v>
      </c>
      <c r="D5508" s="349" t="s">
        <v>53</v>
      </c>
      <c r="E5508" s="337" t="str">
        <f t="shared" si="1"/>
        <v>山陽特殊:MM</v>
      </c>
      <c r="F5508" s="338" t="s">
        <v>131</v>
      </c>
      <c r="G5508" s="339" t="str">
        <f t="shared" si="2"/>
        <v>山陽特殊:MM新断Ｂ</v>
      </c>
      <c r="H5508" s="340">
        <f t="shared" si="3"/>
        <v>57</v>
      </c>
      <c r="I5508" s="341">
        <v>1.5</v>
      </c>
      <c r="J5508" s="332">
        <f>IFERROR(__xludf.DUMMYFUNCTION("IF(IF(COUNTIF(P$2:P5507, P5508)=0, """", INDEX(H$2:H5507,
MAX(FILTER(ROW(H$2:H5507) - ROW(H$2) + 1, P$2:P5507 = P5508))))=""単価"","""",
IF(COUNTIF(P$2:P5507, P5508)=0, """", INDEX(H$2:H5507,
MAX(FILTER(ROW(H$2:H5507) - ROW(H$2) + 1, P$2:P5507 = P5508)))))"),55.5)</f>
        <v>55.5</v>
      </c>
      <c r="N5508" s="335" t="str">
        <f>IF(MAXIFS('単価履歴'!$O:$O,'単価履歴'!$E:$E,E5508,'単価履歴'!$F:$F,F5508)=O5508,"●","")</f>
        <v/>
      </c>
      <c r="O5508" s="346">
        <v>46122.2828125</v>
      </c>
      <c r="P5508" s="334" t="str">
        <f t="shared" si="4"/>
        <v>山陽特殊:MM新断Ｂ</v>
      </c>
    </row>
    <row r="5509" ht="15.75" customHeight="1">
      <c r="A5509" s="335" t="s">
        <v>6656</v>
      </c>
      <c r="B5509" s="336">
        <v>46122.0</v>
      </c>
      <c r="C5509" s="349" t="s">
        <v>12</v>
      </c>
      <c r="D5509" s="349" t="s">
        <v>53</v>
      </c>
      <c r="E5509" s="337" t="str">
        <f t="shared" si="1"/>
        <v>山陽特殊:MM</v>
      </c>
      <c r="F5509" s="338" t="s">
        <v>574</v>
      </c>
      <c r="G5509" s="339" t="str">
        <f t="shared" si="2"/>
        <v>山陽特殊:MM新断Ｃ</v>
      </c>
      <c r="H5509" s="340">
        <f t="shared" si="3"/>
        <v>55.7</v>
      </c>
      <c r="I5509" s="341">
        <v>1.5</v>
      </c>
      <c r="J5509" s="332">
        <f>IFERROR(__xludf.DUMMYFUNCTION("IF(IF(COUNTIF(P$2:P5508, P5509)=0, """", INDEX(H$2:H5508,
MAX(FILTER(ROW(H$2:H5508) - ROW(H$2) + 1, P$2:P5508 = P5509))))=""単価"","""",
IF(COUNTIF(P$2:P5508, P5509)=0, """", INDEX(H$2:H5508,
MAX(FILTER(ROW(H$2:H5508) - ROW(H$2) + 1, P$2:P5508 = P5509)))))"),54.199999999999996)</f>
        <v>54.2</v>
      </c>
      <c r="N5509" s="335" t="str">
        <f>IF(MAXIFS('単価履歴'!$O:$O,'単価履歴'!$E:$E,E5509,'単価履歴'!$F:$F,F5509)=O5509,"●","")</f>
        <v/>
      </c>
      <c r="O5509" s="346">
        <v>46122.2828125</v>
      </c>
      <c r="P5509" s="334" t="str">
        <f t="shared" si="4"/>
        <v>山陽特殊:MM新断Ｃ</v>
      </c>
    </row>
    <row r="5510" ht="15.75" customHeight="1">
      <c r="A5510" s="335" t="s">
        <v>6657</v>
      </c>
      <c r="B5510" s="336">
        <v>46122.0</v>
      </c>
      <c r="C5510" s="349" t="s">
        <v>12</v>
      </c>
      <c r="D5510" s="349" t="s">
        <v>541</v>
      </c>
      <c r="E5510" s="337" t="str">
        <f t="shared" si="1"/>
        <v>山陽特殊:大同</v>
      </c>
      <c r="F5510" s="338" t="s">
        <v>1199</v>
      </c>
      <c r="G5510" s="339" t="str">
        <f t="shared" si="2"/>
        <v>山陽特殊:大同ＨＳ１(単体H1/電特A/HS))</v>
      </c>
      <c r="H5510" s="340">
        <f t="shared" si="3"/>
        <v>58.7</v>
      </c>
      <c r="I5510" s="341">
        <v>1.5</v>
      </c>
      <c r="J5510" s="332">
        <f>IFERROR(__xludf.DUMMYFUNCTION("IF(IF(COUNTIF(P$2:P5509, P5510)=0, """", INDEX(H$2:H5509,
MAX(FILTER(ROW(H$2:H5509) - ROW(H$2) + 1, P$2:P5509 = P5510))))=""単価"","""",
IF(COUNTIF(P$2:P5509, P5510)=0, """", INDEX(H$2:H5509,
MAX(FILTER(ROW(H$2:H5509) - ROW(H$2) + 1, P$2:P5509 = P5510)))))"),57.2)</f>
        <v>57.2</v>
      </c>
      <c r="N5510" s="335" t="str">
        <f>IF(MAXIFS('単価履歴'!$O:$O,'単価履歴'!$E:$E,E5510,'単価履歴'!$F:$F,F5510)=O5510,"●","")</f>
        <v/>
      </c>
      <c r="O5510" s="346">
        <v>46122.28298611111</v>
      </c>
      <c r="P5510" s="334" t="str">
        <f t="shared" si="4"/>
        <v>山陽特殊:大同ＨＳ１(単体H1/電特A/HS))</v>
      </c>
    </row>
    <row r="5511" ht="15.75" customHeight="1">
      <c r="A5511" s="335" t="s">
        <v>6658</v>
      </c>
      <c r="B5511" s="336">
        <v>46122.0</v>
      </c>
      <c r="C5511" s="349" t="s">
        <v>12</v>
      </c>
      <c r="D5511" s="349" t="s">
        <v>541</v>
      </c>
      <c r="E5511" s="337" t="str">
        <f t="shared" si="1"/>
        <v>山陽特殊:大同</v>
      </c>
      <c r="F5511" s="338" t="s">
        <v>101</v>
      </c>
      <c r="G5511" s="339" t="str">
        <f t="shared" si="2"/>
        <v>山陽特殊:大同ＨＳ２</v>
      </c>
      <c r="H5511" s="340">
        <f t="shared" si="3"/>
        <v>58.5</v>
      </c>
      <c r="I5511" s="341">
        <v>1.5</v>
      </c>
      <c r="J5511" s="332">
        <f>IFERROR(__xludf.DUMMYFUNCTION("IF(IF(COUNTIF(P$2:P5510, P5511)=0, """", INDEX(H$2:H5510,
MAX(FILTER(ROW(H$2:H5510) - ROW(H$2) + 1, P$2:P5510 = P5511))))=""単価"","""",
IF(COUNTIF(P$2:P5510, P5511)=0, """", INDEX(H$2:H5510,
MAX(FILTER(ROW(H$2:H5510) - ROW(H$2) + 1, P$2:P5510 = P5511)))))"),57.0)</f>
        <v>57</v>
      </c>
      <c r="N5511" s="335" t="str">
        <f>IF(MAXIFS('単価履歴'!$O:$O,'単価履歴'!$E:$E,E5511,'単価履歴'!$F:$F,F5511)=O5511,"●","")</f>
        <v/>
      </c>
      <c r="O5511" s="346">
        <v>46122.28298611111</v>
      </c>
      <c r="P5511" s="334" t="str">
        <f t="shared" si="4"/>
        <v>山陽特殊:大同ＨＳ２</v>
      </c>
    </row>
    <row r="5512" ht="15.75" customHeight="1">
      <c r="A5512" s="335" t="s">
        <v>6659</v>
      </c>
      <c r="B5512" s="336">
        <v>46122.0</v>
      </c>
      <c r="C5512" s="349" t="s">
        <v>12</v>
      </c>
      <c r="D5512" s="349" t="s">
        <v>541</v>
      </c>
      <c r="E5512" s="337" t="str">
        <f t="shared" si="1"/>
        <v>山陽特殊:大同</v>
      </c>
      <c r="F5512" s="338" t="s">
        <v>105</v>
      </c>
      <c r="G5512" s="339" t="str">
        <f t="shared" si="2"/>
        <v>山陽特殊:大同ＨＳ３</v>
      </c>
      <c r="H5512" s="340">
        <f t="shared" si="3"/>
        <v>56.5</v>
      </c>
      <c r="I5512" s="341">
        <v>1.5</v>
      </c>
      <c r="J5512" s="332">
        <f>IFERROR(__xludf.DUMMYFUNCTION("IF(IF(COUNTIF(P$2:P5511, P5512)=0, """", INDEX(H$2:H5511,
MAX(FILTER(ROW(H$2:H5511) - ROW(H$2) + 1, P$2:P5511 = P5512))))=""単価"","""",
IF(COUNTIF(P$2:P5511, P5512)=0, """", INDEX(H$2:H5511,
MAX(FILTER(ROW(H$2:H5511) - ROW(H$2) + 1, P$2:P5511 = P5512)))))"),55.0)</f>
        <v>55</v>
      </c>
      <c r="N5512" s="335" t="str">
        <f>IF(MAXIFS('単価履歴'!$O:$O,'単価履歴'!$E:$E,E5512,'単価履歴'!$F:$F,F5512)=O5512,"●","")</f>
        <v/>
      </c>
      <c r="O5512" s="346">
        <v>46122.28298611111</v>
      </c>
      <c r="P5512" s="334" t="str">
        <f t="shared" si="4"/>
        <v>山陽特殊:大同ＨＳ３</v>
      </c>
    </row>
    <row r="5513" ht="15.75" customHeight="1">
      <c r="A5513" s="335" t="s">
        <v>6660</v>
      </c>
      <c r="B5513" s="336">
        <v>46122.0</v>
      </c>
      <c r="C5513" s="349" t="s">
        <v>28</v>
      </c>
      <c r="D5513" s="349" t="s">
        <v>52</v>
      </c>
      <c r="E5513" s="337" t="str">
        <f t="shared" si="1"/>
        <v>ＪＦＥ条鋼:リバイブ</v>
      </c>
      <c r="F5513" s="338" t="s">
        <v>111</v>
      </c>
      <c r="G5513" s="339" t="str">
        <f t="shared" si="2"/>
        <v>ＪＦＥ条鋼:リバイブＨ１(特A)</v>
      </c>
      <c r="H5513" s="340">
        <f t="shared" si="3"/>
        <v>54</v>
      </c>
      <c r="I5513" s="341">
        <v>1.5</v>
      </c>
      <c r="J5513" s="332">
        <f>IFERROR(__xludf.DUMMYFUNCTION("IF(IF(COUNTIF(P$2:P5512, P5513)=0, """", INDEX(H$2:H5512,
MAX(FILTER(ROW(H$2:H5512) - ROW(H$2) + 1, P$2:P5512 = P5513))))=""単価"","""",
IF(COUNTIF(P$2:P5512, P5513)=0, """", INDEX(H$2:H5512,
MAX(FILTER(ROW(H$2:H5512) - ROW(H$2) + 1, P$2:P5512 = P5513)))))"),52.5)</f>
        <v>52.5</v>
      </c>
      <c r="N5513" s="335" t="str">
        <f>IF(MAXIFS('単価履歴'!$O:$O,'単価履歴'!$E:$E,E5513,'単価履歴'!$F:$F,F5513)=O5513,"●","")</f>
        <v>●</v>
      </c>
      <c r="O5513" s="346">
        <v>46122.28459490741</v>
      </c>
      <c r="P5513" s="334" t="str">
        <f t="shared" si="4"/>
        <v>ＪＦＥ条鋼:リバイブＨ１(特A)</v>
      </c>
    </row>
    <row r="5514" ht="15.75" customHeight="1">
      <c r="A5514" s="335" t="s">
        <v>6661</v>
      </c>
      <c r="B5514" s="336">
        <v>46122.0</v>
      </c>
      <c r="C5514" s="349" t="s">
        <v>28</v>
      </c>
      <c r="D5514" s="349" t="s">
        <v>52</v>
      </c>
      <c r="E5514" s="337" t="str">
        <f t="shared" si="1"/>
        <v>ＪＦＥ条鋼:リバイブ</v>
      </c>
      <c r="F5514" s="338" t="s">
        <v>116</v>
      </c>
      <c r="G5514" s="339" t="str">
        <f t="shared" si="2"/>
        <v>ＪＦＥ条鋼:リバイブＨ２(特級)</v>
      </c>
      <c r="H5514" s="340">
        <f t="shared" si="3"/>
        <v>54</v>
      </c>
      <c r="I5514" s="341">
        <v>1.5</v>
      </c>
      <c r="J5514" s="332">
        <f>IFERROR(__xludf.DUMMYFUNCTION("IF(IF(COUNTIF(P$2:P5513, P5514)=0, """", INDEX(H$2:H5513,
MAX(FILTER(ROW(H$2:H5513) - ROW(H$2) + 1, P$2:P5513 = P5514))))=""単価"","""",
IF(COUNTIF(P$2:P5513, P5514)=0, """", INDEX(H$2:H5513,
MAX(FILTER(ROW(H$2:H5513) - ROW(H$2) + 1, P$2:P5513 = P5514)))))"),52.5)</f>
        <v>52.5</v>
      </c>
      <c r="N5514" s="335" t="str">
        <f>IF(MAXIFS('単価履歴'!$O:$O,'単価履歴'!$E:$E,E5514,'単価履歴'!$F:$F,F5514)=O5514,"●","")</f>
        <v>●</v>
      </c>
      <c r="O5514" s="346">
        <v>46122.28459490741</v>
      </c>
      <c r="P5514" s="334" t="str">
        <f t="shared" si="4"/>
        <v>ＪＦＥ条鋼:リバイブＨ２(特級)</v>
      </c>
    </row>
    <row r="5515" ht="15.75" customHeight="1">
      <c r="A5515" s="335" t="s">
        <v>6662</v>
      </c>
      <c r="B5515" s="336">
        <v>46122.0</v>
      </c>
      <c r="C5515" s="349" t="s">
        <v>28</v>
      </c>
      <c r="D5515" s="349" t="s">
        <v>52</v>
      </c>
      <c r="E5515" s="337" t="str">
        <f t="shared" si="1"/>
        <v>ＪＦＥ条鋼:リバイブ</v>
      </c>
      <c r="F5515" s="338" t="s">
        <v>119</v>
      </c>
      <c r="G5515" s="339" t="str">
        <f t="shared" si="2"/>
        <v>ＪＦＥ条鋼:リバイブＨ３(1級)</v>
      </c>
      <c r="H5515" s="340">
        <f t="shared" si="3"/>
        <v>53</v>
      </c>
      <c r="I5515" s="341">
        <v>1.5</v>
      </c>
      <c r="J5515" s="332">
        <f>IFERROR(__xludf.DUMMYFUNCTION("IF(IF(COUNTIF(P$2:P5514, P5515)=0, """", INDEX(H$2:H5514,
MAX(FILTER(ROW(H$2:H5514) - ROW(H$2) + 1, P$2:P5514 = P5515))))=""単価"","""",
IF(COUNTIF(P$2:P5514, P5515)=0, """", INDEX(H$2:H5514,
MAX(FILTER(ROW(H$2:H5514) - ROW(H$2) + 1, P$2:P5514 = P5515)))))"),51.5)</f>
        <v>51.5</v>
      </c>
      <c r="N5515" s="335" t="str">
        <f>IF(MAXIFS('単価履歴'!$O:$O,'単価履歴'!$E:$E,E5515,'単価履歴'!$F:$F,F5515)=O5515,"●","")</f>
        <v>●</v>
      </c>
      <c r="O5515" s="346">
        <v>46122.28459490741</v>
      </c>
      <c r="P5515" s="334" t="str">
        <f t="shared" si="4"/>
        <v>ＪＦＥ条鋼:リバイブＨ３(1級)</v>
      </c>
    </row>
    <row r="5516" ht="15.75" customHeight="1">
      <c r="A5516" s="335" t="s">
        <v>6663</v>
      </c>
      <c r="B5516" s="336">
        <v>46122.0</v>
      </c>
      <c r="C5516" s="349" t="s">
        <v>28</v>
      </c>
      <c r="D5516" s="349" t="s">
        <v>52</v>
      </c>
      <c r="E5516" s="337" t="str">
        <f t="shared" si="1"/>
        <v>ＪＦＥ条鋼:リバイブ</v>
      </c>
      <c r="F5516" s="338" t="s">
        <v>122</v>
      </c>
      <c r="G5516" s="339" t="str">
        <f t="shared" si="2"/>
        <v>ＪＦＥ条鋼:リバイブＬ１(2級)</v>
      </c>
      <c r="H5516" s="340">
        <f t="shared" si="3"/>
        <v>50</v>
      </c>
      <c r="I5516" s="341">
        <v>1.5</v>
      </c>
      <c r="J5516" s="332">
        <f>IFERROR(__xludf.DUMMYFUNCTION("IF(IF(COUNTIF(P$2:P5515, P5516)=0, """", INDEX(H$2:H5515,
MAX(FILTER(ROW(H$2:H5515) - ROW(H$2) + 1, P$2:P5515 = P5516))))=""単価"","""",
IF(COUNTIF(P$2:P5515, P5516)=0, """", INDEX(H$2:H5515,
MAX(FILTER(ROW(H$2:H5515) - ROW(H$2) + 1, P$2:P5515 = P5516)))))"),48.5)</f>
        <v>48.5</v>
      </c>
      <c r="N5516" s="335" t="str">
        <f>IF(MAXIFS('単価履歴'!$O:$O,'単価履歴'!$E:$E,E5516,'単価履歴'!$F:$F,F5516)=O5516,"●","")</f>
        <v>●</v>
      </c>
      <c r="O5516" s="346">
        <v>46122.28459490741</v>
      </c>
      <c r="P5516" s="334" t="str">
        <f t="shared" si="4"/>
        <v>ＪＦＥ条鋼:リバイブＬ１(2級)</v>
      </c>
    </row>
    <row r="5517" ht="15.75" customHeight="1">
      <c r="A5517" s="335" t="s">
        <v>6664</v>
      </c>
      <c r="B5517" s="336">
        <v>46122.0</v>
      </c>
      <c r="C5517" s="349" t="s">
        <v>28</v>
      </c>
      <c r="D5517" s="349" t="s">
        <v>52</v>
      </c>
      <c r="E5517" s="337" t="str">
        <f t="shared" si="1"/>
        <v>ＪＦＥ条鋼:リバイブ</v>
      </c>
      <c r="F5517" s="338" t="s">
        <v>573</v>
      </c>
      <c r="G5517" s="339" t="str">
        <f t="shared" si="2"/>
        <v>ＪＦＥ条鋼:リバイブＬ２(H4･級外･L1ﾊﾞﾗ)</v>
      </c>
      <c r="H5517" s="340">
        <f t="shared" si="3"/>
        <v>43</v>
      </c>
      <c r="I5517" s="341">
        <v>1.5</v>
      </c>
      <c r="J5517" s="332">
        <f>IFERROR(__xludf.DUMMYFUNCTION("IF(IF(COUNTIF(P$2:P5516, P5517)=0, """", INDEX(H$2:H5516,
MAX(FILTER(ROW(H$2:H5516) - ROW(H$2) + 1, P$2:P5516 = P5517))))=""単価"","""",
IF(COUNTIF(P$2:P5516, P5517)=0, """", INDEX(H$2:H5516,
MAX(FILTER(ROW(H$2:H5516) - ROW(H$2) + 1, P$2:P5516 = P5517)))))"),41.5)</f>
        <v>41.5</v>
      </c>
      <c r="N5517" s="335" t="str">
        <f>IF(MAXIFS('単価履歴'!$O:$O,'単価履歴'!$E:$E,E5517,'単価履歴'!$F:$F,F5517)=O5517,"●","")</f>
        <v>●</v>
      </c>
      <c r="O5517" s="346">
        <v>46122.28459490741</v>
      </c>
      <c r="P5517" s="334" t="str">
        <f t="shared" si="4"/>
        <v>ＪＦＥ条鋼:リバイブＬ２(H4･級外･L1ﾊﾞﾗ)</v>
      </c>
    </row>
    <row r="5518" ht="15.75" customHeight="1">
      <c r="A5518" s="335" t="s">
        <v>6665</v>
      </c>
      <c r="B5518" s="336">
        <v>46122.0</v>
      </c>
      <c r="C5518" s="349" t="s">
        <v>28</v>
      </c>
      <c r="D5518" s="349" t="s">
        <v>52</v>
      </c>
      <c r="E5518" s="337" t="str">
        <f t="shared" si="1"/>
        <v>ＪＦＥ条鋼:リバイブ</v>
      </c>
      <c r="F5518" s="338" t="s">
        <v>130</v>
      </c>
      <c r="G5518" s="339" t="str">
        <f t="shared" si="2"/>
        <v>ＪＦＥ条鋼:リバイブ新断Ａ</v>
      </c>
      <c r="H5518" s="340">
        <f t="shared" si="3"/>
        <v>56.5</v>
      </c>
      <c r="I5518" s="341">
        <v>1.5</v>
      </c>
      <c r="J5518" s="332">
        <f>IFERROR(__xludf.DUMMYFUNCTION("IF(IF(COUNTIF(P$2:P5517, P5518)=0, """", INDEX(H$2:H5517,
MAX(FILTER(ROW(H$2:H5517) - ROW(H$2) + 1, P$2:P5517 = P5518))))=""単価"","""",
IF(COUNTIF(P$2:P5517, P5518)=0, """", INDEX(H$2:H5517,
MAX(FILTER(ROW(H$2:H5517) - ROW(H$2) + 1, P$2:P5517 = P5518)))))"),55.0)</f>
        <v>55</v>
      </c>
      <c r="N5518" s="335" t="str">
        <f>IF(MAXIFS('単価履歴'!$O:$O,'単価履歴'!$E:$E,E5518,'単価履歴'!$F:$F,F5518)=O5518,"●","")</f>
        <v>●</v>
      </c>
      <c r="O5518" s="346">
        <v>46122.28459490741</v>
      </c>
      <c r="P5518" s="334" t="str">
        <f t="shared" si="4"/>
        <v>ＪＦＥ条鋼:リバイブ新断Ａ</v>
      </c>
    </row>
    <row r="5519" ht="15.75" customHeight="1">
      <c r="A5519" s="335" t="s">
        <v>6666</v>
      </c>
      <c r="B5519" s="336">
        <v>46122.0</v>
      </c>
      <c r="C5519" s="349" t="s">
        <v>28</v>
      </c>
      <c r="D5519" s="349" t="s">
        <v>52</v>
      </c>
      <c r="E5519" s="337" t="str">
        <f t="shared" si="1"/>
        <v>ＪＦＥ条鋼:リバイブ</v>
      </c>
      <c r="F5519" s="338" t="s">
        <v>131</v>
      </c>
      <c r="G5519" s="339" t="str">
        <f t="shared" si="2"/>
        <v>ＪＦＥ条鋼:リバイブ新断Ｂ</v>
      </c>
      <c r="H5519" s="340">
        <f t="shared" si="3"/>
        <v>55.5</v>
      </c>
      <c r="I5519" s="341">
        <v>1.5</v>
      </c>
      <c r="J5519" s="332">
        <f>IFERROR(__xludf.DUMMYFUNCTION("IF(IF(COUNTIF(P$2:P5518, P5519)=0, """", INDEX(H$2:H5518,
MAX(FILTER(ROW(H$2:H5518) - ROW(H$2) + 1, P$2:P5518 = P5519))))=""単価"","""",
IF(COUNTIF(P$2:P5518, P5519)=0, """", INDEX(H$2:H5518,
MAX(FILTER(ROW(H$2:H5518) - ROW(H$2) + 1, P$2:P5518 = P5519)))))"),54.0)</f>
        <v>54</v>
      </c>
      <c r="N5519" s="335" t="str">
        <f>IF(MAXIFS('単価履歴'!$O:$O,'単価履歴'!$E:$E,E5519,'単価履歴'!$F:$F,F5519)=O5519,"●","")</f>
        <v>●</v>
      </c>
      <c r="O5519" s="346">
        <v>46122.28459490741</v>
      </c>
      <c r="P5519" s="334" t="str">
        <f t="shared" si="4"/>
        <v>ＪＦＥ条鋼:リバイブ新断Ｂ</v>
      </c>
    </row>
    <row r="5520" ht="15.75" customHeight="1">
      <c r="A5520" s="335" t="s">
        <v>6667</v>
      </c>
      <c r="B5520" s="336">
        <v>46122.0</v>
      </c>
      <c r="C5520" s="349" t="s">
        <v>28</v>
      </c>
      <c r="D5520" s="349" t="s">
        <v>52</v>
      </c>
      <c r="E5520" s="337" t="str">
        <f t="shared" si="1"/>
        <v>ＪＦＥ条鋼:リバイブ</v>
      </c>
      <c r="F5520" s="338" t="s">
        <v>575</v>
      </c>
      <c r="G5520" s="339" t="str">
        <f t="shared" si="2"/>
        <v>ＪＦＥ条鋼:リバイブ鋼ダライＡ</v>
      </c>
      <c r="H5520" s="340">
        <f t="shared" si="3"/>
        <v>48</v>
      </c>
      <c r="I5520" s="341">
        <v>1.5</v>
      </c>
      <c r="J5520" s="332">
        <f>IFERROR(__xludf.DUMMYFUNCTION("IF(IF(COUNTIF(P$2:P5519, P5520)=0, """", INDEX(H$2:H5519,
MAX(FILTER(ROW(H$2:H5519) - ROW(H$2) + 1, P$2:P5519 = P5520))))=""単価"","""",
IF(COUNTIF(P$2:P5519, P5520)=0, """", INDEX(H$2:H5519,
MAX(FILTER(ROW(H$2:H5519) - ROW(H$2) + 1, P$2:P5519 = P5520)))))"),46.5)</f>
        <v>46.5</v>
      </c>
      <c r="N5520" s="335" t="str">
        <f>IF(MAXIFS('単価履歴'!$O:$O,'単価履歴'!$E:$E,E5520,'単価履歴'!$F:$F,F5520)=O5520,"●","")</f>
        <v>●</v>
      </c>
      <c r="O5520" s="346">
        <v>46122.28459490741</v>
      </c>
      <c r="P5520" s="334" t="str">
        <f t="shared" si="4"/>
        <v>ＪＦＥ条鋼:リバイブ鋼ダライＡ</v>
      </c>
    </row>
    <row r="5521" ht="15.75" customHeight="1">
      <c r="A5521" s="335" t="s">
        <v>6668</v>
      </c>
      <c r="B5521" s="336">
        <v>46122.0</v>
      </c>
      <c r="C5521" s="349" t="s">
        <v>28</v>
      </c>
      <c r="D5521" s="349" t="s">
        <v>52</v>
      </c>
      <c r="E5521" s="337" t="str">
        <f t="shared" si="1"/>
        <v>ＪＦＥ条鋼:リバイブ</v>
      </c>
      <c r="F5521" s="338" t="s">
        <v>154</v>
      </c>
      <c r="G5521" s="339" t="str">
        <f t="shared" si="2"/>
        <v>ＪＦＥ条鋼:リバイブＣＰ Ａ</v>
      </c>
      <c r="H5521" s="340">
        <f t="shared" si="3"/>
        <v>55</v>
      </c>
      <c r="I5521" s="341">
        <v>1.5</v>
      </c>
      <c r="J5521" s="332">
        <f>IFERROR(__xludf.DUMMYFUNCTION("IF(IF(COUNTIF(P$2:P5520, P5521)=0, """", INDEX(H$2:H5520,
MAX(FILTER(ROW(H$2:H5520) - ROW(H$2) + 1, P$2:P5520 = P5521))))=""単価"","""",
IF(COUNTIF(P$2:P5520, P5521)=0, """", INDEX(H$2:H5520,
MAX(FILTER(ROW(H$2:H5520) - ROW(H$2) + 1, P$2:P5520 = P5521)))))"),53.5)</f>
        <v>53.5</v>
      </c>
      <c r="N5521" s="335" t="str">
        <f>IF(MAXIFS('単価履歴'!$O:$O,'単価履歴'!$E:$E,E5521,'単価履歴'!$F:$F,F5521)=O5521,"●","")</f>
        <v>●</v>
      </c>
      <c r="O5521" s="346">
        <v>46122.28459490741</v>
      </c>
      <c r="P5521" s="334" t="str">
        <f t="shared" si="4"/>
        <v>ＪＦＥ条鋼:リバイブＣＰ Ａ</v>
      </c>
    </row>
    <row r="5522" ht="15.75" customHeight="1">
      <c r="A5522" s="335" t="s">
        <v>6669</v>
      </c>
      <c r="B5522" s="336">
        <v>46122.0</v>
      </c>
      <c r="C5522" s="349" t="s">
        <v>32</v>
      </c>
      <c r="D5522" s="349" t="s">
        <v>52</v>
      </c>
      <c r="E5522" s="337" t="str">
        <f t="shared" si="1"/>
        <v>泉北大都:リバイブ</v>
      </c>
      <c r="F5522" s="338" t="s">
        <v>116</v>
      </c>
      <c r="G5522" s="339" t="str">
        <f t="shared" si="2"/>
        <v>泉北大都:リバイブＨ２(特級)</v>
      </c>
      <c r="H5522" s="340">
        <f t="shared" si="3"/>
        <v>53.5</v>
      </c>
      <c r="I5522" s="341">
        <v>1.5</v>
      </c>
      <c r="J5522" s="332">
        <f>IFERROR(__xludf.DUMMYFUNCTION("IF(IF(COUNTIF(P$2:P5521, P5522)=0, """", INDEX(H$2:H5521,
MAX(FILTER(ROW(H$2:H5521) - ROW(H$2) + 1, P$2:P5521 = P5522))))=""単価"","""",
IF(COUNTIF(P$2:P5521, P5522)=0, """", INDEX(H$2:H5521,
MAX(FILTER(ROW(H$2:H5521) - ROW(H$2) + 1, P$2:P5521 = P5522)))))"),52.0)</f>
        <v>52</v>
      </c>
      <c r="N5522" s="335" t="str">
        <f>IF(MAXIFS('単価履歴'!$O:$O,'単価履歴'!$E:$E,E5522,'単価履歴'!$F:$F,F5522)=O5522,"●","")</f>
        <v>●</v>
      </c>
      <c r="O5522" s="346">
        <v>46122.28530092593</v>
      </c>
      <c r="P5522" s="334" t="str">
        <f t="shared" si="4"/>
        <v>泉北大都:リバイブＨ２(特級)</v>
      </c>
    </row>
    <row r="5523" ht="15.75" customHeight="1">
      <c r="A5523" s="335" t="s">
        <v>6670</v>
      </c>
      <c r="B5523" s="336">
        <v>46122.0</v>
      </c>
      <c r="C5523" s="349" t="s">
        <v>14</v>
      </c>
      <c r="D5523" s="349" t="s">
        <v>46</v>
      </c>
      <c r="E5523" s="337" t="str">
        <f t="shared" si="1"/>
        <v>愛知:阪和</v>
      </c>
      <c r="F5523" s="338" t="s">
        <v>1199</v>
      </c>
      <c r="G5523" s="339" t="str">
        <f t="shared" si="2"/>
        <v>愛知:阪和ＨＳ１(単体H1/電特A/HS))</v>
      </c>
      <c r="H5523" s="340">
        <f t="shared" si="3"/>
        <v>55.2</v>
      </c>
      <c r="I5523" s="341">
        <v>1.5</v>
      </c>
      <c r="J5523" s="332">
        <f>IFERROR(__xludf.DUMMYFUNCTION("IF(IF(COUNTIF(P$2:P5522, P5523)=0, """", INDEX(H$2:H5522,
MAX(FILTER(ROW(H$2:H5522) - ROW(H$2) + 1, P$2:P5522 = P5523))))=""単価"","""",
IF(COUNTIF(P$2:P5522, P5523)=0, """", INDEX(H$2:H5522,
MAX(FILTER(ROW(H$2:H5522) - ROW(H$2) + 1, P$2:P5522 = P5523)))))"),53.7)</f>
        <v>53.7</v>
      </c>
      <c r="N5523" s="335" t="str">
        <f>IF(MAXIFS('単価履歴'!$O:$O,'単価履歴'!$E:$E,E5523,'単価履歴'!$F:$F,F5523)=O5523,"●","")</f>
        <v/>
      </c>
      <c r="O5523" s="346">
        <v>46122.28550925926</v>
      </c>
      <c r="P5523" s="334" t="str">
        <f t="shared" si="4"/>
        <v>愛知:阪和ＨＳ１(単体H1/電特A/HS))</v>
      </c>
    </row>
    <row r="5524" ht="15.75" customHeight="1">
      <c r="A5524" s="335" t="s">
        <v>6671</v>
      </c>
      <c r="B5524" s="336">
        <v>46122.0</v>
      </c>
      <c r="C5524" s="349" t="s">
        <v>14</v>
      </c>
      <c r="D5524" s="349" t="s">
        <v>46</v>
      </c>
      <c r="E5524" s="337" t="str">
        <f t="shared" si="1"/>
        <v>愛知:阪和</v>
      </c>
      <c r="F5524" s="338" t="s">
        <v>101</v>
      </c>
      <c r="G5524" s="339" t="str">
        <f t="shared" si="2"/>
        <v>愛知:阪和ＨＳ２</v>
      </c>
      <c r="H5524" s="340">
        <f t="shared" si="3"/>
        <v>54.7</v>
      </c>
      <c r="I5524" s="341">
        <v>1.5</v>
      </c>
      <c r="J5524" s="332">
        <f>IFERROR(__xludf.DUMMYFUNCTION("IF(IF(COUNTIF(P$2:P5523, P5524)=0, """", INDEX(H$2:H5523,
MAX(FILTER(ROW(H$2:H5523) - ROW(H$2) + 1, P$2:P5523 = P5524))))=""単価"","""",
IF(COUNTIF(P$2:P5523, P5524)=0, """", INDEX(H$2:H5523,
MAX(FILTER(ROW(H$2:H5523) - ROW(H$2) + 1, P$2:P5523 = P5524)))))"),53.2)</f>
        <v>53.2</v>
      </c>
      <c r="N5524" s="335" t="str">
        <f>IF(MAXIFS('単価履歴'!$O:$O,'単価履歴'!$E:$E,E5524,'単価履歴'!$F:$F,F5524)=O5524,"●","")</f>
        <v/>
      </c>
      <c r="O5524" s="346">
        <v>46122.28550925926</v>
      </c>
      <c r="P5524" s="334" t="str">
        <f t="shared" si="4"/>
        <v>愛知:阪和ＨＳ２</v>
      </c>
    </row>
    <row r="5525" ht="15.75" customHeight="1">
      <c r="A5525" s="335" t="s">
        <v>6672</v>
      </c>
      <c r="B5525" s="336">
        <v>46122.0</v>
      </c>
      <c r="C5525" s="349" t="s">
        <v>14</v>
      </c>
      <c r="D5525" s="349" t="s">
        <v>46</v>
      </c>
      <c r="E5525" s="337" t="str">
        <f t="shared" si="1"/>
        <v>愛知:阪和</v>
      </c>
      <c r="F5525" s="338" t="s">
        <v>111</v>
      </c>
      <c r="G5525" s="339" t="str">
        <f t="shared" si="2"/>
        <v>愛知:阪和Ｈ１(特A)</v>
      </c>
      <c r="H5525" s="340">
        <f t="shared" si="3"/>
        <v>50.2</v>
      </c>
      <c r="I5525" s="341">
        <v>1.5</v>
      </c>
      <c r="J5525" s="332">
        <f>IFERROR(__xludf.DUMMYFUNCTION("IF(IF(COUNTIF(P$2:P5524, P5525)=0, """", INDEX(H$2:H5524,
MAX(FILTER(ROW(H$2:H5524) - ROW(H$2) + 1, P$2:P5524 = P5525))))=""単価"","""",
IF(COUNTIF(P$2:P5524, P5525)=0, """", INDEX(H$2:H5524,
MAX(FILTER(ROW(H$2:H5524) - ROW(H$2) + 1, P$2:P5524 = P5525)))))"),48.7)</f>
        <v>48.7</v>
      </c>
      <c r="N5525" s="335" t="str">
        <f>IF(MAXIFS('単価履歴'!$O:$O,'単価履歴'!$E:$E,E5525,'単価履歴'!$F:$F,F5525)=O5525,"●","")</f>
        <v/>
      </c>
      <c r="O5525" s="346">
        <v>46122.28550925926</v>
      </c>
      <c r="P5525" s="334" t="str">
        <f t="shared" si="4"/>
        <v>愛知:阪和Ｈ１(特A)</v>
      </c>
    </row>
    <row r="5526" ht="15.75" customHeight="1">
      <c r="A5526" s="335" t="s">
        <v>6673</v>
      </c>
      <c r="B5526" s="336">
        <v>46122.0</v>
      </c>
      <c r="C5526" s="349" t="s">
        <v>14</v>
      </c>
      <c r="D5526" s="349" t="s">
        <v>46</v>
      </c>
      <c r="E5526" s="337" t="str">
        <f t="shared" si="1"/>
        <v>愛知:阪和</v>
      </c>
      <c r="F5526" s="338" t="s">
        <v>116</v>
      </c>
      <c r="G5526" s="339" t="str">
        <f t="shared" si="2"/>
        <v>愛知:阪和Ｈ２(特級)</v>
      </c>
      <c r="H5526" s="340">
        <f t="shared" si="3"/>
        <v>49.7</v>
      </c>
      <c r="I5526" s="341">
        <v>1.5</v>
      </c>
      <c r="J5526" s="332">
        <f>IFERROR(__xludf.DUMMYFUNCTION("IF(IF(COUNTIF(P$2:P5525, P5526)=0, """", INDEX(H$2:H5525,
MAX(FILTER(ROW(H$2:H5525) - ROW(H$2) + 1, P$2:P5525 = P5526))))=""単価"","""",
IF(COUNTIF(P$2:P5525, P5526)=0, """", INDEX(H$2:H5525,
MAX(FILTER(ROW(H$2:H5525) - ROW(H$2) + 1, P$2:P5525 = P5526)))))"),48.2)</f>
        <v>48.2</v>
      </c>
      <c r="N5526" s="335" t="str">
        <f>IF(MAXIFS('単価履歴'!$O:$O,'単価履歴'!$E:$E,E5526,'単価履歴'!$F:$F,F5526)=O5526,"●","")</f>
        <v/>
      </c>
      <c r="O5526" s="346">
        <v>46122.28550925926</v>
      </c>
      <c r="P5526" s="334" t="str">
        <f t="shared" si="4"/>
        <v>愛知:阪和Ｈ２(特級)</v>
      </c>
    </row>
    <row r="5527" ht="15.75" customHeight="1">
      <c r="A5527" s="335" t="s">
        <v>6674</v>
      </c>
      <c r="B5527" s="336">
        <v>46122.0</v>
      </c>
      <c r="C5527" s="349" t="s">
        <v>14</v>
      </c>
      <c r="D5527" s="349" t="s">
        <v>46</v>
      </c>
      <c r="E5527" s="337" t="str">
        <f t="shared" si="1"/>
        <v>愛知:阪和</v>
      </c>
      <c r="F5527" s="338" t="s">
        <v>119</v>
      </c>
      <c r="G5527" s="339" t="str">
        <f t="shared" si="2"/>
        <v>愛知:阪和Ｈ３(1級)</v>
      </c>
      <c r="H5527" s="340">
        <f t="shared" si="3"/>
        <v>48.7</v>
      </c>
      <c r="I5527" s="341">
        <v>1.5</v>
      </c>
      <c r="J5527" s="332">
        <f>IFERROR(__xludf.DUMMYFUNCTION("IF(IF(COUNTIF(P$2:P5526, P5527)=0, """", INDEX(H$2:H5526,
MAX(FILTER(ROW(H$2:H5526) - ROW(H$2) + 1, P$2:P5526 = P5527))))=""単価"","""",
IF(COUNTIF(P$2:P5526, P5527)=0, """", INDEX(H$2:H5526,
MAX(FILTER(ROW(H$2:H5526) - ROW(H$2) + 1, P$2:P5526 = P5527)))))"),47.2)</f>
        <v>47.2</v>
      </c>
      <c r="N5527" s="335" t="str">
        <f>IF(MAXIFS('単価履歴'!$O:$O,'単価履歴'!$E:$E,E5527,'単価履歴'!$F:$F,F5527)=O5527,"●","")</f>
        <v/>
      </c>
      <c r="O5527" s="346">
        <v>46122.28550925926</v>
      </c>
      <c r="P5527" s="334" t="str">
        <f t="shared" si="4"/>
        <v>愛知:阪和Ｈ３(1級)</v>
      </c>
    </row>
    <row r="5528" ht="15.75" customHeight="1">
      <c r="A5528" s="335" t="s">
        <v>6675</v>
      </c>
      <c r="B5528" s="336">
        <v>46122.0</v>
      </c>
      <c r="C5528" s="349" t="s">
        <v>14</v>
      </c>
      <c r="D5528" s="349" t="s">
        <v>46</v>
      </c>
      <c r="E5528" s="337" t="str">
        <f t="shared" si="1"/>
        <v>愛知:阪和</v>
      </c>
      <c r="F5528" s="338" t="s">
        <v>573</v>
      </c>
      <c r="G5528" s="339" t="str">
        <f t="shared" si="2"/>
        <v>愛知:阪和Ｌ２(H4･級外･L1ﾊﾞﾗ)</v>
      </c>
      <c r="H5528" s="340">
        <f t="shared" si="3"/>
        <v>45.3</v>
      </c>
      <c r="I5528" s="341">
        <v>1.5</v>
      </c>
      <c r="J5528" s="332">
        <f>IFERROR(__xludf.DUMMYFUNCTION("IF(IF(COUNTIF(P$2:P5527, P5528)=0, """", INDEX(H$2:H5527,
MAX(FILTER(ROW(H$2:H5527) - ROW(H$2) + 1, P$2:P5527 = P5528))))=""単価"","""",
IF(COUNTIF(P$2:P5527, P5528)=0, """", INDEX(H$2:H5527,
MAX(FILTER(ROW(H$2:H5527) - ROW(H$2) + 1, P$2:P5527 = P5528)))))"),43.8)</f>
        <v>43.8</v>
      </c>
      <c r="N5528" s="335" t="str">
        <f>IF(MAXIFS('単価履歴'!$O:$O,'単価履歴'!$E:$E,E5528,'単価履歴'!$F:$F,F5528)=O5528,"●","")</f>
        <v/>
      </c>
      <c r="O5528" s="346">
        <v>46122.28550925926</v>
      </c>
      <c r="P5528" s="334" t="str">
        <f t="shared" si="4"/>
        <v>愛知:阪和Ｌ２(H4･級外･L1ﾊﾞﾗ)</v>
      </c>
    </row>
    <row r="5529" ht="15.75" customHeight="1">
      <c r="A5529" s="335" t="s">
        <v>6676</v>
      </c>
      <c r="B5529" s="336">
        <v>46122.0</v>
      </c>
      <c r="C5529" s="349" t="s">
        <v>14</v>
      </c>
      <c r="D5529" s="349" t="s">
        <v>46</v>
      </c>
      <c r="E5529" s="337" t="str">
        <f t="shared" si="1"/>
        <v>愛知:阪和</v>
      </c>
      <c r="F5529" s="338" t="s">
        <v>130</v>
      </c>
      <c r="G5529" s="339" t="str">
        <f t="shared" si="2"/>
        <v>愛知:阪和新断Ａ</v>
      </c>
      <c r="H5529" s="340">
        <f t="shared" si="3"/>
        <v>56</v>
      </c>
      <c r="I5529" s="341">
        <v>1.5</v>
      </c>
      <c r="J5529" s="332">
        <f>IFERROR(__xludf.DUMMYFUNCTION("IF(IF(COUNTIF(P$2:P5528, P5529)=0, """", INDEX(H$2:H5528,
MAX(FILTER(ROW(H$2:H5528) - ROW(H$2) + 1, P$2:P5528 = P5529))))=""単価"","""",
IF(COUNTIF(P$2:P5528, P5529)=0, """", INDEX(H$2:H5528,
MAX(FILTER(ROW(H$2:H5528) - ROW(H$2) + 1, P$2:P5528 = P5529)))))"),54.5)</f>
        <v>54.5</v>
      </c>
      <c r="N5529" s="335" t="str">
        <f>IF(MAXIFS('単価履歴'!$O:$O,'単価履歴'!$E:$E,E5529,'単価履歴'!$F:$F,F5529)=O5529,"●","")</f>
        <v/>
      </c>
      <c r="O5529" s="346">
        <v>46122.28550925926</v>
      </c>
      <c r="P5529" s="334" t="str">
        <f t="shared" si="4"/>
        <v>愛知:阪和新断Ａ</v>
      </c>
    </row>
    <row r="5530" ht="15.75" customHeight="1">
      <c r="A5530" s="335" t="s">
        <v>6677</v>
      </c>
      <c r="B5530" s="336">
        <v>46122.0</v>
      </c>
      <c r="C5530" s="349" t="s">
        <v>14</v>
      </c>
      <c r="D5530" s="349" t="s">
        <v>46</v>
      </c>
      <c r="E5530" s="337" t="str">
        <f t="shared" si="1"/>
        <v>愛知:阪和</v>
      </c>
      <c r="F5530" s="338" t="s">
        <v>131</v>
      </c>
      <c r="G5530" s="339" t="str">
        <f t="shared" si="2"/>
        <v>愛知:阪和新断Ｂ</v>
      </c>
      <c r="H5530" s="340">
        <f t="shared" si="3"/>
        <v>55</v>
      </c>
      <c r="I5530" s="341">
        <v>1.5</v>
      </c>
      <c r="J5530" s="332">
        <f>IFERROR(__xludf.DUMMYFUNCTION("IF(IF(COUNTIF(P$2:P5529, P5530)=0, """", INDEX(H$2:H5529,
MAX(FILTER(ROW(H$2:H5529) - ROW(H$2) + 1, P$2:P5529 = P5530))))=""単価"","""",
IF(COUNTIF(P$2:P5529, P5530)=0, """", INDEX(H$2:H5529,
MAX(FILTER(ROW(H$2:H5529) - ROW(H$2) + 1, P$2:P5529 = P5530)))))"),53.5)</f>
        <v>53.5</v>
      </c>
      <c r="N5530" s="335" t="str">
        <f>IF(MAXIFS('単価履歴'!$O:$O,'単価履歴'!$E:$E,E5530,'単価履歴'!$F:$F,F5530)=O5530,"●","")</f>
        <v/>
      </c>
      <c r="O5530" s="346">
        <v>46122.28550925926</v>
      </c>
      <c r="P5530" s="334" t="str">
        <f t="shared" si="4"/>
        <v>愛知:阪和新断Ｂ</v>
      </c>
    </row>
    <row r="5531" ht="15.75" customHeight="1">
      <c r="A5531" s="335" t="s">
        <v>6678</v>
      </c>
      <c r="B5531" s="336">
        <v>46122.0</v>
      </c>
      <c r="C5531" s="349" t="s">
        <v>14</v>
      </c>
      <c r="D5531" s="349" t="s">
        <v>46</v>
      </c>
      <c r="E5531" s="337" t="str">
        <f t="shared" si="1"/>
        <v>愛知:阪和</v>
      </c>
      <c r="F5531" s="338" t="s">
        <v>145</v>
      </c>
      <c r="G5531" s="339" t="str">
        <f t="shared" si="2"/>
        <v>愛知:阪和シュレＡ</v>
      </c>
      <c r="H5531" s="340">
        <f t="shared" si="3"/>
        <v>56</v>
      </c>
      <c r="I5531" s="341">
        <v>1.5</v>
      </c>
      <c r="J5531" s="332">
        <f>IFERROR(__xludf.DUMMYFUNCTION("IF(IF(COUNTIF(P$2:P5530, P5531)=0, """", INDEX(H$2:H5530,
MAX(FILTER(ROW(H$2:H5530) - ROW(H$2) + 1, P$2:P5530 = P5531))))=""単価"","""",
IF(COUNTIF(P$2:P5530, P5531)=0, """", INDEX(H$2:H5530,
MAX(FILTER(ROW(H$2:H5530) - ROW(H$2) + 1, P$2:P5530 = P5531)))))"),54.5)</f>
        <v>54.5</v>
      </c>
      <c r="N5531" s="335" t="str">
        <f>IF(MAXIFS('単価履歴'!$O:$O,'単価履歴'!$E:$E,E5531,'単価履歴'!$F:$F,F5531)=O5531,"●","")</f>
        <v/>
      </c>
      <c r="O5531" s="346">
        <v>46122.28550925926</v>
      </c>
      <c r="P5531" s="334" t="str">
        <f t="shared" si="4"/>
        <v>愛知:阪和シュレＡ</v>
      </c>
    </row>
    <row r="5532" ht="15.75" customHeight="1">
      <c r="A5532" s="335" t="s">
        <v>6679</v>
      </c>
      <c r="B5532" s="336">
        <v>46122.0</v>
      </c>
      <c r="C5532" s="349" t="s">
        <v>14</v>
      </c>
      <c r="D5532" s="349" t="s">
        <v>48</v>
      </c>
      <c r="E5532" s="337" t="str">
        <f t="shared" si="1"/>
        <v>愛知:ナベ</v>
      </c>
      <c r="F5532" s="338" t="s">
        <v>1199</v>
      </c>
      <c r="G5532" s="339" t="str">
        <f t="shared" si="2"/>
        <v>愛知:ナベＨＳ１(単体H1/電特A/HS))</v>
      </c>
      <c r="H5532" s="340">
        <f t="shared" si="3"/>
        <v>52.5</v>
      </c>
      <c r="I5532" s="341">
        <v>1.5</v>
      </c>
      <c r="J5532" s="332">
        <f>IFERROR(__xludf.DUMMYFUNCTION("IF(IF(COUNTIF(P$2:P5531, P5532)=0, """", INDEX(H$2:H5531,
MAX(FILTER(ROW(H$2:H5531) - ROW(H$2) + 1, P$2:P5531 = P5532))))=""単価"","""",
IF(COUNTIF(P$2:P5531, P5532)=0, """", INDEX(H$2:H5531,
MAX(FILTER(ROW(H$2:H5531) - ROW(H$2) + 1, P$2:P5531 = P5532)))))"),51.0)</f>
        <v>51</v>
      </c>
      <c r="N5532" s="335" t="str">
        <f>IF(MAXIFS('単価履歴'!$O:$O,'単価履歴'!$E:$E,E5532,'単価履歴'!$F:$F,F5532)=O5532,"●","")</f>
        <v/>
      </c>
      <c r="O5532" s="346">
        <v>46122.28570601852</v>
      </c>
      <c r="P5532" s="334" t="str">
        <f t="shared" si="4"/>
        <v>愛知:ナベＨＳ１(単体H1/電特A/HS))</v>
      </c>
    </row>
    <row r="5533" ht="15.75" customHeight="1">
      <c r="A5533" s="335" t="s">
        <v>6680</v>
      </c>
      <c r="B5533" s="336">
        <v>46122.0</v>
      </c>
      <c r="C5533" s="349" t="s">
        <v>14</v>
      </c>
      <c r="D5533" s="349" t="s">
        <v>48</v>
      </c>
      <c r="E5533" s="337" t="str">
        <f t="shared" si="1"/>
        <v>愛知:ナベ</v>
      </c>
      <c r="F5533" s="338" t="s">
        <v>101</v>
      </c>
      <c r="G5533" s="339" t="str">
        <f t="shared" si="2"/>
        <v>愛知:ナベＨＳ２</v>
      </c>
      <c r="H5533" s="340">
        <f t="shared" si="3"/>
        <v>52</v>
      </c>
      <c r="I5533" s="341">
        <v>1.5</v>
      </c>
      <c r="J5533" s="332">
        <f>IFERROR(__xludf.DUMMYFUNCTION("IF(IF(COUNTIF(P$2:P5532, P5533)=0, """", INDEX(H$2:H5532,
MAX(FILTER(ROW(H$2:H5532) - ROW(H$2) + 1, P$2:P5532 = P5533))))=""単価"","""",
IF(COUNTIF(P$2:P5532, P5533)=0, """", INDEX(H$2:H5532,
MAX(FILTER(ROW(H$2:H5532) - ROW(H$2) + 1, P$2:P5532 = P5533)))))"),50.5)</f>
        <v>50.5</v>
      </c>
      <c r="N5533" s="335" t="str">
        <f>IF(MAXIFS('単価履歴'!$O:$O,'単価履歴'!$E:$E,E5533,'単価履歴'!$F:$F,F5533)=O5533,"●","")</f>
        <v/>
      </c>
      <c r="O5533" s="346">
        <v>46122.28570601852</v>
      </c>
      <c r="P5533" s="334" t="str">
        <f t="shared" si="4"/>
        <v>愛知:ナベＨＳ２</v>
      </c>
    </row>
    <row r="5534" ht="15.75" customHeight="1">
      <c r="A5534" s="335" t="s">
        <v>6681</v>
      </c>
      <c r="B5534" s="336">
        <v>46122.0</v>
      </c>
      <c r="C5534" s="349" t="s">
        <v>14</v>
      </c>
      <c r="D5534" s="349" t="s">
        <v>48</v>
      </c>
      <c r="E5534" s="337" t="str">
        <f t="shared" si="1"/>
        <v>愛知:ナベ</v>
      </c>
      <c r="F5534" s="338" t="s">
        <v>111</v>
      </c>
      <c r="G5534" s="339" t="str">
        <f t="shared" si="2"/>
        <v>愛知:ナベＨ１(特A)</v>
      </c>
      <c r="H5534" s="340">
        <f t="shared" si="3"/>
        <v>51.5</v>
      </c>
      <c r="I5534" s="341">
        <v>1.5</v>
      </c>
      <c r="J5534" s="332">
        <f>IFERROR(__xludf.DUMMYFUNCTION("IF(IF(COUNTIF(P$2:P5533, P5534)=0, """", INDEX(H$2:H5533,
MAX(FILTER(ROW(H$2:H5533) - ROW(H$2) + 1, P$2:P5533 = P5534))))=""単価"","""",
IF(COUNTIF(P$2:P5533, P5534)=0, """", INDEX(H$2:H5533,
MAX(FILTER(ROW(H$2:H5533) - ROW(H$2) + 1, P$2:P5533 = P5534)))))"),50.0)</f>
        <v>50</v>
      </c>
      <c r="N5534" s="335" t="str">
        <f>IF(MAXIFS('単価履歴'!$O:$O,'単価履歴'!$E:$E,E5534,'単価履歴'!$F:$F,F5534)=O5534,"●","")</f>
        <v/>
      </c>
      <c r="O5534" s="346">
        <v>46122.28570601852</v>
      </c>
      <c r="P5534" s="334" t="str">
        <f t="shared" si="4"/>
        <v>愛知:ナベＨ１(特A)</v>
      </c>
    </row>
    <row r="5535" ht="15.75" customHeight="1">
      <c r="A5535" s="335" t="s">
        <v>6682</v>
      </c>
      <c r="B5535" s="336">
        <v>46122.0</v>
      </c>
      <c r="C5535" s="349" t="s">
        <v>14</v>
      </c>
      <c r="D5535" s="349" t="s">
        <v>48</v>
      </c>
      <c r="E5535" s="337" t="str">
        <f t="shared" si="1"/>
        <v>愛知:ナベ</v>
      </c>
      <c r="F5535" s="338" t="s">
        <v>116</v>
      </c>
      <c r="G5535" s="339" t="str">
        <f t="shared" si="2"/>
        <v>愛知:ナベＨ２(特級)</v>
      </c>
      <c r="H5535" s="340">
        <f t="shared" si="3"/>
        <v>49.9</v>
      </c>
      <c r="I5535" s="341">
        <v>1.5</v>
      </c>
      <c r="J5535" s="332">
        <f>IFERROR(__xludf.DUMMYFUNCTION("IF(IF(COUNTIF(P$2:P5534, P5535)=0, """", INDEX(H$2:H5534,
MAX(FILTER(ROW(H$2:H5534) - ROW(H$2) + 1, P$2:P5534 = P5535))))=""単価"","""",
IF(COUNTIF(P$2:P5534, P5535)=0, """", INDEX(H$2:H5534,
MAX(FILTER(ROW(H$2:H5534) - ROW(H$2) + 1, P$2:P5534 = P5535)))))"),48.4)</f>
        <v>48.4</v>
      </c>
      <c r="N5535" s="335" t="str">
        <f>IF(MAXIFS('単価履歴'!$O:$O,'単価履歴'!$E:$E,E5535,'単価履歴'!$F:$F,F5535)=O5535,"●","")</f>
        <v/>
      </c>
      <c r="O5535" s="346">
        <v>46122.28570601852</v>
      </c>
      <c r="P5535" s="334" t="str">
        <f t="shared" si="4"/>
        <v>愛知:ナベＨ２(特級)</v>
      </c>
    </row>
    <row r="5536" ht="15.75" customHeight="1">
      <c r="A5536" s="335" t="s">
        <v>6683</v>
      </c>
      <c r="B5536" s="336">
        <v>46122.0</v>
      </c>
      <c r="C5536" s="349" t="s">
        <v>14</v>
      </c>
      <c r="D5536" s="349" t="s">
        <v>48</v>
      </c>
      <c r="E5536" s="337" t="str">
        <f t="shared" si="1"/>
        <v>愛知:ナベ</v>
      </c>
      <c r="F5536" s="338" t="s">
        <v>119</v>
      </c>
      <c r="G5536" s="339" t="str">
        <f t="shared" si="2"/>
        <v>愛知:ナベＨ３(1級)</v>
      </c>
      <c r="H5536" s="340">
        <f t="shared" si="3"/>
        <v>48.9</v>
      </c>
      <c r="I5536" s="341">
        <v>1.5</v>
      </c>
      <c r="J5536" s="332">
        <f>IFERROR(__xludf.DUMMYFUNCTION("IF(IF(COUNTIF(P$2:P5535, P5536)=0, """", INDEX(H$2:H5535,
MAX(FILTER(ROW(H$2:H5535) - ROW(H$2) + 1, P$2:P5535 = P5536))))=""単価"","""",
IF(COUNTIF(P$2:P5535, P5536)=0, """", INDEX(H$2:H5535,
MAX(FILTER(ROW(H$2:H5535) - ROW(H$2) + 1, P$2:P5535 = P5536)))))"),47.4)</f>
        <v>47.4</v>
      </c>
      <c r="N5536" s="335" t="str">
        <f>IF(MAXIFS('単価履歴'!$O:$O,'単価履歴'!$E:$E,E5536,'単価履歴'!$F:$F,F5536)=O5536,"●","")</f>
        <v/>
      </c>
      <c r="O5536" s="346">
        <v>46122.28570601852</v>
      </c>
      <c r="P5536" s="334" t="str">
        <f t="shared" si="4"/>
        <v>愛知:ナベＨ３(1級)</v>
      </c>
    </row>
    <row r="5537" ht="15.75" customHeight="1">
      <c r="A5537" s="335" t="s">
        <v>6684</v>
      </c>
      <c r="B5537" s="336">
        <v>46122.0</v>
      </c>
      <c r="C5537" s="349" t="s">
        <v>14</v>
      </c>
      <c r="D5537" s="349" t="s">
        <v>48</v>
      </c>
      <c r="E5537" s="337" t="str">
        <f t="shared" si="1"/>
        <v>愛知:ナベ</v>
      </c>
      <c r="F5537" s="338" t="s">
        <v>573</v>
      </c>
      <c r="G5537" s="339" t="str">
        <f t="shared" si="2"/>
        <v>愛知:ナベＬ２(H4･級外･L1ﾊﾞﾗ)</v>
      </c>
      <c r="H5537" s="340">
        <f t="shared" si="3"/>
        <v>44.9</v>
      </c>
      <c r="I5537" s="341">
        <v>1.5</v>
      </c>
      <c r="J5537" s="332">
        <f>IFERROR(__xludf.DUMMYFUNCTION("IF(IF(COUNTIF(P$2:P5536, P5537)=0, """", INDEX(H$2:H5536,
MAX(FILTER(ROW(H$2:H5536) - ROW(H$2) + 1, P$2:P5536 = P5537))))=""単価"","""",
IF(COUNTIF(P$2:P5536, P5537)=0, """", INDEX(H$2:H5536,
MAX(FILTER(ROW(H$2:H5536) - ROW(H$2) + 1, P$2:P5536 = P5537)))))"),43.4)</f>
        <v>43.4</v>
      </c>
      <c r="N5537" s="335" t="str">
        <f>IF(MAXIFS('単価履歴'!$O:$O,'単価履歴'!$E:$E,E5537,'単価履歴'!$F:$F,F5537)=O5537,"●","")</f>
        <v/>
      </c>
      <c r="O5537" s="346">
        <v>46122.28570601852</v>
      </c>
      <c r="P5537" s="334" t="str">
        <f t="shared" si="4"/>
        <v>愛知:ナベＬ２(H4･級外･L1ﾊﾞﾗ)</v>
      </c>
    </row>
    <row r="5538" ht="15.75" customHeight="1">
      <c r="A5538" s="335" t="s">
        <v>6685</v>
      </c>
      <c r="B5538" s="336">
        <v>46122.0</v>
      </c>
      <c r="C5538" s="349" t="s">
        <v>14</v>
      </c>
      <c r="D5538" s="349" t="s">
        <v>48</v>
      </c>
      <c r="E5538" s="337" t="str">
        <f t="shared" si="1"/>
        <v>愛知:ナベ</v>
      </c>
      <c r="F5538" s="338" t="s">
        <v>575</v>
      </c>
      <c r="G5538" s="339" t="str">
        <f t="shared" si="2"/>
        <v>愛知:ナベ鋼ダライＡ</v>
      </c>
      <c r="H5538" s="340">
        <f t="shared" si="3"/>
        <v>11</v>
      </c>
      <c r="I5538" s="341">
        <v>1.5</v>
      </c>
      <c r="J5538" s="332">
        <f>IFERROR(__xludf.DUMMYFUNCTION("IF(IF(COUNTIF(P$2:P5537, P5538)=0, """", INDEX(H$2:H5537,
MAX(FILTER(ROW(H$2:H5537) - ROW(H$2) + 1, P$2:P5537 = P5538))))=""単価"","""",
IF(COUNTIF(P$2:P5537, P5538)=0, """", INDEX(H$2:H5537,
MAX(FILTER(ROW(H$2:H5537) - ROW(H$2) + 1, P$2:P5537 = P5538)))))"),9.5)</f>
        <v>9.5</v>
      </c>
      <c r="N5538" s="335" t="str">
        <f>IF(MAXIFS('単価履歴'!$O:$O,'単価履歴'!$E:$E,E5538,'単価履歴'!$F:$F,F5538)=O5538,"●","")</f>
        <v/>
      </c>
      <c r="O5538" s="346">
        <v>46122.28570601852</v>
      </c>
      <c r="P5538" s="334" t="str">
        <f t="shared" si="4"/>
        <v>愛知:ナベ鋼ダライＡ</v>
      </c>
    </row>
    <row r="5539" ht="15.75" customHeight="1">
      <c r="A5539" s="335" t="s">
        <v>6686</v>
      </c>
      <c r="B5539" s="336">
        <v>46122.0</v>
      </c>
      <c r="C5539" s="349" t="s">
        <v>15</v>
      </c>
      <c r="D5539" s="349" t="s">
        <v>58</v>
      </c>
      <c r="E5539" s="337" t="str">
        <f t="shared" si="1"/>
        <v>山口鋼業:MM建材</v>
      </c>
      <c r="F5539" s="338" t="s">
        <v>1199</v>
      </c>
      <c r="G5539" s="339" t="str">
        <f t="shared" si="2"/>
        <v>山口鋼業:MM建材ＨＳ１(単体H1/電特A/HS))</v>
      </c>
      <c r="H5539" s="340">
        <f t="shared" si="3"/>
        <v>52.5</v>
      </c>
      <c r="I5539" s="341">
        <v>1.5</v>
      </c>
      <c r="J5539" s="332">
        <f>IFERROR(__xludf.DUMMYFUNCTION("IF(IF(COUNTIF(P$2:P5538, P5539)=0, """", INDEX(H$2:H5538,
MAX(FILTER(ROW(H$2:H5538) - ROW(H$2) + 1, P$2:P5538 = P5539))))=""単価"","""",
IF(COUNTIF(P$2:P5538, P5539)=0, """", INDEX(H$2:H5538,
MAX(FILTER(ROW(H$2:H5538) - ROW(H$2) + 1, P$2:P5538 = P5539)))))"),51.0)</f>
        <v>51</v>
      </c>
      <c r="N5539" s="335" t="str">
        <f>IF(MAXIFS('単価履歴'!$O:$O,'単価履歴'!$E:$E,E5539,'単価履歴'!$F:$F,F5539)=O5539,"●","")</f>
        <v/>
      </c>
      <c r="O5539" s="346">
        <v>46122.28597222222</v>
      </c>
      <c r="P5539" s="334" t="str">
        <f t="shared" si="4"/>
        <v>山口鋼業:MM建材ＨＳ１(単体H1/電特A/HS))</v>
      </c>
    </row>
    <row r="5540" ht="15.75" customHeight="1">
      <c r="A5540" s="335" t="s">
        <v>6687</v>
      </c>
      <c r="B5540" s="336">
        <v>46122.0</v>
      </c>
      <c r="C5540" s="349" t="s">
        <v>15</v>
      </c>
      <c r="D5540" s="349" t="s">
        <v>58</v>
      </c>
      <c r="E5540" s="337" t="str">
        <f t="shared" si="1"/>
        <v>山口鋼業:MM建材</v>
      </c>
      <c r="F5540" s="338" t="s">
        <v>1237</v>
      </c>
      <c r="G5540" s="339" t="str">
        <f t="shared" si="2"/>
        <v>山口鋼業:MM建材ＪＨ１(H2T山口)鍛造ﾊﾞﾘ</v>
      </c>
      <c r="H5540" s="340">
        <f t="shared" si="3"/>
        <v>51.5</v>
      </c>
      <c r="I5540" s="341">
        <v>1.5</v>
      </c>
      <c r="J5540" s="332">
        <f>IFERROR(__xludf.DUMMYFUNCTION("IF(IF(COUNTIF(P$2:P5539, P5540)=0, """", INDEX(H$2:H5539,
MAX(FILTER(ROW(H$2:H5539) - ROW(H$2) + 1, P$2:P5539 = P5540))))=""単価"","""",
IF(COUNTIF(P$2:P5539, P5540)=0, """", INDEX(H$2:H5539,
MAX(FILTER(ROW(H$2:H5539) - ROW(H$2) + 1, P$2:P5539 = P5540)))))"),50.0)</f>
        <v>50</v>
      </c>
      <c r="N5540" s="335" t="str">
        <f>IF(MAXIFS('単価履歴'!$O:$O,'単価履歴'!$E:$E,E5540,'単価履歴'!$F:$F,F5540)=O5540,"●","")</f>
        <v/>
      </c>
      <c r="O5540" s="346">
        <v>46122.28597222222</v>
      </c>
      <c r="P5540" s="334" t="str">
        <f t="shared" si="4"/>
        <v>山口鋼業:MM建材ＪＨ１(H2T山口)鍛造ﾊﾞﾘ</v>
      </c>
    </row>
    <row r="5541" ht="15.75" customHeight="1">
      <c r="A5541" s="335" t="s">
        <v>6688</v>
      </c>
      <c r="B5541" s="336">
        <v>46122.0</v>
      </c>
      <c r="C5541" s="349" t="s">
        <v>15</v>
      </c>
      <c r="D5541" s="349" t="s">
        <v>58</v>
      </c>
      <c r="E5541" s="337" t="str">
        <f t="shared" si="1"/>
        <v>山口鋼業:MM建材</v>
      </c>
      <c r="F5541" s="338" t="s">
        <v>116</v>
      </c>
      <c r="G5541" s="339" t="str">
        <f t="shared" si="2"/>
        <v>山口鋼業:MM建材Ｈ２(特級)</v>
      </c>
      <c r="H5541" s="340">
        <f t="shared" si="3"/>
        <v>50.5</v>
      </c>
      <c r="I5541" s="341">
        <v>1.5</v>
      </c>
      <c r="J5541" s="332">
        <f>IFERROR(__xludf.DUMMYFUNCTION("IF(IF(COUNTIF(P$2:P5540, P5541)=0, """", INDEX(H$2:H5540,
MAX(FILTER(ROW(H$2:H5540) - ROW(H$2) + 1, P$2:P5540 = P5541))))=""単価"","""",
IF(COUNTIF(P$2:P5540, P5541)=0, """", INDEX(H$2:H5540,
MAX(FILTER(ROW(H$2:H5540) - ROW(H$2) + 1, P$2:P5540 = P5541)))))"),49.0)</f>
        <v>49</v>
      </c>
      <c r="N5541" s="335" t="str">
        <f>IF(MAXIFS('単価履歴'!$O:$O,'単価履歴'!$E:$E,E5541,'単価履歴'!$F:$F,F5541)=O5541,"●","")</f>
        <v/>
      </c>
      <c r="O5541" s="346">
        <v>46122.28597222222</v>
      </c>
      <c r="P5541" s="334" t="str">
        <f t="shared" si="4"/>
        <v>山口鋼業:MM建材Ｈ２(特級)</v>
      </c>
    </row>
    <row r="5542" ht="15.75" customHeight="1">
      <c r="A5542" s="335" t="s">
        <v>6689</v>
      </c>
      <c r="B5542" s="336">
        <v>46122.0</v>
      </c>
      <c r="C5542" s="349" t="s">
        <v>15</v>
      </c>
      <c r="D5542" s="349" t="s">
        <v>58</v>
      </c>
      <c r="E5542" s="337" t="str">
        <f t="shared" si="1"/>
        <v>山口鋼業:MM建材</v>
      </c>
      <c r="F5542" s="338" t="s">
        <v>119</v>
      </c>
      <c r="G5542" s="339" t="str">
        <f t="shared" si="2"/>
        <v>山口鋼業:MM建材Ｈ３(1級)</v>
      </c>
      <c r="H5542" s="340">
        <f t="shared" si="3"/>
        <v>49.5</v>
      </c>
      <c r="I5542" s="341">
        <v>1.5</v>
      </c>
      <c r="J5542" s="332">
        <f>IFERROR(__xludf.DUMMYFUNCTION("IF(IF(COUNTIF(P$2:P5541, P5542)=0, """", INDEX(H$2:H5541,
MAX(FILTER(ROW(H$2:H5541) - ROW(H$2) + 1, P$2:P5541 = P5542))))=""単価"","""",
IF(COUNTIF(P$2:P5541, P5542)=0, """", INDEX(H$2:H5541,
MAX(FILTER(ROW(H$2:H5541) - ROW(H$2) + 1, P$2:P5541 = P5542)))))"),48.0)</f>
        <v>48</v>
      </c>
      <c r="N5542" s="335" t="str">
        <f>IF(MAXIFS('単価履歴'!$O:$O,'単価履歴'!$E:$E,E5542,'単価履歴'!$F:$F,F5542)=O5542,"●","")</f>
        <v/>
      </c>
      <c r="O5542" s="346">
        <v>46122.28597222222</v>
      </c>
      <c r="P5542" s="334" t="str">
        <f t="shared" si="4"/>
        <v>山口鋼業:MM建材Ｈ３(1級)</v>
      </c>
    </row>
    <row r="5543" ht="15.75" customHeight="1">
      <c r="A5543" s="335" t="s">
        <v>6690</v>
      </c>
      <c r="B5543" s="336">
        <v>46122.0</v>
      </c>
      <c r="C5543" s="349" t="s">
        <v>15</v>
      </c>
      <c r="D5543" s="349" t="s">
        <v>58</v>
      </c>
      <c r="E5543" s="337" t="str">
        <f t="shared" si="1"/>
        <v>山口鋼業:MM建材</v>
      </c>
      <c r="F5543" s="338" t="s">
        <v>573</v>
      </c>
      <c r="G5543" s="339" t="str">
        <f t="shared" si="2"/>
        <v>山口鋼業:MM建材Ｌ２(H4･級外･L1ﾊﾞﾗ)</v>
      </c>
      <c r="H5543" s="340">
        <f t="shared" si="3"/>
        <v>48</v>
      </c>
      <c r="I5543" s="341">
        <v>1.5</v>
      </c>
      <c r="J5543" s="332">
        <f>IFERROR(__xludf.DUMMYFUNCTION("IF(IF(COUNTIF(P$2:P5542, P5543)=0, """", INDEX(H$2:H5542,
MAX(FILTER(ROW(H$2:H5542) - ROW(H$2) + 1, P$2:P5542 = P5543))))=""単価"","""",
IF(COUNTIF(P$2:P5542, P5543)=0, """", INDEX(H$2:H5542,
MAX(FILTER(ROW(H$2:H5542) - ROW(H$2) + 1, P$2:P5542 = P5543)))))"),46.5)</f>
        <v>46.5</v>
      </c>
      <c r="N5543" s="335" t="str">
        <f>IF(MAXIFS('単価履歴'!$O:$O,'単価履歴'!$E:$E,E5543,'単価履歴'!$F:$F,F5543)=O5543,"●","")</f>
        <v/>
      </c>
      <c r="O5543" s="346">
        <v>46122.28597222222</v>
      </c>
      <c r="P5543" s="334" t="str">
        <f t="shared" si="4"/>
        <v>山口鋼業:MM建材Ｌ２(H4･級外･L1ﾊﾞﾗ)</v>
      </c>
    </row>
    <row r="5544" ht="15.75" customHeight="1">
      <c r="A5544" s="335" t="s">
        <v>6691</v>
      </c>
      <c r="B5544" s="336">
        <v>46122.0</v>
      </c>
      <c r="C5544" s="349" t="s">
        <v>15</v>
      </c>
      <c r="D5544" s="349" t="s">
        <v>58</v>
      </c>
      <c r="E5544" s="337" t="str">
        <f t="shared" si="1"/>
        <v>山口鋼業:MM建材</v>
      </c>
      <c r="F5544" s="338" t="s">
        <v>575</v>
      </c>
      <c r="G5544" s="339" t="str">
        <f t="shared" si="2"/>
        <v>山口鋼業:MM建材鋼ダライＡ</v>
      </c>
      <c r="H5544" s="340">
        <f t="shared" si="3"/>
        <v>47.1</v>
      </c>
      <c r="I5544" s="341">
        <v>1.5</v>
      </c>
      <c r="J5544" s="332">
        <f>IFERROR(__xludf.DUMMYFUNCTION("IF(IF(COUNTIF(P$2:P5543, P5544)=0, """", INDEX(H$2:H5543,
MAX(FILTER(ROW(H$2:H5543) - ROW(H$2) + 1, P$2:P5543 = P5544))))=""単価"","""",
IF(COUNTIF(P$2:P5543, P5544)=0, """", INDEX(H$2:H5543,
MAX(FILTER(ROW(H$2:H5543) - ROW(H$2) + 1, P$2:P5543 = P5544)))))"),45.6)</f>
        <v>45.6</v>
      </c>
      <c r="N5544" s="335" t="str">
        <f>IF(MAXIFS('単価履歴'!$O:$O,'単価履歴'!$E:$E,E5544,'単価履歴'!$F:$F,F5544)=O5544,"●","")</f>
        <v/>
      </c>
      <c r="O5544" s="346">
        <v>46122.28597222222</v>
      </c>
      <c r="P5544" s="334" t="str">
        <f t="shared" si="4"/>
        <v>山口鋼業:MM建材鋼ダライＡ</v>
      </c>
    </row>
    <row r="5545" ht="15.75" customHeight="1">
      <c r="A5545" s="335" t="s">
        <v>6692</v>
      </c>
      <c r="B5545" s="336">
        <v>46122.0</v>
      </c>
      <c r="C5545" s="349" t="s">
        <v>15</v>
      </c>
      <c r="D5545" s="349" t="s">
        <v>58</v>
      </c>
      <c r="E5545" s="337" t="str">
        <f t="shared" si="1"/>
        <v>山口鋼業:MM建材</v>
      </c>
      <c r="F5545" s="338" t="s">
        <v>577</v>
      </c>
      <c r="G5545" s="339" t="str">
        <f t="shared" si="2"/>
        <v>山口鋼業:MM建材鋳物・ﾀﾞｸﾀｲﾙ</v>
      </c>
      <c r="H5545" s="340">
        <f t="shared" si="3"/>
        <v>51</v>
      </c>
      <c r="I5545" s="341">
        <v>1.5</v>
      </c>
      <c r="J5545" s="332">
        <f>IFERROR(__xludf.DUMMYFUNCTION("IF(IF(COUNTIF(P$2:P5544, P5545)=0, """", INDEX(H$2:H5544,
MAX(FILTER(ROW(H$2:H5544) - ROW(H$2) + 1, P$2:P5544 = P5545))))=""単価"","""",
IF(COUNTIF(P$2:P5544, P5545)=0, """", INDEX(H$2:H5544,
MAX(FILTER(ROW(H$2:H5544) - ROW(H$2) + 1, P$2:P5544 = P5545)))))"),49.5)</f>
        <v>49.5</v>
      </c>
      <c r="N5545" s="335" t="str">
        <f>IF(MAXIFS('単価履歴'!$O:$O,'単価履歴'!$E:$E,E5545,'単価履歴'!$F:$F,F5545)=O5545,"●","")</f>
        <v/>
      </c>
      <c r="O5545" s="346">
        <v>46122.28597222222</v>
      </c>
      <c r="P5545" s="334" t="str">
        <f t="shared" si="4"/>
        <v>山口鋼業:MM建材鋳物・ﾀﾞｸﾀｲﾙ</v>
      </c>
    </row>
    <row r="5546" ht="15.75" customHeight="1">
      <c r="A5546" s="335" t="s">
        <v>6693</v>
      </c>
      <c r="B5546" s="336">
        <v>46122.0</v>
      </c>
      <c r="C5546" s="349" t="s">
        <v>537</v>
      </c>
      <c r="D5546" s="349" t="s">
        <v>59</v>
      </c>
      <c r="E5546" s="337" t="str">
        <f t="shared" si="1"/>
        <v>大同特殊鋼:大同興業</v>
      </c>
      <c r="F5546" s="338" t="s">
        <v>1199</v>
      </c>
      <c r="G5546" s="339" t="str">
        <f t="shared" si="2"/>
        <v>大同特殊鋼:大同興業ＨＳ１(単体H1/電特A/HS))</v>
      </c>
      <c r="H5546" s="340">
        <f t="shared" si="3"/>
        <v>55.5</v>
      </c>
      <c r="I5546" s="341">
        <v>1.5</v>
      </c>
      <c r="J5546" s="332">
        <f>IFERROR(__xludf.DUMMYFUNCTION("IF(IF(COUNTIF(P$2:P5545, P5546)=0, """", INDEX(H$2:H5545,
MAX(FILTER(ROW(H$2:H5545) - ROW(H$2) + 1, P$2:P5545 = P5546))))=""単価"","""",
IF(COUNTIF(P$2:P5545, P5546)=0, """", INDEX(H$2:H5545,
MAX(FILTER(ROW(H$2:H5545) - ROW(H$2) + 1, P$2:P5545 = P5546)))))"),54.0)</f>
        <v>54</v>
      </c>
      <c r="N5546" s="335" t="str">
        <f>IF(MAXIFS('単価履歴'!$O:$O,'単価履歴'!$E:$E,E5546,'単価履歴'!$F:$F,F5546)=O5546,"●","")</f>
        <v/>
      </c>
      <c r="O5546" s="346">
        <v>46122.28630787037</v>
      </c>
      <c r="P5546" s="334" t="str">
        <f t="shared" si="4"/>
        <v>大同特殊鋼:大同興業ＨＳ１(単体H1/電特A/HS))</v>
      </c>
    </row>
    <row r="5547" ht="15.75" customHeight="1">
      <c r="A5547" s="335" t="s">
        <v>6694</v>
      </c>
      <c r="B5547" s="336">
        <v>46122.0</v>
      </c>
      <c r="C5547" s="349" t="s">
        <v>537</v>
      </c>
      <c r="D5547" s="349" t="s">
        <v>59</v>
      </c>
      <c r="E5547" s="337" t="str">
        <f t="shared" si="1"/>
        <v>大同特殊鋼:大同興業</v>
      </c>
      <c r="F5547" s="338" t="s">
        <v>575</v>
      </c>
      <c r="G5547" s="339" t="str">
        <f t="shared" si="2"/>
        <v>大同特殊鋼:大同興業鋼ダライＡ</v>
      </c>
      <c r="H5547" s="340">
        <f t="shared" si="3"/>
        <v>47.9</v>
      </c>
      <c r="I5547" s="341">
        <v>1.5</v>
      </c>
      <c r="J5547" s="332">
        <f>IFERROR(__xludf.DUMMYFUNCTION("IF(IF(COUNTIF(P$2:P5546, P5547)=0, """", INDEX(H$2:H5546,
MAX(FILTER(ROW(H$2:H5546) - ROW(H$2) + 1, P$2:P5546 = P5547))))=""単価"","""",
IF(COUNTIF(P$2:P5546, P5547)=0, """", INDEX(H$2:H5546,
MAX(FILTER(ROW(H$2:H5546) - ROW(H$2) + 1, P$2:P5546 = P5547)))))"),46.4)</f>
        <v>46.4</v>
      </c>
      <c r="N5547" s="335" t="str">
        <f>IF(MAXIFS('単価履歴'!$O:$O,'単価履歴'!$E:$E,E5547,'単価履歴'!$F:$F,F5547)=O5547,"●","")</f>
        <v/>
      </c>
      <c r="O5547" s="346">
        <v>46122.28630787037</v>
      </c>
      <c r="P5547" s="334" t="str">
        <f t="shared" si="4"/>
        <v>大同特殊鋼:大同興業鋼ダライＡ</v>
      </c>
    </row>
    <row r="5548" ht="15.75" customHeight="1">
      <c r="A5548" s="335" t="s">
        <v>6695</v>
      </c>
      <c r="B5548" s="336">
        <v>46122.0</v>
      </c>
      <c r="C5548" s="349" t="s">
        <v>537</v>
      </c>
      <c r="D5548" s="349" t="s">
        <v>1404</v>
      </c>
      <c r="E5548" s="337" t="str">
        <f t="shared" si="1"/>
        <v>大同特殊鋼:JSE/大和ﾘﾃｯｸ</v>
      </c>
      <c r="F5548" s="338" t="s">
        <v>1199</v>
      </c>
      <c r="G5548" s="339" t="str">
        <f t="shared" si="2"/>
        <v>大同特殊鋼:JSE/大和ﾘﾃｯｸＨＳ１(単体H1/電特A/HS))</v>
      </c>
      <c r="H5548" s="340">
        <f t="shared" si="3"/>
        <v>54.8</v>
      </c>
      <c r="I5548" s="341">
        <v>1.5</v>
      </c>
      <c r="J5548" s="332">
        <f>IFERROR(__xludf.DUMMYFUNCTION("IF(IF(COUNTIF(P$2:P5547, P5548)=0, """", INDEX(H$2:H5547,
MAX(FILTER(ROW(H$2:H5547) - ROW(H$2) + 1, P$2:P5547 = P5548))))=""単価"","""",
IF(COUNTIF(P$2:P5547, P5548)=0, """", INDEX(H$2:H5547,
MAX(FILTER(ROW(H$2:H5547) - ROW(H$2) + 1, P$2:P5547 = P5548)))))"),53.3)</f>
        <v>53.3</v>
      </c>
      <c r="N5548" s="335" t="str">
        <f>IF(MAXIFS('単価履歴'!$O:$O,'単価履歴'!$E:$E,E5548,'単価履歴'!$F:$F,F5548)=O5548,"●","")</f>
        <v/>
      </c>
      <c r="O5548" s="346">
        <v>46122.28653935185</v>
      </c>
      <c r="P5548" s="334" t="str">
        <f t="shared" si="4"/>
        <v>大同特殊鋼:JSE/大和ﾘﾃｯｸＨＳ１(単体H1/電特A/HS))</v>
      </c>
    </row>
    <row r="5549" ht="15.75" customHeight="1">
      <c r="A5549" s="335" t="s">
        <v>6696</v>
      </c>
      <c r="B5549" s="336">
        <v>46122.0</v>
      </c>
      <c r="C5549" s="349" t="s">
        <v>537</v>
      </c>
      <c r="D5549" s="349" t="s">
        <v>1404</v>
      </c>
      <c r="E5549" s="337" t="str">
        <f t="shared" si="1"/>
        <v>大同特殊鋼:JSE/大和ﾘﾃｯｸ</v>
      </c>
      <c r="F5549" s="338" t="s">
        <v>116</v>
      </c>
      <c r="G5549" s="339" t="str">
        <f t="shared" si="2"/>
        <v>大同特殊鋼:JSE/大和ﾘﾃｯｸＨ２(特級)</v>
      </c>
      <c r="H5549" s="340">
        <f t="shared" si="3"/>
        <v>51.7</v>
      </c>
      <c r="I5549" s="341">
        <v>1.5</v>
      </c>
      <c r="J5549" s="332">
        <f>IFERROR(__xludf.DUMMYFUNCTION("IF(IF(COUNTIF(P$2:P5548, P5549)=0, """", INDEX(H$2:H5548,
MAX(FILTER(ROW(H$2:H5548) - ROW(H$2) + 1, P$2:P5548 = P5549))))=""単価"","""",
IF(COUNTIF(P$2:P5548, P5549)=0, """", INDEX(H$2:H5548,
MAX(FILTER(ROW(H$2:H5548) - ROW(H$2) + 1, P$2:P5548 = P5549)))))"),50.2)</f>
        <v>50.2</v>
      </c>
      <c r="N5549" s="335" t="str">
        <f>IF(MAXIFS('単価履歴'!$O:$O,'単価履歴'!$E:$E,E5549,'単価履歴'!$F:$F,F5549)=O5549,"●","")</f>
        <v/>
      </c>
      <c r="O5549" s="346">
        <v>46122.28653935185</v>
      </c>
      <c r="P5549" s="334" t="str">
        <f t="shared" si="4"/>
        <v>大同特殊鋼:JSE/大和ﾘﾃｯｸＨ２(特級)</v>
      </c>
    </row>
    <row r="5550" ht="15.75" customHeight="1">
      <c r="A5550" s="335" t="s">
        <v>6697</v>
      </c>
      <c r="B5550" s="336">
        <v>46122.0</v>
      </c>
      <c r="C5550" s="349" t="s">
        <v>537</v>
      </c>
      <c r="D5550" s="349" t="s">
        <v>1404</v>
      </c>
      <c r="E5550" s="337" t="str">
        <f t="shared" si="1"/>
        <v>大同特殊鋼:JSE/大和ﾘﾃｯｸ</v>
      </c>
      <c r="F5550" s="338" t="s">
        <v>575</v>
      </c>
      <c r="G5550" s="339" t="str">
        <f t="shared" si="2"/>
        <v>大同特殊鋼:JSE/大和ﾘﾃｯｸ鋼ダライＡ</v>
      </c>
      <c r="H5550" s="340">
        <f t="shared" si="3"/>
        <v>50</v>
      </c>
      <c r="I5550" s="341">
        <v>1.5</v>
      </c>
      <c r="J5550" s="332">
        <f>IFERROR(__xludf.DUMMYFUNCTION("IF(IF(COUNTIF(P$2:P5549, P5550)=0, """", INDEX(H$2:H5549,
MAX(FILTER(ROW(H$2:H5549) - ROW(H$2) + 1, P$2:P5549 = P5550))))=""単価"","""",
IF(COUNTIF(P$2:P5549, P5550)=0, """", INDEX(H$2:H5549,
MAX(FILTER(ROW(H$2:H5549) - ROW(H$2) + 1, P$2:P5549 = P5550)))))"),48.5)</f>
        <v>48.5</v>
      </c>
      <c r="N5550" s="335" t="str">
        <f>IF(MAXIFS('単価履歴'!$O:$O,'単価履歴'!$E:$E,E5550,'単価履歴'!$F:$F,F5550)=O5550,"●","")</f>
        <v/>
      </c>
      <c r="O5550" s="346">
        <v>46122.28653935185</v>
      </c>
      <c r="P5550" s="334" t="str">
        <f t="shared" si="4"/>
        <v>大同特殊鋼:JSE/大和ﾘﾃｯｸ鋼ダライＡ</v>
      </c>
    </row>
    <row r="5551" ht="15.75" customHeight="1">
      <c r="A5551" s="335" t="s">
        <v>6698</v>
      </c>
      <c r="B5551" s="336">
        <v>46122.0</v>
      </c>
      <c r="C5551" s="349" t="s">
        <v>537</v>
      </c>
      <c r="D5551" s="349" t="s">
        <v>1407</v>
      </c>
      <c r="E5551" s="337" t="str">
        <f t="shared" si="1"/>
        <v>大同特殊鋼:JSE/第二＠2.3</v>
      </c>
      <c r="F5551" s="338" t="s">
        <v>1199</v>
      </c>
      <c r="G5551" s="339" t="str">
        <f t="shared" si="2"/>
        <v>大同特殊鋼:JSE/第二＠2.3ＨＳ１(単体H1/電特A/HS))</v>
      </c>
      <c r="H5551" s="340">
        <f t="shared" si="3"/>
        <v>52.5</v>
      </c>
      <c r="I5551" s="341">
        <v>1.5</v>
      </c>
      <c r="J5551" s="332">
        <f>IFERROR(__xludf.DUMMYFUNCTION("IF(IF(COUNTIF(P$2:P5550, P5551)=0, """", INDEX(H$2:H5550,
MAX(FILTER(ROW(H$2:H5550) - ROW(H$2) + 1, P$2:P5550 = P5551))))=""単価"","""",
IF(COUNTIF(P$2:P5550, P5551)=0, """", INDEX(H$2:H5550,
MAX(FILTER(ROW(H$2:H5550) - ROW(H$2) + 1, P$2:P5550 = P5551)))))"),51.0)</f>
        <v>51</v>
      </c>
      <c r="N5551" s="335" t="str">
        <f>IF(MAXIFS('単価履歴'!$O:$O,'単価履歴'!$E:$E,E5551,'単価履歴'!$F:$F,F5551)=O5551,"●","")</f>
        <v/>
      </c>
      <c r="O5551" s="346">
        <v>46122.28653935185</v>
      </c>
      <c r="P5551" s="334" t="str">
        <f t="shared" si="4"/>
        <v>大同特殊鋼:JSE/第二＠2.3ＨＳ１(単体H1/電特A/HS))</v>
      </c>
    </row>
    <row r="5552" ht="15.75" customHeight="1">
      <c r="A5552" s="335" t="s">
        <v>6699</v>
      </c>
      <c r="B5552" s="336">
        <v>46122.0</v>
      </c>
      <c r="C5552" s="349" t="s">
        <v>537</v>
      </c>
      <c r="D5552" s="349" t="s">
        <v>1407</v>
      </c>
      <c r="E5552" s="337" t="str">
        <f t="shared" si="1"/>
        <v>大同特殊鋼:JSE/第二＠2.3</v>
      </c>
      <c r="F5552" s="338" t="s">
        <v>116</v>
      </c>
      <c r="G5552" s="339" t="str">
        <f t="shared" si="2"/>
        <v>大同特殊鋼:JSE/第二＠2.3Ｈ２(特級)</v>
      </c>
      <c r="H5552" s="340">
        <f t="shared" si="3"/>
        <v>49.4</v>
      </c>
      <c r="I5552" s="341">
        <v>1.5</v>
      </c>
      <c r="J5552" s="332">
        <f>IFERROR(__xludf.DUMMYFUNCTION("IF(IF(COUNTIF(P$2:P5551, P5552)=0, """", INDEX(H$2:H5551,
MAX(FILTER(ROW(H$2:H5551) - ROW(H$2) + 1, P$2:P5551 = P5552))))=""単価"","""",
IF(COUNTIF(P$2:P5551, P5552)=0, """", INDEX(H$2:H5551,
MAX(FILTER(ROW(H$2:H5551) - ROW(H$2) + 1, P$2:P5551 = P5552)))))"),47.900000000000006)</f>
        <v>47.9</v>
      </c>
      <c r="N5552" s="335" t="str">
        <f>IF(MAXIFS('単価履歴'!$O:$O,'単価履歴'!$E:$E,E5552,'単価履歴'!$F:$F,F5552)=O5552,"●","")</f>
        <v/>
      </c>
      <c r="O5552" s="346">
        <v>46122.28653935185</v>
      </c>
      <c r="P5552" s="334" t="str">
        <f t="shared" si="4"/>
        <v>大同特殊鋼:JSE/第二＠2.3Ｈ２(特級)</v>
      </c>
    </row>
    <row r="5553" ht="15.75" customHeight="1">
      <c r="A5553" s="335" t="s">
        <v>6700</v>
      </c>
      <c r="B5553" s="336">
        <v>46122.0</v>
      </c>
      <c r="C5553" s="349" t="s">
        <v>537</v>
      </c>
      <c r="D5553" s="349" t="s">
        <v>1407</v>
      </c>
      <c r="E5553" s="337" t="str">
        <f t="shared" si="1"/>
        <v>大同特殊鋼:JSE/第二＠2.3</v>
      </c>
      <c r="F5553" s="338" t="s">
        <v>575</v>
      </c>
      <c r="G5553" s="339" t="str">
        <f t="shared" si="2"/>
        <v>大同特殊鋼:JSE/第二＠2.3鋼ダライＡ</v>
      </c>
      <c r="H5553" s="340">
        <f t="shared" si="3"/>
        <v>47.7</v>
      </c>
      <c r="I5553" s="341">
        <v>1.5</v>
      </c>
      <c r="J5553" s="332">
        <f>IFERROR(__xludf.DUMMYFUNCTION("IF(IF(COUNTIF(P$2:P5552, P5553)=0, """", INDEX(H$2:H5552,
MAX(FILTER(ROW(H$2:H5552) - ROW(H$2) + 1, P$2:P5552 = P5553))))=""単価"","""",
IF(COUNTIF(P$2:P5552, P5553)=0, """", INDEX(H$2:H5552,
MAX(FILTER(ROW(H$2:H5552) - ROW(H$2) + 1, P$2:P5552 = P5553)))))"),46.2)</f>
        <v>46.2</v>
      </c>
      <c r="N5553" s="335" t="str">
        <f>IF(MAXIFS('単価履歴'!$O:$O,'単価履歴'!$E:$E,E5553,'単価履歴'!$F:$F,F5553)=O5553,"●","")</f>
        <v/>
      </c>
      <c r="O5553" s="346">
        <v>46122.28653935185</v>
      </c>
      <c r="P5553" s="334" t="str">
        <f t="shared" si="4"/>
        <v>大同特殊鋼:JSE/第二＠2.3鋼ダライＡ</v>
      </c>
    </row>
    <row r="5554" ht="15.75" customHeight="1">
      <c r="A5554" s="335" t="s">
        <v>6701</v>
      </c>
      <c r="B5554" s="336">
        <v>46122.0</v>
      </c>
      <c r="C5554" s="349" t="s">
        <v>537</v>
      </c>
      <c r="D5554" s="349" t="s">
        <v>1410</v>
      </c>
      <c r="E5554" s="337" t="str">
        <f t="shared" si="1"/>
        <v>大同特殊鋼:JSE/岐阜＠1.5</v>
      </c>
      <c r="F5554" s="338" t="s">
        <v>1199</v>
      </c>
      <c r="G5554" s="339" t="str">
        <f t="shared" si="2"/>
        <v>大同特殊鋼:JSE/岐阜＠1.5ＨＳ１(単体H1/電特A/HS))</v>
      </c>
      <c r="H5554" s="340">
        <f t="shared" si="3"/>
        <v>53.3</v>
      </c>
      <c r="I5554" s="341">
        <v>1.5</v>
      </c>
      <c r="J5554" s="332">
        <f>IFERROR(__xludf.DUMMYFUNCTION("IF(IF(COUNTIF(P$2:P5553, P5554)=0, """", INDEX(H$2:H5553,
MAX(FILTER(ROW(H$2:H5553) - ROW(H$2) + 1, P$2:P5553 = P5554))))=""単価"","""",
IF(COUNTIF(P$2:P5553, P5554)=0, """", INDEX(H$2:H5553,
MAX(FILTER(ROW(H$2:H5553) - ROW(H$2) + 1, P$2:P5553 = P5554)))))"),51.8)</f>
        <v>51.8</v>
      </c>
      <c r="N5554" s="335" t="str">
        <f>IF(MAXIFS('単価履歴'!$O:$O,'単価履歴'!$E:$E,E5554,'単価履歴'!$F:$F,F5554)=O5554,"●","")</f>
        <v/>
      </c>
      <c r="O5554" s="346">
        <v>46122.28653935185</v>
      </c>
      <c r="P5554" s="334" t="str">
        <f t="shared" si="4"/>
        <v>大同特殊鋼:JSE/岐阜＠1.5ＨＳ１(単体H1/電特A/HS))</v>
      </c>
    </row>
    <row r="5555" ht="15.75" customHeight="1">
      <c r="A5555" s="335" t="s">
        <v>6702</v>
      </c>
      <c r="B5555" s="336">
        <v>46122.0</v>
      </c>
      <c r="C5555" s="349" t="s">
        <v>537</v>
      </c>
      <c r="D5555" s="349" t="s">
        <v>1410</v>
      </c>
      <c r="E5555" s="337" t="str">
        <f t="shared" si="1"/>
        <v>大同特殊鋼:JSE/岐阜＠1.5</v>
      </c>
      <c r="F5555" s="338" t="s">
        <v>116</v>
      </c>
      <c r="G5555" s="339" t="str">
        <f t="shared" si="2"/>
        <v>大同特殊鋼:JSE/岐阜＠1.5Ｈ２(特級)</v>
      </c>
      <c r="H5555" s="340">
        <f t="shared" si="3"/>
        <v>50.2</v>
      </c>
      <c r="I5555" s="341">
        <v>1.5</v>
      </c>
      <c r="J5555" s="332">
        <f>IFERROR(__xludf.DUMMYFUNCTION("IF(IF(COUNTIF(P$2:P5554, P5555)=0, """", INDEX(H$2:H5554,
MAX(FILTER(ROW(H$2:H5554) - ROW(H$2) + 1, P$2:P5554 = P5555))))=""単価"","""",
IF(COUNTIF(P$2:P5554, P5555)=0, """", INDEX(H$2:H5554,
MAX(FILTER(ROW(H$2:H5554) - ROW(H$2) + 1, P$2:P5554 = P5555)))))"),48.7)</f>
        <v>48.7</v>
      </c>
      <c r="N5555" s="335" t="str">
        <f>IF(MAXIFS('単価履歴'!$O:$O,'単価履歴'!$E:$E,E5555,'単価履歴'!$F:$F,F5555)=O5555,"●","")</f>
        <v/>
      </c>
      <c r="O5555" s="346">
        <v>46122.28653935185</v>
      </c>
      <c r="P5555" s="334" t="str">
        <f t="shared" si="4"/>
        <v>大同特殊鋼:JSE/岐阜＠1.5Ｈ２(特級)</v>
      </c>
    </row>
    <row r="5556" ht="15.75" customHeight="1">
      <c r="A5556" s="335" t="s">
        <v>6703</v>
      </c>
      <c r="B5556" s="336">
        <v>46122.0</v>
      </c>
      <c r="C5556" s="349" t="s">
        <v>537</v>
      </c>
      <c r="D5556" s="349" t="s">
        <v>1410</v>
      </c>
      <c r="E5556" s="337" t="str">
        <f t="shared" si="1"/>
        <v>大同特殊鋼:JSE/岐阜＠1.5</v>
      </c>
      <c r="F5556" s="338" t="s">
        <v>575</v>
      </c>
      <c r="G5556" s="339" t="str">
        <f t="shared" si="2"/>
        <v>大同特殊鋼:JSE/岐阜＠1.5鋼ダライＡ</v>
      </c>
      <c r="H5556" s="340">
        <f t="shared" si="3"/>
        <v>48.5</v>
      </c>
      <c r="I5556" s="341">
        <v>1.5</v>
      </c>
      <c r="J5556" s="332">
        <f>IFERROR(__xludf.DUMMYFUNCTION("IF(IF(COUNTIF(P$2:P5555, P5556)=0, """", INDEX(H$2:H5555,
MAX(FILTER(ROW(H$2:H5555) - ROW(H$2) + 1, P$2:P5555 = P5556))))=""単価"","""",
IF(COUNTIF(P$2:P5555, P5556)=0, """", INDEX(H$2:H5555,
MAX(FILTER(ROW(H$2:H5555) - ROW(H$2) + 1, P$2:P5555 = P5556)))))"),47.0)</f>
        <v>47</v>
      </c>
      <c r="N5556" s="335" t="str">
        <f>IF(MAXIFS('単価履歴'!$O:$O,'単価履歴'!$E:$E,E5556,'単価履歴'!$F:$F,F5556)=O5556,"●","")</f>
        <v/>
      </c>
      <c r="O5556" s="346">
        <v>46122.28653935185</v>
      </c>
      <c r="P5556" s="334" t="str">
        <f t="shared" si="4"/>
        <v>大同特殊鋼:JSE/岐阜＠1.5鋼ダライＡ</v>
      </c>
    </row>
    <row r="5557" ht="15.75" customHeight="1">
      <c r="A5557" s="335" t="s">
        <v>6704</v>
      </c>
      <c r="B5557" s="336">
        <v>46122.0</v>
      </c>
      <c r="C5557" s="349" t="s">
        <v>37</v>
      </c>
      <c r="D5557" s="349" t="s">
        <v>48</v>
      </c>
      <c r="E5557" s="337" t="str">
        <f t="shared" si="1"/>
        <v>共英名古屋:ナベ</v>
      </c>
      <c r="F5557" s="338" t="s">
        <v>111</v>
      </c>
      <c r="G5557" s="339" t="str">
        <f t="shared" si="2"/>
        <v>共英名古屋:ナベＨ１(特A)</v>
      </c>
      <c r="H5557" s="340">
        <f t="shared" si="3"/>
        <v>54.2</v>
      </c>
      <c r="I5557" s="341">
        <v>1.5</v>
      </c>
      <c r="J5557" s="332">
        <f>IFERROR(__xludf.DUMMYFUNCTION("IF(IF(COUNTIF(P$2:P5556, P5557)=0, """", INDEX(H$2:H5556,
MAX(FILTER(ROW(H$2:H5556) - ROW(H$2) + 1, P$2:P5556 = P5557))))=""単価"","""",
IF(COUNTIF(P$2:P5556, P5557)=0, """", INDEX(H$2:H5556,
MAX(FILTER(ROW(H$2:H5556) - ROW(H$2) + 1, P$2:P5556 = P5557)))))"),52.7)</f>
        <v>52.7</v>
      </c>
      <c r="N5557" s="335" t="str">
        <f>IF(MAXIFS('単価履歴'!$O:$O,'単価履歴'!$E:$E,E5557,'単価履歴'!$F:$F,F5557)=O5557,"●","")</f>
        <v/>
      </c>
      <c r="O5557" s="346">
        <v>46122.28680555556</v>
      </c>
      <c r="P5557" s="334" t="str">
        <f t="shared" si="4"/>
        <v>共英名古屋:ナベＨ１(特A)</v>
      </c>
    </row>
    <row r="5558" ht="15.75" customHeight="1">
      <c r="A5558" s="335" t="s">
        <v>6705</v>
      </c>
      <c r="B5558" s="336">
        <v>46122.0</v>
      </c>
      <c r="C5558" s="349" t="s">
        <v>37</v>
      </c>
      <c r="D5558" s="349" t="s">
        <v>48</v>
      </c>
      <c r="E5558" s="337" t="str">
        <f t="shared" si="1"/>
        <v>共英名古屋:ナベ</v>
      </c>
      <c r="F5558" s="338" t="s">
        <v>116</v>
      </c>
      <c r="G5558" s="339" t="str">
        <f t="shared" si="2"/>
        <v>共英名古屋:ナベＨ２(特級)</v>
      </c>
      <c r="H5558" s="340">
        <f t="shared" si="3"/>
        <v>51.5</v>
      </c>
      <c r="I5558" s="341">
        <v>1.5</v>
      </c>
      <c r="J5558" s="332">
        <f>IFERROR(__xludf.DUMMYFUNCTION("IF(IF(COUNTIF(P$2:P5557, P5558)=0, """", INDEX(H$2:H5557,
MAX(FILTER(ROW(H$2:H5557) - ROW(H$2) + 1, P$2:P5557 = P5558))))=""単価"","""",
IF(COUNTIF(P$2:P5557, P5558)=0, """", INDEX(H$2:H5557,
MAX(FILTER(ROW(H$2:H5557) - ROW(H$2) + 1, P$2:P5557 = P5558)))))"),50.0)</f>
        <v>50</v>
      </c>
      <c r="N5558" s="335" t="str">
        <f>IF(MAXIFS('単価履歴'!$O:$O,'単価履歴'!$E:$E,E5558,'単価履歴'!$F:$F,F5558)=O5558,"●","")</f>
        <v/>
      </c>
      <c r="O5558" s="346">
        <v>46122.28680555556</v>
      </c>
      <c r="P5558" s="334" t="str">
        <f t="shared" si="4"/>
        <v>共英名古屋:ナベＨ２(特級)</v>
      </c>
    </row>
    <row r="5559" ht="15.75" customHeight="1">
      <c r="A5559" s="335" t="s">
        <v>6706</v>
      </c>
      <c r="B5559" s="336">
        <v>46122.0</v>
      </c>
      <c r="C5559" s="349" t="s">
        <v>37</v>
      </c>
      <c r="D5559" s="349" t="s">
        <v>48</v>
      </c>
      <c r="E5559" s="337" t="str">
        <f t="shared" si="1"/>
        <v>共英名古屋:ナベ</v>
      </c>
      <c r="F5559" s="338" t="s">
        <v>119</v>
      </c>
      <c r="G5559" s="339" t="str">
        <f t="shared" si="2"/>
        <v>共英名古屋:ナベＨ３(1級)</v>
      </c>
      <c r="H5559" s="340">
        <f t="shared" si="3"/>
        <v>50.5</v>
      </c>
      <c r="I5559" s="341">
        <v>1.5</v>
      </c>
      <c r="J5559" s="332">
        <f>IFERROR(__xludf.DUMMYFUNCTION("IF(IF(COUNTIF(P$2:P5558, P5559)=0, """", INDEX(H$2:H5558,
MAX(FILTER(ROW(H$2:H5558) - ROW(H$2) + 1, P$2:P5558 = P5559))))=""単価"","""",
IF(COUNTIF(P$2:P5558, P5559)=0, """", INDEX(H$2:H5558,
MAX(FILTER(ROW(H$2:H5558) - ROW(H$2) + 1, P$2:P5558 = P5559)))))"),49.0)</f>
        <v>49</v>
      </c>
      <c r="N5559" s="335" t="str">
        <f>IF(MAXIFS('単価履歴'!$O:$O,'単価履歴'!$E:$E,E5559,'単価履歴'!$F:$F,F5559)=O5559,"●","")</f>
        <v/>
      </c>
      <c r="O5559" s="346">
        <v>46122.28680555556</v>
      </c>
      <c r="P5559" s="334" t="str">
        <f t="shared" si="4"/>
        <v>共英名古屋:ナベＨ３(1級)</v>
      </c>
    </row>
    <row r="5560" ht="15.75" customHeight="1">
      <c r="A5560" s="335" t="s">
        <v>6707</v>
      </c>
      <c r="B5560" s="336">
        <v>46122.0</v>
      </c>
      <c r="C5560" s="349" t="s">
        <v>37</v>
      </c>
      <c r="D5560" s="349" t="s">
        <v>48</v>
      </c>
      <c r="E5560" s="337" t="str">
        <f t="shared" si="1"/>
        <v>共英名古屋:ナベ</v>
      </c>
      <c r="F5560" s="338" t="s">
        <v>122</v>
      </c>
      <c r="G5560" s="339" t="str">
        <f t="shared" si="2"/>
        <v>共英名古屋:ナベＬ１(2級)</v>
      </c>
      <c r="H5560" s="340">
        <f t="shared" si="3"/>
        <v>47.5</v>
      </c>
      <c r="I5560" s="341">
        <v>1.5</v>
      </c>
      <c r="J5560" s="332">
        <f>IFERROR(__xludf.DUMMYFUNCTION("IF(IF(COUNTIF(P$2:P5559, P5560)=0, """", INDEX(H$2:H5559,
MAX(FILTER(ROW(H$2:H5559) - ROW(H$2) + 1, P$2:P5559 = P5560))))=""単価"","""",
IF(COUNTIF(P$2:P5559, P5560)=0, """", INDEX(H$2:H5559,
MAX(FILTER(ROW(H$2:H5559) - ROW(H$2) + 1, P$2:P5559 = P5560)))))"),46.0)</f>
        <v>46</v>
      </c>
      <c r="N5560" s="335" t="str">
        <f>IF(MAXIFS('単価履歴'!$O:$O,'単価履歴'!$E:$E,E5560,'単価履歴'!$F:$F,F5560)=O5560,"●","")</f>
        <v/>
      </c>
      <c r="O5560" s="346">
        <v>46122.28680555556</v>
      </c>
      <c r="P5560" s="334" t="str">
        <f t="shared" si="4"/>
        <v>共英名古屋:ナベＬ１(2級)</v>
      </c>
    </row>
    <row r="5561" ht="15.75" customHeight="1">
      <c r="A5561" s="335" t="s">
        <v>6708</v>
      </c>
      <c r="B5561" s="336">
        <v>46122.0</v>
      </c>
      <c r="C5561" s="349" t="s">
        <v>31</v>
      </c>
      <c r="D5561" s="349" t="s">
        <v>47</v>
      </c>
      <c r="E5561" s="337" t="str">
        <f t="shared" si="1"/>
        <v>泉北中谷:豊通</v>
      </c>
      <c r="F5561" s="338" t="s">
        <v>130</v>
      </c>
      <c r="G5561" s="339" t="str">
        <f t="shared" si="2"/>
        <v>泉北中谷:豊通新断Ａ</v>
      </c>
      <c r="H5561" s="340">
        <f t="shared" si="3"/>
        <v>57</v>
      </c>
      <c r="I5561" s="341">
        <v>1.5</v>
      </c>
      <c r="J5561" s="332">
        <f>IFERROR(__xludf.DUMMYFUNCTION("IF(IF(COUNTIF(P$2:P5560, P5561)=0, """", INDEX(H$2:H5560,
MAX(FILTER(ROW(H$2:H5560) - ROW(H$2) + 1, P$2:P5560 = P5561))))=""単価"","""",
IF(COUNTIF(P$2:P5560, P5561)=0, """", INDEX(H$2:H5560,
MAX(FILTER(ROW(H$2:H5560) - ROW(H$2) + 1, P$2:P5560 = P5561)))))"),55.5)</f>
        <v>55.5</v>
      </c>
      <c r="N5561" s="335" t="str">
        <f>IF(MAXIFS('単価履歴'!$O:$O,'単価履歴'!$E:$E,E5561,'単価履歴'!$F:$F,F5561)=O5561,"●","")</f>
        <v/>
      </c>
      <c r="O5561" s="346">
        <v>46122.319340277776</v>
      </c>
      <c r="P5561" s="334" t="str">
        <f t="shared" si="4"/>
        <v>泉北中谷:豊通新断Ａ</v>
      </c>
    </row>
    <row r="5562" ht="15.75" customHeight="1">
      <c r="A5562" s="335" t="s">
        <v>6709</v>
      </c>
      <c r="B5562" s="336">
        <v>46123.0</v>
      </c>
      <c r="C5562" s="349" t="s">
        <v>13</v>
      </c>
      <c r="D5562" s="349" t="s">
        <v>49</v>
      </c>
      <c r="E5562" s="337" t="str">
        <f t="shared" si="1"/>
        <v>ｸﾎﾞﾀ:伊藤忠</v>
      </c>
      <c r="F5562" s="338" t="s">
        <v>130</v>
      </c>
      <c r="G5562" s="339" t="str">
        <f t="shared" si="2"/>
        <v>ｸﾎﾞﾀ:伊藤忠新断Ａ</v>
      </c>
      <c r="H5562" s="340">
        <f t="shared" si="3"/>
        <v>58.7</v>
      </c>
      <c r="I5562" s="341">
        <v>2.5</v>
      </c>
      <c r="J5562" s="332">
        <f>IFERROR(__xludf.DUMMYFUNCTION("IF(IF(COUNTIF(P$2:P5561, P5562)=0, """", INDEX(H$2:H5561,
MAX(FILTER(ROW(H$2:H5561) - ROW(H$2) + 1, P$2:P5561 = P5562))))=""単価"","""",
IF(COUNTIF(P$2:P5561, P5562)=0, """", INDEX(H$2:H5561,
MAX(FILTER(ROW(H$2:H5561) - ROW(H$2) + 1, P$2:P5561 = P5562)))))"),56.2)</f>
        <v>56.2</v>
      </c>
      <c r="N5562" s="335" t="str">
        <f>IF(MAXIFS('単価履歴'!$O:$O,'単価履歴'!$E:$E,E5562,'単価履歴'!$F:$F,F5562)=O5562,"●","")</f>
        <v>●</v>
      </c>
      <c r="O5562" s="346">
        <v>46122.76476851852</v>
      </c>
      <c r="P5562" s="334" t="str">
        <f t="shared" si="4"/>
        <v>ｸﾎﾞﾀ:伊藤忠新断Ａ</v>
      </c>
    </row>
    <row r="5563" ht="15.75" customHeight="1">
      <c r="A5563" s="335" t="s">
        <v>6710</v>
      </c>
      <c r="B5563" s="336">
        <v>46122.0</v>
      </c>
      <c r="C5563" s="349" t="s">
        <v>10</v>
      </c>
      <c r="D5563" s="349" t="s">
        <v>47</v>
      </c>
      <c r="E5563" s="337" t="str">
        <f t="shared" si="1"/>
        <v>岸和田:豊通</v>
      </c>
      <c r="F5563" s="338" t="s">
        <v>111</v>
      </c>
      <c r="G5563" s="339" t="str">
        <f t="shared" si="2"/>
        <v>岸和田:豊通Ｈ１(特A)</v>
      </c>
      <c r="H5563" s="340">
        <f t="shared" si="3"/>
        <v>58</v>
      </c>
      <c r="I5563" s="341">
        <v>5.0</v>
      </c>
      <c r="J5563" s="332">
        <f>IFERROR(__xludf.DUMMYFUNCTION("IF(IF(COUNTIF(P$2:P5562, P5563)=0, """", INDEX(H$2:H5562,
MAX(FILTER(ROW(H$2:H5562) - ROW(H$2) + 1, P$2:P5562 = P5563))))=""単価"","""",
IF(COUNTIF(P$2:P5562, P5563)=0, """", INDEX(H$2:H5562,
MAX(FILTER(ROW(H$2:H5562) - ROW(H$2) + 1, P$2:P5562 = P5563)))))"),53.0)</f>
        <v>53</v>
      </c>
      <c r="N5563" s="335" t="str">
        <f>IF(MAXIFS('単価履歴'!$O:$O,'単価履歴'!$E:$E,E5563,'単価履歴'!$F:$F,F5563)=O5563,"●","")</f>
        <v/>
      </c>
      <c r="O5563" s="346">
        <v>46122.771423611106</v>
      </c>
      <c r="P5563" s="334" t="str">
        <f t="shared" si="4"/>
        <v>岸和田:豊通Ｈ１(特A)</v>
      </c>
    </row>
    <row r="5564" ht="15.75" customHeight="1">
      <c r="A5564" s="335" t="s">
        <v>6711</v>
      </c>
      <c r="B5564" s="336">
        <v>46122.0</v>
      </c>
      <c r="C5564" s="349" t="s">
        <v>10</v>
      </c>
      <c r="D5564" s="349" t="s">
        <v>47</v>
      </c>
      <c r="E5564" s="337" t="str">
        <f t="shared" si="1"/>
        <v>岸和田:豊通</v>
      </c>
      <c r="F5564" s="338" t="s">
        <v>116</v>
      </c>
      <c r="G5564" s="339" t="str">
        <f t="shared" si="2"/>
        <v>岸和田:豊通Ｈ２(特級)</v>
      </c>
      <c r="H5564" s="340">
        <f t="shared" si="3"/>
        <v>56</v>
      </c>
      <c r="I5564" s="341">
        <v>5.5</v>
      </c>
      <c r="J5564" s="332">
        <f>IFERROR(__xludf.DUMMYFUNCTION("IF(IF(COUNTIF(P$2:P5563, P5564)=0, """", INDEX(H$2:H5563,
MAX(FILTER(ROW(H$2:H5563) - ROW(H$2) + 1, P$2:P5563 = P5564))))=""単価"","""",
IF(COUNTIF(P$2:P5563, P5564)=0, """", INDEX(H$2:H5563,
MAX(FILTER(ROW(H$2:H5563) - ROW(H$2) + 1, P$2:P5563 = P5564)))))"),50.5)</f>
        <v>50.5</v>
      </c>
      <c r="N5564" s="335" t="str">
        <f>IF(MAXIFS('単価履歴'!$O:$O,'単価履歴'!$E:$E,E5564,'単価履歴'!$F:$F,F5564)=O5564,"●","")</f>
        <v/>
      </c>
      <c r="O5564" s="346">
        <v>46122.772418981476</v>
      </c>
      <c r="P5564" s="334" t="str">
        <f t="shared" si="4"/>
        <v>岸和田:豊通Ｈ２(特級)</v>
      </c>
    </row>
    <row r="5565" ht="15.75" customHeight="1">
      <c r="A5565" s="335" t="s">
        <v>6712</v>
      </c>
      <c r="B5565" s="336">
        <v>46122.0</v>
      </c>
      <c r="C5565" s="349" t="s">
        <v>10</v>
      </c>
      <c r="D5565" s="349" t="s">
        <v>47</v>
      </c>
      <c r="E5565" s="337" t="str">
        <f t="shared" si="1"/>
        <v>岸和田:豊通</v>
      </c>
      <c r="F5565" s="338" t="s">
        <v>119</v>
      </c>
      <c r="G5565" s="339" t="str">
        <f t="shared" si="2"/>
        <v>岸和田:豊通Ｈ３(1級)</v>
      </c>
      <c r="H5565" s="340">
        <f t="shared" si="3"/>
        <v>54</v>
      </c>
      <c r="I5565" s="341">
        <v>4.0</v>
      </c>
      <c r="J5565" s="332">
        <f>IFERROR(__xludf.DUMMYFUNCTION("IF(IF(COUNTIF(P$2:P5564, P5565)=0, """", INDEX(H$2:H5564,
MAX(FILTER(ROW(H$2:H5564) - ROW(H$2) + 1, P$2:P5564 = P5565))))=""単価"","""",
IF(COUNTIF(P$2:P5564, P5565)=0, """", INDEX(H$2:H5564,
MAX(FILTER(ROW(H$2:H5564) - ROW(H$2) + 1, P$2:P5564 = P5565)))))"),50.0)</f>
        <v>50</v>
      </c>
      <c r="N5565" s="335" t="str">
        <f>IF(MAXIFS('単価履歴'!$O:$O,'単価履歴'!$E:$E,E5565,'単価履歴'!$F:$F,F5565)=O5565,"●","")</f>
        <v/>
      </c>
      <c r="O5565" s="346">
        <v>46122.77255787037</v>
      </c>
      <c r="P5565" s="334" t="str">
        <f t="shared" si="4"/>
        <v>岸和田:豊通Ｈ３(1級)</v>
      </c>
    </row>
    <row r="5566" ht="15.75" customHeight="1">
      <c r="A5566" s="335" t="s">
        <v>6713</v>
      </c>
      <c r="B5566" s="336">
        <v>46126.0</v>
      </c>
      <c r="C5566" s="349" t="s">
        <v>6</v>
      </c>
      <c r="D5566" s="349" t="s">
        <v>48</v>
      </c>
      <c r="E5566" s="337" t="str">
        <f t="shared" si="1"/>
        <v>中山鋼業:ナベ</v>
      </c>
      <c r="F5566" s="338" t="s">
        <v>111</v>
      </c>
      <c r="G5566" s="339" t="str">
        <f t="shared" si="2"/>
        <v>中山鋼業:ナベＨ１(特A)</v>
      </c>
      <c r="H5566" s="340">
        <f t="shared" si="3"/>
        <v>55</v>
      </c>
      <c r="I5566" s="341">
        <v>0.5</v>
      </c>
      <c r="J5566" s="332">
        <f>IFERROR(__xludf.DUMMYFUNCTION("IF(IF(COUNTIF(P$2:P5565, P5566)=0, """", INDEX(H$2:H5565,
MAX(FILTER(ROW(H$2:H5565) - ROW(H$2) + 1, P$2:P5565 = P5566))))=""単価"","""",
IF(COUNTIF(P$2:P5565, P5566)=0, """", INDEX(H$2:H5565,
MAX(FILTER(ROW(H$2:H5565) - ROW(H$2) + 1, P$2:P5565 = P5566)))))"),54.5)</f>
        <v>54.5</v>
      </c>
      <c r="N5566" s="335" t="str">
        <f>IF(MAXIFS('単価履歴'!$O:$O,'単価履歴'!$E:$E,E5566,'単価履歴'!$F:$F,F5566)=O5566,"●","")</f>
        <v/>
      </c>
      <c r="O5566" s="346">
        <v>46126.28092592592</v>
      </c>
      <c r="P5566" s="334" t="str">
        <f t="shared" si="4"/>
        <v>中山鋼業:ナベＨ１(特A)</v>
      </c>
    </row>
    <row r="5567" ht="15.75" customHeight="1">
      <c r="A5567" s="335" t="s">
        <v>6714</v>
      </c>
      <c r="B5567" s="336">
        <v>46126.0</v>
      </c>
      <c r="C5567" s="349" t="s">
        <v>6</v>
      </c>
      <c r="D5567" s="349" t="s">
        <v>48</v>
      </c>
      <c r="E5567" s="337" t="str">
        <f t="shared" si="1"/>
        <v>中山鋼業:ナベ</v>
      </c>
      <c r="F5567" s="338" t="s">
        <v>1237</v>
      </c>
      <c r="G5567" s="339" t="str">
        <f t="shared" si="2"/>
        <v>中山鋼業:ナベＪＨ１(H2T山口)鍛造ﾊﾞﾘ</v>
      </c>
      <c r="H5567" s="340">
        <f t="shared" si="3"/>
        <v>52.2</v>
      </c>
      <c r="I5567" s="341">
        <v>0.5</v>
      </c>
      <c r="J5567" s="332">
        <f>IFERROR(__xludf.DUMMYFUNCTION("IF(IF(COUNTIF(P$2:P5566, P5567)=0, """", INDEX(H$2:H5566,
MAX(FILTER(ROW(H$2:H5566) - ROW(H$2) + 1, P$2:P5566 = P5567))))=""単価"","""",
IF(COUNTIF(P$2:P5566, P5567)=0, """", INDEX(H$2:H5566,
MAX(FILTER(ROW(H$2:H5566) - ROW(H$2) + 1, P$2:P5566 = P5567)))))"),51.7)</f>
        <v>51.7</v>
      </c>
      <c r="N5567" s="335" t="str">
        <f>IF(MAXIFS('単価履歴'!$O:$O,'単価履歴'!$E:$E,E5567,'単価履歴'!$F:$F,F5567)=O5567,"●","")</f>
        <v/>
      </c>
      <c r="O5567" s="346">
        <v>46126.28092592592</v>
      </c>
      <c r="P5567" s="334" t="str">
        <f t="shared" si="4"/>
        <v>中山鋼業:ナベＪＨ１(H2T山口)鍛造ﾊﾞﾘ</v>
      </c>
    </row>
    <row r="5568" ht="15.75" customHeight="1">
      <c r="A5568" s="335" t="s">
        <v>6715</v>
      </c>
      <c r="B5568" s="336">
        <v>46126.0</v>
      </c>
      <c r="C5568" s="349" t="s">
        <v>6</v>
      </c>
      <c r="D5568" s="349" t="s">
        <v>48</v>
      </c>
      <c r="E5568" s="337" t="str">
        <f t="shared" si="1"/>
        <v>中山鋼業:ナベ</v>
      </c>
      <c r="F5568" s="338" t="s">
        <v>116</v>
      </c>
      <c r="G5568" s="339" t="str">
        <f t="shared" si="2"/>
        <v>中山鋼業:ナベＨ２(特級)</v>
      </c>
      <c r="H5568" s="340">
        <f t="shared" si="3"/>
        <v>53.5</v>
      </c>
      <c r="I5568" s="341">
        <v>0.5</v>
      </c>
      <c r="J5568" s="332">
        <f>IFERROR(__xludf.DUMMYFUNCTION("IF(IF(COUNTIF(P$2:P5567, P5568)=0, """", INDEX(H$2:H5567,
MAX(FILTER(ROW(H$2:H5567) - ROW(H$2) + 1, P$2:P5567 = P5568))))=""単価"","""",
IF(COUNTIF(P$2:P5567, P5568)=0, """", INDEX(H$2:H5567,
MAX(FILTER(ROW(H$2:H5567) - ROW(H$2) + 1, P$2:P5567 = P5568)))))"),53.0)</f>
        <v>53</v>
      </c>
      <c r="N5568" s="335" t="str">
        <f>IF(MAXIFS('単価履歴'!$O:$O,'単価履歴'!$E:$E,E5568,'単価履歴'!$F:$F,F5568)=O5568,"●","")</f>
        <v/>
      </c>
      <c r="O5568" s="346">
        <v>46126.28092592592</v>
      </c>
      <c r="P5568" s="334" t="str">
        <f t="shared" si="4"/>
        <v>中山鋼業:ナベＨ２(特級)</v>
      </c>
    </row>
    <row r="5569" ht="15.75" customHeight="1">
      <c r="A5569" s="335" t="s">
        <v>6716</v>
      </c>
      <c r="B5569" s="336">
        <v>46126.0</v>
      </c>
      <c r="C5569" s="349" t="s">
        <v>6</v>
      </c>
      <c r="D5569" s="349" t="s">
        <v>48</v>
      </c>
      <c r="E5569" s="337" t="str">
        <f t="shared" si="1"/>
        <v>中山鋼業:ナベ</v>
      </c>
      <c r="F5569" s="338" t="s">
        <v>119</v>
      </c>
      <c r="G5569" s="339" t="str">
        <f t="shared" si="2"/>
        <v>中山鋼業:ナベＨ３(1級)</v>
      </c>
      <c r="H5569" s="340">
        <f t="shared" si="3"/>
        <v>53</v>
      </c>
      <c r="I5569" s="341">
        <v>0.5</v>
      </c>
      <c r="J5569" s="332">
        <f>IFERROR(__xludf.DUMMYFUNCTION("IF(IF(COUNTIF(P$2:P5568, P5569)=0, """", INDEX(H$2:H5568,
MAX(FILTER(ROW(H$2:H5568) - ROW(H$2) + 1, P$2:P5568 = P5569))))=""単価"","""",
IF(COUNTIF(P$2:P5568, P5569)=0, """", INDEX(H$2:H5568,
MAX(FILTER(ROW(H$2:H5568) - ROW(H$2) + 1, P$2:P5568 = P5569)))))"),52.5)</f>
        <v>52.5</v>
      </c>
      <c r="N5569" s="335" t="str">
        <f>IF(MAXIFS('単価履歴'!$O:$O,'単価履歴'!$E:$E,E5569,'単価履歴'!$F:$F,F5569)=O5569,"●","")</f>
        <v/>
      </c>
      <c r="O5569" s="346">
        <v>46126.28092592592</v>
      </c>
      <c r="P5569" s="334" t="str">
        <f t="shared" si="4"/>
        <v>中山鋼業:ナベＨ３(1級)</v>
      </c>
    </row>
    <row r="5570" ht="15.75" customHeight="1">
      <c r="A5570" s="335" t="s">
        <v>6717</v>
      </c>
      <c r="B5570" s="336">
        <v>46126.0</v>
      </c>
      <c r="C5570" s="349" t="s">
        <v>6</v>
      </c>
      <c r="D5570" s="349" t="s">
        <v>48</v>
      </c>
      <c r="E5570" s="337" t="str">
        <f t="shared" si="1"/>
        <v>中山鋼業:ナベ</v>
      </c>
      <c r="F5570" s="338" t="s">
        <v>122</v>
      </c>
      <c r="G5570" s="339" t="str">
        <f t="shared" si="2"/>
        <v>中山鋼業:ナベＬ１(2級)</v>
      </c>
      <c r="H5570" s="340">
        <f t="shared" si="3"/>
        <v>52.5</v>
      </c>
      <c r="I5570" s="341">
        <v>0.5</v>
      </c>
      <c r="J5570" s="332">
        <f>IFERROR(__xludf.DUMMYFUNCTION("IF(IF(COUNTIF(P$2:P5569, P5570)=0, """", INDEX(H$2:H5569,
MAX(FILTER(ROW(H$2:H5569) - ROW(H$2) + 1, P$2:P5569 = P5570))))=""単価"","""",
IF(COUNTIF(P$2:P5569, P5570)=0, """", INDEX(H$2:H5569,
MAX(FILTER(ROW(H$2:H5569) - ROW(H$2) + 1, P$2:P5569 = P5570)))))"),52.0)</f>
        <v>52</v>
      </c>
      <c r="N5570" s="335" t="str">
        <f>IF(MAXIFS('単価履歴'!$O:$O,'単価履歴'!$E:$E,E5570,'単価履歴'!$F:$F,F5570)=O5570,"●","")</f>
        <v/>
      </c>
      <c r="O5570" s="346">
        <v>46126.28092592592</v>
      </c>
      <c r="P5570" s="334" t="str">
        <f t="shared" si="4"/>
        <v>中山鋼業:ナベＬ１(2級)</v>
      </c>
    </row>
    <row r="5571" ht="15.75" customHeight="1">
      <c r="A5571" s="335" t="s">
        <v>6718</v>
      </c>
      <c r="B5571" s="336">
        <v>46126.0</v>
      </c>
      <c r="C5571" s="349" t="s">
        <v>6</v>
      </c>
      <c r="D5571" s="349" t="s">
        <v>48</v>
      </c>
      <c r="E5571" s="337" t="str">
        <f t="shared" si="1"/>
        <v>中山鋼業:ナベ</v>
      </c>
      <c r="F5571" s="338" t="s">
        <v>573</v>
      </c>
      <c r="G5571" s="339" t="str">
        <f t="shared" si="2"/>
        <v>中山鋼業:ナベＬ２(H4･級外･L1ﾊﾞﾗ)</v>
      </c>
      <c r="H5571" s="340">
        <f t="shared" si="3"/>
        <v>47.5</v>
      </c>
      <c r="I5571" s="341">
        <v>0.5</v>
      </c>
      <c r="J5571" s="332">
        <f>IFERROR(__xludf.DUMMYFUNCTION("IF(IF(COUNTIF(P$2:P5570, P5571)=0, """", INDEX(H$2:H5570,
MAX(FILTER(ROW(H$2:H5570) - ROW(H$2) + 1, P$2:P5570 = P5571))))=""単価"","""",
IF(COUNTIF(P$2:P5570, P5571)=0, """", INDEX(H$2:H5570,
MAX(FILTER(ROW(H$2:H5570) - ROW(H$2) + 1, P$2:P5570 = P5571)))))"),47.0)</f>
        <v>47</v>
      </c>
      <c r="N5571" s="335" t="str">
        <f>IF(MAXIFS('単価履歴'!$O:$O,'単価履歴'!$E:$E,E5571,'単価履歴'!$F:$F,F5571)=O5571,"●","")</f>
        <v/>
      </c>
      <c r="O5571" s="346">
        <v>46126.28092592592</v>
      </c>
      <c r="P5571" s="334" t="str">
        <f t="shared" si="4"/>
        <v>中山鋼業:ナベＬ２(H4･級外･L1ﾊﾞﾗ)</v>
      </c>
    </row>
    <row r="5572" ht="15.75" customHeight="1">
      <c r="A5572" s="335" t="s">
        <v>6719</v>
      </c>
      <c r="B5572" s="336">
        <v>46126.0</v>
      </c>
      <c r="C5572" s="349" t="s">
        <v>6</v>
      </c>
      <c r="D5572" s="349" t="s">
        <v>48</v>
      </c>
      <c r="E5572" s="337" t="str">
        <f t="shared" si="1"/>
        <v>中山鋼業:ナベ</v>
      </c>
      <c r="F5572" s="338" t="s">
        <v>130</v>
      </c>
      <c r="G5572" s="339" t="str">
        <f t="shared" si="2"/>
        <v>中山鋼業:ナベ新断Ａ</v>
      </c>
      <c r="H5572" s="340">
        <f t="shared" si="3"/>
        <v>10</v>
      </c>
      <c r="I5572" s="341">
        <v>0.5</v>
      </c>
      <c r="J5572" s="332">
        <f>IFERROR(__xludf.DUMMYFUNCTION("IF(IF(COUNTIF(P$2:P5571, P5572)=0, """", INDEX(H$2:H5571,
MAX(FILTER(ROW(H$2:H5571) - ROW(H$2) + 1, P$2:P5571 = P5572))))=""単価"","""",
IF(COUNTIF(P$2:P5571, P5572)=0, """", INDEX(H$2:H5571,
MAX(FILTER(ROW(H$2:H5571) - ROW(H$2) + 1, P$2:P5571 = P5572)))))"),9.5)</f>
        <v>9.5</v>
      </c>
      <c r="N5572" s="335" t="str">
        <f>IF(MAXIFS('単価履歴'!$O:$O,'単価履歴'!$E:$E,E5572,'単価履歴'!$F:$F,F5572)=O5572,"●","")</f>
        <v/>
      </c>
      <c r="O5572" s="346">
        <v>46126.28092592592</v>
      </c>
      <c r="P5572" s="334" t="str">
        <f t="shared" si="4"/>
        <v>中山鋼業:ナベ新断Ａ</v>
      </c>
    </row>
    <row r="5573" ht="15.75" customHeight="1">
      <c r="A5573" s="335" t="s">
        <v>6720</v>
      </c>
      <c r="B5573" s="336">
        <v>46126.0</v>
      </c>
      <c r="C5573" s="349" t="s">
        <v>6</v>
      </c>
      <c r="D5573" s="349" t="s">
        <v>48</v>
      </c>
      <c r="E5573" s="337" t="str">
        <f t="shared" si="1"/>
        <v>中山鋼業:ナベ</v>
      </c>
      <c r="F5573" s="338" t="s">
        <v>575</v>
      </c>
      <c r="G5573" s="339" t="str">
        <f t="shared" si="2"/>
        <v>中山鋼業:ナベ鋼ダライＡ</v>
      </c>
      <c r="H5573" s="340">
        <f t="shared" si="3"/>
        <v>43.7</v>
      </c>
      <c r="I5573" s="341">
        <v>0.5</v>
      </c>
      <c r="J5573" s="332">
        <f>IFERROR(__xludf.DUMMYFUNCTION("IF(IF(COUNTIF(P$2:P5572, P5573)=0, """", INDEX(H$2:H5572,
MAX(FILTER(ROW(H$2:H5572) - ROW(H$2) + 1, P$2:P5572 = P5573))))=""単価"","""",
IF(COUNTIF(P$2:P5572, P5573)=0, """", INDEX(H$2:H5572,
MAX(FILTER(ROW(H$2:H5572) - ROW(H$2) + 1, P$2:P5572 = P5573)))))"),43.2)</f>
        <v>43.2</v>
      </c>
      <c r="N5573" s="335" t="str">
        <f>IF(MAXIFS('単価履歴'!$O:$O,'単価履歴'!$E:$E,E5573,'単価履歴'!$F:$F,F5573)=O5573,"●","")</f>
        <v/>
      </c>
      <c r="O5573" s="346">
        <v>46126.28092592592</v>
      </c>
      <c r="P5573" s="334" t="str">
        <f t="shared" si="4"/>
        <v>中山鋼業:ナベ鋼ダライＡ</v>
      </c>
    </row>
    <row r="5574" ht="15.75" customHeight="1">
      <c r="A5574" s="335" t="s">
        <v>6721</v>
      </c>
      <c r="B5574" s="336">
        <v>46126.0</v>
      </c>
      <c r="C5574" s="349" t="s">
        <v>6</v>
      </c>
      <c r="D5574" s="349" t="s">
        <v>48</v>
      </c>
      <c r="E5574" s="337" t="str">
        <f t="shared" si="1"/>
        <v>中山鋼業:ナベ</v>
      </c>
      <c r="F5574" s="338" t="s">
        <v>116</v>
      </c>
      <c r="G5574" s="339" t="str">
        <f t="shared" si="2"/>
        <v>中山鋼業:ナベＨ２(特級)</v>
      </c>
      <c r="H5574" s="340">
        <f t="shared" si="3"/>
        <v>54</v>
      </c>
      <c r="I5574" s="341">
        <v>0.5</v>
      </c>
      <c r="J5574" s="332">
        <f>IFERROR(__xludf.DUMMYFUNCTION("IF(IF(COUNTIF(P$2:P5573, P5574)=0, """", INDEX(H$2:H5573,
MAX(FILTER(ROW(H$2:H5573) - ROW(H$2) + 1, P$2:P5573 = P5574))))=""単価"","""",
IF(COUNTIF(P$2:P5573, P5574)=0, """", INDEX(H$2:H5573,
MAX(FILTER(ROW(H$2:H5573) - ROW(H$2) + 1, P$2:P5573 = P5574)))))"),53.5)</f>
        <v>53.5</v>
      </c>
      <c r="N5574" s="335" t="str">
        <f>IF(MAXIFS('単価履歴'!$O:$O,'単価履歴'!$E:$E,E5574,'単価履歴'!$F:$F,F5574)=O5574,"●","")</f>
        <v/>
      </c>
      <c r="O5574" s="346">
        <v>46126.28511574074</v>
      </c>
      <c r="P5574" s="334" t="str">
        <f t="shared" si="4"/>
        <v>中山鋼業:ナベＨ２(特級)</v>
      </c>
    </row>
    <row r="5575" ht="15.75" customHeight="1">
      <c r="A5575" s="335" t="s">
        <v>6722</v>
      </c>
      <c r="B5575" s="336">
        <v>46126.0</v>
      </c>
      <c r="C5575" s="349" t="s">
        <v>6</v>
      </c>
      <c r="D5575" s="349" t="s">
        <v>48</v>
      </c>
      <c r="E5575" s="337" t="str">
        <f t="shared" si="1"/>
        <v>中山鋼業:ナベ</v>
      </c>
      <c r="F5575" s="338" t="s">
        <v>119</v>
      </c>
      <c r="G5575" s="339" t="str">
        <f t="shared" si="2"/>
        <v>中山鋼業:ナベＨ３(1級)</v>
      </c>
      <c r="H5575" s="340">
        <f t="shared" si="3"/>
        <v>53.5</v>
      </c>
      <c r="I5575" s="341">
        <v>0.5</v>
      </c>
      <c r="J5575" s="332">
        <f>IFERROR(__xludf.DUMMYFUNCTION("IF(IF(COUNTIF(P$2:P5574, P5575)=0, """", INDEX(H$2:H5574,
MAX(FILTER(ROW(H$2:H5574) - ROW(H$2) + 1, P$2:P5574 = P5575))))=""単価"","""",
IF(COUNTIF(P$2:P5574, P5575)=0, """", INDEX(H$2:H5574,
MAX(FILTER(ROW(H$2:H5574) - ROW(H$2) + 1, P$2:P5574 = P5575)))))"),53.0)</f>
        <v>53</v>
      </c>
      <c r="N5575" s="335" t="str">
        <f>IF(MAXIFS('単価履歴'!$O:$O,'単価履歴'!$E:$E,E5575,'単価履歴'!$F:$F,F5575)=O5575,"●","")</f>
        <v/>
      </c>
      <c r="O5575" s="346">
        <v>46126.28511574074</v>
      </c>
      <c r="P5575" s="334" t="str">
        <f t="shared" si="4"/>
        <v>中山鋼業:ナベＨ３(1級)</v>
      </c>
    </row>
    <row r="5576" ht="15.75" customHeight="1">
      <c r="A5576" s="335" t="s">
        <v>6723</v>
      </c>
      <c r="B5576" s="336">
        <v>46126.0</v>
      </c>
      <c r="C5576" s="349" t="s">
        <v>6</v>
      </c>
      <c r="D5576" s="349" t="s">
        <v>48</v>
      </c>
      <c r="E5576" s="337" t="str">
        <f t="shared" si="1"/>
        <v>中山鋼業:ナベ</v>
      </c>
      <c r="F5576" s="338" t="s">
        <v>122</v>
      </c>
      <c r="G5576" s="339" t="str">
        <f t="shared" si="2"/>
        <v>中山鋼業:ナベＬ１(2級)</v>
      </c>
      <c r="H5576" s="340">
        <f t="shared" si="3"/>
        <v>53</v>
      </c>
      <c r="I5576" s="341">
        <v>0.5</v>
      </c>
      <c r="J5576" s="332">
        <f>IFERROR(__xludf.DUMMYFUNCTION("IF(IF(COUNTIF(P$2:P5575, P5576)=0, """", INDEX(H$2:H5575,
MAX(FILTER(ROW(H$2:H5575) - ROW(H$2) + 1, P$2:P5575 = P5576))))=""単価"","""",
IF(COUNTIF(P$2:P5575, P5576)=0, """", INDEX(H$2:H5575,
MAX(FILTER(ROW(H$2:H5575) - ROW(H$2) + 1, P$2:P5575 = P5576)))))"),52.5)</f>
        <v>52.5</v>
      </c>
      <c r="N5576" s="335" t="str">
        <f>IF(MAXIFS('単価履歴'!$O:$O,'単価履歴'!$E:$E,E5576,'単価履歴'!$F:$F,F5576)=O5576,"●","")</f>
        <v/>
      </c>
      <c r="O5576" s="346">
        <v>46126.28511574074</v>
      </c>
      <c r="P5576" s="334" t="str">
        <f t="shared" si="4"/>
        <v>中山鋼業:ナベＬ１(2級)</v>
      </c>
    </row>
    <row r="5577" ht="15.75" customHeight="1">
      <c r="A5577" s="335" t="s">
        <v>6724</v>
      </c>
      <c r="B5577" s="336">
        <v>46128.0</v>
      </c>
      <c r="C5577" s="349" t="s">
        <v>531</v>
      </c>
      <c r="D5577" s="349" t="s">
        <v>77</v>
      </c>
      <c r="E5577" s="337" t="str">
        <f t="shared" si="1"/>
        <v>東鐵関西:直納</v>
      </c>
      <c r="F5577" s="338" t="s">
        <v>1199</v>
      </c>
      <c r="G5577" s="339" t="str">
        <f t="shared" si="2"/>
        <v>東鐵関西:直納ＨＳ１(単体H1/電特A/HS))</v>
      </c>
      <c r="H5577" s="340">
        <f t="shared" si="3"/>
        <v>55.5</v>
      </c>
      <c r="I5577" s="341">
        <v>0.5</v>
      </c>
      <c r="J5577" s="332">
        <f>IFERROR(__xludf.DUMMYFUNCTION("IF(IF(COUNTIF(P$2:P5576, P5577)=0, """", INDEX(H$2:H5576,
MAX(FILTER(ROW(H$2:H5576) - ROW(H$2) + 1, P$2:P5576 = P5577))))=""単価"","""",
IF(COUNTIF(P$2:P5576, P5577)=0, """", INDEX(H$2:H5576,
MAX(FILTER(ROW(H$2:H5576) - ROW(H$2) + 1, P$2:P5576 = P5577)))))"),55.0)</f>
        <v>55</v>
      </c>
      <c r="N5577" s="335" t="str">
        <f>IF(MAXIFS('単価履歴'!$O:$O,'単価履歴'!$E:$E,E5577,'単価履歴'!$F:$F,F5577)=O5577,"●","")</f>
        <v>●</v>
      </c>
      <c r="O5577" s="346">
        <v>46128.27075231481</v>
      </c>
      <c r="P5577" s="334" t="str">
        <f t="shared" si="4"/>
        <v>東鐵関西:直納ＨＳ１(単体H1/電特A/HS))</v>
      </c>
    </row>
    <row r="5578" ht="15.75" customHeight="1">
      <c r="A5578" s="335" t="s">
        <v>6725</v>
      </c>
      <c r="B5578" s="336">
        <v>46128.0</v>
      </c>
      <c r="C5578" s="349" t="s">
        <v>531</v>
      </c>
      <c r="D5578" s="349" t="s">
        <v>77</v>
      </c>
      <c r="E5578" s="337" t="str">
        <f t="shared" si="1"/>
        <v>東鐵関西:直納</v>
      </c>
      <c r="F5578" s="338" t="s">
        <v>111</v>
      </c>
      <c r="G5578" s="339" t="str">
        <f t="shared" si="2"/>
        <v>東鐵関西:直納Ｈ１(特A)</v>
      </c>
      <c r="H5578" s="340">
        <f t="shared" si="3"/>
        <v>55</v>
      </c>
      <c r="I5578" s="341">
        <v>0.5</v>
      </c>
      <c r="J5578" s="332">
        <f>IFERROR(__xludf.DUMMYFUNCTION("IF(IF(COUNTIF(P$2:P5577, P5578)=0, """", INDEX(H$2:H5577,
MAX(FILTER(ROW(H$2:H5577) - ROW(H$2) + 1, P$2:P5577 = P5578))))=""単価"","""",
IF(COUNTIF(P$2:P5577, P5578)=0, """", INDEX(H$2:H5577,
MAX(FILTER(ROW(H$2:H5577) - ROW(H$2) + 1, P$2:P5577 = P5578)))))"),54.5)</f>
        <v>54.5</v>
      </c>
      <c r="N5578" s="335" t="str">
        <f>IF(MAXIFS('単価履歴'!$O:$O,'単価履歴'!$E:$E,E5578,'単価履歴'!$F:$F,F5578)=O5578,"●","")</f>
        <v>●</v>
      </c>
      <c r="O5578" s="346">
        <v>46128.27075231481</v>
      </c>
      <c r="P5578" s="334" t="str">
        <f t="shared" si="4"/>
        <v>東鐵関西:直納Ｈ１(特A)</v>
      </c>
    </row>
    <row r="5579" ht="15.75" customHeight="1">
      <c r="A5579" s="335" t="s">
        <v>6726</v>
      </c>
      <c r="B5579" s="336">
        <v>46128.0</v>
      </c>
      <c r="C5579" s="349" t="s">
        <v>531</v>
      </c>
      <c r="D5579" s="349" t="s">
        <v>77</v>
      </c>
      <c r="E5579" s="337" t="str">
        <f t="shared" si="1"/>
        <v>東鐵関西:直納</v>
      </c>
      <c r="F5579" s="338" t="s">
        <v>116</v>
      </c>
      <c r="G5579" s="339" t="str">
        <f t="shared" si="2"/>
        <v>東鐵関西:直納Ｈ２(特級)</v>
      </c>
      <c r="H5579" s="340">
        <f t="shared" si="3"/>
        <v>53</v>
      </c>
      <c r="I5579" s="341">
        <v>0.5</v>
      </c>
      <c r="J5579" s="332">
        <f>IFERROR(__xludf.DUMMYFUNCTION("IF(IF(COUNTIF(P$2:P5578, P5579)=0, """", INDEX(H$2:H5578,
MAX(FILTER(ROW(H$2:H5578) - ROW(H$2) + 1, P$2:P5578 = P5579))))=""単価"","""",
IF(COUNTIF(P$2:P5578, P5579)=0, """", INDEX(H$2:H5578,
MAX(FILTER(ROW(H$2:H5578) - ROW(H$2) + 1, P$2:P5578 = P5579)))))"),52.5)</f>
        <v>52.5</v>
      </c>
      <c r="N5579" s="335" t="str">
        <f>IF(MAXIFS('単価履歴'!$O:$O,'単価履歴'!$E:$E,E5579,'単価履歴'!$F:$F,F5579)=O5579,"●","")</f>
        <v>●</v>
      </c>
      <c r="O5579" s="346">
        <v>46128.27075231481</v>
      </c>
      <c r="P5579" s="334" t="str">
        <f t="shared" si="4"/>
        <v>東鐵関西:直納Ｈ２(特級)</v>
      </c>
    </row>
    <row r="5580" ht="15.75" customHeight="1">
      <c r="A5580" s="335" t="s">
        <v>6727</v>
      </c>
      <c r="B5580" s="336">
        <v>46128.0</v>
      </c>
      <c r="C5580" s="349" t="s">
        <v>531</v>
      </c>
      <c r="D5580" s="349" t="s">
        <v>77</v>
      </c>
      <c r="E5580" s="337" t="str">
        <f t="shared" si="1"/>
        <v>東鐵関西:直納</v>
      </c>
      <c r="F5580" s="338" t="s">
        <v>119</v>
      </c>
      <c r="G5580" s="339" t="str">
        <f t="shared" si="2"/>
        <v>東鐵関西:直納Ｈ３(1級)</v>
      </c>
      <c r="H5580" s="340">
        <f t="shared" si="3"/>
        <v>53</v>
      </c>
      <c r="I5580" s="341">
        <v>0.5</v>
      </c>
      <c r="J5580" s="332">
        <f>IFERROR(__xludf.DUMMYFUNCTION("IF(IF(COUNTIF(P$2:P5579, P5580)=0, """", INDEX(H$2:H5579,
MAX(FILTER(ROW(H$2:H5579) - ROW(H$2) + 1, P$2:P5579 = P5580))))=""単価"","""",
IF(COUNTIF(P$2:P5579, P5580)=0, """", INDEX(H$2:H5579,
MAX(FILTER(ROW(H$2:H5579) - ROW(H$2) + 1, P$2:P5579 = P5580)))))"),52.5)</f>
        <v>52.5</v>
      </c>
      <c r="N5580" s="335" t="str">
        <f>IF(MAXIFS('単価履歴'!$O:$O,'単価履歴'!$E:$E,E5580,'単価履歴'!$F:$F,F5580)=O5580,"●","")</f>
        <v>●</v>
      </c>
      <c r="O5580" s="346">
        <v>46128.27075231481</v>
      </c>
      <c r="P5580" s="334" t="str">
        <f t="shared" si="4"/>
        <v>東鐵関西:直納Ｈ３(1級)</v>
      </c>
    </row>
    <row r="5581" ht="15.75" customHeight="1">
      <c r="A5581" s="335" t="s">
        <v>6728</v>
      </c>
      <c r="B5581" s="336">
        <v>46128.0</v>
      </c>
      <c r="C5581" s="349" t="s">
        <v>531</v>
      </c>
      <c r="D5581" s="349" t="s">
        <v>77</v>
      </c>
      <c r="E5581" s="337" t="str">
        <f t="shared" si="1"/>
        <v>東鐵関西:直納</v>
      </c>
      <c r="F5581" s="338" t="s">
        <v>122</v>
      </c>
      <c r="G5581" s="339" t="str">
        <f t="shared" si="2"/>
        <v>東鐵関西:直納Ｌ１(2級)</v>
      </c>
      <c r="H5581" s="340">
        <f t="shared" si="3"/>
        <v>52.5</v>
      </c>
      <c r="I5581" s="341">
        <v>0.5</v>
      </c>
      <c r="J5581" s="332">
        <f>IFERROR(__xludf.DUMMYFUNCTION("IF(IF(COUNTIF(P$2:P5580, P5581)=0, """", INDEX(H$2:H5580,
MAX(FILTER(ROW(H$2:H5580) - ROW(H$2) + 1, P$2:P5580 = P5581))))=""単価"","""",
IF(COUNTIF(P$2:P5580, P5581)=0, """", INDEX(H$2:H5580,
MAX(FILTER(ROW(H$2:H5580) - ROW(H$2) + 1, P$2:P5580 = P5581)))))"),52.0)</f>
        <v>52</v>
      </c>
      <c r="N5581" s="335" t="str">
        <f>IF(MAXIFS('単価履歴'!$O:$O,'単価履歴'!$E:$E,E5581,'単価履歴'!$F:$F,F5581)=O5581,"●","")</f>
        <v>●</v>
      </c>
      <c r="O5581" s="346">
        <v>46128.27075231481</v>
      </c>
      <c r="P5581" s="334" t="str">
        <f t="shared" si="4"/>
        <v>東鐵関西:直納Ｌ１(2級)</v>
      </c>
    </row>
    <row r="5582" ht="15.75" customHeight="1">
      <c r="A5582" s="335" t="s">
        <v>6729</v>
      </c>
      <c r="B5582" s="336">
        <v>46128.0</v>
      </c>
      <c r="C5582" s="349" t="s">
        <v>531</v>
      </c>
      <c r="D5582" s="349" t="s">
        <v>77</v>
      </c>
      <c r="E5582" s="337" t="str">
        <f t="shared" si="1"/>
        <v>東鐵関西:直納</v>
      </c>
      <c r="F5582" s="338" t="s">
        <v>573</v>
      </c>
      <c r="G5582" s="339" t="str">
        <f t="shared" si="2"/>
        <v>東鐵関西:直納Ｌ２(H4･級外･L1ﾊﾞﾗ)</v>
      </c>
      <c r="H5582" s="340">
        <f t="shared" si="3"/>
        <v>48</v>
      </c>
      <c r="I5582" s="341">
        <v>0.5</v>
      </c>
      <c r="J5582" s="332">
        <f>IFERROR(__xludf.DUMMYFUNCTION("IF(IF(COUNTIF(P$2:P5581, P5582)=0, """", INDEX(H$2:H5581,
MAX(FILTER(ROW(H$2:H5581) - ROW(H$2) + 1, P$2:P5581 = P5582))))=""単価"","""",
IF(COUNTIF(P$2:P5581, P5582)=0, """", INDEX(H$2:H5581,
MAX(FILTER(ROW(H$2:H5581) - ROW(H$2) + 1, P$2:P5581 = P5582)))))"),47.5)</f>
        <v>47.5</v>
      </c>
      <c r="N5582" s="335" t="str">
        <f>IF(MAXIFS('単価履歴'!$O:$O,'単価履歴'!$E:$E,E5582,'単価履歴'!$F:$F,F5582)=O5582,"●","")</f>
        <v>●</v>
      </c>
      <c r="O5582" s="346">
        <v>46128.27075231481</v>
      </c>
      <c r="P5582" s="334" t="str">
        <f t="shared" si="4"/>
        <v>東鐵関西:直納Ｌ２(H4･級外･L1ﾊﾞﾗ)</v>
      </c>
    </row>
    <row r="5583" ht="15.75" customHeight="1">
      <c r="A5583" s="335" t="s">
        <v>6730</v>
      </c>
      <c r="B5583" s="336">
        <v>46128.0</v>
      </c>
      <c r="C5583" s="349" t="s">
        <v>531</v>
      </c>
      <c r="D5583" s="349" t="s">
        <v>77</v>
      </c>
      <c r="E5583" s="337" t="str">
        <f t="shared" si="1"/>
        <v>東鐵関西:直納</v>
      </c>
      <c r="F5583" s="338" t="s">
        <v>145</v>
      </c>
      <c r="G5583" s="339" t="str">
        <f t="shared" si="2"/>
        <v>東鐵関西:直納シュレＡ</v>
      </c>
      <c r="H5583" s="340">
        <f t="shared" si="3"/>
        <v>54.5</v>
      </c>
      <c r="I5583" s="341">
        <v>0.5</v>
      </c>
      <c r="J5583" s="332">
        <f>IFERROR(__xludf.DUMMYFUNCTION("IF(IF(COUNTIF(P$2:P5582, P5583)=0, """", INDEX(H$2:H5582,
MAX(FILTER(ROW(H$2:H5582) - ROW(H$2) + 1, P$2:P5582 = P5583))))=""単価"","""",
IF(COUNTIF(P$2:P5582, P5583)=0, """", INDEX(H$2:H5582,
MAX(FILTER(ROW(H$2:H5582) - ROW(H$2) + 1, P$2:P5582 = P5583)))))"),54.0)</f>
        <v>54</v>
      </c>
      <c r="N5583" s="335" t="str">
        <f>IF(MAXIFS('単価履歴'!$O:$O,'単価履歴'!$E:$E,E5583,'単価履歴'!$F:$F,F5583)=O5583,"●","")</f>
        <v>●</v>
      </c>
      <c r="O5583" s="346">
        <v>46128.27075231481</v>
      </c>
      <c r="P5583" s="334" t="str">
        <f t="shared" si="4"/>
        <v>東鐵関西:直納シュレＡ</v>
      </c>
    </row>
    <row r="5584" ht="15.75" customHeight="1">
      <c r="A5584" s="335" t="s">
        <v>6731</v>
      </c>
      <c r="B5584" s="336">
        <v>46128.0</v>
      </c>
      <c r="C5584" s="349" t="s">
        <v>531</v>
      </c>
      <c r="D5584" s="349" t="s">
        <v>77</v>
      </c>
      <c r="E5584" s="337" t="str">
        <f t="shared" si="1"/>
        <v>東鐵関西:直納</v>
      </c>
      <c r="F5584" s="338" t="s">
        <v>151</v>
      </c>
      <c r="G5584" s="339" t="str">
        <f t="shared" si="2"/>
        <v>東鐵関西:直納シュレＣ</v>
      </c>
      <c r="H5584" s="340">
        <f t="shared" si="3"/>
        <v>53.5</v>
      </c>
      <c r="I5584" s="341">
        <v>0.5</v>
      </c>
      <c r="J5584" s="332">
        <f>IFERROR(__xludf.DUMMYFUNCTION("IF(IF(COUNTIF(P$2:P5583, P5584)=0, """", INDEX(H$2:H5583,
MAX(FILTER(ROW(H$2:H5583) - ROW(H$2) + 1, P$2:P5583 = P5584))))=""単価"","""",
IF(COUNTIF(P$2:P5583, P5584)=0, """", INDEX(H$2:H5583,
MAX(FILTER(ROW(H$2:H5583) - ROW(H$2) + 1, P$2:P5583 = P5584)))))"),53.0)</f>
        <v>53</v>
      </c>
      <c r="N5584" s="335" t="str">
        <f>IF(MAXIFS('単価履歴'!$O:$O,'単価履歴'!$E:$E,E5584,'単価履歴'!$F:$F,F5584)=O5584,"●","")</f>
        <v>●</v>
      </c>
      <c r="O5584" s="346">
        <v>46128.27075231481</v>
      </c>
      <c r="P5584" s="334" t="str">
        <f t="shared" si="4"/>
        <v>東鐵関西:直納シュレＣ</v>
      </c>
    </row>
    <row r="5585" ht="15.75" customHeight="1">
      <c r="A5585" s="335" t="s">
        <v>6732</v>
      </c>
      <c r="B5585" s="336">
        <v>46128.0</v>
      </c>
      <c r="C5585" s="349" t="s">
        <v>532</v>
      </c>
      <c r="D5585" s="349" t="s">
        <v>77</v>
      </c>
      <c r="E5585" s="337" t="str">
        <f t="shared" si="1"/>
        <v>東鐵岡山:直納</v>
      </c>
      <c r="F5585" s="338" t="s">
        <v>1199</v>
      </c>
      <c r="G5585" s="339" t="str">
        <f t="shared" si="2"/>
        <v>東鐵岡山:直納ＨＳ１(単体H1/電特A/HS))</v>
      </c>
      <c r="H5585" s="340">
        <f t="shared" si="3"/>
        <v>55</v>
      </c>
      <c r="I5585" s="341">
        <v>0.5</v>
      </c>
      <c r="J5585" s="332">
        <f>IFERROR(__xludf.DUMMYFUNCTION("IF(IF(COUNTIF(P$2:P5584, P5585)=0, """", INDEX(H$2:H5584,
MAX(FILTER(ROW(H$2:H5584) - ROW(H$2) + 1, P$2:P5584 = P5585))))=""単価"","""",
IF(COUNTIF(P$2:P5584, P5585)=0, """", INDEX(H$2:H5584,
MAX(FILTER(ROW(H$2:H5584) - ROW(H$2) + 1, P$2:P5584 = P5585)))))"),54.5)</f>
        <v>54.5</v>
      </c>
      <c r="N5585" s="335" t="str">
        <f>IF(MAXIFS('単価履歴'!$O:$O,'単価履歴'!$E:$E,E5585,'単価履歴'!$F:$F,F5585)=O5585,"●","")</f>
        <v>●</v>
      </c>
      <c r="O5585" s="346">
        <v>46128.27108796296</v>
      </c>
      <c r="P5585" s="334" t="str">
        <f t="shared" si="4"/>
        <v>東鐵岡山:直納ＨＳ１(単体H1/電特A/HS))</v>
      </c>
    </row>
    <row r="5586" ht="15.75" customHeight="1">
      <c r="A5586" s="335" t="s">
        <v>6733</v>
      </c>
      <c r="B5586" s="336">
        <v>46128.0</v>
      </c>
      <c r="C5586" s="349" t="s">
        <v>532</v>
      </c>
      <c r="D5586" s="349" t="s">
        <v>77</v>
      </c>
      <c r="E5586" s="337" t="str">
        <f t="shared" si="1"/>
        <v>東鐵岡山:直納</v>
      </c>
      <c r="F5586" s="338" t="s">
        <v>111</v>
      </c>
      <c r="G5586" s="339" t="str">
        <f t="shared" si="2"/>
        <v>東鐵岡山:直納Ｈ１(特A)</v>
      </c>
      <c r="H5586" s="340">
        <f t="shared" si="3"/>
        <v>54.5</v>
      </c>
      <c r="I5586" s="341">
        <v>0.5</v>
      </c>
      <c r="J5586" s="332">
        <f>IFERROR(__xludf.DUMMYFUNCTION("IF(IF(COUNTIF(P$2:P5585, P5586)=0, """", INDEX(H$2:H5585,
MAX(FILTER(ROW(H$2:H5585) - ROW(H$2) + 1, P$2:P5585 = P5586))))=""単価"","""",
IF(COUNTIF(P$2:P5585, P5586)=0, """", INDEX(H$2:H5585,
MAX(FILTER(ROW(H$2:H5585) - ROW(H$2) + 1, P$2:P5585 = P5586)))))"),54.0)</f>
        <v>54</v>
      </c>
      <c r="N5586" s="335" t="str">
        <f>IF(MAXIFS('単価履歴'!$O:$O,'単価履歴'!$E:$E,E5586,'単価履歴'!$F:$F,F5586)=O5586,"●","")</f>
        <v>●</v>
      </c>
      <c r="O5586" s="346">
        <v>46128.27108796296</v>
      </c>
      <c r="P5586" s="334" t="str">
        <f t="shared" si="4"/>
        <v>東鐵岡山:直納Ｈ１(特A)</v>
      </c>
    </row>
    <row r="5587" ht="15.75" customHeight="1">
      <c r="A5587" s="335" t="s">
        <v>6734</v>
      </c>
      <c r="B5587" s="336">
        <v>46128.0</v>
      </c>
      <c r="C5587" s="349" t="s">
        <v>532</v>
      </c>
      <c r="D5587" s="349" t="s">
        <v>77</v>
      </c>
      <c r="E5587" s="337" t="str">
        <f t="shared" si="1"/>
        <v>東鐵岡山:直納</v>
      </c>
      <c r="F5587" s="338" t="s">
        <v>116</v>
      </c>
      <c r="G5587" s="339" t="str">
        <f t="shared" si="2"/>
        <v>東鐵岡山:直納Ｈ２(特級)</v>
      </c>
      <c r="H5587" s="340">
        <f t="shared" si="3"/>
        <v>53</v>
      </c>
      <c r="I5587" s="341">
        <v>0.5</v>
      </c>
      <c r="J5587" s="332">
        <f>IFERROR(__xludf.DUMMYFUNCTION("IF(IF(COUNTIF(P$2:P5586, P5587)=0, """", INDEX(H$2:H5586,
MAX(FILTER(ROW(H$2:H5586) - ROW(H$2) + 1, P$2:P5586 = P5587))))=""単価"","""",
IF(COUNTIF(P$2:P5586, P5587)=0, """", INDEX(H$2:H5586,
MAX(FILTER(ROW(H$2:H5586) - ROW(H$2) + 1, P$2:P5586 = P5587)))))"),52.5)</f>
        <v>52.5</v>
      </c>
      <c r="N5587" s="335" t="str">
        <f>IF(MAXIFS('単価履歴'!$O:$O,'単価履歴'!$E:$E,E5587,'単価履歴'!$F:$F,F5587)=O5587,"●","")</f>
        <v>●</v>
      </c>
      <c r="O5587" s="346">
        <v>46128.27108796296</v>
      </c>
      <c r="P5587" s="334" t="str">
        <f t="shared" si="4"/>
        <v>東鐵岡山:直納Ｈ２(特級)</v>
      </c>
    </row>
    <row r="5588" ht="15.75" customHeight="1">
      <c r="A5588" s="335" t="s">
        <v>6735</v>
      </c>
      <c r="B5588" s="336">
        <v>46128.0</v>
      </c>
      <c r="C5588" s="349" t="s">
        <v>532</v>
      </c>
      <c r="D5588" s="349" t="s">
        <v>77</v>
      </c>
      <c r="E5588" s="337" t="str">
        <f t="shared" si="1"/>
        <v>東鐵岡山:直納</v>
      </c>
      <c r="F5588" s="338" t="s">
        <v>119</v>
      </c>
      <c r="G5588" s="339" t="str">
        <f t="shared" si="2"/>
        <v>東鐵岡山:直納Ｈ３(1級)</v>
      </c>
      <c r="H5588" s="340">
        <f t="shared" si="3"/>
        <v>53</v>
      </c>
      <c r="I5588" s="341">
        <v>0.5</v>
      </c>
      <c r="J5588" s="332">
        <f>IFERROR(__xludf.DUMMYFUNCTION("IF(IF(COUNTIF(P$2:P5587, P5588)=0, """", INDEX(H$2:H5587,
MAX(FILTER(ROW(H$2:H5587) - ROW(H$2) + 1, P$2:P5587 = P5588))))=""単価"","""",
IF(COUNTIF(P$2:P5587, P5588)=0, """", INDEX(H$2:H5587,
MAX(FILTER(ROW(H$2:H5587) - ROW(H$2) + 1, P$2:P5587 = P5588)))))"),52.5)</f>
        <v>52.5</v>
      </c>
      <c r="N5588" s="335" t="str">
        <f>IF(MAXIFS('単価履歴'!$O:$O,'単価履歴'!$E:$E,E5588,'単価履歴'!$F:$F,F5588)=O5588,"●","")</f>
        <v>●</v>
      </c>
      <c r="O5588" s="346">
        <v>46128.27108796296</v>
      </c>
      <c r="P5588" s="334" t="str">
        <f t="shared" si="4"/>
        <v>東鐵岡山:直納Ｈ３(1級)</v>
      </c>
    </row>
    <row r="5589" ht="15.75" customHeight="1">
      <c r="A5589" s="335" t="s">
        <v>6736</v>
      </c>
      <c r="B5589" s="336">
        <v>46128.0</v>
      </c>
      <c r="C5589" s="349" t="s">
        <v>532</v>
      </c>
      <c r="D5589" s="349" t="s">
        <v>77</v>
      </c>
      <c r="E5589" s="337" t="str">
        <f t="shared" si="1"/>
        <v>東鐵岡山:直納</v>
      </c>
      <c r="F5589" s="338" t="s">
        <v>122</v>
      </c>
      <c r="G5589" s="339" t="str">
        <f t="shared" si="2"/>
        <v>東鐵岡山:直納Ｌ１(2級)</v>
      </c>
      <c r="H5589" s="340">
        <f t="shared" si="3"/>
        <v>52.5</v>
      </c>
      <c r="I5589" s="341">
        <v>0.5</v>
      </c>
      <c r="J5589" s="332">
        <f>IFERROR(__xludf.DUMMYFUNCTION("IF(IF(COUNTIF(P$2:P5588, P5589)=0, """", INDEX(H$2:H5588,
MAX(FILTER(ROW(H$2:H5588) - ROW(H$2) + 1, P$2:P5588 = P5589))))=""単価"","""",
IF(COUNTIF(P$2:P5588, P5589)=0, """", INDEX(H$2:H5588,
MAX(FILTER(ROW(H$2:H5588) - ROW(H$2) + 1, P$2:P5588 = P5589)))))"),52.0)</f>
        <v>52</v>
      </c>
      <c r="N5589" s="335" t="str">
        <f>IF(MAXIFS('単価履歴'!$O:$O,'単価履歴'!$E:$E,E5589,'単価履歴'!$F:$F,F5589)=O5589,"●","")</f>
        <v>●</v>
      </c>
      <c r="O5589" s="346">
        <v>46128.27108796296</v>
      </c>
      <c r="P5589" s="334" t="str">
        <f t="shared" si="4"/>
        <v>東鐵岡山:直納Ｌ１(2級)</v>
      </c>
    </row>
    <row r="5590" ht="15.75" customHeight="1">
      <c r="A5590" s="335" t="s">
        <v>6737</v>
      </c>
      <c r="B5590" s="336">
        <v>46128.0</v>
      </c>
      <c r="C5590" s="349" t="s">
        <v>532</v>
      </c>
      <c r="D5590" s="349" t="s">
        <v>77</v>
      </c>
      <c r="E5590" s="337" t="str">
        <f t="shared" si="1"/>
        <v>東鐵岡山:直納</v>
      </c>
      <c r="F5590" s="338" t="s">
        <v>573</v>
      </c>
      <c r="G5590" s="339" t="str">
        <f t="shared" si="2"/>
        <v>東鐵岡山:直納Ｌ２(H4･級外･L1ﾊﾞﾗ)</v>
      </c>
      <c r="H5590" s="340">
        <f t="shared" si="3"/>
        <v>48</v>
      </c>
      <c r="I5590" s="341">
        <v>0.5</v>
      </c>
      <c r="J5590" s="332">
        <f>IFERROR(__xludf.DUMMYFUNCTION("IF(IF(COUNTIF(P$2:P5589, P5590)=0, """", INDEX(H$2:H5589,
MAX(FILTER(ROW(H$2:H5589) - ROW(H$2) + 1, P$2:P5589 = P5590))))=""単価"","""",
IF(COUNTIF(P$2:P5589, P5590)=0, """", INDEX(H$2:H5589,
MAX(FILTER(ROW(H$2:H5589) - ROW(H$2) + 1, P$2:P5589 = P5590)))))"),47.5)</f>
        <v>47.5</v>
      </c>
      <c r="N5590" s="335" t="str">
        <f>IF(MAXIFS('単価履歴'!$O:$O,'単価履歴'!$E:$E,E5590,'単価履歴'!$F:$F,F5590)=O5590,"●","")</f>
        <v>●</v>
      </c>
      <c r="O5590" s="346">
        <v>46128.27108796296</v>
      </c>
      <c r="P5590" s="334" t="str">
        <f t="shared" si="4"/>
        <v>東鐵岡山:直納Ｌ２(H4･級外･L1ﾊﾞﾗ)</v>
      </c>
    </row>
    <row r="5591" ht="15.75" customHeight="1">
      <c r="A5591" s="335" t="s">
        <v>6738</v>
      </c>
      <c r="B5591" s="336">
        <v>46128.0</v>
      </c>
      <c r="C5591" s="349" t="s">
        <v>532</v>
      </c>
      <c r="D5591" s="349" t="s">
        <v>77</v>
      </c>
      <c r="E5591" s="337" t="str">
        <f t="shared" si="1"/>
        <v>東鐵岡山:直納</v>
      </c>
      <c r="F5591" s="338" t="s">
        <v>145</v>
      </c>
      <c r="G5591" s="339" t="str">
        <f t="shared" si="2"/>
        <v>東鐵岡山:直納シュレＡ</v>
      </c>
      <c r="H5591" s="340">
        <f t="shared" si="3"/>
        <v>53.5</v>
      </c>
      <c r="I5591" s="341">
        <v>0.5</v>
      </c>
      <c r="J5591" s="332">
        <f>IFERROR(__xludf.DUMMYFUNCTION("IF(IF(COUNTIF(P$2:P5590, P5591)=0, """", INDEX(H$2:H5590,
MAX(FILTER(ROW(H$2:H5590) - ROW(H$2) + 1, P$2:P5590 = P5591))))=""単価"","""",
IF(COUNTIF(P$2:P5590, P5591)=0, """", INDEX(H$2:H5590,
MAX(FILTER(ROW(H$2:H5590) - ROW(H$2) + 1, P$2:P5590 = P5591)))))"),53.0)</f>
        <v>53</v>
      </c>
      <c r="N5591" s="335" t="str">
        <f>IF(MAXIFS('単価履歴'!$O:$O,'単価履歴'!$E:$E,E5591,'単価履歴'!$F:$F,F5591)=O5591,"●","")</f>
        <v>●</v>
      </c>
      <c r="O5591" s="346">
        <v>46128.27108796296</v>
      </c>
      <c r="P5591" s="334" t="str">
        <f t="shared" si="4"/>
        <v>東鐵岡山:直納シュレＡ</v>
      </c>
    </row>
    <row r="5592" ht="15.75" customHeight="1">
      <c r="A5592" s="335" t="s">
        <v>6739</v>
      </c>
      <c r="B5592" s="336">
        <v>46128.0</v>
      </c>
      <c r="C5592" s="349" t="s">
        <v>532</v>
      </c>
      <c r="D5592" s="349" t="s">
        <v>77</v>
      </c>
      <c r="E5592" s="337" t="str">
        <f t="shared" si="1"/>
        <v>東鐵岡山:直納</v>
      </c>
      <c r="F5592" s="338" t="s">
        <v>151</v>
      </c>
      <c r="G5592" s="339" t="str">
        <f t="shared" si="2"/>
        <v>東鐵岡山:直納シュレＣ</v>
      </c>
      <c r="H5592" s="340">
        <f t="shared" si="3"/>
        <v>53</v>
      </c>
      <c r="I5592" s="341">
        <v>0.5</v>
      </c>
      <c r="J5592" s="332">
        <f>IFERROR(__xludf.DUMMYFUNCTION("IF(IF(COUNTIF(P$2:P5591, P5592)=0, """", INDEX(H$2:H5591,
MAX(FILTER(ROW(H$2:H5591) - ROW(H$2) + 1, P$2:P5591 = P5592))))=""単価"","""",
IF(COUNTIF(P$2:P5591, P5592)=0, """", INDEX(H$2:H5591,
MAX(FILTER(ROW(H$2:H5591) - ROW(H$2) + 1, P$2:P5591 = P5592)))))"),52.5)</f>
        <v>52.5</v>
      </c>
      <c r="N5592" s="335" t="str">
        <f>IF(MAXIFS('単価履歴'!$O:$O,'単価履歴'!$E:$E,E5592,'単価履歴'!$F:$F,F5592)=O5592,"●","")</f>
        <v>●</v>
      </c>
      <c r="O5592" s="346">
        <v>46128.27108796296</v>
      </c>
      <c r="P5592" s="334" t="str">
        <f t="shared" si="4"/>
        <v>東鐵岡山:直納シュレＣ</v>
      </c>
    </row>
    <row r="5593" ht="15.75" customHeight="1">
      <c r="A5593" s="335" t="s">
        <v>6740</v>
      </c>
      <c r="B5593" s="336">
        <v>46128.0</v>
      </c>
      <c r="C5593" s="349" t="s">
        <v>532</v>
      </c>
      <c r="D5593" s="349" t="s">
        <v>77</v>
      </c>
      <c r="E5593" s="337" t="str">
        <f t="shared" si="1"/>
        <v>東鐵岡山:直納</v>
      </c>
      <c r="F5593" s="338" t="s">
        <v>130</v>
      </c>
      <c r="G5593" s="339" t="str">
        <f t="shared" si="2"/>
        <v>東鐵岡山:直納新断Ａ</v>
      </c>
      <c r="H5593" s="340">
        <f t="shared" si="3"/>
        <v>54</v>
      </c>
      <c r="I5593" s="341">
        <v>0.5</v>
      </c>
      <c r="J5593" s="332">
        <f>IFERROR(__xludf.DUMMYFUNCTION("IF(IF(COUNTIF(P$2:P5592, P5593)=0, """", INDEX(H$2:H5592,
MAX(FILTER(ROW(H$2:H5592) - ROW(H$2) + 1, P$2:P5592 = P5593))))=""単価"","""",
IF(COUNTIF(P$2:P5592, P5593)=0, """", INDEX(H$2:H5592,
MAX(FILTER(ROW(H$2:H5592) - ROW(H$2) + 1, P$2:P5592 = P5593)))))"),53.5)</f>
        <v>53.5</v>
      </c>
      <c r="N5593" s="335" t="str">
        <f>IF(MAXIFS('単価履歴'!$O:$O,'単価履歴'!$E:$E,E5593,'単価履歴'!$F:$F,F5593)=O5593,"●","")</f>
        <v>●</v>
      </c>
      <c r="O5593" s="346">
        <v>46128.27108796296</v>
      </c>
      <c r="P5593" s="334" t="str">
        <f t="shared" si="4"/>
        <v>東鐵岡山:直納新断Ａ</v>
      </c>
    </row>
    <row r="5594" ht="15.75" customHeight="1">
      <c r="A5594" s="335" t="s">
        <v>6741</v>
      </c>
      <c r="B5594" s="336">
        <v>46128.0</v>
      </c>
      <c r="C5594" s="349" t="s">
        <v>532</v>
      </c>
      <c r="D5594" s="349" t="s">
        <v>77</v>
      </c>
      <c r="E5594" s="337" t="str">
        <f t="shared" si="1"/>
        <v>東鐵岡山:直納</v>
      </c>
      <c r="F5594" s="338" t="s">
        <v>131</v>
      </c>
      <c r="G5594" s="339" t="str">
        <f t="shared" si="2"/>
        <v>東鐵岡山:直納新断Ｂ</v>
      </c>
      <c r="H5594" s="340">
        <f t="shared" si="3"/>
        <v>54</v>
      </c>
      <c r="I5594" s="341">
        <v>0.5</v>
      </c>
      <c r="J5594" s="332">
        <f>IFERROR(__xludf.DUMMYFUNCTION("IF(IF(COUNTIF(P$2:P5593, P5594)=0, """", INDEX(H$2:H5593,
MAX(FILTER(ROW(H$2:H5593) - ROW(H$2) + 1, P$2:P5593 = P5594))))=""単価"","""",
IF(COUNTIF(P$2:P5593, P5594)=0, """", INDEX(H$2:H5593,
MAX(FILTER(ROW(H$2:H5593) - ROW(H$2) + 1, P$2:P5593 = P5594)))))"),53.5)</f>
        <v>53.5</v>
      </c>
      <c r="N5594" s="335" t="str">
        <f>IF(MAXIFS('単価履歴'!$O:$O,'単価履歴'!$E:$E,E5594,'単価履歴'!$F:$F,F5594)=O5594,"●","")</f>
        <v>●</v>
      </c>
      <c r="O5594" s="346">
        <v>46128.27108796296</v>
      </c>
      <c r="P5594" s="334" t="str">
        <f t="shared" si="4"/>
        <v>東鐵岡山:直納新断Ｂ</v>
      </c>
    </row>
    <row r="5595" ht="15.75" customHeight="1">
      <c r="A5595" s="335" t="s">
        <v>6742</v>
      </c>
      <c r="B5595" s="336">
        <v>46128.0</v>
      </c>
      <c r="C5595" s="349" t="s">
        <v>532</v>
      </c>
      <c r="D5595" s="349" t="s">
        <v>77</v>
      </c>
      <c r="E5595" s="337" t="str">
        <f t="shared" si="1"/>
        <v>東鐵岡山:直納</v>
      </c>
      <c r="F5595" s="338" t="s">
        <v>575</v>
      </c>
      <c r="G5595" s="339" t="str">
        <f t="shared" si="2"/>
        <v>東鐵岡山:直納鋼ダライＡ</v>
      </c>
      <c r="H5595" s="340">
        <f t="shared" si="3"/>
        <v>48.5</v>
      </c>
      <c r="I5595" s="341">
        <v>0.5</v>
      </c>
      <c r="J5595" s="332">
        <f>IFERROR(__xludf.DUMMYFUNCTION("IF(IF(COUNTIF(P$2:P5594, P5595)=0, """", INDEX(H$2:H5594,
MAX(FILTER(ROW(H$2:H5594) - ROW(H$2) + 1, P$2:P5594 = P5595))))=""単価"","""",
IF(COUNTIF(P$2:P5594, P5595)=0, """", INDEX(H$2:H5594,
MAX(FILTER(ROW(H$2:H5594) - ROW(H$2) + 1, P$2:P5594 = P5595)))))"),48.0)</f>
        <v>48</v>
      </c>
      <c r="N5595" s="335" t="str">
        <f>IF(MAXIFS('単価履歴'!$O:$O,'単価履歴'!$E:$E,E5595,'単価履歴'!$F:$F,F5595)=O5595,"●","")</f>
        <v>●</v>
      </c>
      <c r="O5595" s="346">
        <v>46128.27108796296</v>
      </c>
      <c r="P5595" s="334" t="str">
        <f t="shared" si="4"/>
        <v>東鐵岡山:直納鋼ダライＡ</v>
      </c>
    </row>
    <row r="5596" ht="15.75" customHeight="1">
      <c r="A5596" s="335" t="s">
        <v>6743</v>
      </c>
      <c r="B5596" s="336">
        <v>46128.0</v>
      </c>
      <c r="C5596" s="349" t="s">
        <v>532</v>
      </c>
      <c r="D5596" s="349" t="s">
        <v>77</v>
      </c>
      <c r="E5596" s="337" t="str">
        <f t="shared" si="1"/>
        <v>東鐵岡山:直納</v>
      </c>
      <c r="F5596" s="338" t="s">
        <v>25</v>
      </c>
      <c r="G5596" s="339" t="str">
        <f t="shared" si="2"/>
        <v>東鐵岡山:直納銑ダライ</v>
      </c>
      <c r="H5596" s="340">
        <f t="shared" si="3"/>
        <v>45</v>
      </c>
      <c r="I5596" s="341">
        <v>0.5</v>
      </c>
      <c r="J5596" s="332">
        <f>IFERROR(__xludf.DUMMYFUNCTION("IF(IF(COUNTIF(P$2:P5595, P5596)=0, """", INDEX(H$2:H5595,
MAX(FILTER(ROW(H$2:H5595) - ROW(H$2) + 1, P$2:P5595 = P5596))))=""単価"","""",
IF(COUNTIF(P$2:P5595, P5596)=0, """", INDEX(H$2:H5595,
MAX(FILTER(ROW(H$2:H5595) - ROW(H$2) + 1, P$2:P5595 = P5596)))))"),44.5)</f>
        <v>44.5</v>
      </c>
      <c r="N5596" s="335" t="str">
        <f>IF(MAXIFS('単価履歴'!$O:$O,'単価履歴'!$E:$E,E5596,'単価履歴'!$F:$F,F5596)=O5596,"●","")</f>
        <v>●</v>
      </c>
      <c r="O5596" s="346">
        <v>46128.27108796296</v>
      </c>
      <c r="P5596" s="334" t="str">
        <f t="shared" si="4"/>
        <v>東鐵岡山:直納銑ダライ</v>
      </c>
    </row>
    <row r="5597" ht="15.75" customHeight="1">
      <c r="A5597" s="335" t="s">
        <v>6744</v>
      </c>
      <c r="B5597" s="336">
        <v>46128.0</v>
      </c>
      <c r="C5597" s="349" t="s">
        <v>532</v>
      </c>
      <c r="D5597" s="349" t="s">
        <v>77</v>
      </c>
      <c r="E5597" s="337" t="str">
        <f t="shared" si="1"/>
        <v>東鐵岡山:直納</v>
      </c>
      <c r="F5597" s="338" t="s">
        <v>154</v>
      </c>
      <c r="G5597" s="339" t="str">
        <f t="shared" si="2"/>
        <v>東鐵岡山:直納ＣＰ Ａ</v>
      </c>
      <c r="H5597" s="340">
        <f t="shared" si="3"/>
        <v>51.5</v>
      </c>
      <c r="I5597" s="341">
        <v>0.5</v>
      </c>
      <c r="J5597" s="332">
        <f>IFERROR(__xludf.DUMMYFUNCTION("IF(IF(COUNTIF(P$2:P5596, P5597)=0, """", INDEX(H$2:H5596,
MAX(FILTER(ROW(H$2:H5596) - ROW(H$2) + 1, P$2:P5596 = P5597))))=""単価"","""",
IF(COUNTIF(P$2:P5596, P5597)=0, """", INDEX(H$2:H5596,
MAX(FILTER(ROW(H$2:H5596) - ROW(H$2) + 1, P$2:P5596 = P5597)))))"),51.0)</f>
        <v>51</v>
      </c>
      <c r="N5597" s="335" t="str">
        <f>IF(MAXIFS('単価履歴'!$O:$O,'単価履歴'!$E:$E,E5597,'単価履歴'!$F:$F,F5597)=O5597,"●","")</f>
        <v>●</v>
      </c>
      <c r="O5597" s="346">
        <v>46128.27108796296</v>
      </c>
      <c r="P5597" s="334" t="str">
        <f t="shared" si="4"/>
        <v>東鐵岡山:直納ＣＰ Ａ</v>
      </c>
    </row>
    <row r="5598" ht="15.75" customHeight="1">
      <c r="A5598" s="335" t="s">
        <v>6745</v>
      </c>
      <c r="B5598" s="336">
        <v>46128.0</v>
      </c>
      <c r="C5598" s="349" t="s">
        <v>535</v>
      </c>
      <c r="D5598" s="349" t="s">
        <v>77</v>
      </c>
      <c r="E5598" s="337" t="str">
        <f t="shared" si="1"/>
        <v>東鐵名古屋:直納</v>
      </c>
      <c r="F5598" s="338" t="s">
        <v>1199</v>
      </c>
      <c r="G5598" s="339" t="str">
        <f t="shared" si="2"/>
        <v>東鐵名古屋:直納ＨＳ１(単体H1/電特A/HS))</v>
      </c>
      <c r="H5598" s="340">
        <f t="shared" si="3"/>
        <v>55.5</v>
      </c>
      <c r="I5598" s="341">
        <v>0.5</v>
      </c>
      <c r="J5598" s="332">
        <f>IFERROR(__xludf.DUMMYFUNCTION("IF(IF(COUNTIF(P$2:P5597, P5598)=0, """", INDEX(H$2:H5597,
MAX(FILTER(ROW(H$2:H5597) - ROW(H$2) + 1, P$2:P5597 = P5598))))=""単価"","""",
IF(COUNTIF(P$2:P5597, P5598)=0, """", INDEX(H$2:H5597,
MAX(FILTER(ROW(H$2:H5597) - ROW(H$2) + 1, P$2:P5597 = P5598)))))"),55.0)</f>
        <v>55</v>
      </c>
      <c r="N5598" s="335" t="str">
        <f>IF(MAXIFS('単価履歴'!$O:$O,'単価履歴'!$E:$E,E5598,'単価履歴'!$F:$F,F5598)=O5598,"●","")</f>
        <v>●</v>
      </c>
      <c r="O5598" s="346">
        <v>46128.27130787037</v>
      </c>
      <c r="P5598" s="334" t="str">
        <f t="shared" si="4"/>
        <v>東鐵名古屋:直納ＨＳ１(単体H1/電特A/HS))</v>
      </c>
    </row>
    <row r="5599" ht="15.75" customHeight="1">
      <c r="A5599" s="335" t="s">
        <v>6746</v>
      </c>
      <c r="B5599" s="336">
        <v>46128.0</v>
      </c>
      <c r="C5599" s="349" t="s">
        <v>535</v>
      </c>
      <c r="D5599" s="349" t="s">
        <v>77</v>
      </c>
      <c r="E5599" s="337" t="str">
        <f t="shared" si="1"/>
        <v>東鐵名古屋:直納</v>
      </c>
      <c r="F5599" s="338" t="s">
        <v>111</v>
      </c>
      <c r="G5599" s="339" t="str">
        <f t="shared" si="2"/>
        <v>東鐵名古屋:直納Ｈ１(特A)</v>
      </c>
      <c r="H5599" s="340">
        <f t="shared" si="3"/>
        <v>55</v>
      </c>
      <c r="I5599" s="341">
        <v>0.5</v>
      </c>
      <c r="J5599" s="332">
        <f>IFERROR(__xludf.DUMMYFUNCTION("IF(IF(COUNTIF(P$2:P5598, P5599)=0, """", INDEX(H$2:H5598,
MAX(FILTER(ROW(H$2:H5598) - ROW(H$2) + 1, P$2:P5598 = P5599))))=""単価"","""",
IF(COUNTIF(P$2:P5598, P5599)=0, """", INDEX(H$2:H5598,
MAX(FILTER(ROW(H$2:H5598) - ROW(H$2) + 1, P$2:P5598 = P5599)))))"),54.5)</f>
        <v>54.5</v>
      </c>
      <c r="N5599" s="335" t="str">
        <f>IF(MAXIFS('単価履歴'!$O:$O,'単価履歴'!$E:$E,E5599,'単価履歴'!$F:$F,F5599)=O5599,"●","")</f>
        <v>●</v>
      </c>
      <c r="O5599" s="346">
        <v>46128.27130787037</v>
      </c>
      <c r="P5599" s="334" t="str">
        <f t="shared" si="4"/>
        <v>東鐵名古屋:直納Ｈ１(特A)</v>
      </c>
    </row>
    <row r="5600" ht="15.75" customHeight="1">
      <c r="A5600" s="335" t="s">
        <v>6747</v>
      </c>
      <c r="B5600" s="336">
        <v>46128.0</v>
      </c>
      <c r="C5600" s="349" t="s">
        <v>535</v>
      </c>
      <c r="D5600" s="349" t="s">
        <v>77</v>
      </c>
      <c r="E5600" s="337" t="str">
        <f t="shared" si="1"/>
        <v>東鐵名古屋:直納</v>
      </c>
      <c r="F5600" s="338" t="s">
        <v>116</v>
      </c>
      <c r="G5600" s="339" t="str">
        <f t="shared" si="2"/>
        <v>東鐵名古屋:直納Ｈ２(特級)</v>
      </c>
      <c r="H5600" s="340">
        <f t="shared" si="3"/>
        <v>53</v>
      </c>
      <c r="I5600" s="341">
        <v>0.5</v>
      </c>
      <c r="J5600" s="332">
        <f>IFERROR(__xludf.DUMMYFUNCTION("IF(IF(COUNTIF(P$2:P5599, P5600)=0, """", INDEX(H$2:H5599,
MAX(FILTER(ROW(H$2:H5599) - ROW(H$2) + 1, P$2:P5599 = P5600))))=""単価"","""",
IF(COUNTIF(P$2:P5599, P5600)=0, """", INDEX(H$2:H5599,
MAX(FILTER(ROW(H$2:H5599) - ROW(H$2) + 1, P$2:P5599 = P5600)))))"),52.5)</f>
        <v>52.5</v>
      </c>
      <c r="N5600" s="335" t="str">
        <f>IF(MAXIFS('単価履歴'!$O:$O,'単価履歴'!$E:$E,E5600,'単価履歴'!$F:$F,F5600)=O5600,"●","")</f>
        <v>●</v>
      </c>
      <c r="O5600" s="346">
        <v>46128.27130787037</v>
      </c>
      <c r="P5600" s="334" t="str">
        <f t="shared" si="4"/>
        <v>東鐵名古屋:直納Ｈ２(特級)</v>
      </c>
    </row>
    <row r="5601" ht="15.75" customHeight="1">
      <c r="A5601" s="335" t="s">
        <v>6748</v>
      </c>
      <c r="B5601" s="336">
        <v>46128.0</v>
      </c>
      <c r="C5601" s="349" t="s">
        <v>535</v>
      </c>
      <c r="D5601" s="349" t="s">
        <v>77</v>
      </c>
      <c r="E5601" s="337" t="str">
        <f t="shared" si="1"/>
        <v>東鐵名古屋:直納</v>
      </c>
      <c r="F5601" s="338" t="s">
        <v>119</v>
      </c>
      <c r="G5601" s="339" t="str">
        <f t="shared" si="2"/>
        <v>東鐵名古屋:直納Ｈ３(1級)</v>
      </c>
      <c r="H5601" s="340">
        <f t="shared" si="3"/>
        <v>53</v>
      </c>
      <c r="I5601" s="341">
        <v>0.5</v>
      </c>
      <c r="J5601" s="332">
        <f>IFERROR(__xludf.DUMMYFUNCTION("IF(IF(COUNTIF(P$2:P5600, P5601)=0, """", INDEX(H$2:H5600,
MAX(FILTER(ROW(H$2:H5600) - ROW(H$2) + 1, P$2:P5600 = P5601))))=""単価"","""",
IF(COUNTIF(P$2:P5600, P5601)=0, """", INDEX(H$2:H5600,
MAX(FILTER(ROW(H$2:H5600) - ROW(H$2) + 1, P$2:P5600 = P5601)))))"),52.5)</f>
        <v>52.5</v>
      </c>
      <c r="N5601" s="335" t="str">
        <f>IF(MAXIFS('単価履歴'!$O:$O,'単価履歴'!$E:$E,E5601,'単価履歴'!$F:$F,F5601)=O5601,"●","")</f>
        <v>●</v>
      </c>
      <c r="O5601" s="346">
        <v>46128.27130787037</v>
      </c>
      <c r="P5601" s="334" t="str">
        <f t="shared" si="4"/>
        <v>東鐵名古屋:直納Ｈ３(1級)</v>
      </c>
    </row>
    <row r="5602" ht="15.75" customHeight="1">
      <c r="A5602" s="335" t="s">
        <v>6749</v>
      </c>
      <c r="B5602" s="336">
        <v>46128.0</v>
      </c>
      <c r="C5602" s="349" t="s">
        <v>535</v>
      </c>
      <c r="D5602" s="349" t="s">
        <v>77</v>
      </c>
      <c r="E5602" s="337" t="str">
        <f t="shared" si="1"/>
        <v>東鐵名古屋:直納</v>
      </c>
      <c r="F5602" s="338" t="s">
        <v>122</v>
      </c>
      <c r="G5602" s="339" t="str">
        <f t="shared" si="2"/>
        <v>東鐵名古屋:直納Ｌ１(2級)</v>
      </c>
      <c r="H5602" s="340">
        <f t="shared" si="3"/>
        <v>52.5</v>
      </c>
      <c r="I5602" s="341">
        <v>0.5</v>
      </c>
      <c r="J5602" s="332">
        <f>IFERROR(__xludf.DUMMYFUNCTION("IF(IF(COUNTIF(P$2:P5601, P5602)=0, """", INDEX(H$2:H5601,
MAX(FILTER(ROW(H$2:H5601) - ROW(H$2) + 1, P$2:P5601 = P5602))))=""単価"","""",
IF(COUNTIF(P$2:P5601, P5602)=0, """", INDEX(H$2:H5601,
MAX(FILTER(ROW(H$2:H5601) - ROW(H$2) + 1, P$2:P5601 = P5602)))))"),52.0)</f>
        <v>52</v>
      </c>
      <c r="N5602" s="335" t="str">
        <f>IF(MAXIFS('単価履歴'!$O:$O,'単価履歴'!$E:$E,E5602,'単価履歴'!$F:$F,F5602)=O5602,"●","")</f>
        <v>●</v>
      </c>
      <c r="O5602" s="346">
        <v>46128.27130787037</v>
      </c>
      <c r="P5602" s="334" t="str">
        <f t="shared" si="4"/>
        <v>東鐵名古屋:直納Ｌ１(2級)</v>
      </c>
    </row>
    <row r="5603" ht="15.75" customHeight="1">
      <c r="A5603" s="335" t="s">
        <v>6750</v>
      </c>
      <c r="B5603" s="336">
        <v>46128.0</v>
      </c>
      <c r="C5603" s="349" t="s">
        <v>535</v>
      </c>
      <c r="D5603" s="349" t="s">
        <v>77</v>
      </c>
      <c r="E5603" s="337" t="str">
        <f t="shared" si="1"/>
        <v>東鐵名古屋:直納</v>
      </c>
      <c r="F5603" s="338" t="s">
        <v>573</v>
      </c>
      <c r="G5603" s="339" t="str">
        <f t="shared" si="2"/>
        <v>東鐵名古屋:直納Ｌ２(H4･級外･L1ﾊﾞﾗ)</v>
      </c>
      <c r="H5603" s="340">
        <f t="shared" si="3"/>
        <v>48</v>
      </c>
      <c r="I5603" s="341">
        <v>0.5</v>
      </c>
      <c r="J5603" s="332">
        <f>IFERROR(__xludf.DUMMYFUNCTION("IF(IF(COUNTIF(P$2:P5602, P5603)=0, """", INDEX(H$2:H5602,
MAX(FILTER(ROW(H$2:H5602) - ROW(H$2) + 1, P$2:P5602 = P5603))))=""単価"","""",
IF(COUNTIF(P$2:P5602, P5603)=0, """", INDEX(H$2:H5602,
MAX(FILTER(ROW(H$2:H5602) - ROW(H$2) + 1, P$2:P5602 = P5603)))))"),47.5)</f>
        <v>47.5</v>
      </c>
      <c r="N5603" s="335" t="str">
        <f>IF(MAXIFS('単価履歴'!$O:$O,'単価履歴'!$E:$E,E5603,'単価履歴'!$F:$F,F5603)=O5603,"●","")</f>
        <v>●</v>
      </c>
      <c r="O5603" s="346">
        <v>46128.27130787037</v>
      </c>
      <c r="P5603" s="334" t="str">
        <f t="shared" si="4"/>
        <v>東鐵名古屋:直納Ｌ２(H4･級外･L1ﾊﾞﾗ)</v>
      </c>
    </row>
    <row r="5604" ht="15.75" customHeight="1">
      <c r="A5604" s="335" t="s">
        <v>6751</v>
      </c>
      <c r="B5604" s="336">
        <v>46128.0</v>
      </c>
      <c r="C5604" s="349" t="s">
        <v>535</v>
      </c>
      <c r="D5604" s="349" t="s">
        <v>77</v>
      </c>
      <c r="E5604" s="337" t="str">
        <f t="shared" si="1"/>
        <v>東鐵名古屋:直納</v>
      </c>
      <c r="F5604" s="338" t="s">
        <v>145</v>
      </c>
      <c r="G5604" s="339" t="str">
        <f t="shared" si="2"/>
        <v>東鐵名古屋:直納シュレＡ</v>
      </c>
      <c r="H5604" s="340">
        <f t="shared" si="3"/>
        <v>54</v>
      </c>
      <c r="I5604" s="341">
        <v>0.5</v>
      </c>
      <c r="J5604" s="332">
        <f>IFERROR(__xludf.DUMMYFUNCTION("IF(IF(COUNTIF(P$2:P5603, P5604)=0, """", INDEX(H$2:H5603,
MAX(FILTER(ROW(H$2:H5603) - ROW(H$2) + 1, P$2:P5603 = P5604))))=""単価"","""",
IF(COUNTIF(P$2:P5603, P5604)=0, """", INDEX(H$2:H5603,
MAX(FILTER(ROW(H$2:H5603) - ROW(H$2) + 1, P$2:P5603 = P5604)))))"),53.5)</f>
        <v>53.5</v>
      </c>
      <c r="N5604" s="335" t="str">
        <f>IF(MAXIFS('単価履歴'!$O:$O,'単価履歴'!$E:$E,E5604,'単価履歴'!$F:$F,F5604)=O5604,"●","")</f>
        <v>●</v>
      </c>
      <c r="O5604" s="346">
        <v>46128.27130787037</v>
      </c>
      <c r="P5604" s="334" t="str">
        <f t="shared" si="4"/>
        <v>東鐵名古屋:直納シュレＡ</v>
      </c>
    </row>
    <row r="5605" ht="15.75" customHeight="1">
      <c r="A5605" s="335" t="s">
        <v>6752</v>
      </c>
      <c r="B5605" s="336">
        <v>46128.0</v>
      </c>
      <c r="C5605" s="349" t="s">
        <v>535</v>
      </c>
      <c r="D5605" s="349" t="s">
        <v>77</v>
      </c>
      <c r="E5605" s="337" t="str">
        <f t="shared" si="1"/>
        <v>東鐵名古屋:直納</v>
      </c>
      <c r="F5605" s="338" t="s">
        <v>151</v>
      </c>
      <c r="G5605" s="339" t="str">
        <f t="shared" si="2"/>
        <v>東鐵名古屋:直納シュレＣ</v>
      </c>
      <c r="H5605" s="340">
        <f t="shared" si="3"/>
        <v>53.5</v>
      </c>
      <c r="I5605" s="341">
        <v>0.5</v>
      </c>
      <c r="J5605" s="332">
        <f>IFERROR(__xludf.DUMMYFUNCTION("IF(IF(COUNTIF(P$2:P5604, P5605)=0, """", INDEX(H$2:H5604,
MAX(FILTER(ROW(H$2:H5604) - ROW(H$2) + 1, P$2:P5604 = P5605))))=""単価"","""",
IF(COUNTIF(P$2:P5604, P5605)=0, """", INDEX(H$2:H5604,
MAX(FILTER(ROW(H$2:H5604) - ROW(H$2) + 1, P$2:P5604 = P5605)))))"),53.0)</f>
        <v>53</v>
      </c>
      <c r="N5605" s="335" t="str">
        <f>IF(MAXIFS('単価履歴'!$O:$O,'単価履歴'!$E:$E,E5605,'単価履歴'!$F:$F,F5605)=O5605,"●","")</f>
        <v>●</v>
      </c>
      <c r="O5605" s="346">
        <v>46128.27130787037</v>
      </c>
      <c r="P5605" s="334" t="str">
        <f t="shared" si="4"/>
        <v>東鐵名古屋:直納シュレＣ</v>
      </c>
    </row>
    <row r="5606" ht="15.75" customHeight="1">
      <c r="A5606" s="335" t="s">
        <v>6753</v>
      </c>
      <c r="B5606" s="336">
        <v>46128.0</v>
      </c>
      <c r="C5606" s="349" t="s">
        <v>536</v>
      </c>
      <c r="D5606" s="349" t="s">
        <v>77</v>
      </c>
      <c r="E5606" s="337" t="str">
        <f t="shared" si="1"/>
        <v>東鐵田原:直納</v>
      </c>
      <c r="F5606" s="338" t="s">
        <v>1199</v>
      </c>
      <c r="G5606" s="339" t="str">
        <f t="shared" si="2"/>
        <v>東鐵田原:直納ＨＳ１(単体H1/電特A/HS))</v>
      </c>
      <c r="H5606" s="340">
        <f t="shared" si="3"/>
        <v>56.5</v>
      </c>
      <c r="I5606" s="341">
        <v>0.5</v>
      </c>
      <c r="J5606" s="332">
        <f>IFERROR(__xludf.DUMMYFUNCTION("IF(IF(COUNTIF(P$2:P5605, P5606)=0, """", INDEX(H$2:H5605,
MAX(FILTER(ROW(H$2:H5605) - ROW(H$2) + 1, P$2:P5605 = P5606))))=""単価"","""",
IF(COUNTIF(P$2:P5605, P5606)=0, """", INDEX(H$2:H5605,
MAX(FILTER(ROW(H$2:H5605) - ROW(H$2) + 1, P$2:P5605 = P5606)))))"),56.0)</f>
        <v>56</v>
      </c>
      <c r="N5606" s="335" t="str">
        <f>IF(MAXIFS('単価履歴'!$O:$O,'単価履歴'!$E:$E,E5606,'単価履歴'!$F:$F,F5606)=O5606,"●","")</f>
        <v>●</v>
      </c>
      <c r="O5606" s="346">
        <v>46128.27155092593</v>
      </c>
      <c r="P5606" s="334" t="str">
        <f t="shared" si="4"/>
        <v>東鐵田原:直納ＨＳ１(単体H1/電特A/HS))</v>
      </c>
    </row>
    <row r="5607" ht="15.75" customHeight="1">
      <c r="A5607" s="335" t="s">
        <v>6754</v>
      </c>
      <c r="B5607" s="336">
        <v>46128.0</v>
      </c>
      <c r="C5607" s="349" t="s">
        <v>536</v>
      </c>
      <c r="D5607" s="349" t="s">
        <v>77</v>
      </c>
      <c r="E5607" s="337" t="str">
        <f t="shared" si="1"/>
        <v>東鐵田原:直納</v>
      </c>
      <c r="F5607" s="338" t="s">
        <v>111</v>
      </c>
      <c r="G5607" s="339" t="str">
        <f t="shared" si="2"/>
        <v>東鐵田原:直納Ｈ１(特A)</v>
      </c>
      <c r="H5607" s="340">
        <f t="shared" si="3"/>
        <v>56</v>
      </c>
      <c r="I5607" s="341">
        <v>0.5</v>
      </c>
      <c r="J5607" s="332">
        <f>IFERROR(__xludf.DUMMYFUNCTION("IF(IF(COUNTIF(P$2:P5606, P5607)=0, """", INDEX(H$2:H5606,
MAX(FILTER(ROW(H$2:H5606) - ROW(H$2) + 1, P$2:P5606 = P5607))))=""単価"","""",
IF(COUNTIF(P$2:P5606, P5607)=0, """", INDEX(H$2:H5606,
MAX(FILTER(ROW(H$2:H5606) - ROW(H$2) + 1, P$2:P5606 = P5607)))))"),55.5)</f>
        <v>55.5</v>
      </c>
      <c r="N5607" s="335" t="str">
        <f>IF(MAXIFS('単価履歴'!$O:$O,'単価履歴'!$E:$E,E5607,'単価履歴'!$F:$F,F5607)=O5607,"●","")</f>
        <v>●</v>
      </c>
      <c r="O5607" s="346">
        <v>46128.27155092593</v>
      </c>
      <c r="P5607" s="334" t="str">
        <f t="shared" si="4"/>
        <v>東鐵田原:直納Ｈ１(特A)</v>
      </c>
    </row>
    <row r="5608" ht="15.75" customHeight="1">
      <c r="A5608" s="335" t="s">
        <v>6755</v>
      </c>
      <c r="B5608" s="336">
        <v>46128.0</v>
      </c>
      <c r="C5608" s="349" t="s">
        <v>536</v>
      </c>
      <c r="D5608" s="349" t="s">
        <v>77</v>
      </c>
      <c r="E5608" s="337" t="str">
        <f t="shared" si="1"/>
        <v>東鐵田原:直納</v>
      </c>
      <c r="F5608" s="338" t="s">
        <v>116</v>
      </c>
      <c r="G5608" s="339" t="str">
        <f t="shared" si="2"/>
        <v>東鐵田原:直納Ｈ２(特級)</v>
      </c>
      <c r="H5608" s="340">
        <f t="shared" si="3"/>
        <v>53</v>
      </c>
      <c r="I5608" s="341">
        <v>0.5</v>
      </c>
      <c r="J5608" s="332">
        <f>IFERROR(__xludf.DUMMYFUNCTION("IF(IF(COUNTIF(P$2:P5607, P5608)=0, """", INDEX(H$2:H5607,
MAX(FILTER(ROW(H$2:H5607) - ROW(H$2) + 1, P$2:P5607 = P5608))))=""単価"","""",
IF(COUNTIF(P$2:P5607, P5608)=0, """", INDEX(H$2:H5607,
MAX(FILTER(ROW(H$2:H5607) - ROW(H$2) + 1, P$2:P5607 = P5608)))))"),52.5)</f>
        <v>52.5</v>
      </c>
      <c r="N5608" s="335" t="str">
        <f>IF(MAXIFS('単価履歴'!$O:$O,'単価履歴'!$E:$E,E5608,'単価履歴'!$F:$F,F5608)=O5608,"●","")</f>
        <v>●</v>
      </c>
      <c r="O5608" s="346">
        <v>46128.27155092593</v>
      </c>
      <c r="P5608" s="334" t="str">
        <f t="shared" si="4"/>
        <v>東鐵田原:直納Ｈ２(特級)</v>
      </c>
    </row>
    <row r="5609" ht="15.75" customHeight="1">
      <c r="A5609" s="335" t="s">
        <v>6756</v>
      </c>
      <c r="B5609" s="336">
        <v>46128.0</v>
      </c>
      <c r="C5609" s="349" t="s">
        <v>536</v>
      </c>
      <c r="D5609" s="349" t="s">
        <v>77</v>
      </c>
      <c r="E5609" s="337" t="str">
        <f t="shared" si="1"/>
        <v>東鐵田原:直納</v>
      </c>
      <c r="F5609" s="338" t="s">
        <v>119</v>
      </c>
      <c r="G5609" s="339" t="str">
        <f t="shared" si="2"/>
        <v>東鐵田原:直納Ｈ３(1級)</v>
      </c>
      <c r="H5609" s="340">
        <f t="shared" si="3"/>
        <v>53</v>
      </c>
      <c r="I5609" s="341">
        <v>0.5</v>
      </c>
      <c r="J5609" s="332">
        <f>IFERROR(__xludf.DUMMYFUNCTION("IF(IF(COUNTIF(P$2:P5608, P5609)=0, """", INDEX(H$2:H5608,
MAX(FILTER(ROW(H$2:H5608) - ROW(H$2) + 1, P$2:P5608 = P5609))))=""単価"","""",
IF(COUNTIF(P$2:P5608, P5609)=0, """", INDEX(H$2:H5608,
MAX(FILTER(ROW(H$2:H5608) - ROW(H$2) + 1, P$2:P5608 = P5609)))))"),52.5)</f>
        <v>52.5</v>
      </c>
      <c r="N5609" s="335" t="str">
        <f>IF(MAXIFS('単価履歴'!$O:$O,'単価履歴'!$E:$E,E5609,'単価履歴'!$F:$F,F5609)=O5609,"●","")</f>
        <v>●</v>
      </c>
      <c r="O5609" s="346">
        <v>46128.27155092593</v>
      </c>
      <c r="P5609" s="334" t="str">
        <f t="shared" si="4"/>
        <v>東鐵田原:直納Ｈ３(1級)</v>
      </c>
    </row>
    <row r="5610" ht="15.75" customHeight="1">
      <c r="A5610" s="335" t="s">
        <v>6757</v>
      </c>
      <c r="B5610" s="336">
        <v>46128.0</v>
      </c>
      <c r="C5610" s="349" t="s">
        <v>536</v>
      </c>
      <c r="D5610" s="349" t="s">
        <v>77</v>
      </c>
      <c r="E5610" s="337" t="str">
        <f t="shared" si="1"/>
        <v>東鐵田原:直納</v>
      </c>
      <c r="F5610" s="338" t="s">
        <v>122</v>
      </c>
      <c r="G5610" s="339" t="str">
        <f t="shared" si="2"/>
        <v>東鐵田原:直納Ｌ１(2級)</v>
      </c>
      <c r="H5610" s="340">
        <f t="shared" si="3"/>
        <v>52.5</v>
      </c>
      <c r="I5610" s="341">
        <v>0.5</v>
      </c>
      <c r="J5610" s="332">
        <f>IFERROR(__xludf.DUMMYFUNCTION("IF(IF(COUNTIF(P$2:P5609, P5610)=0, """", INDEX(H$2:H5609,
MAX(FILTER(ROW(H$2:H5609) - ROW(H$2) + 1, P$2:P5609 = P5610))))=""単価"","""",
IF(COUNTIF(P$2:P5609, P5610)=0, """", INDEX(H$2:H5609,
MAX(FILTER(ROW(H$2:H5609) - ROW(H$2) + 1, P$2:P5609 = P5610)))))"),52.0)</f>
        <v>52</v>
      </c>
      <c r="N5610" s="335" t="str">
        <f>IF(MAXIFS('単価履歴'!$O:$O,'単価履歴'!$E:$E,E5610,'単価履歴'!$F:$F,F5610)=O5610,"●","")</f>
        <v>●</v>
      </c>
      <c r="O5610" s="346">
        <v>46128.27155092593</v>
      </c>
      <c r="P5610" s="334" t="str">
        <f t="shared" si="4"/>
        <v>東鐵田原:直納Ｌ１(2級)</v>
      </c>
    </row>
    <row r="5611" ht="15.75" customHeight="1">
      <c r="A5611" s="335" t="s">
        <v>6758</v>
      </c>
      <c r="B5611" s="336">
        <v>46128.0</v>
      </c>
      <c r="C5611" s="349" t="s">
        <v>536</v>
      </c>
      <c r="D5611" s="349" t="s">
        <v>77</v>
      </c>
      <c r="E5611" s="337" t="str">
        <f t="shared" si="1"/>
        <v>東鐵田原:直納</v>
      </c>
      <c r="F5611" s="338" t="s">
        <v>573</v>
      </c>
      <c r="G5611" s="339" t="str">
        <f t="shared" si="2"/>
        <v>東鐵田原:直納Ｌ２(H4･級外･L1ﾊﾞﾗ)</v>
      </c>
      <c r="H5611" s="340">
        <f t="shared" si="3"/>
        <v>48</v>
      </c>
      <c r="I5611" s="341">
        <v>0.5</v>
      </c>
      <c r="J5611" s="332">
        <f>IFERROR(__xludf.DUMMYFUNCTION("IF(IF(COUNTIF(P$2:P5610, P5611)=0, """", INDEX(H$2:H5610,
MAX(FILTER(ROW(H$2:H5610) - ROW(H$2) + 1, P$2:P5610 = P5611))))=""単価"","""",
IF(COUNTIF(P$2:P5610, P5611)=0, """", INDEX(H$2:H5610,
MAX(FILTER(ROW(H$2:H5610) - ROW(H$2) + 1, P$2:P5610 = P5611)))))"),47.5)</f>
        <v>47.5</v>
      </c>
      <c r="N5611" s="335" t="str">
        <f>IF(MAXIFS('単価履歴'!$O:$O,'単価履歴'!$E:$E,E5611,'単価履歴'!$F:$F,F5611)=O5611,"●","")</f>
        <v>●</v>
      </c>
      <c r="O5611" s="346">
        <v>46128.27155092593</v>
      </c>
      <c r="P5611" s="334" t="str">
        <f t="shared" si="4"/>
        <v>東鐵田原:直納Ｌ２(H4･級外･L1ﾊﾞﾗ)</v>
      </c>
    </row>
    <row r="5612" ht="15.75" customHeight="1">
      <c r="A5612" s="335" t="s">
        <v>6759</v>
      </c>
      <c r="B5612" s="336">
        <v>46128.0</v>
      </c>
      <c r="C5612" s="349" t="s">
        <v>536</v>
      </c>
      <c r="D5612" s="349" t="s">
        <v>77</v>
      </c>
      <c r="E5612" s="337" t="str">
        <f t="shared" si="1"/>
        <v>東鐵田原:直納</v>
      </c>
      <c r="F5612" s="338" t="s">
        <v>130</v>
      </c>
      <c r="G5612" s="339" t="str">
        <f t="shared" si="2"/>
        <v>東鐵田原:直納新断Ａ</v>
      </c>
      <c r="H5612" s="340">
        <f t="shared" si="3"/>
        <v>58</v>
      </c>
      <c r="I5612" s="341">
        <v>0.5</v>
      </c>
      <c r="J5612" s="332">
        <f>IFERROR(__xludf.DUMMYFUNCTION("IF(IF(COUNTIF(P$2:P5611, P5612)=0, """", INDEX(H$2:H5611,
MAX(FILTER(ROW(H$2:H5611) - ROW(H$2) + 1, P$2:P5611 = P5612))))=""単価"","""",
IF(COUNTIF(P$2:P5611, P5612)=0, """", INDEX(H$2:H5611,
MAX(FILTER(ROW(H$2:H5611) - ROW(H$2) + 1, P$2:P5611 = P5612)))))"),57.5)</f>
        <v>57.5</v>
      </c>
      <c r="N5612" s="335" t="str">
        <f>IF(MAXIFS('単価履歴'!$O:$O,'単価履歴'!$E:$E,E5612,'単価履歴'!$F:$F,F5612)=O5612,"●","")</f>
        <v>●</v>
      </c>
      <c r="O5612" s="346">
        <v>46128.27155092593</v>
      </c>
      <c r="P5612" s="334" t="str">
        <f t="shared" si="4"/>
        <v>東鐵田原:直納新断Ａ</v>
      </c>
    </row>
    <row r="5613" ht="15.75" customHeight="1">
      <c r="A5613" s="335" t="s">
        <v>6760</v>
      </c>
      <c r="B5613" s="336">
        <v>46128.0</v>
      </c>
      <c r="C5613" s="349" t="s">
        <v>536</v>
      </c>
      <c r="D5613" s="349" t="s">
        <v>77</v>
      </c>
      <c r="E5613" s="337" t="str">
        <f t="shared" si="1"/>
        <v>東鐵田原:直納</v>
      </c>
      <c r="F5613" s="338" t="s">
        <v>131</v>
      </c>
      <c r="G5613" s="339" t="str">
        <f t="shared" si="2"/>
        <v>東鐵田原:直納新断Ｂ</v>
      </c>
      <c r="H5613" s="340">
        <f t="shared" si="3"/>
        <v>58</v>
      </c>
      <c r="I5613" s="341">
        <v>0.5</v>
      </c>
      <c r="J5613" s="332">
        <f>IFERROR(__xludf.DUMMYFUNCTION("IF(IF(COUNTIF(P$2:P5612, P5613)=0, """", INDEX(H$2:H5612,
MAX(FILTER(ROW(H$2:H5612) - ROW(H$2) + 1, P$2:P5612 = P5613))))=""単価"","""",
IF(COUNTIF(P$2:P5612, P5613)=0, """", INDEX(H$2:H5612,
MAX(FILTER(ROW(H$2:H5612) - ROW(H$2) + 1, P$2:P5612 = P5613)))))"),57.5)</f>
        <v>57.5</v>
      </c>
      <c r="N5613" s="335" t="str">
        <f>IF(MAXIFS('単価履歴'!$O:$O,'単価履歴'!$E:$E,E5613,'単価履歴'!$F:$F,F5613)=O5613,"●","")</f>
        <v>●</v>
      </c>
      <c r="O5613" s="346">
        <v>46128.27155092593</v>
      </c>
      <c r="P5613" s="334" t="str">
        <f t="shared" si="4"/>
        <v>東鐵田原:直納新断Ｂ</v>
      </c>
    </row>
    <row r="5614" ht="15.75" customHeight="1">
      <c r="A5614" s="335" t="s">
        <v>6761</v>
      </c>
      <c r="B5614" s="336">
        <v>46128.0</v>
      </c>
      <c r="C5614" s="349" t="s">
        <v>536</v>
      </c>
      <c r="D5614" s="349" t="s">
        <v>77</v>
      </c>
      <c r="E5614" s="337" t="str">
        <f t="shared" si="1"/>
        <v>東鐵田原:直納</v>
      </c>
      <c r="F5614" s="338" t="s">
        <v>575</v>
      </c>
      <c r="G5614" s="339" t="str">
        <f t="shared" si="2"/>
        <v>東鐵田原:直納鋼ダライＡ</v>
      </c>
      <c r="H5614" s="340">
        <f t="shared" si="3"/>
        <v>51.5</v>
      </c>
      <c r="I5614" s="341">
        <v>0.5</v>
      </c>
      <c r="J5614" s="332">
        <f>IFERROR(__xludf.DUMMYFUNCTION("IF(IF(COUNTIF(P$2:P5613, P5614)=0, """", INDEX(H$2:H5613,
MAX(FILTER(ROW(H$2:H5613) - ROW(H$2) + 1, P$2:P5613 = P5614))))=""単価"","""",
IF(COUNTIF(P$2:P5613, P5614)=0, """", INDEX(H$2:H5613,
MAX(FILTER(ROW(H$2:H5613) - ROW(H$2) + 1, P$2:P5613 = P5614)))))"),51.0)</f>
        <v>51</v>
      </c>
      <c r="N5614" s="335" t="str">
        <f>IF(MAXIFS('単価履歴'!$O:$O,'単価履歴'!$E:$E,E5614,'単価履歴'!$F:$F,F5614)=O5614,"●","")</f>
        <v>●</v>
      </c>
      <c r="O5614" s="346">
        <v>46128.27155092593</v>
      </c>
      <c r="P5614" s="334" t="str">
        <f t="shared" si="4"/>
        <v>東鐵田原:直納鋼ダライＡ</v>
      </c>
    </row>
    <row r="5615" ht="15.75" customHeight="1">
      <c r="A5615" s="335" t="s">
        <v>6762</v>
      </c>
      <c r="B5615" s="336">
        <v>46128.0</v>
      </c>
      <c r="C5615" s="349" t="s">
        <v>536</v>
      </c>
      <c r="D5615" s="349" t="s">
        <v>77</v>
      </c>
      <c r="E5615" s="337" t="str">
        <f t="shared" si="1"/>
        <v>東鐵田原:直納</v>
      </c>
      <c r="F5615" s="338" t="s">
        <v>145</v>
      </c>
      <c r="G5615" s="339" t="str">
        <f t="shared" si="2"/>
        <v>東鐵田原:直納シュレＡ</v>
      </c>
      <c r="H5615" s="340">
        <f t="shared" si="3"/>
        <v>54</v>
      </c>
      <c r="I5615" s="341">
        <v>0.5</v>
      </c>
      <c r="J5615" s="332">
        <f>IFERROR(__xludf.DUMMYFUNCTION("IF(IF(COUNTIF(P$2:P5614, P5615)=0, """", INDEX(H$2:H5614,
MAX(FILTER(ROW(H$2:H5614) - ROW(H$2) + 1, P$2:P5614 = P5615))))=""単価"","""",
IF(COUNTIF(P$2:P5614, P5615)=0, """", INDEX(H$2:H5614,
MAX(FILTER(ROW(H$2:H5614) - ROW(H$2) + 1, P$2:P5614 = P5615)))))"),53.5)</f>
        <v>53.5</v>
      </c>
      <c r="N5615" s="335" t="str">
        <f>IF(MAXIFS('単価履歴'!$O:$O,'単価履歴'!$E:$E,E5615,'単価履歴'!$F:$F,F5615)=O5615,"●","")</f>
        <v>●</v>
      </c>
      <c r="O5615" s="346">
        <v>46128.27155092593</v>
      </c>
      <c r="P5615" s="334" t="str">
        <f t="shared" si="4"/>
        <v>東鐵田原:直納シュレＡ</v>
      </c>
    </row>
    <row r="5616" ht="15.75" customHeight="1">
      <c r="A5616" s="335" t="s">
        <v>6763</v>
      </c>
      <c r="B5616" s="336">
        <v>46128.0</v>
      </c>
      <c r="C5616" s="349" t="s">
        <v>536</v>
      </c>
      <c r="D5616" s="349" t="s">
        <v>77</v>
      </c>
      <c r="E5616" s="337" t="str">
        <f t="shared" si="1"/>
        <v>東鐵田原:直納</v>
      </c>
      <c r="F5616" s="338" t="s">
        <v>151</v>
      </c>
      <c r="G5616" s="339" t="str">
        <f t="shared" si="2"/>
        <v>東鐵田原:直納シュレＣ</v>
      </c>
      <c r="H5616" s="340">
        <f t="shared" si="3"/>
        <v>53.5</v>
      </c>
      <c r="I5616" s="341">
        <v>0.5</v>
      </c>
      <c r="J5616" s="332">
        <f>IFERROR(__xludf.DUMMYFUNCTION("IF(IF(COUNTIF(P$2:P5615, P5616)=0, """", INDEX(H$2:H5615,
MAX(FILTER(ROW(H$2:H5615) - ROW(H$2) + 1, P$2:P5615 = P5616))))=""単価"","""",
IF(COUNTIF(P$2:P5615, P5616)=0, """", INDEX(H$2:H5615,
MAX(FILTER(ROW(H$2:H5615) - ROW(H$2) + 1, P$2:P5615 = P5616)))))"),53.0)</f>
        <v>53</v>
      </c>
      <c r="N5616" s="335" t="str">
        <f>IF(MAXIFS('単価履歴'!$O:$O,'単価履歴'!$E:$E,E5616,'単価履歴'!$F:$F,F5616)=O5616,"●","")</f>
        <v>●</v>
      </c>
      <c r="O5616" s="346">
        <v>46128.27155092593</v>
      </c>
      <c r="P5616" s="334" t="str">
        <f t="shared" si="4"/>
        <v>東鐵田原:直納シュレＣ</v>
      </c>
    </row>
    <row r="5617" ht="15.75" customHeight="1">
      <c r="A5617" s="335" t="s">
        <v>6764</v>
      </c>
      <c r="B5617" s="336">
        <v>46128.0</v>
      </c>
      <c r="C5617" s="349" t="s">
        <v>536</v>
      </c>
      <c r="D5617" s="349" t="s">
        <v>77</v>
      </c>
      <c r="E5617" s="337" t="str">
        <f t="shared" si="1"/>
        <v>東鐵田原:直納</v>
      </c>
      <c r="F5617" s="338" t="s">
        <v>154</v>
      </c>
      <c r="G5617" s="339" t="str">
        <f t="shared" si="2"/>
        <v>東鐵田原:直納ＣＰ Ａ</v>
      </c>
      <c r="H5617" s="340">
        <f t="shared" si="3"/>
        <v>51.5</v>
      </c>
      <c r="I5617" s="341">
        <v>0.5</v>
      </c>
      <c r="J5617" s="332">
        <f>IFERROR(__xludf.DUMMYFUNCTION("IF(IF(COUNTIF(P$2:P5616, P5617)=0, """", INDEX(H$2:H5616,
MAX(FILTER(ROW(H$2:H5616) - ROW(H$2) + 1, P$2:P5616 = P5617))))=""単価"","""",
IF(COUNTIF(P$2:P5616, P5617)=0, """", INDEX(H$2:H5616,
MAX(FILTER(ROW(H$2:H5616) - ROW(H$2) + 1, P$2:P5616 = P5617)))))"),51.0)</f>
        <v>51</v>
      </c>
      <c r="N5617" s="335" t="str">
        <f>IF(MAXIFS('単価履歴'!$O:$O,'単価履歴'!$E:$E,E5617,'単価履歴'!$F:$F,F5617)=O5617,"●","")</f>
        <v>●</v>
      </c>
      <c r="O5617" s="346">
        <v>46128.27155092593</v>
      </c>
      <c r="P5617" s="334" t="str">
        <f t="shared" si="4"/>
        <v>東鐵田原:直納ＣＰ Ａ</v>
      </c>
    </row>
    <row r="5618" ht="15.75" customHeight="1">
      <c r="A5618" s="335" t="s">
        <v>6765</v>
      </c>
      <c r="B5618" s="336">
        <v>46128.0</v>
      </c>
      <c r="C5618" s="349" t="s">
        <v>6</v>
      </c>
      <c r="D5618" s="349" t="s">
        <v>48</v>
      </c>
      <c r="E5618" s="337" t="str">
        <f t="shared" si="1"/>
        <v>中山鋼業:ナベ</v>
      </c>
      <c r="F5618" s="338" t="s">
        <v>111</v>
      </c>
      <c r="G5618" s="339" t="str">
        <f t="shared" si="2"/>
        <v>中山鋼業:ナベＨ１(特A)</v>
      </c>
      <c r="H5618" s="340">
        <f t="shared" si="3"/>
        <v>55.5</v>
      </c>
      <c r="I5618" s="341">
        <v>0.5</v>
      </c>
      <c r="J5618" s="332">
        <f>IFERROR(__xludf.DUMMYFUNCTION("IF(IF(COUNTIF(P$2:P5617, P5618)=0, """", INDEX(H$2:H5617,
MAX(FILTER(ROW(H$2:H5617) - ROW(H$2) + 1, P$2:P5617 = P5618))))=""単価"","""",
IF(COUNTIF(P$2:P5617, P5618)=0, """", INDEX(H$2:H5617,
MAX(FILTER(ROW(H$2:H5617) - ROW(H$2) + 1, P$2:P5617 = P5618)))))"),55.0)</f>
        <v>55</v>
      </c>
      <c r="N5618" s="335" t="str">
        <f>IF(MAXIFS('単価履歴'!$O:$O,'単価履歴'!$E:$E,E5618,'単価履歴'!$F:$F,F5618)=O5618,"●","")</f>
        <v>●</v>
      </c>
      <c r="O5618" s="346">
        <v>46128.271898148145</v>
      </c>
      <c r="P5618" s="334" t="str">
        <f t="shared" si="4"/>
        <v>中山鋼業:ナベＨ１(特A)</v>
      </c>
    </row>
    <row r="5619" ht="15.75" customHeight="1">
      <c r="A5619" s="335" t="s">
        <v>6766</v>
      </c>
      <c r="B5619" s="336">
        <v>46128.0</v>
      </c>
      <c r="C5619" s="349" t="s">
        <v>6</v>
      </c>
      <c r="D5619" s="349" t="s">
        <v>48</v>
      </c>
      <c r="E5619" s="337" t="str">
        <f t="shared" si="1"/>
        <v>中山鋼業:ナベ</v>
      </c>
      <c r="F5619" s="338" t="s">
        <v>1237</v>
      </c>
      <c r="G5619" s="339" t="str">
        <f t="shared" si="2"/>
        <v>中山鋼業:ナベＪＨ１(H2T山口)鍛造ﾊﾞﾘ</v>
      </c>
      <c r="H5619" s="340">
        <f t="shared" si="3"/>
        <v>52.7</v>
      </c>
      <c r="I5619" s="341">
        <v>0.5</v>
      </c>
      <c r="J5619" s="332">
        <f>IFERROR(__xludf.DUMMYFUNCTION("IF(IF(COUNTIF(P$2:P5618, P5619)=0, """", INDEX(H$2:H5618,
MAX(FILTER(ROW(H$2:H5618) - ROW(H$2) + 1, P$2:P5618 = P5619))))=""単価"","""",
IF(COUNTIF(P$2:P5618, P5619)=0, """", INDEX(H$2:H5618,
MAX(FILTER(ROW(H$2:H5618) - ROW(H$2) + 1, P$2:P5618 = P5619)))))"),52.2)</f>
        <v>52.2</v>
      </c>
      <c r="N5619" s="335" t="str">
        <f>IF(MAXIFS('単価履歴'!$O:$O,'単価履歴'!$E:$E,E5619,'単価履歴'!$F:$F,F5619)=O5619,"●","")</f>
        <v>●</v>
      </c>
      <c r="O5619" s="346">
        <v>46128.271898148145</v>
      </c>
      <c r="P5619" s="334" t="str">
        <f t="shared" si="4"/>
        <v>中山鋼業:ナベＪＨ１(H2T山口)鍛造ﾊﾞﾘ</v>
      </c>
    </row>
    <row r="5620" ht="15.75" customHeight="1">
      <c r="A5620" s="335" t="s">
        <v>6767</v>
      </c>
      <c r="B5620" s="336">
        <v>46128.0</v>
      </c>
      <c r="C5620" s="349" t="s">
        <v>6</v>
      </c>
      <c r="D5620" s="349" t="s">
        <v>48</v>
      </c>
      <c r="E5620" s="337" t="str">
        <f t="shared" si="1"/>
        <v>中山鋼業:ナベ</v>
      </c>
      <c r="F5620" s="338" t="s">
        <v>116</v>
      </c>
      <c r="G5620" s="339" t="str">
        <f t="shared" si="2"/>
        <v>中山鋼業:ナベＨ２(特級)</v>
      </c>
      <c r="H5620" s="340">
        <f t="shared" si="3"/>
        <v>54.5</v>
      </c>
      <c r="I5620" s="341">
        <v>0.5</v>
      </c>
      <c r="J5620" s="332">
        <f>IFERROR(__xludf.DUMMYFUNCTION("IF(IF(COUNTIF(P$2:P5619, P5620)=0, """", INDEX(H$2:H5619,
MAX(FILTER(ROW(H$2:H5619) - ROW(H$2) + 1, P$2:P5619 = P5620))))=""単価"","""",
IF(COUNTIF(P$2:P5619, P5620)=0, """", INDEX(H$2:H5619,
MAX(FILTER(ROW(H$2:H5619) - ROW(H$2) + 1, P$2:P5619 = P5620)))))"),54.0)</f>
        <v>54</v>
      </c>
      <c r="N5620" s="335" t="str">
        <f>IF(MAXIFS('単価履歴'!$O:$O,'単価履歴'!$E:$E,E5620,'単価履歴'!$F:$F,F5620)=O5620,"●","")</f>
        <v>●</v>
      </c>
      <c r="O5620" s="346">
        <v>46128.271898148145</v>
      </c>
      <c r="P5620" s="334" t="str">
        <f t="shared" si="4"/>
        <v>中山鋼業:ナベＨ２(特級)</v>
      </c>
    </row>
    <row r="5621" ht="15.75" customHeight="1">
      <c r="A5621" s="335" t="s">
        <v>6768</v>
      </c>
      <c r="B5621" s="336">
        <v>46128.0</v>
      </c>
      <c r="C5621" s="349" t="s">
        <v>6</v>
      </c>
      <c r="D5621" s="349" t="s">
        <v>48</v>
      </c>
      <c r="E5621" s="337" t="str">
        <f t="shared" si="1"/>
        <v>中山鋼業:ナベ</v>
      </c>
      <c r="F5621" s="338" t="s">
        <v>119</v>
      </c>
      <c r="G5621" s="339" t="str">
        <f t="shared" si="2"/>
        <v>中山鋼業:ナベＨ３(1級)</v>
      </c>
      <c r="H5621" s="340">
        <f t="shared" si="3"/>
        <v>54</v>
      </c>
      <c r="I5621" s="341">
        <v>0.5</v>
      </c>
      <c r="J5621" s="332">
        <f>IFERROR(__xludf.DUMMYFUNCTION("IF(IF(COUNTIF(P$2:P5620, P5621)=0, """", INDEX(H$2:H5620,
MAX(FILTER(ROW(H$2:H5620) - ROW(H$2) + 1, P$2:P5620 = P5621))))=""単価"","""",
IF(COUNTIF(P$2:P5620, P5621)=0, """", INDEX(H$2:H5620,
MAX(FILTER(ROW(H$2:H5620) - ROW(H$2) + 1, P$2:P5620 = P5621)))))"),53.5)</f>
        <v>53.5</v>
      </c>
      <c r="N5621" s="335" t="str">
        <f>IF(MAXIFS('単価履歴'!$O:$O,'単価履歴'!$E:$E,E5621,'単価履歴'!$F:$F,F5621)=O5621,"●","")</f>
        <v>●</v>
      </c>
      <c r="O5621" s="346">
        <v>46128.271898148145</v>
      </c>
      <c r="P5621" s="334" t="str">
        <f t="shared" si="4"/>
        <v>中山鋼業:ナベＨ３(1級)</v>
      </c>
    </row>
    <row r="5622" ht="15.75" customHeight="1">
      <c r="A5622" s="335" t="s">
        <v>6769</v>
      </c>
      <c r="B5622" s="336">
        <v>46128.0</v>
      </c>
      <c r="C5622" s="349" t="s">
        <v>6</v>
      </c>
      <c r="D5622" s="349" t="s">
        <v>48</v>
      </c>
      <c r="E5622" s="337" t="str">
        <f t="shared" si="1"/>
        <v>中山鋼業:ナベ</v>
      </c>
      <c r="F5622" s="338" t="s">
        <v>122</v>
      </c>
      <c r="G5622" s="339" t="str">
        <f t="shared" si="2"/>
        <v>中山鋼業:ナベＬ１(2級)</v>
      </c>
      <c r="H5622" s="340">
        <f t="shared" si="3"/>
        <v>53.5</v>
      </c>
      <c r="I5622" s="341">
        <v>0.5</v>
      </c>
      <c r="J5622" s="332">
        <f>IFERROR(__xludf.DUMMYFUNCTION("IF(IF(COUNTIF(P$2:P5621, P5622)=0, """", INDEX(H$2:H5621,
MAX(FILTER(ROW(H$2:H5621) - ROW(H$2) + 1, P$2:P5621 = P5622))))=""単価"","""",
IF(COUNTIF(P$2:P5621, P5622)=0, """", INDEX(H$2:H5621,
MAX(FILTER(ROW(H$2:H5621) - ROW(H$2) + 1, P$2:P5621 = P5622)))))"),53.0)</f>
        <v>53</v>
      </c>
      <c r="N5622" s="335" t="str">
        <f>IF(MAXIFS('単価履歴'!$O:$O,'単価履歴'!$E:$E,E5622,'単価履歴'!$F:$F,F5622)=O5622,"●","")</f>
        <v>●</v>
      </c>
      <c r="O5622" s="346">
        <v>46128.271898148145</v>
      </c>
      <c r="P5622" s="334" t="str">
        <f t="shared" si="4"/>
        <v>中山鋼業:ナベＬ１(2級)</v>
      </c>
    </row>
    <row r="5623" ht="15.75" customHeight="1">
      <c r="A5623" s="335" t="s">
        <v>6770</v>
      </c>
      <c r="B5623" s="336">
        <v>46128.0</v>
      </c>
      <c r="C5623" s="349" t="s">
        <v>6</v>
      </c>
      <c r="D5623" s="349" t="s">
        <v>48</v>
      </c>
      <c r="E5623" s="337" t="str">
        <f t="shared" si="1"/>
        <v>中山鋼業:ナベ</v>
      </c>
      <c r="F5623" s="338" t="s">
        <v>573</v>
      </c>
      <c r="G5623" s="339" t="str">
        <f t="shared" si="2"/>
        <v>中山鋼業:ナベＬ２(H4･級外･L1ﾊﾞﾗ)</v>
      </c>
      <c r="H5623" s="340">
        <f t="shared" si="3"/>
        <v>48</v>
      </c>
      <c r="I5623" s="341">
        <v>0.5</v>
      </c>
      <c r="J5623" s="332">
        <f>IFERROR(__xludf.DUMMYFUNCTION("IF(IF(COUNTIF(P$2:P5622, P5623)=0, """", INDEX(H$2:H5622,
MAX(FILTER(ROW(H$2:H5622) - ROW(H$2) + 1, P$2:P5622 = P5623))))=""単価"","""",
IF(COUNTIF(P$2:P5622, P5623)=0, """", INDEX(H$2:H5622,
MAX(FILTER(ROW(H$2:H5622) - ROW(H$2) + 1, P$2:P5622 = P5623)))))"),47.5)</f>
        <v>47.5</v>
      </c>
      <c r="N5623" s="335" t="str">
        <f>IF(MAXIFS('単価履歴'!$O:$O,'単価履歴'!$E:$E,E5623,'単価履歴'!$F:$F,F5623)=O5623,"●","")</f>
        <v>●</v>
      </c>
      <c r="O5623" s="346">
        <v>46128.271898148145</v>
      </c>
      <c r="P5623" s="334" t="str">
        <f t="shared" si="4"/>
        <v>中山鋼業:ナベＬ２(H4･級外･L1ﾊﾞﾗ)</v>
      </c>
    </row>
    <row r="5624" ht="15.75" customHeight="1">
      <c r="A5624" s="335" t="s">
        <v>6771</v>
      </c>
      <c r="B5624" s="336">
        <v>46128.0</v>
      </c>
      <c r="C5624" s="349" t="s">
        <v>6</v>
      </c>
      <c r="D5624" s="349" t="s">
        <v>48</v>
      </c>
      <c r="E5624" s="337" t="str">
        <f t="shared" si="1"/>
        <v>中山鋼業:ナベ</v>
      </c>
      <c r="F5624" s="338" t="s">
        <v>130</v>
      </c>
      <c r="G5624" s="339" t="str">
        <f t="shared" si="2"/>
        <v>中山鋼業:ナベ新断Ａ</v>
      </c>
      <c r="H5624" s="340">
        <f t="shared" si="3"/>
        <v>10.5</v>
      </c>
      <c r="I5624" s="341">
        <v>0.5</v>
      </c>
      <c r="J5624" s="332">
        <f>IFERROR(__xludf.DUMMYFUNCTION("IF(IF(COUNTIF(P$2:P5623, P5624)=0, """", INDEX(H$2:H5623,
MAX(FILTER(ROW(H$2:H5623) - ROW(H$2) + 1, P$2:P5623 = P5624))))=""単価"","""",
IF(COUNTIF(P$2:P5623, P5624)=0, """", INDEX(H$2:H5623,
MAX(FILTER(ROW(H$2:H5623) - ROW(H$2) + 1, P$2:P5623 = P5624)))))"),10.0)</f>
        <v>10</v>
      </c>
      <c r="N5624" s="335" t="str">
        <f>IF(MAXIFS('単価履歴'!$O:$O,'単価履歴'!$E:$E,E5624,'単価履歴'!$F:$F,F5624)=O5624,"●","")</f>
        <v>●</v>
      </c>
      <c r="O5624" s="346">
        <v>46128.271898148145</v>
      </c>
      <c r="P5624" s="334" t="str">
        <f t="shared" si="4"/>
        <v>中山鋼業:ナベ新断Ａ</v>
      </c>
    </row>
    <row r="5625" ht="15.75" customHeight="1">
      <c r="A5625" s="335" t="s">
        <v>6772</v>
      </c>
      <c r="B5625" s="336">
        <v>46128.0</v>
      </c>
      <c r="C5625" s="349" t="s">
        <v>6</v>
      </c>
      <c r="D5625" s="349" t="s">
        <v>48</v>
      </c>
      <c r="E5625" s="337" t="str">
        <f t="shared" si="1"/>
        <v>中山鋼業:ナベ</v>
      </c>
      <c r="F5625" s="338" t="s">
        <v>575</v>
      </c>
      <c r="G5625" s="339" t="str">
        <f t="shared" si="2"/>
        <v>中山鋼業:ナベ鋼ダライＡ</v>
      </c>
      <c r="H5625" s="340">
        <f t="shared" si="3"/>
        <v>44.2</v>
      </c>
      <c r="I5625" s="341">
        <v>0.5</v>
      </c>
      <c r="J5625" s="332">
        <f>IFERROR(__xludf.DUMMYFUNCTION("IF(IF(COUNTIF(P$2:P5624, P5625)=0, """", INDEX(H$2:H5624,
MAX(FILTER(ROW(H$2:H5624) - ROW(H$2) + 1, P$2:P5624 = P5625))))=""単価"","""",
IF(COUNTIF(P$2:P5624, P5625)=0, """", INDEX(H$2:H5624,
MAX(FILTER(ROW(H$2:H5624) - ROW(H$2) + 1, P$2:P5624 = P5625)))))"),43.7)</f>
        <v>43.7</v>
      </c>
      <c r="N5625" s="335" t="str">
        <f>IF(MAXIFS('単価履歴'!$O:$O,'単価履歴'!$E:$E,E5625,'単価履歴'!$F:$F,F5625)=O5625,"●","")</f>
        <v>●</v>
      </c>
      <c r="O5625" s="346">
        <v>46128.271898148145</v>
      </c>
      <c r="P5625" s="334" t="str">
        <f t="shared" si="4"/>
        <v>中山鋼業:ナベ鋼ダライＡ</v>
      </c>
    </row>
    <row r="5626" ht="15.75" customHeight="1">
      <c r="A5626" s="335" t="s">
        <v>6773</v>
      </c>
      <c r="B5626" s="336">
        <v>46128.0</v>
      </c>
      <c r="C5626" s="349" t="s">
        <v>7</v>
      </c>
      <c r="D5626" s="349" t="s">
        <v>49</v>
      </c>
      <c r="E5626" s="337" t="str">
        <f t="shared" si="1"/>
        <v>合同大阪:伊藤忠</v>
      </c>
      <c r="F5626" s="338" t="s">
        <v>1199</v>
      </c>
      <c r="G5626" s="339" t="str">
        <f t="shared" si="2"/>
        <v>合同大阪:伊藤忠ＨＳ１(単体H1/電特A/HS))</v>
      </c>
      <c r="H5626" s="340">
        <f t="shared" si="3"/>
        <v>55.8</v>
      </c>
      <c r="I5626" s="341">
        <v>0.5</v>
      </c>
      <c r="J5626" s="332">
        <f>IFERROR(__xludf.DUMMYFUNCTION("IF(IF(COUNTIF(P$2:P5625, P5626)=0, """", INDEX(H$2:H5625,
MAX(FILTER(ROW(H$2:H5625) - ROW(H$2) + 1, P$2:P5625 = P5626))))=""単価"","""",
IF(COUNTIF(P$2:P5625, P5626)=0, """", INDEX(H$2:H5625,
MAX(FILTER(ROW(H$2:H5625) - ROW(H$2) + 1, P$2:P5625 = P5626)))))"),55.3)</f>
        <v>55.3</v>
      </c>
      <c r="N5626" s="335" t="str">
        <f>IF(MAXIFS('単価履歴'!$O:$O,'単価履歴'!$E:$E,E5626,'単価履歴'!$F:$F,F5626)=O5626,"●","")</f>
        <v>●</v>
      </c>
      <c r="O5626" s="346">
        <v>46128.27217592593</v>
      </c>
      <c r="P5626" s="334" t="str">
        <f t="shared" si="4"/>
        <v>合同大阪:伊藤忠ＨＳ１(単体H1/電特A/HS))</v>
      </c>
    </row>
    <row r="5627" ht="15.75" customHeight="1">
      <c r="A5627" s="335" t="s">
        <v>6774</v>
      </c>
      <c r="B5627" s="336">
        <v>46128.0</v>
      </c>
      <c r="C5627" s="349" t="s">
        <v>7</v>
      </c>
      <c r="D5627" s="349" t="s">
        <v>49</v>
      </c>
      <c r="E5627" s="337" t="str">
        <f t="shared" si="1"/>
        <v>合同大阪:伊藤忠</v>
      </c>
      <c r="F5627" s="338" t="s">
        <v>101</v>
      </c>
      <c r="G5627" s="339" t="str">
        <f t="shared" si="2"/>
        <v>合同大阪:伊藤忠ＨＳ２</v>
      </c>
      <c r="H5627" s="340">
        <f t="shared" si="3"/>
        <v>55.3</v>
      </c>
      <c r="I5627" s="341">
        <v>0.5</v>
      </c>
      <c r="J5627" s="332">
        <f>IFERROR(__xludf.DUMMYFUNCTION("IF(IF(COUNTIF(P$2:P5626, P5627)=0, """", INDEX(H$2:H5626,
MAX(FILTER(ROW(H$2:H5626) - ROW(H$2) + 1, P$2:P5626 = P5627))))=""単価"","""",
IF(COUNTIF(P$2:P5626, P5627)=0, """", INDEX(H$2:H5626,
MAX(FILTER(ROW(H$2:H5626) - ROW(H$2) + 1, P$2:P5626 = P5627)))))"),54.8)</f>
        <v>54.8</v>
      </c>
      <c r="N5627" s="335" t="str">
        <f>IF(MAXIFS('単価履歴'!$O:$O,'単価履歴'!$E:$E,E5627,'単価履歴'!$F:$F,F5627)=O5627,"●","")</f>
        <v>●</v>
      </c>
      <c r="O5627" s="346">
        <v>46128.27217592593</v>
      </c>
      <c r="P5627" s="334" t="str">
        <f t="shared" si="4"/>
        <v>合同大阪:伊藤忠ＨＳ２</v>
      </c>
    </row>
    <row r="5628" ht="15.75" customHeight="1">
      <c r="A5628" s="335" t="s">
        <v>6775</v>
      </c>
      <c r="B5628" s="336">
        <v>46128.0</v>
      </c>
      <c r="C5628" s="349" t="s">
        <v>7</v>
      </c>
      <c r="D5628" s="349" t="s">
        <v>49</v>
      </c>
      <c r="E5628" s="337" t="str">
        <f t="shared" si="1"/>
        <v>合同大阪:伊藤忠</v>
      </c>
      <c r="F5628" s="338" t="s">
        <v>111</v>
      </c>
      <c r="G5628" s="339" t="str">
        <f t="shared" si="2"/>
        <v>合同大阪:伊藤忠Ｈ１(特A)</v>
      </c>
      <c r="H5628" s="340">
        <f t="shared" si="3"/>
        <v>55.8</v>
      </c>
      <c r="I5628" s="341">
        <v>0.5</v>
      </c>
      <c r="J5628" s="332">
        <f>IFERROR(__xludf.DUMMYFUNCTION("IF(IF(COUNTIF(P$2:P5627, P5628)=0, """", INDEX(H$2:H5627,
MAX(FILTER(ROW(H$2:H5627) - ROW(H$2) + 1, P$2:P5627 = P5628))))=""単価"","""",
IF(COUNTIF(P$2:P5627, P5628)=0, """", INDEX(H$2:H5627,
MAX(FILTER(ROW(H$2:H5627) - ROW(H$2) + 1, P$2:P5627 = P5628)))))"),55.3)</f>
        <v>55.3</v>
      </c>
      <c r="N5628" s="335" t="str">
        <f>IF(MAXIFS('単価履歴'!$O:$O,'単価履歴'!$E:$E,E5628,'単価履歴'!$F:$F,F5628)=O5628,"●","")</f>
        <v>●</v>
      </c>
      <c r="O5628" s="346">
        <v>46128.27217592593</v>
      </c>
      <c r="P5628" s="334" t="str">
        <f t="shared" si="4"/>
        <v>合同大阪:伊藤忠Ｈ１(特A)</v>
      </c>
    </row>
    <row r="5629" ht="15.75" customHeight="1">
      <c r="A5629" s="335" t="s">
        <v>6776</v>
      </c>
      <c r="B5629" s="336">
        <v>46128.0</v>
      </c>
      <c r="C5629" s="349" t="s">
        <v>7</v>
      </c>
      <c r="D5629" s="349" t="s">
        <v>49</v>
      </c>
      <c r="E5629" s="337" t="str">
        <f t="shared" si="1"/>
        <v>合同大阪:伊藤忠</v>
      </c>
      <c r="F5629" s="338" t="s">
        <v>116</v>
      </c>
      <c r="G5629" s="339" t="str">
        <f t="shared" si="2"/>
        <v>合同大阪:伊藤忠Ｈ２(特級)</v>
      </c>
      <c r="H5629" s="340">
        <f t="shared" si="3"/>
        <v>53.8</v>
      </c>
      <c r="I5629" s="341">
        <v>0.5</v>
      </c>
      <c r="J5629" s="332">
        <f>IFERROR(__xludf.DUMMYFUNCTION("IF(IF(COUNTIF(P$2:P5628, P5629)=0, """", INDEX(H$2:H5628,
MAX(FILTER(ROW(H$2:H5628) - ROW(H$2) + 1, P$2:P5628 = P5629))))=""単価"","""",
IF(COUNTIF(P$2:P5628, P5629)=0, """", INDEX(H$2:H5628,
MAX(FILTER(ROW(H$2:H5628) - ROW(H$2) + 1, P$2:P5628 = P5629)))))"),53.3)</f>
        <v>53.3</v>
      </c>
      <c r="N5629" s="335" t="str">
        <f>IF(MAXIFS('単価履歴'!$O:$O,'単価履歴'!$E:$E,E5629,'単価履歴'!$F:$F,F5629)=O5629,"●","")</f>
        <v>●</v>
      </c>
      <c r="O5629" s="346">
        <v>46128.27217592593</v>
      </c>
      <c r="P5629" s="334" t="str">
        <f t="shared" si="4"/>
        <v>合同大阪:伊藤忠Ｈ２(特級)</v>
      </c>
    </row>
    <row r="5630" ht="15.75" customHeight="1">
      <c r="A5630" s="335" t="s">
        <v>6777</v>
      </c>
      <c r="B5630" s="336">
        <v>46128.0</v>
      </c>
      <c r="C5630" s="349" t="s">
        <v>7</v>
      </c>
      <c r="D5630" s="349" t="s">
        <v>49</v>
      </c>
      <c r="E5630" s="337" t="str">
        <f t="shared" si="1"/>
        <v>合同大阪:伊藤忠</v>
      </c>
      <c r="F5630" s="338" t="s">
        <v>119</v>
      </c>
      <c r="G5630" s="339" t="str">
        <f t="shared" si="2"/>
        <v>合同大阪:伊藤忠Ｈ３(1級)</v>
      </c>
      <c r="H5630" s="340">
        <f t="shared" si="3"/>
        <v>53.3</v>
      </c>
      <c r="I5630" s="341">
        <v>0.5</v>
      </c>
      <c r="J5630" s="332">
        <f>IFERROR(__xludf.DUMMYFUNCTION("IF(IF(COUNTIF(P$2:P5629, P5630)=0, """", INDEX(H$2:H5629,
MAX(FILTER(ROW(H$2:H5629) - ROW(H$2) + 1, P$2:P5629 = P5630))))=""単価"","""",
IF(COUNTIF(P$2:P5629, P5630)=0, """", INDEX(H$2:H5629,
MAX(FILTER(ROW(H$2:H5629) - ROW(H$2) + 1, P$2:P5629 = P5630)))))"),52.8)</f>
        <v>52.8</v>
      </c>
      <c r="N5630" s="335" t="str">
        <f>IF(MAXIFS('単価履歴'!$O:$O,'単価履歴'!$E:$E,E5630,'単価履歴'!$F:$F,F5630)=O5630,"●","")</f>
        <v>●</v>
      </c>
      <c r="O5630" s="346">
        <v>46128.27217592593</v>
      </c>
      <c r="P5630" s="334" t="str">
        <f t="shared" si="4"/>
        <v>合同大阪:伊藤忠Ｈ３(1級)</v>
      </c>
    </row>
    <row r="5631" ht="15.75" customHeight="1">
      <c r="A5631" s="335" t="s">
        <v>6778</v>
      </c>
      <c r="B5631" s="336">
        <v>46128.0</v>
      </c>
      <c r="C5631" s="349" t="s">
        <v>7</v>
      </c>
      <c r="D5631" s="349" t="s">
        <v>49</v>
      </c>
      <c r="E5631" s="337" t="str">
        <f t="shared" si="1"/>
        <v>合同大阪:伊藤忠</v>
      </c>
      <c r="F5631" s="338" t="s">
        <v>122</v>
      </c>
      <c r="G5631" s="339" t="str">
        <f t="shared" si="2"/>
        <v>合同大阪:伊藤忠Ｌ１(2級)</v>
      </c>
      <c r="H5631" s="340">
        <f t="shared" si="3"/>
        <v>52.3</v>
      </c>
      <c r="I5631" s="341">
        <v>0.5</v>
      </c>
      <c r="J5631" s="332">
        <f>IFERROR(__xludf.DUMMYFUNCTION("IF(IF(COUNTIF(P$2:P5630, P5631)=0, """", INDEX(H$2:H5630,
MAX(FILTER(ROW(H$2:H5630) - ROW(H$2) + 1, P$2:P5630 = P5631))))=""単価"","""",
IF(COUNTIF(P$2:P5630, P5631)=0, """", INDEX(H$2:H5630,
MAX(FILTER(ROW(H$2:H5630) - ROW(H$2) + 1, P$2:P5630 = P5631)))))"),51.8)</f>
        <v>51.8</v>
      </c>
      <c r="N5631" s="335" t="str">
        <f>IF(MAXIFS('単価履歴'!$O:$O,'単価履歴'!$E:$E,E5631,'単価履歴'!$F:$F,F5631)=O5631,"●","")</f>
        <v>●</v>
      </c>
      <c r="O5631" s="346">
        <v>46128.27217592593</v>
      </c>
      <c r="P5631" s="334" t="str">
        <f t="shared" si="4"/>
        <v>合同大阪:伊藤忠Ｌ１(2級)</v>
      </c>
    </row>
    <row r="5632" ht="15.75" customHeight="1">
      <c r="A5632" s="335" t="s">
        <v>6779</v>
      </c>
      <c r="B5632" s="336">
        <v>46128.0</v>
      </c>
      <c r="C5632" s="349" t="s">
        <v>7</v>
      </c>
      <c r="D5632" s="349" t="s">
        <v>49</v>
      </c>
      <c r="E5632" s="337" t="str">
        <f t="shared" si="1"/>
        <v>合同大阪:伊藤忠</v>
      </c>
      <c r="F5632" s="338" t="s">
        <v>130</v>
      </c>
      <c r="G5632" s="339" t="str">
        <f t="shared" si="2"/>
        <v>合同大阪:伊藤忠新断Ａ</v>
      </c>
      <c r="H5632" s="340">
        <f t="shared" si="3"/>
        <v>58.3</v>
      </c>
      <c r="I5632" s="341">
        <v>0.5</v>
      </c>
      <c r="J5632" s="332">
        <f>IFERROR(__xludf.DUMMYFUNCTION("IF(IF(COUNTIF(P$2:P5631, P5632)=0, """", INDEX(H$2:H5631,
MAX(FILTER(ROW(H$2:H5631) - ROW(H$2) + 1, P$2:P5631 = P5632))))=""単価"","""",
IF(COUNTIF(P$2:P5631, P5632)=0, """", INDEX(H$2:H5631,
MAX(FILTER(ROW(H$2:H5631) - ROW(H$2) + 1, P$2:P5631 = P5632)))))"),57.8)</f>
        <v>57.8</v>
      </c>
      <c r="N5632" s="335" t="str">
        <f>IF(MAXIFS('単価履歴'!$O:$O,'単価履歴'!$E:$E,E5632,'単価履歴'!$F:$F,F5632)=O5632,"●","")</f>
        <v>●</v>
      </c>
      <c r="O5632" s="346">
        <v>46128.27217592593</v>
      </c>
      <c r="P5632" s="334" t="str">
        <f t="shared" si="4"/>
        <v>合同大阪:伊藤忠新断Ａ</v>
      </c>
    </row>
    <row r="5633" ht="15.75" customHeight="1">
      <c r="A5633" s="335" t="s">
        <v>6780</v>
      </c>
      <c r="B5633" s="336">
        <v>46128.0</v>
      </c>
      <c r="C5633" s="349" t="s">
        <v>7</v>
      </c>
      <c r="D5633" s="349" t="s">
        <v>49</v>
      </c>
      <c r="E5633" s="337" t="str">
        <f t="shared" si="1"/>
        <v>合同大阪:伊藤忠</v>
      </c>
      <c r="F5633" s="338" t="s">
        <v>131</v>
      </c>
      <c r="G5633" s="339" t="str">
        <f t="shared" si="2"/>
        <v>合同大阪:伊藤忠新断Ｂ</v>
      </c>
      <c r="H5633" s="340">
        <f t="shared" si="3"/>
        <v>57.8</v>
      </c>
      <c r="I5633" s="341">
        <v>0.5</v>
      </c>
      <c r="J5633" s="332">
        <f>IFERROR(__xludf.DUMMYFUNCTION("IF(IF(COUNTIF(P$2:P5632, P5633)=0, """", INDEX(H$2:H5632,
MAX(FILTER(ROW(H$2:H5632) - ROW(H$2) + 1, P$2:P5632 = P5633))))=""単価"","""",
IF(COUNTIF(P$2:P5632, P5633)=0, """", INDEX(H$2:H5632,
MAX(FILTER(ROW(H$2:H5632) - ROW(H$2) + 1, P$2:P5632 = P5633)))))"),57.3)</f>
        <v>57.3</v>
      </c>
      <c r="N5633" s="335" t="str">
        <f>IF(MAXIFS('単価履歴'!$O:$O,'単価履歴'!$E:$E,E5633,'単価履歴'!$F:$F,F5633)=O5633,"●","")</f>
        <v>●</v>
      </c>
      <c r="O5633" s="346">
        <v>46128.27217592593</v>
      </c>
      <c r="P5633" s="334" t="str">
        <f t="shared" si="4"/>
        <v>合同大阪:伊藤忠新断Ｂ</v>
      </c>
    </row>
    <row r="5634" ht="15.75" customHeight="1">
      <c r="A5634" s="335" t="s">
        <v>6781</v>
      </c>
      <c r="B5634" s="336">
        <v>46128.0</v>
      </c>
      <c r="C5634" s="349" t="s">
        <v>7</v>
      </c>
      <c r="D5634" s="349" t="s">
        <v>49</v>
      </c>
      <c r="E5634" s="337" t="str">
        <f t="shared" si="1"/>
        <v>合同大阪:伊藤忠</v>
      </c>
      <c r="F5634" s="338" t="s">
        <v>575</v>
      </c>
      <c r="G5634" s="339" t="str">
        <f t="shared" si="2"/>
        <v>合同大阪:伊藤忠鋼ダライＡ</v>
      </c>
      <c r="H5634" s="340">
        <f t="shared" si="3"/>
        <v>44.3</v>
      </c>
      <c r="I5634" s="341">
        <v>0.5</v>
      </c>
      <c r="J5634" s="332">
        <f>IFERROR(__xludf.DUMMYFUNCTION("IF(IF(COUNTIF(P$2:P5633, P5634)=0, """", INDEX(H$2:H5633,
MAX(FILTER(ROW(H$2:H5633) - ROW(H$2) + 1, P$2:P5633 = P5634))))=""単価"","""",
IF(COUNTIF(P$2:P5633, P5634)=0, """", INDEX(H$2:H5633,
MAX(FILTER(ROW(H$2:H5633) - ROW(H$2) + 1, P$2:P5633 = P5634)))))"),43.8)</f>
        <v>43.8</v>
      </c>
      <c r="N5634" s="335" t="str">
        <f>IF(MAXIFS('単価履歴'!$O:$O,'単価履歴'!$E:$E,E5634,'単価履歴'!$F:$F,F5634)=O5634,"●","")</f>
        <v>●</v>
      </c>
      <c r="O5634" s="346">
        <v>46128.27217592593</v>
      </c>
      <c r="P5634" s="334" t="str">
        <f t="shared" si="4"/>
        <v>合同大阪:伊藤忠鋼ダライＡ</v>
      </c>
    </row>
    <row r="5635" ht="15.75" customHeight="1">
      <c r="A5635" s="335" t="s">
        <v>6782</v>
      </c>
      <c r="B5635" s="336">
        <v>46128.0</v>
      </c>
      <c r="C5635" s="349" t="s">
        <v>7</v>
      </c>
      <c r="D5635" s="349" t="s">
        <v>49</v>
      </c>
      <c r="E5635" s="337" t="str">
        <f t="shared" si="1"/>
        <v>合同大阪:伊藤忠</v>
      </c>
      <c r="F5635" s="338" t="s">
        <v>576</v>
      </c>
      <c r="G5635" s="339" t="str">
        <f t="shared" si="2"/>
        <v>合同大阪:伊藤忠鋼ダライＢ</v>
      </c>
      <c r="H5635" s="340">
        <f t="shared" si="3"/>
        <v>43.8</v>
      </c>
      <c r="I5635" s="341">
        <v>0.5</v>
      </c>
      <c r="J5635" s="332">
        <f>IFERROR(__xludf.DUMMYFUNCTION("IF(IF(COUNTIF(P$2:P5634, P5635)=0, """", INDEX(H$2:H5634,
MAX(FILTER(ROW(H$2:H5634) - ROW(H$2) + 1, P$2:P5634 = P5635))))=""単価"","""",
IF(COUNTIF(P$2:P5634, P5635)=0, """", INDEX(H$2:H5634,
MAX(FILTER(ROW(H$2:H5634) - ROW(H$2) + 1, P$2:P5634 = P5635)))))"),43.3)</f>
        <v>43.3</v>
      </c>
      <c r="N5635" s="335" t="str">
        <f>IF(MAXIFS('単価履歴'!$O:$O,'単価履歴'!$E:$E,E5635,'単価履歴'!$F:$F,F5635)=O5635,"●","")</f>
        <v>●</v>
      </c>
      <c r="O5635" s="346">
        <v>46128.27217592593</v>
      </c>
      <c r="P5635" s="334" t="str">
        <f t="shared" si="4"/>
        <v>合同大阪:伊藤忠鋼ダライＢ</v>
      </c>
    </row>
    <row r="5636" ht="15.75" customHeight="1">
      <c r="A5636" s="335" t="s">
        <v>6783</v>
      </c>
      <c r="B5636" s="336">
        <v>46128.0</v>
      </c>
      <c r="C5636" s="349" t="s">
        <v>9</v>
      </c>
      <c r="D5636" s="349" t="s">
        <v>47</v>
      </c>
      <c r="E5636" s="337" t="str">
        <f t="shared" si="1"/>
        <v>大鉄　堺:豊通</v>
      </c>
      <c r="F5636" s="372" t="s">
        <v>111</v>
      </c>
      <c r="G5636" s="339" t="str">
        <f t="shared" si="2"/>
        <v>大鉄　堺:豊通Ｈ１(特A)</v>
      </c>
      <c r="H5636" s="340">
        <f t="shared" si="3"/>
        <v>39.4</v>
      </c>
      <c r="I5636" s="341">
        <v>0.5</v>
      </c>
      <c r="J5636" s="332">
        <f>IFERROR(__xludf.DUMMYFUNCTION("IF(IF(COUNTIF(P$2:P5635, P5636)=0, """", INDEX(H$2:H5635,
MAX(FILTER(ROW(H$2:H5635) - ROW(H$2) + 1, P$2:P5635 = P5636))))=""単価"","""",
IF(COUNTIF(P$2:P5635, P5636)=0, """", INDEX(H$2:H5635,
MAX(FILTER(ROW(H$2:H5635) - ROW(H$2) + 1, P$2:P5635 = P5636)))))"),38.9)</f>
        <v>38.9</v>
      </c>
      <c r="N5636" s="335" t="str">
        <f>IF(MAXIFS('単価履歴'!$O:$O,'単価履歴'!$E:$E,E5636,'単価履歴'!$F:$F,F5636)=O5636,"●","")</f>
        <v>●</v>
      </c>
      <c r="O5636" s="346">
        <v>46128.27266203704</v>
      </c>
      <c r="P5636" s="334" t="str">
        <f t="shared" si="4"/>
        <v>大鉄　堺:豊通Ｈ１(特A)</v>
      </c>
    </row>
    <row r="5637" ht="15.75" customHeight="1">
      <c r="A5637" s="335" t="s">
        <v>6784</v>
      </c>
      <c r="B5637" s="336">
        <v>46128.0</v>
      </c>
      <c r="C5637" s="349" t="s">
        <v>9</v>
      </c>
      <c r="D5637" s="349" t="s">
        <v>47</v>
      </c>
      <c r="E5637" s="337" t="str">
        <f t="shared" si="1"/>
        <v>大鉄　堺:豊通</v>
      </c>
      <c r="F5637" s="372" t="s">
        <v>1237</v>
      </c>
      <c r="G5637" s="339" t="str">
        <f t="shared" si="2"/>
        <v>大鉄　堺:豊通ＪＨ１(H2T山口)鍛造ﾊﾞﾘ</v>
      </c>
      <c r="H5637" s="340">
        <f t="shared" si="3"/>
        <v>38.4</v>
      </c>
      <c r="I5637" s="341">
        <v>0.5</v>
      </c>
      <c r="J5637" s="332">
        <f>IFERROR(__xludf.DUMMYFUNCTION("IF(IF(COUNTIF(P$2:P5636, P5637)=0, """", INDEX(H$2:H5636,
MAX(FILTER(ROW(H$2:H5636) - ROW(H$2) + 1, P$2:P5636 = P5637))))=""単価"","""",
IF(COUNTIF(P$2:P5636, P5637)=0, """", INDEX(H$2:H5636,
MAX(FILTER(ROW(H$2:H5636) - ROW(H$2) + 1, P$2:P5636 = P5637)))))"),37.9)</f>
        <v>37.9</v>
      </c>
      <c r="N5637" s="335" t="str">
        <f>IF(MAXIFS('単価履歴'!$O:$O,'単価履歴'!$E:$E,E5637,'単価履歴'!$F:$F,F5637)=O5637,"●","")</f>
        <v>●</v>
      </c>
      <c r="O5637" s="346">
        <v>46128.27266203704</v>
      </c>
      <c r="P5637" s="334" t="str">
        <f t="shared" si="4"/>
        <v>大鉄　堺:豊通ＪＨ１(H2T山口)鍛造ﾊﾞﾘ</v>
      </c>
    </row>
    <row r="5638" ht="15.75" customHeight="1">
      <c r="A5638" s="335" t="s">
        <v>6785</v>
      </c>
      <c r="B5638" s="336">
        <v>46128.0</v>
      </c>
      <c r="C5638" s="349" t="s">
        <v>9</v>
      </c>
      <c r="D5638" s="349" t="s">
        <v>47</v>
      </c>
      <c r="E5638" s="337" t="str">
        <f t="shared" si="1"/>
        <v>大鉄　堺:豊通</v>
      </c>
      <c r="F5638" s="372" t="s">
        <v>116</v>
      </c>
      <c r="G5638" s="339" t="str">
        <f t="shared" si="2"/>
        <v>大鉄　堺:豊通Ｈ２(特級)</v>
      </c>
      <c r="H5638" s="340">
        <f t="shared" si="3"/>
        <v>35.2</v>
      </c>
      <c r="I5638" s="341">
        <v>0.5</v>
      </c>
      <c r="J5638" s="332">
        <f>IFERROR(__xludf.DUMMYFUNCTION("IF(IF(COUNTIF(P$2:P5637, P5638)=0, """", INDEX(H$2:H5637,
MAX(FILTER(ROW(H$2:H5637) - ROW(H$2) + 1, P$2:P5637 = P5638))))=""単価"","""",
IF(COUNTIF(P$2:P5637, P5638)=0, """", INDEX(H$2:H5637,
MAX(FILTER(ROW(H$2:H5637) - ROW(H$2) + 1, P$2:P5637 = P5638)))))"),34.7)</f>
        <v>34.7</v>
      </c>
      <c r="N5638" s="335" t="str">
        <f>IF(MAXIFS('単価履歴'!$O:$O,'単価履歴'!$E:$E,E5638,'単価履歴'!$F:$F,F5638)=O5638,"●","")</f>
        <v>●</v>
      </c>
      <c r="O5638" s="346">
        <v>46128.27266203704</v>
      </c>
      <c r="P5638" s="334" t="str">
        <f t="shared" si="4"/>
        <v>大鉄　堺:豊通Ｈ２(特級)</v>
      </c>
    </row>
    <row r="5639" ht="15.75" customHeight="1">
      <c r="A5639" s="335" t="s">
        <v>6786</v>
      </c>
      <c r="B5639" s="336">
        <v>46128.0</v>
      </c>
      <c r="C5639" s="349" t="s">
        <v>9</v>
      </c>
      <c r="D5639" s="349" t="s">
        <v>47</v>
      </c>
      <c r="E5639" s="337" t="str">
        <f t="shared" si="1"/>
        <v>大鉄　堺:豊通</v>
      </c>
      <c r="F5639" s="372" t="s">
        <v>119</v>
      </c>
      <c r="G5639" s="339" t="str">
        <f t="shared" si="2"/>
        <v>大鉄　堺:豊通Ｈ３(1級)</v>
      </c>
      <c r="H5639" s="340">
        <f t="shared" si="3"/>
        <v>34.2</v>
      </c>
      <c r="I5639" s="341">
        <v>0.5</v>
      </c>
      <c r="J5639" s="332">
        <f>IFERROR(__xludf.DUMMYFUNCTION("IF(IF(COUNTIF(P$2:P5638, P5639)=0, """", INDEX(H$2:H5638,
MAX(FILTER(ROW(H$2:H5638) - ROW(H$2) + 1, P$2:P5638 = P5639))))=""単価"","""",
IF(COUNTIF(P$2:P5638, P5639)=0, """", INDEX(H$2:H5638,
MAX(FILTER(ROW(H$2:H5638) - ROW(H$2) + 1, P$2:P5638 = P5639)))))"),33.7)</f>
        <v>33.7</v>
      </c>
      <c r="N5639" s="335" t="str">
        <f>IF(MAXIFS('単価履歴'!$O:$O,'単価履歴'!$E:$E,E5639,'単価履歴'!$F:$F,F5639)=O5639,"●","")</f>
        <v>●</v>
      </c>
      <c r="O5639" s="346">
        <v>46128.27266203704</v>
      </c>
      <c r="P5639" s="334" t="str">
        <f t="shared" si="4"/>
        <v>大鉄　堺:豊通Ｈ３(1級)</v>
      </c>
    </row>
    <row r="5640" ht="15.75" customHeight="1">
      <c r="A5640" s="335" t="s">
        <v>6787</v>
      </c>
      <c r="B5640" s="336">
        <v>46128.0</v>
      </c>
      <c r="C5640" s="349" t="s">
        <v>9</v>
      </c>
      <c r="D5640" s="349" t="s">
        <v>47</v>
      </c>
      <c r="E5640" s="337" t="str">
        <f t="shared" si="1"/>
        <v>大鉄　堺:豊通</v>
      </c>
      <c r="F5640" s="372" t="s">
        <v>122</v>
      </c>
      <c r="G5640" s="339" t="str">
        <f t="shared" si="2"/>
        <v>大鉄　堺:豊通Ｌ１(2級)</v>
      </c>
      <c r="H5640" s="340">
        <f t="shared" si="3"/>
        <v>32.7</v>
      </c>
      <c r="I5640" s="341">
        <v>0.5</v>
      </c>
      <c r="J5640" s="332">
        <f>IFERROR(__xludf.DUMMYFUNCTION("IF(IF(COUNTIF(P$2:P5639, P5640)=0, """", INDEX(H$2:H5639,
MAX(FILTER(ROW(H$2:H5639) - ROW(H$2) + 1, P$2:P5639 = P5640))))=""単価"","""",
IF(COUNTIF(P$2:P5639, P5640)=0, """", INDEX(H$2:H5639,
MAX(FILTER(ROW(H$2:H5639) - ROW(H$2) + 1, P$2:P5639 = P5640)))))"),32.2)</f>
        <v>32.2</v>
      </c>
      <c r="N5640" s="335" t="str">
        <f>IF(MAXIFS('単価履歴'!$O:$O,'単価履歴'!$E:$E,E5640,'単価履歴'!$F:$F,F5640)=O5640,"●","")</f>
        <v>●</v>
      </c>
      <c r="O5640" s="346">
        <v>46128.27266203704</v>
      </c>
      <c r="P5640" s="334" t="str">
        <f t="shared" si="4"/>
        <v>大鉄　堺:豊通Ｌ１(2級)</v>
      </c>
    </row>
    <row r="5641" ht="15.75" customHeight="1">
      <c r="A5641" s="335" t="s">
        <v>6788</v>
      </c>
      <c r="B5641" s="336">
        <v>46128.0</v>
      </c>
      <c r="C5641" s="349" t="s">
        <v>9</v>
      </c>
      <c r="D5641" s="349" t="s">
        <v>47</v>
      </c>
      <c r="E5641" s="337" t="str">
        <f t="shared" si="1"/>
        <v>大鉄　堺:豊通</v>
      </c>
      <c r="F5641" s="372" t="s">
        <v>130</v>
      </c>
      <c r="G5641" s="339" t="str">
        <f t="shared" si="2"/>
        <v>大鉄　堺:豊通新断Ａ</v>
      </c>
      <c r="H5641" s="340">
        <f t="shared" si="3"/>
        <v>36.2</v>
      </c>
      <c r="I5641" s="341">
        <v>0.5</v>
      </c>
      <c r="J5641" s="332">
        <f>IFERROR(__xludf.DUMMYFUNCTION("IF(IF(COUNTIF(P$2:P5640, P5641)=0, """", INDEX(H$2:H5640,
MAX(FILTER(ROW(H$2:H5640) - ROW(H$2) + 1, P$2:P5640 = P5641))))=""単価"","""",
IF(COUNTIF(P$2:P5640, P5641)=0, """", INDEX(H$2:H5640,
MAX(FILTER(ROW(H$2:H5640) - ROW(H$2) + 1, P$2:P5640 = P5641)))))"),35.7)</f>
        <v>35.7</v>
      </c>
      <c r="N5641" s="335" t="str">
        <f>IF(MAXIFS('単価履歴'!$O:$O,'単価履歴'!$E:$E,E5641,'単価履歴'!$F:$F,F5641)=O5641,"●","")</f>
        <v>●</v>
      </c>
      <c r="O5641" s="346">
        <v>46128.27266203704</v>
      </c>
      <c r="P5641" s="334" t="str">
        <f t="shared" si="4"/>
        <v>大鉄　堺:豊通新断Ａ</v>
      </c>
    </row>
    <row r="5642" ht="15.75" customHeight="1">
      <c r="A5642" s="335" t="s">
        <v>6789</v>
      </c>
      <c r="B5642" s="336">
        <v>46128.0</v>
      </c>
      <c r="C5642" s="349" t="s">
        <v>9</v>
      </c>
      <c r="D5642" s="349" t="s">
        <v>47</v>
      </c>
      <c r="E5642" s="337" t="str">
        <f t="shared" si="1"/>
        <v>大鉄　堺:豊通</v>
      </c>
      <c r="F5642" s="372" t="s">
        <v>131</v>
      </c>
      <c r="G5642" s="339" t="str">
        <f t="shared" si="2"/>
        <v>大鉄　堺:豊通新断Ｂ</v>
      </c>
      <c r="H5642" s="340">
        <f t="shared" si="3"/>
        <v>35.7</v>
      </c>
      <c r="I5642" s="341">
        <v>0.5</v>
      </c>
      <c r="J5642" s="332">
        <f>IFERROR(__xludf.DUMMYFUNCTION("IF(IF(COUNTIF(P$2:P5641, P5642)=0, """", INDEX(H$2:H5641,
MAX(FILTER(ROW(H$2:H5641) - ROW(H$2) + 1, P$2:P5641 = P5642))))=""単価"","""",
IF(COUNTIF(P$2:P5641, P5642)=0, """", INDEX(H$2:H5641,
MAX(FILTER(ROW(H$2:H5641) - ROW(H$2) + 1, P$2:P5641 = P5642)))))"),35.2)</f>
        <v>35.2</v>
      </c>
      <c r="N5642" s="335" t="str">
        <f>IF(MAXIFS('単価履歴'!$O:$O,'単価履歴'!$E:$E,E5642,'単価履歴'!$F:$F,F5642)=O5642,"●","")</f>
        <v>●</v>
      </c>
      <c r="O5642" s="346">
        <v>46128.27266203704</v>
      </c>
      <c r="P5642" s="334" t="str">
        <f t="shared" si="4"/>
        <v>大鉄　堺:豊通新断Ｂ</v>
      </c>
    </row>
    <row r="5643" ht="15.75" customHeight="1">
      <c r="A5643" s="335" t="s">
        <v>6790</v>
      </c>
      <c r="B5643" s="336">
        <v>46128.0</v>
      </c>
      <c r="C5643" s="349" t="s">
        <v>9</v>
      </c>
      <c r="D5643" s="349" t="s">
        <v>47</v>
      </c>
      <c r="E5643" s="337" t="str">
        <f t="shared" si="1"/>
        <v>大鉄　堺:豊通</v>
      </c>
      <c r="F5643" s="372" t="s">
        <v>575</v>
      </c>
      <c r="G5643" s="339" t="str">
        <f t="shared" si="2"/>
        <v>大鉄　堺:豊通鋼ダライＡ</v>
      </c>
      <c r="H5643" s="340">
        <f t="shared" si="3"/>
        <v>37.2</v>
      </c>
      <c r="I5643" s="341">
        <v>0.5</v>
      </c>
      <c r="J5643" s="332">
        <f>IFERROR(__xludf.DUMMYFUNCTION("IF(IF(COUNTIF(P$2:P5642, P5643)=0, """", INDEX(H$2:H5642,
MAX(FILTER(ROW(H$2:H5642) - ROW(H$2) + 1, P$2:P5642 = P5643))))=""単価"","""",
IF(COUNTIF(P$2:P5642, P5643)=0, """", INDEX(H$2:H5642,
MAX(FILTER(ROW(H$2:H5642) - ROW(H$2) + 1, P$2:P5642 = P5643)))))"),36.7)</f>
        <v>36.7</v>
      </c>
      <c r="N5643" s="335" t="str">
        <f>IF(MAXIFS('単価履歴'!$O:$O,'単価履歴'!$E:$E,E5643,'単価履歴'!$F:$F,F5643)=O5643,"●","")</f>
        <v>●</v>
      </c>
      <c r="O5643" s="346">
        <v>46128.27266203704</v>
      </c>
      <c r="P5643" s="334" t="str">
        <f t="shared" si="4"/>
        <v>大鉄　堺:豊通鋼ダライＡ</v>
      </c>
    </row>
    <row r="5644" ht="15.75" customHeight="1">
      <c r="A5644" s="335" t="s">
        <v>6791</v>
      </c>
      <c r="B5644" s="336">
        <v>46128.0</v>
      </c>
      <c r="C5644" s="349" t="s">
        <v>9</v>
      </c>
      <c r="D5644" s="349" t="s">
        <v>47</v>
      </c>
      <c r="E5644" s="337" t="str">
        <f t="shared" si="1"/>
        <v>大鉄　堺:豊通</v>
      </c>
      <c r="F5644" s="372" t="s">
        <v>576</v>
      </c>
      <c r="G5644" s="339" t="str">
        <f t="shared" si="2"/>
        <v>大鉄　堺:豊通鋼ダライＢ</v>
      </c>
      <c r="H5644" s="340">
        <f t="shared" si="3"/>
        <v>37.2</v>
      </c>
      <c r="I5644" s="341">
        <v>0.5</v>
      </c>
      <c r="J5644" s="332">
        <f>IFERROR(__xludf.DUMMYFUNCTION("IF(IF(COUNTIF(P$2:P5643, P5644)=0, """", INDEX(H$2:H5643,
MAX(FILTER(ROW(H$2:H5643) - ROW(H$2) + 1, P$2:P5643 = P5644))))=""単価"","""",
IF(COUNTIF(P$2:P5643, P5644)=0, """", INDEX(H$2:H5643,
MAX(FILTER(ROW(H$2:H5643) - ROW(H$2) + 1, P$2:P5643 = P5644)))))"),36.7)</f>
        <v>36.7</v>
      </c>
      <c r="N5644" s="335" t="str">
        <f>IF(MAXIFS('単価履歴'!$O:$O,'単価履歴'!$E:$E,E5644,'単価履歴'!$F:$F,F5644)=O5644,"●","")</f>
        <v>●</v>
      </c>
      <c r="O5644" s="346">
        <v>46128.27266203704</v>
      </c>
      <c r="P5644" s="334" t="str">
        <f t="shared" si="4"/>
        <v>大鉄　堺:豊通鋼ダライＢ</v>
      </c>
    </row>
    <row r="5645" ht="15.75" customHeight="1">
      <c r="A5645" s="335" t="s">
        <v>6792</v>
      </c>
      <c r="B5645" s="336">
        <v>46128.0</v>
      </c>
      <c r="C5645" s="349" t="s">
        <v>9</v>
      </c>
      <c r="D5645" s="349" t="s">
        <v>47</v>
      </c>
      <c r="E5645" s="337" t="str">
        <f t="shared" si="1"/>
        <v>大鉄　堺:豊通</v>
      </c>
      <c r="F5645" s="372" t="s">
        <v>145</v>
      </c>
      <c r="G5645" s="339" t="str">
        <f t="shared" si="2"/>
        <v>大鉄　堺:豊通シュレＡ</v>
      </c>
      <c r="H5645" s="340">
        <f t="shared" si="3"/>
        <v>39.7</v>
      </c>
      <c r="I5645" s="341">
        <v>0.5</v>
      </c>
      <c r="J5645" s="332">
        <f>IFERROR(__xludf.DUMMYFUNCTION("IF(IF(COUNTIF(P$2:P5644, P5645)=0, """", INDEX(H$2:H5644,
MAX(FILTER(ROW(H$2:H5644) - ROW(H$2) + 1, P$2:P5644 = P5645))))=""単価"","""",
IF(COUNTIF(P$2:P5644, P5645)=0, """", INDEX(H$2:H5644,
MAX(FILTER(ROW(H$2:H5644) - ROW(H$2) + 1, P$2:P5644 = P5645)))))"),39.2)</f>
        <v>39.2</v>
      </c>
      <c r="N5645" s="335" t="str">
        <f>IF(MAXIFS('単価履歴'!$O:$O,'単価履歴'!$E:$E,E5645,'単価履歴'!$F:$F,F5645)=O5645,"●","")</f>
        <v>●</v>
      </c>
      <c r="O5645" s="346">
        <v>46128.27266203704</v>
      </c>
      <c r="P5645" s="334" t="str">
        <f t="shared" si="4"/>
        <v>大鉄　堺:豊通シュレＡ</v>
      </c>
    </row>
    <row r="5646" ht="15.75" customHeight="1">
      <c r="A5646" s="335" t="s">
        <v>6793</v>
      </c>
      <c r="B5646" s="336">
        <v>46128.0</v>
      </c>
      <c r="C5646" s="349" t="s">
        <v>9</v>
      </c>
      <c r="D5646" s="349" t="s">
        <v>47</v>
      </c>
      <c r="E5646" s="337" t="str">
        <f t="shared" si="1"/>
        <v>大鉄　堺:豊通</v>
      </c>
      <c r="F5646" s="372" t="s">
        <v>149</v>
      </c>
      <c r="G5646" s="339" t="str">
        <f t="shared" si="2"/>
        <v>大鉄　堺:豊通シュレＢ</v>
      </c>
      <c r="H5646" s="340">
        <f t="shared" si="3"/>
        <v>39</v>
      </c>
      <c r="I5646" s="341">
        <v>0.5</v>
      </c>
      <c r="J5646" s="332">
        <f>IFERROR(__xludf.DUMMYFUNCTION("IF(IF(COUNTIF(P$2:P5645, P5646)=0, """", INDEX(H$2:H5645,
MAX(FILTER(ROW(H$2:H5645) - ROW(H$2) + 1, P$2:P5645 = P5646))))=""単価"","""",
IF(COUNTIF(P$2:P5645, P5646)=0, """", INDEX(H$2:H5645,
MAX(FILTER(ROW(H$2:H5645) - ROW(H$2) + 1, P$2:P5645 = P5646)))))"),38.5)</f>
        <v>38.5</v>
      </c>
      <c r="N5646" s="335" t="str">
        <f>IF(MAXIFS('単価履歴'!$O:$O,'単価履歴'!$E:$E,E5646,'単価履歴'!$F:$F,F5646)=O5646,"●","")</f>
        <v>●</v>
      </c>
      <c r="O5646" s="346">
        <v>46128.27266203704</v>
      </c>
      <c r="P5646" s="334" t="str">
        <f t="shared" si="4"/>
        <v>大鉄　堺:豊通シュレＢ</v>
      </c>
    </row>
    <row r="5647" ht="15.75" customHeight="1">
      <c r="A5647" s="335" t="s">
        <v>6794</v>
      </c>
      <c r="B5647" s="336">
        <v>46128.0</v>
      </c>
      <c r="C5647" s="349" t="s">
        <v>9</v>
      </c>
      <c r="D5647" s="349" t="s">
        <v>47</v>
      </c>
      <c r="E5647" s="337" t="str">
        <f t="shared" si="1"/>
        <v>大鉄　堺:豊通</v>
      </c>
      <c r="F5647" s="372" t="s">
        <v>151</v>
      </c>
      <c r="G5647" s="339" t="str">
        <f t="shared" si="2"/>
        <v>大鉄　堺:豊通シュレＣ</v>
      </c>
      <c r="H5647" s="340">
        <f t="shared" si="3"/>
        <v>37.6</v>
      </c>
      <c r="I5647" s="341">
        <v>0.5</v>
      </c>
      <c r="J5647" s="332">
        <f>IFERROR(__xludf.DUMMYFUNCTION("IF(IF(COUNTIF(P$2:P5646, P5647)=0, """", INDEX(H$2:H5646,
MAX(FILTER(ROW(H$2:H5646) - ROW(H$2) + 1, P$2:P5646 = P5647))))=""単価"","""",
IF(COUNTIF(P$2:P5646, P5647)=0, """", INDEX(H$2:H5646,
MAX(FILTER(ROW(H$2:H5646) - ROW(H$2) + 1, P$2:P5646 = P5647)))))"),37.1)</f>
        <v>37.1</v>
      </c>
      <c r="N5647" s="335" t="str">
        <f>IF(MAXIFS('単価履歴'!$O:$O,'単価履歴'!$E:$E,E5647,'単価履歴'!$F:$F,F5647)=O5647,"●","")</f>
        <v>●</v>
      </c>
      <c r="O5647" s="346">
        <v>46128.27266203704</v>
      </c>
      <c r="P5647" s="334" t="str">
        <f t="shared" si="4"/>
        <v>大鉄　堺:豊通シュレＣ</v>
      </c>
    </row>
    <row r="5648" ht="15.75" customHeight="1">
      <c r="A5648" s="335" t="s">
        <v>6795</v>
      </c>
      <c r="B5648" s="336">
        <v>46128.0</v>
      </c>
      <c r="C5648" s="349" t="s">
        <v>9</v>
      </c>
      <c r="D5648" s="349" t="s">
        <v>47</v>
      </c>
      <c r="E5648" s="337" t="str">
        <f t="shared" si="1"/>
        <v>大鉄　堺:豊通</v>
      </c>
      <c r="F5648" s="372" t="s">
        <v>154</v>
      </c>
      <c r="G5648" s="339" t="str">
        <f t="shared" si="2"/>
        <v>大鉄　堺:豊通ＣＰ Ａ</v>
      </c>
      <c r="H5648" s="340">
        <f t="shared" si="3"/>
        <v>50.2</v>
      </c>
      <c r="I5648" s="341">
        <v>0.5</v>
      </c>
      <c r="J5648" s="332">
        <f>IFERROR(__xludf.DUMMYFUNCTION("IF(IF(COUNTIF(P$2:P5647, P5648)=0, """", INDEX(H$2:H5647,
MAX(FILTER(ROW(H$2:H5647) - ROW(H$2) + 1, P$2:P5647 = P5648))))=""単価"","""",
IF(COUNTIF(P$2:P5647, P5648)=0, """", INDEX(H$2:H5647,
MAX(FILTER(ROW(H$2:H5647) - ROW(H$2) + 1, P$2:P5647 = P5648)))))"),49.7)</f>
        <v>49.7</v>
      </c>
      <c r="N5648" s="335" t="str">
        <f>IF(MAXIFS('単価履歴'!$O:$O,'単価履歴'!$E:$E,E5648,'単価履歴'!$F:$F,F5648)=O5648,"●","")</f>
        <v>●</v>
      </c>
      <c r="O5648" s="346">
        <v>46128.27266203704</v>
      </c>
      <c r="P5648" s="334" t="str">
        <f t="shared" si="4"/>
        <v>大鉄　堺:豊通ＣＰ Ａ</v>
      </c>
    </row>
    <row r="5649" ht="15.75" customHeight="1">
      <c r="A5649" s="335" t="s">
        <v>6796</v>
      </c>
      <c r="B5649" s="336">
        <v>46128.0</v>
      </c>
      <c r="C5649" s="349" t="s">
        <v>9</v>
      </c>
      <c r="D5649" s="349" t="s">
        <v>47</v>
      </c>
      <c r="E5649" s="337" t="str">
        <f t="shared" si="1"/>
        <v>大鉄　堺:豊通</v>
      </c>
      <c r="F5649" s="372" t="s">
        <v>156</v>
      </c>
      <c r="G5649" s="339" t="str">
        <f t="shared" si="2"/>
        <v>大鉄　堺:豊通ＣＰ Ｂ一斗缶</v>
      </c>
      <c r="H5649" s="340">
        <f t="shared" si="3"/>
        <v>43.7</v>
      </c>
      <c r="I5649" s="341">
        <v>0.5</v>
      </c>
      <c r="J5649" s="332">
        <f>IFERROR(__xludf.DUMMYFUNCTION("IF(IF(COUNTIF(P$2:P5648, P5649)=0, """", INDEX(H$2:H5648,
MAX(FILTER(ROW(H$2:H5648) - ROW(H$2) + 1, P$2:P5648 = P5649))))=""単価"","""",
IF(COUNTIF(P$2:P5648, P5649)=0, """", INDEX(H$2:H5648,
MAX(FILTER(ROW(H$2:H5648) - ROW(H$2) + 1, P$2:P5648 = P5649)))))"),43.2)</f>
        <v>43.2</v>
      </c>
      <c r="N5649" s="335" t="str">
        <f>IF(MAXIFS('単価履歴'!$O:$O,'単価履歴'!$E:$E,E5649,'単価履歴'!$F:$F,F5649)=O5649,"●","")</f>
        <v>●</v>
      </c>
      <c r="O5649" s="346">
        <v>46128.27266203704</v>
      </c>
      <c r="P5649" s="334" t="str">
        <f t="shared" si="4"/>
        <v>大鉄　堺:豊通ＣＰ Ｂ一斗缶</v>
      </c>
    </row>
    <row r="5650" ht="15.75" customHeight="1">
      <c r="A5650" s="335" t="s">
        <v>6797</v>
      </c>
      <c r="B5650" s="336">
        <v>46128.0</v>
      </c>
      <c r="C5650" s="349" t="s">
        <v>9</v>
      </c>
      <c r="D5650" s="349" t="s">
        <v>50</v>
      </c>
      <c r="E5650" s="337" t="str">
        <f t="shared" si="1"/>
        <v>大鉄　堺:産振</v>
      </c>
      <c r="F5650" s="338" t="s">
        <v>111</v>
      </c>
      <c r="G5650" s="339" t="str">
        <f t="shared" si="2"/>
        <v>大鉄　堺:産振Ｈ１(特A)</v>
      </c>
      <c r="H5650" s="340">
        <f t="shared" si="3"/>
        <v>56.2</v>
      </c>
      <c r="I5650" s="341">
        <v>0.5</v>
      </c>
      <c r="J5650" s="332">
        <f>IFERROR(__xludf.DUMMYFUNCTION("IF(IF(COUNTIF(P$2:P5649, P5650)=0, """", INDEX(H$2:H5649,
MAX(FILTER(ROW(H$2:H5649) - ROW(H$2) + 1, P$2:P5649 = P5650))))=""単価"","""",
IF(COUNTIF(P$2:P5649, P5650)=0, """", INDEX(H$2:H5649,
MAX(FILTER(ROW(H$2:H5649) - ROW(H$2) + 1, P$2:P5649 = P5650)))))"),55.7)</f>
        <v>55.7</v>
      </c>
      <c r="N5650" s="335" t="str">
        <f>IF(MAXIFS('単価履歴'!$O:$O,'単価履歴'!$E:$E,E5650,'単価履歴'!$F:$F,F5650)=O5650,"●","")</f>
        <v>●</v>
      </c>
      <c r="O5650" s="346">
        <v>46128.2728125</v>
      </c>
      <c r="P5650" s="334" t="str">
        <f t="shared" si="4"/>
        <v>大鉄　堺:産振Ｈ１(特A)</v>
      </c>
    </row>
    <row r="5651" ht="15.75" customHeight="1">
      <c r="A5651" s="335" t="s">
        <v>6798</v>
      </c>
      <c r="B5651" s="336">
        <v>46128.0</v>
      </c>
      <c r="C5651" s="349" t="s">
        <v>9</v>
      </c>
      <c r="D5651" s="349" t="s">
        <v>50</v>
      </c>
      <c r="E5651" s="337" t="str">
        <f t="shared" si="1"/>
        <v>大鉄　堺:産振</v>
      </c>
      <c r="F5651" s="338" t="s">
        <v>116</v>
      </c>
      <c r="G5651" s="339" t="str">
        <f t="shared" si="2"/>
        <v>大鉄　堺:産振Ｈ２(特級)</v>
      </c>
      <c r="H5651" s="340">
        <f t="shared" si="3"/>
        <v>53.7</v>
      </c>
      <c r="I5651" s="341">
        <v>0.5</v>
      </c>
      <c r="J5651" s="332">
        <f>IFERROR(__xludf.DUMMYFUNCTION("IF(IF(COUNTIF(P$2:P5650, P5651)=0, """", INDEX(H$2:H5650,
MAX(FILTER(ROW(H$2:H5650) - ROW(H$2) + 1, P$2:P5650 = P5651))))=""単価"","""",
IF(COUNTIF(P$2:P5650, P5651)=0, """", INDEX(H$2:H5650,
MAX(FILTER(ROW(H$2:H5650) - ROW(H$2) + 1, P$2:P5650 = P5651)))))"),53.2)</f>
        <v>53.2</v>
      </c>
      <c r="N5651" s="335" t="str">
        <f>IF(MAXIFS('単価履歴'!$O:$O,'単価履歴'!$E:$E,E5651,'単価履歴'!$F:$F,F5651)=O5651,"●","")</f>
        <v>●</v>
      </c>
      <c r="O5651" s="346">
        <v>46128.2728125</v>
      </c>
      <c r="P5651" s="334" t="str">
        <f t="shared" si="4"/>
        <v>大鉄　堺:産振Ｈ２(特級)</v>
      </c>
    </row>
    <row r="5652" ht="15.75" customHeight="1">
      <c r="A5652" s="335" t="s">
        <v>6799</v>
      </c>
      <c r="B5652" s="336">
        <v>46128.0</v>
      </c>
      <c r="C5652" s="349" t="s">
        <v>9</v>
      </c>
      <c r="D5652" s="349" t="s">
        <v>50</v>
      </c>
      <c r="E5652" s="337" t="str">
        <f t="shared" si="1"/>
        <v>大鉄　堺:産振</v>
      </c>
      <c r="F5652" s="338" t="s">
        <v>119</v>
      </c>
      <c r="G5652" s="339" t="str">
        <f t="shared" si="2"/>
        <v>大鉄　堺:産振Ｈ３(1級)</v>
      </c>
      <c r="H5652" s="340">
        <f t="shared" si="3"/>
        <v>50.7</v>
      </c>
      <c r="I5652" s="341">
        <v>0.5</v>
      </c>
      <c r="J5652" s="332">
        <f>IFERROR(__xludf.DUMMYFUNCTION("IF(IF(COUNTIF(P$2:P5651, P5652)=0, """", INDEX(H$2:H5651,
MAX(FILTER(ROW(H$2:H5651) - ROW(H$2) + 1, P$2:P5651 = P5652))))=""単価"","""",
IF(COUNTIF(P$2:P5651, P5652)=0, """", INDEX(H$2:H5651,
MAX(FILTER(ROW(H$2:H5651) - ROW(H$2) + 1, P$2:P5651 = P5652)))))"),50.2)</f>
        <v>50.2</v>
      </c>
      <c r="N5652" s="335" t="str">
        <f>IF(MAXIFS('単価履歴'!$O:$O,'単価履歴'!$E:$E,E5652,'単価履歴'!$F:$F,F5652)=O5652,"●","")</f>
        <v>●</v>
      </c>
      <c r="O5652" s="346">
        <v>46128.2728125</v>
      </c>
      <c r="P5652" s="334" t="str">
        <f t="shared" si="4"/>
        <v>大鉄　堺:産振Ｈ３(1級)</v>
      </c>
    </row>
    <row r="5653" ht="15.75" customHeight="1">
      <c r="A5653" s="335" t="s">
        <v>6800</v>
      </c>
      <c r="B5653" s="336">
        <v>46128.0</v>
      </c>
      <c r="C5653" s="349" t="s">
        <v>9</v>
      </c>
      <c r="D5653" s="349" t="s">
        <v>50</v>
      </c>
      <c r="E5653" s="337" t="str">
        <f t="shared" si="1"/>
        <v>大鉄　堺:産振</v>
      </c>
      <c r="F5653" s="338" t="s">
        <v>154</v>
      </c>
      <c r="G5653" s="339" t="str">
        <f t="shared" si="2"/>
        <v>大鉄　堺:産振ＣＰ Ａ</v>
      </c>
      <c r="H5653" s="340">
        <f t="shared" si="3"/>
        <v>55.7</v>
      </c>
      <c r="I5653" s="341">
        <v>0.5</v>
      </c>
      <c r="J5653" s="332">
        <f>IFERROR(__xludf.DUMMYFUNCTION("IF(IF(COUNTIF(P$2:P5652, P5653)=0, """", INDEX(H$2:H5652,
MAX(FILTER(ROW(H$2:H5652) - ROW(H$2) + 1, P$2:P5652 = P5653))))=""単価"","""",
IF(COUNTIF(P$2:P5652, P5653)=0, """", INDEX(H$2:H5652,
MAX(FILTER(ROW(H$2:H5652) - ROW(H$2) + 1, P$2:P5652 = P5653)))))"),55.2)</f>
        <v>55.2</v>
      </c>
      <c r="N5653" s="335" t="str">
        <f>IF(MAXIFS('単価履歴'!$O:$O,'単価履歴'!$E:$E,E5653,'単価履歴'!$F:$F,F5653)=O5653,"●","")</f>
        <v>●</v>
      </c>
      <c r="O5653" s="346">
        <v>46128.2728125</v>
      </c>
      <c r="P5653" s="334" t="str">
        <f t="shared" si="4"/>
        <v>大鉄　堺:産振ＣＰ Ａ</v>
      </c>
    </row>
    <row r="5654" ht="15.75" customHeight="1">
      <c r="A5654" s="335" t="s">
        <v>6801</v>
      </c>
      <c r="B5654" s="336">
        <v>46128.0</v>
      </c>
      <c r="C5654" s="349" t="s">
        <v>9</v>
      </c>
      <c r="D5654" s="349" t="s">
        <v>50</v>
      </c>
      <c r="E5654" s="337" t="str">
        <f t="shared" si="1"/>
        <v>大鉄　堺:産振</v>
      </c>
      <c r="F5654" s="338" t="s">
        <v>156</v>
      </c>
      <c r="G5654" s="339" t="str">
        <f t="shared" si="2"/>
        <v>大鉄　堺:産振ＣＰ Ｂ一斗缶</v>
      </c>
      <c r="H5654" s="340">
        <f t="shared" si="3"/>
        <v>45.5</v>
      </c>
      <c r="I5654" s="341">
        <v>0.5</v>
      </c>
      <c r="J5654" s="332">
        <f>IFERROR(__xludf.DUMMYFUNCTION("IF(IF(COUNTIF(P$2:P5653, P5654)=0, """", INDEX(H$2:H5653,
MAX(FILTER(ROW(H$2:H5653) - ROW(H$2) + 1, P$2:P5653 = P5654))))=""単価"","""",
IF(COUNTIF(P$2:P5653, P5654)=0, """", INDEX(H$2:H5653,
MAX(FILTER(ROW(H$2:H5653) - ROW(H$2) + 1, P$2:P5653 = P5654)))))"),45.0)</f>
        <v>45</v>
      </c>
      <c r="N5654" s="335" t="str">
        <f>IF(MAXIFS('単価履歴'!$O:$O,'単価履歴'!$E:$E,E5654,'単価履歴'!$F:$F,F5654)=O5654,"●","")</f>
        <v>●</v>
      </c>
      <c r="O5654" s="346">
        <v>46128.2728125</v>
      </c>
      <c r="P5654" s="334" t="str">
        <f t="shared" si="4"/>
        <v>大鉄　堺:産振ＣＰ Ｂ一斗缶</v>
      </c>
    </row>
    <row r="5655" ht="15.75" customHeight="1">
      <c r="A5655" s="335" t="s">
        <v>6802</v>
      </c>
      <c r="B5655" s="336">
        <v>46128.0</v>
      </c>
      <c r="C5655" s="349" t="s">
        <v>9</v>
      </c>
      <c r="D5655" s="349" t="s">
        <v>50</v>
      </c>
      <c r="E5655" s="337" t="str">
        <f t="shared" si="1"/>
        <v>大鉄　堺:産振</v>
      </c>
      <c r="F5655" s="338" t="s">
        <v>122</v>
      </c>
      <c r="G5655" s="339" t="str">
        <f t="shared" si="2"/>
        <v>大鉄　堺:産振Ｌ１(2級)</v>
      </c>
      <c r="H5655" s="340">
        <f t="shared" si="3"/>
        <v>49.7</v>
      </c>
      <c r="I5655" s="341">
        <v>0.5</v>
      </c>
      <c r="J5655" s="332">
        <f>IFERROR(__xludf.DUMMYFUNCTION("IF(IF(COUNTIF(P$2:P5654, P5655)=0, """", INDEX(H$2:H5654,
MAX(FILTER(ROW(H$2:H5654) - ROW(H$2) + 1, P$2:P5654 = P5655))))=""単価"","""",
IF(COUNTIF(P$2:P5654, P5655)=0, """", INDEX(H$2:H5654,
MAX(FILTER(ROW(H$2:H5654) - ROW(H$2) + 1, P$2:P5654 = P5655)))))"),49.2)</f>
        <v>49.2</v>
      </c>
      <c r="N5655" s="335" t="str">
        <f>IF(MAXIFS('単価履歴'!$O:$O,'単価履歴'!$E:$E,E5655,'単価履歴'!$F:$F,F5655)=O5655,"●","")</f>
        <v>●</v>
      </c>
      <c r="O5655" s="346">
        <v>46128.2728125</v>
      </c>
      <c r="P5655" s="334" t="str">
        <f t="shared" si="4"/>
        <v>大鉄　堺:産振Ｌ１(2級)</v>
      </c>
    </row>
    <row r="5656" ht="15.75" customHeight="1">
      <c r="A5656" s="335" t="s">
        <v>6803</v>
      </c>
      <c r="B5656" s="336">
        <v>46128.0</v>
      </c>
      <c r="C5656" s="349" t="s">
        <v>9</v>
      </c>
      <c r="D5656" s="349" t="s">
        <v>50</v>
      </c>
      <c r="E5656" s="337" t="str">
        <f t="shared" si="1"/>
        <v>大鉄　堺:産振</v>
      </c>
      <c r="F5656" s="338" t="s">
        <v>130</v>
      </c>
      <c r="G5656" s="339" t="str">
        <f t="shared" si="2"/>
        <v>大鉄　堺:産振新断Ａ</v>
      </c>
      <c r="H5656" s="340">
        <f t="shared" si="3"/>
        <v>51.7</v>
      </c>
      <c r="I5656" s="341">
        <v>0.5</v>
      </c>
      <c r="J5656" s="332">
        <f>IFERROR(__xludf.DUMMYFUNCTION("IF(IF(COUNTIF(P$2:P5655, P5656)=0, """", INDEX(H$2:H5655,
MAX(FILTER(ROW(H$2:H5655) - ROW(H$2) + 1, P$2:P5655 = P5656))))=""単価"","""",
IF(COUNTIF(P$2:P5655, P5656)=0, """", INDEX(H$2:H5655,
MAX(FILTER(ROW(H$2:H5655) - ROW(H$2) + 1, P$2:P5655 = P5656)))))"),51.2)</f>
        <v>51.2</v>
      </c>
      <c r="N5656" s="335" t="str">
        <f>IF(MAXIFS('単価履歴'!$O:$O,'単価履歴'!$E:$E,E5656,'単価履歴'!$F:$F,F5656)=O5656,"●","")</f>
        <v>●</v>
      </c>
      <c r="O5656" s="346">
        <v>46128.2728125</v>
      </c>
      <c r="P5656" s="334" t="str">
        <f t="shared" si="4"/>
        <v>大鉄　堺:産振新断Ａ</v>
      </c>
    </row>
    <row r="5657" ht="15.75" customHeight="1">
      <c r="A5657" s="335" t="s">
        <v>6804</v>
      </c>
      <c r="B5657" s="336">
        <v>46128.0</v>
      </c>
      <c r="C5657" s="349" t="s">
        <v>9</v>
      </c>
      <c r="D5657" s="349" t="s">
        <v>50</v>
      </c>
      <c r="E5657" s="337" t="str">
        <f t="shared" si="1"/>
        <v>大鉄　堺:産振</v>
      </c>
      <c r="F5657" s="338" t="s">
        <v>131</v>
      </c>
      <c r="G5657" s="339" t="str">
        <f t="shared" si="2"/>
        <v>大鉄　堺:産振新断Ｂ</v>
      </c>
      <c r="H5657" s="340">
        <f t="shared" si="3"/>
        <v>51.2</v>
      </c>
      <c r="I5657" s="341">
        <v>0.5</v>
      </c>
      <c r="J5657" s="332">
        <f>IFERROR(__xludf.DUMMYFUNCTION("IF(IF(COUNTIF(P$2:P5656, P5657)=0, """", INDEX(H$2:H5656,
MAX(FILTER(ROW(H$2:H5656) - ROW(H$2) + 1, P$2:P5656 = P5657))))=""単価"","""",
IF(COUNTIF(P$2:P5656, P5657)=0, """", INDEX(H$2:H5656,
MAX(FILTER(ROW(H$2:H5656) - ROW(H$2) + 1, P$2:P5656 = P5657)))))"),50.7)</f>
        <v>50.7</v>
      </c>
      <c r="N5657" s="335" t="str">
        <f>IF(MAXIFS('単価履歴'!$O:$O,'単価履歴'!$E:$E,E5657,'単価履歴'!$F:$F,F5657)=O5657,"●","")</f>
        <v>●</v>
      </c>
      <c r="O5657" s="346">
        <v>46128.2728125</v>
      </c>
      <c r="P5657" s="334" t="str">
        <f t="shared" si="4"/>
        <v>大鉄　堺:産振新断Ｂ</v>
      </c>
    </row>
    <row r="5658" ht="15.75" customHeight="1">
      <c r="A5658" s="335" t="s">
        <v>6805</v>
      </c>
      <c r="B5658" s="336">
        <v>46128.0</v>
      </c>
      <c r="C5658" s="349" t="s">
        <v>9</v>
      </c>
      <c r="D5658" s="349" t="s">
        <v>50</v>
      </c>
      <c r="E5658" s="337" t="str">
        <f t="shared" si="1"/>
        <v>大鉄　堺:産振</v>
      </c>
      <c r="F5658" s="338" t="s">
        <v>575</v>
      </c>
      <c r="G5658" s="339" t="str">
        <f t="shared" si="2"/>
        <v>大鉄　堺:産振鋼ダライＡ</v>
      </c>
      <c r="H5658" s="340">
        <f t="shared" si="3"/>
        <v>47.2</v>
      </c>
      <c r="I5658" s="341">
        <v>0.5</v>
      </c>
      <c r="J5658" s="332">
        <f>IFERROR(__xludf.DUMMYFUNCTION("IF(IF(COUNTIF(P$2:P5657, P5658)=0, """", INDEX(H$2:H5657,
MAX(FILTER(ROW(H$2:H5657) - ROW(H$2) + 1, P$2:P5657 = P5658))))=""単価"","""",
IF(COUNTIF(P$2:P5657, P5658)=0, """", INDEX(H$2:H5657,
MAX(FILTER(ROW(H$2:H5657) - ROW(H$2) + 1, P$2:P5657 = P5658)))))"),46.7)</f>
        <v>46.7</v>
      </c>
      <c r="N5658" s="335" t="str">
        <f>IF(MAXIFS('単価履歴'!$O:$O,'単価履歴'!$E:$E,E5658,'単価履歴'!$F:$F,F5658)=O5658,"●","")</f>
        <v>●</v>
      </c>
      <c r="O5658" s="346">
        <v>46128.2728125</v>
      </c>
      <c r="P5658" s="334" t="str">
        <f t="shared" si="4"/>
        <v>大鉄　堺:産振鋼ダライＡ</v>
      </c>
    </row>
    <row r="5659" ht="15.75" customHeight="1">
      <c r="A5659" s="335" t="s">
        <v>6806</v>
      </c>
      <c r="B5659" s="336">
        <v>46128.0</v>
      </c>
      <c r="C5659" s="349" t="s">
        <v>9</v>
      </c>
      <c r="D5659" s="349" t="s">
        <v>49</v>
      </c>
      <c r="E5659" s="337" t="str">
        <f t="shared" si="1"/>
        <v>大鉄　堺:伊藤忠</v>
      </c>
      <c r="F5659" s="338" t="s">
        <v>111</v>
      </c>
      <c r="G5659" s="339" t="str">
        <f t="shared" si="2"/>
        <v>大鉄　堺:伊藤忠Ｈ１(特A)</v>
      </c>
      <c r="H5659" s="340">
        <f t="shared" si="3"/>
        <v>38.3</v>
      </c>
      <c r="I5659" s="341">
        <v>0.5</v>
      </c>
      <c r="J5659" s="332">
        <f>IFERROR(__xludf.DUMMYFUNCTION("IF(IF(COUNTIF(P$2:P5658, P5659)=0, """", INDEX(H$2:H5658,
MAX(FILTER(ROW(H$2:H5658) - ROW(H$2) + 1, P$2:P5658 = P5659))))=""単価"","""",
IF(COUNTIF(P$2:P5658, P5659)=0, """", INDEX(H$2:H5658,
MAX(FILTER(ROW(H$2:H5658) - ROW(H$2) + 1, P$2:P5658 = P5659)))))"),37.8)</f>
        <v>37.8</v>
      </c>
      <c r="N5659" s="335" t="str">
        <f>IF(MAXIFS('単価履歴'!$O:$O,'単価履歴'!$E:$E,E5659,'単価履歴'!$F:$F,F5659)=O5659,"●","")</f>
        <v>●</v>
      </c>
      <c r="O5659" s="346">
        <v>46128.27292824074</v>
      </c>
      <c r="P5659" s="334" t="str">
        <f t="shared" si="4"/>
        <v>大鉄　堺:伊藤忠Ｈ１(特A)</v>
      </c>
    </row>
    <row r="5660" ht="15.75" customHeight="1">
      <c r="A5660" s="335" t="s">
        <v>6807</v>
      </c>
      <c r="B5660" s="336">
        <v>46128.0</v>
      </c>
      <c r="C5660" s="349" t="s">
        <v>9</v>
      </c>
      <c r="D5660" s="349" t="s">
        <v>49</v>
      </c>
      <c r="E5660" s="337" t="str">
        <f t="shared" si="1"/>
        <v>大鉄　堺:伊藤忠</v>
      </c>
      <c r="F5660" s="338" t="s">
        <v>1237</v>
      </c>
      <c r="G5660" s="339" t="str">
        <f t="shared" si="2"/>
        <v>大鉄　堺:伊藤忠ＪＨ１(H2T山口)鍛造ﾊﾞﾘ</v>
      </c>
      <c r="H5660" s="340">
        <f t="shared" si="3"/>
        <v>45.7</v>
      </c>
      <c r="I5660" s="341">
        <v>0.5</v>
      </c>
      <c r="J5660" s="332">
        <f>IFERROR(__xludf.DUMMYFUNCTION("IF(IF(COUNTIF(P$2:P5659, P5660)=0, """", INDEX(H$2:H5659,
MAX(FILTER(ROW(H$2:H5659) - ROW(H$2) + 1, P$2:P5659 = P5660))))=""単価"","""",
IF(COUNTIF(P$2:P5659, P5660)=0, """", INDEX(H$2:H5659,
MAX(FILTER(ROW(H$2:H5659) - ROW(H$2) + 1, P$2:P5659 = P5660)))))"),45.2)</f>
        <v>45.2</v>
      </c>
      <c r="N5660" s="335" t="str">
        <f>IF(MAXIFS('単価履歴'!$O:$O,'単価履歴'!$E:$E,E5660,'単価履歴'!$F:$F,F5660)=O5660,"●","")</f>
        <v>●</v>
      </c>
      <c r="O5660" s="346">
        <v>46128.27292824074</v>
      </c>
      <c r="P5660" s="334" t="str">
        <f t="shared" si="4"/>
        <v>大鉄　堺:伊藤忠ＪＨ１(H2T山口)鍛造ﾊﾞﾘ</v>
      </c>
    </row>
    <row r="5661" ht="15.75" customHeight="1">
      <c r="A5661" s="335" t="s">
        <v>6808</v>
      </c>
      <c r="B5661" s="336">
        <v>46128.0</v>
      </c>
      <c r="C5661" s="349" t="s">
        <v>9</v>
      </c>
      <c r="D5661" s="349" t="s">
        <v>49</v>
      </c>
      <c r="E5661" s="337" t="str">
        <f t="shared" si="1"/>
        <v>大鉄　堺:伊藤忠</v>
      </c>
      <c r="F5661" s="338" t="s">
        <v>116</v>
      </c>
      <c r="G5661" s="339" t="str">
        <f t="shared" si="2"/>
        <v>大鉄　堺:伊藤忠Ｈ２(特級)</v>
      </c>
      <c r="H5661" s="340">
        <f t="shared" si="3"/>
        <v>43.5</v>
      </c>
      <c r="I5661" s="341">
        <v>0.5</v>
      </c>
      <c r="J5661" s="332">
        <f>IFERROR(__xludf.DUMMYFUNCTION("IF(IF(COUNTIF(P$2:P5660, P5661)=0, """", INDEX(H$2:H5660,
MAX(FILTER(ROW(H$2:H5660) - ROW(H$2) + 1, P$2:P5660 = P5661))))=""単価"","""",
IF(COUNTIF(P$2:P5660, P5661)=0, """", INDEX(H$2:H5660,
MAX(FILTER(ROW(H$2:H5660) - ROW(H$2) + 1, P$2:P5660 = P5661)))))"),43.0)</f>
        <v>43</v>
      </c>
      <c r="N5661" s="335" t="str">
        <f>IF(MAXIFS('単価履歴'!$O:$O,'単価履歴'!$E:$E,E5661,'単価履歴'!$F:$F,F5661)=O5661,"●","")</f>
        <v>●</v>
      </c>
      <c r="O5661" s="346">
        <v>46128.27292824074</v>
      </c>
      <c r="P5661" s="334" t="str">
        <f t="shared" si="4"/>
        <v>大鉄　堺:伊藤忠Ｈ２(特級)</v>
      </c>
    </row>
    <row r="5662" ht="15.75" customHeight="1">
      <c r="A5662" s="335" t="s">
        <v>6809</v>
      </c>
      <c r="B5662" s="336">
        <v>46128.0</v>
      </c>
      <c r="C5662" s="349" t="s">
        <v>9</v>
      </c>
      <c r="D5662" s="349" t="s">
        <v>49</v>
      </c>
      <c r="E5662" s="337" t="str">
        <f t="shared" si="1"/>
        <v>大鉄　堺:伊藤忠</v>
      </c>
      <c r="F5662" s="338" t="s">
        <v>119</v>
      </c>
      <c r="G5662" s="339" t="str">
        <f t="shared" si="2"/>
        <v>大鉄　堺:伊藤忠Ｈ３(1級)</v>
      </c>
      <c r="H5662" s="340">
        <f t="shared" si="3"/>
        <v>42.5</v>
      </c>
      <c r="I5662" s="341">
        <v>0.5</v>
      </c>
      <c r="J5662" s="332">
        <f>IFERROR(__xludf.DUMMYFUNCTION("IF(IF(COUNTIF(P$2:P5661, P5662)=0, """", INDEX(H$2:H5661,
MAX(FILTER(ROW(H$2:H5661) - ROW(H$2) + 1, P$2:P5661 = P5662))))=""単価"","""",
IF(COUNTIF(P$2:P5661, P5662)=0, """", INDEX(H$2:H5661,
MAX(FILTER(ROW(H$2:H5661) - ROW(H$2) + 1, P$2:P5661 = P5662)))))"),42.0)</f>
        <v>42</v>
      </c>
      <c r="N5662" s="335" t="str">
        <f>IF(MAXIFS('単価履歴'!$O:$O,'単価履歴'!$E:$E,E5662,'単価履歴'!$F:$F,F5662)=O5662,"●","")</f>
        <v>●</v>
      </c>
      <c r="O5662" s="346">
        <v>46128.27292824074</v>
      </c>
      <c r="P5662" s="334" t="str">
        <f t="shared" si="4"/>
        <v>大鉄　堺:伊藤忠Ｈ３(1級)</v>
      </c>
    </row>
    <row r="5663" ht="15.75" customHeight="1">
      <c r="A5663" s="335" t="s">
        <v>6810</v>
      </c>
      <c r="B5663" s="336">
        <v>46128.0</v>
      </c>
      <c r="C5663" s="349" t="s">
        <v>9</v>
      </c>
      <c r="D5663" s="349" t="s">
        <v>49</v>
      </c>
      <c r="E5663" s="337" t="str">
        <f t="shared" si="1"/>
        <v>大鉄　堺:伊藤忠</v>
      </c>
      <c r="F5663" s="338" t="s">
        <v>122</v>
      </c>
      <c r="G5663" s="339" t="str">
        <f t="shared" si="2"/>
        <v>大鉄　堺:伊藤忠Ｌ１(2級)</v>
      </c>
      <c r="H5663" s="340">
        <f t="shared" si="3"/>
        <v>41.5</v>
      </c>
      <c r="I5663" s="341">
        <v>0.5</v>
      </c>
      <c r="J5663" s="332">
        <f>IFERROR(__xludf.DUMMYFUNCTION("IF(IF(COUNTIF(P$2:P5662, P5663)=0, """", INDEX(H$2:H5662,
MAX(FILTER(ROW(H$2:H5662) - ROW(H$2) + 1, P$2:P5662 = P5663))))=""単価"","""",
IF(COUNTIF(P$2:P5662, P5663)=0, """", INDEX(H$2:H5662,
MAX(FILTER(ROW(H$2:H5662) - ROW(H$2) + 1, P$2:P5662 = P5663)))))"),41.0)</f>
        <v>41</v>
      </c>
      <c r="N5663" s="335" t="str">
        <f>IF(MAXIFS('単価履歴'!$O:$O,'単価履歴'!$E:$E,E5663,'単価履歴'!$F:$F,F5663)=O5663,"●","")</f>
        <v>●</v>
      </c>
      <c r="O5663" s="346">
        <v>46128.27292824074</v>
      </c>
      <c r="P5663" s="334" t="str">
        <f t="shared" si="4"/>
        <v>大鉄　堺:伊藤忠Ｌ１(2級)</v>
      </c>
    </row>
    <row r="5664" ht="15.75" customHeight="1">
      <c r="A5664" s="335" t="s">
        <v>6811</v>
      </c>
      <c r="B5664" s="336">
        <v>46128.0</v>
      </c>
      <c r="C5664" s="349" t="s">
        <v>9</v>
      </c>
      <c r="D5664" s="349" t="s">
        <v>49</v>
      </c>
      <c r="E5664" s="337" t="str">
        <f t="shared" si="1"/>
        <v>大鉄　堺:伊藤忠</v>
      </c>
      <c r="F5664" s="338" t="s">
        <v>130</v>
      </c>
      <c r="G5664" s="339" t="str">
        <f t="shared" si="2"/>
        <v>大鉄　堺:伊藤忠新断Ａ</v>
      </c>
      <c r="H5664" s="340">
        <f t="shared" si="3"/>
        <v>37.8</v>
      </c>
      <c r="I5664" s="341">
        <v>0.5</v>
      </c>
      <c r="J5664" s="332">
        <f>IFERROR(__xludf.DUMMYFUNCTION("IF(IF(COUNTIF(P$2:P5663, P5664)=0, """", INDEX(H$2:H5663,
MAX(FILTER(ROW(H$2:H5663) - ROW(H$2) + 1, P$2:P5663 = P5664))))=""単価"","""",
IF(COUNTIF(P$2:P5663, P5664)=0, """", INDEX(H$2:H5663,
MAX(FILTER(ROW(H$2:H5663) - ROW(H$2) + 1, P$2:P5663 = P5664)))))"),37.3)</f>
        <v>37.3</v>
      </c>
      <c r="N5664" s="335" t="str">
        <f>IF(MAXIFS('単価履歴'!$O:$O,'単価履歴'!$E:$E,E5664,'単価履歴'!$F:$F,F5664)=O5664,"●","")</f>
        <v>●</v>
      </c>
      <c r="O5664" s="346">
        <v>46128.27292824074</v>
      </c>
      <c r="P5664" s="334" t="str">
        <f t="shared" si="4"/>
        <v>大鉄　堺:伊藤忠新断Ａ</v>
      </c>
    </row>
    <row r="5665" ht="15.75" customHeight="1">
      <c r="A5665" s="335" t="s">
        <v>6812</v>
      </c>
      <c r="B5665" s="336">
        <v>46128.0</v>
      </c>
      <c r="C5665" s="349" t="s">
        <v>9</v>
      </c>
      <c r="D5665" s="349" t="s">
        <v>49</v>
      </c>
      <c r="E5665" s="337" t="str">
        <f t="shared" si="1"/>
        <v>大鉄　堺:伊藤忠</v>
      </c>
      <c r="F5665" s="338" t="s">
        <v>131</v>
      </c>
      <c r="G5665" s="339" t="str">
        <f t="shared" si="2"/>
        <v>大鉄　堺:伊藤忠新断Ｂ</v>
      </c>
      <c r="H5665" s="340">
        <f t="shared" si="3"/>
        <v>37.3</v>
      </c>
      <c r="I5665" s="341">
        <v>0.5</v>
      </c>
      <c r="J5665" s="332">
        <f>IFERROR(__xludf.DUMMYFUNCTION("IF(IF(COUNTIF(P$2:P5664, P5665)=0, """", INDEX(H$2:H5664,
MAX(FILTER(ROW(H$2:H5664) - ROW(H$2) + 1, P$2:P5664 = P5665))))=""単価"","""",
IF(COUNTIF(P$2:P5664, P5665)=0, """", INDEX(H$2:H5664,
MAX(FILTER(ROW(H$2:H5664) - ROW(H$2) + 1, P$2:P5664 = P5665)))))"),36.8)</f>
        <v>36.8</v>
      </c>
      <c r="N5665" s="335" t="str">
        <f>IF(MAXIFS('単価履歴'!$O:$O,'単価履歴'!$E:$E,E5665,'単価履歴'!$F:$F,F5665)=O5665,"●","")</f>
        <v>●</v>
      </c>
      <c r="O5665" s="346">
        <v>46128.27292824074</v>
      </c>
      <c r="P5665" s="334" t="str">
        <f t="shared" si="4"/>
        <v>大鉄　堺:伊藤忠新断Ｂ</v>
      </c>
    </row>
    <row r="5666" ht="15.75" customHeight="1">
      <c r="A5666" s="335" t="s">
        <v>6813</v>
      </c>
      <c r="B5666" s="336">
        <v>46128.0</v>
      </c>
      <c r="C5666" s="349" t="s">
        <v>9</v>
      </c>
      <c r="D5666" s="349" t="s">
        <v>48</v>
      </c>
      <c r="E5666" s="337" t="str">
        <f t="shared" si="1"/>
        <v>大鉄　堺:ナベ</v>
      </c>
      <c r="F5666" s="338" t="s">
        <v>116</v>
      </c>
      <c r="G5666" s="339" t="str">
        <f t="shared" si="2"/>
        <v>大鉄　堺:ナベＨ２(特級)</v>
      </c>
      <c r="H5666" s="340">
        <f t="shared" si="3"/>
        <v>53.7</v>
      </c>
      <c r="I5666" s="341">
        <v>0.5</v>
      </c>
      <c r="J5666" s="332">
        <f>IFERROR(__xludf.DUMMYFUNCTION("IF(IF(COUNTIF(P$2:P5665, P5666)=0, """", INDEX(H$2:H5665,
MAX(FILTER(ROW(H$2:H5665) - ROW(H$2) + 1, P$2:P5665 = P5666))))=""単価"","""",
IF(COUNTIF(P$2:P5665, P5666)=0, """", INDEX(H$2:H5665,
MAX(FILTER(ROW(H$2:H5665) - ROW(H$2) + 1, P$2:P5665 = P5666)))))"),53.2)</f>
        <v>53.2</v>
      </c>
      <c r="N5666" s="335" t="str">
        <f>IF(MAXIFS('単価履歴'!$O:$O,'単価履歴'!$E:$E,E5666,'単価履歴'!$F:$F,F5666)=O5666,"●","")</f>
        <v>●</v>
      </c>
      <c r="O5666" s="346">
        <v>46128.2730787037</v>
      </c>
      <c r="P5666" s="334" t="str">
        <f t="shared" si="4"/>
        <v>大鉄　堺:ナベＨ２(特級)</v>
      </c>
    </row>
    <row r="5667" ht="15.75" customHeight="1">
      <c r="A5667" s="335" t="s">
        <v>6814</v>
      </c>
      <c r="B5667" s="336">
        <v>46128.0</v>
      </c>
      <c r="C5667" s="349" t="s">
        <v>9</v>
      </c>
      <c r="D5667" s="349" t="s">
        <v>48</v>
      </c>
      <c r="E5667" s="337" t="str">
        <f t="shared" si="1"/>
        <v>大鉄　堺:ナベ</v>
      </c>
      <c r="F5667" s="338" t="s">
        <v>119</v>
      </c>
      <c r="G5667" s="339" t="str">
        <f t="shared" si="2"/>
        <v>大鉄　堺:ナベＨ３(1級)</v>
      </c>
      <c r="H5667" s="340">
        <f t="shared" si="3"/>
        <v>53.2</v>
      </c>
      <c r="I5667" s="341">
        <v>0.5</v>
      </c>
      <c r="J5667" s="332">
        <f>IFERROR(__xludf.DUMMYFUNCTION("IF(IF(COUNTIF(P$2:P5666, P5667)=0, """", INDEX(H$2:H5666,
MAX(FILTER(ROW(H$2:H5666) - ROW(H$2) + 1, P$2:P5666 = P5667))))=""単価"","""",
IF(COUNTIF(P$2:P5666, P5667)=0, """", INDEX(H$2:H5666,
MAX(FILTER(ROW(H$2:H5666) - ROW(H$2) + 1, P$2:P5666 = P5667)))))"),52.7)</f>
        <v>52.7</v>
      </c>
      <c r="N5667" s="335" t="str">
        <f>IF(MAXIFS('単価履歴'!$O:$O,'単価履歴'!$E:$E,E5667,'単価履歴'!$F:$F,F5667)=O5667,"●","")</f>
        <v>●</v>
      </c>
      <c r="O5667" s="346">
        <v>46128.2730787037</v>
      </c>
      <c r="P5667" s="334" t="str">
        <f t="shared" si="4"/>
        <v>大鉄　堺:ナベＨ３(1級)</v>
      </c>
    </row>
    <row r="5668" ht="15.75" customHeight="1">
      <c r="A5668" s="335" t="s">
        <v>6815</v>
      </c>
      <c r="B5668" s="336">
        <v>46128.0</v>
      </c>
      <c r="C5668" s="349" t="s">
        <v>9</v>
      </c>
      <c r="D5668" s="349" t="s">
        <v>48</v>
      </c>
      <c r="E5668" s="337" t="str">
        <f t="shared" si="1"/>
        <v>大鉄　堺:ナベ</v>
      </c>
      <c r="F5668" s="338" t="s">
        <v>122</v>
      </c>
      <c r="G5668" s="339" t="str">
        <f t="shared" si="2"/>
        <v>大鉄　堺:ナベＬ１(2級)</v>
      </c>
      <c r="H5668" s="340">
        <f t="shared" si="3"/>
        <v>52.7</v>
      </c>
      <c r="I5668" s="341">
        <v>0.5</v>
      </c>
      <c r="J5668" s="332">
        <f>IFERROR(__xludf.DUMMYFUNCTION("IF(IF(COUNTIF(P$2:P5667, P5668)=0, """", INDEX(H$2:H5667,
MAX(FILTER(ROW(H$2:H5667) - ROW(H$2) + 1, P$2:P5667 = P5668))))=""単価"","""",
IF(COUNTIF(P$2:P5667, P5668)=0, """", INDEX(H$2:H5667,
MAX(FILTER(ROW(H$2:H5667) - ROW(H$2) + 1, P$2:P5667 = P5668)))))"),52.2)</f>
        <v>52.2</v>
      </c>
      <c r="N5668" s="335" t="str">
        <f>IF(MAXIFS('単価履歴'!$O:$O,'単価履歴'!$E:$E,E5668,'単価履歴'!$F:$F,F5668)=O5668,"●","")</f>
        <v>●</v>
      </c>
      <c r="O5668" s="346">
        <v>46128.2730787037</v>
      </c>
      <c r="P5668" s="334" t="str">
        <f t="shared" si="4"/>
        <v>大鉄　堺:ナベＬ１(2級)</v>
      </c>
    </row>
    <row r="5669" ht="15.75" customHeight="1">
      <c r="A5669" s="335" t="s">
        <v>6816</v>
      </c>
      <c r="B5669" s="336">
        <v>46128.0</v>
      </c>
      <c r="C5669" s="349" t="s">
        <v>534</v>
      </c>
      <c r="D5669" s="349" t="s">
        <v>46</v>
      </c>
      <c r="E5669" s="337" t="str">
        <f t="shared" si="1"/>
        <v>合同姫路:阪和</v>
      </c>
      <c r="F5669" s="338" t="s">
        <v>130</v>
      </c>
      <c r="G5669" s="339" t="str">
        <f t="shared" si="2"/>
        <v>合同姫路:阪和新断Ａ</v>
      </c>
      <c r="H5669" s="340">
        <f t="shared" si="3"/>
        <v>58.3</v>
      </c>
      <c r="I5669" s="341">
        <v>0.5</v>
      </c>
      <c r="J5669" s="332">
        <f>IFERROR(__xludf.DUMMYFUNCTION("IF(IF(COUNTIF(P$2:P5668, P5669)=0, """", INDEX(H$2:H5668,
MAX(FILTER(ROW(H$2:H5668) - ROW(H$2) + 1, P$2:P5668 = P5669))))=""単価"","""",
IF(COUNTIF(P$2:P5668, P5669)=0, """", INDEX(H$2:H5668,
MAX(FILTER(ROW(H$2:H5668) - ROW(H$2) + 1, P$2:P5668 = P5669)))))"),57.8)</f>
        <v>57.8</v>
      </c>
      <c r="N5669" s="335" t="str">
        <f>IF(MAXIFS('単価履歴'!$O:$O,'単価履歴'!$E:$E,E5669,'単価履歴'!$F:$F,F5669)=O5669,"●","")</f>
        <v>●</v>
      </c>
      <c r="O5669" s="346">
        <v>46128.27704861111</v>
      </c>
      <c r="P5669" s="334" t="str">
        <f t="shared" si="4"/>
        <v>合同姫路:阪和新断Ａ</v>
      </c>
    </row>
    <row r="5670" ht="15.75" customHeight="1">
      <c r="A5670" s="335" t="s">
        <v>6817</v>
      </c>
      <c r="B5670" s="336">
        <v>46128.0</v>
      </c>
      <c r="C5670" s="349" t="s">
        <v>534</v>
      </c>
      <c r="D5670" s="349" t="s">
        <v>46</v>
      </c>
      <c r="E5670" s="337" t="str">
        <f t="shared" si="1"/>
        <v>合同姫路:阪和</v>
      </c>
      <c r="F5670" s="338" t="s">
        <v>131</v>
      </c>
      <c r="G5670" s="339" t="str">
        <f t="shared" si="2"/>
        <v>合同姫路:阪和新断Ｂ</v>
      </c>
      <c r="H5670" s="340">
        <f t="shared" si="3"/>
        <v>57.3</v>
      </c>
      <c r="I5670" s="341">
        <v>0.5</v>
      </c>
      <c r="J5670" s="332">
        <f>IFERROR(__xludf.DUMMYFUNCTION("IF(IF(COUNTIF(P$2:P5669, P5670)=0, """", INDEX(H$2:H5669,
MAX(FILTER(ROW(H$2:H5669) - ROW(H$2) + 1, P$2:P5669 = P5670))))=""単価"","""",
IF(COUNTIF(P$2:P5669, P5670)=0, """", INDEX(H$2:H5669,
MAX(FILTER(ROW(H$2:H5669) - ROW(H$2) + 1, P$2:P5669 = P5670)))))"),56.8)</f>
        <v>56.8</v>
      </c>
      <c r="N5670" s="335" t="str">
        <f>IF(MAXIFS('単価履歴'!$O:$O,'単価履歴'!$E:$E,E5670,'単価履歴'!$F:$F,F5670)=O5670,"●","")</f>
        <v>●</v>
      </c>
      <c r="O5670" s="346">
        <v>46128.27704861111</v>
      </c>
      <c r="P5670" s="334" t="str">
        <f t="shared" si="4"/>
        <v>合同姫路:阪和新断Ｂ</v>
      </c>
    </row>
    <row r="5671" ht="15.75" customHeight="1">
      <c r="A5671" s="335" t="s">
        <v>6818</v>
      </c>
      <c r="B5671" s="336">
        <v>46128.0</v>
      </c>
      <c r="C5671" s="349" t="s">
        <v>11</v>
      </c>
      <c r="D5671" s="349" t="s">
        <v>46</v>
      </c>
      <c r="E5671" s="337" t="str">
        <f t="shared" si="1"/>
        <v>ﾔﾏﾄ:阪和</v>
      </c>
      <c r="F5671" s="338" t="s">
        <v>116</v>
      </c>
      <c r="G5671" s="339" t="str">
        <f t="shared" si="2"/>
        <v>ﾔﾏﾄ:阪和Ｈ２(特級)</v>
      </c>
      <c r="H5671" s="340">
        <f t="shared" si="3"/>
        <v>54.6</v>
      </c>
      <c r="I5671" s="341">
        <v>0.5</v>
      </c>
      <c r="J5671" s="332">
        <f>IFERROR(__xludf.DUMMYFUNCTION("IF(IF(COUNTIF(P$2:P5670, P5671)=0, """", INDEX(H$2:H5670,
MAX(FILTER(ROW(H$2:H5670) - ROW(H$2) + 1, P$2:P5670 = P5671))))=""単価"","""",
IF(COUNTIF(P$2:P5670, P5671)=0, """", INDEX(H$2:H5670,
MAX(FILTER(ROW(H$2:H5670) - ROW(H$2) + 1, P$2:P5670 = P5671)))))"),54.1)</f>
        <v>54.1</v>
      </c>
      <c r="N5671" s="335" t="str">
        <f>IF(MAXIFS('単価履歴'!$O:$O,'単価履歴'!$E:$E,E5671,'単価履歴'!$F:$F,F5671)=O5671,"●","")</f>
        <v>●</v>
      </c>
      <c r="O5671" s="346">
        <v>46128.27737268519</v>
      </c>
      <c r="P5671" s="334" t="str">
        <f t="shared" si="4"/>
        <v>ﾔﾏﾄ:阪和Ｈ２(特級)</v>
      </c>
    </row>
    <row r="5672" ht="15.75" customHeight="1">
      <c r="A5672" s="335" t="s">
        <v>6819</v>
      </c>
      <c r="B5672" s="336">
        <v>46128.0</v>
      </c>
      <c r="C5672" s="349" t="s">
        <v>11</v>
      </c>
      <c r="D5672" s="349" t="s">
        <v>46</v>
      </c>
      <c r="E5672" s="337" t="str">
        <f t="shared" si="1"/>
        <v>ﾔﾏﾄ:阪和</v>
      </c>
      <c r="F5672" s="338" t="s">
        <v>119</v>
      </c>
      <c r="G5672" s="339" t="str">
        <f t="shared" si="2"/>
        <v>ﾔﾏﾄ:阪和Ｈ３(1級)</v>
      </c>
      <c r="H5672" s="340">
        <f t="shared" si="3"/>
        <v>54.1</v>
      </c>
      <c r="I5672" s="341">
        <v>0.5</v>
      </c>
      <c r="J5672" s="332">
        <f>IFERROR(__xludf.DUMMYFUNCTION("IF(IF(COUNTIF(P$2:P5671, P5672)=0, """", INDEX(H$2:H5671,
MAX(FILTER(ROW(H$2:H5671) - ROW(H$2) + 1, P$2:P5671 = P5672))))=""単価"","""",
IF(COUNTIF(P$2:P5671, P5672)=0, """", INDEX(H$2:H5671,
MAX(FILTER(ROW(H$2:H5671) - ROW(H$2) + 1, P$2:P5671 = P5672)))))"),53.6)</f>
        <v>53.6</v>
      </c>
      <c r="N5672" s="335" t="str">
        <f>IF(MAXIFS('単価履歴'!$O:$O,'単価履歴'!$E:$E,E5672,'単価履歴'!$F:$F,F5672)=O5672,"●","")</f>
        <v>●</v>
      </c>
      <c r="O5672" s="346">
        <v>46128.27737268519</v>
      </c>
      <c r="P5672" s="334" t="str">
        <f t="shared" si="4"/>
        <v>ﾔﾏﾄ:阪和Ｈ３(1級)</v>
      </c>
    </row>
    <row r="5673" ht="15.75" customHeight="1">
      <c r="A5673" s="335" t="s">
        <v>6820</v>
      </c>
      <c r="B5673" s="336">
        <v>46128.0</v>
      </c>
      <c r="C5673" s="349" t="s">
        <v>11</v>
      </c>
      <c r="D5673" s="349" t="s">
        <v>46</v>
      </c>
      <c r="E5673" s="337" t="str">
        <f t="shared" si="1"/>
        <v>ﾔﾏﾄ:阪和</v>
      </c>
      <c r="F5673" s="338" t="s">
        <v>122</v>
      </c>
      <c r="G5673" s="339" t="str">
        <f t="shared" si="2"/>
        <v>ﾔﾏﾄ:阪和Ｌ１(2級)</v>
      </c>
      <c r="H5673" s="340">
        <f t="shared" si="3"/>
        <v>53.1</v>
      </c>
      <c r="I5673" s="341">
        <v>0.5</v>
      </c>
      <c r="J5673" s="332">
        <f>IFERROR(__xludf.DUMMYFUNCTION("IF(IF(COUNTIF(P$2:P5672, P5673)=0, """", INDEX(H$2:H5672,
MAX(FILTER(ROW(H$2:H5672) - ROW(H$2) + 1, P$2:P5672 = P5673))))=""単価"","""",
IF(COUNTIF(P$2:P5672, P5673)=0, """", INDEX(H$2:H5672,
MAX(FILTER(ROW(H$2:H5672) - ROW(H$2) + 1, P$2:P5672 = P5673)))))"),52.6)</f>
        <v>52.6</v>
      </c>
      <c r="N5673" s="335" t="str">
        <f>IF(MAXIFS('単価履歴'!$O:$O,'単価履歴'!$E:$E,E5673,'単価履歴'!$F:$F,F5673)=O5673,"●","")</f>
        <v>●</v>
      </c>
      <c r="O5673" s="346">
        <v>46128.27737268519</v>
      </c>
      <c r="P5673" s="334" t="str">
        <f t="shared" si="4"/>
        <v>ﾔﾏﾄ:阪和Ｌ１(2級)</v>
      </c>
    </row>
    <row r="5674" ht="15.75" customHeight="1">
      <c r="A5674" s="335" t="s">
        <v>6821</v>
      </c>
      <c r="B5674" s="336">
        <v>46128.0</v>
      </c>
      <c r="C5674" s="349" t="s">
        <v>11</v>
      </c>
      <c r="D5674" s="349" t="s">
        <v>46</v>
      </c>
      <c r="E5674" s="337" t="str">
        <f t="shared" si="1"/>
        <v>ﾔﾏﾄ:阪和</v>
      </c>
      <c r="F5674" s="338" t="s">
        <v>111</v>
      </c>
      <c r="G5674" s="339" t="str">
        <f t="shared" si="2"/>
        <v>ﾔﾏﾄ:阪和Ｈ１(特A)</v>
      </c>
      <c r="H5674" s="340">
        <f t="shared" si="3"/>
        <v>56.1</v>
      </c>
      <c r="I5674" s="341">
        <v>0.5</v>
      </c>
      <c r="J5674" s="332">
        <f>IFERROR(__xludf.DUMMYFUNCTION("IF(IF(COUNTIF(P$2:P5673, P5674)=0, """", INDEX(H$2:H5673,
MAX(FILTER(ROW(H$2:H5673) - ROW(H$2) + 1, P$2:P5673 = P5674))))=""単価"","""",
IF(COUNTIF(P$2:P5673, P5674)=0, """", INDEX(H$2:H5673,
MAX(FILTER(ROW(H$2:H5673) - ROW(H$2) + 1, P$2:P5673 = P5674)))))"),55.6)</f>
        <v>55.6</v>
      </c>
      <c r="N5674" s="335" t="str">
        <f>IF(MAXIFS('単価履歴'!$O:$O,'単価履歴'!$E:$E,E5674,'単価履歴'!$F:$F,F5674)=O5674,"●","")</f>
        <v>●</v>
      </c>
      <c r="O5674" s="346">
        <v>46128.27737268519</v>
      </c>
      <c r="P5674" s="334" t="str">
        <f t="shared" si="4"/>
        <v>ﾔﾏﾄ:阪和Ｈ１(特A)</v>
      </c>
    </row>
    <row r="5675" ht="15.75" customHeight="1">
      <c r="A5675" s="335" t="s">
        <v>6822</v>
      </c>
      <c r="B5675" s="336">
        <v>46128.0</v>
      </c>
      <c r="C5675" s="349" t="s">
        <v>11</v>
      </c>
      <c r="D5675" s="349" t="s">
        <v>46</v>
      </c>
      <c r="E5675" s="337" t="str">
        <f t="shared" si="1"/>
        <v>ﾔﾏﾄ:阪和</v>
      </c>
      <c r="F5675" s="338" t="s">
        <v>573</v>
      </c>
      <c r="G5675" s="339" t="str">
        <f t="shared" si="2"/>
        <v>ﾔﾏﾄ:阪和Ｌ２(H4･級外･L1ﾊﾞﾗ)</v>
      </c>
      <c r="H5675" s="340">
        <f t="shared" si="3"/>
        <v>49.1</v>
      </c>
      <c r="I5675" s="341">
        <v>0.5</v>
      </c>
      <c r="J5675" s="332">
        <f>IFERROR(__xludf.DUMMYFUNCTION("IF(IF(COUNTIF(P$2:P5674, P5675)=0, """", INDEX(H$2:H5674,
MAX(FILTER(ROW(H$2:H5674) - ROW(H$2) + 1, P$2:P5674 = P5675))))=""単価"","""",
IF(COUNTIF(P$2:P5674, P5675)=0, """", INDEX(H$2:H5674,
MAX(FILTER(ROW(H$2:H5674) - ROW(H$2) + 1, P$2:P5674 = P5675)))))"),48.6)</f>
        <v>48.6</v>
      </c>
      <c r="N5675" s="335" t="str">
        <f>IF(MAXIFS('単価履歴'!$O:$O,'単価履歴'!$E:$E,E5675,'単価履歴'!$F:$F,F5675)=O5675,"●","")</f>
        <v>●</v>
      </c>
      <c r="O5675" s="346">
        <v>46128.27737268519</v>
      </c>
      <c r="P5675" s="334" t="str">
        <f t="shared" si="4"/>
        <v>ﾔﾏﾄ:阪和Ｌ２(H4･級外･L1ﾊﾞﾗ)</v>
      </c>
    </row>
    <row r="5676" ht="15.75" customHeight="1">
      <c r="A5676" s="335" t="s">
        <v>6823</v>
      </c>
      <c r="B5676" s="336">
        <v>46128.0</v>
      </c>
      <c r="C5676" s="349" t="s">
        <v>10</v>
      </c>
      <c r="D5676" s="349" t="s">
        <v>47</v>
      </c>
      <c r="E5676" s="337" t="str">
        <f t="shared" si="1"/>
        <v>岸和田:豊通</v>
      </c>
      <c r="F5676" s="338" t="s">
        <v>111</v>
      </c>
      <c r="G5676" s="339" t="str">
        <f t="shared" si="2"/>
        <v>岸和田:豊通Ｈ１(特A)</v>
      </c>
      <c r="H5676" s="340">
        <f t="shared" si="3"/>
        <v>58.5</v>
      </c>
      <c r="I5676" s="341">
        <v>0.5</v>
      </c>
      <c r="J5676" s="332">
        <f>IFERROR(__xludf.DUMMYFUNCTION("IF(IF(COUNTIF(P$2:P5675, P5676)=0, """", INDEX(H$2:H5675,
MAX(FILTER(ROW(H$2:H5675) - ROW(H$2) + 1, P$2:P5675 = P5676))))=""単価"","""",
IF(COUNTIF(P$2:P5675, P5676)=0, """", INDEX(H$2:H5675,
MAX(FILTER(ROW(H$2:H5675) - ROW(H$2) + 1, P$2:P5675 = P5676)))))"),58.0)</f>
        <v>58</v>
      </c>
      <c r="N5676" s="335" t="str">
        <f>IF(MAXIFS('単価履歴'!$O:$O,'単価履歴'!$E:$E,E5676,'単価履歴'!$F:$F,F5676)=O5676,"●","")</f>
        <v>●</v>
      </c>
      <c r="O5676" s="346">
        <v>46128.278136574074</v>
      </c>
      <c r="P5676" s="334" t="str">
        <f t="shared" si="4"/>
        <v>岸和田:豊通Ｈ１(特A)</v>
      </c>
    </row>
    <row r="5677" ht="15.75" customHeight="1">
      <c r="A5677" s="335" t="s">
        <v>6824</v>
      </c>
      <c r="B5677" s="336">
        <v>46128.0</v>
      </c>
      <c r="C5677" s="349" t="s">
        <v>10</v>
      </c>
      <c r="D5677" s="349" t="s">
        <v>47</v>
      </c>
      <c r="E5677" s="337" t="str">
        <f t="shared" si="1"/>
        <v>岸和田:豊通</v>
      </c>
      <c r="F5677" s="338" t="s">
        <v>116</v>
      </c>
      <c r="G5677" s="339" t="str">
        <f t="shared" si="2"/>
        <v>岸和田:豊通Ｈ２(特級)</v>
      </c>
      <c r="H5677" s="340">
        <f t="shared" si="3"/>
        <v>56.5</v>
      </c>
      <c r="I5677" s="341">
        <v>0.5</v>
      </c>
      <c r="J5677" s="332">
        <f>IFERROR(__xludf.DUMMYFUNCTION("IF(IF(COUNTIF(P$2:P5676, P5677)=0, """", INDEX(H$2:H5676,
MAX(FILTER(ROW(H$2:H5676) - ROW(H$2) + 1, P$2:P5676 = P5677))))=""単価"","""",
IF(COUNTIF(P$2:P5676, P5677)=0, """", INDEX(H$2:H5676,
MAX(FILTER(ROW(H$2:H5676) - ROW(H$2) + 1, P$2:P5676 = P5677)))))"),56.0)</f>
        <v>56</v>
      </c>
      <c r="N5677" s="335" t="str">
        <f>IF(MAXIFS('単価履歴'!$O:$O,'単価履歴'!$E:$E,E5677,'単価履歴'!$F:$F,F5677)=O5677,"●","")</f>
        <v>●</v>
      </c>
      <c r="O5677" s="346">
        <v>46128.278136574074</v>
      </c>
      <c r="P5677" s="334" t="str">
        <f t="shared" si="4"/>
        <v>岸和田:豊通Ｈ２(特級)</v>
      </c>
    </row>
    <row r="5678" ht="15.75" customHeight="1">
      <c r="A5678" s="335" t="s">
        <v>6825</v>
      </c>
      <c r="B5678" s="336">
        <v>46128.0</v>
      </c>
      <c r="C5678" s="349" t="s">
        <v>10</v>
      </c>
      <c r="D5678" s="349" t="s">
        <v>47</v>
      </c>
      <c r="E5678" s="337" t="str">
        <f t="shared" si="1"/>
        <v>岸和田:豊通</v>
      </c>
      <c r="F5678" s="338" t="s">
        <v>119</v>
      </c>
      <c r="G5678" s="339" t="str">
        <f t="shared" si="2"/>
        <v>岸和田:豊通Ｈ３(1級)</v>
      </c>
      <c r="H5678" s="340">
        <f t="shared" si="3"/>
        <v>54.5</v>
      </c>
      <c r="I5678" s="341">
        <v>0.5</v>
      </c>
      <c r="J5678" s="332">
        <f>IFERROR(__xludf.DUMMYFUNCTION("IF(IF(COUNTIF(P$2:P5677, P5678)=0, """", INDEX(H$2:H5677,
MAX(FILTER(ROW(H$2:H5677) - ROW(H$2) + 1, P$2:P5677 = P5678))))=""単価"","""",
IF(COUNTIF(P$2:P5677, P5678)=0, """", INDEX(H$2:H5677,
MAX(FILTER(ROW(H$2:H5677) - ROW(H$2) + 1, P$2:P5677 = P5678)))))"),54.0)</f>
        <v>54</v>
      </c>
      <c r="N5678" s="335" t="str">
        <f>IF(MAXIFS('単価履歴'!$O:$O,'単価履歴'!$E:$E,E5678,'単価履歴'!$F:$F,F5678)=O5678,"●","")</f>
        <v>●</v>
      </c>
      <c r="O5678" s="346">
        <v>46128.278136574074</v>
      </c>
      <c r="P5678" s="334" t="str">
        <f t="shared" si="4"/>
        <v>岸和田:豊通Ｈ３(1級)</v>
      </c>
    </row>
    <row r="5679" ht="15.75" customHeight="1">
      <c r="A5679" s="335" t="s">
        <v>6826</v>
      </c>
      <c r="B5679" s="336">
        <v>46128.0</v>
      </c>
      <c r="C5679" s="349" t="s">
        <v>10</v>
      </c>
      <c r="D5679" s="349" t="s">
        <v>47</v>
      </c>
      <c r="E5679" s="337" t="str">
        <f t="shared" si="1"/>
        <v>岸和田:豊通</v>
      </c>
      <c r="F5679" s="338" t="s">
        <v>122</v>
      </c>
      <c r="G5679" s="339" t="str">
        <f t="shared" si="2"/>
        <v>岸和田:豊通Ｌ１(2級)</v>
      </c>
      <c r="H5679" s="340">
        <f t="shared" si="3"/>
        <v>50</v>
      </c>
      <c r="I5679" s="341">
        <v>0.5</v>
      </c>
      <c r="J5679" s="332">
        <f>IFERROR(__xludf.DUMMYFUNCTION("IF(IF(COUNTIF(P$2:P5678, P5679)=0, """", INDEX(H$2:H5678,
MAX(FILTER(ROW(H$2:H5678) - ROW(H$2) + 1, P$2:P5678 = P5679))))=""単価"","""",
IF(COUNTIF(P$2:P5678, P5679)=0, """", INDEX(H$2:H5678,
MAX(FILTER(ROW(H$2:H5678) - ROW(H$2) + 1, P$2:P5678 = P5679)))))"),49.5)</f>
        <v>49.5</v>
      </c>
      <c r="N5679" s="335" t="str">
        <f>IF(MAXIFS('単価履歴'!$O:$O,'単価履歴'!$E:$E,E5679,'単価履歴'!$F:$F,F5679)=O5679,"●","")</f>
        <v>●</v>
      </c>
      <c r="O5679" s="346">
        <v>46128.278136574074</v>
      </c>
      <c r="P5679" s="334" t="str">
        <f t="shared" si="4"/>
        <v>岸和田:豊通Ｌ１(2級)</v>
      </c>
    </row>
    <row r="5680" ht="15.75" customHeight="1">
      <c r="A5680" s="335" t="s">
        <v>6827</v>
      </c>
      <c r="B5680" s="336">
        <v>46128.0</v>
      </c>
      <c r="C5680" s="349" t="s">
        <v>10</v>
      </c>
      <c r="D5680" s="349" t="s">
        <v>47</v>
      </c>
      <c r="E5680" s="337" t="str">
        <f t="shared" si="1"/>
        <v>岸和田:豊通</v>
      </c>
      <c r="F5680" s="338" t="s">
        <v>154</v>
      </c>
      <c r="G5680" s="339" t="str">
        <f t="shared" si="2"/>
        <v>岸和田:豊通ＣＰ Ａ</v>
      </c>
      <c r="H5680" s="340">
        <f t="shared" si="3"/>
        <v>53.2</v>
      </c>
      <c r="I5680" s="341">
        <v>0.5</v>
      </c>
      <c r="J5680" s="332">
        <f>IFERROR(__xludf.DUMMYFUNCTION("IF(IF(COUNTIF(P$2:P5679, P5680)=0, """", INDEX(H$2:H5679,
MAX(FILTER(ROW(H$2:H5679) - ROW(H$2) + 1, P$2:P5679 = P5680))))=""単価"","""",
IF(COUNTIF(P$2:P5679, P5680)=0, """", INDEX(H$2:H5679,
MAX(FILTER(ROW(H$2:H5679) - ROW(H$2) + 1, P$2:P5679 = P5680)))))"),52.7)</f>
        <v>52.7</v>
      </c>
      <c r="N5680" s="335" t="str">
        <f>IF(MAXIFS('単価履歴'!$O:$O,'単価履歴'!$E:$E,E5680,'単価履歴'!$F:$F,F5680)=O5680,"●","")</f>
        <v>●</v>
      </c>
      <c r="O5680" s="346">
        <v>46128.278136574074</v>
      </c>
      <c r="P5680" s="334" t="str">
        <f t="shared" si="4"/>
        <v>岸和田:豊通ＣＰ Ａ</v>
      </c>
    </row>
    <row r="5681" ht="15.75" customHeight="1">
      <c r="A5681" s="335" t="s">
        <v>6828</v>
      </c>
      <c r="B5681" s="336">
        <v>46128.0</v>
      </c>
      <c r="C5681" s="349" t="s">
        <v>10</v>
      </c>
      <c r="D5681" s="349" t="s">
        <v>46</v>
      </c>
      <c r="E5681" s="337" t="str">
        <f t="shared" si="1"/>
        <v>岸和田:阪和</v>
      </c>
      <c r="F5681" s="338" t="s">
        <v>149</v>
      </c>
      <c r="G5681" s="339" t="str">
        <f t="shared" si="2"/>
        <v>岸和田:阪和シュレＢ</v>
      </c>
      <c r="H5681" s="340">
        <f t="shared" si="3"/>
        <v>51.8</v>
      </c>
      <c r="I5681" s="341">
        <v>0.5</v>
      </c>
      <c r="J5681" s="332">
        <f>IFERROR(__xludf.DUMMYFUNCTION("IF(IF(COUNTIF(P$2:P5680, P5681)=0, """", INDEX(H$2:H5680,
MAX(FILTER(ROW(H$2:H5680) - ROW(H$2) + 1, P$2:P5680 = P5681))))=""単価"","""",
IF(COUNTIF(P$2:P5680, P5681)=0, """", INDEX(H$2:H5680,
MAX(FILTER(ROW(H$2:H5680) - ROW(H$2) + 1, P$2:P5680 = P5681)))))"),51.3)</f>
        <v>51.3</v>
      </c>
      <c r="N5681" s="335" t="str">
        <f>IF(MAXIFS('単価履歴'!$O:$O,'単価履歴'!$E:$E,E5681,'単価履歴'!$F:$F,F5681)=O5681,"●","")</f>
        <v>●</v>
      </c>
      <c r="O5681" s="346">
        <v>46128.27842592592</v>
      </c>
      <c r="P5681" s="334" t="str">
        <f t="shared" si="4"/>
        <v>岸和田:阪和シュレＢ</v>
      </c>
    </row>
    <row r="5682" ht="15.75" customHeight="1">
      <c r="A5682" s="335" t="s">
        <v>6829</v>
      </c>
      <c r="B5682" s="336">
        <v>46128.0</v>
      </c>
      <c r="C5682" s="349" t="s">
        <v>10</v>
      </c>
      <c r="D5682" s="349" t="s">
        <v>539</v>
      </c>
      <c r="E5682" s="337" t="str">
        <f t="shared" si="1"/>
        <v>岸和田:岡谷鋼機</v>
      </c>
      <c r="F5682" s="338" t="s">
        <v>111</v>
      </c>
      <c r="G5682" s="339" t="str">
        <f t="shared" si="2"/>
        <v>岸和田:岡谷鋼機Ｈ１(特A)</v>
      </c>
      <c r="H5682" s="340">
        <f t="shared" si="3"/>
        <v>58.2</v>
      </c>
      <c r="I5682" s="341">
        <v>0.5</v>
      </c>
      <c r="J5682" s="332">
        <f>IFERROR(__xludf.DUMMYFUNCTION("IF(IF(COUNTIF(P$2:P5681, P5682)=0, """", INDEX(H$2:H5681,
MAX(FILTER(ROW(H$2:H5681) - ROW(H$2) + 1, P$2:P5681 = P5682))))=""単価"","""",
IF(COUNTIF(P$2:P5681, P5682)=0, """", INDEX(H$2:H5681,
MAX(FILTER(ROW(H$2:H5681) - ROW(H$2) + 1, P$2:P5681 = P5682)))))"),57.7)</f>
        <v>57.7</v>
      </c>
      <c r="N5682" s="335" t="str">
        <f>IF(MAXIFS('単価履歴'!$O:$O,'単価履歴'!$E:$E,E5682,'単価履歴'!$F:$F,F5682)=O5682,"●","")</f>
        <v>●</v>
      </c>
      <c r="O5682" s="346">
        <v>46128.27861111111</v>
      </c>
      <c r="P5682" s="334" t="str">
        <f t="shared" si="4"/>
        <v>岸和田:岡谷鋼機Ｈ１(特A)</v>
      </c>
    </row>
    <row r="5683" ht="15.75" customHeight="1">
      <c r="A5683" s="335" t="s">
        <v>6830</v>
      </c>
      <c r="B5683" s="336">
        <v>46128.0</v>
      </c>
      <c r="C5683" s="349" t="s">
        <v>10</v>
      </c>
      <c r="D5683" s="349" t="s">
        <v>539</v>
      </c>
      <c r="E5683" s="337" t="str">
        <f t="shared" si="1"/>
        <v>岸和田:岡谷鋼機</v>
      </c>
      <c r="F5683" s="338" t="s">
        <v>116</v>
      </c>
      <c r="G5683" s="339" t="str">
        <f t="shared" si="2"/>
        <v>岸和田:岡谷鋼機Ｈ２(特級)</v>
      </c>
      <c r="H5683" s="340">
        <f t="shared" si="3"/>
        <v>56.2</v>
      </c>
      <c r="I5683" s="341">
        <v>0.5</v>
      </c>
      <c r="J5683" s="332">
        <f>IFERROR(__xludf.DUMMYFUNCTION("IF(IF(COUNTIF(P$2:P5682, P5683)=0, """", INDEX(H$2:H5682,
MAX(FILTER(ROW(H$2:H5682) - ROW(H$2) + 1, P$2:P5682 = P5683))))=""単価"","""",
IF(COUNTIF(P$2:P5682, P5683)=0, """", INDEX(H$2:H5682,
MAX(FILTER(ROW(H$2:H5682) - ROW(H$2) + 1, P$2:P5682 = P5683)))))"),55.7)</f>
        <v>55.7</v>
      </c>
      <c r="N5683" s="335" t="str">
        <f>IF(MAXIFS('単価履歴'!$O:$O,'単価履歴'!$E:$E,E5683,'単価履歴'!$F:$F,F5683)=O5683,"●","")</f>
        <v>●</v>
      </c>
      <c r="O5683" s="346">
        <v>46128.27861111111</v>
      </c>
      <c r="P5683" s="334" t="str">
        <f t="shared" si="4"/>
        <v>岸和田:岡谷鋼機Ｈ２(特級)</v>
      </c>
    </row>
    <row r="5684" ht="15.75" customHeight="1">
      <c r="A5684" s="335" t="s">
        <v>6831</v>
      </c>
      <c r="B5684" s="336">
        <v>46128.0</v>
      </c>
      <c r="C5684" s="349" t="s">
        <v>10</v>
      </c>
      <c r="D5684" s="349" t="s">
        <v>539</v>
      </c>
      <c r="E5684" s="337" t="str">
        <f t="shared" si="1"/>
        <v>岸和田:岡谷鋼機</v>
      </c>
      <c r="F5684" s="338" t="s">
        <v>119</v>
      </c>
      <c r="G5684" s="339" t="str">
        <f t="shared" si="2"/>
        <v>岸和田:岡谷鋼機Ｈ３(1級)</v>
      </c>
      <c r="H5684" s="340">
        <f t="shared" si="3"/>
        <v>54.2</v>
      </c>
      <c r="I5684" s="341">
        <v>0.5</v>
      </c>
      <c r="J5684" s="332">
        <f>IFERROR(__xludf.DUMMYFUNCTION("IF(IF(COUNTIF(P$2:P5683, P5684)=0, """", INDEX(H$2:H5683,
MAX(FILTER(ROW(H$2:H5683) - ROW(H$2) + 1, P$2:P5683 = P5684))))=""単価"","""",
IF(COUNTIF(P$2:P5683, P5684)=0, """", INDEX(H$2:H5683,
MAX(FILTER(ROW(H$2:H5683) - ROW(H$2) + 1, P$2:P5683 = P5684)))))"),53.7)</f>
        <v>53.7</v>
      </c>
      <c r="N5684" s="335" t="str">
        <f>IF(MAXIFS('単価履歴'!$O:$O,'単価履歴'!$E:$E,E5684,'単価履歴'!$F:$F,F5684)=O5684,"●","")</f>
        <v>●</v>
      </c>
      <c r="O5684" s="346">
        <v>46128.27861111111</v>
      </c>
      <c r="P5684" s="334" t="str">
        <f t="shared" si="4"/>
        <v>岸和田:岡谷鋼機Ｈ３(1級)</v>
      </c>
    </row>
    <row r="5685" ht="15.75" customHeight="1">
      <c r="A5685" s="335" t="s">
        <v>6832</v>
      </c>
      <c r="B5685" s="336">
        <v>46128.0</v>
      </c>
      <c r="C5685" s="349" t="s">
        <v>14</v>
      </c>
      <c r="D5685" s="349" t="s">
        <v>46</v>
      </c>
      <c r="E5685" s="337" t="str">
        <f t="shared" si="1"/>
        <v>愛知:阪和</v>
      </c>
      <c r="F5685" s="338" t="s">
        <v>1199</v>
      </c>
      <c r="G5685" s="339" t="str">
        <f t="shared" si="2"/>
        <v>愛知:阪和ＨＳ１(単体H1/電特A/HS))</v>
      </c>
      <c r="H5685" s="340">
        <f t="shared" si="3"/>
        <v>55.7</v>
      </c>
      <c r="I5685" s="341">
        <v>0.5</v>
      </c>
      <c r="J5685" s="332">
        <f>IFERROR(__xludf.DUMMYFUNCTION("IF(IF(COUNTIF(P$2:P5684, P5685)=0, """", INDEX(H$2:H5684,
MAX(FILTER(ROW(H$2:H5684) - ROW(H$2) + 1, P$2:P5684 = P5685))))=""単価"","""",
IF(COUNTIF(P$2:P5684, P5685)=0, """", INDEX(H$2:H5684,
MAX(FILTER(ROW(H$2:H5684) - ROW(H$2) + 1, P$2:P5684 = P5685)))))"),55.2)</f>
        <v>55.2</v>
      </c>
      <c r="N5685" s="335" t="str">
        <f>IF(MAXIFS('単価履歴'!$O:$O,'単価履歴'!$E:$E,E5685,'単価履歴'!$F:$F,F5685)=O5685,"●","")</f>
        <v>●</v>
      </c>
      <c r="O5685" s="346">
        <v>46128.28125</v>
      </c>
      <c r="P5685" s="334" t="str">
        <f t="shared" si="4"/>
        <v>愛知:阪和ＨＳ１(単体H1/電特A/HS))</v>
      </c>
    </row>
    <row r="5686" ht="15.75" customHeight="1">
      <c r="A5686" s="335" t="s">
        <v>6833</v>
      </c>
      <c r="B5686" s="336">
        <v>46128.0</v>
      </c>
      <c r="C5686" s="349" t="s">
        <v>14</v>
      </c>
      <c r="D5686" s="349" t="s">
        <v>46</v>
      </c>
      <c r="E5686" s="337" t="str">
        <f t="shared" si="1"/>
        <v>愛知:阪和</v>
      </c>
      <c r="F5686" s="338" t="s">
        <v>101</v>
      </c>
      <c r="G5686" s="339" t="str">
        <f t="shared" si="2"/>
        <v>愛知:阪和ＨＳ２</v>
      </c>
      <c r="H5686" s="340">
        <f t="shared" si="3"/>
        <v>55.2</v>
      </c>
      <c r="I5686" s="341">
        <v>0.5</v>
      </c>
      <c r="J5686" s="332">
        <f>IFERROR(__xludf.DUMMYFUNCTION("IF(IF(COUNTIF(P$2:P5685, P5686)=0, """", INDEX(H$2:H5685,
MAX(FILTER(ROW(H$2:H5685) - ROW(H$2) + 1, P$2:P5685 = P5686))))=""単価"","""",
IF(COUNTIF(P$2:P5685, P5686)=0, """", INDEX(H$2:H5685,
MAX(FILTER(ROW(H$2:H5685) - ROW(H$2) + 1, P$2:P5685 = P5686)))))"),54.7)</f>
        <v>54.7</v>
      </c>
      <c r="N5686" s="335" t="str">
        <f>IF(MAXIFS('単価履歴'!$O:$O,'単価履歴'!$E:$E,E5686,'単価履歴'!$F:$F,F5686)=O5686,"●","")</f>
        <v>●</v>
      </c>
      <c r="O5686" s="346">
        <v>46128.28125</v>
      </c>
      <c r="P5686" s="334" t="str">
        <f t="shared" si="4"/>
        <v>愛知:阪和ＨＳ２</v>
      </c>
    </row>
    <row r="5687" ht="15.75" customHeight="1">
      <c r="A5687" s="335" t="s">
        <v>6834</v>
      </c>
      <c r="B5687" s="336">
        <v>46128.0</v>
      </c>
      <c r="C5687" s="349" t="s">
        <v>14</v>
      </c>
      <c r="D5687" s="349" t="s">
        <v>46</v>
      </c>
      <c r="E5687" s="337" t="str">
        <f t="shared" si="1"/>
        <v>愛知:阪和</v>
      </c>
      <c r="F5687" s="338" t="s">
        <v>111</v>
      </c>
      <c r="G5687" s="339" t="str">
        <f t="shared" si="2"/>
        <v>愛知:阪和Ｈ１(特A)</v>
      </c>
      <c r="H5687" s="340">
        <f t="shared" si="3"/>
        <v>50.7</v>
      </c>
      <c r="I5687" s="341">
        <v>0.5</v>
      </c>
      <c r="J5687" s="332">
        <f>IFERROR(__xludf.DUMMYFUNCTION("IF(IF(COUNTIF(P$2:P5686, P5687)=0, """", INDEX(H$2:H5686,
MAX(FILTER(ROW(H$2:H5686) - ROW(H$2) + 1, P$2:P5686 = P5687))))=""単価"","""",
IF(COUNTIF(P$2:P5686, P5687)=0, """", INDEX(H$2:H5686,
MAX(FILTER(ROW(H$2:H5686) - ROW(H$2) + 1, P$2:P5686 = P5687)))))"),50.2)</f>
        <v>50.2</v>
      </c>
      <c r="N5687" s="335" t="str">
        <f>IF(MAXIFS('単価履歴'!$O:$O,'単価履歴'!$E:$E,E5687,'単価履歴'!$F:$F,F5687)=O5687,"●","")</f>
        <v>●</v>
      </c>
      <c r="O5687" s="346">
        <v>46128.28125</v>
      </c>
      <c r="P5687" s="334" t="str">
        <f t="shared" si="4"/>
        <v>愛知:阪和Ｈ１(特A)</v>
      </c>
    </row>
    <row r="5688" ht="15.75" customHeight="1">
      <c r="A5688" s="335" t="s">
        <v>6835</v>
      </c>
      <c r="B5688" s="336">
        <v>46128.0</v>
      </c>
      <c r="C5688" s="349" t="s">
        <v>14</v>
      </c>
      <c r="D5688" s="349" t="s">
        <v>46</v>
      </c>
      <c r="E5688" s="337" t="str">
        <f t="shared" si="1"/>
        <v>愛知:阪和</v>
      </c>
      <c r="F5688" s="338" t="s">
        <v>116</v>
      </c>
      <c r="G5688" s="339" t="str">
        <f t="shared" si="2"/>
        <v>愛知:阪和Ｈ２(特級)</v>
      </c>
      <c r="H5688" s="340">
        <f t="shared" si="3"/>
        <v>50.2</v>
      </c>
      <c r="I5688" s="341">
        <v>0.5</v>
      </c>
      <c r="J5688" s="332">
        <f>IFERROR(__xludf.DUMMYFUNCTION("IF(IF(COUNTIF(P$2:P5687, P5688)=0, """", INDEX(H$2:H5687,
MAX(FILTER(ROW(H$2:H5687) - ROW(H$2) + 1, P$2:P5687 = P5688))))=""単価"","""",
IF(COUNTIF(P$2:P5687, P5688)=0, """", INDEX(H$2:H5687,
MAX(FILTER(ROW(H$2:H5687) - ROW(H$2) + 1, P$2:P5687 = P5688)))))"),49.7)</f>
        <v>49.7</v>
      </c>
      <c r="N5688" s="335" t="str">
        <f>IF(MAXIFS('単価履歴'!$O:$O,'単価履歴'!$E:$E,E5688,'単価履歴'!$F:$F,F5688)=O5688,"●","")</f>
        <v>●</v>
      </c>
      <c r="O5688" s="346">
        <v>46128.28125</v>
      </c>
      <c r="P5688" s="334" t="str">
        <f t="shared" si="4"/>
        <v>愛知:阪和Ｈ２(特級)</v>
      </c>
    </row>
    <row r="5689" ht="15.75" customHeight="1">
      <c r="A5689" s="335" t="s">
        <v>6836</v>
      </c>
      <c r="B5689" s="336">
        <v>46128.0</v>
      </c>
      <c r="C5689" s="349" t="s">
        <v>14</v>
      </c>
      <c r="D5689" s="349" t="s">
        <v>46</v>
      </c>
      <c r="E5689" s="337" t="str">
        <f t="shared" si="1"/>
        <v>愛知:阪和</v>
      </c>
      <c r="F5689" s="338" t="s">
        <v>119</v>
      </c>
      <c r="G5689" s="339" t="str">
        <f t="shared" si="2"/>
        <v>愛知:阪和Ｈ３(1級)</v>
      </c>
      <c r="H5689" s="340">
        <f t="shared" si="3"/>
        <v>49.2</v>
      </c>
      <c r="I5689" s="341">
        <v>0.5</v>
      </c>
      <c r="J5689" s="332">
        <f>IFERROR(__xludf.DUMMYFUNCTION("IF(IF(COUNTIF(P$2:P5688, P5689)=0, """", INDEX(H$2:H5688,
MAX(FILTER(ROW(H$2:H5688) - ROW(H$2) + 1, P$2:P5688 = P5689))))=""単価"","""",
IF(COUNTIF(P$2:P5688, P5689)=0, """", INDEX(H$2:H5688,
MAX(FILTER(ROW(H$2:H5688) - ROW(H$2) + 1, P$2:P5688 = P5689)))))"),48.7)</f>
        <v>48.7</v>
      </c>
      <c r="N5689" s="335" t="str">
        <f>IF(MAXIFS('単価履歴'!$O:$O,'単価履歴'!$E:$E,E5689,'単価履歴'!$F:$F,F5689)=O5689,"●","")</f>
        <v>●</v>
      </c>
      <c r="O5689" s="346">
        <v>46128.28125</v>
      </c>
      <c r="P5689" s="334" t="str">
        <f t="shared" si="4"/>
        <v>愛知:阪和Ｈ３(1級)</v>
      </c>
    </row>
    <row r="5690" ht="15.75" customHeight="1">
      <c r="A5690" s="335" t="s">
        <v>6837</v>
      </c>
      <c r="B5690" s="336">
        <v>46128.0</v>
      </c>
      <c r="C5690" s="349" t="s">
        <v>14</v>
      </c>
      <c r="D5690" s="349" t="s">
        <v>46</v>
      </c>
      <c r="E5690" s="337" t="str">
        <f t="shared" si="1"/>
        <v>愛知:阪和</v>
      </c>
      <c r="F5690" s="338" t="s">
        <v>573</v>
      </c>
      <c r="G5690" s="339" t="str">
        <f t="shared" si="2"/>
        <v>愛知:阪和Ｌ２(H4･級外･L1ﾊﾞﾗ)</v>
      </c>
      <c r="H5690" s="340">
        <f t="shared" si="3"/>
        <v>45.8</v>
      </c>
      <c r="I5690" s="341">
        <v>0.5</v>
      </c>
      <c r="J5690" s="332">
        <f>IFERROR(__xludf.DUMMYFUNCTION("IF(IF(COUNTIF(P$2:P5689, P5690)=0, """", INDEX(H$2:H5689,
MAX(FILTER(ROW(H$2:H5689) - ROW(H$2) + 1, P$2:P5689 = P5690))))=""単価"","""",
IF(COUNTIF(P$2:P5689, P5690)=0, """", INDEX(H$2:H5689,
MAX(FILTER(ROW(H$2:H5689) - ROW(H$2) + 1, P$2:P5689 = P5690)))))"),45.3)</f>
        <v>45.3</v>
      </c>
      <c r="N5690" s="335" t="str">
        <f>IF(MAXIFS('単価履歴'!$O:$O,'単価履歴'!$E:$E,E5690,'単価履歴'!$F:$F,F5690)=O5690,"●","")</f>
        <v>●</v>
      </c>
      <c r="O5690" s="346">
        <v>46128.28125</v>
      </c>
      <c r="P5690" s="334" t="str">
        <f t="shared" si="4"/>
        <v>愛知:阪和Ｌ２(H4･級外･L1ﾊﾞﾗ)</v>
      </c>
    </row>
    <row r="5691" ht="15.75" customHeight="1">
      <c r="A5691" s="335" t="s">
        <v>6838</v>
      </c>
      <c r="B5691" s="336">
        <v>46128.0</v>
      </c>
      <c r="C5691" s="349" t="s">
        <v>14</v>
      </c>
      <c r="D5691" s="349" t="s">
        <v>46</v>
      </c>
      <c r="E5691" s="337" t="str">
        <f t="shared" si="1"/>
        <v>愛知:阪和</v>
      </c>
      <c r="F5691" s="338" t="s">
        <v>130</v>
      </c>
      <c r="G5691" s="339" t="str">
        <f t="shared" si="2"/>
        <v>愛知:阪和新断Ａ</v>
      </c>
      <c r="H5691" s="340">
        <f t="shared" si="3"/>
        <v>56.5</v>
      </c>
      <c r="I5691" s="341">
        <v>0.5</v>
      </c>
      <c r="J5691" s="332">
        <f>IFERROR(__xludf.DUMMYFUNCTION("IF(IF(COUNTIF(P$2:P5690, P5691)=0, """", INDEX(H$2:H5690,
MAX(FILTER(ROW(H$2:H5690) - ROW(H$2) + 1, P$2:P5690 = P5691))))=""単価"","""",
IF(COUNTIF(P$2:P5690, P5691)=0, """", INDEX(H$2:H5690,
MAX(FILTER(ROW(H$2:H5690) - ROW(H$2) + 1, P$2:P5690 = P5691)))))"),56.0)</f>
        <v>56</v>
      </c>
      <c r="N5691" s="335" t="str">
        <f>IF(MAXIFS('単価履歴'!$O:$O,'単価履歴'!$E:$E,E5691,'単価履歴'!$F:$F,F5691)=O5691,"●","")</f>
        <v>●</v>
      </c>
      <c r="O5691" s="346">
        <v>46128.28125</v>
      </c>
      <c r="P5691" s="334" t="str">
        <f t="shared" si="4"/>
        <v>愛知:阪和新断Ａ</v>
      </c>
    </row>
    <row r="5692" ht="15.75" customHeight="1">
      <c r="A5692" s="335" t="s">
        <v>6839</v>
      </c>
      <c r="B5692" s="336">
        <v>46128.0</v>
      </c>
      <c r="C5692" s="349" t="s">
        <v>14</v>
      </c>
      <c r="D5692" s="349" t="s">
        <v>46</v>
      </c>
      <c r="E5692" s="337" t="str">
        <f t="shared" si="1"/>
        <v>愛知:阪和</v>
      </c>
      <c r="F5692" s="338" t="s">
        <v>131</v>
      </c>
      <c r="G5692" s="339" t="str">
        <f t="shared" si="2"/>
        <v>愛知:阪和新断Ｂ</v>
      </c>
      <c r="H5692" s="340">
        <f t="shared" si="3"/>
        <v>55.5</v>
      </c>
      <c r="I5692" s="341">
        <v>0.5</v>
      </c>
      <c r="J5692" s="332">
        <f>IFERROR(__xludf.DUMMYFUNCTION("IF(IF(COUNTIF(P$2:P5691, P5692)=0, """", INDEX(H$2:H5691,
MAX(FILTER(ROW(H$2:H5691) - ROW(H$2) + 1, P$2:P5691 = P5692))))=""単価"","""",
IF(COUNTIF(P$2:P5691, P5692)=0, """", INDEX(H$2:H5691,
MAX(FILTER(ROW(H$2:H5691) - ROW(H$2) + 1, P$2:P5691 = P5692)))))"),55.0)</f>
        <v>55</v>
      </c>
      <c r="N5692" s="335" t="str">
        <f>IF(MAXIFS('単価履歴'!$O:$O,'単価履歴'!$E:$E,E5692,'単価履歴'!$F:$F,F5692)=O5692,"●","")</f>
        <v>●</v>
      </c>
      <c r="O5692" s="346">
        <v>46128.28125</v>
      </c>
      <c r="P5692" s="334" t="str">
        <f t="shared" si="4"/>
        <v>愛知:阪和新断Ｂ</v>
      </c>
    </row>
    <row r="5693" ht="15.75" customHeight="1">
      <c r="A5693" s="335" t="s">
        <v>6840</v>
      </c>
      <c r="B5693" s="336">
        <v>46128.0</v>
      </c>
      <c r="C5693" s="349" t="s">
        <v>14</v>
      </c>
      <c r="D5693" s="349" t="s">
        <v>46</v>
      </c>
      <c r="E5693" s="337" t="str">
        <f t="shared" si="1"/>
        <v>愛知:阪和</v>
      </c>
      <c r="F5693" s="338" t="s">
        <v>145</v>
      </c>
      <c r="G5693" s="339" t="str">
        <f t="shared" si="2"/>
        <v>愛知:阪和シュレＡ</v>
      </c>
      <c r="H5693" s="340">
        <f t="shared" si="3"/>
        <v>56.5</v>
      </c>
      <c r="I5693" s="341">
        <v>0.5</v>
      </c>
      <c r="J5693" s="332">
        <f>IFERROR(__xludf.DUMMYFUNCTION("IF(IF(COUNTIF(P$2:P5692, P5693)=0, """", INDEX(H$2:H5692,
MAX(FILTER(ROW(H$2:H5692) - ROW(H$2) + 1, P$2:P5692 = P5693))))=""単価"","""",
IF(COUNTIF(P$2:P5692, P5693)=0, """", INDEX(H$2:H5692,
MAX(FILTER(ROW(H$2:H5692) - ROW(H$2) + 1, P$2:P5692 = P5693)))))"),56.0)</f>
        <v>56</v>
      </c>
      <c r="N5693" s="335" t="str">
        <f>IF(MAXIFS('単価履歴'!$O:$O,'単価履歴'!$E:$E,E5693,'単価履歴'!$F:$F,F5693)=O5693,"●","")</f>
        <v>●</v>
      </c>
      <c r="O5693" s="346">
        <v>46128.28125</v>
      </c>
      <c r="P5693" s="334" t="str">
        <f t="shared" si="4"/>
        <v>愛知:阪和シュレＡ</v>
      </c>
    </row>
    <row r="5694" ht="15.75" customHeight="1">
      <c r="A5694" s="335" t="s">
        <v>6841</v>
      </c>
      <c r="B5694" s="336">
        <v>46128.0</v>
      </c>
      <c r="C5694" s="349" t="s">
        <v>14</v>
      </c>
      <c r="D5694" s="349" t="s">
        <v>48</v>
      </c>
      <c r="E5694" s="337" t="str">
        <f t="shared" si="1"/>
        <v>愛知:ナベ</v>
      </c>
      <c r="F5694" s="338" t="s">
        <v>1199</v>
      </c>
      <c r="G5694" s="339" t="str">
        <f t="shared" si="2"/>
        <v>愛知:ナベＨＳ１(単体H1/電特A/HS))</v>
      </c>
      <c r="H5694" s="340">
        <f t="shared" si="3"/>
        <v>53</v>
      </c>
      <c r="I5694" s="341">
        <v>0.5</v>
      </c>
      <c r="J5694" s="332">
        <f>IFERROR(__xludf.DUMMYFUNCTION("IF(IF(COUNTIF(P$2:P5693, P5694)=0, """", INDEX(H$2:H5693,
MAX(FILTER(ROW(H$2:H5693) - ROW(H$2) + 1, P$2:P5693 = P5694))))=""単価"","""",
IF(COUNTIF(P$2:P5693, P5694)=0, """", INDEX(H$2:H5693,
MAX(FILTER(ROW(H$2:H5693) - ROW(H$2) + 1, P$2:P5693 = P5694)))))"),52.5)</f>
        <v>52.5</v>
      </c>
      <c r="N5694" s="335" t="str">
        <f>IF(MAXIFS('単価履歴'!$O:$O,'単価履歴'!$E:$E,E5694,'単価履歴'!$F:$F,F5694)=O5694,"●","")</f>
        <v>●</v>
      </c>
      <c r="O5694" s="346">
        <v>46128.281423611115</v>
      </c>
      <c r="P5694" s="334" t="str">
        <f t="shared" si="4"/>
        <v>愛知:ナベＨＳ１(単体H1/電特A/HS))</v>
      </c>
    </row>
    <row r="5695" ht="15.75" customHeight="1">
      <c r="A5695" s="335" t="s">
        <v>6842</v>
      </c>
      <c r="B5695" s="336">
        <v>46128.0</v>
      </c>
      <c r="C5695" s="349" t="s">
        <v>14</v>
      </c>
      <c r="D5695" s="349" t="s">
        <v>48</v>
      </c>
      <c r="E5695" s="337" t="str">
        <f t="shared" si="1"/>
        <v>愛知:ナベ</v>
      </c>
      <c r="F5695" s="338" t="s">
        <v>101</v>
      </c>
      <c r="G5695" s="339" t="str">
        <f t="shared" si="2"/>
        <v>愛知:ナベＨＳ２</v>
      </c>
      <c r="H5695" s="340">
        <f t="shared" si="3"/>
        <v>52.5</v>
      </c>
      <c r="I5695" s="341">
        <v>0.5</v>
      </c>
      <c r="J5695" s="332">
        <f>IFERROR(__xludf.DUMMYFUNCTION("IF(IF(COUNTIF(P$2:P5694, P5695)=0, """", INDEX(H$2:H5694,
MAX(FILTER(ROW(H$2:H5694) - ROW(H$2) + 1, P$2:P5694 = P5695))))=""単価"","""",
IF(COUNTIF(P$2:P5694, P5695)=0, """", INDEX(H$2:H5694,
MAX(FILTER(ROW(H$2:H5694) - ROW(H$2) + 1, P$2:P5694 = P5695)))))"),52.0)</f>
        <v>52</v>
      </c>
      <c r="N5695" s="335" t="str">
        <f>IF(MAXIFS('単価履歴'!$O:$O,'単価履歴'!$E:$E,E5695,'単価履歴'!$F:$F,F5695)=O5695,"●","")</f>
        <v>●</v>
      </c>
      <c r="O5695" s="346">
        <v>46128.281423611115</v>
      </c>
      <c r="P5695" s="334" t="str">
        <f t="shared" si="4"/>
        <v>愛知:ナベＨＳ２</v>
      </c>
    </row>
    <row r="5696" ht="15.75" customHeight="1">
      <c r="A5696" s="335" t="s">
        <v>6843</v>
      </c>
      <c r="B5696" s="336">
        <v>46128.0</v>
      </c>
      <c r="C5696" s="349" t="s">
        <v>14</v>
      </c>
      <c r="D5696" s="349" t="s">
        <v>48</v>
      </c>
      <c r="E5696" s="337" t="str">
        <f t="shared" si="1"/>
        <v>愛知:ナベ</v>
      </c>
      <c r="F5696" s="338" t="s">
        <v>111</v>
      </c>
      <c r="G5696" s="339" t="str">
        <f t="shared" si="2"/>
        <v>愛知:ナベＨ１(特A)</v>
      </c>
      <c r="H5696" s="340">
        <f t="shared" si="3"/>
        <v>52</v>
      </c>
      <c r="I5696" s="341">
        <v>0.5</v>
      </c>
      <c r="J5696" s="332">
        <f>IFERROR(__xludf.DUMMYFUNCTION("IF(IF(COUNTIF(P$2:P5695, P5696)=0, """", INDEX(H$2:H5695,
MAX(FILTER(ROW(H$2:H5695) - ROW(H$2) + 1, P$2:P5695 = P5696))))=""単価"","""",
IF(COUNTIF(P$2:P5695, P5696)=0, """", INDEX(H$2:H5695,
MAX(FILTER(ROW(H$2:H5695) - ROW(H$2) + 1, P$2:P5695 = P5696)))))"),51.5)</f>
        <v>51.5</v>
      </c>
      <c r="N5696" s="335" t="str">
        <f>IF(MAXIFS('単価履歴'!$O:$O,'単価履歴'!$E:$E,E5696,'単価履歴'!$F:$F,F5696)=O5696,"●","")</f>
        <v>●</v>
      </c>
      <c r="O5696" s="346">
        <v>46128.281423611115</v>
      </c>
      <c r="P5696" s="334" t="str">
        <f t="shared" si="4"/>
        <v>愛知:ナベＨ１(特A)</v>
      </c>
    </row>
    <row r="5697" ht="15.75" customHeight="1">
      <c r="A5697" s="335" t="s">
        <v>6844</v>
      </c>
      <c r="B5697" s="336">
        <v>46128.0</v>
      </c>
      <c r="C5697" s="349" t="s">
        <v>14</v>
      </c>
      <c r="D5697" s="349" t="s">
        <v>48</v>
      </c>
      <c r="E5697" s="337" t="str">
        <f t="shared" si="1"/>
        <v>愛知:ナベ</v>
      </c>
      <c r="F5697" s="338" t="s">
        <v>116</v>
      </c>
      <c r="G5697" s="339" t="str">
        <f t="shared" si="2"/>
        <v>愛知:ナベＨ２(特級)</v>
      </c>
      <c r="H5697" s="340">
        <f t="shared" si="3"/>
        <v>50.4</v>
      </c>
      <c r="I5697" s="341">
        <v>0.5</v>
      </c>
      <c r="J5697" s="332">
        <f>IFERROR(__xludf.DUMMYFUNCTION("IF(IF(COUNTIF(P$2:P5696, P5697)=0, """", INDEX(H$2:H5696,
MAX(FILTER(ROW(H$2:H5696) - ROW(H$2) + 1, P$2:P5696 = P5697))))=""単価"","""",
IF(COUNTIF(P$2:P5696, P5697)=0, """", INDEX(H$2:H5696,
MAX(FILTER(ROW(H$2:H5696) - ROW(H$2) + 1, P$2:P5696 = P5697)))))"),49.9)</f>
        <v>49.9</v>
      </c>
      <c r="N5697" s="335" t="str">
        <f>IF(MAXIFS('単価履歴'!$O:$O,'単価履歴'!$E:$E,E5697,'単価履歴'!$F:$F,F5697)=O5697,"●","")</f>
        <v>●</v>
      </c>
      <c r="O5697" s="346">
        <v>46128.281423611115</v>
      </c>
      <c r="P5697" s="334" t="str">
        <f t="shared" si="4"/>
        <v>愛知:ナベＨ２(特級)</v>
      </c>
    </row>
    <row r="5698" ht="15.75" customHeight="1">
      <c r="A5698" s="335" t="s">
        <v>6845</v>
      </c>
      <c r="B5698" s="336">
        <v>46128.0</v>
      </c>
      <c r="C5698" s="349" t="s">
        <v>14</v>
      </c>
      <c r="D5698" s="349" t="s">
        <v>48</v>
      </c>
      <c r="E5698" s="337" t="str">
        <f t="shared" si="1"/>
        <v>愛知:ナベ</v>
      </c>
      <c r="F5698" s="338" t="s">
        <v>119</v>
      </c>
      <c r="G5698" s="339" t="str">
        <f t="shared" si="2"/>
        <v>愛知:ナベＨ３(1級)</v>
      </c>
      <c r="H5698" s="340">
        <f t="shared" si="3"/>
        <v>49.4</v>
      </c>
      <c r="I5698" s="341">
        <v>0.5</v>
      </c>
      <c r="J5698" s="332">
        <f>IFERROR(__xludf.DUMMYFUNCTION("IF(IF(COUNTIF(P$2:P5697, P5698)=0, """", INDEX(H$2:H5697,
MAX(FILTER(ROW(H$2:H5697) - ROW(H$2) + 1, P$2:P5697 = P5698))))=""単価"","""",
IF(COUNTIF(P$2:P5697, P5698)=0, """", INDEX(H$2:H5697,
MAX(FILTER(ROW(H$2:H5697) - ROW(H$2) + 1, P$2:P5697 = P5698)))))"),48.9)</f>
        <v>48.9</v>
      </c>
      <c r="N5698" s="335" t="str">
        <f>IF(MAXIFS('単価履歴'!$O:$O,'単価履歴'!$E:$E,E5698,'単価履歴'!$F:$F,F5698)=O5698,"●","")</f>
        <v>●</v>
      </c>
      <c r="O5698" s="346">
        <v>46128.281423611115</v>
      </c>
      <c r="P5698" s="334" t="str">
        <f t="shared" si="4"/>
        <v>愛知:ナベＨ３(1級)</v>
      </c>
    </row>
    <row r="5699" ht="15.75" customHeight="1">
      <c r="A5699" s="335" t="s">
        <v>6846</v>
      </c>
      <c r="B5699" s="336">
        <v>46128.0</v>
      </c>
      <c r="C5699" s="349" t="s">
        <v>14</v>
      </c>
      <c r="D5699" s="349" t="s">
        <v>48</v>
      </c>
      <c r="E5699" s="337" t="str">
        <f t="shared" si="1"/>
        <v>愛知:ナベ</v>
      </c>
      <c r="F5699" s="338" t="s">
        <v>573</v>
      </c>
      <c r="G5699" s="339" t="str">
        <f t="shared" si="2"/>
        <v>愛知:ナベＬ２(H4･級外･L1ﾊﾞﾗ)</v>
      </c>
      <c r="H5699" s="340">
        <f t="shared" si="3"/>
        <v>45.4</v>
      </c>
      <c r="I5699" s="341">
        <v>0.5</v>
      </c>
      <c r="J5699" s="332">
        <f>IFERROR(__xludf.DUMMYFUNCTION("IF(IF(COUNTIF(P$2:P5698, P5699)=0, """", INDEX(H$2:H5698,
MAX(FILTER(ROW(H$2:H5698) - ROW(H$2) + 1, P$2:P5698 = P5699))))=""単価"","""",
IF(COUNTIF(P$2:P5698, P5699)=0, """", INDEX(H$2:H5698,
MAX(FILTER(ROW(H$2:H5698) - ROW(H$2) + 1, P$2:P5698 = P5699)))))"),44.9)</f>
        <v>44.9</v>
      </c>
      <c r="N5699" s="335" t="str">
        <f>IF(MAXIFS('単価履歴'!$O:$O,'単価履歴'!$E:$E,E5699,'単価履歴'!$F:$F,F5699)=O5699,"●","")</f>
        <v>●</v>
      </c>
      <c r="O5699" s="346">
        <v>46128.281423611115</v>
      </c>
      <c r="P5699" s="334" t="str">
        <f t="shared" si="4"/>
        <v>愛知:ナベＬ２(H4･級外･L1ﾊﾞﾗ)</v>
      </c>
    </row>
    <row r="5700" ht="15.75" customHeight="1">
      <c r="A5700" s="335" t="s">
        <v>6847</v>
      </c>
      <c r="B5700" s="336">
        <v>46128.0</v>
      </c>
      <c r="C5700" s="349" t="s">
        <v>14</v>
      </c>
      <c r="D5700" s="349" t="s">
        <v>48</v>
      </c>
      <c r="E5700" s="337" t="str">
        <f t="shared" si="1"/>
        <v>愛知:ナベ</v>
      </c>
      <c r="F5700" s="338" t="s">
        <v>575</v>
      </c>
      <c r="G5700" s="339" t="str">
        <f t="shared" si="2"/>
        <v>愛知:ナベ鋼ダライＡ</v>
      </c>
      <c r="H5700" s="340">
        <f t="shared" si="3"/>
        <v>11.5</v>
      </c>
      <c r="I5700" s="341">
        <v>0.5</v>
      </c>
      <c r="J5700" s="332">
        <f>IFERROR(__xludf.DUMMYFUNCTION("IF(IF(COUNTIF(P$2:P5699, P5700)=0, """", INDEX(H$2:H5699,
MAX(FILTER(ROW(H$2:H5699) - ROW(H$2) + 1, P$2:P5699 = P5700))))=""単価"","""",
IF(COUNTIF(P$2:P5699, P5700)=0, """", INDEX(H$2:H5699,
MAX(FILTER(ROW(H$2:H5699) - ROW(H$2) + 1, P$2:P5699 = P5700)))))"),11.0)</f>
        <v>11</v>
      </c>
      <c r="N5700" s="335" t="str">
        <f>IF(MAXIFS('単価履歴'!$O:$O,'単価履歴'!$E:$E,E5700,'単価履歴'!$F:$F,F5700)=O5700,"●","")</f>
        <v>●</v>
      </c>
      <c r="O5700" s="346">
        <v>46128.281423611115</v>
      </c>
      <c r="P5700" s="334" t="str">
        <f t="shared" si="4"/>
        <v>愛知:ナベ鋼ダライＡ</v>
      </c>
    </row>
    <row r="5701" ht="15.75" customHeight="1">
      <c r="A5701" s="335" t="s">
        <v>6848</v>
      </c>
      <c r="B5701" s="336">
        <v>46128.0</v>
      </c>
      <c r="C5701" s="349" t="s">
        <v>15</v>
      </c>
      <c r="D5701" s="349" t="s">
        <v>58</v>
      </c>
      <c r="E5701" s="337" t="str">
        <f t="shared" si="1"/>
        <v>山口鋼業:MM建材</v>
      </c>
      <c r="F5701" s="338" t="s">
        <v>1199</v>
      </c>
      <c r="G5701" s="339" t="str">
        <f t="shared" si="2"/>
        <v>山口鋼業:MM建材ＨＳ１(単体H1/電特A/HS))</v>
      </c>
      <c r="H5701" s="340">
        <f t="shared" si="3"/>
        <v>53</v>
      </c>
      <c r="I5701" s="341">
        <v>0.5</v>
      </c>
      <c r="J5701" s="332">
        <f>IFERROR(__xludf.DUMMYFUNCTION("IF(IF(COUNTIF(P$2:P5700, P5701)=0, """", INDEX(H$2:H5700,
MAX(FILTER(ROW(H$2:H5700) - ROW(H$2) + 1, P$2:P5700 = P5701))))=""単価"","""",
IF(COUNTIF(P$2:P5700, P5701)=0, """", INDEX(H$2:H5700,
MAX(FILTER(ROW(H$2:H5700) - ROW(H$2) + 1, P$2:P5700 = P5701)))))"),52.5)</f>
        <v>52.5</v>
      </c>
      <c r="N5701" s="335" t="str">
        <f>IF(MAXIFS('単価履歴'!$O:$O,'単価履歴'!$E:$E,E5701,'単価履歴'!$F:$F,F5701)=O5701,"●","")</f>
        <v>●</v>
      </c>
      <c r="O5701" s="346">
        <v>46128.28162037037</v>
      </c>
      <c r="P5701" s="334" t="str">
        <f t="shared" si="4"/>
        <v>山口鋼業:MM建材ＨＳ１(単体H1/電特A/HS))</v>
      </c>
    </row>
    <row r="5702" ht="15.75" customHeight="1">
      <c r="A5702" s="335" t="s">
        <v>6849</v>
      </c>
      <c r="B5702" s="336">
        <v>46128.0</v>
      </c>
      <c r="C5702" s="349" t="s">
        <v>15</v>
      </c>
      <c r="D5702" s="349" t="s">
        <v>58</v>
      </c>
      <c r="E5702" s="337" t="str">
        <f t="shared" si="1"/>
        <v>山口鋼業:MM建材</v>
      </c>
      <c r="F5702" s="338" t="s">
        <v>1237</v>
      </c>
      <c r="G5702" s="339" t="str">
        <f t="shared" si="2"/>
        <v>山口鋼業:MM建材ＪＨ１(H2T山口)鍛造ﾊﾞﾘ</v>
      </c>
      <c r="H5702" s="340">
        <f t="shared" si="3"/>
        <v>52</v>
      </c>
      <c r="I5702" s="341">
        <v>0.5</v>
      </c>
      <c r="J5702" s="332">
        <f>IFERROR(__xludf.DUMMYFUNCTION("IF(IF(COUNTIF(P$2:P5701, P5702)=0, """", INDEX(H$2:H5701,
MAX(FILTER(ROW(H$2:H5701) - ROW(H$2) + 1, P$2:P5701 = P5702))))=""単価"","""",
IF(COUNTIF(P$2:P5701, P5702)=0, """", INDEX(H$2:H5701,
MAX(FILTER(ROW(H$2:H5701) - ROW(H$2) + 1, P$2:P5701 = P5702)))))"),51.5)</f>
        <v>51.5</v>
      </c>
      <c r="N5702" s="335" t="str">
        <f>IF(MAXIFS('単価履歴'!$O:$O,'単価履歴'!$E:$E,E5702,'単価履歴'!$F:$F,F5702)=O5702,"●","")</f>
        <v>●</v>
      </c>
      <c r="O5702" s="346">
        <v>46128.28162037037</v>
      </c>
      <c r="P5702" s="334" t="str">
        <f t="shared" si="4"/>
        <v>山口鋼業:MM建材ＪＨ１(H2T山口)鍛造ﾊﾞﾘ</v>
      </c>
    </row>
    <row r="5703" ht="15.75" customHeight="1">
      <c r="A5703" s="335" t="s">
        <v>6850</v>
      </c>
      <c r="B5703" s="336">
        <v>46128.0</v>
      </c>
      <c r="C5703" s="349" t="s">
        <v>15</v>
      </c>
      <c r="D5703" s="349" t="s">
        <v>58</v>
      </c>
      <c r="E5703" s="337" t="str">
        <f t="shared" si="1"/>
        <v>山口鋼業:MM建材</v>
      </c>
      <c r="F5703" s="338" t="s">
        <v>116</v>
      </c>
      <c r="G5703" s="339" t="str">
        <f t="shared" si="2"/>
        <v>山口鋼業:MM建材Ｈ２(特級)</v>
      </c>
      <c r="H5703" s="340">
        <f t="shared" si="3"/>
        <v>51</v>
      </c>
      <c r="I5703" s="341">
        <v>0.5</v>
      </c>
      <c r="J5703" s="332">
        <f>IFERROR(__xludf.DUMMYFUNCTION("IF(IF(COUNTIF(P$2:P5702, P5703)=0, """", INDEX(H$2:H5702,
MAX(FILTER(ROW(H$2:H5702) - ROW(H$2) + 1, P$2:P5702 = P5703))))=""単価"","""",
IF(COUNTIF(P$2:P5702, P5703)=0, """", INDEX(H$2:H5702,
MAX(FILTER(ROW(H$2:H5702) - ROW(H$2) + 1, P$2:P5702 = P5703)))))"),50.5)</f>
        <v>50.5</v>
      </c>
      <c r="N5703" s="335" t="str">
        <f>IF(MAXIFS('単価履歴'!$O:$O,'単価履歴'!$E:$E,E5703,'単価履歴'!$F:$F,F5703)=O5703,"●","")</f>
        <v>●</v>
      </c>
      <c r="O5703" s="346">
        <v>46128.28162037037</v>
      </c>
      <c r="P5703" s="334" t="str">
        <f t="shared" si="4"/>
        <v>山口鋼業:MM建材Ｈ２(特級)</v>
      </c>
    </row>
    <row r="5704" ht="15.75" customHeight="1">
      <c r="A5704" s="335" t="s">
        <v>6851</v>
      </c>
      <c r="B5704" s="336">
        <v>46128.0</v>
      </c>
      <c r="C5704" s="349" t="s">
        <v>15</v>
      </c>
      <c r="D5704" s="349" t="s">
        <v>58</v>
      </c>
      <c r="E5704" s="337" t="str">
        <f t="shared" si="1"/>
        <v>山口鋼業:MM建材</v>
      </c>
      <c r="F5704" s="338" t="s">
        <v>119</v>
      </c>
      <c r="G5704" s="339" t="str">
        <f t="shared" si="2"/>
        <v>山口鋼業:MM建材Ｈ３(1級)</v>
      </c>
      <c r="H5704" s="340">
        <f t="shared" si="3"/>
        <v>50</v>
      </c>
      <c r="I5704" s="341">
        <v>0.5</v>
      </c>
      <c r="J5704" s="332">
        <f>IFERROR(__xludf.DUMMYFUNCTION("IF(IF(COUNTIF(P$2:P5703, P5704)=0, """", INDEX(H$2:H5703,
MAX(FILTER(ROW(H$2:H5703) - ROW(H$2) + 1, P$2:P5703 = P5704))))=""単価"","""",
IF(COUNTIF(P$2:P5703, P5704)=0, """", INDEX(H$2:H5703,
MAX(FILTER(ROW(H$2:H5703) - ROW(H$2) + 1, P$2:P5703 = P5704)))))"),49.5)</f>
        <v>49.5</v>
      </c>
      <c r="N5704" s="335" t="str">
        <f>IF(MAXIFS('単価履歴'!$O:$O,'単価履歴'!$E:$E,E5704,'単価履歴'!$F:$F,F5704)=O5704,"●","")</f>
        <v>●</v>
      </c>
      <c r="O5704" s="346">
        <v>46128.28162037037</v>
      </c>
      <c r="P5704" s="334" t="str">
        <f t="shared" si="4"/>
        <v>山口鋼業:MM建材Ｈ３(1級)</v>
      </c>
    </row>
    <row r="5705" ht="15.75" customHeight="1">
      <c r="A5705" s="335" t="s">
        <v>6852</v>
      </c>
      <c r="B5705" s="336">
        <v>46128.0</v>
      </c>
      <c r="C5705" s="349" t="s">
        <v>15</v>
      </c>
      <c r="D5705" s="349" t="s">
        <v>58</v>
      </c>
      <c r="E5705" s="337" t="str">
        <f t="shared" si="1"/>
        <v>山口鋼業:MM建材</v>
      </c>
      <c r="F5705" s="338" t="s">
        <v>573</v>
      </c>
      <c r="G5705" s="339" t="str">
        <f t="shared" si="2"/>
        <v>山口鋼業:MM建材Ｌ２(H4･級外･L1ﾊﾞﾗ)</v>
      </c>
      <c r="H5705" s="340">
        <f t="shared" si="3"/>
        <v>48.5</v>
      </c>
      <c r="I5705" s="341">
        <v>0.5</v>
      </c>
      <c r="J5705" s="332">
        <f>IFERROR(__xludf.DUMMYFUNCTION("IF(IF(COUNTIF(P$2:P5704, P5705)=0, """", INDEX(H$2:H5704,
MAX(FILTER(ROW(H$2:H5704) - ROW(H$2) + 1, P$2:P5704 = P5705))))=""単価"","""",
IF(COUNTIF(P$2:P5704, P5705)=0, """", INDEX(H$2:H5704,
MAX(FILTER(ROW(H$2:H5704) - ROW(H$2) + 1, P$2:P5704 = P5705)))))"),48.0)</f>
        <v>48</v>
      </c>
      <c r="N5705" s="335" t="str">
        <f>IF(MAXIFS('単価履歴'!$O:$O,'単価履歴'!$E:$E,E5705,'単価履歴'!$F:$F,F5705)=O5705,"●","")</f>
        <v>●</v>
      </c>
      <c r="O5705" s="346">
        <v>46128.28162037037</v>
      </c>
      <c r="P5705" s="334" t="str">
        <f t="shared" si="4"/>
        <v>山口鋼業:MM建材Ｌ２(H4･級外･L1ﾊﾞﾗ)</v>
      </c>
    </row>
    <row r="5706" ht="15.75" customHeight="1">
      <c r="A5706" s="335" t="s">
        <v>6853</v>
      </c>
      <c r="B5706" s="336">
        <v>46128.0</v>
      </c>
      <c r="C5706" s="349" t="s">
        <v>15</v>
      </c>
      <c r="D5706" s="349" t="s">
        <v>58</v>
      </c>
      <c r="E5706" s="337" t="str">
        <f t="shared" si="1"/>
        <v>山口鋼業:MM建材</v>
      </c>
      <c r="F5706" s="338" t="s">
        <v>575</v>
      </c>
      <c r="G5706" s="339" t="str">
        <f t="shared" si="2"/>
        <v>山口鋼業:MM建材鋼ダライＡ</v>
      </c>
      <c r="H5706" s="340">
        <f t="shared" si="3"/>
        <v>47.6</v>
      </c>
      <c r="I5706" s="341">
        <v>0.5</v>
      </c>
      <c r="J5706" s="332">
        <f>IFERROR(__xludf.DUMMYFUNCTION("IF(IF(COUNTIF(P$2:P5705, P5706)=0, """", INDEX(H$2:H5705,
MAX(FILTER(ROW(H$2:H5705) - ROW(H$2) + 1, P$2:P5705 = P5706))))=""単価"","""",
IF(COUNTIF(P$2:P5705, P5706)=0, """", INDEX(H$2:H5705,
MAX(FILTER(ROW(H$2:H5705) - ROW(H$2) + 1, P$2:P5705 = P5706)))))"),47.1)</f>
        <v>47.1</v>
      </c>
      <c r="N5706" s="335" t="str">
        <f>IF(MAXIFS('単価履歴'!$O:$O,'単価履歴'!$E:$E,E5706,'単価履歴'!$F:$F,F5706)=O5706,"●","")</f>
        <v>●</v>
      </c>
      <c r="O5706" s="346">
        <v>46128.28162037037</v>
      </c>
      <c r="P5706" s="334" t="str">
        <f t="shared" si="4"/>
        <v>山口鋼業:MM建材鋼ダライＡ</v>
      </c>
    </row>
    <row r="5707" ht="15.75" customHeight="1">
      <c r="A5707" s="335" t="s">
        <v>6854</v>
      </c>
      <c r="B5707" s="336">
        <v>46128.0</v>
      </c>
      <c r="C5707" s="349" t="s">
        <v>15</v>
      </c>
      <c r="D5707" s="349" t="s">
        <v>58</v>
      </c>
      <c r="E5707" s="337" t="str">
        <f t="shared" si="1"/>
        <v>山口鋼業:MM建材</v>
      </c>
      <c r="F5707" s="338" t="s">
        <v>577</v>
      </c>
      <c r="G5707" s="339" t="str">
        <f t="shared" si="2"/>
        <v>山口鋼業:MM建材鋳物・ﾀﾞｸﾀｲﾙ</v>
      </c>
      <c r="H5707" s="340">
        <f t="shared" si="3"/>
        <v>51.5</v>
      </c>
      <c r="I5707" s="341">
        <v>0.5</v>
      </c>
      <c r="J5707" s="332">
        <f>IFERROR(__xludf.DUMMYFUNCTION("IF(IF(COUNTIF(P$2:P5706, P5707)=0, """", INDEX(H$2:H5706,
MAX(FILTER(ROW(H$2:H5706) - ROW(H$2) + 1, P$2:P5706 = P5707))))=""単価"","""",
IF(COUNTIF(P$2:P5706, P5707)=0, """", INDEX(H$2:H5706,
MAX(FILTER(ROW(H$2:H5706) - ROW(H$2) + 1, P$2:P5706 = P5707)))))"),51.0)</f>
        <v>51</v>
      </c>
      <c r="N5707" s="335" t="str">
        <f>IF(MAXIFS('単価履歴'!$O:$O,'単価履歴'!$E:$E,E5707,'単価履歴'!$F:$F,F5707)=O5707,"●","")</f>
        <v>●</v>
      </c>
      <c r="O5707" s="346">
        <v>46128.28162037037</v>
      </c>
      <c r="P5707" s="334" t="str">
        <f t="shared" si="4"/>
        <v>山口鋼業:MM建材鋳物・ﾀﾞｸﾀｲﾙ</v>
      </c>
    </row>
    <row r="5708" ht="15.75" customHeight="1">
      <c r="A5708" s="335" t="s">
        <v>6855</v>
      </c>
      <c r="B5708" s="336">
        <v>46128.0</v>
      </c>
      <c r="C5708" s="349" t="s">
        <v>15</v>
      </c>
      <c r="D5708" s="349" t="s">
        <v>46</v>
      </c>
      <c r="E5708" s="337" t="str">
        <f t="shared" si="1"/>
        <v>山口鋼業:阪和</v>
      </c>
      <c r="F5708" s="338" t="s">
        <v>1199</v>
      </c>
      <c r="G5708" s="339" t="str">
        <f t="shared" si="2"/>
        <v>山口鋼業:阪和ＨＳ１(単体H1/電特A/HS))</v>
      </c>
      <c r="H5708" s="340">
        <f t="shared" si="3"/>
        <v>53</v>
      </c>
      <c r="I5708" s="341">
        <v>0.5</v>
      </c>
      <c r="J5708" s="332">
        <f>IFERROR(__xludf.DUMMYFUNCTION("IF(IF(COUNTIF(P$2:P5707, P5708)=0, """", INDEX(H$2:H5707,
MAX(FILTER(ROW(H$2:H5707) - ROW(H$2) + 1, P$2:P5707 = P5708))))=""単価"","""",
IF(COUNTIF(P$2:P5707, P5708)=0, """", INDEX(H$2:H5707,
MAX(FILTER(ROW(H$2:H5707) - ROW(H$2) + 1, P$2:P5707 = P5708)))))"),52.5)</f>
        <v>52.5</v>
      </c>
      <c r="N5708" s="335" t="str">
        <f>IF(MAXIFS('単価履歴'!$O:$O,'単価履歴'!$E:$E,E5708,'単価履歴'!$F:$F,F5708)=O5708,"●","")</f>
        <v>●</v>
      </c>
      <c r="O5708" s="346">
        <v>46128.281805555554</v>
      </c>
      <c r="P5708" s="334" t="str">
        <f t="shared" si="4"/>
        <v>山口鋼業:阪和ＨＳ１(単体H1/電特A/HS))</v>
      </c>
    </row>
    <row r="5709" ht="15.75" customHeight="1">
      <c r="A5709" s="335" t="s">
        <v>6856</v>
      </c>
      <c r="B5709" s="336">
        <v>46128.0</v>
      </c>
      <c r="C5709" s="349" t="s">
        <v>15</v>
      </c>
      <c r="D5709" s="349" t="s">
        <v>46</v>
      </c>
      <c r="E5709" s="337" t="str">
        <f t="shared" si="1"/>
        <v>山口鋼業:阪和</v>
      </c>
      <c r="F5709" s="338" t="s">
        <v>111</v>
      </c>
      <c r="G5709" s="339" t="str">
        <f t="shared" si="2"/>
        <v>山口鋼業:阪和Ｈ１(特A)</v>
      </c>
      <c r="H5709" s="340">
        <f t="shared" si="3"/>
        <v>51</v>
      </c>
      <c r="I5709" s="341">
        <v>0.5</v>
      </c>
      <c r="J5709" s="332">
        <f>IFERROR(__xludf.DUMMYFUNCTION("IF(IF(COUNTIF(P$2:P5708, P5709)=0, """", INDEX(H$2:H5708,
MAX(FILTER(ROW(H$2:H5708) - ROW(H$2) + 1, P$2:P5708 = P5709))))=""単価"","""",
IF(COUNTIF(P$2:P5708, P5709)=0, """", INDEX(H$2:H5708,
MAX(FILTER(ROW(H$2:H5708) - ROW(H$2) + 1, P$2:P5708 = P5709)))))"),50.5)</f>
        <v>50.5</v>
      </c>
      <c r="N5709" s="335" t="str">
        <f>IF(MAXIFS('単価履歴'!$O:$O,'単価履歴'!$E:$E,E5709,'単価履歴'!$F:$F,F5709)=O5709,"●","")</f>
        <v>●</v>
      </c>
      <c r="O5709" s="346">
        <v>46128.281805555554</v>
      </c>
      <c r="P5709" s="334" t="str">
        <f t="shared" si="4"/>
        <v>山口鋼業:阪和Ｈ１(特A)</v>
      </c>
    </row>
    <row r="5710" ht="15.75" customHeight="1">
      <c r="A5710" s="335" t="s">
        <v>6857</v>
      </c>
      <c r="B5710" s="336">
        <v>46128.0</v>
      </c>
      <c r="C5710" s="349" t="s">
        <v>15</v>
      </c>
      <c r="D5710" s="349" t="s">
        <v>46</v>
      </c>
      <c r="E5710" s="337" t="str">
        <f t="shared" si="1"/>
        <v>山口鋼業:阪和</v>
      </c>
      <c r="F5710" s="338" t="s">
        <v>116</v>
      </c>
      <c r="G5710" s="339" t="str">
        <f t="shared" si="2"/>
        <v>山口鋼業:阪和Ｈ２(特級)</v>
      </c>
      <c r="H5710" s="340">
        <f t="shared" si="3"/>
        <v>50.5</v>
      </c>
      <c r="I5710" s="341">
        <v>0.5</v>
      </c>
      <c r="J5710" s="332">
        <f>IFERROR(__xludf.DUMMYFUNCTION("IF(IF(COUNTIF(P$2:P5709, P5710)=0, """", INDEX(H$2:H5709,
MAX(FILTER(ROW(H$2:H5709) - ROW(H$2) + 1, P$2:P5709 = P5710))))=""単価"","""",
IF(COUNTIF(P$2:P5709, P5710)=0, """", INDEX(H$2:H5709,
MAX(FILTER(ROW(H$2:H5709) - ROW(H$2) + 1, P$2:P5709 = P5710)))))"),50.0)</f>
        <v>50</v>
      </c>
      <c r="N5710" s="335" t="str">
        <f>IF(MAXIFS('単価履歴'!$O:$O,'単価履歴'!$E:$E,E5710,'単価履歴'!$F:$F,F5710)=O5710,"●","")</f>
        <v>●</v>
      </c>
      <c r="O5710" s="346">
        <v>46128.281805555554</v>
      </c>
      <c r="P5710" s="334" t="str">
        <f t="shared" si="4"/>
        <v>山口鋼業:阪和Ｈ２(特級)</v>
      </c>
    </row>
    <row r="5711" ht="15.75" customHeight="1">
      <c r="A5711" s="335" t="s">
        <v>6858</v>
      </c>
      <c r="B5711" s="336">
        <v>46128.0</v>
      </c>
      <c r="C5711" s="349" t="s">
        <v>15</v>
      </c>
      <c r="D5711" s="349" t="s">
        <v>46</v>
      </c>
      <c r="E5711" s="337" t="str">
        <f t="shared" si="1"/>
        <v>山口鋼業:阪和</v>
      </c>
      <c r="F5711" s="338" t="s">
        <v>119</v>
      </c>
      <c r="G5711" s="339" t="str">
        <f t="shared" si="2"/>
        <v>山口鋼業:阪和Ｈ３(1級)</v>
      </c>
      <c r="H5711" s="340">
        <f t="shared" si="3"/>
        <v>49.5</v>
      </c>
      <c r="I5711" s="341">
        <v>0.5</v>
      </c>
      <c r="J5711" s="332">
        <f>IFERROR(__xludf.DUMMYFUNCTION("IF(IF(COUNTIF(P$2:P5710, P5711)=0, """", INDEX(H$2:H5710,
MAX(FILTER(ROW(H$2:H5710) - ROW(H$2) + 1, P$2:P5710 = P5711))))=""単価"","""",
IF(COUNTIF(P$2:P5710, P5711)=0, """", INDEX(H$2:H5710,
MAX(FILTER(ROW(H$2:H5710) - ROW(H$2) + 1, P$2:P5710 = P5711)))))"),49.0)</f>
        <v>49</v>
      </c>
      <c r="N5711" s="335" t="str">
        <f>IF(MAXIFS('単価履歴'!$O:$O,'単価履歴'!$E:$E,E5711,'単価履歴'!$F:$F,F5711)=O5711,"●","")</f>
        <v>●</v>
      </c>
      <c r="O5711" s="346">
        <v>46128.281805555554</v>
      </c>
      <c r="P5711" s="334" t="str">
        <f t="shared" si="4"/>
        <v>山口鋼業:阪和Ｈ３(1級)</v>
      </c>
    </row>
    <row r="5712" ht="15.75" customHeight="1">
      <c r="A5712" s="335" t="s">
        <v>6859</v>
      </c>
      <c r="B5712" s="336">
        <v>46128.0</v>
      </c>
      <c r="C5712" s="349" t="s">
        <v>15</v>
      </c>
      <c r="D5712" s="349" t="s">
        <v>46</v>
      </c>
      <c r="E5712" s="337" t="str">
        <f t="shared" si="1"/>
        <v>山口鋼業:阪和</v>
      </c>
      <c r="F5712" s="338" t="s">
        <v>573</v>
      </c>
      <c r="G5712" s="339" t="str">
        <f t="shared" si="2"/>
        <v>山口鋼業:阪和Ｌ２(H4･級外･L1ﾊﾞﾗ)</v>
      </c>
      <c r="H5712" s="340">
        <f t="shared" si="3"/>
        <v>48</v>
      </c>
      <c r="I5712" s="341">
        <v>0.5</v>
      </c>
      <c r="J5712" s="332">
        <f>IFERROR(__xludf.DUMMYFUNCTION("IF(IF(COUNTIF(P$2:P5711, P5712)=0, """", INDEX(H$2:H5711,
MAX(FILTER(ROW(H$2:H5711) - ROW(H$2) + 1, P$2:P5711 = P5712))))=""単価"","""",
IF(COUNTIF(P$2:P5711, P5712)=0, """", INDEX(H$2:H5711,
MAX(FILTER(ROW(H$2:H5711) - ROW(H$2) + 1, P$2:P5711 = P5712)))))"),47.5)</f>
        <v>47.5</v>
      </c>
      <c r="N5712" s="335" t="str">
        <f>IF(MAXIFS('単価履歴'!$O:$O,'単価履歴'!$E:$E,E5712,'単価履歴'!$F:$F,F5712)=O5712,"●","")</f>
        <v>●</v>
      </c>
      <c r="O5712" s="346">
        <v>46128.281805555554</v>
      </c>
      <c r="P5712" s="334" t="str">
        <f t="shared" si="4"/>
        <v>山口鋼業:阪和Ｌ２(H4･級外･L1ﾊﾞﾗ)</v>
      </c>
    </row>
    <row r="5713" ht="15.75" customHeight="1">
      <c r="A5713" s="335" t="s">
        <v>6860</v>
      </c>
      <c r="B5713" s="336">
        <v>46128.0</v>
      </c>
      <c r="C5713" s="349" t="s">
        <v>537</v>
      </c>
      <c r="D5713" s="349" t="s">
        <v>59</v>
      </c>
      <c r="E5713" s="337" t="str">
        <f t="shared" si="1"/>
        <v>大同特殊鋼:大同興業</v>
      </c>
      <c r="F5713" s="338" t="s">
        <v>1199</v>
      </c>
      <c r="G5713" s="339" t="str">
        <f t="shared" si="2"/>
        <v>大同特殊鋼:大同興業ＨＳ１(単体H1/電特A/HS))</v>
      </c>
      <c r="H5713" s="340">
        <f t="shared" si="3"/>
        <v>56</v>
      </c>
      <c r="I5713" s="341">
        <v>0.5</v>
      </c>
      <c r="J5713" s="332">
        <f>IFERROR(__xludf.DUMMYFUNCTION("IF(IF(COUNTIF(P$2:P5712, P5713)=0, """", INDEX(H$2:H5712,
MAX(FILTER(ROW(H$2:H5712) - ROW(H$2) + 1, P$2:P5712 = P5713))))=""単価"","""",
IF(COUNTIF(P$2:P5712, P5713)=0, """", INDEX(H$2:H5712,
MAX(FILTER(ROW(H$2:H5712) - ROW(H$2) + 1, P$2:P5712 = P5713)))))"),55.5)</f>
        <v>55.5</v>
      </c>
      <c r="N5713" s="335" t="str">
        <f>IF(MAXIFS('単価履歴'!$O:$O,'単価履歴'!$E:$E,E5713,'単価履歴'!$F:$F,F5713)=O5713,"●","")</f>
        <v>●</v>
      </c>
      <c r="O5713" s="346">
        <v>46128.28201388889</v>
      </c>
      <c r="P5713" s="334" t="str">
        <f t="shared" si="4"/>
        <v>大同特殊鋼:大同興業ＨＳ１(単体H1/電特A/HS))</v>
      </c>
    </row>
    <row r="5714" ht="15.75" customHeight="1">
      <c r="A5714" s="335" t="s">
        <v>6861</v>
      </c>
      <c r="B5714" s="336">
        <v>46128.0</v>
      </c>
      <c r="C5714" s="349" t="s">
        <v>537</v>
      </c>
      <c r="D5714" s="349" t="s">
        <v>59</v>
      </c>
      <c r="E5714" s="337" t="str">
        <f t="shared" si="1"/>
        <v>大同特殊鋼:大同興業</v>
      </c>
      <c r="F5714" s="338" t="s">
        <v>575</v>
      </c>
      <c r="G5714" s="339" t="str">
        <f t="shared" si="2"/>
        <v>大同特殊鋼:大同興業鋼ダライＡ</v>
      </c>
      <c r="H5714" s="340">
        <f t="shared" si="3"/>
        <v>48.4</v>
      </c>
      <c r="I5714" s="341">
        <v>0.5</v>
      </c>
      <c r="J5714" s="332">
        <f>IFERROR(__xludf.DUMMYFUNCTION("IF(IF(COUNTIF(P$2:P5713, P5714)=0, """", INDEX(H$2:H5713,
MAX(FILTER(ROW(H$2:H5713) - ROW(H$2) + 1, P$2:P5713 = P5714))))=""単価"","""",
IF(COUNTIF(P$2:P5713, P5714)=0, """", INDEX(H$2:H5713,
MAX(FILTER(ROW(H$2:H5713) - ROW(H$2) + 1, P$2:P5713 = P5714)))))"),47.9)</f>
        <v>47.9</v>
      </c>
      <c r="N5714" s="335" t="str">
        <f>IF(MAXIFS('単価履歴'!$O:$O,'単価履歴'!$E:$E,E5714,'単価履歴'!$F:$F,F5714)=O5714,"●","")</f>
        <v>●</v>
      </c>
      <c r="O5714" s="346">
        <v>46128.28201388889</v>
      </c>
      <c r="P5714" s="334" t="str">
        <f t="shared" si="4"/>
        <v>大同特殊鋼:大同興業鋼ダライＡ</v>
      </c>
    </row>
    <row r="5715" ht="15.75" customHeight="1">
      <c r="A5715" s="335" t="s">
        <v>6862</v>
      </c>
      <c r="B5715" s="336">
        <v>46128.0</v>
      </c>
      <c r="C5715" s="349" t="s">
        <v>537</v>
      </c>
      <c r="D5715" s="349" t="s">
        <v>1404</v>
      </c>
      <c r="E5715" s="337" t="str">
        <f t="shared" si="1"/>
        <v>大同特殊鋼:JSE/大和ﾘﾃｯｸ</v>
      </c>
      <c r="F5715" s="338" t="s">
        <v>1199</v>
      </c>
      <c r="G5715" s="339" t="str">
        <f t="shared" si="2"/>
        <v>大同特殊鋼:JSE/大和ﾘﾃｯｸＨＳ１(単体H1/電特A/HS))</v>
      </c>
      <c r="H5715" s="340">
        <f t="shared" si="3"/>
        <v>55.3</v>
      </c>
      <c r="I5715" s="341">
        <v>0.5</v>
      </c>
      <c r="J5715" s="332">
        <f>IFERROR(__xludf.DUMMYFUNCTION("IF(IF(COUNTIF(P$2:P5714, P5715)=0, """", INDEX(H$2:H5714,
MAX(FILTER(ROW(H$2:H5714) - ROW(H$2) + 1, P$2:P5714 = P5715))))=""単価"","""",
IF(COUNTIF(P$2:P5714, P5715)=0, """", INDEX(H$2:H5714,
MAX(FILTER(ROW(H$2:H5714) - ROW(H$2) + 1, P$2:P5714 = P5715)))))"),54.8)</f>
        <v>54.8</v>
      </c>
      <c r="N5715" s="335" t="str">
        <f>IF(MAXIFS('単価履歴'!$O:$O,'単価履歴'!$E:$E,E5715,'単価履歴'!$F:$F,F5715)=O5715,"●","")</f>
        <v>●</v>
      </c>
      <c r="O5715" s="346">
        <v>46128.2821875</v>
      </c>
      <c r="P5715" s="334" t="str">
        <f t="shared" si="4"/>
        <v>大同特殊鋼:JSE/大和ﾘﾃｯｸＨＳ１(単体H1/電特A/HS))</v>
      </c>
    </row>
    <row r="5716" ht="15.75" customHeight="1">
      <c r="A5716" s="335" t="s">
        <v>6863</v>
      </c>
      <c r="B5716" s="336">
        <v>46128.0</v>
      </c>
      <c r="C5716" s="349" t="s">
        <v>537</v>
      </c>
      <c r="D5716" s="349" t="s">
        <v>1404</v>
      </c>
      <c r="E5716" s="337" t="str">
        <f t="shared" si="1"/>
        <v>大同特殊鋼:JSE/大和ﾘﾃｯｸ</v>
      </c>
      <c r="F5716" s="338" t="s">
        <v>116</v>
      </c>
      <c r="G5716" s="339" t="str">
        <f t="shared" si="2"/>
        <v>大同特殊鋼:JSE/大和ﾘﾃｯｸＨ２(特級)</v>
      </c>
      <c r="H5716" s="340">
        <f t="shared" si="3"/>
        <v>52.2</v>
      </c>
      <c r="I5716" s="341">
        <v>0.5</v>
      </c>
      <c r="J5716" s="332">
        <f>IFERROR(__xludf.DUMMYFUNCTION("IF(IF(COUNTIF(P$2:P5715, P5716)=0, """", INDEX(H$2:H5715,
MAX(FILTER(ROW(H$2:H5715) - ROW(H$2) + 1, P$2:P5715 = P5716))))=""単価"","""",
IF(COUNTIF(P$2:P5715, P5716)=0, """", INDEX(H$2:H5715,
MAX(FILTER(ROW(H$2:H5715) - ROW(H$2) + 1, P$2:P5715 = P5716)))))"),51.7)</f>
        <v>51.7</v>
      </c>
      <c r="N5716" s="335" t="str">
        <f>IF(MAXIFS('単価履歴'!$O:$O,'単価履歴'!$E:$E,E5716,'単価履歴'!$F:$F,F5716)=O5716,"●","")</f>
        <v>●</v>
      </c>
      <c r="O5716" s="346">
        <v>46128.2821875</v>
      </c>
      <c r="P5716" s="334" t="str">
        <f t="shared" si="4"/>
        <v>大同特殊鋼:JSE/大和ﾘﾃｯｸＨ２(特級)</v>
      </c>
    </row>
    <row r="5717" ht="15.75" customHeight="1">
      <c r="A5717" s="335" t="s">
        <v>6864</v>
      </c>
      <c r="B5717" s="336">
        <v>46128.0</v>
      </c>
      <c r="C5717" s="349" t="s">
        <v>537</v>
      </c>
      <c r="D5717" s="349" t="s">
        <v>1404</v>
      </c>
      <c r="E5717" s="337" t="str">
        <f t="shared" si="1"/>
        <v>大同特殊鋼:JSE/大和ﾘﾃｯｸ</v>
      </c>
      <c r="F5717" s="338" t="s">
        <v>575</v>
      </c>
      <c r="G5717" s="339" t="str">
        <f t="shared" si="2"/>
        <v>大同特殊鋼:JSE/大和ﾘﾃｯｸ鋼ダライＡ</v>
      </c>
      <c r="H5717" s="340">
        <f t="shared" si="3"/>
        <v>50.5</v>
      </c>
      <c r="I5717" s="341">
        <v>0.5</v>
      </c>
      <c r="J5717" s="332">
        <f>IFERROR(__xludf.DUMMYFUNCTION("IF(IF(COUNTIF(P$2:P5716, P5717)=0, """", INDEX(H$2:H5716,
MAX(FILTER(ROW(H$2:H5716) - ROW(H$2) + 1, P$2:P5716 = P5717))))=""単価"","""",
IF(COUNTIF(P$2:P5716, P5717)=0, """", INDEX(H$2:H5716,
MAX(FILTER(ROW(H$2:H5716) - ROW(H$2) + 1, P$2:P5716 = P5717)))))"),50.0)</f>
        <v>50</v>
      </c>
      <c r="N5717" s="335" t="str">
        <f>IF(MAXIFS('単価履歴'!$O:$O,'単価履歴'!$E:$E,E5717,'単価履歴'!$F:$F,F5717)=O5717,"●","")</f>
        <v>●</v>
      </c>
      <c r="O5717" s="346">
        <v>46128.2821875</v>
      </c>
      <c r="P5717" s="334" t="str">
        <f t="shared" si="4"/>
        <v>大同特殊鋼:JSE/大和ﾘﾃｯｸ鋼ダライＡ</v>
      </c>
    </row>
    <row r="5718" ht="15.75" customHeight="1">
      <c r="A5718" s="335" t="s">
        <v>6865</v>
      </c>
      <c r="B5718" s="336">
        <v>46128.0</v>
      </c>
      <c r="C5718" s="349" t="s">
        <v>537</v>
      </c>
      <c r="D5718" s="349" t="s">
        <v>1407</v>
      </c>
      <c r="E5718" s="337" t="str">
        <f t="shared" si="1"/>
        <v>大同特殊鋼:JSE/第二＠2.3</v>
      </c>
      <c r="F5718" s="338" t="s">
        <v>1199</v>
      </c>
      <c r="G5718" s="339" t="str">
        <f t="shared" si="2"/>
        <v>大同特殊鋼:JSE/第二＠2.3ＨＳ１(単体H1/電特A/HS))</v>
      </c>
      <c r="H5718" s="340">
        <f t="shared" si="3"/>
        <v>53</v>
      </c>
      <c r="I5718" s="341">
        <v>0.5</v>
      </c>
      <c r="J5718" s="332">
        <f>IFERROR(__xludf.DUMMYFUNCTION("IF(IF(COUNTIF(P$2:P5717, P5718)=0, """", INDEX(H$2:H5717,
MAX(FILTER(ROW(H$2:H5717) - ROW(H$2) + 1, P$2:P5717 = P5718))))=""単価"","""",
IF(COUNTIF(P$2:P5717, P5718)=0, """", INDEX(H$2:H5717,
MAX(FILTER(ROW(H$2:H5717) - ROW(H$2) + 1, P$2:P5717 = P5718)))))"),52.5)</f>
        <v>52.5</v>
      </c>
      <c r="N5718" s="335" t="str">
        <f>IF(MAXIFS('単価履歴'!$O:$O,'単価履歴'!$E:$E,E5718,'単価履歴'!$F:$F,F5718)=O5718,"●","")</f>
        <v>●</v>
      </c>
      <c r="O5718" s="346">
        <v>46128.2821875</v>
      </c>
      <c r="P5718" s="334" t="str">
        <f t="shared" si="4"/>
        <v>大同特殊鋼:JSE/第二＠2.3ＨＳ１(単体H1/電特A/HS))</v>
      </c>
    </row>
    <row r="5719" ht="15.75" customHeight="1">
      <c r="A5719" s="335" t="s">
        <v>6866</v>
      </c>
      <c r="B5719" s="336">
        <v>46128.0</v>
      </c>
      <c r="C5719" s="349" t="s">
        <v>537</v>
      </c>
      <c r="D5719" s="349" t="s">
        <v>1407</v>
      </c>
      <c r="E5719" s="337" t="str">
        <f t="shared" si="1"/>
        <v>大同特殊鋼:JSE/第二＠2.3</v>
      </c>
      <c r="F5719" s="338" t="s">
        <v>116</v>
      </c>
      <c r="G5719" s="339" t="str">
        <f t="shared" si="2"/>
        <v>大同特殊鋼:JSE/第二＠2.3Ｈ２(特級)</v>
      </c>
      <c r="H5719" s="340">
        <f t="shared" si="3"/>
        <v>49.9</v>
      </c>
      <c r="I5719" s="341">
        <v>0.5</v>
      </c>
      <c r="J5719" s="332">
        <f>IFERROR(__xludf.DUMMYFUNCTION("IF(IF(COUNTIF(P$2:P5718, P5719)=0, """", INDEX(H$2:H5718,
MAX(FILTER(ROW(H$2:H5718) - ROW(H$2) + 1, P$2:P5718 = P5719))))=""単価"","""",
IF(COUNTIF(P$2:P5718, P5719)=0, """", INDEX(H$2:H5718,
MAX(FILTER(ROW(H$2:H5718) - ROW(H$2) + 1, P$2:P5718 = P5719)))))"),49.400000000000006)</f>
        <v>49.4</v>
      </c>
      <c r="N5719" s="335" t="str">
        <f>IF(MAXIFS('単価履歴'!$O:$O,'単価履歴'!$E:$E,E5719,'単価履歴'!$F:$F,F5719)=O5719,"●","")</f>
        <v>●</v>
      </c>
      <c r="O5719" s="346">
        <v>46128.2821875</v>
      </c>
      <c r="P5719" s="334" t="str">
        <f t="shared" si="4"/>
        <v>大同特殊鋼:JSE/第二＠2.3Ｈ２(特級)</v>
      </c>
    </row>
    <row r="5720" ht="15.75" customHeight="1">
      <c r="A5720" s="335" t="s">
        <v>6867</v>
      </c>
      <c r="B5720" s="336">
        <v>46128.0</v>
      </c>
      <c r="C5720" s="349" t="s">
        <v>537</v>
      </c>
      <c r="D5720" s="349" t="s">
        <v>1407</v>
      </c>
      <c r="E5720" s="337" t="str">
        <f t="shared" si="1"/>
        <v>大同特殊鋼:JSE/第二＠2.3</v>
      </c>
      <c r="F5720" s="338" t="s">
        <v>575</v>
      </c>
      <c r="G5720" s="339" t="str">
        <f t="shared" si="2"/>
        <v>大同特殊鋼:JSE/第二＠2.3鋼ダライＡ</v>
      </c>
      <c r="H5720" s="340">
        <f t="shared" si="3"/>
        <v>48.2</v>
      </c>
      <c r="I5720" s="341">
        <v>0.5</v>
      </c>
      <c r="J5720" s="332">
        <f>IFERROR(__xludf.DUMMYFUNCTION("IF(IF(COUNTIF(P$2:P5719, P5720)=0, """", INDEX(H$2:H5719,
MAX(FILTER(ROW(H$2:H5719) - ROW(H$2) + 1, P$2:P5719 = P5720))))=""単価"","""",
IF(COUNTIF(P$2:P5719, P5720)=0, """", INDEX(H$2:H5719,
MAX(FILTER(ROW(H$2:H5719) - ROW(H$2) + 1, P$2:P5719 = P5720)))))"),47.7)</f>
        <v>47.7</v>
      </c>
      <c r="N5720" s="335" t="str">
        <f>IF(MAXIFS('単価履歴'!$O:$O,'単価履歴'!$E:$E,E5720,'単価履歴'!$F:$F,F5720)=O5720,"●","")</f>
        <v>●</v>
      </c>
      <c r="O5720" s="346">
        <v>46128.2821875</v>
      </c>
      <c r="P5720" s="334" t="str">
        <f t="shared" si="4"/>
        <v>大同特殊鋼:JSE/第二＠2.3鋼ダライＡ</v>
      </c>
    </row>
    <row r="5721" ht="15.75" customHeight="1">
      <c r="A5721" s="335" t="s">
        <v>6868</v>
      </c>
      <c r="B5721" s="336">
        <v>46128.0</v>
      </c>
      <c r="C5721" s="349" t="s">
        <v>537</v>
      </c>
      <c r="D5721" s="349" t="s">
        <v>1410</v>
      </c>
      <c r="E5721" s="337" t="str">
        <f t="shared" si="1"/>
        <v>大同特殊鋼:JSE/岐阜＠1.5</v>
      </c>
      <c r="F5721" s="338" t="s">
        <v>1199</v>
      </c>
      <c r="G5721" s="339" t="str">
        <f t="shared" si="2"/>
        <v>大同特殊鋼:JSE/岐阜＠1.5ＨＳ１(単体H1/電特A/HS))</v>
      </c>
      <c r="H5721" s="340">
        <f t="shared" si="3"/>
        <v>53.8</v>
      </c>
      <c r="I5721" s="341">
        <v>0.5</v>
      </c>
      <c r="J5721" s="332">
        <f>IFERROR(__xludf.DUMMYFUNCTION("IF(IF(COUNTIF(P$2:P5720, P5721)=0, """", INDEX(H$2:H5720,
MAX(FILTER(ROW(H$2:H5720) - ROW(H$2) + 1, P$2:P5720 = P5721))))=""単価"","""",
IF(COUNTIF(P$2:P5720, P5721)=0, """", INDEX(H$2:H5720,
MAX(FILTER(ROW(H$2:H5720) - ROW(H$2) + 1, P$2:P5720 = P5721)))))"),53.3)</f>
        <v>53.3</v>
      </c>
      <c r="N5721" s="335" t="str">
        <f>IF(MAXIFS('単価履歴'!$O:$O,'単価履歴'!$E:$E,E5721,'単価履歴'!$F:$F,F5721)=O5721,"●","")</f>
        <v>●</v>
      </c>
      <c r="O5721" s="346">
        <v>46128.2821875</v>
      </c>
      <c r="P5721" s="334" t="str">
        <f t="shared" si="4"/>
        <v>大同特殊鋼:JSE/岐阜＠1.5ＨＳ１(単体H1/電特A/HS))</v>
      </c>
    </row>
    <row r="5722" ht="15.75" customHeight="1">
      <c r="A5722" s="335" t="s">
        <v>6869</v>
      </c>
      <c r="B5722" s="336">
        <v>46128.0</v>
      </c>
      <c r="C5722" s="349" t="s">
        <v>537</v>
      </c>
      <c r="D5722" s="349" t="s">
        <v>1410</v>
      </c>
      <c r="E5722" s="337" t="str">
        <f t="shared" si="1"/>
        <v>大同特殊鋼:JSE/岐阜＠1.5</v>
      </c>
      <c r="F5722" s="338" t="s">
        <v>116</v>
      </c>
      <c r="G5722" s="339" t="str">
        <f t="shared" si="2"/>
        <v>大同特殊鋼:JSE/岐阜＠1.5Ｈ２(特級)</v>
      </c>
      <c r="H5722" s="340">
        <f t="shared" si="3"/>
        <v>50.7</v>
      </c>
      <c r="I5722" s="341">
        <v>0.5</v>
      </c>
      <c r="J5722" s="332">
        <f>IFERROR(__xludf.DUMMYFUNCTION("IF(IF(COUNTIF(P$2:P5721, P5722)=0, """", INDEX(H$2:H5721,
MAX(FILTER(ROW(H$2:H5721) - ROW(H$2) + 1, P$2:P5721 = P5722))))=""単価"","""",
IF(COUNTIF(P$2:P5721, P5722)=0, """", INDEX(H$2:H5721,
MAX(FILTER(ROW(H$2:H5721) - ROW(H$2) + 1, P$2:P5721 = P5722)))))"),50.2)</f>
        <v>50.2</v>
      </c>
      <c r="N5722" s="335" t="str">
        <f>IF(MAXIFS('単価履歴'!$O:$O,'単価履歴'!$E:$E,E5722,'単価履歴'!$F:$F,F5722)=O5722,"●","")</f>
        <v>●</v>
      </c>
      <c r="O5722" s="346">
        <v>46128.2821875</v>
      </c>
      <c r="P5722" s="334" t="str">
        <f t="shared" si="4"/>
        <v>大同特殊鋼:JSE/岐阜＠1.5Ｈ２(特級)</v>
      </c>
    </row>
    <row r="5723" ht="15.75" customHeight="1">
      <c r="A5723" s="335" t="s">
        <v>6870</v>
      </c>
      <c r="B5723" s="336">
        <v>46128.0</v>
      </c>
      <c r="C5723" s="349" t="s">
        <v>537</v>
      </c>
      <c r="D5723" s="349" t="s">
        <v>1410</v>
      </c>
      <c r="E5723" s="337" t="str">
        <f t="shared" si="1"/>
        <v>大同特殊鋼:JSE/岐阜＠1.5</v>
      </c>
      <c r="F5723" s="338" t="s">
        <v>575</v>
      </c>
      <c r="G5723" s="339" t="str">
        <f t="shared" si="2"/>
        <v>大同特殊鋼:JSE/岐阜＠1.5鋼ダライＡ</v>
      </c>
      <c r="H5723" s="340">
        <f t="shared" si="3"/>
        <v>49</v>
      </c>
      <c r="I5723" s="341">
        <v>0.5</v>
      </c>
      <c r="J5723" s="332">
        <f>IFERROR(__xludf.DUMMYFUNCTION("IF(IF(COUNTIF(P$2:P5722, P5723)=0, """", INDEX(H$2:H5722,
MAX(FILTER(ROW(H$2:H5722) - ROW(H$2) + 1, P$2:P5722 = P5723))))=""単価"","""",
IF(COUNTIF(P$2:P5722, P5723)=0, """", INDEX(H$2:H5722,
MAX(FILTER(ROW(H$2:H5722) - ROW(H$2) + 1, P$2:P5722 = P5723)))))"),48.5)</f>
        <v>48.5</v>
      </c>
      <c r="N5723" s="335" t="str">
        <f>IF(MAXIFS('単価履歴'!$O:$O,'単価履歴'!$E:$E,E5723,'単価履歴'!$F:$F,F5723)=O5723,"●","")</f>
        <v>●</v>
      </c>
      <c r="O5723" s="346">
        <v>46128.2821875</v>
      </c>
      <c r="P5723" s="334" t="str">
        <f t="shared" si="4"/>
        <v>大同特殊鋼:JSE/岐阜＠1.5鋼ダライＡ</v>
      </c>
    </row>
    <row r="5724" ht="15.75" customHeight="1">
      <c r="A5724" s="335" t="s">
        <v>6871</v>
      </c>
      <c r="B5724" s="336">
        <v>46128.0</v>
      </c>
      <c r="C5724" s="349" t="s">
        <v>19</v>
      </c>
      <c r="D5724" s="349" t="s">
        <v>61</v>
      </c>
      <c r="E5724" s="337" t="str">
        <f t="shared" si="1"/>
        <v>トピー工業:ＭＭ</v>
      </c>
      <c r="F5724" s="338" t="s">
        <v>116</v>
      </c>
      <c r="G5724" s="339" t="str">
        <f t="shared" si="2"/>
        <v>トピー工業:ＭＭＨ２(特級)</v>
      </c>
      <c r="H5724" s="340">
        <f t="shared" si="3"/>
        <v>47</v>
      </c>
      <c r="I5724" s="341">
        <v>0.5</v>
      </c>
      <c r="J5724" s="332">
        <f>IFERROR(__xludf.DUMMYFUNCTION("IF(IF(COUNTIF(P$2:P5723, P5724)=0, """", INDEX(H$2:H5723,
MAX(FILTER(ROW(H$2:H5723) - ROW(H$2) + 1, P$2:P5723 = P5724))))=""単価"","""",
IF(COUNTIF(P$2:P5723, P5724)=0, """", INDEX(H$2:H5723,
MAX(FILTER(ROW(H$2:H5723) - ROW(H$2) + 1, P$2:P5723 = P5724)))))"),46.5)</f>
        <v>46.5</v>
      </c>
      <c r="N5724" s="335" t="str">
        <f>IF(MAXIFS('単価履歴'!$O:$O,'単価履歴'!$E:$E,E5724,'単価履歴'!$F:$F,F5724)=O5724,"●","")</f>
        <v>●</v>
      </c>
      <c r="O5724" s="346">
        <v>46128.282430555555</v>
      </c>
      <c r="P5724" s="334" t="str">
        <f t="shared" si="4"/>
        <v>トピー工業:ＭＭＨ２(特級)</v>
      </c>
    </row>
    <row r="5725" ht="15.75" customHeight="1">
      <c r="A5725" s="335" t="s">
        <v>6872</v>
      </c>
      <c r="B5725" s="336">
        <v>46128.0</v>
      </c>
      <c r="C5725" s="349" t="s">
        <v>37</v>
      </c>
      <c r="D5725" s="349" t="s">
        <v>48</v>
      </c>
      <c r="E5725" s="337" t="str">
        <f t="shared" si="1"/>
        <v>共英名古屋:ナベ</v>
      </c>
      <c r="F5725" s="338" t="s">
        <v>111</v>
      </c>
      <c r="G5725" s="339" t="str">
        <f t="shared" si="2"/>
        <v>共英名古屋:ナベＨ１(特A)</v>
      </c>
      <c r="H5725" s="340">
        <f t="shared" si="3"/>
        <v>54.7</v>
      </c>
      <c r="I5725" s="341">
        <v>0.5</v>
      </c>
      <c r="J5725" s="332">
        <f>IFERROR(__xludf.DUMMYFUNCTION("IF(IF(COUNTIF(P$2:P5724, P5725)=0, """", INDEX(H$2:H5724,
MAX(FILTER(ROW(H$2:H5724) - ROW(H$2) + 1, P$2:P5724 = P5725))))=""単価"","""",
IF(COUNTIF(P$2:P5724, P5725)=0, """", INDEX(H$2:H5724,
MAX(FILTER(ROW(H$2:H5724) - ROW(H$2) + 1, P$2:P5724 = P5725)))))"),54.2)</f>
        <v>54.2</v>
      </c>
      <c r="N5725" s="335" t="str">
        <f>IF(MAXIFS('単価履歴'!$O:$O,'単価履歴'!$E:$E,E5725,'単価履歴'!$F:$F,F5725)=O5725,"●","")</f>
        <v>●</v>
      </c>
      <c r="O5725" s="346">
        <v>46128.28260416667</v>
      </c>
      <c r="P5725" s="334" t="str">
        <f t="shared" si="4"/>
        <v>共英名古屋:ナベＨ１(特A)</v>
      </c>
    </row>
    <row r="5726" ht="15.75" customHeight="1">
      <c r="A5726" s="335" t="s">
        <v>6873</v>
      </c>
      <c r="B5726" s="336">
        <v>46128.0</v>
      </c>
      <c r="C5726" s="349" t="s">
        <v>37</v>
      </c>
      <c r="D5726" s="349" t="s">
        <v>48</v>
      </c>
      <c r="E5726" s="337" t="str">
        <f t="shared" si="1"/>
        <v>共英名古屋:ナベ</v>
      </c>
      <c r="F5726" s="338" t="s">
        <v>116</v>
      </c>
      <c r="G5726" s="339" t="str">
        <f t="shared" si="2"/>
        <v>共英名古屋:ナベＨ２(特級)</v>
      </c>
      <c r="H5726" s="340">
        <f t="shared" si="3"/>
        <v>52</v>
      </c>
      <c r="I5726" s="341">
        <v>0.5</v>
      </c>
      <c r="J5726" s="332">
        <f>IFERROR(__xludf.DUMMYFUNCTION("IF(IF(COUNTIF(P$2:P5725, P5726)=0, """", INDEX(H$2:H5725,
MAX(FILTER(ROW(H$2:H5725) - ROW(H$2) + 1, P$2:P5725 = P5726))))=""単価"","""",
IF(COUNTIF(P$2:P5725, P5726)=0, """", INDEX(H$2:H5725,
MAX(FILTER(ROW(H$2:H5725) - ROW(H$2) + 1, P$2:P5725 = P5726)))))"),51.5)</f>
        <v>51.5</v>
      </c>
      <c r="N5726" s="335" t="str">
        <f>IF(MAXIFS('単価履歴'!$O:$O,'単価履歴'!$E:$E,E5726,'単価履歴'!$F:$F,F5726)=O5726,"●","")</f>
        <v>●</v>
      </c>
      <c r="O5726" s="346">
        <v>46128.28260416667</v>
      </c>
      <c r="P5726" s="334" t="str">
        <f t="shared" si="4"/>
        <v>共英名古屋:ナベＨ２(特級)</v>
      </c>
    </row>
    <row r="5727" ht="15.75" customHeight="1">
      <c r="A5727" s="335" t="s">
        <v>6874</v>
      </c>
      <c r="B5727" s="336">
        <v>46128.0</v>
      </c>
      <c r="C5727" s="349" t="s">
        <v>37</v>
      </c>
      <c r="D5727" s="349" t="s">
        <v>48</v>
      </c>
      <c r="E5727" s="337" t="str">
        <f t="shared" si="1"/>
        <v>共英名古屋:ナベ</v>
      </c>
      <c r="F5727" s="338" t="s">
        <v>119</v>
      </c>
      <c r="G5727" s="339" t="str">
        <f t="shared" si="2"/>
        <v>共英名古屋:ナベＨ３(1級)</v>
      </c>
      <c r="H5727" s="340">
        <f t="shared" si="3"/>
        <v>51</v>
      </c>
      <c r="I5727" s="341">
        <v>0.5</v>
      </c>
      <c r="J5727" s="332">
        <f>IFERROR(__xludf.DUMMYFUNCTION("IF(IF(COUNTIF(P$2:P5726, P5727)=0, """", INDEX(H$2:H5726,
MAX(FILTER(ROW(H$2:H5726) - ROW(H$2) + 1, P$2:P5726 = P5727))))=""単価"","""",
IF(COUNTIF(P$2:P5726, P5727)=0, """", INDEX(H$2:H5726,
MAX(FILTER(ROW(H$2:H5726) - ROW(H$2) + 1, P$2:P5726 = P5727)))))"),50.5)</f>
        <v>50.5</v>
      </c>
      <c r="N5727" s="335" t="str">
        <f>IF(MAXIFS('単価履歴'!$O:$O,'単価履歴'!$E:$E,E5727,'単価履歴'!$F:$F,F5727)=O5727,"●","")</f>
        <v>●</v>
      </c>
      <c r="O5727" s="346">
        <v>46128.28260416667</v>
      </c>
      <c r="P5727" s="334" t="str">
        <f t="shared" si="4"/>
        <v>共英名古屋:ナベＨ３(1級)</v>
      </c>
    </row>
    <row r="5728" ht="15.75" customHeight="1">
      <c r="A5728" s="335" t="s">
        <v>6875</v>
      </c>
      <c r="B5728" s="336">
        <v>46128.0</v>
      </c>
      <c r="C5728" s="349" t="s">
        <v>37</v>
      </c>
      <c r="D5728" s="349" t="s">
        <v>48</v>
      </c>
      <c r="E5728" s="337" t="str">
        <f t="shared" si="1"/>
        <v>共英名古屋:ナベ</v>
      </c>
      <c r="F5728" s="338" t="s">
        <v>122</v>
      </c>
      <c r="G5728" s="339" t="str">
        <f t="shared" si="2"/>
        <v>共英名古屋:ナベＬ１(2級)</v>
      </c>
      <c r="H5728" s="340">
        <f t="shared" si="3"/>
        <v>48</v>
      </c>
      <c r="I5728" s="341">
        <v>0.5</v>
      </c>
      <c r="J5728" s="332">
        <f>IFERROR(__xludf.DUMMYFUNCTION("IF(IF(COUNTIF(P$2:P5727, P5728)=0, """", INDEX(H$2:H5727,
MAX(FILTER(ROW(H$2:H5727) - ROW(H$2) + 1, P$2:P5727 = P5728))))=""単価"","""",
IF(COUNTIF(P$2:P5727, P5728)=0, """", INDEX(H$2:H5727,
MAX(FILTER(ROW(H$2:H5727) - ROW(H$2) + 1, P$2:P5727 = P5728)))))"),47.5)</f>
        <v>47.5</v>
      </c>
      <c r="N5728" s="335" t="str">
        <f>IF(MAXIFS('単価履歴'!$O:$O,'単価履歴'!$E:$E,E5728,'単価履歴'!$F:$F,F5728)=O5728,"●","")</f>
        <v>●</v>
      </c>
      <c r="O5728" s="346">
        <v>46128.28260416667</v>
      </c>
      <c r="P5728" s="334" t="str">
        <f t="shared" si="4"/>
        <v>共英名古屋:ナベＬ１(2級)</v>
      </c>
    </row>
    <row r="5729" ht="15.75" customHeight="1">
      <c r="A5729" s="335" t="s">
        <v>6876</v>
      </c>
      <c r="B5729" s="336">
        <v>46128.0</v>
      </c>
      <c r="C5729" s="349" t="s">
        <v>22</v>
      </c>
      <c r="D5729" s="349" t="s">
        <v>47</v>
      </c>
      <c r="E5729" s="337" t="str">
        <f t="shared" si="1"/>
        <v>栗本鐵工:豊通</v>
      </c>
      <c r="F5729" s="338" t="s">
        <v>1199</v>
      </c>
      <c r="G5729" s="339" t="str">
        <f t="shared" si="2"/>
        <v>栗本鐵工:豊通ＨＳ１(単体H1/電特A/HS))</v>
      </c>
      <c r="H5729" s="340">
        <f t="shared" si="3"/>
        <v>58.8</v>
      </c>
      <c r="I5729" s="341">
        <v>0.5</v>
      </c>
      <c r="J5729" s="332">
        <f>IFERROR(__xludf.DUMMYFUNCTION("IF(IF(COUNTIF(P$2:P5728, P5729)=0, """", INDEX(H$2:H5728,
MAX(FILTER(ROW(H$2:H5728) - ROW(H$2) + 1, P$2:P5728 = P5729))))=""単価"","""",
IF(COUNTIF(P$2:P5728, P5729)=0, """", INDEX(H$2:H5728,
MAX(FILTER(ROW(H$2:H5728) - ROW(H$2) + 1, P$2:P5728 = P5729)))))"),58.3)</f>
        <v>58.3</v>
      </c>
      <c r="N5729" s="335" t="str">
        <f>IF(MAXIFS('単価履歴'!$O:$O,'単価履歴'!$E:$E,E5729,'単価履歴'!$F:$F,F5729)=O5729,"●","")</f>
        <v>●</v>
      </c>
      <c r="O5729" s="346">
        <v>46128.320243055554</v>
      </c>
      <c r="P5729" s="334" t="str">
        <f t="shared" si="4"/>
        <v>栗本鐵工:豊通ＨＳ１(単体H1/電特A/HS))</v>
      </c>
    </row>
    <row r="5730" ht="15.75" customHeight="1">
      <c r="A5730" s="335" t="s">
        <v>6877</v>
      </c>
      <c r="B5730" s="336">
        <v>46128.0</v>
      </c>
      <c r="C5730" s="349" t="s">
        <v>22</v>
      </c>
      <c r="D5730" s="349" t="s">
        <v>47</v>
      </c>
      <c r="E5730" s="337" t="str">
        <f t="shared" si="1"/>
        <v>栗本鐵工:豊通</v>
      </c>
      <c r="F5730" s="338" t="s">
        <v>101</v>
      </c>
      <c r="G5730" s="339" t="str">
        <f t="shared" si="2"/>
        <v>栗本鐵工:豊通ＨＳ２</v>
      </c>
      <c r="H5730" s="340">
        <f t="shared" si="3"/>
        <v>58.5</v>
      </c>
      <c r="I5730" s="341">
        <v>0.5</v>
      </c>
      <c r="J5730" s="332">
        <f>IFERROR(__xludf.DUMMYFUNCTION("IF(IF(COUNTIF(P$2:P5729, P5730)=0, """", INDEX(H$2:H5729,
MAX(FILTER(ROW(H$2:H5729) - ROW(H$2) + 1, P$2:P5729 = P5730))))=""単価"","""",
IF(COUNTIF(P$2:P5729, P5730)=0, """", INDEX(H$2:H5729,
MAX(FILTER(ROW(H$2:H5729) - ROW(H$2) + 1, P$2:P5729 = P5730)))))"),58.0)</f>
        <v>58</v>
      </c>
      <c r="N5730" s="335" t="str">
        <f>IF(MAXIFS('単価履歴'!$O:$O,'単価履歴'!$E:$E,E5730,'単価履歴'!$F:$F,F5730)=O5730,"●","")</f>
        <v>●</v>
      </c>
      <c r="O5730" s="346">
        <v>46128.320243055554</v>
      </c>
      <c r="P5730" s="334" t="str">
        <f t="shared" si="4"/>
        <v>栗本鐵工:豊通ＨＳ２</v>
      </c>
    </row>
    <row r="5731" ht="15.75" customHeight="1">
      <c r="A5731" s="335" t="s">
        <v>6878</v>
      </c>
      <c r="B5731" s="336">
        <v>46128.0</v>
      </c>
      <c r="C5731" s="349" t="s">
        <v>22</v>
      </c>
      <c r="D5731" s="349" t="s">
        <v>47</v>
      </c>
      <c r="E5731" s="337" t="str">
        <f t="shared" si="1"/>
        <v>栗本鐵工:豊通</v>
      </c>
      <c r="F5731" s="338" t="s">
        <v>105</v>
      </c>
      <c r="G5731" s="339" t="str">
        <f t="shared" si="2"/>
        <v>栗本鐵工:豊通ＨＳ３</v>
      </c>
      <c r="H5731" s="340">
        <f t="shared" si="3"/>
        <v>57.6</v>
      </c>
      <c r="I5731" s="341">
        <v>0.5</v>
      </c>
      <c r="J5731" s="332">
        <f>IFERROR(__xludf.DUMMYFUNCTION("IF(IF(COUNTIF(P$2:P5730, P5731)=0, """", INDEX(H$2:H5730,
MAX(FILTER(ROW(H$2:H5730) - ROW(H$2) + 1, P$2:P5730 = P5731))))=""単価"","""",
IF(COUNTIF(P$2:P5730, P5731)=0, """", INDEX(H$2:H5730,
MAX(FILTER(ROW(H$2:H5730) - ROW(H$2) + 1, P$2:P5730 = P5731)))))"),57.1)</f>
        <v>57.1</v>
      </c>
      <c r="N5731" s="335" t="str">
        <f>IF(MAXIFS('単価履歴'!$O:$O,'単価履歴'!$E:$E,E5731,'単価履歴'!$F:$F,F5731)=O5731,"●","")</f>
        <v>●</v>
      </c>
      <c r="O5731" s="346">
        <v>46128.320243055554</v>
      </c>
      <c r="P5731" s="334" t="str">
        <f t="shared" si="4"/>
        <v>栗本鐵工:豊通ＨＳ３</v>
      </c>
    </row>
    <row r="5732" ht="15.75" customHeight="1">
      <c r="A5732" s="335" t="s">
        <v>6879</v>
      </c>
      <c r="B5732" s="336">
        <v>46128.0</v>
      </c>
      <c r="C5732" s="349" t="s">
        <v>22</v>
      </c>
      <c r="D5732" s="349" t="s">
        <v>47</v>
      </c>
      <c r="E5732" s="337" t="str">
        <f t="shared" si="1"/>
        <v>栗本鐵工:豊通</v>
      </c>
      <c r="F5732" s="338" t="s">
        <v>577</v>
      </c>
      <c r="G5732" s="339" t="str">
        <f t="shared" si="2"/>
        <v>栗本鐵工:豊通鋳物・ﾀﾞｸﾀｲﾙ</v>
      </c>
      <c r="H5732" s="340">
        <f t="shared" si="3"/>
        <v>57.4</v>
      </c>
      <c r="I5732" s="341">
        <v>0.5</v>
      </c>
      <c r="J5732" s="332">
        <f>IFERROR(__xludf.DUMMYFUNCTION("IF(IF(COUNTIF(P$2:P5731, P5732)=0, """", INDEX(H$2:H5731,
MAX(FILTER(ROW(H$2:H5731) - ROW(H$2) + 1, P$2:P5731 = P5732))))=""単価"","""",
IF(COUNTIF(P$2:P5731, P5732)=0, """", INDEX(H$2:H5731,
MAX(FILTER(ROW(H$2:H5731) - ROW(H$2) + 1, P$2:P5731 = P5732)))))"),56.9)</f>
        <v>56.9</v>
      </c>
      <c r="N5732" s="335" t="str">
        <f>IF(MAXIFS('単価履歴'!$O:$O,'単価履歴'!$E:$E,E5732,'単価履歴'!$F:$F,F5732)=O5732,"●","")</f>
        <v>●</v>
      </c>
      <c r="O5732" s="346">
        <v>46128.320243055554</v>
      </c>
      <c r="P5732" s="334" t="str">
        <f t="shared" si="4"/>
        <v>栗本鐵工:豊通鋳物・ﾀﾞｸﾀｲﾙ</v>
      </c>
    </row>
    <row r="5733" ht="15.75" customHeight="1">
      <c r="A5733" s="335" t="s">
        <v>6880</v>
      </c>
      <c r="B5733" s="336">
        <v>46128.0</v>
      </c>
      <c r="C5733" s="349" t="s">
        <v>31</v>
      </c>
      <c r="D5733" s="349" t="s">
        <v>47</v>
      </c>
      <c r="E5733" s="337" t="str">
        <f t="shared" si="1"/>
        <v>泉北中谷:豊通</v>
      </c>
      <c r="F5733" s="338" t="s">
        <v>130</v>
      </c>
      <c r="G5733" s="339" t="str">
        <f t="shared" si="2"/>
        <v>泉北中谷:豊通新断Ａ</v>
      </c>
      <c r="H5733" s="340">
        <f t="shared" si="3"/>
        <v>57.5</v>
      </c>
      <c r="I5733" s="341">
        <v>0.5</v>
      </c>
      <c r="J5733" s="332">
        <f>IFERROR(__xludf.DUMMYFUNCTION("IF(IF(COUNTIF(P$2:P5732, P5733)=0, """", INDEX(H$2:H5732,
MAX(FILTER(ROW(H$2:H5732) - ROW(H$2) + 1, P$2:P5732 = P5733))))=""単価"","""",
IF(COUNTIF(P$2:P5732, P5733)=0, """", INDEX(H$2:H5732,
MAX(FILTER(ROW(H$2:H5732) - ROW(H$2) + 1, P$2:P5732 = P5733)))))"),57.0)</f>
        <v>57</v>
      </c>
      <c r="N5733" s="335" t="str">
        <f>IF(MAXIFS('単価履歴'!$O:$O,'単価履歴'!$E:$E,E5733,'単価履歴'!$F:$F,F5733)=O5733,"●","")</f>
        <v>●</v>
      </c>
      <c r="O5733" s="346">
        <v>46128.320486111115</v>
      </c>
      <c r="P5733" s="334" t="str">
        <f t="shared" si="4"/>
        <v>泉北中谷:豊通新断Ａ</v>
      </c>
    </row>
    <row r="5734" ht="15.75" customHeight="1">
      <c r="A5734" s="335" t="s">
        <v>6881</v>
      </c>
      <c r="B5734" s="336">
        <v>46128.0</v>
      </c>
      <c r="C5734" s="349" t="s">
        <v>12</v>
      </c>
      <c r="D5734" s="349" t="s">
        <v>50</v>
      </c>
      <c r="E5734" s="337" t="str">
        <f t="shared" si="1"/>
        <v>山陽特殊:産振</v>
      </c>
      <c r="F5734" s="338" t="s">
        <v>1199</v>
      </c>
      <c r="G5734" s="339" t="str">
        <f t="shared" si="2"/>
        <v>山陽特殊:産振ＨＳ１(単体H1/電特A/HS))</v>
      </c>
      <c r="H5734" s="340">
        <f t="shared" si="3"/>
        <v>56.1</v>
      </c>
      <c r="I5734" s="341">
        <v>0.5</v>
      </c>
      <c r="J5734" s="332">
        <f>IFERROR(__xludf.DUMMYFUNCTION("IF(IF(COUNTIF(P$2:P5733, P5734)=0, """", INDEX(H$2:H5733,
MAX(FILTER(ROW(H$2:H5733) - ROW(H$2) + 1, P$2:P5733 = P5734))))=""単価"","""",
IF(COUNTIF(P$2:P5733, P5734)=0, """", INDEX(H$2:H5733,
MAX(FILTER(ROW(H$2:H5733) - ROW(H$2) + 1, P$2:P5733 = P5734)))))"),55.6)</f>
        <v>55.6</v>
      </c>
      <c r="N5734" s="335" t="str">
        <f>IF(MAXIFS('単価履歴'!$O:$O,'単価履歴'!$E:$E,E5734,'単価履歴'!$F:$F,F5734)=O5734,"●","")</f>
        <v>●</v>
      </c>
      <c r="O5734" s="346">
        <v>46128.32351851852</v>
      </c>
      <c r="P5734" s="334" t="str">
        <f t="shared" si="4"/>
        <v>山陽特殊:産振ＨＳ１(単体H1/電特A/HS))</v>
      </c>
    </row>
    <row r="5735" ht="15.75" customHeight="1">
      <c r="A5735" s="335" t="s">
        <v>6882</v>
      </c>
      <c r="B5735" s="336">
        <v>46128.0</v>
      </c>
      <c r="C5735" s="349" t="s">
        <v>12</v>
      </c>
      <c r="D5735" s="349" t="s">
        <v>50</v>
      </c>
      <c r="E5735" s="337" t="str">
        <f t="shared" si="1"/>
        <v>山陽特殊:産振</v>
      </c>
      <c r="F5735" s="338" t="s">
        <v>101</v>
      </c>
      <c r="G5735" s="339" t="str">
        <f t="shared" si="2"/>
        <v>山陽特殊:産振ＨＳ２</v>
      </c>
      <c r="H5735" s="340">
        <f t="shared" si="3"/>
        <v>55.9</v>
      </c>
      <c r="I5735" s="341">
        <v>0.5</v>
      </c>
      <c r="J5735" s="332">
        <f>IFERROR(__xludf.DUMMYFUNCTION("IF(IF(COUNTIF(P$2:P5734, P5735)=0, """", INDEX(H$2:H5734,
MAX(FILTER(ROW(H$2:H5734) - ROW(H$2) + 1, P$2:P5734 = P5735))))=""単価"","""",
IF(COUNTIF(P$2:P5734, P5735)=0, """", INDEX(H$2:H5734,
MAX(FILTER(ROW(H$2:H5734) - ROW(H$2) + 1, P$2:P5734 = P5735)))))"),55.4)</f>
        <v>55.4</v>
      </c>
      <c r="N5735" s="335" t="str">
        <f>IF(MAXIFS('単価履歴'!$O:$O,'単価履歴'!$E:$E,E5735,'単価履歴'!$F:$F,F5735)=O5735,"●","")</f>
        <v>●</v>
      </c>
      <c r="O5735" s="346">
        <v>46128.32351851852</v>
      </c>
      <c r="P5735" s="334" t="str">
        <f t="shared" si="4"/>
        <v>山陽特殊:産振ＨＳ２</v>
      </c>
    </row>
    <row r="5736" ht="15.75" customHeight="1">
      <c r="A5736" s="335" t="s">
        <v>6883</v>
      </c>
      <c r="B5736" s="336">
        <v>46128.0</v>
      </c>
      <c r="C5736" s="349" t="s">
        <v>12</v>
      </c>
      <c r="D5736" s="349" t="s">
        <v>50</v>
      </c>
      <c r="E5736" s="337" t="str">
        <f t="shared" si="1"/>
        <v>山陽特殊:産振</v>
      </c>
      <c r="F5736" s="338" t="s">
        <v>105</v>
      </c>
      <c r="G5736" s="339" t="str">
        <f t="shared" si="2"/>
        <v>山陽特殊:産振ＨＳ３</v>
      </c>
      <c r="H5736" s="340">
        <f t="shared" si="3"/>
        <v>53.9</v>
      </c>
      <c r="I5736" s="341">
        <v>0.5</v>
      </c>
      <c r="J5736" s="332">
        <f>IFERROR(__xludf.DUMMYFUNCTION("IF(IF(COUNTIF(P$2:P5735, P5736)=0, """", INDEX(H$2:H5735,
MAX(FILTER(ROW(H$2:H5735) - ROW(H$2) + 1, P$2:P5735 = P5736))))=""単価"","""",
IF(COUNTIF(P$2:P5735, P5736)=0, """", INDEX(H$2:H5735,
MAX(FILTER(ROW(H$2:H5735) - ROW(H$2) + 1, P$2:P5735 = P5736)))))"),53.4)</f>
        <v>53.4</v>
      </c>
      <c r="N5736" s="335" t="str">
        <f>IF(MAXIFS('単価履歴'!$O:$O,'単価履歴'!$E:$E,E5736,'単価履歴'!$F:$F,F5736)=O5736,"●","")</f>
        <v>●</v>
      </c>
      <c r="O5736" s="346">
        <v>46128.32351851852</v>
      </c>
      <c r="P5736" s="334" t="str">
        <f t="shared" si="4"/>
        <v>山陽特殊:産振ＨＳ３</v>
      </c>
    </row>
    <row r="5737" ht="15.75" customHeight="1">
      <c r="A5737" s="335" t="s">
        <v>6884</v>
      </c>
      <c r="B5737" s="336">
        <v>46128.0</v>
      </c>
      <c r="C5737" s="349" t="s">
        <v>12</v>
      </c>
      <c r="D5737" s="349" t="s">
        <v>53</v>
      </c>
      <c r="E5737" s="337" t="str">
        <f t="shared" si="1"/>
        <v>山陽特殊:MM</v>
      </c>
      <c r="F5737" s="338" t="s">
        <v>1199</v>
      </c>
      <c r="G5737" s="339" t="str">
        <f t="shared" si="2"/>
        <v>山陽特殊:MMＨＳ１(単体H1/電特A/HS))</v>
      </c>
      <c r="H5737" s="340">
        <f t="shared" si="3"/>
        <v>59</v>
      </c>
      <c r="I5737" s="341">
        <v>0.5</v>
      </c>
      <c r="J5737" s="332">
        <f>IFERROR(__xludf.DUMMYFUNCTION("IF(IF(COUNTIF(P$2:P5736, P5737)=0, """", INDEX(H$2:H5736,
MAX(FILTER(ROW(H$2:H5736) - ROW(H$2) + 1, P$2:P5736 = P5737))))=""単価"","""",
IF(COUNTIF(P$2:P5736, P5737)=0, """", INDEX(H$2:H5736,
MAX(FILTER(ROW(H$2:H5736) - ROW(H$2) + 1, P$2:P5736 = P5737)))))"),58.5)</f>
        <v>58.5</v>
      </c>
      <c r="N5737" s="335" t="str">
        <f>IF(MAXIFS('単価履歴'!$O:$O,'単価履歴'!$E:$E,E5737,'単価履歴'!$F:$F,F5737)=O5737,"●","")</f>
        <v>●</v>
      </c>
      <c r="O5737" s="346">
        <v>46128.32380787037</v>
      </c>
      <c r="P5737" s="334" t="str">
        <f t="shared" si="4"/>
        <v>山陽特殊:MMＨＳ１(単体H1/電特A/HS))</v>
      </c>
    </row>
    <row r="5738" ht="15.75" customHeight="1">
      <c r="A5738" s="335" t="s">
        <v>6885</v>
      </c>
      <c r="B5738" s="336">
        <v>46128.0</v>
      </c>
      <c r="C5738" s="349" t="s">
        <v>12</v>
      </c>
      <c r="D5738" s="349" t="s">
        <v>53</v>
      </c>
      <c r="E5738" s="337" t="str">
        <f t="shared" si="1"/>
        <v>山陽特殊:MM</v>
      </c>
      <c r="F5738" s="338" t="s">
        <v>101</v>
      </c>
      <c r="G5738" s="339" t="str">
        <f t="shared" si="2"/>
        <v>山陽特殊:MMＨＳ２</v>
      </c>
      <c r="H5738" s="340">
        <f t="shared" si="3"/>
        <v>58.8</v>
      </c>
      <c r="I5738" s="341">
        <v>0.5</v>
      </c>
      <c r="J5738" s="332">
        <f>IFERROR(__xludf.DUMMYFUNCTION("IF(IF(COUNTIF(P$2:P5737, P5738)=0, """", INDEX(H$2:H5737,
MAX(FILTER(ROW(H$2:H5737) - ROW(H$2) + 1, P$2:P5737 = P5738))))=""単価"","""",
IF(COUNTIF(P$2:P5737, P5738)=0, """", INDEX(H$2:H5737,
MAX(FILTER(ROW(H$2:H5737) - ROW(H$2) + 1, P$2:P5737 = P5738)))))"),58.3)</f>
        <v>58.3</v>
      </c>
      <c r="N5738" s="335" t="str">
        <f>IF(MAXIFS('単価履歴'!$O:$O,'単価履歴'!$E:$E,E5738,'単価履歴'!$F:$F,F5738)=O5738,"●","")</f>
        <v>●</v>
      </c>
      <c r="O5738" s="346">
        <v>46128.32380787037</v>
      </c>
      <c r="P5738" s="334" t="str">
        <f t="shared" si="4"/>
        <v>山陽特殊:MMＨＳ２</v>
      </c>
    </row>
    <row r="5739" ht="15.75" customHeight="1">
      <c r="A5739" s="335" t="s">
        <v>6886</v>
      </c>
      <c r="B5739" s="336">
        <v>46128.0</v>
      </c>
      <c r="C5739" s="349" t="s">
        <v>12</v>
      </c>
      <c r="D5739" s="349" t="s">
        <v>53</v>
      </c>
      <c r="E5739" s="337" t="str">
        <f t="shared" si="1"/>
        <v>山陽特殊:MM</v>
      </c>
      <c r="F5739" s="338" t="s">
        <v>105</v>
      </c>
      <c r="G5739" s="339" t="str">
        <f t="shared" si="2"/>
        <v>山陽特殊:MMＨＳ３</v>
      </c>
      <c r="H5739" s="340">
        <f t="shared" si="3"/>
        <v>56.8</v>
      </c>
      <c r="I5739" s="341">
        <v>0.5</v>
      </c>
      <c r="J5739" s="332">
        <f>IFERROR(__xludf.DUMMYFUNCTION("IF(IF(COUNTIF(P$2:P5738, P5739)=0, """", INDEX(H$2:H5738,
MAX(FILTER(ROW(H$2:H5738) - ROW(H$2) + 1, P$2:P5738 = P5739))))=""単価"","""",
IF(COUNTIF(P$2:P5738, P5739)=0, """", INDEX(H$2:H5738,
MAX(FILTER(ROW(H$2:H5738) - ROW(H$2) + 1, P$2:P5738 = P5739)))))"),56.3)</f>
        <v>56.3</v>
      </c>
      <c r="N5739" s="335" t="str">
        <f>IF(MAXIFS('単価履歴'!$O:$O,'単価履歴'!$E:$E,E5739,'単価履歴'!$F:$F,F5739)=O5739,"●","")</f>
        <v>●</v>
      </c>
      <c r="O5739" s="346">
        <v>46128.32380787037</v>
      </c>
      <c r="P5739" s="334" t="str">
        <f t="shared" si="4"/>
        <v>山陽特殊:MMＨＳ３</v>
      </c>
    </row>
    <row r="5740" ht="15.75" customHeight="1">
      <c r="A5740" s="335" t="s">
        <v>6887</v>
      </c>
      <c r="B5740" s="336">
        <v>46128.0</v>
      </c>
      <c r="C5740" s="349" t="s">
        <v>12</v>
      </c>
      <c r="D5740" s="349" t="s">
        <v>53</v>
      </c>
      <c r="E5740" s="337" t="str">
        <f t="shared" si="1"/>
        <v>山陽特殊:MM</v>
      </c>
      <c r="F5740" s="338" t="s">
        <v>122</v>
      </c>
      <c r="G5740" s="339" t="str">
        <f t="shared" si="2"/>
        <v>山陽特殊:MMＬ１(2級)</v>
      </c>
      <c r="H5740" s="340">
        <f t="shared" si="3"/>
        <v>15</v>
      </c>
      <c r="I5740" s="341">
        <v>0.5</v>
      </c>
      <c r="J5740" s="332">
        <f>IFERROR(__xludf.DUMMYFUNCTION("IF(IF(COUNTIF(P$2:P5739, P5740)=0, """", INDEX(H$2:H5739,
MAX(FILTER(ROW(H$2:H5739) - ROW(H$2) + 1, P$2:P5739 = P5740))))=""単価"","""",
IF(COUNTIF(P$2:P5739, P5740)=0, """", INDEX(H$2:H5739,
MAX(FILTER(ROW(H$2:H5739) - ROW(H$2) + 1, P$2:P5739 = P5740)))))"),14.5)</f>
        <v>14.5</v>
      </c>
      <c r="N5740" s="335" t="str">
        <f>IF(MAXIFS('単価履歴'!$O:$O,'単価履歴'!$E:$E,E5740,'単価履歴'!$F:$F,F5740)=O5740,"●","")</f>
        <v>●</v>
      </c>
      <c r="O5740" s="346">
        <v>46128.32380787037</v>
      </c>
      <c r="P5740" s="334" t="str">
        <f t="shared" si="4"/>
        <v>山陽特殊:MMＬ１(2級)</v>
      </c>
    </row>
    <row r="5741" ht="15.75" customHeight="1">
      <c r="A5741" s="335" t="s">
        <v>6888</v>
      </c>
      <c r="B5741" s="336">
        <v>46128.0</v>
      </c>
      <c r="C5741" s="349" t="s">
        <v>12</v>
      </c>
      <c r="D5741" s="349" t="s">
        <v>53</v>
      </c>
      <c r="E5741" s="337" t="str">
        <f t="shared" si="1"/>
        <v>山陽特殊:MM</v>
      </c>
      <c r="F5741" s="338" t="s">
        <v>130</v>
      </c>
      <c r="G5741" s="339" t="str">
        <f t="shared" si="2"/>
        <v>山陽特殊:MM新断Ａ</v>
      </c>
      <c r="H5741" s="340">
        <f t="shared" si="3"/>
        <v>58.5</v>
      </c>
      <c r="I5741" s="341">
        <v>0.5</v>
      </c>
      <c r="J5741" s="332">
        <f>IFERROR(__xludf.DUMMYFUNCTION("IF(IF(COUNTIF(P$2:P5740, P5741)=0, """", INDEX(H$2:H5740,
MAX(FILTER(ROW(H$2:H5740) - ROW(H$2) + 1, P$2:P5740 = P5741))))=""単価"","""",
IF(COUNTIF(P$2:P5740, P5741)=0, """", INDEX(H$2:H5740,
MAX(FILTER(ROW(H$2:H5740) - ROW(H$2) + 1, P$2:P5740 = P5741)))))"),58.0)</f>
        <v>58</v>
      </c>
      <c r="N5741" s="335" t="str">
        <f>IF(MAXIFS('単価履歴'!$O:$O,'単価履歴'!$E:$E,E5741,'単価履歴'!$F:$F,F5741)=O5741,"●","")</f>
        <v>●</v>
      </c>
      <c r="O5741" s="346">
        <v>46128.32380787037</v>
      </c>
      <c r="P5741" s="334" t="str">
        <f t="shared" si="4"/>
        <v>山陽特殊:MM新断Ａ</v>
      </c>
    </row>
    <row r="5742" ht="15.75" customHeight="1">
      <c r="A5742" s="335" t="s">
        <v>6889</v>
      </c>
      <c r="B5742" s="336">
        <v>46128.0</v>
      </c>
      <c r="C5742" s="349" t="s">
        <v>12</v>
      </c>
      <c r="D5742" s="349" t="s">
        <v>53</v>
      </c>
      <c r="E5742" s="337" t="str">
        <f t="shared" si="1"/>
        <v>山陽特殊:MM</v>
      </c>
      <c r="F5742" s="338" t="s">
        <v>131</v>
      </c>
      <c r="G5742" s="339" t="str">
        <f t="shared" si="2"/>
        <v>山陽特殊:MM新断Ｂ</v>
      </c>
      <c r="H5742" s="340">
        <f t="shared" si="3"/>
        <v>57.5</v>
      </c>
      <c r="I5742" s="341">
        <v>0.5</v>
      </c>
      <c r="J5742" s="332">
        <f>IFERROR(__xludf.DUMMYFUNCTION("IF(IF(COUNTIF(P$2:P5741, P5742)=0, """", INDEX(H$2:H5741,
MAX(FILTER(ROW(H$2:H5741) - ROW(H$2) + 1, P$2:P5741 = P5742))))=""単価"","""",
IF(COUNTIF(P$2:P5741, P5742)=0, """", INDEX(H$2:H5741,
MAX(FILTER(ROW(H$2:H5741) - ROW(H$2) + 1, P$2:P5741 = P5742)))))"),57.0)</f>
        <v>57</v>
      </c>
      <c r="N5742" s="335" t="str">
        <f>IF(MAXIFS('単価履歴'!$O:$O,'単価履歴'!$E:$E,E5742,'単価履歴'!$F:$F,F5742)=O5742,"●","")</f>
        <v>●</v>
      </c>
      <c r="O5742" s="346">
        <v>46128.32380787037</v>
      </c>
      <c r="P5742" s="334" t="str">
        <f t="shared" si="4"/>
        <v>山陽特殊:MM新断Ｂ</v>
      </c>
    </row>
    <row r="5743" ht="15.75" customHeight="1">
      <c r="A5743" s="335" t="s">
        <v>6890</v>
      </c>
      <c r="B5743" s="336">
        <v>46128.0</v>
      </c>
      <c r="C5743" s="349" t="s">
        <v>12</v>
      </c>
      <c r="D5743" s="349" t="s">
        <v>53</v>
      </c>
      <c r="E5743" s="337" t="str">
        <f t="shared" si="1"/>
        <v>山陽特殊:MM</v>
      </c>
      <c r="F5743" s="338" t="s">
        <v>574</v>
      </c>
      <c r="G5743" s="339" t="str">
        <f t="shared" si="2"/>
        <v>山陽特殊:MM新断Ｃ</v>
      </c>
      <c r="H5743" s="340">
        <f t="shared" si="3"/>
        <v>56.2</v>
      </c>
      <c r="I5743" s="341">
        <v>0.5</v>
      </c>
      <c r="J5743" s="332">
        <f>IFERROR(__xludf.DUMMYFUNCTION("IF(IF(COUNTIF(P$2:P5742, P5743)=0, """", INDEX(H$2:H5742,
MAX(FILTER(ROW(H$2:H5742) - ROW(H$2) + 1, P$2:P5742 = P5743))))=""単価"","""",
IF(COUNTIF(P$2:P5742, P5743)=0, """", INDEX(H$2:H5742,
MAX(FILTER(ROW(H$2:H5742) - ROW(H$2) + 1, P$2:P5742 = P5743)))))"),55.699999999999996)</f>
        <v>55.7</v>
      </c>
      <c r="N5743" s="335" t="str">
        <f>IF(MAXIFS('単価履歴'!$O:$O,'単価履歴'!$E:$E,E5743,'単価履歴'!$F:$F,F5743)=O5743,"●","")</f>
        <v>●</v>
      </c>
      <c r="O5743" s="346">
        <v>46128.32380787037</v>
      </c>
      <c r="P5743" s="334" t="str">
        <f t="shared" si="4"/>
        <v>山陽特殊:MM新断Ｃ</v>
      </c>
    </row>
    <row r="5744" ht="15.75" customHeight="1">
      <c r="A5744" s="335" t="s">
        <v>6891</v>
      </c>
      <c r="B5744" s="336">
        <v>46128.0</v>
      </c>
      <c r="C5744" s="349" t="s">
        <v>12</v>
      </c>
      <c r="D5744" s="349" t="s">
        <v>541</v>
      </c>
      <c r="E5744" s="337" t="str">
        <f t="shared" si="1"/>
        <v>山陽特殊:大同</v>
      </c>
      <c r="F5744" s="338" t="s">
        <v>1199</v>
      </c>
      <c r="G5744" s="339" t="str">
        <f t="shared" si="2"/>
        <v>山陽特殊:大同ＨＳ１(単体H1/電特A/HS))</v>
      </c>
      <c r="H5744" s="340">
        <f t="shared" si="3"/>
        <v>59.2</v>
      </c>
      <c r="I5744" s="341">
        <v>0.5</v>
      </c>
      <c r="J5744" s="332">
        <f>IFERROR(__xludf.DUMMYFUNCTION("IF(IF(COUNTIF(P$2:P5743, P5744)=0, """", INDEX(H$2:H5743,
MAX(FILTER(ROW(H$2:H5743) - ROW(H$2) + 1, P$2:P5743 = P5744))))=""単価"","""",
IF(COUNTIF(P$2:P5743, P5744)=0, """", INDEX(H$2:H5743,
MAX(FILTER(ROW(H$2:H5743) - ROW(H$2) + 1, P$2:P5743 = P5744)))))"),58.7)</f>
        <v>58.7</v>
      </c>
      <c r="N5744" s="335" t="str">
        <f>IF(MAXIFS('単価履歴'!$O:$O,'単価履歴'!$E:$E,E5744,'単価履歴'!$F:$F,F5744)=O5744,"●","")</f>
        <v>●</v>
      </c>
      <c r="O5744" s="346">
        <v>46128.323969907404</v>
      </c>
      <c r="P5744" s="334" t="str">
        <f t="shared" si="4"/>
        <v>山陽特殊:大同ＨＳ１(単体H1/電特A/HS))</v>
      </c>
    </row>
    <row r="5745" ht="15.75" customHeight="1">
      <c r="A5745" s="335" t="s">
        <v>6892</v>
      </c>
      <c r="B5745" s="336">
        <v>46128.0</v>
      </c>
      <c r="C5745" s="349" t="s">
        <v>12</v>
      </c>
      <c r="D5745" s="349" t="s">
        <v>541</v>
      </c>
      <c r="E5745" s="337" t="str">
        <f t="shared" si="1"/>
        <v>山陽特殊:大同</v>
      </c>
      <c r="F5745" s="338" t="s">
        <v>101</v>
      </c>
      <c r="G5745" s="339" t="str">
        <f t="shared" si="2"/>
        <v>山陽特殊:大同ＨＳ２</v>
      </c>
      <c r="H5745" s="340">
        <f t="shared" si="3"/>
        <v>59</v>
      </c>
      <c r="I5745" s="341">
        <v>0.5</v>
      </c>
      <c r="J5745" s="332">
        <f>IFERROR(__xludf.DUMMYFUNCTION("IF(IF(COUNTIF(P$2:P5744, P5745)=0, """", INDEX(H$2:H5744,
MAX(FILTER(ROW(H$2:H5744) - ROW(H$2) + 1, P$2:P5744 = P5745))))=""単価"","""",
IF(COUNTIF(P$2:P5744, P5745)=0, """", INDEX(H$2:H5744,
MAX(FILTER(ROW(H$2:H5744) - ROW(H$2) + 1, P$2:P5744 = P5745)))))"),58.5)</f>
        <v>58.5</v>
      </c>
      <c r="N5745" s="335" t="str">
        <f>IF(MAXIFS('単価履歴'!$O:$O,'単価履歴'!$E:$E,E5745,'単価履歴'!$F:$F,F5745)=O5745,"●","")</f>
        <v>●</v>
      </c>
      <c r="O5745" s="346">
        <v>46128.323969907404</v>
      </c>
      <c r="P5745" s="334" t="str">
        <f t="shared" si="4"/>
        <v>山陽特殊:大同ＨＳ２</v>
      </c>
    </row>
    <row r="5746" ht="15.75" customHeight="1">
      <c r="A5746" s="335" t="s">
        <v>6893</v>
      </c>
      <c r="B5746" s="336">
        <v>46128.0</v>
      </c>
      <c r="C5746" s="349" t="s">
        <v>12</v>
      </c>
      <c r="D5746" s="349" t="s">
        <v>541</v>
      </c>
      <c r="E5746" s="337" t="str">
        <f t="shared" si="1"/>
        <v>山陽特殊:大同</v>
      </c>
      <c r="F5746" s="338" t="s">
        <v>105</v>
      </c>
      <c r="G5746" s="339" t="str">
        <f t="shared" si="2"/>
        <v>山陽特殊:大同ＨＳ３</v>
      </c>
      <c r="H5746" s="340">
        <f t="shared" si="3"/>
        <v>57</v>
      </c>
      <c r="I5746" s="341">
        <v>0.5</v>
      </c>
      <c r="J5746" s="332">
        <f>IFERROR(__xludf.DUMMYFUNCTION("IF(IF(COUNTIF(P$2:P5745, P5746)=0, """", INDEX(H$2:H5745,
MAX(FILTER(ROW(H$2:H5745) - ROW(H$2) + 1, P$2:P5745 = P5746))))=""単価"","""",
IF(COUNTIF(P$2:P5745, P5746)=0, """", INDEX(H$2:H5745,
MAX(FILTER(ROW(H$2:H5745) - ROW(H$2) + 1, P$2:P5745 = P5746)))))"),56.5)</f>
        <v>56.5</v>
      </c>
      <c r="N5746" s="335" t="str">
        <f>IF(MAXIFS('単価履歴'!$O:$O,'単価履歴'!$E:$E,E5746,'単価履歴'!$F:$F,F5746)=O5746,"●","")</f>
        <v>●</v>
      </c>
      <c r="O5746" s="346">
        <v>46128.323969907404</v>
      </c>
      <c r="P5746" s="334" t="str">
        <f t="shared" si="4"/>
        <v>山陽特殊:大同ＨＳ３</v>
      </c>
    </row>
    <row r="5747" ht="15.75" customHeight="1">
      <c r="A5747" s="335" t="s">
        <v>6894</v>
      </c>
      <c r="B5747" s="336">
        <v>46128.0</v>
      </c>
      <c r="C5747" s="349" t="s">
        <v>31</v>
      </c>
      <c r="D5747" s="349" t="s">
        <v>64</v>
      </c>
      <c r="E5747" s="337" t="str">
        <f t="shared" si="1"/>
        <v>泉北中谷:ナベ双葉</v>
      </c>
      <c r="F5747" s="338" t="s">
        <v>130</v>
      </c>
      <c r="G5747" s="339" t="str">
        <f t="shared" si="2"/>
        <v>泉北中谷:ナベ双葉新断Ａ</v>
      </c>
      <c r="H5747" s="340">
        <f t="shared" si="3"/>
        <v>58.5</v>
      </c>
      <c r="I5747" s="341">
        <v>0.5</v>
      </c>
      <c r="J5747" s="332">
        <f>IFERROR(__xludf.DUMMYFUNCTION("IF(IF(COUNTIF(P$2:P5746, P5747)=0, """", INDEX(H$2:H5746,
MAX(FILTER(ROW(H$2:H5746) - ROW(H$2) + 1, P$2:P5746 = P5747))))=""単価"","""",
IF(COUNTIF(P$2:P5746, P5747)=0, """", INDEX(H$2:H5746,
MAX(FILTER(ROW(H$2:H5746) - ROW(H$2) + 1, P$2:P5746 = P5747)))))"),58.0)</f>
        <v>58</v>
      </c>
      <c r="N5747" s="335" t="str">
        <f>IF(MAXIFS('単価履歴'!$O:$O,'単価履歴'!$E:$E,E5747,'単価履歴'!$F:$F,F5747)=O5747,"●","")</f>
        <v>●</v>
      </c>
      <c r="O5747" s="346">
        <v>46128.33804398148</v>
      </c>
      <c r="P5747" s="334" t="str">
        <f t="shared" si="4"/>
        <v>泉北中谷:ナベ双葉新断Ａ</v>
      </c>
    </row>
    <row r="5748" ht="15.75" customHeight="1">
      <c r="A5748" s="335" t="s">
        <v>6895</v>
      </c>
      <c r="B5748" s="336">
        <v>46128.0</v>
      </c>
      <c r="C5748" s="349" t="s">
        <v>34</v>
      </c>
      <c r="D5748" s="349" t="s">
        <v>48</v>
      </c>
      <c r="E5748" s="337" t="str">
        <f t="shared" si="1"/>
        <v>ﾆｭｰｽｺﾝ尼崎:ナベ</v>
      </c>
      <c r="F5748" s="338" t="s">
        <v>130</v>
      </c>
      <c r="G5748" s="339" t="str">
        <f t="shared" si="2"/>
        <v>ﾆｭｰｽｺﾝ尼崎:ナベ新断Ａ</v>
      </c>
      <c r="H5748" s="340">
        <f t="shared" si="3"/>
        <v>58.5</v>
      </c>
      <c r="I5748" s="341">
        <v>0.5</v>
      </c>
      <c r="J5748" s="332">
        <f>IFERROR(__xludf.DUMMYFUNCTION("IF(IF(COUNTIF(P$2:P5747, P5748)=0, """", INDEX(H$2:H5747,
MAX(FILTER(ROW(H$2:H5747) - ROW(H$2) + 1, P$2:P5747 = P5748))))=""単価"","""",
IF(COUNTIF(P$2:P5747, P5748)=0, """", INDEX(H$2:H5747,
MAX(FILTER(ROW(H$2:H5747) - ROW(H$2) + 1, P$2:P5747 = P5748)))))"),58.0)</f>
        <v>58</v>
      </c>
      <c r="N5748" s="335" t="str">
        <f>IF(MAXIFS('単価履歴'!$O:$O,'単価履歴'!$E:$E,E5748,'単価履歴'!$F:$F,F5748)=O5748,"●","")</f>
        <v>●</v>
      </c>
      <c r="O5748" s="346">
        <v>46128.3383449074</v>
      </c>
      <c r="P5748" s="334" t="str">
        <f t="shared" si="4"/>
        <v>ﾆｭｰｽｺﾝ尼崎:ナベ新断Ａ</v>
      </c>
    </row>
    <row r="5749" ht="15.75" customHeight="1">
      <c r="A5749" s="335" t="s">
        <v>6896</v>
      </c>
      <c r="B5749" s="336">
        <v>46128.0</v>
      </c>
      <c r="C5749" s="349" t="s">
        <v>5</v>
      </c>
      <c r="D5749" s="349" t="s">
        <v>46</v>
      </c>
      <c r="E5749" s="337" t="str">
        <f t="shared" si="1"/>
        <v>中山製鋼:阪和</v>
      </c>
      <c r="F5749" s="338" t="s">
        <v>101</v>
      </c>
      <c r="G5749" s="339" t="str">
        <f t="shared" si="2"/>
        <v>中山製鋼:阪和ＨＳ２</v>
      </c>
      <c r="H5749" s="340">
        <f t="shared" si="3"/>
        <v>57.4</v>
      </c>
      <c r="I5749" s="341">
        <v>0.5</v>
      </c>
      <c r="J5749" s="332">
        <f>IFERROR(__xludf.DUMMYFUNCTION("IF(IF(COUNTIF(P$2:P5748, P5749)=0, """", INDEX(H$2:H5748,
MAX(FILTER(ROW(H$2:H5748) - ROW(H$2) + 1, P$2:P5748 = P5749))))=""単価"","""",
IF(COUNTIF(P$2:P5748, P5749)=0, """", INDEX(H$2:H5748,
MAX(FILTER(ROW(H$2:H5748) - ROW(H$2) + 1, P$2:P5748 = P5749)))))"),56.9)</f>
        <v>56.9</v>
      </c>
      <c r="N5749" s="335" t="str">
        <f>IF(MAXIFS('単価履歴'!$O:$O,'単価履歴'!$E:$E,E5749,'単価履歴'!$F:$F,F5749)=O5749,"●","")</f>
        <v>●</v>
      </c>
      <c r="O5749" s="346">
        <v>46128.41233796296</v>
      </c>
      <c r="P5749" s="334" t="str">
        <f t="shared" si="4"/>
        <v>中山製鋼:阪和ＨＳ２</v>
      </c>
    </row>
    <row r="5750" ht="15.75" customHeight="1">
      <c r="A5750" s="335" t="s">
        <v>6897</v>
      </c>
      <c r="B5750" s="336">
        <v>46128.0</v>
      </c>
      <c r="C5750" s="349" t="s">
        <v>5</v>
      </c>
      <c r="D5750" s="349" t="s">
        <v>46</v>
      </c>
      <c r="E5750" s="337" t="str">
        <f t="shared" si="1"/>
        <v>中山製鋼:阪和</v>
      </c>
      <c r="F5750" s="338" t="s">
        <v>116</v>
      </c>
      <c r="G5750" s="339" t="str">
        <f t="shared" si="2"/>
        <v>中山製鋼:阪和Ｈ２(特級)</v>
      </c>
      <c r="H5750" s="340">
        <f t="shared" si="3"/>
        <v>52.5</v>
      </c>
      <c r="I5750" s="341">
        <v>0.5</v>
      </c>
      <c r="J5750" s="332">
        <f>IFERROR(__xludf.DUMMYFUNCTION("IF(IF(COUNTIF(P$2:P5749, P5750)=0, """", INDEX(H$2:H5749,
MAX(FILTER(ROW(H$2:H5749) - ROW(H$2) + 1, P$2:P5749 = P5750))))=""単価"","""",
IF(COUNTIF(P$2:P5749, P5750)=0, """", INDEX(H$2:H5749,
MAX(FILTER(ROW(H$2:H5749) - ROW(H$2) + 1, P$2:P5749 = P5750)))))"),51.99999999999999)</f>
        <v>52</v>
      </c>
      <c r="N5750" s="335" t="str">
        <f>IF(MAXIFS('単価履歴'!$O:$O,'単価履歴'!$E:$E,E5750,'単価履歴'!$F:$F,F5750)=O5750,"●","")</f>
        <v>●</v>
      </c>
      <c r="O5750" s="346">
        <v>46128.41233796296</v>
      </c>
      <c r="P5750" s="334" t="str">
        <f t="shared" si="4"/>
        <v>中山製鋼:阪和Ｈ２(特級)</v>
      </c>
    </row>
    <row r="5751" ht="15.75" customHeight="1">
      <c r="A5751" s="335" t="s">
        <v>6898</v>
      </c>
      <c r="B5751" s="336">
        <v>46128.0</v>
      </c>
      <c r="C5751" s="349" t="s">
        <v>5</v>
      </c>
      <c r="D5751" s="349" t="s">
        <v>46</v>
      </c>
      <c r="E5751" s="337" t="str">
        <f t="shared" si="1"/>
        <v>中山製鋼:阪和</v>
      </c>
      <c r="F5751" s="338" t="s">
        <v>131</v>
      </c>
      <c r="G5751" s="339" t="str">
        <f t="shared" si="2"/>
        <v>中山製鋼:阪和新断Ｂ</v>
      </c>
      <c r="H5751" s="340">
        <f t="shared" si="3"/>
        <v>57.3</v>
      </c>
      <c r="I5751" s="341">
        <v>0.5</v>
      </c>
      <c r="J5751" s="332">
        <f>IFERROR(__xludf.DUMMYFUNCTION("IF(IF(COUNTIF(P$2:P5750, P5751)=0, """", INDEX(H$2:H5750,
MAX(FILTER(ROW(H$2:H5750) - ROW(H$2) + 1, P$2:P5750 = P5751))))=""単価"","""",
IF(COUNTIF(P$2:P5750, P5751)=0, """", INDEX(H$2:H5750,
MAX(FILTER(ROW(H$2:H5750) - ROW(H$2) + 1, P$2:P5750 = P5751)))))"),56.8)</f>
        <v>56.8</v>
      </c>
      <c r="N5751" s="335" t="str">
        <f>IF(MAXIFS('単価履歴'!$O:$O,'単価履歴'!$E:$E,E5751,'単価履歴'!$F:$F,F5751)=O5751,"●","")</f>
        <v>●</v>
      </c>
      <c r="O5751" s="346">
        <v>46128.41233796296</v>
      </c>
      <c r="P5751" s="334" t="str">
        <f t="shared" si="4"/>
        <v>中山製鋼:阪和新断Ｂ</v>
      </c>
    </row>
    <row r="5752" ht="15.75" customHeight="1">
      <c r="A5752" s="335" t="s">
        <v>6899</v>
      </c>
      <c r="B5752" s="336">
        <v>46128.0</v>
      </c>
      <c r="C5752" s="349" t="s">
        <v>5</v>
      </c>
      <c r="D5752" s="349" t="s">
        <v>46</v>
      </c>
      <c r="E5752" s="337" t="str">
        <f t="shared" si="1"/>
        <v>中山製鋼:阪和</v>
      </c>
      <c r="F5752" s="338" t="s">
        <v>119</v>
      </c>
      <c r="G5752" s="339" t="str">
        <f t="shared" si="2"/>
        <v>中山製鋼:阪和Ｈ３(1級)</v>
      </c>
      <c r="H5752" s="340">
        <f t="shared" si="3"/>
        <v>51.5</v>
      </c>
      <c r="I5752" s="341">
        <v>0.5</v>
      </c>
      <c r="J5752" s="332">
        <f>IFERROR(__xludf.DUMMYFUNCTION("IF(IF(COUNTIF(P$2:P5751, P5752)=0, """", INDEX(H$2:H5751,
MAX(FILTER(ROW(H$2:H5751) - ROW(H$2) + 1, P$2:P5751 = P5752))))=""単価"","""",
IF(COUNTIF(P$2:P5751, P5752)=0, """", INDEX(H$2:H5751,
MAX(FILTER(ROW(H$2:H5751) - ROW(H$2) + 1, P$2:P5751 = P5752)))))"),51.0)</f>
        <v>51</v>
      </c>
      <c r="N5752" s="335" t="str">
        <f>IF(MAXIFS('単価履歴'!$O:$O,'単価履歴'!$E:$E,E5752,'単価履歴'!$F:$F,F5752)=O5752,"●","")</f>
        <v>●</v>
      </c>
      <c r="O5752" s="346">
        <v>46128.41233796296</v>
      </c>
      <c r="P5752" s="334" t="str">
        <f t="shared" si="4"/>
        <v>中山製鋼:阪和Ｈ３(1級)</v>
      </c>
    </row>
    <row r="5753" ht="15.75" customHeight="1">
      <c r="A5753" s="335" t="s">
        <v>6900</v>
      </c>
      <c r="B5753" s="336">
        <v>46128.0</v>
      </c>
      <c r="C5753" s="349" t="s">
        <v>5</v>
      </c>
      <c r="D5753" s="349" t="s">
        <v>46</v>
      </c>
      <c r="E5753" s="337" t="str">
        <f t="shared" si="1"/>
        <v>中山製鋼:阪和</v>
      </c>
      <c r="F5753" s="338" t="s">
        <v>574</v>
      </c>
      <c r="G5753" s="339" t="str">
        <f t="shared" si="2"/>
        <v>中山製鋼:阪和新断Ｃ</v>
      </c>
      <c r="H5753" s="340">
        <f t="shared" si="3"/>
        <v>56.3</v>
      </c>
      <c r="I5753" s="341">
        <v>0.5</v>
      </c>
      <c r="J5753" s="332">
        <f>IFERROR(__xludf.DUMMYFUNCTION("IF(IF(COUNTIF(P$2:P5752, P5753)=0, """", INDEX(H$2:H5752,
MAX(FILTER(ROW(H$2:H5752) - ROW(H$2) + 1, P$2:P5752 = P5753))))=""単価"","""",
IF(COUNTIF(P$2:P5752, P5753)=0, """", INDEX(H$2:H5752,
MAX(FILTER(ROW(H$2:H5752) - ROW(H$2) + 1, P$2:P5752 = P5753)))))"),55.8)</f>
        <v>55.8</v>
      </c>
      <c r="N5753" s="335" t="str">
        <f>IF(MAXIFS('単価履歴'!$O:$O,'単価履歴'!$E:$E,E5753,'単価履歴'!$F:$F,F5753)=O5753,"●","")</f>
        <v>●</v>
      </c>
      <c r="O5753" s="346">
        <v>46128.41233796296</v>
      </c>
      <c r="P5753" s="334" t="str">
        <f t="shared" si="4"/>
        <v>中山製鋼:阪和新断Ｃ</v>
      </c>
    </row>
    <row r="5754" ht="15.75" customHeight="1">
      <c r="A5754" s="335" t="s">
        <v>6901</v>
      </c>
      <c r="B5754" s="336">
        <v>46128.0</v>
      </c>
      <c r="C5754" s="349" t="s">
        <v>5</v>
      </c>
      <c r="D5754" s="349" t="s">
        <v>46</v>
      </c>
      <c r="E5754" s="337" t="str">
        <f t="shared" si="1"/>
        <v>中山製鋼:阪和</v>
      </c>
      <c r="F5754" s="338" t="s">
        <v>108</v>
      </c>
      <c r="G5754" s="339" t="str">
        <f t="shared" si="2"/>
        <v>中山製鋼:阪和Ｈ１/ｻﾑﾃｯｸ</v>
      </c>
      <c r="H5754" s="340">
        <f t="shared" si="3"/>
        <v>10.5</v>
      </c>
      <c r="I5754" s="341">
        <v>0.5</v>
      </c>
      <c r="J5754" s="332">
        <f>IFERROR(__xludf.DUMMYFUNCTION("IF(IF(COUNTIF(P$2:P5753, P5754)=0, """", INDEX(H$2:H5753,
MAX(FILTER(ROW(H$2:H5753) - ROW(H$2) + 1, P$2:P5753 = P5754))))=""単価"","""",
IF(COUNTIF(P$2:P5753, P5754)=0, """", INDEX(H$2:H5753,
MAX(FILTER(ROW(H$2:H5753) - ROW(H$2) + 1, P$2:P5753 = P5754)))))"),10.0)</f>
        <v>10</v>
      </c>
      <c r="N5754" s="335" t="str">
        <f>IF(MAXIFS('単価履歴'!$O:$O,'単価履歴'!$E:$E,E5754,'単価履歴'!$F:$F,F5754)=O5754,"●","")</f>
        <v>●</v>
      </c>
      <c r="O5754" s="346">
        <v>46128.41233796296</v>
      </c>
      <c r="P5754" s="334" t="str">
        <f t="shared" si="4"/>
        <v>中山製鋼:阪和Ｈ１/ｻﾑﾃｯｸ</v>
      </c>
    </row>
    <row r="5755" ht="15.75" customHeight="1">
      <c r="A5755" s="335" t="s">
        <v>6902</v>
      </c>
      <c r="B5755" s="336">
        <v>46128.0</v>
      </c>
      <c r="C5755" s="349" t="s">
        <v>5</v>
      </c>
      <c r="D5755" s="349" t="s">
        <v>46</v>
      </c>
      <c r="E5755" s="337" t="str">
        <f t="shared" si="1"/>
        <v>中山製鋼:阪和</v>
      </c>
      <c r="F5755" s="338" t="s">
        <v>122</v>
      </c>
      <c r="G5755" s="339" t="str">
        <f t="shared" si="2"/>
        <v>中山製鋼:阪和Ｌ１(2級)</v>
      </c>
      <c r="H5755" s="340">
        <f t="shared" si="3"/>
        <v>51</v>
      </c>
      <c r="I5755" s="341">
        <v>0.5</v>
      </c>
      <c r="J5755" s="332">
        <f>IFERROR(__xludf.DUMMYFUNCTION("IF(IF(COUNTIF(P$2:P5754, P5755)=0, """", INDEX(H$2:H5754,
MAX(FILTER(ROW(H$2:H5754) - ROW(H$2) + 1, P$2:P5754 = P5755))))=""単価"","""",
IF(COUNTIF(P$2:P5754, P5755)=0, """", INDEX(H$2:H5754,
MAX(FILTER(ROW(H$2:H5754) - ROW(H$2) + 1, P$2:P5754 = P5755)))))"),50.5)</f>
        <v>50.5</v>
      </c>
      <c r="N5755" s="335" t="str">
        <f>IF(MAXIFS('単価履歴'!$O:$O,'単価履歴'!$E:$E,E5755,'単価履歴'!$F:$F,F5755)=O5755,"●","")</f>
        <v>●</v>
      </c>
      <c r="O5755" s="346">
        <v>46128.41233796296</v>
      </c>
      <c r="P5755" s="334" t="str">
        <f t="shared" si="4"/>
        <v>中山製鋼:阪和Ｌ１(2級)</v>
      </c>
    </row>
    <row r="5756" ht="15.75" customHeight="1">
      <c r="A5756" s="335" t="s">
        <v>6903</v>
      </c>
      <c r="B5756" s="336">
        <v>46128.0</v>
      </c>
      <c r="C5756" s="349" t="s">
        <v>5</v>
      </c>
      <c r="D5756" s="349" t="s">
        <v>46</v>
      </c>
      <c r="E5756" s="337" t="str">
        <f t="shared" si="1"/>
        <v>中山製鋼:阪和</v>
      </c>
      <c r="F5756" s="338" t="s">
        <v>111</v>
      </c>
      <c r="G5756" s="339" t="str">
        <f t="shared" si="2"/>
        <v>中山製鋼:阪和Ｈ１(特A)</v>
      </c>
      <c r="H5756" s="340">
        <f t="shared" si="3"/>
        <v>55.3</v>
      </c>
      <c r="I5756" s="341">
        <v>0.5</v>
      </c>
      <c r="J5756" s="332">
        <f>IFERROR(__xludf.DUMMYFUNCTION("IF(IF(COUNTIF(P$2:P5755, P5756)=0, """", INDEX(H$2:H5755,
MAX(FILTER(ROW(H$2:H5755) - ROW(H$2) + 1, P$2:P5755 = P5756))))=""単価"","""",
IF(COUNTIF(P$2:P5755, P5756)=0, """", INDEX(H$2:H5755,
MAX(FILTER(ROW(H$2:H5755) - ROW(H$2) + 1, P$2:P5755 = P5756)))))"),54.8)</f>
        <v>54.8</v>
      </c>
      <c r="N5756" s="335" t="str">
        <f>IF(MAXIFS('単価履歴'!$O:$O,'単価履歴'!$E:$E,E5756,'単価履歴'!$F:$F,F5756)=O5756,"●","")</f>
        <v>●</v>
      </c>
      <c r="O5756" s="346">
        <v>46128.41233796296</v>
      </c>
      <c r="P5756" s="334" t="str">
        <f t="shared" si="4"/>
        <v>中山製鋼:阪和Ｈ１(特A)</v>
      </c>
    </row>
    <row r="5757" ht="15.75" customHeight="1">
      <c r="A5757" s="335" t="s">
        <v>6904</v>
      </c>
      <c r="B5757" s="336">
        <v>46128.0</v>
      </c>
      <c r="C5757" s="349" t="s">
        <v>5</v>
      </c>
      <c r="D5757" s="349" t="s">
        <v>46</v>
      </c>
      <c r="E5757" s="337" t="str">
        <f t="shared" si="1"/>
        <v>中山製鋼:阪和</v>
      </c>
      <c r="F5757" s="338" t="s">
        <v>130</v>
      </c>
      <c r="G5757" s="339" t="str">
        <f t="shared" si="2"/>
        <v>中山製鋼:阪和新断Ａ</v>
      </c>
      <c r="H5757" s="340">
        <f t="shared" si="3"/>
        <v>58.3</v>
      </c>
      <c r="I5757" s="341">
        <v>0.5</v>
      </c>
      <c r="J5757" s="332">
        <f>IFERROR(__xludf.DUMMYFUNCTION("IF(IF(COUNTIF(P$2:P5756, P5757)=0, """", INDEX(H$2:H5756,
MAX(FILTER(ROW(H$2:H5756) - ROW(H$2) + 1, P$2:P5756 = P5757))))=""単価"","""",
IF(COUNTIF(P$2:P5756, P5757)=0, """", INDEX(H$2:H5756,
MAX(FILTER(ROW(H$2:H5756) - ROW(H$2) + 1, P$2:P5756 = P5757)))))"),57.8)</f>
        <v>57.8</v>
      </c>
      <c r="N5757" s="335" t="str">
        <f>IF(MAXIFS('単価履歴'!$O:$O,'単価履歴'!$E:$E,E5757,'単価履歴'!$F:$F,F5757)=O5757,"●","")</f>
        <v>●</v>
      </c>
      <c r="O5757" s="346">
        <v>46128.41233796296</v>
      </c>
      <c r="P5757" s="334" t="str">
        <f t="shared" si="4"/>
        <v>中山製鋼:阪和新断Ａ</v>
      </c>
    </row>
    <row r="5758" ht="15.75" customHeight="1">
      <c r="A5758" s="335" t="s">
        <v>6905</v>
      </c>
      <c r="B5758" s="336">
        <v>46128.0</v>
      </c>
      <c r="C5758" s="349" t="s">
        <v>5</v>
      </c>
      <c r="D5758" s="349" t="s">
        <v>47</v>
      </c>
      <c r="E5758" s="337" t="str">
        <f t="shared" si="1"/>
        <v>中山製鋼:豊通</v>
      </c>
      <c r="F5758" s="338" t="s">
        <v>119</v>
      </c>
      <c r="G5758" s="339" t="str">
        <f t="shared" si="2"/>
        <v>中山製鋼:豊通Ｈ３(1級)</v>
      </c>
      <c r="H5758" s="340">
        <f t="shared" si="3"/>
        <v>45.3</v>
      </c>
      <c r="I5758" s="341">
        <v>0.5</v>
      </c>
      <c r="J5758" s="332">
        <f>IFERROR(__xludf.DUMMYFUNCTION("IF(IF(COUNTIF(P$2:P5757, P5758)=0, """", INDEX(H$2:H5757,
MAX(FILTER(ROW(H$2:H5757) - ROW(H$2) + 1, P$2:P5757 = P5758))))=""単価"","""",
IF(COUNTIF(P$2:P5757, P5758)=0, """", INDEX(H$2:H5757,
MAX(FILTER(ROW(H$2:H5757) - ROW(H$2) + 1, P$2:P5757 = P5758)))))"),44.8)</f>
        <v>44.8</v>
      </c>
      <c r="N5758" s="335" t="str">
        <f>IF(MAXIFS('単価履歴'!$O:$O,'単価履歴'!$E:$E,E5758,'単価履歴'!$F:$F,F5758)=O5758,"●","")</f>
        <v>●</v>
      </c>
      <c r="O5758" s="346">
        <v>46128.41248842592</v>
      </c>
      <c r="P5758" s="334" t="str">
        <f t="shared" si="4"/>
        <v>中山製鋼:豊通Ｈ３(1級)</v>
      </c>
    </row>
    <row r="5759" ht="15.75" customHeight="1">
      <c r="A5759" s="335" t="s">
        <v>6906</v>
      </c>
      <c r="B5759" s="336">
        <v>46128.0</v>
      </c>
      <c r="C5759" s="349" t="s">
        <v>5</v>
      </c>
      <c r="D5759" s="349" t="s">
        <v>47</v>
      </c>
      <c r="E5759" s="337" t="str">
        <f t="shared" si="1"/>
        <v>中山製鋼:豊通</v>
      </c>
      <c r="F5759" s="338" t="s">
        <v>574</v>
      </c>
      <c r="G5759" s="339" t="str">
        <f t="shared" si="2"/>
        <v>中山製鋼:豊通新断Ｃ</v>
      </c>
      <c r="H5759" s="340">
        <f t="shared" si="3"/>
        <v>56.3</v>
      </c>
      <c r="I5759" s="341">
        <v>0.5</v>
      </c>
      <c r="J5759" s="332">
        <f>IFERROR(__xludf.DUMMYFUNCTION("IF(IF(COUNTIF(P$2:P5758, P5759)=0, """", INDEX(H$2:H5758,
MAX(FILTER(ROW(H$2:H5758) - ROW(H$2) + 1, P$2:P5758 = P5759))))=""単価"","""",
IF(COUNTIF(P$2:P5758, P5759)=0, """", INDEX(H$2:H5758,
MAX(FILTER(ROW(H$2:H5758) - ROW(H$2) + 1, P$2:P5758 = P5759)))))"),55.8)</f>
        <v>55.8</v>
      </c>
      <c r="N5759" s="335" t="str">
        <f>IF(MAXIFS('単価履歴'!$O:$O,'単価履歴'!$E:$E,E5759,'単価履歴'!$F:$F,F5759)=O5759,"●","")</f>
        <v>●</v>
      </c>
      <c r="O5759" s="346">
        <v>46128.41248842592</v>
      </c>
      <c r="P5759" s="334" t="str">
        <f t="shared" si="4"/>
        <v>中山製鋼:豊通新断Ｃ</v>
      </c>
    </row>
    <row r="5760" ht="15.75" customHeight="1">
      <c r="A5760" s="335" t="s">
        <v>6907</v>
      </c>
      <c r="B5760" s="336">
        <v>46128.0</v>
      </c>
      <c r="C5760" s="349" t="s">
        <v>5</v>
      </c>
      <c r="D5760" s="349" t="s">
        <v>47</v>
      </c>
      <c r="E5760" s="337" t="str">
        <f t="shared" si="1"/>
        <v>中山製鋼:豊通</v>
      </c>
      <c r="F5760" s="338" t="s">
        <v>108</v>
      </c>
      <c r="G5760" s="339" t="str">
        <f t="shared" si="2"/>
        <v>中山製鋼:豊通Ｈ１/ｻﾑﾃｯｸ</v>
      </c>
      <c r="H5760" s="340">
        <f t="shared" si="3"/>
        <v>10.5</v>
      </c>
      <c r="I5760" s="341">
        <v>0.5</v>
      </c>
      <c r="J5760" s="332">
        <f>IFERROR(__xludf.DUMMYFUNCTION("IF(IF(COUNTIF(P$2:P5759, P5760)=0, """", INDEX(H$2:H5759,
MAX(FILTER(ROW(H$2:H5759) - ROW(H$2) + 1, P$2:P5759 = P5760))))=""単価"","""",
IF(COUNTIF(P$2:P5759, P5760)=0, """", INDEX(H$2:H5759,
MAX(FILTER(ROW(H$2:H5759) - ROW(H$2) + 1, P$2:P5759 = P5760)))))"),10.0)</f>
        <v>10</v>
      </c>
      <c r="N5760" s="335" t="str">
        <f>IF(MAXIFS('単価履歴'!$O:$O,'単価履歴'!$E:$E,E5760,'単価履歴'!$F:$F,F5760)=O5760,"●","")</f>
        <v>●</v>
      </c>
      <c r="O5760" s="346">
        <v>46128.41248842592</v>
      </c>
      <c r="P5760" s="334" t="str">
        <f t="shared" si="4"/>
        <v>中山製鋼:豊通Ｈ１/ｻﾑﾃｯｸ</v>
      </c>
    </row>
    <row r="5761" ht="15.75" customHeight="1">
      <c r="A5761" s="335" t="s">
        <v>6908</v>
      </c>
      <c r="B5761" s="336">
        <v>46128.0</v>
      </c>
      <c r="C5761" s="349" t="s">
        <v>5</v>
      </c>
      <c r="D5761" s="349" t="s">
        <v>47</v>
      </c>
      <c r="E5761" s="337" t="str">
        <f t="shared" si="1"/>
        <v>中山製鋼:豊通</v>
      </c>
      <c r="F5761" s="338" t="s">
        <v>122</v>
      </c>
      <c r="G5761" s="339" t="str">
        <f t="shared" si="2"/>
        <v>中山製鋼:豊通Ｌ１(2級)</v>
      </c>
      <c r="H5761" s="340">
        <f t="shared" si="3"/>
        <v>38.8</v>
      </c>
      <c r="I5761" s="341">
        <v>0.5</v>
      </c>
      <c r="J5761" s="332">
        <f>IFERROR(__xludf.DUMMYFUNCTION("IF(IF(COUNTIF(P$2:P5760, P5761)=0, """", INDEX(H$2:H5760,
MAX(FILTER(ROW(H$2:H5760) - ROW(H$2) + 1, P$2:P5760 = P5761))))=""単価"","""",
IF(COUNTIF(P$2:P5760, P5761)=0, """", INDEX(H$2:H5760,
MAX(FILTER(ROW(H$2:H5760) - ROW(H$2) + 1, P$2:P5760 = P5761)))))"),38.3)</f>
        <v>38.3</v>
      </c>
      <c r="N5761" s="335" t="str">
        <f>IF(MAXIFS('単価履歴'!$O:$O,'単価履歴'!$E:$E,E5761,'単価履歴'!$F:$F,F5761)=O5761,"●","")</f>
        <v>●</v>
      </c>
      <c r="O5761" s="346">
        <v>46128.41248842592</v>
      </c>
      <c r="P5761" s="334" t="str">
        <f t="shared" si="4"/>
        <v>中山製鋼:豊通Ｌ１(2級)</v>
      </c>
    </row>
    <row r="5762" ht="15.75" customHeight="1">
      <c r="A5762" s="335" t="s">
        <v>6909</v>
      </c>
      <c r="B5762" s="336">
        <v>46128.0</v>
      </c>
      <c r="C5762" s="349" t="s">
        <v>5</v>
      </c>
      <c r="D5762" s="349" t="s">
        <v>47</v>
      </c>
      <c r="E5762" s="337" t="str">
        <f t="shared" si="1"/>
        <v>中山製鋼:豊通</v>
      </c>
      <c r="F5762" s="338" t="s">
        <v>1199</v>
      </c>
      <c r="G5762" s="339" t="str">
        <f t="shared" si="2"/>
        <v>中山製鋼:豊通ＨＳ１(単体H1/電特A/HS))</v>
      </c>
      <c r="H5762" s="340">
        <f t="shared" si="3"/>
        <v>57.3</v>
      </c>
      <c r="I5762" s="341">
        <v>0.5</v>
      </c>
      <c r="J5762" s="332">
        <f>IFERROR(__xludf.DUMMYFUNCTION("IF(IF(COUNTIF(P$2:P5761, P5762)=0, """", INDEX(H$2:H5761,
MAX(FILTER(ROW(H$2:H5761) - ROW(H$2) + 1, P$2:P5761 = P5762))))=""単価"","""",
IF(COUNTIF(P$2:P5761, P5762)=0, """", INDEX(H$2:H5761,
MAX(FILTER(ROW(H$2:H5761) - ROW(H$2) + 1, P$2:P5761 = P5762)))))"),56.8)</f>
        <v>56.8</v>
      </c>
      <c r="N5762" s="335" t="str">
        <f>IF(MAXIFS('単価履歴'!$O:$O,'単価履歴'!$E:$E,E5762,'単価履歴'!$F:$F,F5762)=O5762,"●","")</f>
        <v>●</v>
      </c>
      <c r="O5762" s="346">
        <v>46128.41248842592</v>
      </c>
      <c r="P5762" s="334" t="str">
        <f t="shared" si="4"/>
        <v>中山製鋼:豊通ＨＳ１(単体H1/電特A/HS))</v>
      </c>
    </row>
    <row r="5763" ht="15.75" customHeight="1">
      <c r="A5763" s="335" t="s">
        <v>6910</v>
      </c>
      <c r="B5763" s="336">
        <v>46128.0</v>
      </c>
      <c r="C5763" s="349" t="s">
        <v>5</v>
      </c>
      <c r="D5763" s="349" t="s">
        <v>47</v>
      </c>
      <c r="E5763" s="337" t="str">
        <f t="shared" si="1"/>
        <v>中山製鋼:豊通</v>
      </c>
      <c r="F5763" s="338" t="s">
        <v>111</v>
      </c>
      <c r="G5763" s="339" t="str">
        <f t="shared" si="2"/>
        <v>中山製鋼:豊通Ｈ１(特A)</v>
      </c>
      <c r="H5763" s="340">
        <f t="shared" si="3"/>
        <v>55.3</v>
      </c>
      <c r="I5763" s="341">
        <v>0.5</v>
      </c>
      <c r="J5763" s="332">
        <f>IFERROR(__xludf.DUMMYFUNCTION("IF(IF(COUNTIF(P$2:P5762, P5763)=0, """", INDEX(H$2:H5762,
MAX(FILTER(ROW(H$2:H5762) - ROW(H$2) + 1, P$2:P5762 = P5763))))=""単価"","""",
IF(COUNTIF(P$2:P5762, P5763)=0, """", INDEX(H$2:H5762,
MAX(FILTER(ROW(H$2:H5762) - ROW(H$2) + 1, P$2:P5762 = P5763)))))"),54.8)</f>
        <v>54.8</v>
      </c>
      <c r="N5763" s="335" t="str">
        <f>IF(MAXIFS('単価履歴'!$O:$O,'単価履歴'!$E:$E,E5763,'単価履歴'!$F:$F,F5763)=O5763,"●","")</f>
        <v>●</v>
      </c>
      <c r="O5763" s="346">
        <v>46128.41248842592</v>
      </c>
      <c r="P5763" s="334" t="str">
        <f t="shared" si="4"/>
        <v>中山製鋼:豊通Ｈ１(特A)</v>
      </c>
    </row>
    <row r="5764" ht="15.75" customHeight="1">
      <c r="A5764" s="335" t="s">
        <v>6911</v>
      </c>
      <c r="B5764" s="336">
        <v>46128.0</v>
      </c>
      <c r="C5764" s="349" t="s">
        <v>5</v>
      </c>
      <c r="D5764" s="349" t="s">
        <v>47</v>
      </c>
      <c r="E5764" s="337" t="str">
        <f t="shared" si="1"/>
        <v>中山製鋼:豊通</v>
      </c>
      <c r="F5764" s="338" t="s">
        <v>130</v>
      </c>
      <c r="G5764" s="339" t="str">
        <f t="shared" si="2"/>
        <v>中山製鋼:豊通新断Ａ</v>
      </c>
      <c r="H5764" s="340">
        <f t="shared" si="3"/>
        <v>58.3</v>
      </c>
      <c r="I5764" s="341">
        <v>0.5</v>
      </c>
      <c r="J5764" s="332">
        <f>IFERROR(__xludf.DUMMYFUNCTION("IF(IF(COUNTIF(P$2:P5763, P5764)=0, """", INDEX(H$2:H5763,
MAX(FILTER(ROW(H$2:H5763) - ROW(H$2) + 1, P$2:P5763 = P5764))))=""単価"","""",
IF(COUNTIF(P$2:P5763, P5764)=0, """", INDEX(H$2:H5763,
MAX(FILTER(ROW(H$2:H5763) - ROW(H$2) + 1, P$2:P5763 = P5764)))))"),57.8)</f>
        <v>57.8</v>
      </c>
      <c r="N5764" s="335" t="str">
        <f>IF(MAXIFS('単価履歴'!$O:$O,'単価履歴'!$E:$E,E5764,'単価履歴'!$F:$F,F5764)=O5764,"●","")</f>
        <v>●</v>
      </c>
      <c r="O5764" s="346">
        <v>46128.41248842592</v>
      </c>
      <c r="P5764" s="334" t="str">
        <f t="shared" si="4"/>
        <v>中山製鋼:豊通新断Ａ</v>
      </c>
    </row>
    <row r="5765" ht="15.75" customHeight="1">
      <c r="A5765" s="335" t="s">
        <v>6912</v>
      </c>
      <c r="B5765" s="336">
        <v>46128.0</v>
      </c>
      <c r="C5765" s="349" t="s">
        <v>5</v>
      </c>
      <c r="D5765" s="349" t="s">
        <v>47</v>
      </c>
      <c r="E5765" s="337" t="str">
        <f t="shared" si="1"/>
        <v>中山製鋼:豊通</v>
      </c>
      <c r="F5765" s="338" t="s">
        <v>101</v>
      </c>
      <c r="G5765" s="339" t="str">
        <f t="shared" si="2"/>
        <v>中山製鋼:豊通ＨＳ２</v>
      </c>
      <c r="H5765" s="340">
        <f t="shared" si="3"/>
        <v>57.3</v>
      </c>
      <c r="I5765" s="341">
        <v>0.5</v>
      </c>
      <c r="J5765" s="332">
        <f>IFERROR(__xludf.DUMMYFUNCTION("IF(IF(COUNTIF(P$2:P5764, P5765)=0, """", INDEX(H$2:H5764,
MAX(FILTER(ROW(H$2:H5764) - ROW(H$2) + 1, P$2:P5764 = P5765))))=""単価"","""",
IF(COUNTIF(P$2:P5764, P5765)=0, """", INDEX(H$2:H5764,
MAX(FILTER(ROW(H$2:H5764) - ROW(H$2) + 1, P$2:P5764 = P5765)))))"),56.8)</f>
        <v>56.8</v>
      </c>
      <c r="N5765" s="335" t="str">
        <f>IF(MAXIFS('単価履歴'!$O:$O,'単価履歴'!$E:$E,E5765,'単価履歴'!$F:$F,F5765)=O5765,"●","")</f>
        <v>●</v>
      </c>
      <c r="O5765" s="346">
        <v>46128.41248842592</v>
      </c>
      <c r="P5765" s="334" t="str">
        <f t="shared" si="4"/>
        <v>中山製鋼:豊通ＨＳ２</v>
      </c>
    </row>
    <row r="5766" ht="15.75" customHeight="1">
      <c r="A5766" s="335" t="s">
        <v>6913</v>
      </c>
      <c r="B5766" s="336">
        <v>46128.0</v>
      </c>
      <c r="C5766" s="349" t="s">
        <v>5</v>
      </c>
      <c r="D5766" s="349" t="s">
        <v>47</v>
      </c>
      <c r="E5766" s="337" t="str">
        <f t="shared" si="1"/>
        <v>中山製鋼:豊通</v>
      </c>
      <c r="F5766" s="338" t="s">
        <v>116</v>
      </c>
      <c r="G5766" s="339" t="str">
        <f t="shared" si="2"/>
        <v>中山製鋼:豊通Ｈ２(特級)</v>
      </c>
      <c r="H5766" s="340">
        <f t="shared" si="3"/>
        <v>49.3</v>
      </c>
      <c r="I5766" s="341">
        <v>0.5</v>
      </c>
      <c r="J5766" s="332">
        <f>IFERROR(__xludf.DUMMYFUNCTION("IF(IF(COUNTIF(P$2:P5765, P5766)=0, """", INDEX(H$2:H5765,
MAX(FILTER(ROW(H$2:H5765) - ROW(H$2) + 1, P$2:P5765 = P5766))))=""単価"","""",
IF(COUNTIF(P$2:P5765, P5766)=0, """", INDEX(H$2:H5765,
MAX(FILTER(ROW(H$2:H5765) - ROW(H$2) + 1, P$2:P5765 = P5766)))))"),48.8)</f>
        <v>48.8</v>
      </c>
      <c r="N5766" s="335" t="str">
        <f>IF(MAXIFS('単価履歴'!$O:$O,'単価履歴'!$E:$E,E5766,'単価履歴'!$F:$F,F5766)=O5766,"●","")</f>
        <v>●</v>
      </c>
      <c r="O5766" s="346">
        <v>46128.41248842592</v>
      </c>
      <c r="P5766" s="334" t="str">
        <f t="shared" si="4"/>
        <v>中山製鋼:豊通Ｈ２(特級)</v>
      </c>
    </row>
    <row r="5767" ht="15.75" customHeight="1">
      <c r="A5767" s="335" t="s">
        <v>6914</v>
      </c>
      <c r="B5767" s="336">
        <v>46128.0</v>
      </c>
      <c r="C5767" s="349" t="s">
        <v>5</v>
      </c>
      <c r="D5767" s="349" t="s">
        <v>47</v>
      </c>
      <c r="E5767" s="337" t="str">
        <f t="shared" si="1"/>
        <v>中山製鋼:豊通</v>
      </c>
      <c r="F5767" s="338" t="s">
        <v>131</v>
      </c>
      <c r="G5767" s="339" t="str">
        <f t="shared" si="2"/>
        <v>中山製鋼:豊通新断Ｂ</v>
      </c>
      <c r="H5767" s="340">
        <f t="shared" si="3"/>
        <v>57.3</v>
      </c>
      <c r="I5767" s="341">
        <v>0.5</v>
      </c>
      <c r="J5767" s="332">
        <f>IFERROR(__xludf.DUMMYFUNCTION("IF(IF(COUNTIF(P$2:P5766, P5767)=0, """", INDEX(H$2:H5766,
MAX(FILTER(ROW(H$2:H5766) - ROW(H$2) + 1, P$2:P5766 = P5767))))=""単価"","""",
IF(COUNTIF(P$2:P5766, P5767)=0, """", INDEX(H$2:H5766,
MAX(FILTER(ROW(H$2:H5766) - ROW(H$2) + 1, P$2:P5766 = P5767)))))"),56.8)</f>
        <v>56.8</v>
      </c>
      <c r="N5767" s="335" t="str">
        <f>IF(MAXIFS('単価履歴'!$O:$O,'単価履歴'!$E:$E,E5767,'単価履歴'!$F:$F,F5767)=O5767,"●","")</f>
        <v>●</v>
      </c>
      <c r="O5767" s="346">
        <v>46128.41248842592</v>
      </c>
      <c r="P5767" s="334" t="str">
        <f t="shared" si="4"/>
        <v>中山製鋼:豊通新断Ｂ</v>
      </c>
    </row>
    <row r="5768" ht="15.75" customHeight="1">
      <c r="A5768" s="335" t="s">
        <v>6915</v>
      </c>
      <c r="B5768" s="336">
        <v>46128.0</v>
      </c>
      <c r="C5768" s="349" t="s">
        <v>5</v>
      </c>
      <c r="D5768" s="349" t="s">
        <v>1232</v>
      </c>
      <c r="E5768" s="337" t="str">
        <f t="shared" si="1"/>
        <v>中山製鋼:豊通/出張商店</v>
      </c>
      <c r="F5768" s="338" t="s">
        <v>130</v>
      </c>
      <c r="G5768" s="339" t="str">
        <f t="shared" si="2"/>
        <v>中山製鋼:豊通/出張商店新断Ａ</v>
      </c>
      <c r="H5768" s="340">
        <f t="shared" si="3"/>
        <v>57.3</v>
      </c>
      <c r="I5768" s="341">
        <v>0.5</v>
      </c>
      <c r="J5768" s="332">
        <f>IFERROR(__xludf.DUMMYFUNCTION("IF(IF(COUNTIF(P$2:P5767, P5768)=0, """", INDEX(H$2:H5767,
MAX(FILTER(ROW(H$2:H5767) - ROW(H$2) + 1, P$2:P5767 = P5768))))=""単価"","""",
IF(COUNTIF(P$2:P5767, P5768)=0, """", INDEX(H$2:H5767,
MAX(FILTER(ROW(H$2:H5767) - ROW(H$2) + 1, P$2:P5767 = P5768)))))"),56.8)</f>
        <v>56.8</v>
      </c>
      <c r="N5768" s="335" t="str">
        <f>IF(MAXIFS('単価履歴'!$O:$O,'単価履歴'!$E:$E,E5768,'単価履歴'!$F:$F,F5768)=O5768,"●","")</f>
        <v>●</v>
      </c>
      <c r="O5768" s="346">
        <v>46128.412615740745</v>
      </c>
      <c r="P5768" s="334" t="str">
        <f t="shared" si="4"/>
        <v>中山製鋼:豊通/出張商店新断Ａ</v>
      </c>
    </row>
    <row r="5769" ht="15.75" customHeight="1">
      <c r="A5769" s="335" t="s">
        <v>6916</v>
      </c>
      <c r="B5769" s="336">
        <v>46128.0</v>
      </c>
      <c r="C5769" s="349" t="s">
        <v>5</v>
      </c>
      <c r="D5769" s="349" t="s">
        <v>1234</v>
      </c>
      <c r="E5769" s="337" t="str">
        <f t="shared" si="1"/>
        <v>中山製鋼:豊通/中川嘉弘商店</v>
      </c>
      <c r="F5769" s="338" t="s">
        <v>130</v>
      </c>
      <c r="G5769" s="339" t="str">
        <f t="shared" si="2"/>
        <v>中山製鋼:豊通/中川嘉弘商店新断Ａ</v>
      </c>
      <c r="H5769" s="340">
        <f t="shared" si="3"/>
        <v>55.3</v>
      </c>
      <c r="I5769" s="341">
        <v>0.5</v>
      </c>
      <c r="J5769" s="332">
        <f>IFERROR(__xludf.DUMMYFUNCTION("IF(IF(COUNTIF(P$2:P5768, P5769)=0, """", INDEX(H$2:H5768,
MAX(FILTER(ROW(H$2:H5768) - ROW(H$2) + 1, P$2:P5768 = P5769))))=""単価"","""",
IF(COUNTIF(P$2:P5768, P5769)=0, """", INDEX(H$2:H5768,
MAX(FILTER(ROW(H$2:H5768) - ROW(H$2) + 1, P$2:P5768 = P5769)))))"),54.8)</f>
        <v>54.8</v>
      </c>
      <c r="N5769" s="335" t="str">
        <f>IF(MAXIFS('単価履歴'!$O:$O,'単価履歴'!$E:$E,E5769,'単価履歴'!$F:$F,F5769)=O5769,"●","")</f>
        <v>●</v>
      </c>
      <c r="O5769" s="346">
        <v>46128.412615740745</v>
      </c>
      <c r="P5769" s="334" t="str">
        <f t="shared" si="4"/>
        <v>中山製鋼:豊通/中川嘉弘商店新断Ａ</v>
      </c>
    </row>
  </sheetData>
  <autoFilter ref="$A$1:$AF$576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43"/>
    <col customWidth="1" min="4" max="4" width="34.57"/>
    <col customWidth="1" min="5" max="5" width="49.86"/>
    <col customWidth="1" min="6" max="6" width="59.86"/>
    <col customWidth="1" min="7" max="7" width="28.86"/>
    <col customWidth="1" min="13" max="13" width="17.57"/>
  </cols>
  <sheetData>
    <row r="1" ht="15.75" customHeight="1">
      <c r="A1" s="373" t="s">
        <v>1182</v>
      </c>
      <c r="B1" s="373" t="s">
        <v>1183</v>
      </c>
      <c r="C1" s="373" t="s">
        <v>1184</v>
      </c>
      <c r="D1" s="373" t="s">
        <v>1185</v>
      </c>
      <c r="E1" s="373" t="s">
        <v>1186</v>
      </c>
      <c r="F1" s="373" t="s">
        <v>1187</v>
      </c>
      <c r="G1" s="373" t="s">
        <v>1188</v>
      </c>
      <c r="H1" s="373" t="s">
        <v>110</v>
      </c>
      <c r="I1" s="373" t="s">
        <v>1189</v>
      </c>
      <c r="J1" s="373" t="s">
        <v>1190</v>
      </c>
      <c r="K1" s="373" t="s">
        <v>1191</v>
      </c>
      <c r="L1" s="373" t="s">
        <v>70</v>
      </c>
      <c r="M1" s="374" t="s">
        <v>1194</v>
      </c>
      <c r="N1" s="374" t="s">
        <v>6917</v>
      </c>
      <c r="O1" s="373"/>
      <c r="P1" s="373"/>
      <c r="Q1" s="373"/>
      <c r="R1" s="373"/>
      <c r="S1" s="373"/>
      <c r="T1" s="373"/>
      <c r="U1" s="373"/>
      <c r="V1" s="373"/>
      <c r="W1" s="373"/>
      <c r="X1" s="373"/>
      <c r="Y1" s="373"/>
      <c r="Z1" s="373"/>
    </row>
    <row r="2" ht="15.75" customHeight="1">
      <c r="A2" s="334" t="s">
        <v>6918</v>
      </c>
      <c r="B2" s="375">
        <v>45649.0</v>
      </c>
      <c r="C2" s="334" t="s">
        <v>5</v>
      </c>
      <c r="D2" s="334" t="s">
        <v>6919</v>
      </c>
      <c r="E2" s="334" t="s">
        <v>6920</v>
      </c>
      <c r="F2" s="334" t="s">
        <v>6921</v>
      </c>
      <c r="G2" s="334" t="s">
        <v>6922</v>
      </c>
      <c r="I2" s="334">
        <v>10.0</v>
      </c>
      <c r="M2" s="345">
        <v>45649.34642361111</v>
      </c>
      <c r="N2" s="376">
        <v>1.0</v>
      </c>
    </row>
    <row r="3" ht="15.75" customHeight="1">
      <c r="A3" s="334" t="s">
        <v>6923</v>
      </c>
      <c r="B3" s="375">
        <v>45649.0</v>
      </c>
      <c r="C3" s="334" t="s">
        <v>5</v>
      </c>
      <c r="D3" s="334" t="s">
        <v>6919</v>
      </c>
      <c r="E3" s="334" t="s">
        <v>6920</v>
      </c>
      <c r="F3" s="334" t="s">
        <v>6921</v>
      </c>
      <c r="G3" s="334" t="s">
        <v>6922</v>
      </c>
      <c r="I3" s="334">
        <v>-10.0</v>
      </c>
      <c r="M3" s="345">
        <v>45649.34674768519</v>
      </c>
      <c r="N3" s="376">
        <v>1.0</v>
      </c>
    </row>
    <row r="4" ht="15.75" customHeight="1">
      <c r="A4" s="334" t="s">
        <v>6924</v>
      </c>
      <c r="B4" s="375">
        <v>45649.0</v>
      </c>
      <c r="C4" s="334" t="s">
        <v>5</v>
      </c>
      <c r="D4" s="334" t="s">
        <v>46</v>
      </c>
      <c r="E4" s="334" t="s">
        <v>450</v>
      </c>
      <c r="F4" s="334" t="s">
        <v>111</v>
      </c>
      <c r="G4" s="334" t="s">
        <v>6925</v>
      </c>
      <c r="I4" s="334">
        <v>-39.5</v>
      </c>
      <c r="M4" s="345">
        <v>45649.447916666664</v>
      </c>
      <c r="N4" s="376">
        <v>1.0</v>
      </c>
    </row>
    <row r="5" ht="15.75" customHeight="1">
      <c r="A5" s="334" t="s">
        <v>6926</v>
      </c>
      <c r="B5" s="375">
        <v>45649.0</v>
      </c>
      <c r="C5" s="334" t="s">
        <v>5</v>
      </c>
      <c r="D5" s="334" t="s">
        <v>47</v>
      </c>
      <c r="E5" s="334" t="s">
        <v>451</v>
      </c>
      <c r="F5" s="334" t="s">
        <v>111</v>
      </c>
      <c r="G5" s="334" t="s">
        <v>6927</v>
      </c>
      <c r="I5" s="334">
        <v>-38.2</v>
      </c>
      <c r="M5" s="345">
        <v>45649.45381944445</v>
      </c>
      <c r="N5" s="376">
        <v>1.0</v>
      </c>
    </row>
    <row r="6" ht="15.75" customHeight="1">
      <c r="A6" s="334" t="s">
        <v>6928</v>
      </c>
      <c r="B6" s="375">
        <v>45649.0</v>
      </c>
      <c r="C6" s="334" t="s">
        <v>5</v>
      </c>
      <c r="D6" s="334" t="s">
        <v>6919</v>
      </c>
      <c r="E6" s="334" t="s">
        <v>6920</v>
      </c>
      <c r="F6" s="334" t="s">
        <v>116</v>
      </c>
      <c r="G6" s="334" t="s">
        <v>6929</v>
      </c>
      <c r="I6" s="334">
        <v>-34.8</v>
      </c>
      <c r="M6" s="345">
        <v>45649.45453703704</v>
      </c>
      <c r="N6" s="376">
        <v>1.0</v>
      </c>
    </row>
    <row r="7" ht="15.75" customHeight="1">
      <c r="A7" s="334" t="s">
        <v>6930</v>
      </c>
      <c r="B7" s="375">
        <v>45649.0</v>
      </c>
      <c r="C7" s="334" t="s">
        <v>5</v>
      </c>
      <c r="D7" s="334" t="s">
        <v>6919</v>
      </c>
      <c r="E7" s="334" t="s">
        <v>6920</v>
      </c>
      <c r="F7" s="334" t="s">
        <v>119</v>
      </c>
      <c r="G7" s="334" t="s">
        <v>6931</v>
      </c>
      <c r="I7" s="334">
        <v>-30.8</v>
      </c>
      <c r="M7" s="345">
        <v>45649.45527777778</v>
      </c>
      <c r="N7" s="376">
        <v>1.0</v>
      </c>
    </row>
    <row r="8" ht="15.75" customHeight="1">
      <c r="A8" s="334" t="s">
        <v>6932</v>
      </c>
      <c r="B8" s="375">
        <v>45649.0</v>
      </c>
      <c r="C8" s="334" t="s">
        <v>5</v>
      </c>
      <c r="D8" s="334" t="s">
        <v>6919</v>
      </c>
      <c r="E8" s="334" t="s">
        <v>6920</v>
      </c>
      <c r="F8" s="334" t="s">
        <v>122</v>
      </c>
      <c r="G8" s="334" t="s">
        <v>6933</v>
      </c>
      <c r="I8" s="334">
        <v>-24.3</v>
      </c>
      <c r="M8" s="345">
        <v>45649.45628472222</v>
      </c>
      <c r="N8" s="376">
        <v>1.0</v>
      </c>
    </row>
    <row r="9" ht="15.75" customHeight="1">
      <c r="A9" s="334" t="s">
        <v>6934</v>
      </c>
      <c r="B9" s="375">
        <v>45649.0</v>
      </c>
      <c r="C9" s="334" t="s">
        <v>5</v>
      </c>
      <c r="D9" s="334" t="s">
        <v>6919</v>
      </c>
      <c r="E9" s="334" t="s">
        <v>6920</v>
      </c>
      <c r="F9" s="334" t="s">
        <v>130</v>
      </c>
      <c r="G9" s="334" t="s">
        <v>6935</v>
      </c>
      <c r="I9" s="334">
        <v>-42.8</v>
      </c>
      <c r="M9" s="345">
        <v>45649.45700231481</v>
      </c>
      <c r="N9" s="376">
        <v>1.0</v>
      </c>
    </row>
    <row r="10" ht="15.75" customHeight="1">
      <c r="A10" s="334" t="s">
        <v>6936</v>
      </c>
      <c r="B10" s="375">
        <v>45649.0</v>
      </c>
      <c r="C10" s="334" t="s">
        <v>5</v>
      </c>
      <c r="D10" s="334" t="s">
        <v>6937</v>
      </c>
      <c r="E10" s="334" t="s">
        <v>6938</v>
      </c>
      <c r="F10" s="334" t="s">
        <v>130</v>
      </c>
      <c r="G10" s="334" t="s">
        <v>6939</v>
      </c>
      <c r="I10" s="334">
        <v>1.0</v>
      </c>
      <c r="M10" s="345">
        <v>45649.45746527778</v>
      </c>
      <c r="N10" s="376">
        <v>1.0</v>
      </c>
    </row>
    <row r="11" ht="15.75" customHeight="1">
      <c r="A11" s="334" t="s">
        <v>6940</v>
      </c>
      <c r="B11" s="375">
        <v>45649.0</v>
      </c>
      <c r="C11" s="334" t="s">
        <v>5</v>
      </c>
      <c r="D11" s="334" t="s">
        <v>6919</v>
      </c>
      <c r="E11" s="334" t="s">
        <v>6920</v>
      </c>
      <c r="F11" s="334" t="s">
        <v>131</v>
      </c>
      <c r="G11" s="334" t="s">
        <v>6941</v>
      </c>
      <c r="I11" s="334">
        <v>-41.8</v>
      </c>
      <c r="M11" s="345">
        <v>45649.45849537037</v>
      </c>
      <c r="N11" s="376">
        <v>1.0</v>
      </c>
    </row>
    <row r="12" ht="15.75" customHeight="1">
      <c r="A12" s="334" t="s">
        <v>6942</v>
      </c>
      <c r="B12" s="362">
        <v>45663.0</v>
      </c>
      <c r="C12" s="334" t="s">
        <v>5</v>
      </c>
      <c r="D12" s="334" t="s">
        <v>6919</v>
      </c>
      <c r="E12" s="334" t="s">
        <v>6920</v>
      </c>
      <c r="F12" s="334" t="s">
        <v>574</v>
      </c>
      <c r="G12" s="334" t="s">
        <v>6943</v>
      </c>
      <c r="I12" s="334">
        <v>42.8</v>
      </c>
      <c r="M12" s="344">
        <v>45663.37341435185</v>
      </c>
      <c r="N12" s="376">
        <v>1.0</v>
      </c>
    </row>
    <row r="13" ht="15.75" customHeight="1">
      <c r="A13" s="334" t="s">
        <v>6944</v>
      </c>
      <c r="B13" s="362">
        <v>45663.0</v>
      </c>
      <c r="C13" s="334" t="s">
        <v>6</v>
      </c>
      <c r="D13" s="334" t="s">
        <v>48</v>
      </c>
      <c r="E13" s="334" t="s">
        <v>454</v>
      </c>
      <c r="F13" s="334" t="s">
        <v>111</v>
      </c>
      <c r="G13" s="334" t="s">
        <v>6945</v>
      </c>
      <c r="I13" s="334">
        <v>1.0</v>
      </c>
      <c r="M13" s="344">
        <v>45663.3740625</v>
      </c>
      <c r="N13" s="376">
        <v>1.0</v>
      </c>
    </row>
    <row r="14" ht="15.75" customHeight="1">
      <c r="A14" s="334" t="s">
        <v>6946</v>
      </c>
      <c r="B14" s="362">
        <v>45663.0</v>
      </c>
      <c r="C14" s="334" t="s">
        <v>6</v>
      </c>
      <c r="D14" s="334" t="s">
        <v>48</v>
      </c>
      <c r="E14" s="334" t="s">
        <v>454</v>
      </c>
      <c r="F14" s="334" t="s">
        <v>6947</v>
      </c>
      <c r="G14" s="334" t="s">
        <v>6948</v>
      </c>
      <c r="I14" s="334">
        <v>1.0</v>
      </c>
      <c r="M14" s="344">
        <v>45663.37462962963</v>
      </c>
      <c r="N14" s="376">
        <v>1.0</v>
      </c>
    </row>
    <row r="15" ht="15.75" customHeight="1">
      <c r="A15" s="334" t="s">
        <v>6949</v>
      </c>
      <c r="B15" s="362">
        <v>45663.0</v>
      </c>
      <c r="C15" s="334" t="s">
        <v>6</v>
      </c>
      <c r="D15" s="334" t="s">
        <v>48</v>
      </c>
      <c r="E15" s="334" t="s">
        <v>454</v>
      </c>
      <c r="F15" s="334" t="s">
        <v>573</v>
      </c>
      <c r="G15" s="334" t="s">
        <v>6950</v>
      </c>
      <c r="I15" s="334">
        <v>7.5</v>
      </c>
      <c r="M15" s="344">
        <v>45663.375497685185</v>
      </c>
      <c r="N15" s="376">
        <v>1.0</v>
      </c>
    </row>
    <row r="16" ht="15.75" customHeight="1">
      <c r="A16" s="334" t="s">
        <v>6951</v>
      </c>
      <c r="B16" s="362">
        <v>45663.0</v>
      </c>
      <c r="C16" s="334" t="s">
        <v>6</v>
      </c>
      <c r="D16" s="334" t="s">
        <v>48</v>
      </c>
      <c r="E16" s="334" t="s">
        <v>454</v>
      </c>
      <c r="F16" s="334" t="s">
        <v>575</v>
      </c>
      <c r="G16" s="334" t="s">
        <v>6952</v>
      </c>
      <c r="I16" s="334">
        <v>-7.5</v>
      </c>
      <c r="M16" s="344">
        <v>45663.37601851852</v>
      </c>
      <c r="N16" s="376">
        <v>1.0</v>
      </c>
    </row>
    <row r="17" ht="15.75" customHeight="1">
      <c r="A17" s="334" t="s">
        <v>6953</v>
      </c>
      <c r="B17" s="362">
        <v>45663.0</v>
      </c>
      <c r="C17" s="334" t="s">
        <v>6</v>
      </c>
      <c r="D17" s="334" t="s">
        <v>48</v>
      </c>
      <c r="E17" s="334" t="s">
        <v>454</v>
      </c>
      <c r="F17" s="334" t="s">
        <v>573</v>
      </c>
      <c r="G17" s="334" t="s">
        <v>6950</v>
      </c>
      <c r="I17" s="334">
        <v>-7.0</v>
      </c>
      <c r="M17" s="344">
        <v>45663.37657407407</v>
      </c>
      <c r="N17" s="376">
        <v>1.0</v>
      </c>
    </row>
    <row r="18" ht="15.75" customHeight="1">
      <c r="A18" s="334" t="s">
        <v>6954</v>
      </c>
      <c r="B18" s="362">
        <v>45663.0</v>
      </c>
      <c r="C18" s="334" t="s">
        <v>7</v>
      </c>
      <c r="D18" s="334" t="s">
        <v>49</v>
      </c>
      <c r="E18" s="334" t="s">
        <v>455</v>
      </c>
      <c r="F18" s="334" t="s">
        <v>6955</v>
      </c>
      <c r="G18" s="334" t="s">
        <v>6956</v>
      </c>
      <c r="I18" s="334">
        <v>-43.8</v>
      </c>
      <c r="M18" s="344">
        <v>45663.377546296295</v>
      </c>
      <c r="N18" s="376">
        <v>1.0</v>
      </c>
    </row>
    <row r="19" ht="15.75" customHeight="1">
      <c r="A19" s="334" t="s">
        <v>6957</v>
      </c>
      <c r="B19" s="362">
        <v>45663.0</v>
      </c>
      <c r="C19" s="334" t="s">
        <v>7</v>
      </c>
      <c r="D19" s="334" t="s">
        <v>49</v>
      </c>
      <c r="E19" s="334" t="s">
        <v>455</v>
      </c>
      <c r="F19" s="334" t="s">
        <v>575</v>
      </c>
      <c r="G19" s="334" t="s">
        <v>6958</v>
      </c>
      <c r="I19" s="334">
        <v>32.8</v>
      </c>
      <c r="M19" s="344">
        <v>45663.38179398148</v>
      </c>
      <c r="N19" s="376">
        <v>1.0</v>
      </c>
    </row>
    <row r="20" ht="15.75" customHeight="1">
      <c r="A20" s="334" t="s">
        <v>6959</v>
      </c>
      <c r="B20" s="362">
        <v>45663.0</v>
      </c>
      <c r="C20" s="334" t="s">
        <v>7</v>
      </c>
      <c r="D20" s="334" t="s">
        <v>49</v>
      </c>
      <c r="E20" s="334" t="s">
        <v>455</v>
      </c>
      <c r="F20" s="334" t="s">
        <v>576</v>
      </c>
      <c r="G20" s="334" t="s">
        <v>6960</v>
      </c>
      <c r="I20" s="334">
        <v>32.3</v>
      </c>
      <c r="M20" s="344">
        <v>45663.38199074074</v>
      </c>
      <c r="N20" s="376">
        <v>1.0</v>
      </c>
    </row>
    <row r="21" ht="15.75" customHeight="1">
      <c r="A21" s="377" t="s">
        <v>6961</v>
      </c>
      <c r="B21" s="362">
        <v>45663.0</v>
      </c>
      <c r="C21" s="334" t="s">
        <v>537</v>
      </c>
      <c r="D21" s="334" t="s">
        <v>1404</v>
      </c>
      <c r="E21" s="334" t="s">
        <v>502</v>
      </c>
      <c r="F21" s="334" t="s">
        <v>575</v>
      </c>
      <c r="G21" s="334" t="s">
        <v>6962</v>
      </c>
      <c r="I21" s="334">
        <v>38.3</v>
      </c>
      <c r="M21" s="344">
        <v>45663.39538194444</v>
      </c>
      <c r="N21" s="376">
        <v>1.0</v>
      </c>
    </row>
    <row r="22" ht="15.75" customHeight="1">
      <c r="A22" s="334" t="s">
        <v>6963</v>
      </c>
      <c r="B22" s="362">
        <v>45663.0</v>
      </c>
      <c r="C22" s="334" t="s">
        <v>537</v>
      </c>
      <c r="D22" s="334" t="s">
        <v>1407</v>
      </c>
      <c r="E22" s="334" t="s">
        <v>503</v>
      </c>
      <c r="F22" s="334" t="s">
        <v>575</v>
      </c>
      <c r="G22" s="334" t="s">
        <v>6964</v>
      </c>
      <c r="I22" s="334">
        <v>36.0</v>
      </c>
      <c r="M22" s="344">
        <v>45663.395625</v>
      </c>
      <c r="N22" s="376">
        <v>1.0</v>
      </c>
    </row>
    <row r="23" ht="15.75" customHeight="1">
      <c r="A23" s="334" t="s">
        <v>6965</v>
      </c>
      <c r="B23" s="362">
        <v>45663.0</v>
      </c>
      <c r="C23" s="334" t="s">
        <v>537</v>
      </c>
      <c r="D23" s="334" t="s">
        <v>1410</v>
      </c>
      <c r="E23" s="334" t="s">
        <v>504</v>
      </c>
      <c r="F23" s="334" t="s">
        <v>575</v>
      </c>
      <c r="G23" s="334" t="s">
        <v>6966</v>
      </c>
      <c r="I23" s="334">
        <v>36.8</v>
      </c>
      <c r="M23" s="344">
        <v>45663.39581018518</v>
      </c>
      <c r="N23" s="376">
        <v>1.0</v>
      </c>
    </row>
    <row r="24" ht="15.75" customHeight="1">
      <c r="A24" s="334" t="s">
        <v>6967</v>
      </c>
      <c r="B24" s="362">
        <v>45666.0</v>
      </c>
      <c r="C24" s="334" t="s">
        <v>28</v>
      </c>
      <c r="D24" s="334" t="s">
        <v>52</v>
      </c>
      <c r="E24" s="334" t="s">
        <v>493</v>
      </c>
      <c r="F24" s="334" t="s">
        <v>6968</v>
      </c>
      <c r="G24" s="334" t="s">
        <v>6969</v>
      </c>
      <c r="I24" s="334">
        <v>-0.5</v>
      </c>
      <c r="M24" s="344">
        <v>45666.50755787037</v>
      </c>
      <c r="N24" s="376">
        <v>1.0</v>
      </c>
    </row>
    <row r="25" ht="15.75" customHeight="1">
      <c r="A25" s="334" t="s">
        <v>6970</v>
      </c>
      <c r="B25" s="362">
        <v>45678.0</v>
      </c>
      <c r="C25" s="334" t="s">
        <v>31</v>
      </c>
      <c r="D25" s="334" t="s">
        <v>64</v>
      </c>
      <c r="E25" s="334" t="s">
        <v>478</v>
      </c>
      <c r="F25" s="334" t="s">
        <v>130</v>
      </c>
      <c r="G25" s="334" t="s">
        <v>6971</v>
      </c>
      <c r="I25" s="334">
        <v>1.0</v>
      </c>
      <c r="M25" s="344">
        <v>45679.481354166666</v>
      </c>
      <c r="N25" s="376">
        <v>1.0</v>
      </c>
    </row>
    <row r="26" ht="15.75" customHeight="1">
      <c r="A26" s="334" t="s">
        <v>6972</v>
      </c>
      <c r="B26" s="362">
        <v>45679.0</v>
      </c>
      <c r="C26" s="334" t="s">
        <v>35</v>
      </c>
      <c r="E26" s="334" t="s">
        <v>6973</v>
      </c>
      <c r="G26" s="334" t="s">
        <v>6973</v>
      </c>
      <c r="I26" s="334">
        <v>0.5</v>
      </c>
      <c r="M26" s="344">
        <v>45678.696377314816</v>
      </c>
      <c r="N26" s="376">
        <v>1.0</v>
      </c>
    </row>
    <row r="27" ht="15.75" customHeight="1">
      <c r="A27" s="334" t="s">
        <v>6974</v>
      </c>
      <c r="B27" s="362">
        <v>45679.0</v>
      </c>
      <c r="C27" s="334" t="s">
        <v>35</v>
      </c>
      <c r="D27" s="334" t="s">
        <v>48</v>
      </c>
      <c r="E27" s="334" t="s">
        <v>509</v>
      </c>
      <c r="F27" s="334" t="s">
        <v>130</v>
      </c>
      <c r="G27" s="334" t="s">
        <v>6975</v>
      </c>
      <c r="I27" s="334">
        <v>0.5</v>
      </c>
      <c r="M27" s="344">
        <v>45678.698379629626</v>
      </c>
      <c r="N27" s="376">
        <v>1.0</v>
      </c>
    </row>
    <row r="28" ht="15.75" customHeight="1">
      <c r="A28" s="334" t="s">
        <v>6976</v>
      </c>
      <c r="B28" s="362">
        <v>45681.0</v>
      </c>
      <c r="C28" s="334" t="s">
        <v>535</v>
      </c>
      <c r="D28" s="334" t="s">
        <v>77</v>
      </c>
      <c r="E28" s="334" t="s">
        <v>495</v>
      </c>
      <c r="F28" s="334" t="s">
        <v>6977</v>
      </c>
      <c r="G28" s="334" t="s">
        <v>6978</v>
      </c>
      <c r="I28" s="334">
        <v>-0.5</v>
      </c>
      <c r="M28" s="344">
        <v>45680.73761574074</v>
      </c>
      <c r="N28" s="376">
        <v>1.0</v>
      </c>
    </row>
    <row r="29" ht="15.75" customHeight="1">
      <c r="A29" s="334" t="s">
        <v>6979</v>
      </c>
      <c r="B29" s="362">
        <v>45681.0</v>
      </c>
      <c r="C29" s="334" t="s">
        <v>19</v>
      </c>
      <c r="D29" s="334" t="s">
        <v>61</v>
      </c>
      <c r="E29" s="334" t="s">
        <v>506</v>
      </c>
      <c r="F29" s="334" t="s">
        <v>116</v>
      </c>
      <c r="G29" s="334" t="s">
        <v>6980</v>
      </c>
      <c r="I29" s="334">
        <v>-0.1</v>
      </c>
      <c r="M29" s="344">
        <v>45680.73935185185</v>
      </c>
      <c r="N29" s="376">
        <v>1.0</v>
      </c>
    </row>
    <row r="30" ht="15.75" customHeight="1">
      <c r="A30" s="334" t="s">
        <v>6981</v>
      </c>
      <c r="B30" s="362">
        <v>45681.0</v>
      </c>
      <c r="C30" s="334" t="s">
        <v>19</v>
      </c>
      <c r="D30" s="334" t="s">
        <v>61</v>
      </c>
      <c r="E30" s="334" t="s">
        <v>506</v>
      </c>
      <c r="F30" s="334" t="s">
        <v>116</v>
      </c>
      <c r="G30" s="334" t="s">
        <v>6980</v>
      </c>
      <c r="I30" s="334">
        <v>-0.9</v>
      </c>
      <c r="M30" s="344">
        <v>45680.740277777775</v>
      </c>
      <c r="N30" s="376">
        <v>1.0</v>
      </c>
    </row>
    <row r="31" ht="15.75" customHeight="1">
      <c r="A31" s="334" t="s">
        <v>6982</v>
      </c>
      <c r="B31" s="362">
        <v>45685.0</v>
      </c>
      <c r="C31" s="334" t="s">
        <v>532</v>
      </c>
      <c r="D31" s="334" t="s">
        <v>77</v>
      </c>
      <c r="E31" s="334" t="s">
        <v>486</v>
      </c>
      <c r="F31" s="334" t="s">
        <v>6983</v>
      </c>
      <c r="G31" s="334" t="s">
        <v>6984</v>
      </c>
      <c r="I31" s="334">
        <v>-0.5</v>
      </c>
      <c r="M31" s="344">
        <v>45685.27945601852</v>
      </c>
      <c r="N31" s="376">
        <v>1.0</v>
      </c>
    </row>
    <row r="32" ht="15.75" customHeight="1">
      <c r="A32" s="334" t="s">
        <v>6985</v>
      </c>
      <c r="B32" s="362">
        <v>45685.0</v>
      </c>
      <c r="C32" s="334" t="s">
        <v>535</v>
      </c>
      <c r="D32" s="334" t="s">
        <v>77</v>
      </c>
      <c r="E32" s="334" t="s">
        <v>495</v>
      </c>
      <c r="F32" s="334" t="s">
        <v>6983</v>
      </c>
      <c r="G32" s="334" t="s">
        <v>6986</v>
      </c>
      <c r="I32" s="334">
        <v>-0.5</v>
      </c>
      <c r="M32" s="344">
        <v>45685.28030092592</v>
      </c>
      <c r="N32" s="376">
        <v>1.0</v>
      </c>
    </row>
    <row r="33" ht="15.75" customHeight="1">
      <c r="A33" s="334" t="s">
        <v>6987</v>
      </c>
      <c r="B33" s="362">
        <v>45685.0</v>
      </c>
      <c r="C33" s="334" t="s">
        <v>536</v>
      </c>
      <c r="D33" s="334" t="s">
        <v>77</v>
      </c>
      <c r="E33" s="334" t="s">
        <v>496</v>
      </c>
      <c r="F33" s="334" t="s">
        <v>6988</v>
      </c>
      <c r="G33" s="334" t="s">
        <v>6989</v>
      </c>
      <c r="I33" s="334">
        <v>-0.5</v>
      </c>
      <c r="M33" s="344">
        <v>45685.280694444446</v>
      </c>
      <c r="N33" s="376">
        <v>1.0</v>
      </c>
    </row>
    <row r="34" ht="15.75" customHeight="1">
      <c r="A34" s="334" t="s">
        <v>6990</v>
      </c>
      <c r="B34" s="362">
        <v>45685.0</v>
      </c>
      <c r="C34" s="334" t="s">
        <v>9</v>
      </c>
      <c r="D34" s="334" t="s">
        <v>6991</v>
      </c>
      <c r="E34" s="334" t="s">
        <v>6992</v>
      </c>
      <c r="F34" s="334" t="s">
        <v>6993</v>
      </c>
      <c r="G34" s="334" t="s">
        <v>6994</v>
      </c>
      <c r="I34" s="334">
        <v>-0.5</v>
      </c>
      <c r="M34" s="344">
        <v>45685.284895833334</v>
      </c>
      <c r="N34" s="376">
        <v>1.0</v>
      </c>
    </row>
    <row r="35" ht="15.75" customHeight="1">
      <c r="A35" s="334" t="s">
        <v>6995</v>
      </c>
      <c r="B35" s="362">
        <v>45685.0</v>
      </c>
      <c r="C35" s="334" t="s">
        <v>10</v>
      </c>
      <c r="D35" s="334" t="s">
        <v>47</v>
      </c>
      <c r="E35" s="334" t="s">
        <v>463</v>
      </c>
      <c r="F35" s="334" t="s">
        <v>6996</v>
      </c>
      <c r="G35" s="334" t="s">
        <v>6997</v>
      </c>
      <c r="I35" s="334">
        <v>-0.5</v>
      </c>
      <c r="M35" s="344">
        <v>45685.28884259259</v>
      </c>
      <c r="N35" s="376">
        <v>1.0</v>
      </c>
    </row>
    <row r="36" ht="15.75" customHeight="1">
      <c r="A36" s="334" t="s">
        <v>6998</v>
      </c>
      <c r="B36" s="362">
        <v>45685.0</v>
      </c>
      <c r="C36" s="334" t="s">
        <v>7</v>
      </c>
      <c r="D36" s="334" t="s">
        <v>49</v>
      </c>
      <c r="E36" s="334" t="s">
        <v>455</v>
      </c>
      <c r="F36" s="334" t="s">
        <v>6999</v>
      </c>
      <c r="G36" s="334" t="s">
        <v>7000</v>
      </c>
      <c r="I36" s="334">
        <v>1.0</v>
      </c>
      <c r="M36" s="344">
        <v>45685.29</v>
      </c>
      <c r="N36" s="376">
        <v>1.0</v>
      </c>
    </row>
    <row r="37" ht="15.75" customHeight="1">
      <c r="A37" s="334" t="s">
        <v>7001</v>
      </c>
      <c r="B37" s="362">
        <v>45685.0</v>
      </c>
      <c r="C37" s="334" t="s">
        <v>36</v>
      </c>
      <c r="D37" s="334" t="s">
        <v>1303</v>
      </c>
      <c r="E37" s="334" t="s">
        <v>469</v>
      </c>
      <c r="F37" s="334" t="s">
        <v>6996</v>
      </c>
      <c r="G37" s="334" t="s">
        <v>7002</v>
      </c>
      <c r="I37" s="334">
        <v>-0.5</v>
      </c>
      <c r="M37" s="344">
        <v>45685.29111111111</v>
      </c>
      <c r="N37" s="376">
        <v>1.0</v>
      </c>
    </row>
    <row r="38" ht="15.75" customHeight="1">
      <c r="A38" s="334" t="s">
        <v>7003</v>
      </c>
      <c r="B38" s="362">
        <v>45685.0</v>
      </c>
      <c r="C38" s="334" t="s">
        <v>11</v>
      </c>
      <c r="D38" s="334" t="s">
        <v>46</v>
      </c>
      <c r="E38" s="334" t="s">
        <v>488</v>
      </c>
      <c r="G38" s="334" t="s">
        <v>488</v>
      </c>
      <c r="I38" s="334">
        <v>-0.5</v>
      </c>
      <c r="M38" s="344">
        <v>45685.29195601852</v>
      </c>
      <c r="N38" s="376">
        <v>1.0</v>
      </c>
    </row>
    <row r="39" ht="15.75" customHeight="1">
      <c r="A39" s="334" t="s">
        <v>7004</v>
      </c>
      <c r="B39" s="362">
        <v>45685.0</v>
      </c>
      <c r="C39" s="334" t="s">
        <v>11</v>
      </c>
      <c r="D39" s="334" t="s">
        <v>46</v>
      </c>
      <c r="E39" s="334" t="s">
        <v>488</v>
      </c>
      <c r="F39" s="334" t="s">
        <v>7005</v>
      </c>
      <c r="G39" s="334" t="s">
        <v>7006</v>
      </c>
      <c r="I39" s="334">
        <v>-0.5</v>
      </c>
      <c r="M39" s="344">
        <v>45685.29331018519</v>
      </c>
      <c r="N39" s="376">
        <v>1.0</v>
      </c>
    </row>
    <row r="40" ht="15.75" customHeight="1">
      <c r="A40" s="334" t="s">
        <v>7007</v>
      </c>
      <c r="B40" s="362">
        <v>45685.0</v>
      </c>
      <c r="C40" s="334" t="s">
        <v>28</v>
      </c>
      <c r="D40" s="334" t="s">
        <v>52</v>
      </c>
      <c r="E40" s="334" t="s">
        <v>493</v>
      </c>
      <c r="F40" s="334" t="s">
        <v>7008</v>
      </c>
      <c r="G40" s="334" t="s">
        <v>7009</v>
      </c>
      <c r="I40" s="334">
        <v>-0.5</v>
      </c>
      <c r="M40" s="344">
        <v>45685.29483796296</v>
      </c>
      <c r="N40" s="376">
        <v>1.0</v>
      </c>
    </row>
    <row r="41" ht="15.75" customHeight="1">
      <c r="A41" s="334" t="s">
        <v>7010</v>
      </c>
      <c r="B41" s="362">
        <v>45685.0</v>
      </c>
      <c r="C41" s="334" t="s">
        <v>12</v>
      </c>
      <c r="D41" s="334" t="s">
        <v>50</v>
      </c>
      <c r="E41" s="334" t="s">
        <v>490</v>
      </c>
      <c r="F41" s="334" t="s">
        <v>7011</v>
      </c>
      <c r="G41" s="334" t="s">
        <v>7012</v>
      </c>
      <c r="I41" s="334">
        <v>-0.5</v>
      </c>
      <c r="M41" s="344">
        <v>45685.365266203706</v>
      </c>
      <c r="N41" s="376">
        <v>1.0</v>
      </c>
    </row>
    <row r="42" ht="15.75" customHeight="1">
      <c r="A42" s="334" t="s">
        <v>7013</v>
      </c>
      <c r="B42" s="362">
        <v>45685.0</v>
      </c>
      <c r="C42" s="334" t="s">
        <v>12</v>
      </c>
      <c r="D42" s="334" t="s">
        <v>53</v>
      </c>
      <c r="E42" s="334" t="s">
        <v>491</v>
      </c>
      <c r="F42" s="334" t="s">
        <v>7011</v>
      </c>
      <c r="G42" s="334" t="s">
        <v>7014</v>
      </c>
      <c r="I42" s="334">
        <v>-0.5</v>
      </c>
      <c r="M42" s="344">
        <v>45685.36605324074</v>
      </c>
      <c r="N42" s="376">
        <v>1.0</v>
      </c>
    </row>
    <row r="43" ht="15.75" customHeight="1">
      <c r="A43" s="334" t="s">
        <v>7015</v>
      </c>
      <c r="B43" s="362">
        <v>45685.0</v>
      </c>
      <c r="C43" s="334" t="s">
        <v>14</v>
      </c>
      <c r="D43" s="334" t="s">
        <v>46</v>
      </c>
      <c r="E43" s="334" t="s">
        <v>497</v>
      </c>
      <c r="F43" s="334" t="s">
        <v>7016</v>
      </c>
      <c r="G43" s="334" t="s">
        <v>7017</v>
      </c>
      <c r="I43" s="334">
        <v>-0.5</v>
      </c>
      <c r="M43" s="344">
        <v>45685.36699074074</v>
      </c>
      <c r="N43" s="376">
        <v>1.0</v>
      </c>
    </row>
    <row r="44" ht="15.75" customHeight="1">
      <c r="A44" s="334" t="s">
        <v>7018</v>
      </c>
      <c r="B44" s="362">
        <v>45685.0</v>
      </c>
      <c r="C44" s="334" t="s">
        <v>14</v>
      </c>
      <c r="D44" s="334" t="s">
        <v>48</v>
      </c>
      <c r="E44" s="334" t="s">
        <v>498</v>
      </c>
      <c r="F44" s="334" t="s">
        <v>7019</v>
      </c>
      <c r="G44" s="334" t="s">
        <v>7020</v>
      </c>
      <c r="I44" s="334">
        <v>-0.5</v>
      </c>
      <c r="M44" s="344">
        <v>45685.367997685185</v>
      </c>
      <c r="N44" s="376">
        <v>1.0</v>
      </c>
    </row>
    <row r="45" ht="15.75" customHeight="1">
      <c r="A45" s="334" t="s">
        <v>7021</v>
      </c>
      <c r="B45" s="362">
        <v>45685.0</v>
      </c>
      <c r="C45" s="334" t="s">
        <v>15</v>
      </c>
      <c r="D45" s="334" t="s">
        <v>58</v>
      </c>
      <c r="E45" s="334" t="s">
        <v>499</v>
      </c>
      <c r="F45" s="334" t="s">
        <v>7022</v>
      </c>
      <c r="G45" s="334" t="s">
        <v>7023</v>
      </c>
      <c r="I45" s="334">
        <v>-0.5</v>
      </c>
      <c r="M45" s="344">
        <v>45685.369050925925</v>
      </c>
      <c r="N45" s="376">
        <v>1.0</v>
      </c>
    </row>
    <row r="46" ht="15.75" customHeight="1">
      <c r="A46" s="334" t="s">
        <v>7024</v>
      </c>
      <c r="B46" s="362">
        <v>45685.0</v>
      </c>
      <c r="C46" s="334" t="s">
        <v>15</v>
      </c>
      <c r="D46" s="334" t="s">
        <v>46</v>
      </c>
      <c r="E46" s="334" t="s">
        <v>500</v>
      </c>
      <c r="F46" s="334" t="s">
        <v>7025</v>
      </c>
      <c r="G46" s="334" t="s">
        <v>7026</v>
      </c>
      <c r="I46" s="334">
        <v>-0.5</v>
      </c>
      <c r="M46" s="344">
        <v>45685.37190972222</v>
      </c>
      <c r="N46" s="376">
        <v>1.0</v>
      </c>
    </row>
    <row r="47" ht="15.75" customHeight="1">
      <c r="A47" s="334" t="s">
        <v>7027</v>
      </c>
      <c r="B47" s="362">
        <v>45685.0</v>
      </c>
      <c r="C47" s="334" t="s">
        <v>537</v>
      </c>
      <c r="D47" s="334" t="s">
        <v>59</v>
      </c>
      <c r="E47" s="334" t="s">
        <v>501</v>
      </c>
      <c r="F47" s="334" t="s">
        <v>7028</v>
      </c>
      <c r="G47" s="334" t="s">
        <v>7029</v>
      </c>
      <c r="I47" s="334">
        <v>-0.5</v>
      </c>
      <c r="M47" s="344">
        <v>45685.37274305556</v>
      </c>
      <c r="N47" s="376">
        <v>1.0</v>
      </c>
    </row>
    <row r="48" ht="15.75" customHeight="1">
      <c r="A48" s="334" t="s">
        <v>7030</v>
      </c>
      <c r="B48" s="362">
        <v>45685.0</v>
      </c>
      <c r="C48" s="334" t="s">
        <v>537</v>
      </c>
      <c r="D48" s="334" t="s">
        <v>7031</v>
      </c>
      <c r="E48" s="334" t="s">
        <v>7032</v>
      </c>
      <c r="F48" s="334" t="s">
        <v>7033</v>
      </c>
      <c r="G48" s="334" t="s">
        <v>7034</v>
      </c>
      <c r="I48" s="334">
        <v>-0.5</v>
      </c>
      <c r="M48" s="344">
        <v>45685.37351851852</v>
      </c>
      <c r="N48" s="376">
        <v>1.0</v>
      </c>
    </row>
    <row r="49" ht="15.75" customHeight="1">
      <c r="A49" s="334" t="s">
        <v>7035</v>
      </c>
      <c r="B49" s="362">
        <v>45685.0</v>
      </c>
      <c r="C49" s="334" t="s">
        <v>19</v>
      </c>
      <c r="D49" s="334" t="s">
        <v>61</v>
      </c>
      <c r="E49" s="334" t="s">
        <v>506</v>
      </c>
      <c r="F49" s="334" t="s">
        <v>116</v>
      </c>
      <c r="G49" s="334" t="s">
        <v>6980</v>
      </c>
      <c r="I49" s="334">
        <v>-0.5</v>
      </c>
      <c r="M49" s="344">
        <v>45685.37465277778</v>
      </c>
      <c r="N49" s="376">
        <v>1.0</v>
      </c>
    </row>
    <row r="50" ht="15.75" customHeight="1">
      <c r="A50" s="334" t="s">
        <v>7036</v>
      </c>
      <c r="B50" s="362">
        <v>45685.0</v>
      </c>
      <c r="C50" s="334" t="s">
        <v>17</v>
      </c>
      <c r="D50" s="334" t="s">
        <v>7037</v>
      </c>
      <c r="E50" s="334" t="s">
        <v>7038</v>
      </c>
      <c r="F50" s="334" t="s">
        <v>575</v>
      </c>
      <c r="G50" s="334" t="s">
        <v>7039</v>
      </c>
      <c r="I50" s="334">
        <v>-0.5</v>
      </c>
      <c r="M50" s="344">
        <v>45685.37513888889</v>
      </c>
      <c r="N50" s="376">
        <v>1.0</v>
      </c>
    </row>
    <row r="51" ht="15.75" customHeight="1">
      <c r="A51" s="334" t="s">
        <v>7040</v>
      </c>
      <c r="B51" s="362">
        <v>45685.0</v>
      </c>
      <c r="C51" s="334" t="s">
        <v>37</v>
      </c>
      <c r="D51" s="334" t="s">
        <v>48</v>
      </c>
      <c r="E51" s="334" t="s">
        <v>510</v>
      </c>
      <c r="F51" s="334" t="s">
        <v>7041</v>
      </c>
      <c r="G51" s="334" t="s">
        <v>7042</v>
      </c>
      <c r="I51" s="334">
        <v>-0.5</v>
      </c>
      <c r="M51" s="344">
        <v>45685.375706018516</v>
      </c>
      <c r="N51" s="376">
        <v>1.0</v>
      </c>
    </row>
    <row r="52" ht="15.75" customHeight="1">
      <c r="A52" s="334" t="s">
        <v>7043</v>
      </c>
      <c r="B52" s="362">
        <v>45686.0</v>
      </c>
      <c r="C52" s="334" t="s">
        <v>15</v>
      </c>
      <c r="D52" s="334" t="s">
        <v>58</v>
      </c>
      <c r="E52" s="334" t="s">
        <v>499</v>
      </c>
      <c r="F52" s="334" t="s">
        <v>139</v>
      </c>
      <c r="G52" s="334" t="s">
        <v>7044</v>
      </c>
      <c r="I52" s="334">
        <v>-0.5</v>
      </c>
      <c r="M52" s="344">
        <v>45686.281435185185</v>
      </c>
      <c r="N52" s="376">
        <v>1.0</v>
      </c>
    </row>
    <row r="53" ht="15.75" customHeight="1">
      <c r="A53" s="334" t="s">
        <v>7045</v>
      </c>
      <c r="B53" s="362">
        <v>45686.0</v>
      </c>
      <c r="C53" s="334" t="s">
        <v>15</v>
      </c>
      <c r="D53" s="334" t="s">
        <v>58</v>
      </c>
      <c r="E53" s="334" t="s">
        <v>499</v>
      </c>
      <c r="F53" s="334" t="s">
        <v>577</v>
      </c>
      <c r="G53" s="334" t="s">
        <v>7046</v>
      </c>
      <c r="I53" s="334">
        <v>-0.5</v>
      </c>
      <c r="M53" s="344">
        <v>45686.356840277775</v>
      </c>
      <c r="N53" s="376">
        <v>1.0</v>
      </c>
    </row>
    <row r="54" ht="15.75" customHeight="1">
      <c r="A54" s="334" t="s">
        <v>7047</v>
      </c>
      <c r="B54" s="362">
        <v>45687.0</v>
      </c>
      <c r="C54" s="334" t="s">
        <v>5</v>
      </c>
      <c r="D54" s="334" t="s">
        <v>6919</v>
      </c>
      <c r="E54" s="334" t="s">
        <v>6920</v>
      </c>
      <c r="F54" s="334" t="s">
        <v>7048</v>
      </c>
      <c r="G54" s="334" t="s">
        <v>7049</v>
      </c>
      <c r="I54" s="334">
        <v>0.5</v>
      </c>
      <c r="M54" s="344">
        <v>45686.74884259259</v>
      </c>
      <c r="N54" s="376">
        <v>1.0</v>
      </c>
    </row>
    <row r="55" ht="15.75" customHeight="1">
      <c r="A55" s="334" t="s">
        <v>7050</v>
      </c>
      <c r="B55" s="362">
        <v>45687.0</v>
      </c>
      <c r="C55" s="334" t="s">
        <v>5</v>
      </c>
      <c r="D55" s="334" t="s">
        <v>6937</v>
      </c>
      <c r="E55" s="334" t="s">
        <v>6938</v>
      </c>
      <c r="F55" s="334" t="s">
        <v>130</v>
      </c>
      <c r="G55" s="334" t="s">
        <v>6939</v>
      </c>
      <c r="I55" s="334">
        <v>0.5</v>
      </c>
      <c r="M55" s="344">
        <v>45686.75162037037</v>
      </c>
      <c r="N55" s="376">
        <v>1.0</v>
      </c>
    </row>
    <row r="56" ht="15.75" customHeight="1">
      <c r="A56" s="334" t="s">
        <v>7051</v>
      </c>
      <c r="B56" s="362">
        <v>45687.0</v>
      </c>
      <c r="C56" s="334" t="s">
        <v>29</v>
      </c>
      <c r="D56" s="334" t="s">
        <v>50</v>
      </c>
      <c r="E56" s="334" t="s">
        <v>473</v>
      </c>
      <c r="F56" s="334" t="s">
        <v>145</v>
      </c>
      <c r="G56" s="334" t="s">
        <v>7052</v>
      </c>
      <c r="I56" s="334">
        <v>43.5</v>
      </c>
      <c r="M56" s="344">
        <v>45687.5399537037</v>
      </c>
      <c r="N56" s="376">
        <v>1.0</v>
      </c>
    </row>
    <row r="57" ht="15.75" customHeight="1">
      <c r="A57" s="334" t="s">
        <v>7053</v>
      </c>
      <c r="B57" s="362">
        <v>45693.0</v>
      </c>
      <c r="C57" s="334" t="s">
        <v>5</v>
      </c>
      <c r="D57" s="334" t="s">
        <v>6919</v>
      </c>
      <c r="E57" s="334" t="s">
        <v>6920</v>
      </c>
      <c r="F57" s="334" t="s">
        <v>7054</v>
      </c>
      <c r="G57" s="334" t="s">
        <v>7055</v>
      </c>
      <c r="I57" s="334">
        <v>0.5</v>
      </c>
      <c r="M57" s="344">
        <v>45692.734351851854</v>
      </c>
      <c r="N57" s="376">
        <v>1.0</v>
      </c>
    </row>
    <row r="58" ht="15.75" customHeight="1">
      <c r="A58" s="334" t="s">
        <v>7056</v>
      </c>
      <c r="B58" s="362">
        <v>45693.0</v>
      </c>
      <c r="C58" s="334" t="s">
        <v>5</v>
      </c>
      <c r="D58" s="334" t="s">
        <v>6937</v>
      </c>
      <c r="E58" s="334" t="s">
        <v>6938</v>
      </c>
      <c r="F58" s="334" t="s">
        <v>130</v>
      </c>
      <c r="G58" s="334" t="s">
        <v>6939</v>
      </c>
      <c r="I58" s="334">
        <v>0.5</v>
      </c>
      <c r="M58" s="344">
        <v>45692.73918981481</v>
      </c>
      <c r="N58" s="376">
        <v>1.0</v>
      </c>
    </row>
    <row r="59" ht="15.75" customHeight="1">
      <c r="A59" s="334" t="s">
        <v>7057</v>
      </c>
      <c r="B59" s="362">
        <v>45696.0</v>
      </c>
      <c r="C59" s="334" t="s">
        <v>6</v>
      </c>
      <c r="D59" s="334" t="s">
        <v>48</v>
      </c>
      <c r="E59" s="334" t="s">
        <v>454</v>
      </c>
      <c r="F59" s="334" t="s">
        <v>7058</v>
      </c>
      <c r="G59" s="334" t="s">
        <v>7059</v>
      </c>
      <c r="I59" s="334">
        <v>1.0</v>
      </c>
      <c r="M59" s="344">
        <v>45696.26832175926</v>
      </c>
      <c r="N59" s="376">
        <v>1.0</v>
      </c>
    </row>
    <row r="60" ht="15.75" customHeight="1">
      <c r="A60" s="334" t="s">
        <v>7060</v>
      </c>
      <c r="B60" s="362">
        <v>45701.0</v>
      </c>
      <c r="C60" s="334" t="s">
        <v>5</v>
      </c>
      <c r="D60" s="334" t="s">
        <v>6919</v>
      </c>
      <c r="E60" s="334" t="s">
        <v>6920</v>
      </c>
      <c r="F60" s="334" t="s">
        <v>7061</v>
      </c>
      <c r="G60" s="334" t="s">
        <v>7062</v>
      </c>
      <c r="I60" s="334">
        <v>0.5</v>
      </c>
      <c r="M60" s="344">
        <v>45701.46864583333</v>
      </c>
      <c r="N60" s="376">
        <v>1.0</v>
      </c>
    </row>
    <row r="61" ht="15.75" customHeight="1">
      <c r="A61" s="334" t="s">
        <v>7063</v>
      </c>
      <c r="B61" s="362">
        <v>45701.0</v>
      </c>
      <c r="C61" s="334" t="s">
        <v>5</v>
      </c>
      <c r="D61" s="334" t="s">
        <v>6919</v>
      </c>
      <c r="E61" s="334" t="s">
        <v>6920</v>
      </c>
      <c r="F61" s="334" t="s">
        <v>7061</v>
      </c>
      <c r="G61" s="334" t="s">
        <v>7062</v>
      </c>
      <c r="I61" s="334">
        <v>-0.5</v>
      </c>
      <c r="M61" s="344">
        <v>45701.47059027778</v>
      </c>
      <c r="N61" s="376">
        <v>1.0</v>
      </c>
    </row>
    <row r="62" ht="15.75" customHeight="1">
      <c r="A62" s="334" t="s">
        <v>7064</v>
      </c>
      <c r="B62" s="362">
        <v>45702.0</v>
      </c>
      <c r="C62" s="334" t="s">
        <v>531</v>
      </c>
      <c r="D62" s="334" t="s">
        <v>77</v>
      </c>
      <c r="E62" s="334" t="s">
        <v>449</v>
      </c>
      <c r="F62" s="334" t="s">
        <v>6983</v>
      </c>
      <c r="G62" s="334" t="s">
        <v>7065</v>
      </c>
      <c r="I62" s="334">
        <v>0.5</v>
      </c>
      <c r="M62" s="344">
        <v>45702.267534722225</v>
      </c>
      <c r="N62" s="376">
        <v>1.0</v>
      </c>
    </row>
    <row r="63" ht="15.75" customHeight="1">
      <c r="A63" s="334" t="s">
        <v>7066</v>
      </c>
      <c r="B63" s="362">
        <v>45702.0</v>
      </c>
      <c r="C63" s="334" t="s">
        <v>5</v>
      </c>
      <c r="D63" s="334" t="s">
        <v>7067</v>
      </c>
      <c r="E63" s="334" t="s">
        <v>7068</v>
      </c>
      <c r="F63" s="334" t="s">
        <v>7054</v>
      </c>
      <c r="G63" s="334" t="s">
        <v>7069</v>
      </c>
      <c r="I63" s="334">
        <v>1.0</v>
      </c>
      <c r="M63" s="344">
        <v>45702.26861111111</v>
      </c>
      <c r="N63" s="376">
        <v>1.0</v>
      </c>
    </row>
    <row r="64" ht="15.75" customHeight="1">
      <c r="A64" s="334" t="s">
        <v>7070</v>
      </c>
      <c r="B64" s="362">
        <v>45702.0</v>
      </c>
      <c r="C64" s="334" t="s">
        <v>6</v>
      </c>
      <c r="D64" s="334" t="s">
        <v>48</v>
      </c>
      <c r="E64" s="334" t="s">
        <v>454</v>
      </c>
      <c r="F64" s="334" t="s">
        <v>7071</v>
      </c>
      <c r="G64" s="334" t="s">
        <v>7072</v>
      </c>
      <c r="I64" s="334">
        <v>1.0</v>
      </c>
      <c r="M64" s="344">
        <v>45702.27012731481</v>
      </c>
      <c r="N64" s="376">
        <v>1.0</v>
      </c>
    </row>
    <row r="65" ht="15.75" customHeight="1">
      <c r="A65" s="334" t="s">
        <v>7073</v>
      </c>
      <c r="B65" s="362">
        <v>45702.0</v>
      </c>
      <c r="C65" s="334" t="s">
        <v>7</v>
      </c>
      <c r="D65" s="334" t="s">
        <v>49</v>
      </c>
      <c r="E65" s="334" t="s">
        <v>455</v>
      </c>
      <c r="F65" s="334" t="s">
        <v>7074</v>
      </c>
      <c r="G65" s="334" t="s">
        <v>7075</v>
      </c>
      <c r="I65" s="334">
        <v>1.0</v>
      </c>
      <c r="M65" s="344">
        <v>45702.2703587963</v>
      </c>
      <c r="N65" s="376">
        <v>1.0</v>
      </c>
    </row>
    <row r="66" ht="15.75" customHeight="1">
      <c r="A66" s="334" t="s">
        <v>7076</v>
      </c>
      <c r="B66" s="362">
        <v>45702.0</v>
      </c>
      <c r="C66" s="334" t="s">
        <v>10</v>
      </c>
      <c r="D66" s="334" t="s">
        <v>47</v>
      </c>
      <c r="E66" s="334" t="s">
        <v>463</v>
      </c>
      <c r="F66" s="334" t="s">
        <v>6996</v>
      </c>
      <c r="G66" s="334" t="s">
        <v>6997</v>
      </c>
      <c r="I66" s="334">
        <v>1.0</v>
      </c>
      <c r="M66" s="344">
        <v>45702.28025462963</v>
      </c>
      <c r="N66" s="376">
        <v>1.0</v>
      </c>
    </row>
    <row r="67" ht="15.75" customHeight="1">
      <c r="A67" s="334" t="s">
        <v>7077</v>
      </c>
      <c r="B67" s="362">
        <v>45702.0</v>
      </c>
      <c r="C67" s="334" t="s">
        <v>532</v>
      </c>
      <c r="D67" s="334" t="s">
        <v>77</v>
      </c>
      <c r="E67" s="334" t="s">
        <v>486</v>
      </c>
      <c r="F67" s="334" t="s">
        <v>7078</v>
      </c>
      <c r="G67" s="334" t="s">
        <v>7079</v>
      </c>
      <c r="I67" s="334">
        <v>1.0</v>
      </c>
      <c r="M67" s="344">
        <v>45702.28162037037</v>
      </c>
      <c r="N67" s="376">
        <v>1.0</v>
      </c>
    </row>
    <row r="68" ht="15.75" customHeight="1">
      <c r="A68" s="334" t="s">
        <v>7080</v>
      </c>
      <c r="B68" s="362">
        <v>45702.0</v>
      </c>
      <c r="C68" s="334" t="s">
        <v>36</v>
      </c>
      <c r="D68" s="334" t="s">
        <v>1303</v>
      </c>
      <c r="E68" s="334" t="s">
        <v>469</v>
      </c>
      <c r="F68" s="334" t="s">
        <v>6996</v>
      </c>
      <c r="G68" s="334" t="s">
        <v>7002</v>
      </c>
      <c r="I68" s="334">
        <v>1.0</v>
      </c>
      <c r="M68" s="344">
        <v>45702.2862962963</v>
      </c>
      <c r="N68" s="376">
        <v>1.0</v>
      </c>
    </row>
    <row r="69" ht="15.75" customHeight="1">
      <c r="A69" s="334" t="s">
        <v>7081</v>
      </c>
      <c r="B69" s="362">
        <v>45702.0</v>
      </c>
      <c r="C69" s="334" t="s">
        <v>28</v>
      </c>
      <c r="D69" s="334" t="s">
        <v>52</v>
      </c>
      <c r="E69" s="334" t="s">
        <v>493</v>
      </c>
      <c r="F69" s="334" t="s">
        <v>7008</v>
      </c>
      <c r="G69" s="334" t="s">
        <v>7009</v>
      </c>
      <c r="I69" s="334">
        <v>1.0</v>
      </c>
      <c r="M69" s="344">
        <v>45702.36574074074</v>
      </c>
      <c r="N69" s="376">
        <v>1.0</v>
      </c>
    </row>
    <row r="70" ht="15.75" customHeight="1">
      <c r="A70" s="334" t="s">
        <v>7082</v>
      </c>
      <c r="B70" s="362">
        <v>45702.0</v>
      </c>
      <c r="C70" s="334" t="s">
        <v>9</v>
      </c>
      <c r="D70" s="334" t="s">
        <v>6991</v>
      </c>
      <c r="E70" s="334" t="s">
        <v>6992</v>
      </c>
      <c r="F70" s="334" t="s">
        <v>7083</v>
      </c>
      <c r="G70" s="334" t="s">
        <v>7084</v>
      </c>
      <c r="I70" s="334">
        <v>1.0</v>
      </c>
      <c r="M70" s="344">
        <v>45702.400555555556</v>
      </c>
      <c r="N70" s="376">
        <v>1.0</v>
      </c>
    </row>
    <row r="71" ht="15.75" customHeight="1">
      <c r="A71" s="334" t="s">
        <v>7085</v>
      </c>
      <c r="B71" s="362">
        <v>45703.0</v>
      </c>
      <c r="C71" s="334" t="s">
        <v>13</v>
      </c>
      <c r="D71" s="334" t="s">
        <v>49</v>
      </c>
      <c r="E71" s="334" t="s">
        <v>467</v>
      </c>
      <c r="F71" s="334" t="s">
        <v>130</v>
      </c>
      <c r="G71" s="334" t="s">
        <v>7086</v>
      </c>
      <c r="I71" s="334">
        <v>1.0</v>
      </c>
      <c r="M71" s="344">
        <v>45702.70228009259</v>
      </c>
      <c r="N71" s="376">
        <v>1.0</v>
      </c>
    </row>
    <row r="72" ht="15.75" customHeight="1">
      <c r="A72" s="334" t="s">
        <v>7087</v>
      </c>
      <c r="B72" s="362">
        <v>45703.0</v>
      </c>
      <c r="C72" s="334" t="s">
        <v>22</v>
      </c>
      <c r="D72" s="334" t="s">
        <v>47</v>
      </c>
      <c r="E72" s="334" t="s">
        <v>468</v>
      </c>
      <c r="F72" s="334" t="s">
        <v>7011</v>
      </c>
      <c r="G72" s="334" t="s">
        <v>7088</v>
      </c>
      <c r="I72" s="334">
        <v>1.0</v>
      </c>
      <c r="M72" s="344">
        <v>45702.728993055556</v>
      </c>
      <c r="N72" s="376">
        <v>1.0</v>
      </c>
    </row>
    <row r="73" ht="15.75" customHeight="1">
      <c r="A73" s="334" t="s">
        <v>7089</v>
      </c>
      <c r="B73" s="362">
        <v>45706.0</v>
      </c>
      <c r="C73" s="334" t="s">
        <v>12</v>
      </c>
      <c r="D73" s="334" t="s">
        <v>50</v>
      </c>
      <c r="E73" s="334" t="s">
        <v>490</v>
      </c>
      <c r="F73" s="334" t="s">
        <v>7011</v>
      </c>
      <c r="G73" s="334" t="s">
        <v>7012</v>
      </c>
      <c r="I73" s="334">
        <v>1.0</v>
      </c>
      <c r="M73" s="344">
        <v>45706.437893518516</v>
      </c>
      <c r="N73" s="376">
        <v>1.0</v>
      </c>
    </row>
    <row r="74" ht="15.75" customHeight="1">
      <c r="A74" s="334" t="s">
        <v>7090</v>
      </c>
      <c r="B74" s="362">
        <v>45706.0</v>
      </c>
      <c r="C74" s="334" t="s">
        <v>19</v>
      </c>
      <c r="D74" s="334" t="s">
        <v>61</v>
      </c>
      <c r="E74" s="334" t="s">
        <v>506</v>
      </c>
      <c r="F74" s="334" t="s">
        <v>116</v>
      </c>
      <c r="G74" s="334" t="s">
        <v>6980</v>
      </c>
      <c r="I74" s="334">
        <v>1.0</v>
      </c>
      <c r="M74" s="344">
        <v>45706.43929398148</v>
      </c>
      <c r="N74" s="376">
        <v>1.0</v>
      </c>
    </row>
    <row r="75" ht="15.75" customHeight="1">
      <c r="A75" s="334" t="s">
        <v>7091</v>
      </c>
      <c r="B75" s="362">
        <v>45707.0</v>
      </c>
      <c r="C75" s="334" t="s">
        <v>35</v>
      </c>
      <c r="D75" s="334" t="s">
        <v>48</v>
      </c>
      <c r="E75" s="334" t="s">
        <v>509</v>
      </c>
      <c r="F75" s="334" t="s">
        <v>130</v>
      </c>
      <c r="G75" s="334" t="s">
        <v>6975</v>
      </c>
      <c r="I75" s="334">
        <v>0.5</v>
      </c>
      <c r="M75" s="344">
        <v>45707.26721064815</v>
      </c>
      <c r="N75" s="376">
        <v>1.0</v>
      </c>
    </row>
    <row r="76" ht="15.75" customHeight="1">
      <c r="A76" s="334" t="s">
        <v>7092</v>
      </c>
      <c r="B76" s="362">
        <v>45709.0</v>
      </c>
      <c r="C76" s="334" t="s">
        <v>531</v>
      </c>
      <c r="D76" s="334" t="s">
        <v>77</v>
      </c>
      <c r="E76" s="334" t="s">
        <v>449</v>
      </c>
      <c r="F76" s="334" t="s">
        <v>6983</v>
      </c>
      <c r="G76" s="334" t="s">
        <v>7065</v>
      </c>
      <c r="I76" s="334">
        <v>1.0</v>
      </c>
      <c r="M76" s="344">
        <v>45708.68662037037</v>
      </c>
      <c r="N76" s="376">
        <v>1.0</v>
      </c>
    </row>
    <row r="77" ht="15.75" customHeight="1">
      <c r="A77" s="334" t="s">
        <v>7093</v>
      </c>
      <c r="B77" s="362">
        <v>45709.0</v>
      </c>
      <c r="C77" s="334" t="s">
        <v>11</v>
      </c>
      <c r="D77" s="334" t="s">
        <v>46</v>
      </c>
      <c r="E77" s="334" t="s">
        <v>488</v>
      </c>
      <c r="F77" s="334" t="s">
        <v>7094</v>
      </c>
      <c r="G77" s="334" t="s">
        <v>7095</v>
      </c>
      <c r="I77" s="334">
        <v>1.0</v>
      </c>
      <c r="M77" s="344">
        <v>45709.26336805556</v>
      </c>
      <c r="N77" s="376">
        <v>1.0</v>
      </c>
    </row>
    <row r="78" ht="15.75" customHeight="1">
      <c r="A78" s="334" t="s">
        <v>7096</v>
      </c>
      <c r="B78" s="362">
        <v>45710.0</v>
      </c>
      <c r="C78" s="334" t="s">
        <v>7</v>
      </c>
      <c r="D78" s="334" t="s">
        <v>49</v>
      </c>
      <c r="E78" s="334" t="s">
        <v>455</v>
      </c>
      <c r="F78" s="334" t="s">
        <v>7041</v>
      </c>
      <c r="G78" s="334" t="s">
        <v>7097</v>
      </c>
      <c r="I78" s="334">
        <v>1.0</v>
      </c>
      <c r="M78" s="344">
        <v>45713.2790625</v>
      </c>
      <c r="N78" s="376">
        <v>1.0</v>
      </c>
    </row>
    <row r="79" ht="15.75" customHeight="1">
      <c r="A79" s="334" t="s">
        <v>7098</v>
      </c>
      <c r="B79" s="362">
        <v>45710.0</v>
      </c>
      <c r="C79" s="334" t="s">
        <v>7</v>
      </c>
      <c r="D79" s="334" t="s">
        <v>49</v>
      </c>
      <c r="E79" s="334" t="s">
        <v>455</v>
      </c>
      <c r="F79" s="334" t="s">
        <v>6999</v>
      </c>
      <c r="G79" s="334" t="s">
        <v>7000</v>
      </c>
      <c r="I79" s="334">
        <v>0.5</v>
      </c>
      <c r="M79" s="344">
        <v>45713.279814814814</v>
      </c>
      <c r="N79" s="376">
        <v>1.0</v>
      </c>
    </row>
    <row r="80" ht="15.75" customHeight="1">
      <c r="A80" s="334" t="s">
        <v>7099</v>
      </c>
      <c r="B80" s="362">
        <v>45710.0</v>
      </c>
      <c r="C80" s="334" t="s">
        <v>28</v>
      </c>
      <c r="D80" s="334" t="s">
        <v>52</v>
      </c>
      <c r="E80" s="334" t="s">
        <v>493</v>
      </c>
      <c r="F80" s="334" t="s">
        <v>154</v>
      </c>
      <c r="G80" s="334" t="s">
        <v>7100</v>
      </c>
      <c r="I80" s="334">
        <v>-1.0</v>
      </c>
      <c r="M80" s="344">
        <v>45713.280381944445</v>
      </c>
      <c r="N80" s="376">
        <v>1.0</v>
      </c>
    </row>
    <row r="81" ht="15.75" customHeight="1">
      <c r="A81" s="334" t="s">
        <v>7101</v>
      </c>
      <c r="B81" s="362">
        <v>45714.0</v>
      </c>
      <c r="C81" s="334" t="s">
        <v>5</v>
      </c>
      <c r="D81" s="334" t="s">
        <v>46</v>
      </c>
      <c r="E81" s="334" t="s">
        <v>450</v>
      </c>
      <c r="F81" s="334" t="s">
        <v>7102</v>
      </c>
      <c r="G81" s="334" t="s">
        <v>7103</v>
      </c>
      <c r="I81" s="334">
        <v>0.5</v>
      </c>
      <c r="M81" s="344">
        <v>45713.766863425924</v>
      </c>
      <c r="N81" s="376">
        <v>1.0</v>
      </c>
    </row>
    <row r="82" ht="15.75" customHeight="1">
      <c r="A82" s="334" t="s">
        <v>7104</v>
      </c>
      <c r="B82" s="362">
        <v>45714.0</v>
      </c>
      <c r="C82" s="334" t="s">
        <v>5</v>
      </c>
      <c r="D82" s="334" t="s">
        <v>47</v>
      </c>
      <c r="E82" s="334" t="s">
        <v>451</v>
      </c>
      <c r="F82" s="334" t="s">
        <v>7105</v>
      </c>
      <c r="G82" s="334" t="s">
        <v>7106</v>
      </c>
      <c r="I82" s="334">
        <v>0.5</v>
      </c>
      <c r="M82" s="344">
        <v>45713.77377314815</v>
      </c>
      <c r="N82" s="376">
        <v>1.0</v>
      </c>
    </row>
    <row r="83" ht="15.75" customHeight="1">
      <c r="A83" s="334" t="s">
        <v>7107</v>
      </c>
      <c r="B83" s="362">
        <v>45714.0</v>
      </c>
      <c r="C83" s="334" t="s">
        <v>5</v>
      </c>
      <c r="D83" s="334" t="s">
        <v>6937</v>
      </c>
      <c r="E83" s="334" t="s">
        <v>6938</v>
      </c>
      <c r="F83" s="334" t="s">
        <v>130</v>
      </c>
      <c r="G83" s="334" t="s">
        <v>6939</v>
      </c>
      <c r="I83" s="334">
        <v>0.5</v>
      </c>
      <c r="M83" s="344">
        <v>45713.77537037037</v>
      </c>
      <c r="N83" s="376">
        <v>1.0</v>
      </c>
    </row>
    <row r="84" ht="15.75" customHeight="1">
      <c r="A84" s="334" t="s">
        <v>7108</v>
      </c>
      <c r="B84" s="362">
        <v>45717.0</v>
      </c>
      <c r="C84" s="334" t="s">
        <v>7</v>
      </c>
      <c r="D84" s="334" t="s">
        <v>49</v>
      </c>
      <c r="E84" s="334" t="s">
        <v>455</v>
      </c>
      <c r="F84" s="334" t="s">
        <v>6921</v>
      </c>
      <c r="G84" s="334" t="s">
        <v>7109</v>
      </c>
      <c r="I84" s="334">
        <v>0.5</v>
      </c>
      <c r="M84" s="344">
        <v>45717.26899305556</v>
      </c>
      <c r="N84" s="376">
        <v>1.0</v>
      </c>
    </row>
    <row r="85" ht="15.75" customHeight="1">
      <c r="A85" s="334" t="s">
        <v>7110</v>
      </c>
      <c r="B85" s="362">
        <v>45717.0</v>
      </c>
      <c r="C85" s="334" t="s">
        <v>7</v>
      </c>
      <c r="D85" s="334" t="s">
        <v>49</v>
      </c>
      <c r="E85" s="334" t="s">
        <v>455</v>
      </c>
      <c r="F85" s="334" t="s">
        <v>6999</v>
      </c>
      <c r="G85" s="334" t="s">
        <v>7000</v>
      </c>
      <c r="I85" s="334">
        <v>1.0</v>
      </c>
      <c r="M85" s="344">
        <v>45717.26936342593</v>
      </c>
      <c r="N85" s="376">
        <v>1.0</v>
      </c>
    </row>
    <row r="86" ht="15.75" customHeight="1">
      <c r="A86" s="334" t="s">
        <v>7111</v>
      </c>
      <c r="B86" s="362">
        <v>45720.0</v>
      </c>
      <c r="C86" s="334" t="s">
        <v>6</v>
      </c>
      <c r="D86" s="334" t="s">
        <v>48</v>
      </c>
      <c r="E86" s="334" t="s">
        <v>454</v>
      </c>
      <c r="F86" s="334" t="s">
        <v>111</v>
      </c>
      <c r="G86" s="334" t="s">
        <v>6945</v>
      </c>
      <c r="I86" s="334">
        <v>1.5</v>
      </c>
      <c r="M86" s="344">
        <v>45720.27313657408</v>
      </c>
      <c r="N86" s="376">
        <v>1.0</v>
      </c>
    </row>
    <row r="87" ht="15.75" customHeight="1">
      <c r="A87" s="334" t="s">
        <v>7112</v>
      </c>
      <c r="B87" s="362">
        <v>45720.0</v>
      </c>
      <c r="C87" s="334" t="s">
        <v>6</v>
      </c>
      <c r="D87" s="334" t="s">
        <v>48</v>
      </c>
      <c r="E87" s="334" t="s">
        <v>454</v>
      </c>
      <c r="F87" s="334" t="s">
        <v>7113</v>
      </c>
      <c r="G87" s="334" t="s">
        <v>7114</v>
      </c>
      <c r="I87" s="334">
        <v>1.0</v>
      </c>
      <c r="M87" s="344">
        <v>45720.273888888885</v>
      </c>
      <c r="N87" s="376">
        <v>1.0</v>
      </c>
    </row>
    <row r="88" ht="15.75" customHeight="1">
      <c r="A88" s="334" t="s">
        <v>7115</v>
      </c>
      <c r="B88" s="362">
        <v>45720.0</v>
      </c>
      <c r="C88" s="334" t="s">
        <v>6</v>
      </c>
      <c r="D88" s="334" t="s">
        <v>48</v>
      </c>
      <c r="E88" s="334" t="s">
        <v>454</v>
      </c>
      <c r="F88" s="334" t="s">
        <v>575</v>
      </c>
      <c r="G88" s="334" t="s">
        <v>6952</v>
      </c>
      <c r="I88" s="334">
        <v>0.5</v>
      </c>
      <c r="M88" s="344">
        <v>45720.274733796294</v>
      </c>
      <c r="N88" s="376">
        <v>1.0</v>
      </c>
    </row>
    <row r="89" ht="15.75" customHeight="1">
      <c r="A89" s="334" t="s">
        <v>7116</v>
      </c>
      <c r="B89" s="362">
        <v>45724.0</v>
      </c>
      <c r="C89" s="334" t="s">
        <v>12</v>
      </c>
      <c r="D89" s="334" t="s">
        <v>53</v>
      </c>
      <c r="E89" s="334" t="s">
        <v>491</v>
      </c>
      <c r="F89" s="334" t="s">
        <v>6999</v>
      </c>
      <c r="G89" s="334" t="s">
        <v>7117</v>
      </c>
      <c r="I89" s="334">
        <v>1.0</v>
      </c>
      <c r="M89" s="344">
        <v>45723.7290162037</v>
      </c>
      <c r="N89" s="376">
        <v>1.0</v>
      </c>
    </row>
    <row r="90" ht="15.75" customHeight="1">
      <c r="A90" s="334" t="s">
        <v>7118</v>
      </c>
      <c r="B90" s="362">
        <v>45724.0</v>
      </c>
      <c r="C90" s="334" t="s">
        <v>14</v>
      </c>
      <c r="D90" s="334" t="s">
        <v>46</v>
      </c>
      <c r="E90" s="334" t="s">
        <v>497</v>
      </c>
      <c r="F90" s="334" t="s">
        <v>7119</v>
      </c>
      <c r="G90" s="334" t="s">
        <v>7120</v>
      </c>
      <c r="I90" s="334">
        <v>1.0</v>
      </c>
      <c r="M90" s="344">
        <v>45723.737916666665</v>
      </c>
      <c r="N90" s="376">
        <v>1.0</v>
      </c>
    </row>
    <row r="91" ht="15.75" customHeight="1">
      <c r="A91" s="334" t="s">
        <v>7121</v>
      </c>
      <c r="B91" s="362">
        <v>45724.0</v>
      </c>
      <c r="C91" s="334" t="s">
        <v>12</v>
      </c>
      <c r="D91" s="334" t="s">
        <v>53</v>
      </c>
      <c r="E91" s="334" t="s">
        <v>491</v>
      </c>
      <c r="F91" s="334" t="s">
        <v>574</v>
      </c>
      <c r="G91" s="334" t="s">
        <v>7122</v>
      </c>
      <c r="I91" s="334">
        <v>1.0</v>
      </c>
      <c r="M91" s="344">
        <v>45723.74638888889</v>
      </c>
      <c r="N91" s="376">
        <v>1.0</v>
      </c>
    </row>
    <row r="92" ht="15.75" customHeight="1">
      <c r="A92" s="334" t="s">
        <v>7123</v>
      </c>
      <c r="B92" s="362">
        <v>45731.0</v>
      </c>
      <c r="C92" s="334" t="s">
        <v>13</v>
      </c>
      <c r="D92" s="334" t="s">
        <v>49</v>
      </c>
      <c r="E92" s="334" t="s">
        <v>467</v>
      </c>
      <c r="F92" s="334" t="s">
        <v>130</v>
      </c>
      <c r="G92" s="334" t="s">
        <v>7086</v>
      </c>
      <c r="I92" s="334">
        <v>0.5</v>
      </c>
      <c r="M92" s="344">
        <v>45730.72084490741</v>
      </c>
      <c r="N92" s="376">
        <v>1.0</v>
      </c>
    </row>
    <row r="93" ht="15.75" customHeight="1">
      <c r="A93" s="334" t="s">
        <v>7124</v>
      </c>
      <c r="B93" s="362">
        <v>45731.0</v>
      </c>
      <c r="C93" s="334" t="s">
        <v>35</v>
      </c>
      <c r="D93" s="334" t="s">
        <v>48</v>
      </c>
      <c r="E93" s="334" t="s">
        <v>509</v>
      </c>
      <c r="F93" s="334" t="s">
        <v>130</v>
      </c>
      <c r="G93" s="334" t="s">
        <v>6975</v>
      </c>
      <c r="I93" s="334">
        <v>1.0</v>
      </c>
      <c r="M93" s="344">
        <v>45730.790185185186</v>
      </c>
      <c r="N93" s="376">
        <v>1.0</v>
      </c>
    </row>
    <row r="94" ht="15.75" customHeight="1">
      <c r="A94" s="334" t="s">
        <v>7125</v>
      </c>
      <c r="B94" s="362">
        <v>45738.0</v>
      </c>
      <c r="C94" s="334" t="s">
        <v>532</v>
      </c>
      <c r="D94" s="334" t="s">
        <v>77</v>
      </c>
      <c r="E94" s="334" t="s">
        <v>486</v>
      </c>
      <c r="F94" s="334" t="s">
        <v>7078</v>
      </c>
      <c r="G94" s="334" t="s">
        <v>7079</v>
      </c>
      <c r="I94" s="334">
        <v>0.5</v>
      </c>
      <c r="M94" s="344">
        <v>45738.2675</v>
      </c>
      <c r="N94" s="376">
        <v>1.0</v>
      </c>
    </row>
    <row r="95" ht="15.75" customHeight="1">
      <c r="A95" s="334" t="s">
        <v>7126</v>
      </c>
      <c r="B95" s="362">
        <v>45738.0</v>
      </c>
      <c r="C95" s="334" t="s">
        <v>11</v>
      </c>
      <c r="D95" s="334" t="s">
        <v>46</v>
      </c>
      <c r="E95" s="334" t="s">
        <v>488</v>
      </c>
      <c r="F95" s="334" t="s">
        <v>7094</v>
      </c>
      <c r="G95" s="334" t="s">
        <v>7095</v>
      </c>
      <c r="I95" s="334">
        <v>0.5</v>
      </c>
      <c r="M95" s="344">
        <v>45738.26881944444</v>
      </c>
      <c r="N95" s="376">
        <v>1.0</v>
      </c>
    </row>
    <row r="96" ht="15.75" customHeight="1">
      <c r="A96" s="334" t="s">
        <v>7127</v>
      </c>
      <c r="B96" s="362">
        <v>45738.0</v>
      </c>
      <c r="C96" s="334" t="s">
        <v>12</v>
      </c>
      <c r="D96" s="334" t="s">
        <v>50</v>
      </c>
      <c r="E96" s="334" t="s">
        <v>490</v>
      </c>
      <c r="F96" s="334" t="s">
        <v>7011</v>
      </c>
      <c r="G96" s="334" t="s">
        <v>7012</v>
      </c>
      <c r="I96" s="334">
        <v>0.5</v>
      </c>
      <c r="M96" s="344">
        <v>45738.269375</v>
      </c>
      <c r="N96" s="376">
        <v>1.0</v>
      </c>
    </row>
    <row r="97" ht="15.75" customHeight="1">
      <c r="A97" s="334" t="s">
        <v>7128</v>
      </c>
      <c r="B97" s="362">
        <v>45738.0</v>
      </c>
      <c r="C97" s="334" t="s">
        <v>28</v>
      </c>
      <c r="D97" s="334" t="s">
        <v>52</v>
      </c>
      <c r="E97" s="334" t="s">
        <v>493</v>
      </c>
      <c r="F97" s="334" t="s">
        <v>7008</v>
      </c>
      <c r="G97" s="334" t="s">
        <v>7009</v>
      </c>
      <c r="I97" s="334">
        <v>0.5</v>
      </c>
      <c r="M97" s="344">
        <v>45738.26982638889</v>
      </c>
      <c r="N97" s="376">
        <v>1.0</v>
      </c>
    </row>
    <row r="98" ht="15.75" customHeight="1">
      <c r="A98" s="334" t="s">
        <v>7129</v>
      </c>
      <c r="B98" s="362">
        <v>45738.0</v>
      </c>
      <c r="C98" s="334" t="s">
        <v>12</v>
      </c>
      <c r="D98" s="334" t="s">
        <v>50</v>
      </c>
      <c r="E98" s="334" t="s">
        <v>490</v>
      </c>
      <c r="F98" s="334" t="s">
        <v>7011</v>
      </c>
      <c r="G98" s="334" t="s">
        <v>7012</v>
      </c>
      <c r="I98" s="334">
        <v>0.5</v>
      </c>
      <c r="M98" s="344">
        <v>45769.73572916666</v>
      </c>
      <c r="N98" s="376">
        <v>1.0</v>
      </c>
    </row>
    <row r="99" ht="15.75" customHeight="1">
      <c r="A99" s="334" t="s">
        <v>7130</v>
      </c>
      <c r="B99" s="362">
        <v>45743.0</v>
      </c>
      <c r="C99" s="334" t="s">
        <v>14</v>
      </c>
      <c r="D99" s="334" t="s">
        <v>46</v>
      </c>
      <c r="E99" s="334" t="s">
        <v>497</v>
      </c>
      <c r="F99" s="334" t="s">
        <v>7119</v>
      </c>
      <c r="G99" s="334" t="s">
        <v>7120</v>
      </c>
      <c r="I99" s="334">
        <v>1.0</v>
      </c>
      <c r="M99" s="344">
        <v>45743.266875</v>
      </c>
      <c r="N99" s="376">
        <v>1.0</v>
      </c>
    </row>
    <row r="100" ht="15.75" customHeight="1">
      <c r="A100" s="334" t="s">
        <v>7131</v>
      </c>
      <c r="B100" s="362">
        <v>45743.0</v>
      </c>
      <c r="C100" s="334" t="s">
        <v>12</v>
      </c>
      <c r="D100" s="334" t="s">
        <v>53</v>
      </c>
      <c r="E100" s="334" t="s">
        <v>491</v>
      </c>
      <c r="F100" s="334" t="s">
        <v>7048</v>
      </c>
      <c r="G100" s="334" t="s">
        <v>7132</v>
      </c>
      <c r="I100" s="334">
        <v>1.0</v>
      </c>
      <c r="M100" s="344">
        <v>45743.267847222225</v>
      </c>
      <c r="N100" s="376">
        <v>1.0</v>
      </c>
    </row>
    <row r="101" ht="15.75" customHeight="1">
      <c r="A101" s="334" t="s">
        <v>7133</v>
      </c>
      <c r="B101" s="362">
        <v>45744.0</v>
      </c>
      <c r="C101" s="334" t="s">
        <v>35</v>
      </c>
      <c r="D101" s="334" t="s">
        <v>48</v>
      </c>
      <c r="E101" s="334" t="s">
        <v>509</v>
      </c>
      <c r="F101" s="334" t="s">
        <v>130</v>
      </c>
      <c r="G101" s="334" t="s">
        <v>6975</v>
      </c>
      <c r="I101" s="334">
        <v>1.0</v>
      </c>
      <c r="M101" s="344">
        <v>45744.26813657407</v>
      </c>
      <c r="N101" s="376">
        <v>1.0</v>
      </c>
    </row>
    <row r="102" ht="15.75" customHeight="1">
      <c r="A102" s="377" t="s">
        <v>7134</v>
      </c>
      <c r="B102" s="362">
        <v>45748.0</v>
      </c>
      <c r="C102" s="334" t="s">
        <v>28</v>
      </c>
      <c r="D102" s="334" t="s">
        <v>52</v>
      </c>
      <c r="E102" s="334" t="s">
        <v>493</v>
      </c>
      <c r="F102" s="334" t="s">
        <v>7135</v>
      </c>
      <c r="G102" s="334" t="s">
        <v>7136</v>
      </c>
      <c r="I102" s="334">
        <v>1.0</v>
      </c>
      <c r="M102" s="344">
        <v>45748.256273148145</v>
      </c>
      <c r="N102" s="376">
        <v>1.0</v>
      </c>
    </row>
    <row r="103" ht="15.75" customHeight="1">
      <c r="A103" s="334" t="s">
        <v>7137</v>
      </c>
      <c r="B103" s="362">
        <v>45750.0</v>
      </c>
      <c r="C103" s="334" t="s">
        <v>535</v>
      </c>
      <c r="D103" s="334" t="s">
        <v>77</v>
      </c>
      <c r="E103" s="334" t="s">
        <v>495</v>
      </c>
      <c r="F103" s="334" t="s">
        <v>7138</v>
      </c>
      <c r="G103" s="334" t="s">
        <v>7139</v>
      </c>
      <c r="I103" s="334">
        <v>1.5</v>
      </c>
      <c r="M103" s="344">
        <v>45750.259201388886</v>
      </c>
      <c r="N103" s="376">
        <v>1.0</v>
      </c>
    </row>
    <row r="104" ht="15.75" customHeight="1">
      <c r="A104" s="334" t="s">
        <v>7140</v>
      </c>
      <c r="B104" s="362">
        <v>45750.0</v>
      </c>
      <c r="C104" s="334" t="s">
        <v>536</v>
      </c>
      <c r="D104" s="334" t="s">
        <v>77</v>
      </c>
      <c r="E104" s="334" t="s">
        <v>496</v>
      </c>
      <c r="F104" s="334" t="s">
        <v>6999</v>
      </c>
      <c r="G104" s="334" t="s">
        <v>7141</v>
      </c>
      <c r="I104" s="334">
        <v>2.5</v>
      </c>
      <c r="M104" s="344">
        <v>45750.25982638889</v>
      </c>
      <c r="N104" s="376">
        <v>1.0</v>
      </c>
    </row>
    <row r="105" ht="15.75" customHeight="1">
      <c r="A105" s="334" t="s">
        <v>7142</v>
      </c>
      <c r="B105" s="362">
        <v>45750.0</v>
      </c>
      <c r="C105" s="334" t="s">
        <v>536</v>
      </c>
      <c r="D105" s="334" t="s">
        <v>77</v>
      </c>
      <c r="E105" s="334" t="s">
        <v>496</v>
      </c>
      <c r="F105" s="334" t="s">
        <v>7143</v>
      </c>
      <c r="G105" s="334" t="s">
        <v>7144</v>
      </c>
      <c r="I105" s="334">
        <v>1.5</v>
      </c>
      <c r="M105" s="344">
        <v>45750.26023148148</v>
      </c>
      <c r="N105" s="376">
        <v>1.0</v>
      </c>
    </row>
    <row r="106" ht="15.75" customHeight="1">
      <c r="A106" s="334" t="s">
        <v>7145</v>
      </c>
      <c r="B106" s="362">
        <v>45750.0</v>
      </c>
      <c r="C106" s="334" t="s">
        <v>37</v>
      </c>
      <c r="D106" s="334" t="s">
        <v>48</v>
      </c>
      <c r="E106" s="334" t="s">
        <v>510</v>
      </c>
      <c r="F106" s="334" t="s">
        <v>7146</v>
      </c>
      <c r="G106" s="334" t="s">
        <v>7147</v>
      </c>
      <c r="I106" s="334">
        <v>1.5</v>
      </c>
      <c r="M106" s="344">
        <v>45750.26168981481</v>
      </c>
      <c r="N106" s="376">
        <v>1.0</v>
      </c>
    </row>
    <row r="107" ht="15.75" customHeight="1">
      <c r="A107" s="334" t="s">
        <v>7148</v>
      </c>
      <c r="B107" s="362">
        <v>45751.0</v>
      </c>
      <c r="C107" s="334" t="s">
        <v>10</v>
      </c>
      <c r="D107" s="334" t="s">
        <v>47</v>
      </c>
      <c r="E107" s="334" t="s">
        <v>463</v>
      </c>
      <c r="F107" s="334" t="s">
        <v>111</v>
      </c>
      <c r="G107" s="334" t="s">
        <v>7149</v>
      </c>
      <c r="I107" s="334">
        <v>1.0</v>
      </c>
      <c r="M107" s="344">
        <v>45751.25113425926</v>
      </c>
      <c r="N107" s="376">
        <v>1.0</v>
      </c>
    </row>
    <row r="108" ht="15.75" customHeight="1">
      <c r="A108" s="334" t="s">
        <v>7150</v>
      </c>
      <c r="B108" s="362">
        <v>45751.0</v>
      </c>
      <c r="C108" s="334" t="s">
        <v>10</v>
      </c>
      <c r="D108" s="334" t="s">
        <v>47</v>
      </c>
      <c r="E108" s="334" t="s">
        <v>463</v>
      </c>
      <c r="F108" s="334" t="s">
        <v>7005</v>
      </c>
      <c r="G108" s="334" t="s">
        <v>7151</v>
      </c>
      <c r="I108" s="334">
        <v>0.5</v>
      </c>
      <c r="M108" s="344">
        <v>45751.251539351855</v>
      </c>
      <c r="N108" s="376">
        <v>1.0</v>
      </c>
    </row>
    <row r="109" ht="15.75" customHeight="1">
      <c r="A109" s="334" t="s">
        <v>7152</v>
      </c>
      <c r="B109" s="362">
        <v>45751.0</v>
      </c>
      <c r="C109" s="334" t="s">
        <v>14</v>
      </c>
      <c r="D109" s="334" t="s">
        <v>7153</v>
      </c>
      <c r="E109" s="334" t="s">
        <v>7154</v>
      </c>
      <c r="F109" s="334" t="s">
        <v>7019</v>
      </c>
      <c r="G109" s="334" t="s">
        <v>7155</v>
      </c>
      <c r="I109" s="334">
        <v>1.5</v>
      </c>
      <c r="M109" s="344">
        <v>45751.252175925925</v>
      </c>
      <c r="N109" s="376">
        <v>1.0</v>
      </c>
    </row>
    <row r="110" ht="15.75" customHeight="1">
      <c r="A110" s="334" t="s">
        <v>7156</v>
      </c>
      <c r="B110" s="362">
        <v>45751.0</v>
      </c>
      <c r="C110" s="334" t="s">
        <v>15</v>
      </c>
      <c r="D110" s="334" t="s">
        <v>7157</v>
      </c>
      <c r="E110" s="334" t="s">
        <v>7158</v>
      </c>
      <c r="F110" s="334" t="s">
        <v>7159</v>
      </c>
      <c r="G110" s="334" t="s">
        <v>7160</v>
      </c>
      <c r="I110" s="334">
        <v>1.5</v>
      </c>
      <c r="M110" s="344">
        <v>45751.252962962964</v>
      </c>
      <c r="N110" s="376">
        <v>1.0</v>
      </c>
    </row>
    <row r="111" ht="15.75" customHeight="1">
      <c r="A111" s="334" t="s">
        <v>7161</v>
      </c>
      <c r="B111" s="362">
        <v>45751.0</v>
      </c>
      <c r="C111" s="334" t="s">
        <v>537</v>
      </c>
      <c r="D111" s="334" t="s">
        <v>7162</v>
      </c>
      <c r="E111" s="334" t="s">
        <v>7163</v>
      </c>
      <c r="F111" s="334" t="s">
        <v>7164</v>
      </c>
      <c r="G111" s="334" t="s">
        <v>7165</v>
      </c>
      <c r="I111" s="334">
        <v>1.5</v>
      </c>
      <c r="M111" s="344">
        <v>45751.25431712963</v>
      </c>
      <c r="N111" s="376">
        <v>1.0</v>
      </c>
    </row>
    <row r="112" ht="15.75" customHeight="1">
      <c r="A112" s="334" t="s">
        <v>7166</v>
      </c>
      <c r="B112" s="362">
        <v>45751.0</v>
      </c>
      <c r="C112" s="334" t="s">
        <v>537</v>
      </c>
      <c r="D112" s="334" t="s">
        <v>7031</v>
      </c>
      <c r="E112" s="334" t="s">
        <v>7032</v>
      </c>
      <c r="F112" s="334" t="s">
        <v>7033</v>
      </c>
      <c r="G112" s="334" t="s">
        <v>7034</v>
      </c>
      <c r="I112" s="334">
        <v>1.5</v>
      </c>
      <c r="M112" s="344">
        <v>45751.255578703705</v>
      </c>
      <c r="N112" s="376">
        <v>1.0</v>
      </c>
    </row>
    <row r="113" ht="15.75" customHeight="1">
      <c r="A113" s="334" t="s">
        <v>7167</v>
      </c>
      <c r="B113" s="362">
        <v>45751.0</v>
      </c>
      <c r="C113" s="334" t="s">
        <v>12</v>
      </c>
      <c r="D113" s="334" t="s">
        <v>53</v>
      </c>
      <c r="E113" s="334" t="s">
        <v>491</v>
      </c>
      <c r="F113" s="334" t="s">
        <v>7168</v>
      </c>
      <c r="G113" s="334" t="s">
        <v>7169</v>
      </c>
      <c r="I113" s="334">
        <v>1.5</v>
      </c>
      <c r="M113" s="344">
        <v>45754.27726851852</v>
      </c>
      <c r="N113" s="376">
        <v>1.0</v>
      </c>
    </row>
    <row r="114" ht="15.75" customHeight="1">
      <c r="A114" s="377" t="s">
        <v>7170</v>
      </c>
      <c r="B114" s="362">
        <v>45751.0</v>
      </c>
      <c r="C114" s="334" t="s">
        <v>22</v>
      </c>
      <c r="D114" s="334" t="s">
        <v>47</v>
      </c>
      <c r="E114" s="334" t="s">
        <v>468</v>
      </c>
      <c r="F114" s="334" t="s">
        <v>7011</v>
      </c>
      <c r="G114" s="334" t="s">
        <v>7088</v>
      </c>
      <c r="I114" s="334">
        <v>1.0</v>
      </c>
      <c r="M114" s="344">
        <v>45754.28003472222</v>
      </c>
      <c r="N114" s="376">
        <v>1.0</v>
      </c>
    </row>
    <row r="115" ht="15.75" customHeight="1">
      <c r="A115" s="334" t="s">
        <v>7171</v>
      </c>
      <c r="B115" s="362">
        <v>45756.0</v>
      </c>
      <c r="C115" s="334" t="s">
        <v>535</v>
      </c>
      <c r="D115" s="334" t="s">
        <v>77</v>
      </c>
      <c r="E115" s="334" t="s">
        <v>495</v>
      </c>
      <c r="F115" s="334" t="s">
        <v>6983</v>
      </c>
      <c r="G115" s="334" t="s">
        <v>6986</v>
      </c>
      <c r="I115" s="334">
        <v>1.5</v>
      </c>
      <c r="M115" s="344">
        <v>45756.26298611111</v>
      </c>
      <c r="N115" s="376">
        <v>1.0</v>
      </c>
    </row>
    <row r="116" ht="15.75" customHeight="1">
      <c r="A116" s="334" t="s">
        <v>7172</v>
      </c>
      <c r="B116" s="362">
        <v>45756.0</v>
      </c>
      <c r="C116" s="334" t="s">
        <v>536</v>
      </c>
      <c r="D116" s="334" t="s">
        <v>77</v>
      </c>
      <c r="E116" s="334" t="s">
        <v>496</v>
      </c>
      <c r="F116" s="334" t="s">
        <v>6988</v>
      </c>
      <c r="G116" s="334" t="s">
        <v>6989</v>
      </c>
      <c r="I116" s="334">
        <v>1.0</v>
      </c>
      <c r="M116" s="344">
        <v>45756.263333333336</v>
      </c>
      <c r="N116" s="376">
        <v>1.0</v>
      </c>
    </row>
    <row r="117" ht="15.75" customHeight="1">
      <c r="A117" s="334" t="s">
        <v>7173</v>
      </c>
      <c r="B117" s="362">
        <v>45756.0</v>
      </c>
      <c r="C117" s="334" t="s">
        <v>19</v>
      </c>
      <c r="D117" s="334" t="s">
        <v>61</v>
      </c>
      <c r="E117" s="334" t="s">
        <v>506</v>
      </c>
      <c r="F117" s="334" t="s">
        <v>116</v>
      </c>
      <c r="G117" s="334" t="s">
        <v>6980</v>
      </c>
      <c r="I117" s="334">
        <v>1.0</v>
      </c>
      <c r="M117" s="344">
        <v>45756.26369212963</v>
      </c>
      <c r="N117" s="376">
        <v>1.0</v>
      </c>
    </row>
    <row r="118" ht="15.75" customHeight="1">
      <c r="A118" s="334" t="s">
        <v>7174</v>
      </c>
      <c r="B118" s="362">
        <v>45756.0</v>
      </c>
      <c r="C118" s="334" t="s">
        <v>14</v>
      </c>
      <c r="D118" s="334" t="s">
        <v>48</v>
      </c>
      <c r="E118" s="334" t="s">
        <v>498</v>
      </c>
      <c r="F118" s="334" t="s">
        <v>7019</v>
      </c>
      <c r="G118" s="334" t="s">
        <v>7020</v>
      </c>
      <c r="I118" s="334">
        <v>1.0</v>
      </c>
      <c r="M118" s="344">
        <v>45756.26490740741</v>
      </c>
      <c r="N118" s="376">
        <v>1.0</v>
      </c>
    </row>
    <row r="119" ht="15.75" customHeight="1">
      <c r="A119" s="334" t="s">
        <v>7175</v>
      </c>
      <c r="B119" s="362">
        <v>45756.0</v>
      </c>
      <c r="C119" s="334" t="s">
        <v>35</v>
      </c>
      <c r="D119" s="334" t="s">
        <v>48</v>
      </c>
      <c r="E119" s="334" t="s">
        <v>509</v>
      </c>
      <c r="F119" s="334" t="s">
        <v>130</v>
      </c>
      <c r="G119" s="334" t="s">
        <v>6975</v>
      </c>
      <c r="I119" s="334">
        <v>-1.0</v>
      </c>
      <c r="M119" s="344">
        <v>45756.26532407408</v>
      </c>
      <c r="N119" s="376">
        <v>1.0</v>
      </c>
    </row>
    <row r="120" ht="15.75" customHeight="1">
      <c r="A120" s="334" t="s">
        <v>7176</v>
      </c>
      <c r="B120" s="362">
        <v>45756.0</v>
      </c>
      <c r="C120" s="334" t="s">
        <v>37</v>
      </c>
      <c r="D120" s="334" t="s">
        <v>48</v>
      </c>
      <c r="E120" s="334" t="s">
        <v>510</v>
      </c>
      <c r="F120" s="334" t="s">
        <v>7041</v>
      </c>
      <c r="G120" s="334" t="s">
        <v>7042</v>
      </c>
      <c r="I120" s="334">
        <v>1.0</v>
      </c>
      <c r="M120" s="344">
        <v>45756.26563657408</v>
      </c>
      <c r="N120" s="376">
        <v>1.0</v>
      </c>
    </row>
    <row r="121" ht="15.75" customHeight="1">
      <c r="A121" s="334" t="s">
        <v>7177</v>
      </c>
      <c r="B121" s="362">
        <v>45757.0</v>
      </c>
      <c r="C121" s="334" t="s">
        <v>31</v>
      </c>
      <c r="D121" s="334" t="s">
        <v>64</v>
      </c>
      <c r="E121" s="334" t="s">
        <v>478</v>
      </c>
      <c r="F121" s="334" t="s">
        <v>1199</v>
      </c>
      <c r="G121" s="334" t="s">
        <v>7178</v>
      </c>
      <c r="I121" s="334">
        <v>-1.5</v>
      </c>
      <c r="M121" s="344">
        <v>45757.265081018515</v>
      </c>
      <c r="N121" s="376">
        <v>1.0</v>
      </c>
    </row>
    <row r="122" ht="15.75" customHeight="1">
      <c r="A122" s="334" t="s">
        <v>7179</v>
      </c>
      <c r="B122" s="362">
        <v>45757.0</v>
      </c>
      <c r="C122" s="334" t="s">
        <v>12</v>
      </c>
      <c r="D122" s="334" t="s">
        <v>53</v>
      </c>
      <c r="E122" s="334" t="s">
        <v>491</v>
      </c>
      <c r="F122" s="334" t="s">
        <v>7180</v>
      </c>
      <c r="G122" s="334" t="s">
        <v>7181</v>
      </c>
      <c r="I122" s="334">
        <v>1.0</v>
      </c>
      <c r="M122" s="344">
        <v>45757.26804398148</v>
      </c>
      <c r="N122" s="376">
        <v>1.0</v>
      </c>
    </row>
    <row r="123" ht="15.75" customHeight="1">
      <c r="A123" s="334" t="s">
        <v>7182</v>
      </c>
      <c r="B123" s="362">
        <v>45757.0</v>
      </c>
      <c r="C123" s="334" t="s">
        <v>14</v>
      </c>
      <c r="D123" s="334" t="s">
        <v>7153</v>
      </c>
      <c r="E123" s="334" t="s">
        <v>7154</v>
      </c>
      <c r="F123" s="334" t="s">
        <v>7183</v>
      </c>
      <c r="G123" s="334" t="s">
        <v>7184</v>
      </c>
      <c r="I123" s="334">
        <v>1.0</v>
      </c>
      <c r="M123" s="344">
        <v>45757.268425925926</v>
      </c>
      <c r="N123" s="376">
        <v>1.0</v>
      </c>
    </row>
    <row r="124" ht="15.75" customHeight="1">
      <c r="A124" s="334" t="s">
        <v>7185</v>
      </c>
      <c r="B124" s="362">
        <v>45757.0</v>
      </c>
      <c r="C124" s="334" t="s">
        <v>537</v>
      </c>
      <c r="D124" s="334" t="s">
        <v>7162</v>
      </c>
      <c r="E124" s="334" t="s">
        <v>7163</v>
      </c>
      <c r="F124" s="334" t="s">
        <v>7186</v>
      </c>
      <c r="G124" s="334" t="s">
        <v>7187</v>
      </c>
      <c r="I124" s="334">
        <v>1.0</v>
      </c>
      <c r="M124" s="344">
        <v>45757.26907407407</v>
      </c>
      <c r="N124" s="376">
        <v>1.0</v>
      </c>
    </row>
    <row r="125" ht="15.75" customHeight="1">
      <c r="A125" s="334" t="s">
        <v>7188</v>
      </c>
      <c r="B125" s="362">
        <v>45757.0</v>
      </c>
      <c r="C125" s="334" t="s">
        <v>14</v>
      </c>
      <c r="D125" s="334" t="s">
        <v>48</v>
      </c>
      <c r="E125" s="334" t="s">
        <v>498</v>
      </c>
      <c r="F125" s="334" t="s">
        <v>7189</v>
      </c>
      <c r="G125" s="334" t="s">
        <v>7190</v>
      </c>
      <c r="I125" s="334">
        <v>-1.0</v>
      </c>
      <c r="M125" s="344">
        <v>45757.27038194444</v>
      </c>
      <c r="N125" s="376">
        <v>1.0</v>
      </c>
    </row>
    <row r="126" ht="15.75" customHeight="1">
      <c r="A126" s="377" t="s">
        <v>7191</v>
      </c>
      <c r="B126" s="362">
        <v>45757.0</v>
      </c>
      <c r="C126" s="334" t="s">
        <v>15</v>
      </c>
      <c r="D126" s="334" t="s">
        <v>7157</v>
      </c>
      <c r="E126" s="334" t="s">
        <v>7158</v>
      </c>
      <c r="F126" s="334" t="s">
        <v>7192</v>
      </c>
      <c r="G126" s="334" t="s">
        <v>7193</v>
      </c>
      <c r="I126" s="334">
        <v>1.0</v>
      </c>
      <c r="M126" s="344">
        <v>45757.27134259259</v>
      </c>
      <c r="N126" s="376">
        <v>1.0</v>
      </c>
    </row>
    <row r="127" ht="15.75" customHeight="1">
      <c r="A127" s="334" t="s">
        <v>7194</v>
      </c>
      <c r="B127" s="362">
        <v>45757.0</v>
      </c>
      <c r="C127" s="334" t="s">
        <v>35</v>
      </c>
      <c r="D127" s="334" t="s">
        <v>48</v>
      </c>
      <c r="E127" s="334" t="s">
        <v>509</v>
      </c>
      <c r="F127" s="334" t="s">
        <v>130</v>
      </c>
      <c r="G127" s="334" t="s">
        <v>6975</v>
      </c>
      <c r="I127" s="334">
        <v>-0.5</v>
      </c>
      <c r="M127" s="344">
        <v>45757.31917824074</v>
      </c>
      <c r="N127" s="376">
        <v>1.0</v>
      </c>
    </row>
    <row r="128" ht="15.75" customHeight="1">
      <c r="A128" s="334" t="s">
        <v>7195</v>
      </c>
      <c r="B128" s="362">
        <v>45758.0</v>
      </c>
      <c r="C128" s="334" t="s">
        <v>36</v>
      </c>
      <c r="D128" s="334" t="s">
        <v>1303</v>
      </c>
      <c r="E128" s="334" t="s">
        <v>469</v>
      </c>
      <c r="F128" s="334" t="s">
        <v>111</v>
      </c>
      <c r="G128" s="334" t="s">
        <v>7196</v>
      </c>
      <c r="I128" s="334">
        <v>0.5</v>
      </c>
      <c r="M128" s="344">
        <v>45757.751388888886</v>
      </c>
      <c r="N128" s="376">
        <v>1.0</v>
      </c>
    </row>
    <row r="129" ht="15.75" customHeight="1">
      <c r="A129" s="334" t="s">
        <v>7197</v>
      </c>
      <c r="B129" s="362">
        <v>45758.0</v>
      </c>
      <c r="C129" s="334" t="s">
        <v>36</v>
      </c>
      <c r="D129" s="334" t="s">
        <v>1303</v>
      </c>
      <c r="E129" s="334" t="s">
        <v>469</v>
      </c>
      <c r="F129" s="334" t="s">
        <v>116</v>
      </c>
      <c r="G129" s="334" t="s">
        <v>7198</v>
      </c>
      <c r="I129" s="334">
        <v>1.0</v>
      </c>
      <c r="M129" s="344">
        <v>45757.75162037037</v>
      </c>
      <c r="N129" s="376">
        <v>1.0</v>
      </c>
    </row>
    <row r="130" ht="15.75" customHeight="1">
      <c r="A130" s="334" t="s">
        <v>7199</v>
      </c>
      <c r="B130" s="362">
        <v>45758.0</v>
      </c>
      <c r="C130" s="334" t="s">
        <v>36</v>
      </c>
      <c r="D130" s="334" t="s">
        <v>1303</v>
      </c>
      <c r="E130" s="334" t="s">
        <v>469</v>
      </c>
      <c r="F130" s="334" t="s">
        <v>119</v>
      </c>
      <c r="G130" s="334" t="s">
        <v>7200</v>
      </c>
      <c r="I130" s="334">
        <v>1.5</v>
      </c>
      <c r="M130" s="344">
        <v>45757.75184027778</v>
      </c>
      <c r="N130" s="376">
        <v>1.0</v>
      </c>
    </row>
    <row r="131" ht="15.75" customHeight="1">
      <c r="A131" s="334" t="s">
        <v>7201</v>
      </c>
      <c r="B131" s="362">
        <v>45758.0</v>
      </c>
      <c r="C131" s="334" t="s">
        <v>36</v>
      </c>
      <c r="D131" s="334" t="s">
        <v>1303</v>
      </c>
      <c r="E131" s="334" t="s">
        <v>469</v>
      </c>
      <c r="F131" s="334" t="s">
        <v>122</v>
      </c>
      <c r="G131" s="334" t="s">
        <v>7202</v>
      </c>
      <c r="I131" s="334">
        <v>2.0</v>
      </c>
      <c r="M131" s="344">
        <v>45757.75209490741</v>
      </c>
      <c r="N131" s="376">
        <v>1.0</v>
      </c>
    </row>
    <row r="132" ht="15.75" customHeight="1">
      <c r="A132" s="334" t="s">
        <v>7203</v>
      </c>
      <c r="B132" s="362">
        <v>45765.0</v>
      </c>
      <c r="C132" s="334" t="s">
        <v>29</v>
      </c>
      <c r="D132" s="334" t="s">
        <v>50</v>
      </c>
      <c r="E132" s="334" t="s">
        <v>473</v>
      </c>
      <c r="F132" s="334" t="s">
        <v>145</v>
      </c>
      <c r="G132" s="334" t="s">
        <v>7052</v>
      </c>
      <c r="I132" s="334">
        <v>-0.5</v>
      </c>
      <c r="M132" s="344">
        <v>45764.68331018519</v>
      </c>
      <c r="N132" s="376">
        <v>1.0</v>
      </c>
    </row>
    <row r="133" ht="15.75" customHeight="1">
      <c r="A133" s="334" t="s">
        <v>7204</v>
      </c>
      <c r="B133" s="362">
        <v>45765.0</v>
      </c>
      <c r="C133" s="334" t="s">
        <v>29</v>
      </c>
      <c r="D133" s="334" t="s">
        <v>50</v>
      </c>
      <c r="E133" s="334" t="s">
        <v>473</v>
      </c>
      <c r="F133" s="334" t="s">
        <v>145</v>
      </c>
      <c r="G133" s="334" t="s">
        <v>7052</v>
      </c>
      <c r="I133" s="334">
        <v>45.0</v>
      </c>
      <c r="M133" s="344">
        <v>45764.68886574074</v>
      </c>
      <c r="N133" s="376">
        <v>1.0</v>
      </c>
    </row>
    <row r="134" ht="15.75" customHeight="1">
      <c r="A134" s="334" t="s">
        <v>7205</v>
      </c>
      <c r="B134" s="362">
        <v>45765.0</v>
      </c>
      <c r="C134" s="334" t="s">
        <v>5</v>
      </c>
      <c r="D134" s="334" t="s">
        <v>7206</v>
      </c>
      <c r="E134" s="334" t="s">
        <v>7207</v>
      </c>
      <c r="F134" s="334" t="s">
        <v>7054</v>
      </c>
      <c r="G134" s="334" t="s">
        <v>7208</v>
      </c>
      <c r="I134" s="334">
        <v>-0.5</v>
      </c>
      <c r="M134" s="344">
        <v>45765.27003472222</v>
      </c>
      <c r="N134" s="376">
        <v>1.0</v>
      </c>
    </row>
    <row r="135" ht="15.75" customHeight="1">
      <c r="A135" s="334" t="s">
        <v>7209</v>
      </c>
      <c r="B135" s="362">
        <v>45765.0</v>
      </c>
      <c r="C135" s="334" t="s">
        <v>5</v>
      </c>
      <c r="D135" s="334" t="s">
        <v>6937</v>
      </c>
      <c r="E135" s="334" t="s">
        <v>6938</v>
      </c>
      <c r="F135" s="334" t="s">
        <v>130</v>
      </c>
      <c r="G135" s="334" t="s">
        <v>6939</v>
      </c>
      <c r="I135" s="334">
        <v>-0.5</v>
      </c>
      <c r="M135" s="344">
        <v>45765.270266203705</v>
      </c>
      <c r="N135" s="376">
        <v>1.0</v>
      </c>
    </row>
    <row r="136" ht="15.75" customHeight="1">
      <c r="A136" s="334" t="s">
        <v>7210</v>
      </c>
      <c r="B136" s="362">
        <v>45765.0</v>
      </c>
      <c r="C136" s="334" t="s">
        <v>9</v>
      </c>
      <c r="D136" s="334" t="s">
        <v>6991</v>
      </c>
      <c r="E136" s="334" t="s">
        <v>6992</v>
      </c>
      <c r="F136" s="334" t="s">
        <v>7211</v>
      </c>
      <c r="G136" s="334" t="s">
        <v>7212</v>
      </c>
      <c r="I136" s="334">
        <v>-0.5</v>
      </c>
      <c r="M136" s="344">
        <v>45765.27049768518</v>
      </c>
      <c r="N136" s="376">
        <v>1.0</v>
      </c>
    </row>
    <row r="137" ht="15.75" customHeight="1">
      <c r="A137" s="334" t="s">
        <v>7213</v>
      </c>
      <c r="B137" s="362">
        <v>45765.0</v>
      </c>
      <c r="C137" s="334" t="s">
        <v>5</v>
      </c>
      <c r="D137" s="334" t="s">
        <v>1234</v>
      </c>
      <c r="E137" s="334" t="s">
        <v>453</v>
      </c>
      <c r="F137" s="334" t="s">
        <v>130</v>
      </c>
      <c r="G137" s="334" t="s">
        <v>7214</v>
      </c>
      <c r="I137" s="334">
        <v>0.5</v>
      </c>
      <c r="M137" s="344">
        <v>45765.272569444445</v>
      </c>
      <c r="N137" s="376">
        <v>1.0</v>
      </c>
    </row>
    <row r="138" ht="15.75" customHeight="1">
      <c r="A138" s="334" t="s">
        <v>7215</v>
      </c>
      <c r="B138" s="362">
        <v>45765.0</v>
      </c>
      <c r="C138" s="334" t="s">
        <v>12</v>
      </c>
      <c r="D138" s="334" t="s">
        <v>50</v>
      </c>
      <c r="E138" s="334" t="s">
        <v>490</v>
      </c>
      <c r="F138" s="334" t="s">
        <v>7011</v>
      </c>
      <c r="G138" s="334" t="s">
        <v>7012</v>
      </c>
      <c r="I138" s="334">
        <v>-0.5</v>
      </c>
      <c r="M138" s="344">
        <v>45765.28134259259</v>
      </c>
      <c r="N138" s="376">
        <v>1.0</v>
      </c>
    </row>
    <row r="139" ht="15.75" customHeight="1">
      <c r="A139" s="334" t="s">
        <v>7216</v>
      </c>
      <c r="B139" s="362">
        <v>45765.0</v>
      </c>
      <c r="C139" s="334" t="s">
        <v>12</v>
      </c>
      <c r="D139" s="334" t="s">
        <v>50</v>
      </c>
      <c r="E139" s="334" t="s">
        <v>490</v>
      </c>
      <c r="F139" s="334" t="s">
        <v>7011</v>
      </c>
      <c r="G139" s="334" t="s">
        <v>7012</v>
      </c>
      <c r="I139" s="334">
        <v>-0.5</v>
      </c>
      <c r="M139" s="344">
        <v>45765.283229166664</v>
      </c>
      <c r="N139" s="376">
        <v>1.0</v>
      </c>
    </row>
    <row r="140" ht="15.75" customHeight="1">
      <c r="A140" s="334" t="s">
        <v>7217</v>
      </c>
      <c r="B140" s="362">
        <v>45765.0</v>
      </c>
      <c r="C140" s="334" t="s">
        <v>31</v>
      </c>
      <c r="D140" s="334" t="s">
        <v>64</v>
      </c>
      <c r="E140" s="334" t="s">
        <v>478</v>
      </c>
      <c r="F140" s="334" t="s">
        <v>1199</v>
      </c>
      <c r="G140" s="334" t="s">
        <v>7178</v>
      </c>
      <c r="I140" s="334">
        <v>-0.5</v>
      </c>
      <c r="M140" s="344">
        <v>45765.29167824074</v>
      </c>
      <c r="N140" s="376">
        <v>1.0</v>
      </c>
    </row>
    <row r="141" ht="15.75" customHeight="1">
      <c r="A141" s="334" t="s">
        <v>7218</v>
      </c>
      <c r="B141" s="362">
        <v>45765.0</v>
      </c>
      <c r="C141" s="334" t="s">
        <v>532</v>
      </c>
      <c r="D141" s="334" t="s">
        <v>77</v>
      </c>
      <c r="E141" s="334" t="s">
        <v>486</v>
      </c>
      <c r="F141" s="334" t="s">
        <v>7078</v>
      </c>
      <c r="G141" s="334" t="s">
        <v>7079</v>
      </c>
      <c r="I141" s="334">
        <v>-0.5</v>
      </c>
      <c r="M141" s="344">
        <v>45765.29209490741</v>
      </c>
      <c r="N141" s="376">
        <v>1.0</v>
      </c>
    </row>
    <row r="142" ht="15.75" customHeight="1">
      <c r="A142" s="334" t="s">
        <v>7219</v>
      </c>
      <c r="B142" s="362">
        <v>45765.0</v>
      </c>
      <c r="C142" s="334" t="s">
        <v>28</v>
      </c>
      <c r="D142" s="334" t="s">
        <v>52</v>
      </c>
      <c r="E142" s="334" t="s">
        <v>493</v>
      </c>
      <c r="F142" s="334" t="s">
        <v>7008</v>
      </c>
      <c r="G142" s="334" t="s">
        <v>7009</v>
      </c>
      <c r="I142" s="334">
        <v>-0.5</v>
      </c>
      <c r="M142" s="344">
        <v>45768.379375</v>
      </c>
      <c r="N142" s="376">
        <v>1.0</v>
      </c>
    </row>
    <row r="143" ht="15.75" customHeight="1">
      <c r="A143" s="334" t="s">
        <v>7220</v>
      </c>
      <c r="B143" s="362">
        <v>45769.0</v>
      </c>
      <c r="C143" s="334" t="s">
        <v>29</v>
      </c>
      <c r="D143" s="334" t="s">
        <v>50</v>
      </c>
      <c r="E143" s="334" t="s">
        <v>473</v>
      </c>
      <c r="F143" s="334" t="s">
        <v>145</v>
      </c>
      <c r="G143" s="334" t="s">
        <v>7052</v>
      </c>
      <c r="I143" s="334">
        <v>-0.5</v>
      </c>
      <c r="M143" s="344">
        <v>45768.6759375</v>
      </c>
      <c r="N143" s="376">
        <v>1.0</v>
      </c>
    </row>
    <row r="144" ht="15.75" customHeight="1">
      <c r="A144" s="334" t="s">
        <v>7221</v>
      </c>
      <c r="B144" s="362">
        <v>45769.0</v>
      </c>
      <c r="C144" s="334" t="s">
        <v>531</v>
      </c>
      <c r="D144" s="334" t="s">
        <v>77</v>
      </c>
      <c r="E144" s="334" t="s">
        <v>449</v>
      </c>
      <c r="F144" s="334" t="s">
        <v>6983</v>
      </c>
      <c r="G144" s="334" t="s">
        <v>7065</v>
      </c>
      <c r="I144" s="334">
        <v>-0.5</v>
      </c>
      <c r="M144" s="344">
        <v>45768.682754629626</v>
      </c>
      <c r="N144" s="376">
        <v>1.0</v>
      </c>
    </row>
    <row r="145" ht="15.75" customHeight="1">
      <c r="A145" s="334" t="s">
        <v>7222</v>
      </c>
      <c r="B145" s="362">
        <v>45769.0</v>
      </c>
      <c r="C145" s="334" t="s">
        <v>536</v>
      </c>
      <c r="D145" s="334" t="s">
        <v>77</v>
      </c>
      <c r="E145" s="334" t="s">
        <v>496</v>
      </c>
      <c r="F145" s="334" t="s">
        <v>6988</v>
      </c>
      <c r="G145" s="334" t="s">
        <v>6989</v>
      </c>
      <c r="I145" s="334">
        <v>-0.5</v>
      </c>
      <c r="M145" s="344">
        <v>45768.68336805556</v>
      </c>
      <c r="N145" s="376">
        <v>1.0</v>
      </c>
    </row>
    <row r="146" ht="15.75" customHeight="1">
      <c r="A146" s="334" t="s">
        <v>7223</v>
      </c>
      <c r="B146" s="362">
        <v>45769.0</v>
      </c>
      <c r="C146" s="334" t="s">
        <v>532</v>
      </c>
      <c r="D146" s="334" t="s">
        <v>77</v>
      </c>
      <c r="E146" s="334" t="s">
        <v>486</v>
      </c>
      <c r="F146" s="334" t="s">
        <v>7078</v>
      </c>
      <c r="G146" s="334" t="s">
        <v>7079</v>
      </c>
      <c r="I146" s="334">
        <v>-0.5</v>
      </c>
      <c r="M146" s="344">
        <v>45768.68361111111</v>
      </c>
      <c r="N146" s="376">
        <v>1.0</v>
      </c>
    </row>
    <row r="147" ht="15.75" customHeight="1">
      <c r="A147" s="334" t="s">
        <v>7224</v>
      </c>
      <c r="B147" s="362">
        <v>45769.0</v>
      </c>
      <c r="C147" s="334" t="s">
        <v>535</v>
      </c>
      <c r="D147" s="334" t="s">
        <v>77</v>
      </c>
      <c r="E147" s="334" t="s">
        <v>495</v>
      </c>
      <c r="F147" s="334" t="s">
        <v>6983</v>
      </c>
      <c r="G147" s="334" t="s">
        <v>6986</v>
      </c>
      <c r="I147" s="334">
        <v>-0.5</v>
      </c>
      <c r="M147" s="344">
        <v>45768.69449074074</v>
      </c>
      <c r="N147" s="376">
        <v>1.0</v>
      </c>
    </row>
    <row r="148" ht="15.75" customHeight="1">
      <c r="A148" s="334" t="s">
        <v>7225</v>
      </c>
      <c r="B148" s="362">
        <v>45769.0</v>
      </c>
      <c r="C148" s="334" t="s">
        <v>5</v>
      </c>
      <c r="D148" s="334" t="s">
        <v>7067</v>
      </c>
      <c r="E148" s="334" t="s">
        <v>7068</v>
      </c>
      <c r="F148" s="334" t="s">
        <v>7226</v>
      </c>
      <c r="G148" s="334" t="s">
        <v>7227</v>
      </c>
      <c r="I148" s="334">
        <v>-0.5</v>
      </c>
      <c r="M148" s="344">
        <v>45768.77138888889</v>
      </c>
      <c r="N148" s="376">
        <v>1.0</v>
      </c>
    </row>
    <row r="149" ht="15.75" customHeight="1">
      <c r="A149" s="334" t="s">
        <v>7228</v>
      </c>
      <c r="B149" s="362">
        <v>45769.0</v>
      </c>
      <c r="C149" s="334" t="s">
        <v>6</v>
      </c>
      <c r="D149" s="334" t="s">
        <v>48</v>
      </c>
      <c r="E149" s="334" t="s">
        <v>454</v>
      </c>
      <c r="F149" s="334" t="s">
        <v>7071</v>
      </c>
      <c r="G149" s="334" t="s">
        <v>7072</v>
      </c>
      <c r="I149" s="334">
        <v>-0.5</v>
      </c>
      <c r="M149" s="344">
        <v>45768.77175925926</v>
      </c>
      <c r="N149" s="376">
        <v>1.0</v>
      </c>
    </row>
    <row r="150" ht="15.75" customHeight="1">
      <c r="A150" s="334" t="s">
        <v>7229</v>
      </c>
      <c r="B150" s="362">
        <v>45769.0</v>
      </c>
      <c r="C150" s="334" t="s">
        <v>9</v>
      </c>
      <c r="D150" s="334" t="s">
        <v>6991</v>
      </c>
      <c r="E150" s="334" t="s">
        <v>6992</v>
      </c>
      <c r="F150" s="334" t="s">
        <v>7211</v>
      </c>
      <c r="G150" s="334" t="s">
        <v>7212</v>
      </c>
      <c r="I150" s="334">
        <v>-0.5</v>
      </c>
      <c r="M150" s="344">
        <v>45768.77209490741</v>
      </c>
      <c r="N150" s="376">
        <v>1.0</v>
      </c>
    </row>
    <row r="151" ht="15.75" customHeight="1">
      <c r="A151" s="334" t="s">
        <v>7230</v>
      </c>
      <c r="B151" s="362">
        <v>45769.0</v>
      </c>
      <c r="C151" s="334" t="s">
        <v>10</v>
      </c>
      <c r="D151" s="334" t="s">
        <v>47</v>
      </c>
      <c r="E151" s="334" t="s">
        <v>463</v>
      </c>
      <c r="F151" s="334" t="s">
        <v>6996</v>
      </c>
      <c r="G151" s="334" t="s">
        <v>6997</v>
      </c>
      <c r="I151" s="334">
        <v>-0.5</v>
      </c>
      <c r="M151" s="344">
        <v>45768.772314814814</v>
      </c>
      <c r="N151" s="376">
        <v>1.0</v>
      </c>
    </row>
    <row r="152" ht="15.75" customHeight="1">
      <c r="A152" s="334" t="s">
        <v>7231</v>
      </c>
      <c r="B152" s="362">
        <v>45769.0</v>
      </c>
      <c r="C152" s="334" t="s">
        <v>36</v>
      </c>
      <c r="D152" s="334" t="s">
        <v>1303</v>
      </c>
      <c r="E152" s="334" t="s">
        <v>469</v>
      </c>
      <c r="F152" s="334" t="s">
        <v>6996</v>
      </c>
      <c r="G152" s="334" t="s">
        <v>7002</v>
      </c>
      <c r="I152" s="334">
        <v>-0.5</v>
      </c>
      <c r="M152" s="344">
        <v>45768.7725462963</v>
      </c>
      <c r="N152" s="376">
        <v>1.0</v>
      </c>
    </row>
    <row r="153" ht="15.75" customHeight="1">
      <c r="A153" s="334" t="s">
        <v>7232</v>
      </c>
      <c r="B153" s="362">
        <v>45769.0</v>
      </c>
      <c r="C153" s="334" t="s">
        <v>11</v>
      </c>
      <c r="D153" s="334" t="s">
        <v>46</v>
      </c>
      <c r="E153" s="334" t="s">
        <v>488</v>
      </c>
      <c r="F153" s="334" t="s">
        <v>7094</v>
      </c>
      <c r="G153" s="334" t="s">
        <v>7095</v>
      </c>
      <c r="I153" s="334">
        <v>-0.5</v>
      </c>
      <c r="M153" s="344">
        <v>45768.77287037037</v>
      </c>
      <c r="N153" s="376">
        <v>1.0</v>
      </c>
    </row>
    <row r="154" ht="15.75" customHeight="1">
      <c r="A154" s="334" t="s">
        <v>7233</v>
      </c>
      <c r="B154" s="362">
        <v>45769.0</v>
      </c>
      <c r="C154" s="334" t="s">
        <v>28</v>
      </c>
      <c r="D154" s="334" t="s">
        <v>52</v>
      </c>
      <c r="E154" s="334" t="s">
        <v>493</v>
      </c>
      <c r="F154" s="334" t="s">
        <v>7008</v>
      </c>
      <c r="G154" s="334" t="s">
        <v>7009</v>
      </c>
      <c r="I154" s="334">
        <v>-0.5</v>
      </c>
      <c r="M154" s="344">
        <v>45768.77318287037</v>
      </c>
      <c r="N154" s="376">
        <v>1.0</v>
      </c>
    </row>
    <row r="155" ht="15.75" customHeight="1">
      <c r="A155" s="334" t="s">
        <v>7234</v>
      </c>
      <c r="B155" s="362">
        <v>45769.0</v>
      </c>
      <c r="C155" s="334" t="s">
        <v>35</v>
      </c>
      <c r="D155" s="334" t="s">
        <v>48</v>
      </c>
      <c r="E155" s="334" t="s">
        <v>509</v>
      </c>
      <c r="F155" s="334" t="s">
        <v>130</v>
      </c>
      <c r="G155" s="334" t="s">
        <v>6975</v>
      </c>
      <c r="I155" s="334">
        <v>-1.0</v>
      </c>
      <c r="M155" s="344">
        <v>45768.77353009259</v>
      </c>
      <c r="N155" s="376">
        <v>1.0</v>
      </c>
    </row>
    <row r="156" ht="15.75" customHeight="1">
      <c r="A156" s="334" t="s">
        <v>7235</v>
      </c>
      <c r="B156" s="362">
        <v>45769.0</v>
      </c>
      <c r="C156" s="334" t="s">
        <v>37</v>
      </c>
      <c r="D156" s="334" t="s">
        <v>48</v>
      </c>
      <c r="E156" s="334" t="s">
        <v>510</v>
      </c>
      <c r="F156" s="334" t="s">
        <v>7041</v>
      </c>
      <c r="G156" s="334" t="s">
        <v>7042</v>
      </c>
      <c r="I156" s="334">
        <v>-0.5</v>
      </c>
      <c r="M156" s="344">
        <v>45768.77379629629</v>
      </c>
      <c r="N156" s="376">
        <v>1.0</v>
      </c>
    </row>
    <row r="157" ht="15.75" customHeight="1">
      <c r="A157" s="334" t="s">
        <v>7236</v>
      </c>
      <c r="B157" s="362">
        <v>45769.0</v>
      </c>
      <c r="C157" s="334" t="s">
        <v>14</v>
      </c>
      <c r="D157" s="334" t="s">
        <v>48</v>
      </c>
      <c r="E157" s="334" t="s">
        <v>498</v>
      </c>
      <c r="F157" s="334" t="s">
        <v>7019</v>
      </c>
      <c r="G157" s="334" t="s">
        <v>7020</v>
      </c>
      <c r="I157" s="334">
        <v>-0.5</v>
      </c>
      <c r="M157" s="344">
        <v>45768.77431712963</v>
      </c>
      <c r="N157" s="376">
        <v>1.0</v>
      </c>
    </row>
    <row r="158" ht="15.75" customHeight="1">
      <c r="A158" s="378" t="s">
        <v>7237</v>
      </c>
      <c r="B158" s="379">
        <v>45769.0</v>
      </c>
      <c r="C158" s="378" t="s">
        <v>7238</v>
      </c>
      <c r="D158" s="378" t="s">
        <v>6991</v>
      </c>
      <c r="E158" s="378" t="s">
        <v>7239</v>
      </c>
      <c r="F158" s="378" t="s">
        <v>7211</v>
      </c>
      <c r="G158" s="378" t="s">
        <v>7240</v>
      </c>
      <c r="H158" s="378"/>
      <c r="I158" s="380">
        <v>-0.5</v>
      </c>
      <c r="J158" s="378"/>
      <c r="K158" s="378"/>
      <c r="L158" s="378"/>
      <c r="M158" s="381"/>
      <c r="N158" s="382">
        <v>1.0</v>
      </c>
      <c r="O158" s="378"/>
      <c r="P158" s="378"/>
      <c r="Q158" s="378"/>
      <c r="R158" s="378"/>
      <c r="S158" s="378"/>
      <c r="T158" s="378"/>
      <c r="U158" s="378"/>
      <c r="V158" s="378"/>
      <c r="W158" s="378"/>
      <c r="X158" s="378"/>
      <c r="Y158" s="378"/>
      <c r="Z158" s="378"/>
    </row>
    <row r="159" ht="15.75" customHeight="1">
      <c r="A159" s="383" t="s">
        <v>7241</v>
      </c>
      <c r="B159" s="384">
        <v>45769.0</v>
      </c>
      <c r="C159" s="383" t="s">
        <v>31</v>
      </c>
      <c r="D159" s="383" t="s">
        <v>64</v>
      </c>
      <c r="E159" s="383" t="s">
        <v>478</v>
      </c>
      <c r="F159" s="383" t="s">
        <v>7242</v>
      </c>
      <c r="G159" s="383" t="s">
        <v>7243</v>
      </c>
      <c r="H159" s="378"/>
      <c r="I159" s="385">
        <v>-0.5</v>
      </c>
      <c r="J159" s="378"/>
      <c r="K159" s="378"/>
      <c r="L159" s="378"/>
      <c r="M159" s="386">
        <v>45769.2609375</v>
      </c>
      <c r="N159" s="382">
        <v>1.0</v>
      </c>
      <c r="O159" s="378"/>
      <c r="P159" s="378"/>
      <c r="Q159" s="378"/>
      <c r="R159" s="378"/>
      <c r="S159" s="378"/>
      <c r="T159" s="378"/>
      <c r="U159" s="378"/>
      <c r="V159" s="378"/>
      <c r="W159" s="378"/>
      <c r="X159" s="378"/>
      <c r="Y159" s="378"/>
      <c r="Z159" s="378"/>
    </row>
    <row r="160" ht="15.75" customHeight="1">
      <c r="A160" s="383" t="s">
        <v>7244</v>
      </c>
      <c r="B160" s="384">
        <v>45769.0</v>
      </c>
      <c r="C160" s="383" t="s">
        <v>14</v>
      </c>
      <c r="D160" s="383" t="s">
        <v>48</v>
      </c>
      <c r="E160" s="383" t="s">
        <v>498</v>
      </c>
      <c r="F160" s="383" t="s">
        <v>7245</v>
      </c>
      <c r="G160" s="383" t="s">
        <v>7246</v>
      </c>
      <c r="H160" s="378"/>
      <c r="I160" s="385">
        <v>-0.5</v>
      </c>
      <c r="J160" s="378"/>
      <c r="K160" s="378"/>
      <c r="L160" s="378"/>
      <c r="M160" s="386">
        <v>45769.27049768518</v>
      </c>
      <c r="N160" s="382">
        <v>1.0</v>
      </c>
      <c r="O160" s="378"/>
      <c r="P160" s="378"/>
      <c r="Q160" s="378"/>
      <c r="R160" s="378"/>
      <c r="S160" s="378"/>
      <c r="T160" s="378"/>
      <c r="U160" s="378"/>
      <c r="V160" s="378"/>
      <c r="W160" s="378"/>
      <c r="X160" s="378"/>
      <c r="Y160" s="378"/>
      <c r="Z160" s="378"/>
    </row>
    <row r="161" ht="15.75" customHeight="1">
      <c r="A161" s="334" t="s">
        <v>7247</v>
      </c>
      <c r="B161" s="362">
        <v>45769.0</v>
      </c>
      <c r="C161" s="334" t="s">
        <v>22</v>
      </c>
      <c r="D161" s="334" t="s">
        <v>47</v>
      </c>
      <c r="E161" s="334" t="s">
        <v>468</v>
      </c>
      <c r="F161" s="334" t="s">
        <v>7011</v>
      </c>
      <c r="G161" s="334" t="s">
        <v>7088</v>
      </c>
      <c r="I161" s="334">
        <v>-0.5</v>
      </c>
      <c r="M161" s="344">
        <v>45769.348587962966</v>
      </c>
      <c r="N161" s="376">
        <v>1.0</v>
      </c>
    </row>
    <row r="162" ht="15.75" customHeight="1">
      <c r="A162" s="334" t="s">
        <v>7248</v>
      </c>
      <c r="B162" s="362">
        <v>45769.0</v>
      </c>
      <c r="C162" s="334" t="s">
        <v>12</v>
      </c>
      <c r="D162" s="334" t="s">
        <v>50</v>
      </c>
      <c r="E162" s="334" t="s">
        <v>490</v>
      </c>
      <c r="F162" s="334" t="s">
        <v>7011</v>
      </c>
      <c r="G162" s="334" t="s">
        <v>7012</v>
      </c>
      <c r="I162" s="334">
        <v>-0.5</v>
      </c>
      <c r="M162" s="344">
        <v>45769.39630787037</v>
      </c>
      <c r="N162" s="376">
        <v>1.0</v>
      </c>
    </row>
    <row r="163" ht="15.75" customHeight="1">
      <c r="A163" s="334" t="s">
        <v>7249</v>
      </c>
      <c r="B163" s="362">
        <v>45770.0</v>
      </c>
      <c r="C163" s="334" t="s">
        <v>535</v>
      </c>
      <c r="D163" s="334" t="s">
        <v>77</v>
      </c>
      <c r="E163" s="334" t="s">
        <v>495</v>
      </c>
      <c r="F163" s="334" t="s">
        <v>6983</v>
      </c>
      <c r="G163" s="334" t="s">
        <v>6986</v>
      </c>
      <c r="I163" s="334">
        <v>-0.5</v>
      </c>
      <c r="M163" s="344">
        <v>45769.73924768518</v>
      </c>
      <c r="N163" s="376">
        <v>1.0</v>
      </c>
    </row>
    <row r="164" ht="15.75" customHeight="1">
      <c r="A164" s="334" t="s">
        <v>7250</v>
      </c>
      <c r="B164" s="362">
        <v>45770.0</v>
      </c>
      <c r="C164" s="334" t="s">
        <v>536</v>
      </c>
      <c r="D164" s="334" t="s">
        <v>77</v>
      </c>
      <c r="E164" s="334" t="s">
        <v>496</v>
      </c>
      <c r="F164" s="334" t="s">
        <v>6988</v>
      </c>
      <c r="G164" s="334" t="s">
        <v>6989</v>
      </c>
      <c r="I164" s="334">
        <v>-0.5</v>
      </c>
      <c r="M164" s="344">
        <v>45769.73954861111</v>
      </c>
      <c r="N164" s="376">
        <v>1.0</v>
      </c>
    </row>
    <row r="165" ht="15.75" customHeight="1">
      <c r="A165" s="334" t="s">
        <v>7251</v>
      </c>
      <c r="B165" s="362">
        <v>45770.0</v>
      </c>
      <c r="C165" s="334" t="s">
        <v>14</v>
      </c>
      <c r="D165" s="334" t="s">
        <v>46</v>
      </c>
      <c r="E165" s="334" t="s">
        <v>497</v>
      </c>
      <c r="F165" s="334" t="s">
        <v>7016</v>
      </c>
      <c r="G165" s="334" t="s">
        <v>7017</v>
      </c>
      <c r="I165" s="334">
        <v>-0.5</v>
      </c>
      <c r="M165" s="344">
        <v>45769.7400462963</v>
      </c>
      <c r="N165" s="376">
        <v>1.0</v>
      </c>
    </row>
    <row r="166" ht="15.75" customHeight="1">
      <c r="A166" s="334" t="s">
        <v>7252</v>
      </c>
      <c r="B166" s="362">
        <v>45770.0</v>
      </c>
      <c r="C166" s="334" t="s">
        <v>15</v>
      </c>
      <c r="D166" s="334" t="s">
        <v>7157</v>
      </c>
      <c r="E166" s="334" t="s">
        <v>7158</v>
      </c>
      <c r="F166" s="334" t="s">
        <v>7159</v>
      </c>
      <c r="G166" s="334" t="s">
        <v>7160</v>
      </c>
      <c r="I166" s="334">
        <v>-0.5</v>
      </c>
      <c r="M166" s="344">
        <v>45769.74046296296</v>
      </c>
      <c r="N166" s="376">
        <v>1.0</v>
      </c>
    </row>
    <row r="167" ht="15.75" customHeight="1">
      <c r="A167" s="377" t="s">
        <v>7253</v>
      </c>
      <c r="B167" s="362">
        <v>45770.0</v>
      </c>
      <c r="C167" s="334" t="s">
        <v>537</v>
      </c>
      <c r="D167" s="334" t="s">
        <v>7162</v>
      </c>
      <c r="E167" s="334" t="s">
        <v>7163</v>
      </c>
      <c r="F167" s="334" t="s">
        <v>7164</v>
      </c>
      <c r="G167" s="334" t="s">
        <v>7165</v>
      </c>
      <c r="I167" s="334">
        <v>-0.5</v>
      </c>
      <c r="M167" s="344">
        <v>45769.74101851852</v>
      </c>
      <c r="N167" s="376">
        <v>1.0</v>
      </c>
    </row>
    <row r="168" ht="15.75" customHeight="1">
      <c r="A168" s="334" t="s">
        <v>7254</v>
      </c>
      <c r="B168" s="362">
        <v>45770.0</v>
      </c>
      <c r="C168" s="334" t="s">
        <v>12</v>
      </c>
      <c r="D168" s="334" t="s">
        <v>53</v>
      </c>
      <c r="E168" s="334" t="s">
        <v>491</v>
      </c>
      <c r="F168" s="334" t="s">
        <v>7011</v>
      </c>
      <c r="G168" s="334" t="s">
        <v>7014</v>
      </c>
      <c r="I168" s="334">
        <v>-0.5</v>
      </c>
      <c r="M168" s="344">
        <v>45769.74138888889</v>
      </c>
      <c r="N168" s="376">
        <v>1.0</v>
      </c>
    </row>
    <row r="169" ht="15.75" customHeight="1">
      <c r="A169" s="334" t="s">
        <v>7255</v>
      </c>
      <c r="B169" s="362">
        <v>45770.0</v>
      </c>
      <c r="C169" s="334" t="s">
        <v>14</v>
      </c>
      <c r="D169" s="334" t="s">
        <v>48</v>
      </c>
      <c r="E169" s="334" t="s">
        <v>498</v>
      </c>
      <c r="F169" s="334" t="s">
        <v>7019</v>
      </c>
      <c r="G169" s="334" t="s">
        <v>7020</v>
      </c>
      <c r="I169" s="334">
        <v>-0.5</v>
      </c>
      <c r="M169" s="344">
        <v>45769.742002314815</v>
      </c>
      <c r="N169" s="376">
        <v>1.0</v>
      </c>
    </row>
    <row r="170" ht="15.75" customHeight="1">
      <c r="A170" s="334" t="s">
        <v>7256</v>
      </c>
      <c r="B170" s="362">
        <v>45770.0</v>
      </c>
      <c r="C170" s="334" t="s">
        <v>35</v>
      </c>
      <c r="D170" s="334" t="s">
        <v>48</v>
      </c>
      <c r="E170" s="334" t="s">
        <v>509</v>
      </c>
      <c r="F170" s="334" t="s">
        <v>130</v>
      </c>
      <c r="G170" s="334" t="s">
        <v>6975</v>
      </c>
      <c r="I170" s="334">
        <v>-0.5</v>
      </c>
      <c r="M170" s="344">
        <v>45770.26688657407</v>
      </c>
      <c r="N170" s="376">
        <v>1.0</v>
      </c>
    </row>
    <row r="171" ht="15.75" customHeight="1">
      <c r="A171" s="334" t="s">
        <v>7257</v>
      </c>
      <c r="B171" s="362">
        <v>45770.0</v>
      </c>
      <c r="C171" s="334" t="s">
        <v>37</v>
      </c>
      <c r="D171" s="334" t="s">
        <v>48</v>
      </c>
      <c r="E171" s="334" t="s">
        <v>510</v>
      </c>
      <c r="F171" s="334" t="s">
        <v>7041</v>
      </c>
      <c r="G171" s="334" t="s">
        <v>7042</v>
      </c>
      <c r="I171" s="334">
        <v>-0.5</v>
      </c>
      <c r="M171" s="344">
        <v>45770.26799768519</v>
      </c>
      <c r="N171" s="376">
        <v>1.0</v>
      </c>
    </row>
    <row r="172" ht="15.75" customHeight="1">
      <c r="A172" s="334" t="s">
        <v>7258</v>
      </c>
      <c r="B172" s="362">
        <v>45770.0</v>
      </c>
      <c r="C172" s="334" t="s">
        <v>14</v>
      </c>
      <c r="D172" s="334" t="s">
        <v>46</v>
      </c>
      <c r="E172" s="334" t="s">
        <v>497</v>
      </c>
      <c r="F172" s="334" t="s">
        <v>7259</v>
      </c>
      <c r="G172" s="334" t="s">
        <v>7260</v>
      </c>
      <c r="I172" s="334">
        <v>-0.5</v>
      </c>
      <c r="M172" s="344">
        <v>45770.71318287037</v>
      </c>
      <c r="N172" s="376">
        <v>1.0</v>
      </c>
    </row>
    <row r="173" ht="15.75" customHeight="1">
      <c r="A173" s="357" t="s">
        <v>7261</v>
      </c>
      <c r="B173" s="387">
        <v>45771.0</v>
      </c>
      <c r="C173" s="357" t="s">
        <v>12</v>
      </c>
      <c r="D173" s="357" t="s">
        <v>53</v>
      </c>
      <c r="E173" s="357" t="s">
        <v>491</v>
      </c>
      <c r="F173" s="357" t="s">
        <v>7262</v>
      </c>
      <c r="G173" s="357" t="s">
        <v>7263</v>
      </c>
      <c r="H173" s="378"/>
      <c r="I173" s="388">
        <v>-0.5</v>
      </c>
      <c r="J173" s="378"/>
      <c r="K173" s="378"/>
      <c r="L173" s="378"/>
      <c r="M173" s="389">
        <v>45770.71251157407</v>
      </c>
      <c r="N173" s="376">
        <v>1.0</v>
      </c>
      <c r="O173" s="378"/>
      <c r="P173" s="378"/>
      <c r="Q173" s="378"/>
      <c r="R173" s="378"/>
      <c r="S173" s="378"/>
      <c r="T173" s="378"/>
      <c r="U173" s="378"/>
      <c r="V173" s="378"/>
      <c r="W173" s="378"/>
      <c r="X173" s="378"/>
      <c r="Y173" s="378"/>
      <c r="Z173" s="378"/>
    </row>
    <row r="174" ht="15.75" customHeight="1">
      <c r="A174" s="357" t="s">
        <v>7264</v>
      </c>
      <c r="B174" s="387">
        <v>45771.0</v>
      </c>
      <c r="C174" s="357" t="s">
        <v>15</v>
      </c>
      <c r="D174" s="357" t="s">
        <v>7157</v>
      </c>
      <c r="E174" s="357" t="s">
        <v>7158</v>
      </c>
      <c r="F174" s="357" t="s">
        <v>7159</v>
      </c>
      <c r="G174" s="357" t="s">
        <v>7160</v>
      </c>
      <c r="H174" s="378"/>
      <c r="I174" s="388">
        <v>-0.5</v>
      </c>
      <c r="J174" s="378"/>
      <c r="K174" s="378"/>
      <c r="L174" s="378"/>
      <c r="M174" s="389">
        <v>45770.713425925926</v>
      </c>
      <c r="N174" s="376">
        <v>1.0</v>
      </c>
      <c r="O174" s="378"/>
      <c r="P174" s="378"/>
      <c r="Q174" s="378"/>
      <c r="R174" s="378"/>
      <c r="S174" s="378"/>
      <c r="T174" s="378"/>
      <c r="U174" s="378"/>
      <c r="V174" s="378"/>
      <c r="W174" s="378"/>
      <c r="X174" s="378"/>
      <c r="Y174" s="378"/>
      <c r="Z174" s="378"/>
    </row>
    <row r="175" ht="15.75" customHeight="1">
      <c r="A175" s="357" t="s">
        <v>7265</v>
      </c>
      <c r="B175" s="387">
        <v>45771.0</v>
      </c>
      <c r="C175" s="357" t="s">
        <v>537</v>
      </c>
      <c r="D175" s="357" t="s">
        <v>7162</v>
      </c>
      <c r="E175" s="357" t="s">
        <v>7163</v>
      </c>
      <c r="F175" s="357" t="s">
        <v>7164</v>
      </c>
      <c r="G175" s="357" t="s">
        <v>7165</v>
      </c>
      <c r="H175" s="378"/>
      <c r="I175" s="388">
        <v>-0.5</v>
      </c>
      <c r="J175" s="378"/>
      <c r="K175" s="378"/>
      <c r="L175" s="378"/>
      <c r="M175" s="389">
        <v>45770.71368055556</v>
      </c>
      <c r="N175" s="376">
        <v>1.0</v>
      </c>
      <c r="O175" s="378"/>
      <c r="P175" s="378"/>
      <c r="Q175" s="378"/>
      <c r="R175" s="378"/>
      <c r="S175" s="378"/>
      <c r="T175" s="378"/>
      <c r="U175" s="378"/>
      <c r="V175" s="378"/>
      <c r="W175" s="378"/>
      <c r="X175" s="378"/>
      <c r="Y175" s="378"/>
      <c r="Z175" s="378"/>
    </row>
    <row r="176" ht="15.75" customHeight="1">
      <c r="A176" s="357" t="s">
        <v>7266</v>
      </c>
      <c r="B176" s="387">
        <v>45771.0</v>
      </c>
      <c r="C176" s="357" t="s">
        <v>19</v>
      </c>
      <c r="D176" s="357" t="s">
        <v>61</v>
      </c>
      <c r="E176" s="357" t="s">
        <v>506</v>
      </c>
      <c r="F176" s="357" t="s">
        <v>116</v>
      </c>
      <c r="G176" s="357" t="s">
        <v>6980</v>
      </c>
      <c r="H176" s="378"/>
      <c r="I176" s="388">
        <v>-1.0</v>
      </c>
      <c r="J176" s="378"/>
      <c r="K176" s="378"/>
      <c r="L176" s="378"/>
      <c r="M176" s="390">
        <v>45770.71388888889</v>
      </c>
      <c r="N176" s="376">
        <v>1.0</v>
      </c>
      <c r="O176" s="378"/>
      <c r="P176" s="378"/>
      <c r="Q176" s="378"/>
      <c r="R176" s="378"/>
      <c r="S176" s="378"/>
      <c r="T176" s="378"/>
      <c r="U176" s="378"/>
      <c r="V176" s="378"/>
      <c r="W176" s="378"/>
      <c r="X176" s="378"/>
      <c r="Y176" s="378"/>
      <c r="Z176" s="378"/>
    </row>
    <row r="177" ht="15.75" customHeight="1">
      <c r="A177" s="334" t="s">
        <v>7267</v>
      </c>
      <c r="B177" s="362">
        <v>45771.0</v>
      </c>
      <c r="C177" s="334" t="s">
        <v>14</v>
      </c>
      <c r="D177" s="334" t="s">
        <v>46</v>
      </c>
      <c r="E177" s="334" t="s">
        <v>497</v>
      </c>
      <c r="F177" s="334" t="s">
        <v>7259</v>
      </c>
      <c r="G177" s="334" t="s">
        <v>7260</v>
      </c>
      <c r="I177" s="334">
        <v>-0.5</v>
      </c>
      <c r="M177" s="344">
        <v>45771.35150462963</v>
      </c>
      <c r="N177" s="376">
        <v>1.0</v>
      </c>
    </row>
    <row r="178" ht="15.75" customHeight="1">
      <c r="A178" s="334" t="s">
        <v>7268</v>
      </c>
      <c r="B178" s="362">
        <v>45771.0</v>
      </c>
      <c r="C178" s="334" t="s">
        <v>537</v>
      </c>
      <c r="D178" s="334" t="s">
        <v>1404</v>
      </c>
      <c r="E178" s="334" t="s">
        <v>502</v>
      </c>
      <c r="F178" s="334" t="s">
        <v>1199</v>
      </c>
      <c r="G178" s="334" t="s">
        <v>7269</v>
      </c>
      <c r="I178" s="334">
        <v>0.3</v>
      </c>
      <c r="M178" s="344">
        <v>45772.42408564815</v>
      </c>
      <c r="N178" s="376">
        <v>1.0</v>
      </c>
    </row>
    <row r="179" ht="15.75" customHeight="1">
      <c r="A179" s="334" t="s">
        <v>7270</v>
      </c>
      <c r="B179" s="362">
        <v>45771.0</v>
      </c>
      <c r="C179" s="334" t="s">
        <v>537</v>
      </c>
      <c r="D179" s="334" t="s">
        <v>1404</v>
      </c>
      <c r="E179" s="334" t="s">
        <v>502</v>
      </c>
      <c r="F179" s="334" t="s">
        <v>116</v>
      </c>
      <c r="G179" s="334" t="s">
        <v>7271</v>
      </c>
      <c r="I179" s="334">
        <v>-1.3</v>
      </c>
      <c r="M179" s="344">
        <v>45772.42488425926</v>
      </c>
      <c r="N179" s="376">
        <v>1.0</v>
      </c>
    </row>
    <row r="180" ht="15.75" customHeight="1">
      <c r="A180" s="334" t="s">
        <v>7272</v>
      </c>
      <c r="B180" s="362">
        <v>45771.0</v>
      </c>
      <c r="C180" s="334" t="s">
        <v>537</v>
      </c>
      <c r="D180" s="334" t="s">
        <v>1404</v>
      </c>
      <c r="E180" s="334" t="s">
        <v>502</v>
      </c>
      <c r="F180" s="334" t="s">
        <v>575</v>
      </c>
      <c r="G180" s="334" t="s">
        <v>6962</v>
      </c>
      <c r="I180" s="334">
        <v>-1.3</v>
      </c>
      <c r="M180" s="344">
        <v>45772.425405092596</v>
      </c>
      <c r="N180" s="376">
        <v>1.0</v>
      </c>
    </row>
    <row r="181" ht="15.75" customHeight="1">
      <c r="A181" s="334" t="s">
        <v>7273</v>
      </c>
      <c r="B181" s="362">
        <v>45771.0</v>
      </c>
      <c r="C181" s="334" t="s">
        <v>537</v>
      </c>
      <c r="D181" s="334" t="s">
        <v>7274</v>
      </c>
      <c r="E181" s="334" t="s">
        <v>7275</v>
      </c>
      <c r="F181" s="334" t="s">
        <v>1199</v>
      </c>
      <c r="G181" s="334" t="s">
        <v>7276</v>
      </c>
      <c r="I181" s="334">
        <v>0.3</v>
      </c>
      <c r="M181" s="344">
        <v>45772.42618055556</v>
      </c>
      <c r="N181" s="376">
        <v>1.0</v>
      </c>
    </row>
    <row r="182" ht="15.75" customHeight="1">
      <c r="A182" s="334" t="s">
        <v>7277</v>
      </c>
      <c r="B182" s="362">
        <v>45771.0</v>
      </c>
      <c r="C182" s="334" t="s">
        <v>537</v>
      </c>
      <c r="D182" s="334" t="s">
        <v>7274</v>
      </c>
      <c r="E182" s="334" t="s">
        <v>7275</v>
      </c>
      <c r="F182" s="334" t="s">
        <v>116</v>
      </c>
      <c r="G182" s="334" t="s">
        <v>7278</v>
      </c>
      <c r="I182" s="334">
        <v>-1.3</v>
      </c>
      <c r="M182" s="344">
        <v>45772.42810185185</v>
      </c>
      <c r="N182" s="376">
        <v>1.0</v>
      </c>
    </row>
    <row r="183" ht="15.75" customHeight="1">
      <c r="A183" s="334" t="s">
        <v>7279</v>
      </c>
      <c r="B183" s="362">
        <v>45771.0</v>
      </c>
      <c r="C183" s="334" t="s">
        <v>537</v>
      </c>
      <c r="D183" s="334" t="s">
        <v>7274</v>
      </c>
      <c r="E183" s="334" t="s">
        <v>7275</v>
      </c>
      <c r="F183" s="334" t="s">
        <v>575</v>
      </c>
      <c r="G183" s="334" t="s">
        <v>7280</v>
      </c>
      <c r="I183" s="334">
        <v>-1.3</v>
      </c>
      <c r="M183" s="344">
        <v>45772.42878472222</v>
      </c>
      <c r="N183" s="376">
        <v>1.0</v>
      </c>
    </row>
    <row r="184" ht="15.75" customHeight="1">
      <c r="A184" s="334" t="s">
        <v>7281</v>
      </c>
      <c r="B184" s="362">
        <v>45771.0</v>
      </c>
      <c r="C184" s="334" t="s">
        <v>15</v>
      </c>
      <c r="D184" s="334" t="s">
        <v>58</v>
      </c>
      <c r="E184" s="334" t="s">
        <v>499</v>
      </c>
      <c r="F184" s="334" t="s">
        <v>7282</v>
      </c>
      <c r="G184" s="334" t="s">
        <v>7283</v>
      </c>
      <c r="I184" s="334">
        <v>-1.0</v>
      </c>
      <c r="M184" s="344">
        <v>45772.4312037037</v>
      </c>
      <c r="N184" s="376">
        <v>1.0</v>
      </c>
    </row>
    <row r="185" ht="15.75" customHeight="1">
      <c r="A185" s="334" t="s">
        <v>7284</v>
      </c>
      <c r="B185" s="362">
        <v>45771.0</v>
      </c>
      <c r="C185" s="334" t="s">
        <v>12</v>
      </c>
      <c r="D185" s="334" t="s">
        <v>53</v>
      </c>
      <c r="E185" s="334" t="s">
        <v>491</v>
      </c>
      <c r="F185" s="334" t="s">
        <v>574</v>
      </c>
      <c r="G185" s="334" t="s">
        <v>7122</v>
      </c>
      <c r="I185" s="334">
        <v>-1.3</v>
      </c>
      <c r="M185" s="344">
        <v>45772.43247685185</v>
      </c>
      <c r="N185" s="376">
        <v>1.0</v>
      </c>
    </row>
    <row r="186" ht="15.75" customHeight="1">
      <c r="A186" s="334" t="s">
        <v>7285</v>
      </c>
      <c r="B186" s="362">
        <v>45771.0</v>
      </c>
      <c r="C186" s="334" t="s">
        <v>11</v>
      </c>
      <c r="D186" s="334" t="s">
        <v>46</v>
      </c>
      <c r="E186" s="334" t="s">
        <v>488</v>
      </c>
      <c r="F186" s="334" t="s">
        <v>7094</v>
      </c>
      <c r="G186" s="334" t="s">
        <v>7095</v>
      </c>
      <c r="I186" s="334">
        <v>-0.5</v>
      </c>
      <c r="M186" s="344">
        <v>45772.436261574076</v>
      </c>
      <c r="N186" s="376">
        <v>1.0</v>
      </c>
    </row>
    <row r="187" ht="15.75" customHeight="1">
      <c r="A187" s="334" t="s">
        <v>7286</v>
      </c>
      <c r="B187" s="362">
        <v>45771.0</v>
      </c>
      <c r="C187" s="334" t="s">
        <v>5</v>
      </c>
      <c r="D187" s="334" t="s">
        <v>46</v>
      </c>
      <c r="E187" s="334" t="s">
        <v>450</v>
      </c>
      <c r="F187" s="334" t="s">
        <v>116</v>
      </c>
      <c r="G187" s="334" t="s">
        <v>7287</v>
      </c>
      <c r="I187" s="334">
        <v>5.0</v>
      </c>
      <c r="M187" s="344">
        <v>45772.43761574074</v>
      </c>
      <c r="N187" s="376">
        <v>1.0</v>
      </c>
    </row>
    <row r="188" ht="15.75" customHeight="1">
      <c r="A188" s="334" t="s">
        <v>7288</v>
      </c>
      <c r="B188" s="362">
        <v>45771.0</v>
      </c>
      <c r="C188" s="334" t="s">
        <v>7</v>
      </c>
      <c r="D188" s="334" t="s">
        <v>49</v>
      </c>
      <c r="E188" s="334" t="s">
        <v>455</v>
      </c>
      <c r="F188" s="334" t="s">
        <v>6921</v>
      </c>
      <c r="G188" s="334" t="s">
        <v>7109</v>
      </c>
      <c r="I188" s="334">
        <v>-0.5</v>
      </c>
      <c r="M188" s="344">
        <v>45772.4390162037</v>
      </c>
      <c r="N188" s="376">
        <v>1.0</v>
      </c>
    </row>
    <row r="189" ht="15.75" customHeight="1">
      <c r="A189" s="334" t="s">
        <v>7289</v>
      </c>
      <c r="B189" s="362">
        <v>45771.0</v>
      </c>
      <c r="C189" s="334" t="s">
        <v>7</v>
      </c>
      <c r="D189" s="334" t="s">
        <v>49</v>
      </c>
      <c r="E189" s="334" t="s">
        <v>455</v>
      </c>
      <c r="F189" s="334" t="s">
        <v>6999</v>
      </c>
      <c r="G189" s="334" t="s">
        <v>7000</v>
      </c>
      <c r="I189" s="334">
        <v>-1.0</v>
      </c>
      <c r="M189" s="344">
        <v>45772.439930555556</v>
      </c>
      <c r="N189" s="376">
        <v>1.0</v>
      </c>
    </row>
    <row r="190" ht="15.75" customHeight="1">
      <c r="A190" s="334" t="s">
        <v>7290</v>
      </c>
      <c r="B190" s="362">
        <v>45773.0</v>
      </c>
      <c r="C190" s="334" t="s">
        <v>531</v>
      </c>
      <c r="D190" s="334" t="s">
        <v>77</v>
      </c>
      <c r="E190" s="334" t="s">
        <v>449</v>
      </c>
      <c r="F190" s="334" t="s">
        <v>6983</v>
      </c>
      <c r="G190" s="334" t="s">
        <v>7065</v>
      </c>
      <c r="I190" s="334">
        <v>-0.5</v>
      </c>
      <c r="M190" s="344">
        <v>45773.25335648148</v>
      </c>
      <c r="N190" s="376">
        <v>1.0</v>
      </c>
    </row>
    <row r="191" ht="15.75" customHeight="1">
      <c r="A191" s="334" t="s">
        <v>7291</v>
      </c>
      <c r="B191" s="362">
        <v>45773.0</v>
      </c>
      <c r="C191" s="334" t="s">
        <v>5</v>
      </c>
      <c r="D191" s="334" t="s">
        <v>7067</v>
      </c>
      <c r="E191" s="334" t="s">
        <v>7068</v>
      </c>
      <c r="F191" s="334" t="s">
        <v>7054</v>
      </c>
      <c r="G191" s="334" t="s">
        <v>7069</v>
      </c>
      <c r="I191" s="334">
        <v>-0.5</v>
      </c>
      <c r="M191" s="344">
        <v>45773.25375</v>
      </c>
      <c r="N191" s="376">
        <v>1.0</v>
      </c>
    </row>
    <row r="192" ht="15.75" customHeight="1">
      <c r="A192" s="334" t="s">
        <v>7292</v>
      </c>
      <c r="B192" s="362">
        <v>45773.0</v>
      </c>
      <c r="C192" s="334" t="s">
        <v>6</v>
      </c>
      <c r="D192" s="334" t="s">
        <v>48</v>
      </c>
      <c r="E192" s="334" t="s">
        <v>454</v>
      </c>
      <c r="F192" s="334" t="s">
        <v>7071</v>
      </c>
      <c r="G192" s="334" t="s">
        <v>7072</v>
      </c>
      <c r="I192" s="334">
        <v>-0.5</v>
      </c>
      <c r="M192" s="344">
        <v>45773.26023148148</v>
      </c>
      <c r="N192" s="376">
        <v>1.0</v>
      </c>
    </row>
    <row r="193" ht="15.75" customHeight="1">
      <c r="A193" s="334" t="s">
        <v>7293</v>
      </c>
      <c r="B193" s="362">
        <v>45773.0</v>
      </c>
      <c r="C193" s="334" t="s">
        <v>31</v>
      </c>
      <c r="D193" s="334" t="s">
        <v>64</v>
      </c>
      <c r="E193" s="334" t="s">
        <v>478</v>
      </c>
      <c r="F193" s="334" t="s">
        <v>7242</v>
      </c>
      <c r="G193" s="334" t="s">
        <v>7243</v>
      </c>
      <c r="I193" s="334">
        <v>-1.0</v>
      </c>
      <c r="M193" s="344">
        <v>45773.26268518518</v>
      </c>
      <c r="N193" s="376">
        <v>1.0</v>
      </c>
    </row>
    <row r="194" ht="15.75" customHeight="1">
      <c r="A194" s="334" t="s">
        <v>7294</v>
      </c>
      <c r="B194" s="362">
        <v>45773.0</v>
      </c>
      <c r="C194" s="334" t="s">
        <v>36</v>
      </c>
      <c r="D194" s="334" t="s">
        <v>1303</v>
      </c>
      <c r="E194" s="334" t="s">
        <v>469</v>
      </c>
      <c r="F194" s="334" t="s">
        <v>6996</v>
      </c>
      <c r="G194" s="334" t="s">
        <v>7002</v>
      </c>
      <c r="I194" s="334">
        <v>-0.5</v>
      </c>
      <c r="M194" s="344">
        <v>45773.263506944444</v>
      </c>
      <c r="N194" s="376">
        <v>1.0</v>
      </c>
    </row>
    <row r="195" ht="15.75" customHeight="1">
      <c r="A195" s="334" t="s">
        <v>7295</v>
      </c>
      <c r="B195" s="362">
        <v>45773.0</v>
      </c>
      <c r="C195" s="334" t="s">
        <v>9</v>
      </c>
      <c r="D195" s="334" t="s">
        <v>6991</v>
      </c>
      <c r="E195" s="334" t="s">
        <v>6992</v>
      </c>
      <c r="F195" s="334" t="s">
        <v>7296</v>
      </c>
      <c r="G195" s="334" t="s">
        <v>7297</v>
      </c>
      <c r="I195" s="334">
        <v>-0.5</v>
      </c>
      <c r="M195" s="344">
        <v>45773.265023148146</v>
      </c>
      <c r="N195" s="376">
        <v>1.0</v>
      </c>
    </row>
    <row r="196" ht="15.75" customHeight="1">
      <c r="A196" s="334" t="s">
        <v>7298</v>
      </c>
      <c r="B196" s="362">
        <v>45773.0</v>
      </c>
      <c r="C196" s="334" t="s">
        <v>10</v>
      </c>
      <c r="D196" s="334" t="s">
        <v>47</v>
      </c>
      <c r="E196" s="334" t="s">
        <v>463</v>
      </c>
      <c r="F196" s="334" t="s">
        <v>6996</v>
      </c>
      <c r="G196" s="334" t="s">
        <v>6997</v>
      </c>
      <c r="I196" s="334">
        <v>-0.5</v>
      </c>
      <c r="M196" s="344">
        <v>45773.26788194444</v>
      </c>
      <c r="N196" s="376">
        <v>1.0</v>
      </c>
    </row>
    <row r="197" ht="15.75" customHeight="1">
      <c r="A197" s="334" t="s">
        <v>7299</v>
      </c>
      <c r="B197" s="362">
        <v>45773.0</v>
      </c>
      <c r="C197" s="334" t="s">
        <v>13</v>
      </c>
      <c r="D197" s="334" t="s">
        <v>49</v>
      </c>
      <c r="E197" s="334" t="s">
        <v>467</v>
      </c>
      <c r="F197" s="334" t="s">
        <v>130</v>
      </c>
      <c r="G197" s="334" t="s">
        <v>7086</v>
      </c>
      <c r="I197" s="334">
        <v>-1.0</v>
      </c>
      <c r="M197" s="344">
        <v>45773.26972222222</v>
      </c>
      <c r="N197" s="376">
        <v>1.0</v>
      </c>
    </row>
    <row r="198" ht="15.75" customHeight="1">
      <c r="A198" s="334" t="s">
        <v>7300</v>
      </c>
      <c r="B198" s="362">
        <v>45773.0</v>
      </c>
      <c r="C198" s="334" t="s">
        <v>22</v>
      </c>
      <c r="D198" s="334" t="s">
        <v>47</v>
      </c>
      <c r="E198" s="334" t="s">
        <v>468</v>
      </c>
      <c r="F198" s="334" t="s">
        <v>7011</v>
      </c>
      <c r="G198" s="334" t="s">
        <v>7088</v>
      </c>
      <c r="I198" s="334">
        <v>-0.5</v>
      </c>
      <c r="M198" s="344">
        <v>45773.27101851852</v>
      </c>
      <c r="N198" s="376">
        <v>1.0</v>
      </c>
    </row>
    <row r="199" ht="15.75" customHeight="1">
      <c r="A199" s="334" t="s">
        <v>7301</v>
      </c>
      <c r="B199" s="362">
        <v>45773.0</v>
      </c>
      <c r="C199" s="334" t="s">
        <v>532</v>
      </c>
      <c r="D199" s="334" t="s">
        <v>77</v>
      </c>
      <c r="E199" s="334" t="s">
        <v>486</v>
      </c>
      <c r="F199" s="334" t="s">
        <v>7078</v>
      </c>
      <c r="G199" s="334" t="s">
        <v>7079</v>
      </c>
      <c r="I199" s="334">
        <v>-0.5</v>
      </c>
      <c r="M199" s="344">
        <v>45773.27275462963</v>
      </c>
      <c r="N199" s="376">
        <v>1.0</v>
      </c>
    </row>
    <row r="200" ht="15.75" customHeight="1">
      <c r="A200" s="334" t="s">
        <v>7302</v>
      </c>
      <c r="B200" s="362">
        <v>45773.0</v>
      </c>
      <c r="C200" s="334" t="s">
        <v>11</v>
      </c>
      <c r="D200" s="334" t="s">
        <v>46</v>
      </c>
      <c r="E200" s="334" t="s">
        <v>488</v>
      </c>
      <c r="F200" s="334" t="s">
        <v>7094</v>
      </c>
      <c r="G200" s="334" t="s">
        <v>7095</v>
      </c>
      <c r="I200" s="334">
        <v>-0.5</v>
      </c>
      <c r="M200" s="344">
        <v>45773.27377314815</v>
      </c>
      <c r="N200" s="376">
        <v>1.0</v>
      </c>
    </row>
    <row r="201" ht="15.75" customHeight="1">
      <c r="A201" s="334" t="s">
        <v>7303</v>
      </c>
      <c r="B201" s="362">
        <v>45773.0</v>
      </c>
      <c r="C201" s="334" t="s">
        <v>12</v>
      </c>
      <c r="D201" s="334" t="s">
        <v>50</v>
      </c>
      <c r="E201" s="334" t="s">
        <v>490</v>
      </c>
      <c r="F201" s="334" t="s">
        <v>7011</v>
      </c>
      <c r="G201" s="334" t="s">
        <v>7012</v>
      </c>
      <c r="I201" s="334">
        <v>-0.5</v>
      </c>
      <c r="M201" s="344">
        <v>45773.27517361111</v>
      </c>
      <c r="N201" s="376">
        <v>1.0</v>
      </c>
    </row>
    <row r="202" ht="15.75" customHeight="1">
      <c r="A202" s="334" t="s">
        <v>7304</v>
      </c>
      <c r="B202" s="362">
        <v>45773.0</v>
      </c>
      <c r="C202" s="334" t="s">
        <v>12</v>
      </c>
      <c r="D202" s="334" t="s">
        <v>53</v>
      </c>
      <c r="E202" s="334" t="s">
        <v>491</v>
      </c>
      <c r="F202" s="334" t="s">
        <v>7048</v>
      </c>
      <c r="G202" s="334" t="s">
        <v>7132</v>
      </c>
      <c r="I202" s="334">
        <v>-1.0</v>
      </c>
      <c r="M202" s="344">
        <v>45773.27621527778</v>
      </c>
      <c r="N202" s="376">
        <v>1.0</v>
      </c>
    </row>
    <row r="203" ht="15.75" customHeight="1">
      <c r="A203" s="334" t="s">
        <v>7305</v>
      </c>
      <c r="B203" s="362">
        <v>45773.0</v>
      </c>
      <c r="C203" s="334" t="s">
        <v>12</v>
      </c>
      <c r="D203" s="334" t="s">
        <v>53</v>
      </c>
      <c r="E203" s="334" t="s">
        <v>491</v>
      </c>
      <c r="F203" s="334" t="s">
        <v>7168</v>
      </c>
      <c r="G203" s="334" t="s">
        <v>7169</v>
      </c>
      <c r="I203" s="334">
        <v>-0.5</v>
      </c>
      <c r="M203" s="344">
        <v>45773.27686342593</v>
      </c>
      <c r="N203" s="376">
        <v>1.0</v>
      </c>
    </row>
    <row r="204" ht="15.75" customHeight="1">
      <c r="A204" s="334" t="s">
        <v>7306</v>
      </c>
      <c r="B204" s="362">
        <v>45773.0</v>
      </c>
      <c r="C204" s="334" t="s">
        <v>535</v>
      </c>
      <c r="D204" s="334" t="s">
        <v>77</v>
      </c>
      <c r="E204" s="334" t="s">
        <v>495</v>
      </c>
      <c r="F204" s="334" t="s">
        <v>6983</v>
      </c>
      <c r="G204" s="334" t="s">
        <v>6986</v>
      </c>
      <c r="I204" s="334">
        <v>-0.5</v>
      </c>
      <c r="M204" s="344">
        <v>45773.277604166666</v>
      </c>
      <c r="N204" s="376">
        <v>1.0</v>
      </c>
    </row>
    <row r="205" ht="15.75" customHeight="1">
      <c r="A205" s="334" t="s">
        <v>7307</v>
      </c>
      <c r="B205" s="362">
        <v>45773.0</v>
      </c>
      <c r="C205" s="334" t="s">
        <v>536</v>
      </c>
      <c r="D205" s="334" t="s">
        <v>77</v>
      </c>
      <c r="E205" s="334" t="s">
        <v>496</v>
      </c>
      <c r="F205" s="334" t="s">
        <v>6988</v>
      </c>
      <c r="G205" s="334" t="s">
        <v>6989</v>
      </c>
      <c r="I205" s="334">
        <v>-0.5</v>
      </c>
      <c r="M205" s="344">
        <v>45773.279375</v>
      </c>
      <c r="N205" s="376">
        <v>1.0</v>
      </c>
    </row>
    <row r="206" ht="15.75" customHeight="1">
      <c r="A206" s="334" t="s">
        <v>7308</v>
      </c>
      <c r="B206" s="362">
        <v>45773.0</v>
      </c>
      <c r="C206" s="334" t="s">
        <v>14</v>
      </c>
      <c r="D206" s="334" t="s">
        <v>46</v>
      </c>
      <c r="E206" s="334" t="s">
        <v>497</v>
      </c>
      <c r="F206" s="334" t="s">
        <v>7016</v>
      </c>
      <c r="G206" s="334" t="s">
        <v>7017</v>
      </c>
      <c r="I206" s="334">
        <v>-0.5</v>
      </c>
      <c r="M206" s="344">
        <v>45773.281689814816</v>
      </c>
      <c r="N206" s="376">
        <v>1.0</v>
      </c>
    </row>
    <row r="207" ht="15.75" customHeight="1">
      <c r="A207" s="334" t="s">
        <v>7309</v>
      </c>
      <c r="B207" s="362">
        <v>45773.0</v>
      </c>
      <c r="C207" s="334" t="s">
        <v>14</v>
      </c>
      <c r="D207" s="334" t="s">
        <v>46</v>
      </c>
      <c r="E207" s="334" t="s">
        <v>497</v>
      </c>
      <c r="F207" s="334" t="s">
        <v>6999</v>
      </c>
      <c r="G207" s="334" t="s">
        <v>7310</v>
      </c>
      <c r="I207" s="334">
        <v>-1.0</v>
      </c>
      <c r="M207" s="344">
        <v>45773.28208333333</v>
      </c>
      <c r="N207" s="376">
        <v>1.0</v>
      </c>
    </row>
    <row r="208" ht="15.75" customHeight="1">
      <c r="A208" s="334" t="s">
        <v>7311</v>
      </c>
      <c r="B208" s="362">
        <v>45773.0</v>
      </c>
      <c r="C208" s="334" t="s">
        <v>14</v>
      </c>
      <c r="D208" s="334" t="s">
        <v>48</v>
      </c>
      <c r="E208" s="334" t="s">
        <v>498</v>
      </c>
      <c r="F208" s="334" t="s">
        <v>7019</v>
      </c>
      <c r="G208" s="334" t="s">
        <v>7020</v>
      </c>
      <c r="I208" s="334">
        <v>-0.5</v>
      </c>
      <c r="M208" s="344">
        <v>45773.28291666666</v>
      </c>
      <c r="N208" s="376">
        <v>1.0</v>
      </c>
    </row>
    <row r="209" ht="15.75" customHeight="1">
      <c r="A209" s="334" t="s">
        <v>7312</v>
      </c>
      <c r="B209" s="362">
        <v>45773.0</v>
      </c>
      <c r="C209" s="334" t="s">
        <v>14</v>
      </c>
      <c r="D209" s="334" t="s">
        <v>46</v>
      </c>
      <c r="E209" s="334" t="s">
        <v>497</v>
      </c>
      <c r="F209" s="334" t="s">
        <v>145</v>
      </c>
      <c r="G209" s="334" t="s">
        <v>7313</v>
      </c>
      <c r="I209" s="334">
        <v>-1.0</v>
      </c>
      <c r="M209" s="344">
        <v>45773.28337962963</v>
      </c>
      <c r="N209" s="376">
        <v>1.0</v>
      </c>
    </row>
    <row r="210" ht="15.75" customHeight="1">
      <c r="A210" s="334" t="s">
        <v>7314</v>
      </c>
      <c r="B210" s="362">
        <v>45773.0</v>
      </c>
      <c r="C210" s="334" t="s">
        <v>15</v>
      </c>
      <c r="D210" s="334" t="s">
        <v>7157</v>
      </c>
      <c r="E210" s="334" t="s">
        <v>7158</v>
      </c>
      <c r="F210" s="334" t="s">
        <v>7159</v>
      </c>
      <c r="G210" s="334" t="s">
        <v>7160</v>
      </c>
      <c r="I210" s="334">
        <v>-0.5</v>
      </c>
      <c r="M210" s="344">
        <v>45773.284537037034</v>
      </c>
      <c r="N210" s="376">
        <v>1.0</v>
      </c>
    </row>
    <row r="211" ht="15.75" customHeight="1">
      <c r="A211" s="334" t="s">
        <v>7315</v>
      </c>
      <c r="B211" s="362">
        <v>45773.0</v>
      </c>
      <c r="C211" s="334" t="s">
        <v>537</v>
      </c>
      <c r="D211" s="334" t="s">
        <v>7162</v>
      </c>
      <c r="E211" s="334" t="s">
        <v>7163</v>
      </c>
      <c r="F211" s="334" t="s">
        <v>7164</v>
      </c>
      <c r="G211" s="334" t="s">
        <v>7165</v>
      </c>
      <c r="I211" s="334">
        <v>-0.5</v>
      </c>
      <c r="M211" s="344">
        <v>45773.28596064815</v>
      </c>
      <c r="N211" s="376">
        <v>1.0</v>
      </c>
    </row>
    <row r="212" ht="15.75" customHeight="1">
      <c r="A212" s="334" t="s">
        <v>7316</v>
      </c>
      <c r="B212" s="362">
        <v>45773.0</v>
      </c>
      <c r="C212" s="334" t="s">
        <v>35</v>
      </c>
      <c r="D212" s="334" t="s">
        <v>48</v>
      </c>
      <c r="E212" s="334" t="s">
        <v>509</v>
      </c>
      <c r="F212" s="334" t="s">
        <v>130</v>
      </c>
      <c r="G212" s="334" t="s">
        <v>6975</v>
      </c>
      <c r="I212" s="334">
        <v>-0.5</v>
      </c>
      <c r="M212" s="344">
        <v>45773.28712962963</v>
      </c>
      <c r="N212" s="376">
        <v>1.0</v>
      </c>
    </row>
    <row r="213" ht="15.75" customHeight="1">
      <c r="A213" s="334" t="s">
        <v>7317</v>
      </c>
      <c r="B213" s="362">
        <v>45773.0</v>
      </c>
      <c r="C213" s="334" t="s">
        <v>37</v>
      </c>
      <c r="D213" s="334" t="s">
        <v>48</v>
      </c>
      <c r="E213" s="334" t="s">
        <v>510</v>
      </c>
      <c r="F213" s="334" t="s">
        <v>7041</v>
      </c>
      <c r="G213" s="334" t="s">
        <v>7042</v>
      </c>
      <c r="I213" s="334">
        <v>-0.5</v>
      </c>
      <c r="M213" s="344">
        <v>45773.28743055555</v>
      </c>
      <c r="N213" s="376">
        <v>1.0</v>
      </c>
    </row>
    <row r="214" ht="15.75" customHeight="1">
      <c r="A214" s="334" t="s">
        <v>7318</v>
      </c>
      <c r="B214" s="362">
        <v>45773.0</v>
      </c>
      <c r="C214" s="334" t="s">
        <v>19</v>
      </c>
      <c r="D214" s="334" t="s">
        <v>61</v>
      </c>
      <c r="E214" s="334" t="s">
        <v>506</v>
      </c>
      <c r="F214" s="334" t="s">
        <v>116</v>
      </c>
      <c r="G214" s="334" t="s">
        <v>6980</v>
      </c>
      <c r="I214" s="334">
        <v>-0.5</v>
      </c>
      <c r="M214" s="344">
        <v>45773.296643518515</v>
      </c>
      <c r="N214" s="376">
        <v>1.0</v>
      </c>
    </row>
    <row r="215" ht="15.75" customHeight="1">
      <c r="A215" s="334" t="s">
        <v>7319</v>
      </c>
      <c r="B215" s="362">
        <v>45778.0</v>
      </c>
      <c r="C215" s="334" t="s">
        <v>7</v>
      </c>
      <c r="D215" s="334" t="s">
        <v>49</v>
      </c>
      <c r="E215" s="334" t="s">
        <v>455</v>
      </c>
      <c r="F215" s="334" t="s">
        <v>7074</v>
      </c>
      <c r="G215" s="334" t="s">
        <v>7075</v>
      </c>
      <c r="I215" s="334">
        <v>-0.5</v>
      </c>
      <c r="M215" s="344">
        <v>45777.74920138889</v>
      </c>
      <c r="N215" s="376">
        <v>1.0</v>
      </c>
    </row>
    <row r="216" ht="15.75" customHeight="1">
      <c r="A216" s="334" t="s">
        <v>7320</v>
      </c>
      <c r="B216" s="362">
        <v>45778.0</v>
      </c>
      <c r="C216" s="334" t="s">
        <v>28</v>
      </c>
      <c r="D216" s="334" t="s">
        <v>52</v>
      </c>
      <c r="E216" s="334" t="s">
        <v>493</v>
      </c>
      <c r="F216" s="334" t="s">
        <v>7008</v>
      </c>
      <c r="G216" s="334" t="s">
        <v>7009</v>
      </c>
      <c r="I216" s="334">
        <v>-0.5</v>
      </c>
      <c r="M216" s="344">
        <v>45777.75074074074</v>
      </c>
      <c r="N216" s="376">
        <v>1.0</v>
      </c>
    </row>
    <row r="217" ht="15.75" customHeight="1">
      <c r="A217" s="334" t="s">
        <v>7321</v>
      </c>
      <c r="B217" s="362">
        <v>45777.0</v>
      </c>
      <c r="C217" s="334" t="s">
        <v>537</v>
      </c>
      <c r="D217" s="334" t="s">
        <v>7031</v>
      </c>
      <c r="E217" s="334" t="s">
        <v>7032</v>
      </c>
      <c r="F217" s="334" t="s">
        <v>1199</v>
      </c>
      <c r="G217" s="334" t="s">
        <v>7322</v>
      </c>
      <c r="I217" s="334">
        <v>-2.0</v>
      </c>
      <c r="M217" s="344">
        <v>45778.35039351852</v>
      </c>
      <c r="N217" s="376">
        <v>1.0</v>
      </c>
    </row>
    <row r="218" ht="15.75" customHeight="1">
      <c r="A218" s="334" t="s">
        <v>7323</v>
      </c>
      <c r="B218" s="362">
        <v>45778.0</v>
      </c>
      <c r="C218" s="334" t="s">
        <v>29</v>
      </c>
      <c r="D218" s="334" t="s">
        <v>63</v>
      </c>
      <c r="E218" s="334" t="s">
        <v>472</v>
      </c>
      <c r="F218" s="334" t="s">
        <v>1199</v>
      </c>
      <c r="G218" s="334" t="s">
        <v>7324</v>
      </c>
      <c r="I218" s="334">
        <v>-3.5</v>
      </c>
      <c r="M218" s="344">
        <v>45779.27836805556</v>
      </c>
      <c r="N218" s="376">
        <v>1.0</v>
      </c>
    </row>
    <row r="219" ht="15.75" customHeight="1">
      <c r="A219" s="334" t="s">
        <v>7325</v>
      </c>
      <c r="B219" s="362">
        <v>45778.0</v>
      </c>
      <c r="C219" s="334" t="s">
        <v>29</v>
      </c>
      <c r="D219" s="334" t="s">
        <v>63</v>
      </c>
      <c r="E219" s="334" t="s">
        <v>472</v>
      </c>
      <c r="F219" s="334" t="s">
        <v>116</v>
      </c>
      <c r="G219" s="334" t="s">
        <v>7326</v>
      </c>
      <c r="I219" s="334">
        <v>-3.0</v>
      </c>
      <c r="M219" s="344">
        <v>45779.27892361111</v>
      </c>
      <c r="N219" s="376">
        <v>1.0</v>
      </c>
    </row>
    <row r="220" ht="15.75" customHeight="1">
      <c r="A220" s="334" t="s">
        <v>7327</v>
      </c>
      <c r="B220" s="362">
        <v>45778.0</v>
      </c>
      <c r="C220" s="334" t="s">
        <v>29</v>
      </c>
      <c r="D220" s="334" t="s">
        <v>63</v>
      </c>
      <c r="E220" s="334" t="s">
        <v>472</v>
      </c>
      <c r="F220" s="334" t="s">
        <v>130</v>
      </c>
      <c r="G220" s="334" t="s">
        <v>7328</v>
      </c>
      <c r="I220" s="334">
        <v>-4.0</v>
      </c>
      <c r="M220" s="344">
        <v>45785.56417824074</v>
      </c>
      <c r="N220" s="376">
        <v>1.0</v>
      </c>
    </row>
    <row r="221" ht="15.75" customHeight="1">
      <c r="A221" s="334" t="s">
        <v>7329</v>
      </c>
      <c r="B221" s="362">
        <v>45785.0</v>
      </c>
      <c r="C221" s="334" t="s">
        <v>17</v>
      </c>
      <c r="D221" s="334" t="s">
        <v>563</v>
      </c>
      <c r="E221" s="334" t="s">
        <v>508</v>
      </c>
      <c r="F221" s="334" t="s">
        <v>575</v>
      </c>
      <c r="G221" s="334" t="s">
        <v>7330</v>
      </c>
      <c r="I221" s="334">
        <v>1.0</v>
      </c>
      <c r="M221" s="344">
        <v>45785.687210648146</v>
      </c>
      <c r="N221" s="376">
        <v>1.0</v>
      </c>
    </row>
    <row r="222" ht="15.75" customHeight="1">
      <c r="A222" s="334" t="s">
        <v>7331</v>
      </c>
      <c r="B222" s="362">
        <v>45787.0</v>
      </c>
      <c r="C222" s="334" t="s">
        <v>7</v>
      </c>
      <c r="D222" s="334" t="s">
        <v>49</v>
      </c>
      <c r="E222" s="334" t="s">
        <v>455</v>
      </c>
      <c r="F222" s="334" t="s">
        <v>7074</v>
      </c>
      <c r="G222" s="334" t="s">
        <v>7075</v>
      </c>
      <c r="I222" s="334">
        <v>-0.5</v>
      </c>
      <c r="M222" s="344">
        <v>45786.74012731481</v>
      </c>
      <c r="N222" s="376">
        <v>1.0</v>
      </c>
    </row>
    <row r="223" ht="15.75" customHeight="1">
      <c r="A223" s="334" t="s">
        <v>7332</v>
      </c>
      <c r="B223" s="362">
        <v>45787.0</v>
      </c>
      <c r="C223" s="334" t="s">
        <v>28</v>
      </c>
      <c r="D223" s="334" t="s">
        <v>52</v>
      </c>
      <c r="E223" s="334" t="s">
        <v>493</v>
      </c>
      <c r="F223" s="334" t="s">
        <v>7333</v>
      </c>
      <c r="G223" s="334" t="s">
        <v>7334</v>
      </c>
      <c r="I223" s="334">
        <v>-0.5</v>
      </c>
      <c r="M223" s="344">
        <v>45786.741064814814</v>
      </c>
      <c r="N223" s="376">
        <v>1.0</v>
      </c>
    </row>
    <row r="224" ht="15.75" customHeight="1">
      <c r="A224" s="334" t="s">
        <v>7335</v>
      </c>
      <c r="B224" s="362">
        <v>45787.0</v>
      </c>
      <c r="C224" s="334" t="s">
        <v>31</v>
      </c>
      <c r="D224" s="334" t="s">
        <v>64</v>
      </c>
      <c r="E224" s="334" t="s">
        <v>478</v>
      </c>
      <c r="F224" s="334" t="s">
        <v>1199</v>
      </c>
      <c r="G224" s="334" t="s">
        <v>7178</v>
      </c>
      <c r="I224" s="334">
        <v>-1.0</v>
      </c>
      <c r="M224" s="344">
        <v>45786.7577662037</v>
      </c>
      <c r="N224" s="376">
        <v>1.0</v>
      </c>
    </row>
    <row r="225" ht="15.75" customHeight="1">
      <c r="A225" s="334" t="s">
        <v>7336</v>
      </c>
      <c r="B225" s="362">
        <v>45787.0</v>
      </c>
      <c r="C225" s="334" t="s">
        <v>31</v>
      </c>
      <c r="D225" s="334" t="s">
        <v>64</v>
      </c>
      <c r="E225" s="334" t="s">
        <v>478</v>
      </c>
      <c r="F225" s="334" t="s">
        <v>116</v>
      </c>
      <c r="G225" s="334" t="s">
        <v>7337</v>
      </c>
      <c r="I225" s="334">
        <v>-1.5</v>
      </c>
      <c r="M225" s="344">
        <v>45786.75806712963</v>
      </c>
      <c r="N225" s="376">
        <v>1.0</v>
      </c>
    </row>
    <row r="226" ht="15.75" customHeight="1">
      <c r="A226" s="334" t="s">
        <v>7338</v>
      </c>
      <c r="B226" s="362">
        <v>45787.0</v>
      </c>
      <c r="C226" s="334" t="s">
        <v>31</v>
      </c>
      <c r="D226" s="334" t="s">
        <v>64</v>
      </c>
      <c r="E226" s="334" t="s">
        <v>478</v>
      </c>
      <c r="F226" s="334" t="s">
        <v>130</v>
      </c>
      <c r="G226" s="334" t="s">
        <v>6971</v>
      </c>
      <c r="I226" s="334">
        <v>-0.5</v>
      </c>
      <c r="M226" s="344">
        <v>45786.75849537037</v>
      </c>
      <c r="N226" s="376">
        <v>1.0</v>
      </c>
    </row>
    <row r="227" ht="15.75" customHeight="1">
      <c r="A227" s="334" t="s">
        <v>7339</v>
      </c>
      <c r="B227" s="362">
        <v>45778.0</v>
      </c>
      <c r="C227" s="334" t="s">
        <v>12</v>
      </c>
      <c r="D227" s="334" t="s">
        <v>53</v>
      </c>
      <c r="E227" s="334" t="s">
        <v>491</v>
      </c>
      <c r="F227" s="334" t="s">
        <v>574</v>
      </c>
      <c r="G227" s="334" t="s">
        <v>7122</v>
      </c>
      <c r="I227" s="334">
        <v>-2.6</v>
      </c>
      <c r="M227" s="344">
        <v>45790.262766203705</v>
      </c>
      <c r="N227" s="376">
        <v>1.0</v>
      </c>
    </row>
    <row r="228" ht="15.75" customHeight="1">
      <c r="A228" s="334" t="s">
        <v>7340</v>
      </c>
      <c r="B228" s="362">
        <v>45791.0</v>
      </c>
      <c r="C228" s="334" t="s">
        <v>28</v>
      </c>
      <c r="D228" s="334" t="s">
        <v>52</v>
      </c>
      <c r="E228" s="334" t="s">
        <v>493</v>
      </c>
      <c r="F228" s="334" t="s">
        <v>7341</v>
      </c>
      <c r="G228" s="334" t="s">
        <v>7342</v>
      </c>
      <c r="I228" s="334">
        <v>-0.5</v>
      </c>
      <c r="M228" s="344">
        <v>45790.76107638889</v>
      </c>
      <c r="N228" s="376">
        <v>1.0</v>
      </c>
    </row>
    <row r="229" ht="15.75" customHeight="1">
      <c r="A229" s="334" t="s">
        <v>7343</v>
      </c>
      <c r="B229" s="362">
        <v>45791.0</v>
      </c>
      <c r="C229" s="334" t="s">
        <v>29</v>
      </c>
      <c r="D229" s="334" t="s">
        <v>63</v>
      </c>
      <c r="E229" s="334" t="s">
        <v>472</v>
      </c>
      <c r="F229" s="334" t="s">
        <v>7344</v>
      </c>
      <c r="G229" s="334" t="s">
        <v>7345</v>
      </c>
      <c r="I229" s="334">
        <v>2.0</v>
      </c>
      <c r="M229" s="344">
        <v>45790.763773148145</v>
      </c>
      <c r="N229" s="376">
        <v>1.0</v>
      </c>
    </row>
    <row r="230" ht="15.75" customHeight="1">
      <c r="A230" s="334" t="s">
        <v>7346</v>
      </c>
      <c r="B230" s="362">
        <v>45791.0</v>
      </c>
      <c r="C230" s="334" t="s">
        <v>29</v>
      </c>
      <c r="D230" s="334" t="s">
        <v>63</v>
      </c>
      <c r="E230" s="334" t="s">
        <v>472</v>
      </c>
      <c r="F230" s="334" t="s">
        <v>116</v>
      </c>
      <c r="G230" s="334" t="s">
        <v>7326</v>
      </c>
      <c r="I230" s="334">
        <v>3.0</v>
      </c>
      <c r="M230" s="344">
        <v>45790.764756944445</v>
      </c>
      <c r="N230" s="376">
        <v>1.0</v>
      </c>
    </row>
    <row r="231" ht="15.75" customHeight="1">
      <c r="A231" s="334" t="s">
        <v>7347</v>
      </c>
      <c r="B231" s="362">
        <v>45797.0</v>
      </c>
      <c r="C231" s="334" t="s">
        <v>6</v>
      </c>
      <c r="D231" s="334" t="s">
        <v>48</v>
      </c>
      <c r="E231" s="334" t="s">
        <v>454</v>
      </c>
      <c r="F231" s="334" t="s">
        <v>111</v>
      </c>
      <c r="G231" s="334" t="s">
        <v>6945</v>
      </c>
      <c r="I231" s="334">
        <v>-0.5</v>
      </c>
      <c r="M231" s="344">
        <v>45797.26944444444</v>
      </c>
      <c r="N231" s="376">
        <v>1.0</v>
      </c>
    </row>
    <row r="232" ht="15.75" customHeight="1">
      <c r="A232" s="334" t="s">
        <v>7348</v>
      </c>
      <c r="B232" s="362">
        <v>45799.0</v>
      </c>
      <c r="C232" s="334" t="s">
        <v>35</v>
      </c>
      <c r="D232" s="334" t="s">
        <v>48</v>
      </c>
      <c r="E232" s="334" t="s">
        <v>509</v>
      </c>
      <c r="F232" s="334" t="s">
        <v>130</v>
      </c>
      <c r="G232" s="334" t="s">
        <v>6975</v>
      </c>
      <c r="I232" s="334">
        <v>1.0</v>
      </c>
      <c r="M232" s="344">
        <v>45798.71371527778</v>
      </c>
      <c r="N232" s="376">
        <v>1.0</v>
      </c>
    </row>
    <row r="233" ht="15.75" customHeight="1">
      <c r="A233" s="334" t="s">
        <v>7349</v>
      </c>
      <c r="B233" s="362">
        <v>45800.0</v>
      </c>
      <c r="C233" s="334" t="s">
        <v>7</v>
      </c>
      <c r="D233" s="334" t="s">
        <v>49</v>
      </c>
      <c r="E233" s="334" t="s">
        <v>455</v>
      </c>
      <c r="F233" s="334" t="s">
        <v>7350</v>
      </c>
      <c r="G233" s="334" t="s">
        <v>7351</v>
      </c>
      <c r="I233" s="334">
        <v>-0.5</v>
      </c>
      <c r="M233" s="344">
        <v>45800.26615740741</v>
      </c>
      <c r="N233" s="376">
        <v>1.0</v>
      </c>
    </row>
    <row r="234" ht="15.75" customHeight="1">
      <c r="A234" s="334" t="s">
        <v>7352</v>
      </c>
      <c r="B234" s="362">
        <v>45801.0</v>
      </c>
      <c r="C234" s="334" t="s">
        <v>11</v>
      </c>
      <c r="D234" s="334" t="s">
        <v>46</v>
      </c>
      <c r="E234" s="334" t="s">
        <v>488</v>
      </c>
      <c r="F234" s="334" t="s">
        <v>7094</v>
      </c>
      <c r="G234" s="334" t="s">
        <v>7095</v>
      </c>
      <c r="I234" s="334">
        <v>-0.5</v>
      </c>
      <c r="M234" s="344">
        <v>45801.26883101852</v>
      </c>
      <c r="N234" s="376">
        <v>1.0</v>
      </c>
    </row>
    <row r="235" ht="15.75" customHeight="1">
      <c r="A235" s="334" t="s">
        <v>7353</v>
      </c>
      <c r="B235" s="362">
        <v>45807.0</v>
      </c>
      <c r="C235" s="334" t="s">
        <v>35</v>
      </c>
      <c r="D235" s="334" t="s">
        <v>48</v>
      </c>
      <c r="E235" s="334" t="s">
        <v>509</v>
      </c>
      <c r="F235" s="334" t="s">
        <v>130</v>
      </c>
      <c r="G235" s="334" t="s">
        <v>6975</v>
      </c>
      <c r="I235" s="334">
        <v>0.5</v>
      </c>
      <c r="M235" s="344">
        <v>45807.27087962963</v>
      </c>
      <c r="N235" s="376">
        <v>1.0</v>
      </c>
    </row>
    <row r="236" ht="15.75" customHeight="1">
      <c r="A236" s="334" t="s">
        <v>7354</v>
      </c>
      <c r="B236" s="362">
        <v>45811.0</v>
      </c>
      <c r="C236" s="334" t="s">
        <v>5</v>
      </c>
      <c r="D236" s="334" t="s">
        <v>6919</v>
      </c>
      <c r="E236" s="334" t="s">
        <v>6920</v>
      </c>
      <c r="F236" s="334" t="s">
        <v>7054</v>
      </c>
      <c r="G236" s="334" t="s">
        <v>7055</v>
      </c>
      <c r="I236" s="334">
        <v>-0.5</v>
      </c>
      <c r="M236" s="344">
        <v>45810.76795138889</v>
      </c>
      <c r="N236" s="376">
        <v>1.0</v>
      </c>
    </row>
    <row r="237" ht="15.75" customHeight="1">
      <c r="A237" s="334" t="s">
        <v>7355</v>
      </c>
      <c r="B237" s="362">
        <v>45811.0</v>
      </c>
      <c r="C237" s="334" t="s">
        <v>5</v>
      </c>
      <c r="D237" s="334" t="s">
        <v>6937</v>
      </c>
      <c r="E237" s="334" t="s">
        <v>6938</v>
      </c>
      <c r="F237" s="334" t="s">
        <v>130</v>
      </c>
      <c r="G237" s="334" t="s">
        <v>6939</v>
      </c>
      <c r="I237" s="334">
        <v>-0.5</v>
      </c>
      <c r="M237" s="344">
        <v>45810.76834490741</v>
      </c>
      <c r="N237" s="376">
        <v>1.0</v>
      </c>
    </row>
    <row r="238" ht="15.75" customHeight="1">
      <c r="A238" s="334" t="s">
        <v>7356</v>
      </c>
      <c r="B238" s="362">
        <v>45811.0</v>
      </c>
      <c r="C238" s="334" t="s">
        <v>6</v>
      </c>
      <c r="D238" s="334" t="s">
        <v>48</v>
      </c>
      <c r="E238" s="334" t="s">
        <v>454</v>
      </c>
      <c r="F238" s="334" t="s">
        <v>7071</v>
      </c>
      <c r="G238" s="334" t="s">
        <v>7072</v>
      </c>
      <c r="I238" s="334">
        <v>-0.5</v>
      </c>
      <c r="M238" s="344">
        <v>45810.76851851852</v>
      </c>
      <c r="N238" s="376">
        <v>1.0</v>
      </c>
    </row>
    <row r="239" ht="15.75" customHeight="1">
      <c r="A239" s="334" t="s">
        <v>7357</v>
      </c>
      <c r="B239" s="362">
        <v>45811.0</v>
      </c>
      <c r="C239" s="334" t="s">
        <v>7</v>
      </c>
      <c r="D239" s="334" t="s">
        <v>49</v>
      </c>
      <c r="E239" s="334" t="s">
        <v>455</v>
      </c>
      <c r="F239" s="334" t="s">
        <v>7074</v>
      </c>
      <c r="G239" s="334" t="s">
        <v>7075</v>
      </c>
      <c r="I239" s="334">
        <v>-0.5</v>
      </c>
      <c r="M239" s="344">
        <v>45810.76881944444</v>
      </c>
      <c r="N239" s="376">
        <v>1.0</v>
      </c>
    </row>
    <row r="240" ht="15.75" customHeight="1">
      <c r="A240" s="334" t="s">
        <v>7358</v>
      </c>
      <c r="B240" s="362">
        <v>45811.0</v>
      </c>
      <c r="C240" s="334" t="s">
        <v>9</v>
      </c>
      <c r="D240" s="334" t="s">
        <v>6991</v>
      </c>
      <c r="E240" s="334" t="s">
        <v>6992</v>
      </c>
      <c r="F240" s="334" t="s">
        <v>7296</v>
      </c>
      <c r="G240" s="334" t="s">
        <v>7297</v>
      </c>
      <c r="I240" s="334">
        <v>-0.5</v>
      </c>
      <c r="M240" s="344">
        <v>45810.76907407407</v>
      </c>
      <c r="N240" s="376">
        <v>1.0</v>
      </c>
    </row>
    <row r="241" ht="15.75" customHeight="1">
      <c r="A241" s="334" t="s">
        <v>7359</v>
      </c>
      <c r="B241" s="362">
        <v>45811.0</v>
      </c>
      <c r="C241" s="334" t="s">
        <v>10</v>
      </c>
      <c r="D241" s="334" t="s">
        <v>47</v>
      </c>
      <c r="E241" s="334" t="s">
        <v>463</v>
      </c>
      <c r="F241" s="334" t="s">
        <v>6996</v>
      </c>
      <c r="G241" s="334" t="s">
        <v>6997</v>
      </c>
      <c r="I241" s="334">
        <v>-0.5</v>
      </c>
      <c r="M241" s="344">
        <v>45810.769282407404</v>
      </c>
      <c r="N241" s="376">
        <v>1.0</v>
      </c>
    </row>
    <row r="242" ht="15.75" customHeight="1">
      <c r="A242" s="334" t="s">
        <v>7360</v>
      </c>
      <c r="B242" s="362">
        <v>45811.0</v>
      </c>
      <c r="C242" s="334" t="s">
        <v>22</v>
      </c>
      <c r="D242" s="334" t="s">
        <v>47</v>
      </c>
      <c r="E242" s="334" t="s">
        <v>468</v>
      </c>
      <c r="F242" s="334" t="s">
        <v>7011</v>
      </c>
      <c r="G242" s="334" t="s">
        <v>7088</v>
      </c>
      <c r="I242" s="334">
        <v>-0.5</v>
      </c>
      <c r="M242" s="344">
        <v>45810.769641203704</v>
      </c>
      <c r="N242" s="376">
        <v>1.0</v>
      </c>
    </row>
    <row r="243" ht="15.75" customHeight="1">
      <c r="A243" s="334" t="s">
        <v>7361</v>
      </c>
      <c r="B243" s="362">
        <v>45811.0</v>
      </c>
      <c r="C243" s="334" t="s">
        <v>36</v>
      </c>
      <c r="D243" s="334" t="s">
        <v>1303</v>
      </c>
      <c r="E243" s="334" t="s">
        <v>469</v>
      </c>
      <c r="F243" s="334" t="s">
        <v>6996</v>
      </c>
      <c r="G243" s="334" t="s">
        <v>7002</v>
      </c>
      <c r="I243" s="334">
        <v>-0.5</v>
      </c>
      <c r="M243" s="344">
        <v>45810.769953703704</v>
      </c>
      <c r="N243" s="376">
        <v>1.0</v>
      </c>
    </row>
    <row r="244" ht="15.75" customHeight="1">
      <c r="A244" s="334" t="s">
        <v>7362</v>
      </c>
      <c r="B244" s="362">
        <v>45811.0</v>
      </c>
      <c r="C244" s="334" t="s">
        <v>28</v>
      </c>
      <c r="D244" s="334" t="s">
        <v>52</v>
      </c>
      <c r="E244" s="334" t="s">
        <v>493</v>
      </c>
      <c r="F244" s="334" t="s">
        <v>7008</v>
      </c>
      <c r="G244" s="334" t="s">
        <v>7009</v>
      </c>
      <c r="I244" s="334">
        <v>-0.5</v>
      </c>
      <c r="M244" s="344">
        <v>45810.77018518518</v>
      </c>
      <c r="N244" s="376">
        <v>1.0</v>
      </c>
    </row>
    <row r="245" ht="15.75" customHeight="1">
      <c r="A245" s="334" t="s">
        <v>7363</v>
      </c>
      <c r="B245" s="362">
        <v>45811.0</v>
      </c>
      <c r="C245" s="334" t="s">
        <v>12</v>
      </c>
      <c r="D245" s="334" t="s">
        <v>50</v>
      </c>
      <c r="E245" s="334" t="s">
        <v>490</v>
      </c>
      <c r="F245" s="334" t="s">
        <v>7011</v>
      </c>
      <c r="G245" s="334" t="s">
        <v>7012</v>
      </c>
      <c r="I245" s="334">
        <v>-0.5</v>
      </c>
      <c r="M245" s="344">
        <v>45810.770462962966</v>
      </c>
      <c r="N245" s="376">
        <v>1.0</v>
      </c>
    </row>
    <row r="246" ht="15.75" customHeight="1">
      <c r="A246" s="334" t="s">
        <v>7364</v>
      </c>
      <c r="B246" s="362">
        <v>45811.0</v>
      </c>
      <c r="C246" s="334" t="s">
        <v>532</v>
      </c>
      <c r="D246" s="334" t="s">
        <v>77</v>
      </c>
      <c r="E246" s="334" t="s">
        <v>486</v>
      </c>
      <c r="F246" s="334" t="s">
        <v>7078</v>
      </c>
      <c r="G246" s="334" t="s">
        <v>7079</v>
      </c>
      <c r="I246" s="334">
        <v>-0.5</v>
      </c>
      <c r="M246" s="344">
        <v>45810.770682870374</v>
      </c>
      <c r="N246" s="376">
        <v>1.0</v>
      </c>
    </row>
    <row r="247" ht="15.75" customHeight="1">
      <c r="A247" s="334" t="s">
        <v>7365</v>
      </c>
      <c r="B247" s="362">
        <v>45765.0</v>
      </c>
      <c r="C247" s="334" t="s">
        <v>5</v>
      </c>
      <c r="D247" s="334" t="s">
        <v>1234</v>
      </c>
      <c r="E247" s="334" t="s">
        <v>453</v>
      </c>
      <c r="F247" s="334" t="s">
        <v>130</v>
      </c>
      <c r="G247" s="334" t="s">
        <v>7214</v>
      </c>
      <c r="I247" s="334">
        <v>-0.5</v>
      </c>
      <c r="M247" s="344">
        <v>45810.77912037037</v>
      </c>
      <c r="N247" s="376">
        <v>1.0</v>
      </c>
    </row>
    <row r="248" ht="15.75" customHeight="1">
      <c r="A248" s="334" t="s">
        <v>7366</v>
      </c>
      <c r="B248" s="362">
        <v>45811.0</v>
      </c>
      <c r="C248" s="334" t="s">
        <v>31</v>
      </c>
      <c r="D248" s="334" t="s">
        <v>64</v>
      </c>
      <c r="E248" s="334" t="s">
        <v>478</v>
      </c>
      <c r="F248" s="334" t="s">
        <v>116</v>
      </c>
      <c r="G248" s="334" t="s">
        <v>7337</v>
      </c>
      <c r="I248" s="334">
        <v>2.5</v>
      </c>
      <c r="M248" s="344">
        <v>45811.26934027778</v>
      </c>
      <c r="N248" s="376">
        <v>1.0</v>
      </c>
    </row>
    <row r="249" ht="15.75" customHeight="1">
      <c r="A249" s="334" t="s">
        <v>7367</v>
      </c>
      <c r="B249" s="362">
        <v>45811.0</v>
      </c>
      <c r="C249" s="334" t="s">
        <v>31</v>
      </c>
      <c r="D249" s="334" t="s">
        <v>64</v>
      </c>
      <c r="E249" s="334" t="s">
        <v>478</v>
      </c>
      <c r="F249" s="334" t="s">
        <v>130</v>
      </c>
      <c r="G249" s="334" t="s">
        <v>6971</v>
      </c>
      <c r="I249" s="334">
        <v>1.8</v>
      </c>
      <c r="M249" s="344">
        <v>45811.2696875</v>
      </c>
      <c r="N249" s="376">
        <v>1.0</v>
      </c>
    </row>
    <row r="250" ht="15.75" customHeight="1">
      <c r="A250" s="377" t="s">
        <v>7368</v>
      </c>
      <c r="B250" s="362">
        <v>45812.0</v>
      </c>
      <c r="C250" s="334" t="s">
        <v>531</v>
      </c>
      <c r="D250" s="334" t="s">
        <v>77</v>
      </c>
      <c r="E250" s="334" t="s">
        <v>449</v>
      </c>
      <c r="F250" s="334" t="s">
        <v>6983</v>
      </c>
      <c r="G250" s="334" t="s">
        <v>7065</v>
      </c>
      <c r="I250" s="334">
        <v>-0.5</v>
      </c>
      <c r="M250" s="344">
        <v>45811.71178240741</v>
      </c>
      <c r="N250" s="376">
        <v>1.0</v>
      </c>
    </row>
    <row r="251" ht="15.75" customHeight="1">
      <c r="A251" s="334" t="s">
        <v>7369</v>
      </c>
      <c r="B251" s="362">
        <v>45801.0</v>
      </c>
      <c r="C251" s="334" t="s">
        <v>9</v>
      </c>
      <c r="D251" s="334" t="s">
        <v>50</v>
      </c>
      <c r="E251" s="334" t="s">
        <v>460</v>
      </c>
      <c r="F251" s="334" t="s">
        <v>111</v>
      </c>
      <c r="G251" s="334" t="s">
        <v>7370</v>
      </c>
      <c r="I251" s="334">
        <v>1.5</v>
      </c>
      <c r="M251" s="344">
        <v>45812.268530092595</v>
      </c>
      <c r="N251" s="376">
        <v>1.0</v>
      </c>
    </row>
    <row r="252" ht="15.75" customHeight="1">
      <c r="A252" s="334" t="s">
        <v>7371</v>
      </c>
      <c r="B252" s="362">
        <v>45801.0</v>
      </c>
      <c r="C252" s="334" t="s">
        <v>9</v>
      </c>
      <c r="D252" s="334" t="s">
        <v>50</v>
      </c>
      <c r="E252" s="334" t="s">
        <v>460</v>
      </c>
      <c r="F252" s="334" t="s">
        <v>116</v>
      </c>
      <c r="G252" s="334" t="s">
        <v>7372</v>
      </c>
      <c r="I252" s="334">
        <v>2.0</v>
      </c>
      <c r="M252" s="344">
        <v>45812.26935185185</v>
      </c>
      <c r="N252" s="376">
        <v>1.0</v>
      </c>
    </row>
    <row r="253" ht="15.75" customHeight="1">
      <c r="A253" s="334" t="s">
        <v>7373</v>
      </c>
      <c r="B253" s="362">
        <v>45801.0</v>
      </c>
      <c r="C253" s="334" t="s">
        <v>9</v>
      </c>
      <c r="D253" s="334" t="s">
        <v>50</v>
      </c>
      <c r="E253" s="334" t="s">
        <v>460</v>
      </c>
      <c r="F253" s="334" t="s">
        <v>119</v>
      </c>
      <c r="G253" s="334" t="s">
        <v>7374</v>
      </c>
      <c r="I253" s="334">
        <v>-15.5</v>
      </c>
      <c r="M253" s="344">
        <v>45813.26621527778</v>
      </c>
      <c r="N253" s="376">
        <v>1.0</v>
      </c>
    </row>
    <row r="254" ht="15.75" customHeight="1">
      <c r="A254" s="334" t="s">
        <v>7375</v>
      </c>
      <c r="B254" s="362">
        <v>45801.0</v>
      </c>
      <c r="C254" s="334" t="s">
        <v>9</v>
      </c>
      <c r="D254" s="334" t="s">
        <v>50</v>
      </c>
      <c r="E254" s="334" t="s">
        <v>460</v>
      </c>
      <c r="F254" s="334" t="s">
        <v>122</v>
      </c>
      <c r="G254" s="334" t="s">
        <v>7376</v>
      </c>
      <c r="I254" s="334">
        <v>-15.5</v>
      </c>
      <c r="M254" s="344">
        <v>45813.26667824074</v>
      </c>
      <c r="N254" s="376">
        <v>1.0</v>
      </c>
    </row>
    <row r="255" ht="15.75" customHeight="1">
      <c r="A255" s="334" t="s">
        <v>7377</v>
      </c>
      <c r="B255" s="362">
        <v>45801.0</v>
      </c>
      <c r="C255" s="334" t="s">
        <v>9</v>
      </c>
      <c r="D255" s="334" t="s">
        <v>50</v>
      </c>
      <c r="E255" s="334" t="s">
        <v>460</v>
      </c>
      <c r="F255" s="334" t="s">
        <v>575</v>
      </c>
      <c r="G255" s="334" t="s">
        <v>7378</v>
      </c>
      <c r="I255" s="334">
        <v>2.0</v>
      </c>
      <c r="M255" s="344">
        <v>45813.26715277778</v>
      </c>
      <c r="N255" s="376">
        <v>1.0</v>
      </c>
    </row>
    <row r="256" ht="15.75" customHeight="1">
      <c r="A256" s="334" t="s">
        <v>7379</v>
      </c>
      <c r="B256" s="362">
        <v>45815.0</v>
      </c>
      <c r="C256" s="334" t="s">
        <v>13</v>
      </c>
      <c r="D256" s="334" t="s">
        <v>49</v>
      </c>
      <c r="E256" s="334" t="s">
        <v>467</v>
      </c>
      <c r="F256" s="334" t="s">
        <v>130</v>
      </c>
      <c r="G256" s="334" t="s">
        <v>7086</v>
      </c>
      <c r="I256" s="334">
        <v>-0.5</v>
      </c>
      <c r="M256" s="344">
        <v>45815.27516203704</v>
      </c>
      <c r="N256" s="376">
        <v>1.0</v>
      </c>
    </row>
    <row r="257" ht="15.75" customHeight="1">
      <c r="A257" s="334" t="s">
        <v>7380</v>
      </c>
      <c r="B257" s="362">
        <v>45820.0</v>
      </c>
      <c r="C257" s="334" t="s">
        <v>31</v>
      </c>
      <c r="D257" s="334" t="s">
        <v>64</v>
      </c>
      <c r="E257" s="334" t="s">
        <v>478</v>
      </c>
      <c r="F257" s="334" t="s">
        <v>1199</v>
      </c>
      <c r="G257" s="334" t="s">
        <v>7178</v>
      </c>
      <c r="I257" s="334">
        <v>1.0</v>
      </c>
      <c r="M257" s="344">
        <v>45820.27490740741</v>
      </c>
      <c r="N257" s="376">
        <v>1.0</v>
      </c>
    </row>
    <row r="258" ht="15.75" customHeight="1">
      <c r="A258" s="334" t="s">
        <v>7381</v>
      </c>
      <c r="B258" s="362">
        <v>45822.0</v>
      </c>
      <c r="C258" s="334" t="s">
        <v>11</v>
      </c>
      <c r="D258" s="334" t="s">
        <v>46</v>
      </c>
      <c r="E258" s="334" t="s">
        <v>488</v>
      </c>
      <c r="F258" s="334" t="s">
        <v>7382</v>
      </c>
      <c r="G258" s="334" t="s">
        <v>7383</v>
      </c>
      <c r="I258" s="334">
        <v>-0.5</v>
      </c>
      <c r="M258" s="344">
        <v>45821.74590277778</v>
      </c>
      <c r="N258" s="376">
        <v>1.0</v>
      </c>
    </row>
    <row r="259" ht="15.75" customHeight="1">
      <c r="A259" s="334" t="s">
        <v>7384</v>
      </c>
      <c r="B259" s="362">
        <v>45827.0</v>
      </c>
      <c r="C259" s="334" t="s">
        <v>7</v>
      </c>
      <c r="D259" s="334" t="s">
        <v>49</v>
      </c>
      <c r="E259" s="334" t="s">
        <v>455</v>
      </c>
      <c r="F259" s="334" t="s">
        <v>7041</v>
      </c>
      <c r="G259" s="334" t="s">
        <v>7097</v>
      </c>
      <c r="I259" s="334">
        <v>-0.5</v>
      </c>
      <c r="M259" s="344">
        <v>45826.72386574074</v>
      </c>
      <c r="N259" s="376">
        <v>1.0</v>
      </c>
    </row>
    <row r="260" ht="15.75" customHeight="1">
      <c r="A260" s="334" t="s">
        <v>7385</v>
      </c>
      <c r="B260" s="362">
        <v>45828.0</v>
      </c>
      <c r="C260" s="334" t="s">
        <v>6</v>
      </c>
      <c r="D260" s="334" t="s">
        <v>48</v>
      </c>
      <c r="E260" s="334" t="s">
        <v>454</v>
      </c>
      <c r="F260" s="334" t="s">
        <v>7071</v>
      </c>
      <c r="G260" s="334" t="s">
        <v>7072</v>
      </c>
      <c r="I260" s="334">
        <v>-0.5</v>
      </c>
      <c r="M260" s="344">
        <v>45828.26369212963</v>
      </c>
      <c r="N260" s="376">
        <v>1.0</v>
      </c>
    </row>
    <row r="261" ht="15.75" customHeight="1">
      <c r="A261" s="334" t="s">
        <v>7386</v>
      </c>
      <c r="B261" s="362">
        <v>45828.0</v>
      </c>
      <c r="C261" s="334" t="s">
        <v>9</v>
      </c>
      <c r="D261" s="334" t="s">
        <v>6991</v>
      </c>
      <c r="E261" s="334" t="s">
        <v>6992</v>
      </c>
      <c r="F261" s="334" t="s">
        <v>7387</v>
      </c>
      <c r="G261" s="334" t="s">
        <v>7388</v>
      </c>
      <c r="I261" s="334">
        <v>-0.5</v>
      </c>
      <c r="M261" s="344">
        <v>45828.2640625</v>
      </c>
      <c r="N261" s="376">
        <v>1.0</v>
      </c>
    </row>
    <row r="262" ht="15.75" customHeight="1">
      <c r="A262" s="334" t="s">
        <v>7389</v>
      </c>
      <c r="B262" s="362">
        <v>45828.0</v>
      </c>
      <c r="C262" s="334" t="s">
        <v>36</v>
      </c>
      <c r="D262" s="334" t="s">
        <v>1303</v>
      </c>
      <c r="E262" s="334" t="s">
        <v>469</v>
      </c>
      <c r="F262" s="334" t="s">
        <v>6996</v>
      </c>
      <c r="G262" s="334" t="s">
        <v>7002</v>
      </c>
      <c r="I262" s="334">
        <v>-0.5</v>
      </c>
      <c r="M262" s="344">
        <v>45828.26449074074</v>
      </c>
      <c r="N262" s="376">
        <v>1.0</v>
      </c>
    </row>
    <row r="263" ht="15.75" customHeight="1">
      <c r="A263" s="334" t="s">
        <v>7390</v>
      </c>
      <c r="B263" s="362">
        <v>45829.0</v>
      </c>
      <c r="C263" s="334" t="s">
        <v>5</v>
      </c>
      <c r="D263" s="334" t="s">
        <v>6919</v>
      </c>
      <c r="E263" s="334" t="s">
        <v>6920</v>
      </c>
      <c r="F263" s="334" t="s">
        <v>7391</v>
      </c>
      <c r="G263" s="334" t="s">
        <v>7392</v>
      </c>
      <c r="I263" s="334">
        <v>-0.5</v>
      </c>
      <c r="M263" s="344">
        <v>45828.751180555555</v>
      </c>
      <c r="N263" s="376">
        <v>1.0</v>
      </c>
    </row>
    <row r="264" ht="15.75" customHeight="1">
      <c r="A264" s="334" t="s">
        <v>7393</v>
      </c>
      <c r="B264" s="362">
        <v>45829.0</v>
      </c>
      <c r="C264" s="334" t="s">
        <v>5</v>
      </c>
      <c r="D264" s="334" t="s">
        <v>7394</v>
      </c>
      <c r="E264" s="334" t="s">
        <v>7395</v>
      </c>
      <c r="F264" s="334" t="s">
        <v>130</v>
      </c>
      <c r="G264" s="334" t="s">
        <v>7396</v>
      </c>
      <c r="I264" s="334">
        <v>-0.5</v>
      </c>
      <c r="M264" s="344">
        <v>45828.75146990741</v>
      </c>
      <c r="N264" s="376">
        <v>1.0</v>
      </c>
    </row>
    <row r="265" ht="15.75" customHeight="1">
      <c r="A265" s="334" t="s">
        <v>7397</v>
      </c>
      <c r="B265" s="362">
        <v>45829.0</v>
      </c>
      <c r="C265" s="334" t="s">
        <v>10</v>
      </c>
      <c r="D265" s="334" t="s">
        <v>47</v>
      </c>
      <c r="E265" s="334" t="s">
        <v>463</v>
      </c>
      <c r="F265" s="334" t="s">
        <v>7398</v>
      </c>
      <c r="G265" s="334" t="s">
        <v>7399</v>
      </c>
      <c r="I265" s="334">
        <v>-0.5</v>
      </c>
      <c r="M265" s="344">
        <v>45828.75166666666</v>
      </c>
      <c r="N265" s="376">
        <v>1.0</v>
      </c>
    </row>
    <row r="266" ht="15.75" customHeight="1">
      <c r="A266" s="334" t="s">
        <v>7400</v>
      </c>
      <c r="B266" s="362">
        <v>45829.0</v>
      </c>
      <c r="C266" s="334" t="s">
        <v>22</v>
      </c>
      <c r="D266" s="334" t="s">
        <v>47</v>
      </c>
      <c r="E266" s="334" t="s">
        <v>468</v>
      </c>
      <c r="F266" s="334" t="s">
        <v>7401</v>
      </c>
      <c r="G266" s="334" t="s">
        <v>7402</v>
      </c>
      <c r="I266" s="334">
        <v>-0.5</v>
      </c>
      <c r="M266" s="344">
        <v>45828.76084490741</v>
      </c>
      <c r="N266" s="376">
        <v>1.0</v>
      </c>
    </row>
    <row r="267" ht="15.75" customHeight="1">
      <c r="A267" s="334" t="s">
        <v>7403</v>
      </c>
      <c r="B267" s="362">
        <v>45829.0</v>
      </c>
      <c r="C267" s="334" t="s">
        <v>22</v>
      </c>
      <c r="D267" s="334" t="s">
        <v>47</v>
      </c>
      <c r="E267" s="334" t="s">
        <v>468</v>
      </c>
      <c r="F267" s="334" t="s">
        <v>577</v>
      </c>
      <c r="G267" s="334" t="s">
        <v>7404</v>
      </c>
      <c r="I267" s="334">
        <v>45.4</v>
      </c>
      <c r="M267" s="344">
        <v>45829.6353125</v>
      </c>
      <c r="N267" s="376">
        <v>1.0</v>
      </c>
    </row>
    <row r="268" ht="15.75" customHeight="1">
      <c r="A268" s="334" t="s">
        <v>7405</v>
      </c>
      <c r="B268" s="362">
        <v>45832.0</v>
      </c>
      <c r="C268" s="334" t="s">
        <v>31</v>
      </c>
      <c r="D268" s="334" t="s">
        <v>64</v>
      </c>
      <c r="E268" s="334" t="s">
        <v>478</v>
      </c>
      <c r="F268" s="334" t="s">
        <v>1199</v>
      </c>
      <c r="G268" s="334" t="s">
        <v>7178</v>
      </c>
      <c r="I268" s="334">
        <v>0.5</v>
      </c>
      <c r="M268" s="344">
        <v>45832.27476851852</v>
      </c>
      <c r="N268" s="376">
        <v>1.0</v>
      </c>
    </row>
    <row r="269" ht="15.75" customHeight="1">
      <c r="A269" s="334" t="s">
        <v>7406</v>
      </c>
      <c r="B269" s="362">
        <v>45832.0</v>
      </c>
      <c r="C269" s="334" t="s">
        <v>31</v>
      </c>
      <c r="D269" s="334" t="s">
        <v>64</v>
      </c>
      <c r="E269" s="334" t="s">
        <v>478</v>
      </c>
      <c r="F269" s="334" t="s">
        <v>130</v>
      </c>
      <c r="G269" s="334" t="s">
        <v>6971</v>
      </c>
      <c r="I269" s="334">
        <v>-0.8</v>
      </c>
      <c r="M269" s="344">
        <v>45832.27508101852</v>
      </c>
      <c r="N269" s="376">
        <v>1.0</v>
      </c>
    </row>
    <row r="270" ht="15.75" customHeight="1">
      <c r="A270" s="334" t="s">
        <v>7407</v>
      </c>
      <c r="B270" s="362">
        <v>45836.0</v>
      </c>
      <c r="C270" s="334" t="s">
        <v>536</v>
      </c>
      <c r="D270" s="334" t="s">
        <v>77</v>
      </c>
      <c r="E270" s="334" t="s">
        <v>496</v>
      </c>
      <c r="F270" s="334" t="s">
        <v>6988</v>
      </c>
      <c r="G270" s="334" t="s">
        <v>6989</v>
      </c>
      <c r="I270" s="334">
        <v>-0.5</v>
      </c>
      <c r="M270" s="344">
        <v>45836.269583333335</v>
      </c>
      <c r="N270" s="376">
        <v>1.0</v>
      </c>
    </row>
    <row r="271" ht="15.75" customHeight="1">
      <c r="A271" s="334" t="s">
        <v>7408</v>
      </c>
      <c r="B271" s="362">
        <v>45836.0</v>
      </c>
      <c r="C271" s="334" t="s">
        <v>19</v>
      </c>
      <c r="D271" s="334" t="s">
        <v>61</v>
      </c>
      <c r="E271" s="334" t="s">
        <v>506</v>
      </c>
      <c r="F271" s="334" t="s">
        <v>116</v>
      </c>
      <c r="G271" s="334" t="s">
        <v>6980</v>
      </c>
      <c r="I271" s="334">
        <v>-0.5</v>
      </c>
      <c r="M271" s="344">
        <v>45836.26988425926</v>
      </c>
      <c r="N271" s="376">
        <v>1.0</v>
      </c>
    </row>
    <row r="272" ht="15.75" customHeight="1">
      <c r="A272" s="334" t="s">
        <v>7409</v>
      </c>
      <c r="B272" s="362">
        <v>45836.0</v>
      </c>
      <c r="C272" s="334" t="s">
        <v>37</v>
      </c>
      <c r="D272" s="334" t="s">
        <v>48</v>
      </c>
      <c r="E272" s="334" t="s">
        <v>510</v>
      </c>
      <c r="F272" s="334" t="s">
        <v>7041</v>
      </c>
      <c r="G272" s="334" t="s">
        <v>7042</v>
      </c>
      <c r="I272" s="334">
        <v>-0.5</v>
      </c>
      <c r="M272" s="344">
        <v>45836.270150462966</v>
      </c>
      <c r="N272" s="376">
        <v>1.0</v>
      </c>
    </row>
    <row r="273" ht="15.75" customHeight="1">
      <c r="A273" s="334" t="s">
        <v>7410</v>
      </c>
      <c r="B273" s="362">
        <v>45836.0</v>
      </c>
      <c r="C273" s="334" t="s">
        <v>14</v>
      </c>
      <c r="D273" s="334" t="s">
        <v>48</v>
      </c>
      <c r="E273" s="334" t="s">
        <v>498</v>
      </c>
      <c r="F273" s="334" t="s">
        <v>7019</v>
      </c>
      <c r="G273" s="334" t="s">
        <v>7020</v>
      </c>
      <c r="I273" s="334">
        <v>-0.5</v>
      </c>
      <c r="M273" s="344">
        <v>45836.271875</v>
      </c>
      <c r="N273" s="376">
        <v>1.0</v>
      </c>
    </row>
    <row r="274" ht="15.75" customHeight="1">
      <c r="A274" s="334" t="s">
        <v>7411</v>
      </c>
      <c r="B274" s="362">
        <v>45836.0</v>
      </c>
      <c r="C274" s="334" t="s">
        <v>13</v>
      </c>
      <c r="D274" s="334" t="s">
        <v>49</v>
      </c>
      <c r="E274" s="334" t="s">
        <v>467</v>
      </c>
      <c r="F274" s="334" t="s">
        <v>130</v>
      </c>
      <c r="G274" s="334" t="s">
        <v>7086</v>
      </c>
      <c r="I274" s="334">
        <v>-0.5</v>
      </c>
      <c r="M274" s="344">
        <v>45836.27209490741</v>
      </c>
      <c r="N274" s="376">
        <v>1.0</v>
      </c>
    </row>
    <row r="275" ht="15.75" customHeight="1">
      <c r="A275" s="334" t="s">
        <v>7412</v>
      </c>
      <c r="B275" s="362">
        <v>45839.0</v>
      </c>
      <c r="C275" s="334" t="s">
        <v>14</v>
      </c>
      <c r="D275" s="334" t="s">
        <v>46</v>
      </c>
      <c r="E275" s="334" t="s">
        <v>497</v>
      </c>
      <c r="F275" s="334" t="s">
        <v>7016</v>
      </c>
      <c r="G275" s="334" t="s">
        <v>7017</v>
      </c>
      <c r="I275" s="334">
        <v>-0.5</v>
      </c>
      <c r="M275" s="344">
        <v>45839.26414351852</v>
      </c>
      <c r="N275" s="376">
        <v>1.0</v>
      </c>
    </row>
    <row r="276" ht="15.75" customHeight="1">
      <c r="A276" s="334" t="s">
        <v>7413</v>
      </c>
      <c r="B276" s="362">
        <v>45839.0</v>
      </c>
      <c r="C276" s="334" t="s">
        <v>15</v>
      </c>
      <c r="D276" s="334" t="s">
        <v>7157</v>
      </c>
      <c r="E276" s="334" t="s">
        <v>7158</v>
      </c>
      <c r="F276" s="334" t="s">
        <v>7159</v>
      </c>
      <c r="G276" s="334" t="s">
        <v>7160</v>
      </c>
      <c r="I276" s="334">
        <v>-0.5</v>
      </c>
      <c r="M276" s="344">
        <v>45839.26515046296</v>
      </c>
      <c r="N276" s="376">
        <v>1.0</v>
      </c>
    </row>
    <row r="277" ht="15.75" customHeight="1">
      <c r="A277" s="334" t="s">
        <v>7414</v>
      </c>
      <c r="B277" s="362">
        <v>45839.0</v>
      </c>
      <c r="C277" s="334" t="s">
        <v>537</v>
      </c>
      <c r="D277" s="334" t="s">
        <v>7162</v>
      </c>
      <c r="E277" s="334" t="s">
        <v>7163</v>
      </c>
      <c r="F277" s="334" t="s">
        <v>7415</v>
      </c>
      <c r="G277" s="334" t="s">
        <v>7416</v>
      </c>
      <c r="I277" s="334">
        <v>-0.5</v>
      </c>
      <c r="M277" s="344">
        <v>45839.26583333333</v>
      </c>
      <c r="N277" s="376">
        <v>1.0</v>
      </c>
    </row>
    <row r="278" ht="15.75" customHeight="1">
      <c r="A278" s="334" t="s">
        <v>7417</v>
      </c>
      <c r="B278" s="362">
        <v>45839.0</v>
      </c>
      <c r="C278" s="334" t="s">
        <v>12</v>
      </c>
      <c r="D278" s="334" t="s">
        <v>53</v>
      </c>
      <c r="E278" s="334" t="s">
        <v>491</v>
      </c>
      <c r="F278" s="334" t="s">
        <v>7418</v>
      </c>
      <c r="G278" s="334" t="s">
        <v>7419</v>
      </c>
      <c r="I278" s="334">
        <v>-0.5</v>
      </c>
      <c r="M278" s="344">
        <v>45839.266168981485</v>
      </c>
      <c r="N278" s="376">
        <v>1.0</v>
      </c>
    </row>
    <row r="279" ht="15.75" customHeight="1">
      <c r="A279" s="334" t="s">
        <v>7420</v>
      </c>
      <c r="B279" s="362">
        <v>45839.0</v>
      </c>
      <c r="C279" s="334" t="s">
        <v>19</v>
      </c>
      <c r="D279" s="334" t="s">
        <v>61</v>
      </c>
      <c r="E279" s="334" t="s">
        <v>506</v>
      </c>
      <c r="F279" s="334" t="s">
        <v>116</v>
      </c>
      <c r="G279" s="334" t="s">
        <v>6980</v>
      </c>
      <c r="I279" s="334">
        <v>-0.5</v>
      </c>
      <c r="M279" s="344">
        <v>45839.27039351852</v>
      </c>
      <c r="N279" s="376">
        <v>1.0</v>
      </c>
    </row>
    <row r="280" ht="15.75" customHeight="1">
      <c r="A280" s="334" t="s">
        <v>7421</v>
      </c>
      <c r="B280" s="362">
        <v>45840.0</v>
      </c>
      <c r="C280" s="334" t="s">
        <v>31</v>
      </c>
      <c r="D280" s="334" t="s">
        <v>64</v>
      </c>
      <c r="E280" s="334" t="s">
        <v>478</v>
      </c>
      <c r="F280" s="334" t="s">
        <v>1199</v>
      </c>
      <c r="G280" s="334" t="s">
        <v>7178</v>
      </c>
      <c r="I280" s="334">
        <v>-1.5</v>
      </c>
      <c r="M280" s="344">
        <v>45840.274305555555</v>
      </c>
      <c r="N280" s="376">
        <v>1.0</v>
      </c>
    </row>
    <row r="281" ht="15.75" customHeight="1">
      <c r="A281" s="334" t="s">
        <v>7422</v>
      </c>
      <c r="B281" s="362">
        <v>45840.0</v>
      </c>
      <c r="C281" s="334" t="s">
        <v>31</v>
      </c>
      <c r="D281" s="334" t="s">
        <v>64</v>
      </c>
      <c r="E281" s="334" t="s">
        <v>478</v>
      </c>
      <c r="F281" s="334" t="s">
        <v>7423</v>
      </c>
      <c r="G281" s="334" t="s">
        <v>7424</v>
      </c>
      <c r="I281" s="334">
        <v>-1.0</v>
      </c>
      <c r="M281" s="344">
        <v>45840.27462962963</v>
      </c>
      <c r="N281" s="376">
        <v>1.0</v>
      </c>
    </row>
    <row r="282" ht="15.75" customHeight="1">
      <c r="A282" s="334" t="s">
        <v>7425</v>
      </c>
      <c r="B282" s="362">
        <v>45841.0</v>
      </c>
      <c r="C282" s="334" t="s">
        <v>531</v>
      </c>
      <c r="D282" s="334" t="s">
        <v>77</v>
      </c>
      <c r="E282" s="334" t="s">
        <v>449</v>
      </c>
      <c r="F282" s="334" t="s">
        <v>6983</v>
      </c>
      <c r="G282" s="334" t="s">
        <v>7065</v>
      </c>
      <c r="I282" s="334">
        <v>-0.5</v>
      </c>
      <c r="M282" s="344">
        <v>45841.26855324074</v>
      </c>
      <c r="N282" s="376">
        <v>1.0</v>
      </c>
    </row>
    <row r="283" ht="15.75" customHeight="1">
      <c r="A283" s="334" t="s">
        <v>7426</v>
      </c>
      <c r="B283" s="362">
        <v>45841.0</v>
      </c>
      <c r="C283" s="334" t="s">
        <v>532</v>
      </c>
      <c r="D283" s="334" t="s">
        <v>77</v>
      </c>
      <c r="E283" s="334" t="s">
        <v>486</v>
      </c>
      <c r="F283" s="334" t="s">
        <v>7078</v>
      </c>
      <c r="G283" s="334" t="s">
        <v>7079</v>
      </c>
      <c r="I283" s="334">
        <v>-0.5</v>
      </c>
      <c r="M283" s="344">
        <v>45841.26892361111</v>
      </c>
      <c r="N283" s="376">
        <v>1.0</v>
      </c>
    </row>
    <row r="284" ht="15.75" customHeight="1">
      <c r="A284" s="334" t="s">
        <v>7427</v>
      </c>
      <c r="B284" s="362">
        <v>45841.0</v>
      </c>
      <c r="C284" s="334" t="s">
        <v>5</v>
      </c>
      <c r="D284" s="334" t="s">
        <v>6919</v>
      </c>
      <c r="E284" s="334" t="s">
        <v>6920</v>
      </c>
      <c r="F284" s="334" t="s">
        <v>7054</v>
      </c>
      <c r="G284" s="334" t="s">
        <v>7055</v>
      </c>
      <c r="I284" s="334">
        <v>-0.5</v>
      </c>
      <c r="M284" s="344">
        <v>45841.26960648148</v>
      </c>
      <c r="N284" s="376">
        <v>1.0</v>
      </c>
    </row>
    <row r="285" ht="15.75" customHeight="1">
      <c r="A285" s="334" t="s">
        <v>7428</v>
      </c>
      <c r="B285" s="362">
        <v>45841.0</v>
      </c>
      <c r="C285" s="334" t="s">
        <v>5</v>
      </c>
      <c r="D285" s="334" t="s">
        <v>6937</v>
      </c>
      <c r="E285" s="334" t="s">
        <v>6938</v>
      </c>
      <c r="F285" s="334" t="s">
        <v>130</v>
      </c>
      <c r="G285" s="334" t="s">
        <v>6939</v>
      </c>
      <c r="I285" s="334">
        <v>-0.5</v>
      </c>
      <c r="M285" s="344">
        <v>45841.26981481481</v>
      </c>
      <c r="N285" s="376">
        <v>1.0</v>
      </c>
    </row>
    <row r="286" ht="15.75" customHeight="1">
      <c r="A286" s="334" t="s">
        <v>7429</v>
      </c>
      <c r="B286" s="362">
        <v>45841.0</v>
      </c>
      <c r="C286" s="334" t="s">
        <v>6</v>
      </c>
      <c r="D286" s="334" t="s">
        <v>48</v>
      </c>
      <c r="E286" s="334" t="s">
        <v>454</v>
      </c>
      <c r="F286" s="334" t="s">
        <v>7071</v>
      </c>
      <c r="G286" s="334" t="s">
        <v>7072</v>
      </c>
      <c r="I286" s="334">
        <v>-0.5</v>
      </c>
      <c r="M286" s="344">
        <v>45841.27028935185</v>
      </c>
      <c r="N286" s="376">
        <v>1.0</v>
      </c>
    </row>
    <row r="287" ht="15.75" customHeight="1">
      <c r="A287" s="334" t="s">
        <v>7430</v>
      </c>
      <c r="B287" s="362">
        <v>45841.0</v>
      </c>
      <c r="C287" s="334" t="s">
        <v>7</v>
      </c>
      <c r="D287" s="334" t="s">
        <v>49</v>
      </c>
      <c r="E287" s="334" t="s">
        <v>455</v>
      </c>
      <c r="F287" s="334" t="s">
        <v>7041</v>
      </c>
      <c r="G287" s="334" t="s">
        <v>7097</v>
      </c>
      <c r="I287" s="334">
        <v>-0.5</v>
      </c>
      <c r="M287" s="344">
        <v>45841.27056712963</v>
      </c>
      <c r="N287" s="376">
        <v>1.0</v>
      </c>
    </row>
    <row r="288" ht="15.75" customHeight="1">
      <c r="A288" s="334" t="s">
        <v>7431</v>
      </c>
      <c r="B288" s="362">
        <v>45841.0</v>
      </c>
      <c r="C288" s="334" t="s">
        <v>9</v>
      </c>
      <c r="D288" s="334" t="s">
        <v>6991</v>
      </c>
      <c r="E288" s="334" t="s">
        <v>6992</v>
      </c>
      <c r="F288" s="334" t="s">
        <v>7296</v>
      </c>
      <c r="G288" s="334" t="s">
        <v>7297</v>
      </c>
      <c r="I288" s="334">
        <v>-0.5</v>
      </c>
      <c r="M288" s="344">
        <v>45841.27142361111</v>
      </c>
      <c r="N288" s="376">
        <v>1.0</v>
      </c>
    </row>
    <row r="289" ht="15.75" customHeight="1">
      <c r="A289" s="334" t="s">
        <v>7432</v>
      </c>
      <c r="B289" s="362">
        <v>45841.0</v>
      </c>
      <c r="C289" s="334" t="s">
        <v>10</v>
      </c>
      <c r="D289" s="334" t="s">
        <v>47</v>
      </c>
      <c r="E289" s="334" t="s">
        <v>463</v>
      </c>
      <c r="F289" s="334" t="s">
        <v>6996</v>
      </c>
      <c r="G289" s="334" t="s">
        <v>6997</v>
      </c>
      <c r="I289" s="334">
        <v>-0.5</v>
      </c>
      <c r="M289" s="344">
        <v>45841.27181712963</v>
      </c>
      <c r="N289" s="376">
        <v>1.0</v>
      </c>
    </row>
    <row r="290" ht="15.75" customHeight="1">
      <c r="A290" s="334" t="s">
        <v>7433</v>
      </c>
      <c r="B290" s="362">
        <v>45841.0</v>
      </c>
      <c r="C290" s="334" t="s">
        <v>36</v>
      </c>
      <c r="D290" s="334" t="s">
        <v>1303</v>
      </c>
      <c r="E290" s="334" t="s">
        <v>469</v>
      </c>
      <c r="F290" s="334" t="s">
        <v>6996</v>
      </c>
      <c r="G290" s="334" t="s">
        <v>7002</v>
      </c>
      <c r="I290" s="334">
        <v>-0.5</v>
      </c>
      <c r="M290" s="344">
        <v>45841.272199074076</v>
      </c>
      <c r="N290" s="376">
        <v>1.0</v>
      </c>
    </row>
    <row r="291" ht="15.75" customHeight="1">
      <c r="A291" s="334" t="s">
        <v>7434</v>
      </c>
      <c r="B291" s="362">
        <v>45841.0</v>
      </c>
      <c r="C291" s="334" t="s">
        <v>12</v>
      </c>
      <c r="D291" s="334" t="s">
        <v>50</v>
      </c>
      <c r="E291" s="334" t="s">
        <v>490</v>
      </c>
      <c r="F291" s="334" t="s">
        <v>7011</v>
      </c>
      <c r="G291" s="334" t="s">
        <v>7012</v>
      </c>
      <c r="I291" s="334">
        <v>-0.5</v>
      </c>
      <c r="M291" s="344">
        <v>45841.27305555555</v>
      </c>
      <c r="N291" s="376">
        <v>1.0</v>
      </c>
    </row>
    <row r="292" ht="15.75" customHeight="1">
      <c r="A292" s="334" t="s">
        <v>7435</v>
      </c>
      <c r="B292" s="362">
        <v>45841.0</v>
      </c>
      <c r="C292" s="334" t="s">
        <v>535</v>
      </c>
      <c r="D292" s="334" t="s">
        <v>77</v>
      </c>
      <c r="E292" s="334" t="s">
        <v>495</v>
      </c>
      <c r="F292" s="334" t="s">
        <v>6983</v>
      </c>
      <c r="G292" s="334" t="s">
        <v>6986</v>
      </c>
      <c r="I292" s="334">
        <v>-0.5</v>
      </c>
      <c r="M292" s="344">
        <v>45841.274513888886</v>
      </c>
      <c r="N292" s="376">
        <v>1.0</v>
      </c>
    </row>
    <row r="293" ht="15.75" customHeight="1">
      <c r="A293" s="334" t="s">
        <v>7436</v>
      </c>
      <c r="B293" s="362">
        <v>45841.0</v>
      </c>
      <c r="C293" s="334" t="s">
        <v>536</v>
      </c>
      <c r="D293" s="334" t="s">
        <v>77</v>
      </c>
      <c r="E293" s="334" t="s">
        <v>496</v>
      </c>
      <c r="F293" s="334" t="s">
        <v>6988</v>
      </c>
      <c r="G293" s="334" t="s">
        <v>6989</v>
      </c>
      <c r="I293" s="334">
        <v>-0.5</v>
      </c>
      <c r="M293" s="344">
        <v>45841.27475694445</v>
      </c>
      <c r="N293" s="376">
        <v>1.0</v>
      </c>
    </row>
    <row r="294" ht="15.75" customHeight="1">
      <c r="A294" s="334" t="s">
        <v>7437</v>
      </c>
      <c r="B294" s="362">
        <v>45841.0</v>
      </c>
      <c r="C294" s="334" t="s">
        <v>19</v>
      </c>
      <c r="D294" s="334" t="s">
        <v>61</v>
      </c>
      <c r="E294" s="334" t="s">
        <v>506</v>
      </c>
      <c r="F294" s="334" t="s">
        <v>116</v>
      </c>
      <c r="G294" s="334" t="s">
        <v>6980</v>
      </c>
      <c r="I294" s="334">
        <v>-0.5</v>
      </c>
      <c r="M294" s="344">
        <v>45841.27506944445</v>
      </c>
      <c r="N294" s="376">
        <v>1.0</v>
      </c>
    </row>
    <row r="295" ht="15.75" customHeight="1">
      <c r="A295" s="334" t="s">
        <v>7438</v>
      </c>
      <c r="B295" s="362">
        <v>45841.0</v>
      </c>
      <c r="C295" s="334" t="s">
        <v>37</v>
      </c>
      <c r="D295" s="334" t="s">
        <v>48</v>
      </c>
      <c r="E295" s="334" t="s">
        <v>510</v>
      </c>
      <c r="F295" s="334" t="s">
        <v>7041</v>
      </c>
      <c r="G295" s="334" t="s">
        <v>7042</v>
      </c>
      <c r="I295" s="334">
        <v>-0.5</v>
      </c>
      <c r="M295" s="344">
        <v>45841.275347222225</v>
      </c>
      <c r="N295" s="376">
        <v>1.0</v>
      </c>
    </row>
    <row r="296" ht="15.75" customHeight="1">
      <c r="A296" s="334" t="s">
        <v>7439</v>
      </c>
      <c r="B296" s="362">
        <v>45841.0</v>
      </c>
      <c r="C296" s="334" t="s">
        <v>35</v>
      </c>
      <c r="D296" s="334" t="s">
        <v>48</v>
      </c>
      <c r="E296" s="334" t="s">
        <v>509</v>
      </c>
      <c r="F296" s="334" t="s">
        <v>130</v>
      </c>
      <c r="G296" s="334" t="s">
        <v>6975</v>
      </c>
      <c r="I296" s="334">
        <v>-0.5</v>
      </c>
      <c r="M296" s="344">
        <v>45841.275625</v>
      </c>
      <c r="N296" s="376">
        <v>1.0</v>
      </c>
    </row>
    <row r="297" ht="15.75" customHeight="1">
      <c r="A297" s="334" t="s">
        <v>7440</v>
      </c>
      <c r="B297" s="362">
        <v>45841.0</v>
      </c>
      <c r="C297" s="334" t="s">
        <v>14</v>
      </c>
      <c r="D297" s="334" t="s">
        <v>48</v>
      </c>
      <c r="E297" s="334" t="s">
        <v>498</v>
      </c>
      <c r="F297" s="334" t="s">
        <v>7019</v>
      </c>
      <c r="G297" s="334" t="s">
        <v>7020</v>
      </c>
      <c r="I297" s="334">
        <v>-0.5</v>
      </c>
      <c r="M297" s="344">
        <v>45841.2758912037</v>
      </c>
      <c r="N297" s="376">
        <v>1.0</v>
      </c>
    </row>
    <row r="298" ht="15.75" customHeight="1">
      <c r="A298" s="334" t="s">
        <v>7441</v>
      </c>
      <c r="B298" s="362">
        <v>45841.0</v>
      </c>
      <c r="C298" s="334" t="s">
        <v>11</v>
      </c>
      <c r="D298" s="334" t="s">
        <v>46</v>
      </c>
      <c r="E298" s="334" t="s">
        <v>488</v>
      </c>
      <c r="F298" s="334" t="s">
        <v>7094</v>
      </c>
      <c r="G298" s="334" t="s">
        <v>7095</v>
      </c>
      <c r="I298" s="334">
        <v>-0.5</v>
      </c>
      <c r="M298" s="344">
        <v>45841.28766203704</v>
      </c>
      <c r="N298" s="376">
        <v>1.0</v>
      </c>
    </row>
    <row r="299" ht="15.75" customHeight="1">
      <c r="A299" s="334" t="s">
        <v>7442</v>
      </c>
      <c r="B299" s="362">
        <v>45841.0</v>
      </c>
      <c r="C299" s="334" t="s">
        <v>28</v>
      </c>
      <c r="D299" s="334" t="s">
        <v>52</v>
      </c>
      <c r="E299" s="334" t="s">
        <v>493</v>
      </c>
      <c r="F299" s="334" t="s">
        <v>7333</v>
      </c>
      <c r="G299" s="334" t="s">
        <v>7334</v>
      </c>
      <c r="I299" s="334">
        <v>-1.5</v>
      </c>
      <c r="M299" s="344">
        <v>45841.41780092593</v>
      </c>
      <c r="N299" s="376">
        <v>1.0</v>
      </c>
    </row>
    <row r="300" ht="15.75" customHeight="1">
      <c r="A300" s="334" t="s">
        <v>7443</v>
      </c>
      <c r="B300" s="362">
        <v>45841.0</v>
      </c>
      <c r="C300" s="334" t="s">
        <v>28</v>
      </c>
      <c r="D300" s="334" t="s">
        <v>52</v>
      </c>
      <c r="E300" s="334" t="s">
        <v>493</v>
      </c>
      <c r="F300" s="334" t="s">
        <v>6999</v>
      </c>
      <c r="G300" s="334" t="s">
        <v>7444</v>
      </c>
      <c r="I300" s="334">
        <v>-1.0</v>
      </c>
      <c r="M300" s="344">
        <v>45841.41849537037</v>
      </c>
      <c r="N300" s="376">
        <v>1.0</v>
      </c>
    </row>
    <row r="301" ht="15.75" customHeight="1">
      <c r="A301" s="334" t="s">
        <v>7445</v>
      </c>
      <c r="B301" s="362">
        <v>45841.0</v>
      </c>
      <c r="C301" s="334" t="s">
        <v>28</v>
      </c>
      <c r="D301" s="334" t="s">
        <v>52</v>
      </c>
      <c r="E301" s="334" t="s">
        <v>493</v>
      </c>
      <c r="F301" s="334" t="s">
        <v>7446</v>
      </c>
      <c r="G301" s="334" t="s">
        <v>7447</v>
      </c>
      <c r="I301" s="334">
        <v>-0.5</v>
      </c>
      <c r="M301" s="344">
        <v>45841.418900462966</v>
      </c>
      <c r="N301" s="376">
        <v>1.0</v>
      </c>
    </row>
    <row r="302" ht="15.75" customHeight="1">
      <c r="A302" s="334" t="s">
        <v>7448</v>
      </c>
      <c r="B302" s="362">
        <v>45839.0</v>
      </c>
      <c r="C302" s="334" t="s">
        <v>28</v>
      </c>
      <c r="D302" s="334" t="s">
        <v>52</v>
      </c>
      <c r="E302" s="334" t="s">
        <v>493</v>
      </c>
      <c r="F302" s="334" t="s">
        <v>111</v>
      </c>
      <c r="G302" s="334" t="s">
        <v>7449</v>
      </c>
      <c r="I302" s="334">
        <v>-0.5</v>
      </c>
      <c r="M302" s="344">
        <v>45841.59855324074</v>
      </c>
      <c r="N302" s="376">
        <v>1.0</v>
      </c>
    </row>
    <row r="303" ht="15.75" customHeight="1">
      <c r="A303" s="334" t="s">
        <v>7450</v>
      </c>
      <c r="B303" s="362">
        <v>45842.0</v>
      </c>
      <c r="C303" s="334" t="s">
        <v>12</v>
      </c>
      <c r="D303" s="334" t="s">
        <v>53</v>
      </c>
      <c r="E303" s="334" t="s">
        <v>491</v>
      </c>
      <c r="F303" s="334" t="s">
        <v>7262</v>
      </c>
      <c r="G303" s="334" t="s">
        <v>7263</v>
      </c>
      <c r="I303" s="334">
        <v>-0.5</v>
      </c>
      <c r="M303" s="344">
        <v>45842.264710648145</v>
      </c>
      <c r="N303" s="376">
        <v>1.0</v>
      </c>
    </row>
    <row r="304" ht="15.75" customHeight="1">
      <c r="A304" s="334" t="s">
        <v>7451</v>
      </c>
      <c r="B304" s="362">
        <v>45842.0</v>
      </c>
      <c r="C304" s="334" t="s">
        <v>14</v>
      </c>
      <c r="D304" s="334" t="s">
        <v>46</v>
      </c>
      <c r="E304" s="334" t="s">
        <v>497</v>
      </c>
      <c r="F304" s="334" t="s">
        <v>7259</v>
      </c>
      <c r="G304" s="334" t="s">
        <v>7260</v>
      </c>
      <c r="I304" s="334">
        <v>-0.5</v>
      </c>
      <c r="M304" s="344">
        <v>45842.2656712963</v>
      </c>
      <c r="N304" s="376">
        <v>1.0</v>
      </c>
    </row>
    <row r="305" ht="15.75" customHeight="1">
      <c r="A305" s="334" t="s">
        <v>7452</v>
      </c>
      <c r="B305" s="362">
        <v>45842.0</v>
      </c>
      <c r="C305" s="334" t="s">
        <v>15</v>
      </c>
      <c r="D305" s="334" t="s">
        <v>7157</v>
      </c>
      <c r="E305" s="334" t="s">
        <v>7158</v>
      </c>
      <c r="F305" s="334" t="s">
        <v>7159</v>
      </c>
      <c r="G305" s="334" t="s">
        <v>7160</v>
      </c>
      <c r="I305" s="334">
        <v>-0.5</v>
      </c>
      <c r="M305" s="344">
        <v>45842.26590277778</v>
      </c>
      <c r="N305" s="376">
        <v>1.0</v>
      </c>
    </row>
    <row r="306" ht="15.75" customHeight="1">
      <c r="A306" s="334" t="s">
        <v>7453</v>
      </c>
      <c r="B306" s="362">
        <v>45842.0</v>
      </c>
      <c r="C306" s="334" t="s">
        <v>537</v>
      </c>
      <c r="D306" s="334" t="s">
        <v>7162</v>
      </c>
      <c r="E306" s="334" t="s">
        <v>7163</v>
      </c>
      <c r="F306" s="334" t="s">
        <v>7164</v>
      </c>
      <c r="G306" s="334" t="s">
        <v>7165</v>
      </c>
      <c r="I306" s="334">
        <v>-0.5</v>
      </c>
      <c r="M306" s="344">
        <v>45842.26635416667</v>
      </c>
      <c r="N306" s="376">
        <v>1.0</v>
      </c>
    </row>
    <row r="307" ht="15.75" customHeight="1">
      <c r="A307" s="334" t="s">
        <v>7454</v>
      </c>
      <c r="B307" s="362">
        <v>45842.0</v>
      </c>
      <c r="C307" s="334" t="s">
        <v>17</v>
      </c>
      <c r="D307" s="334" t="s">
        <v>563</v>
      </c>
      <c r="E307" s="334" t="s">
        <v>508</v>
      </c>
      <c r="F307" s="334" t="s">
        <v>575</v>
      </c>
      <c r="G307" s="334" t="s">
        <v>7330</v>
      </c>
      <c r="I307" s="334">
        <v>-1.0</v>
      </c>
      <c r="M307" s="344">
        <v>45842.64241898148</v>
      </c>
      <c r="N307" s="376">
        <v>1.0</v>
      </c>
    </row>
    <row r="308" ht="15.75" customHeight="1">
      <c r="A308" s="334" t="s">
        <v>7455</v>
      </c>
      <c r="B308" s="362">
        <v>45846.0</v>
      </c>
      <c r="C308" s="334" t="s">
        <v>28</v>
      </c>
      <c r="D308" s="334" t="s">
        <v>52</v>
      </c>
      <c r="E308" s="334" t="s">
        <v>493</v>
      </c>
      <c r="F308" s="334" t="s">
        <v>111</v>
      </c>
      <c r="G308" s="334" t="s">
        <v>7449</v>
      </c>
      <c r="I308" s="334">
        <v>-0.5</v>
      </c>
      <c r="M308" s="344">
        <v>45849.467881944445</v>
      </c>
      <c r="N308" s="376">
        <v>1.0</v>
      </c>
    </row>
    <row r="309" ht="15.75" customHeight="1">
      <c r="A309" s="334" t="s">
        <v>7456</v>
      </c>
      <c r="B309" s="362">
        <v>45846.0</v>
      </c>
      <c r="C309" s="334" t="s">
        <v>28</v>
      </c>
      <c r="D309" s="334" t="s">
        <v>52</v>
      </c>
      <c r="E309" s="334" t="s">
        <v>493</v>
      </c>
      <c r="F309" s="334" t="s">
        <v>122</v>
      </c>
      <c r="G309" s="334" t="s">
        <v>7457</v>
      </c>
      <c r="I309" s="334">
        <v>0.2</v>
      </c>
      <c r="M309" s="344">
        <v>45849.46864583333</v>
      </c>
      <c r="N309" s="376">
        <v>1.0</v>
      </c>
    </row>
    <row r="310" ht="15.75" customHeight="1">
      <c r="A310" s="334" t="s">
        <v>7458</v>
      </c>
      <c r="B310" s="362">
        <v>45846.0</v>
      </c>
      <c r="C310" s="334" t="s">
        <v>28</v>
      </c>
      <c r="D310" s="334" t="s">
        <v>52</v>
      </c>
      <c r="E310" s="334" t="s">
        <v>493</v>
      </c>
      <c r="F310" s="334" t="s">
        <v>573</v>
      </c>
      <c r="G310" s="334" t="s">
        <v>7459</v>
      </c>
      <c r="I310" s="334">
        <v>-8.9</v>
      </c>
      <c r="M310" s="344">
        <v>45849.46938657408</v>
      </c>
      <c r="N310" s="376">
        <v>1.0</v>
      </c>
    </row>
    <row r="311" ht="15.75" customHeight="1">
      <c r="A311" s="334" t="s">
        <v>7460</v>
      </c>
      <c r="B311" s="362">
        <v>45846.0</v>
      </c>
      <c r="C311" s="334" t="s">
        <v>10</v>
      </c>
      <c r="D311" s="334" t="s">
        <v>46</v>
      </c>
      <c r="E311" s="334" t="s">
        <v>464</v>
      </c>
      <c r="F311" s="334" t="s">
        <v>149</v>
      </c>
      <c r="G311" s="334" t="s">
        <v>7461</v>
      </c>
      <c r="I311" s="334">
        <v>42.8</v>
      </c>
      <c r="M311" s="344">
        <v>45852.81909722222</v>
      </c>
      <c r="N311" s="376">
        <v>1.0</v>
      </c>
    </row>
    <row r="312" ht="15.75" customHeight="1">
      <c r="A312" s="334" t="s">
        <v>7462</v>
      </c>
      <c r="B312" s="362">
        <v>45845.0</v>
      </c>
      <c r="C312" s="334" t="s">
        <v>533</v>
      </c>
      <c r="D312" s="334" t="s">
        <v>77</v>
      </c>
      <c r="E312" s="334" t="s">
        <v>487</v>
      </c>
      <c r="F312" s="334" t="s">
        <v>145</v>
      </c>
      <c r="G312" s="334" t="s">
        <v>7463</v>
      </c>
      <c r="I312" s="334">
        <v>42.5</v>
      </c>
      <c r="M312" s="344">
        <v>45852.82105324074</v>
      </c>
      <c r="N312" s="376">
        <v>1.0</v>
      </c>
    </row>
    <row r="313" ht="15.75" customHeight="1">
      <c r="A313" s="334" t="s">
        <v>7464</v>
      </c>
      <c r="B313" s="362">
        <v>45861.0</v>
      </c>
      <c r="C313" s="334" t="s">
        <v>12</v>
      </c>
      <c r="D313" s="334" t="s">
        <v>50</v>
      </c>
      <c r="E313" s="334" t="s">
        <v>490</v>
      </c>
      <c r="F313" s="334" t="s">
        <v>7011</v>
      </c>
      <c r="G313" s="334" t="s">
        <v>7012</v>
      </c>
      <c r="I313" s="334">
        <v>-0.5</v>
      </c>
      <c r="M313" s="344">
        <v>45863.280335648145</v>
      </c>
      <c r="N313" s="376">
        <v>1.0</v>
      </c>
    </row>
    <row r="314" ht="15.75" customHeight="1">
      <c r="A314" s="334" t="s">
        <v>7465</v>
      </c>
      <c r="B314" s="362">
        <v>45861.0</v>
      </c>
      <c r="C314" s="334" t="s">
        <v>35</v>
      </c>
      <c r="D314" s="334" t="s">
        <v>48</v>
      </c>
      <c r="E314" s="334" t="s">
        <v>509</v>
      </c>
      <c r="F314" s="334" t="s">
        <v>130</v>
      </c>
      <c r="G314" s="334" t="s">
        <v>6975</v>
      </c>
      <c r="I314" s="334">
        <v>-0.5</v>
      </c>
      <c r="M314" s="344">
        <v>45863.28057870371</v>
      </c>
      <c r="N314" s="376">
        <v>1.0</v>
      </c>
    </row>
    <row r="315" ht="15.75" customHeight="1">
      <c r="A315" s="334" t="s">
        <v>7466</v>
      </c>
      <c r="B315" s="362">
        <v>45861.0</v>
      </c>
      <c r="C315" s="334" t="s">
        <v>37</v>
      </c>
      <c r="D315" s="334" t="s">
        <v>48</v>
      </c>
      <c r="E315" s="334" t="s">
        <v>510</v>
      </c>
      <c r="F315" s="334" t="s">
        <v>7041</v>
      </c>
      <c r="G315" s="334" t="s">
        <v>7042</v>
      </c>
      <c r="I315" s="334">
        <v>-0.5</v>
      </c>
      <c r="M315" s="344">
        <v>45863.28089120371</v>
      </c>
      <c r="N315" s="376">
        <v>1.0</v>
      </c>
    </row>
    <row r="316" ht="15.75" customHeight="1">
      <c r="A316" s="334" t="s">
        <v>7467</v>
      </c>
      <c r="B316" s="362">
        <v>45861.0</v>
      </c>
      <c r="C316" s="334" t="s">
        <v>29</v>
      </c>
      <c r="D316" s="334" t="s">
        <v>63</v>
      </c>
      <c r="E316" s="334" t="s">
        <v>472</v>
      </c>
      <c r="F316" s="334" t="s">
        <v>7344</v>
      </c>
      <c r="G316" s="334" t="s">
        <v>7345</v>
      </c>
      <c r="I316" s="334">
        <v>-0.5</v>
      </c>
      <c r="M316" s="344">
        <v>45863.282546296294</v>
      </c>
      <c r="N316" s="376">
        <v>1.0</v>
      </c>
    </row>
    <row r="317" ht="15.75" customHeight="1">
      <c r="A317" s="334" t="s">
        <v>7468</v>
      </c>
      <c r="B317" s="362">
        <v>45861.0</v>
      </c>
      <c r="C317" s="334" t="s">
        <v>29</v>
      </c>
      <c r="D317" s="334" t="s">
        <v>63</v>
      </c>
      <c r="E317" s="334" t="s">
        <v>472</v>
      </c>
      <c r="F317" s="334" t="s">
        <v>116</v>
      </c>
      <c r="G317" s="334" t="s">
        <v>7326</v>
      </c>
      <c r="I317" s="334">
        <v>-2.0</v>
      </c>
      <c r="M317" s="344">
        <v>45863.283159722225</v>
      </c>
      <c r="N317" s="376">
        <v>1.0</v>
      </c>
    </row>
    <row r="318" ht="15.75" customHeight="1">
      <c r="A318" s="334" t="s">
        <v>7469</v>
      </c>
      <c r="B318" s="362">
        <v>45864.0</v>
      </c>
      <c r="C318" s="334" t="s">
        <v>11</v>
      </c>
      <c r="D318" s="334" t="s">
        <v>46</v>
      </c>
      <c r="E318" s="334" t="s">
        <v>488</v>
      </c>
      <c r="F318" s="334" t="s">
        <v>7094</v>
      </c>
      <c r="G318" s="334" t="s">
        <v>7095</v>
      </c>
      <c r="I318" s="334">
        <v>-0.5</v>
      </c>
      <c r="M318" s="344">
        <v>45863.71943287037</v>
      </c>
      <c r="N318" s="376">
        <v>1.0</v>
      </c>
    </row>
    <row r="319" ht="15.75" customHeight="1">
      <c r="A319" s="334" t="s">
        <v>7470</v>
      </c>
      <c r="B319" s="362">
        <v>45864.0</v>
      </c>
      <c r="C319" s="334" t="s">
        <v>533</v>
      </c>
      <c r="D319" s="334" t="s">
        <v>77</v>
      </c>
      <c r="E319" s="334" t="s">
        <v>487</v>
      </c>
      <c r="F319" s="334" t="s">
        <v>145</v>
      </c>
      <c r="G319" s="334" t="s">
        <v>7463</v>
      </c>
      <c r="I319" s="334">
        <v>-0.5</v>
      </c>
      <c r="M319" s="344">
        <v>45871.288773148146</v>
      </c>
      <c r="N319" s="376">
        <v>1.0</v>
      </c>
    </row>
    <row r="320" ht="15.75" customHeight="1">
      <c r="A320" s="334" t="s">
        <v>7471</v>
      </c>
      <c r="B320" s="362">
        <v>45889.0</v>
      </c>
      <c r="C320" s="334" t="s">
        <v>531</v>
      </c>
      <c r="D320" s="334" t="s">
        <v>77</v>
      </c>
      <c r="E320" s="334" t="s">
        <v>449</v>
      </c>
      <c r="F320" s="334" t="s">
        <v>7472</v>
      </c>
      <c r="G320" s="334" t="s">
        <v>7473</v>
      </c>
      <c r="I320" s="334">
        <v>-0.5</v>
      </c>
      <c r="M320" s="344">
        <v>45889.25015046296</v>
      </c>
      <c r="N320" s="376">
        <v>1.0</v>
      </c>
    </row>
    <row r="321" ht="15.75" customHeight="1">
      <c r="A321" s="334" t="s">
        <v>7474</v>
      </c>
      <c r="B321" s="362">
        <v>45891.0</v>
      </c>
      <c r="C321" s="334" t="s">
        <v>532</v>
      </c>
      <c r="D321" s="334" t="s">
        <v>77</v>
      </c>
      <c r="E321" s="334" t="s">
        <v>486</v>
      </c>
      <c r="F321" s="334" t="s">
        <v>7078</v>
      </c>
      <c r="G321" s="334" t="s">
        <v>7079</v>
      </c>
      <c r="I321" s="334">
        <v>-0.5</v>
      </c>
      <c r="M321" s="344">
        <v>45890.74146990741</v>
      </c>
      <c r="N321" s="376">
        <v>1.0</v>
      </c>
    </row>
    <row r="322" ht="15.75" customHeight="1">
      <c r="A322" s="334" t="s">
        <v>7475</v>
      </c>
      <c r="B322" s="362">
        <v>45891.0</v>
      </c>
      <c r="C322" s="334" t="s">
        <v>12</v>
      </c>
      <c r="D322" s="334" t="s">
        <v>50</v>
      </c>
      <c r="E322" s="334" t="s">
        <v>490</v>
      </c>
      <c r="F322" s="334" t="s">
        <v>7011</v>
      </c>
      <c r="G322" s="334" t="s">
        <v>7012</v>
      </c>
      <c r="I322" s="334">
        <v>-0.5</v>
      </c>
      <c r="M322" s="344">
        <v>45890.74302083333</v>
      </c>
      <c r="N322" s="376">
        <v>1.0</v>
      </c>
    </row>
    <row r="323" ht="15.75" customHeight="1">
      <c r="A323" s="334" t="s">
        <v>7476</v>
      </c>
      <c r="B323" s="362">
        <v>45896.0</v>
      </c>
      <c r="C323" s="334" t="s">
        <v>531</v>
      </c>
      <c r="D323" s="334" t="s">
        <v>77</v>
      </c>
      <c r="E323" s="334" t="s">
        <v>449</v>
      </c>
      <c r="F323" s="334" t="s">
        <v>6983</v>
      </c>
      <c r="G323" s="334" t="s">
        <v>7065</v>
      </c>
      <c r="I323" s="334">
        <v>-0.5</v>
      </c>
      <c r="M323" s="344">
        <v>45896.26832175926</v>
      </c>
      <c r="N323" s="376">
        <v>1.0</v>
      </c>
    </row>
    <row r="324" ht="15.75" customHeight="1">
      <c r="A324" s="334" t="s">
        <v>7477</v>
      </c>
      <c r="B324" s="362">
        <v>45896.0</v>
      </c>
      <c r="C324" s="334" t="s">
        <v>532</v>
      </c>
      <c r="D324" s="334" t="s">
        <v>77</v>
      </c>
      <c r="E324" s="334" t="s">
        <v>486</v>
      </c>
      <c r="F324" s="334" t="s">
        <v>7078</v>
      </c>
      <c r="G324" s="334" t="s">
        <v>7079</v>
      </c>
      <c r="I324" s="334">
        <v>-0.5</v>
      </c>
      <c r="M324" s="344">
        <v>45896.26880787037</v>
      </c>
      <c r="N324" s="376">
        <v>1.0</v>
      </c>
    </row>
    <row r="325" ht="15.75" customHeight="1">
      <c r="A325" s="334" t="s">
        <v>7478</v>
      </c>
      <c r="B325" s="362">
        <v>45896.0</v>
      </c>
      <c r="C325" s="334" t="s">
        <v>5</v>
      </c>
      <c r="D325" s="334" t="s">
        <v>6919</v>
      </c>
      <c r="E325" s="334" t="s">
        <v>6920</v>
      </c>
      <c r="F325" s="334" t="s">
        <v>7054</v>
      </c>
      <c r="G325" s="334" t="s">
        <v>7055</v>
      </c>
      <c r="I325" s="334">
        <v>-0.5</v>
      </c>
      <c r="M325" s="344">
        <v>45896.26903935185</v>
      </c>
      <c r="N325" s="376">
        <v>1.0</v>
      </c>
    </row>
    <row r="326" ht="15.75" customHeight="1">
      <c r="A326" s="334" t="s">
        <v>7479</v>
      </c>
      <c r="B326" s="362">
        <v>45896.0</v>
      </c>
      <c r="C326" s="334" t="s">
        <v>5</v>
      </c>
      <c r="D326" s="334" t="s">
        <v>6937</v>
      </c>
      <c r="E326" s="334" t="s">
        <v>6938</v>
      </c>
      <c r="F326" s="334" t="s">
        <v>130</v>
      </c>
      <c r="G326" s="334" t="s">
        <v>6939</v>
      </c>
      <c r="I326" s="334">
        <v>-0.5</v>
      </c>
      <c r="M326" s="344">
        <v>45896.26950231481</v>
      </c>
      <c r="N326" s="376">
        <v>1.0</v>
      </c>
    </row>
    <row r="327" ht="15.75" customHeight="1">
      <c r="A327" s="334" t="s">
        <v>7480</v>
      </c>
      <c r="B327" s="362">
        <v>45896.0</v>
      </c>
      <c r="C327" s="334" t="s">
        <v>6</v>
      </c>
      <c r="D327" s="334" t="s">
        <v>48</v>
      </c>
      <c r="E327" s="334" t="s">
        <v>454</v>
      </c>
      <c r="F327" s="334" t="s">
        <v>7071</v>
      </c>
      <c r="G327" s="334" t="s">
        <v>7072</v>
      </c>
      <c r="I327" s="334">
        <v>-0.5</v>
      </c>
      <c r="M327" s="344">
        <v>45896.26971064815</v>
      </c>
      <c r="N327" s="376">
        <v>1.0</v>
      </c>
    </row>
    <row r="328" ht="15.75" customHeight="1">
      <c r="A328" s="334" t="s">
        <v>7481</v>
      </c>
      <c r="B328" s="362">
        <v>45896.0</v>
      </c>
      <c r="C328" s="334" t="s">
        <v>9</v>
      </c>
      <c r="D328" s="334" t="s">
        <v>6991</v>
      </c>
      <c r="E328" s="334" t="s">
        <v>6992</v>
      </c>
      <c r="F328" s="334" t="s">
        <v>7296</v>
      </c>
      <c r="G328" s="334" t="s">
        <v>7297</v>
      </c>
      <c r="I328" s="334">
        <v>-1.0</v>
      </c>
      <c r="M328" s="344">
        <v>45896.27023148148</v>
      </c>
      <c r="N328" s="376">
        <v>1.0</v>
      </c>
    </row>
    <row r="329" ht="15.75" customHeight="1">
      <c r="A329" s="334" t="s">
        <v>7482</v>
      </c>
      <c r="B329" s="362">
        <v>45896.0</v>
      </c>
      <c r="C329" s="334" t="s">
        <v>10</v>
      </c>
      <c r="D329" s="334" t="s">
        <v>47</v>
      </c>
      <c r="E329" s="334" t="s">
        <v>463</v>
      </c>
      <c r="F329" s="334" t="s">
        <v>6996</v>
      </c>
      <c r="G329" s="334" t="s">
        <v>6997</v>
      </c>
      <c r="I329" s="334">
        <v>-0.5</v>
      </c>
      <c r="M329" s="344">
        <v>45896.27081018518</v>
      </c>
      <c r="N329" s="376">
        <v>1.0</v>
      </c>
    </row>
    <row r="330" ht="15.75" customHeight="1">
      <c r="A330" s="334" t="s">
        <v>7483</v>
      </c>
      <c r="B330" s="362">
        <v>45896.0</v>
      </c>
      <c r="C330" s="334" t="s">
        <v>10</v>
      </c>
      <c r="D330" s="334" t="s">
        <v>46</v>
      </c>
      <c r="E330" s="334" t="s">
        <v>464</v>
      </c>
      <c r="F330" s="334" t="s">
        <v>7484</v>
      </c>
      <c r="G330" s="334" t="s">
        <v>7485</v>
      </c>
      <c r="I330" s="334">
        <v>-0.5</v>
      </c>
      <c r="M330" s="344">
        <v>45896.27137731481</v>
      </c>
      <c r="N330" s="376">
        <v>1.0</v>
      </c>
    </row>
    <row r="331" ht="15.75" customHeight="1">
      <c r="A331" s="334" t="s">
        <v>7486</v>
      </c>
      <c r="B331" s="362">
        <v>45896.0</v>
      </c>
      <c r="C331" s="334" t="s">
        <v>22</v>
      </c>
      <c r="D331" s="334" t="s">
        <v>47</v>
      </c>
      <c r="E331" s="334" t="s">
        <v>468</v>
      </c>
      <c r="F331" s="334" t="s">
        <v>7487</v>
      </c>
      <c r="G331" s="334" t="s">
        <v>7488</v>
      </c>
      <c r="I331" s="334">
        <v>-0.5</v>
      </c>
      <c r="M331" s="344">
        <v>45896.27166666667</v>
      </c>
      <c r="N331" s="376">
        <v>1.0</v>
      </c>
    </row>
    <row r="332" ht="15.75" customHeight="1">
      <c r="A332" s="334" t="s">
        <v>7489</v>
      </c>
      <c r="B332" s="362">
        <v>45896.0</v>
      </c>
      <c r="C332" s="334" t="s">
        <v>36</v>
      </c>
      <c r="D332" s="334" t="s">
        <v>1303</v>
      </c>
      <c r="E332" s="334" t="s">
        <v>469</v>
      </c>
      <c r="F332" s="334" t="s">
        <v>6996</v>
      </c>
      <c r="G332" s="334" t="s">
        <v>7002</v>
      </c>
      <c r="I332" s="334">
        <v>-0.5</v>
      </c>
      <c r="M332" s="344">
        <v>45896.27201388889</v>
      </c>
      <c r="N332" s="376">
        <v>1.0</v>
      </c>
    </row>
    <row r="333" ht="15.75" customHeight="1">
      <c r="A333" s="334" t="s">
        <v>7490</v>
      </c>
      <c r="B333" s="362">
        <v>45895.0</v>
      </c>
      <c r="C333" s="334" t="s">
        <v>28</v>
      </c>
      <c r="D333" s="334" t="s">
        <v>52</v>
      </c>
      <c r="E333" s="334" t="s">
        <v>493</v>
      </c>
      <c r="F333" s="334" t="s">
        <v>7008</v>
      </c>
      <c r="G333" s="334" t="s">
        <v>7009</v>
      </c>
      <c r="I333" s="334">
        <v>-2.0</v>
      </c>
      <c r="M333" s="344">
        <v>45896.27334490741</v>
      </c>
      <c r="N333" s="376">
        <v>1.0</v>
      </c>
    </row>
    <row r="334" ht="15.75" customHeight="1">
      <c r="A334" s="334" t="s">
        <v>7491</v>
      </c>
      <c r="B334" s="362">
        <v>45896.0</v>
      </c>
      <c r="C334" s="334" t="s">
        <v>28</v>
      </c>
      <c r="D334" s="334" t="s">
        <v>52</v>
      </c>
      <c r="E334" s="334" t="s">
        <v>493</v>
      </c>
      <c r="F334" s="334" t="s">
        <v>7008</v>
      </c>
      <c r="G334" s="334" t="s">
        <v>7009</v>
      </c>
      <c r="I334" s="334">
        <v>-0.5</v>
      </c>
      <c r="M334" s="344">
        <v>45896.273622685185</v>
      </c>
      <c r="N334" s="376">
        <v>1.0</v>
      </c>
    </row>
    <row r="335" ht="15.75" customHeight="1">
      <c r="A335" s="334" t="s">
        <v>7492</v>
      </c>
      <c r="B335" s="362">
        <v>45896.0</v>
      </c>
      <c r="C335" s="334" t="s">
        <v>28</v>
      </c>
      <c r="D335" s="334" t="s">
        <v>52</v>
      </c>
      <c r="E335" s="334" t="s">
        <v>493</v>
      </c>
      <c r="F335" s="334" t="s">
        <v>7008</v>
      </c>
      <c r="G335" s="334" t="s">
        <v>7009</v>
      </c>
      <c r="I335" s="334">
        <v>-0.5</v>
      </c>
      <c r="M335" s="344">
        <v>45896.342685185184</v>
      </c>
      <c r="N335" s="376">
        <v>1.0</v>
      </c>
    </row>
    <row r="336" ht="15.75" customHeight="1">
      <c r="A336" s="334" t="s">
        <v>7493</v>
      </c>
      <c r="B336" s="362">
        <v>45899.0</v>
      </c>
      <c r="C336" s="334" t="s">
        <v>13</v>
      </c>
      <c r="D336" s="334" t="s">
        <v>49</v>
      </c>
      <c r="E336" s="334" t="s">
        <v>467</v>
      </c>
      <c r="F336" s="334" t="s">
        <v>130</v>
      </c>
      <c r="G336" s="334" t="s">
        <v>7086</v>
      </c>
      <c r="I336" s="334">
        <v>-0.5</v>
      </c>
      <c r="M336" s="344">
        <v>45899.28099537037</v>
      </c>
      <c r="N336" s="376">
        <v>1.0</v>
      </c>
    </row>
    <row r="337" ht="15.75" customHeight="1">
      <c r="A337" s="334" t="s">
        <v>7494</v>
      </c>
      <c r="B337" s="362">
        <v>45903.0</v>
      </c>
      <c r="C337" s="334" t="s">
        <v>10</v>
      </c>
      <c r="D337" s="334" t="s">
        <v>47</v>
      </c>
      <c r="E337" s="334" t="s">
        <v>463</v>
      </c>
      <c r="F337" s="334" t="s">
        <v>6996</v>
      </c>
      <c r="G337" s="334" t="s">
        <v>6997</v>
      </c>
      <c r="I337" s="334">
        <v>-0.5</v>
      </c>
      <c r="M337" s="344">
        <v>45903.2703125</v>
      </c>
      <c r="N337" s="376">
        <v>1.0</v>
      </c>
    </row>
    <row r="338" ht="15.75" customHeight="1">
      <c r="A338" s="334" t="s">
        <v>7495</v>
      </c>
      <c r="B338" s="362">
        <v>45908.0</v>
      </c>
      <c r="C338" s="334" t="s">
        <v>19</v>
      </c>
      <c r="D338" s="334" t="s">
        <v>61</v>
      </c>
      <c r="E338" s="334" t="s">
        <v>506</v>
      </c>
      <c r="F338" s="334" t="s">
        <v>116</v>
      </c>
      <c r="G338" s="334" t="s">
        <v>6980</v>
      </c>
      <c r="I338" s="334">
        <v>0.5</v>
      </c>
      <c r="M338" s="344">
        <v>45906.26969907407</v>
      </c>
      <c r="N338" s="376">
        <v>1.0</v>
      </c>
    </row>
    <row r="339" ht="15.75" customHeight="1">
      <c r="A339" s="334" t="s">
        <v>7496</v>
      </c>
      <c r="B339" s="362">
        <v>45909.0</v>
      </c>
      <c r="C339" s="334" t="s">
        <v>28</v>
      </c>
      <c r="D339" s="334" t="s">
        <v>52</v>
      </c>
      <c r="E339" s="334" t="s">
        <v>493</v>
      </c>
      <c r="F339" s="334" t="s">
        <v>7008</v>
      </c>
      <c r="G339" s="334" t="s">
        <v>7009</v>
      </c>
      <c r="I339" s="334">
        <v>0.5</v>
      </c>
      <c r="M339" s="344">
        <v>45909.437060185184</v>
      </c>
      <c r="N339" s="376">
        <v>1.0</v>
      </c>
    </row>
    <row r="340" ht="15.75" customHeight="1">
      <c r="A340" s="334" t="s">
        <v>7497</v>
      </c>
      <c r="B340" s="362">
        <v>45912.0</v>
      </c>
      <c r="C340" s="334" t="s">
        <v>17</v>
      </c>
      <c r="D340" s="334" t="s">
        <v>563</v>
      </c>
      <c r="E340" s="334" t="s">
        <v>508</v>
      </c>
      <c r="F340" s="334" t="s">
        <v>575</v>
      </c>
      <c r="G340" s="334" t="s">
        <v>7330</v>
      </c>
      <c r="I340" s="334">
        <v>-0.5</v>
      </c>
      <c r="M340" s="344">
        <v>45912.52684027778</v>
      </c>
      <c r="N340" s="376">
        <v>1.0</v>
      </c>
    </row>
    <row r="341" ht="15.75" customHeight="1">
      <c r="A341" s="334" t="s">
        <v>7498</v>
      </c>
      <c r="B341" s="362">
        <v>45913.0</v>
      </c>
      <c r="C341" s="334" t="s">
        <v>532</v>
      </c>
      <c r="D341" s="334" t="s">
        <v>77</v>
      </c>
      <c r="E341" s="334" t="s">
        <v>486</v>
      </c>
      <c r="F341" s="334" t="s">
        <v>7499</v>
      </c>
      <c r="G341" s="334" t="s">
        <v>7500</v>
      </c>
      <c r="I341" s="334">
        <v>0.5</v>
      </c>
      <c r="M341" s="344">
        <v>45913.2725462963</v>
      </c>
      <c r="N341" s="376">
        <v>1.0</v>
      </c>
    </row>
    <row r="342" ht="15.75" customHeight="1">
      <c r="A342" s="334" t="s">
        <v>7501</v>
      </c>
      <c r="B342" s="362">
        <v>45913.0</v>
      </c>
      <c r="C342" s="334" t="s">
        <v>28</v>
      </c>
      <c r="D342" s="334" t="s">
        <v>52</v>
      </c>
      <c r="E342" s="334" t="s">
        <v>493</v>
      </c>
      <c r="F342" s="334" t="s">
        <v>7008</v>
      </c>
      <c r="G342" s="334" t="s">
        <v>7009</v>
      </c>
      <c r="I342" s="334">
        <v>0.5</v>
      </c>
      <c r="M342" s="344">
        <v>45913.338900462964</v>
      </c>
      <c r="N342" s="376">
        <v>1.0</v>
      </c>
    </row>
    <row r="343" ht="15.75" customHeight="1">
      <c r="A343" s="334" t="s">
        <v>7502</v>
      </c>
      <c r="B343" s="362">
        <v>45920.0</v>
      </c>
      <c r="C343" s="334" t="s">
        <v>531</v>
      </c>
      <c r="D343" s="334" t="s">
        <v>77</v>
      </c>
      <c r="E343" s="334" t="s">
        <v>449</v>
      </c>
      <c r="F343" s="334" t="s">
        <v>7472</v>
      </c>
      <c r="G343" s="334" t="s">
        <v>7473</v>
      </c>
      <c r="I343" s="334">
        <v>0.5</v>
      </c>
      <c r="M343" s="344">
        <v>45920.267060185186</v>
      </c>
      <c r="N343" s="376">
        <v>1.0</v>
      </c>
    </row>
    <row r="344" ht="15.75" customHeight="1">
      <c r="A344" s="334" t="s">
        <v>7503</v>
      </c>
      <c r="B344" s="362">
        <v>45920.0</v>
      </c>
      <c r="C344" s="334" t="s">
        <v>532</v>
      </c>
      <c r="D344" s="334" t="s">
        <v>77</v>
      </c>
      <c r="E344" s="334" t="s">
        <v>486</v>
      </c>
      <c r="F344" s="334" t="s">
        <v>7499</v>
      </c>
      <c r="G344" s="334" t="s">
        <v>7500</v>
      </c>
      <c r="I344" s="334">
        <v>0.5</v>
      </c>
      <c r="M344" s="344">
        <v>45920.26732638889</v>
      </c>
      <c r="N344" s="376">
        <v>1.0</v>
      </c>
    </row>
    <row r="345" ht="15.75" customHeight="1">
      <c r="A345" s="334" t="s">
        <v>7504</v>
      </c>
      <c r="B345" s="362">
        <v>45920.0</v>
      </c>
      <c r="C345" s="334" t="s">
        <v>28</v>
      </c>
      <c r="D345" s="334" t="s">
        <v>52</v>
      </c>
      <c r="E345" s="334" t="s">
        <v>493</v>
      </c>
      <c r="F345" s="334" t="s">
        <v>7505</v>
      </c>
      <c r="G345" s="334" t="s">
        <v>7506</v>
      </c>
      <c r="I345" s="334">
        <v>0.5</v>
      </c>
      <c r="M345" s="344">
        <v>45920.342997685184</v>
      </c>
      <c r="N345" s="376">
        <v>1.0</v>
      </c>
    </row>
    <row r="346" ht="15.75" customHeight="1">
      <c r="A346" s="334" t="s">
        <v>7507</v>
      </c>
      <c r="B346" s="362">
        <v>45924.0</v>
      </c>
      <c r="C346" s="334" t="s">
        <v>11</v>
      </c>
      <c r="D346" s="334" t="s">
        <v>46</v>
      </c>
      <c r="E346" s="334" t="s">
        <v>488</v>
      </c>
      <c r="F346" s="334" t="s">
        <v>7094</v>
      </c>
      <c r="G346" s="334" t="s">
        <v>7095</v>
      </c>
      <c r="I346" s="334">
        <v>0.5</v>
      </c>
      <c r="M346" s="344">
        <v>45923.26488425926</v>
      </c>
      <c r="N346" s="376">
        <v>1.0</v>
      </c>
    </row>
    <row r="347" ht="15.75" customHeight="1">
      <c r="A347" s="334" t="s">
        <v>7508</v>
      </c>
      <c r="B347" s="362">
        <v>45923.0</v>
      </c>
      <c r="C347" s="334" t="s">
        <v>12</v>
      </c>
      <c r="D347" s="334" t="s">
        <v>50</v>
      </c>
      <c r="E347" s="334" t="s">
        <v>490</v>
      </c>
      <c r="F347" s="334" t="s">
        <v>7011</v>
      </c>
      <c r="G347" s="334" t="s">
        <v>7012</v>
      </c>
      <c r="I347" s="334">
        <v>0.5</v>
      </c>
      <c r="M347" s="344">
        <v>45924.643472222226</v>
      </c>
      <c r="N347" s="376">
        <v>1.0</v>
      </c>
    </row>
    <row r="348" ht="15.75" customHeight="1">
      <c r="A348" s="334" t="s">
        <v>7509</v>
      </c>
      <c r="B348" s="362">
        <v>45927.0</v>
      </c>
      <c r="C348" s="334" t="s">
        <v>11</v>
      </c>
      <c r="D348" s="334" t="s">
        <v>46</v>
      </c>
      <c r="E348" s="334" t="s">
        <v>488</v>
      </c>
      <c r="F348" s="334" t="s">
        <v>7094</v>
      </c>
      <c r="G348" s="334" t="s">
        <v>7095</v>
      </c>
      <c r="I348" s="334">
        <v>0.5</v>
      </c>
      <c r="M348" s="344">
        <v>45927.27903935185</v>
      </c>
      <c r="N348" s="376">
        <v>1.0</v>
      </c>
    </row>
    <row r="349" ht="15.75" customHeight="1">
      <c r="A349" s="334" t="s">
        <v>7510</v>
      </c>
      <c r="B349" s="362">
        <v>45927.0</v>
      </c>
      <c r="C349" s="334" t="s">
        <v>532</v>
      </c>
      <c r="D349" s="334" t="s">
        <v>77</v>
      </c>
      <c r="E349" s="334" t="s">
        <v>486</v>
      </c>
      <c r="F349" s="334" t="s">
        <v>7078</v>
      </c>
      <c r="G349" s="334" t="s">
        <v>7079</v>
      </c>
      <c r="I349" s="334">
        <v>0.5</v>
      </c>
      <c r="M349" s="344">
        <v>45927.279756944445</v>
      </c>
      <c r="N349" s="376">
        <v>1.0</v>
      </c>
    </row>
    <row r="350" ht="15.75" customHeight="1">
      <c r="A350" s="334" t="s">
        <v>7511</v>
      </c>
      <c r="B350" s="362">
        <v>45927.0</v>
      </c>
      <c r="C350" s="334" t="s">
        <v>28</v>
      </c>
      <c r="D350" s="334" t="s">
        <v>52</v>
      </c>
      <c r="E350" s="334" t="s">
        <v>493</v>
      </c>
      <c r="F350" s="334" t="s">
        <v>7512</v>
      </c>
      <c r="G350" s="334" t="s">
        <v>7513</v>
      </c>
      <c r="I350" s="334">
        <v>1.0</v>
      </c>
      <c r="M350" s="344">
        <v>45929.38041666667</v>
      </c>
      <c r="N350" s="376">
        <v>1.0</v>
      </c>
    </row>
    <row r="351" ht="15.75" customHeight="1">
      <c r="A351" s="334" t="s">
        <v>7514</v>
      </c>
      <c r="B351" s="362">
        <v>45927.0</v>
      </c>
      <c r="C351" s="334" t="s">
        <v>28</v>
      </c>
      <c r="D351" s="334" t="s">
        <v>52</v>
      </c>
      <c r="E351" s="334" t="s">
        <v>493</v>
      </c>
      <c r="F351" s="334" t="s">
        <v>154</v>
      </c>
      <c r="G351" s="334" t="s">
        <v>7100</v>
      </c>
      <c r="I351" s="334">
        <v>0.5</v>
      </c>
      <c r="M351" s="344">
        <v>45929.38068287037</v>
      </c>
      <c r="N351" s="376">
        <v>1.0</v>
      </c>
    </row>
    <row r="352" ht="15.75" customHeight="1">
      <c r="A352" s="334" t="s">
        <v>7515</v>
      </c>
      <c r="B352" s="362">
        <v>45930.0</v>
      </c>
      <c r="C352" s="334" t="s">
        <v>12</v>
      </c>
      <c r="D352" s="334" t="s">
        <v>50</v>
      </c>
      <c r="E352" s="334" t="s">
        <v>490</v>
      </c>
      <c r="F352" s="334" t="s">
        <v>7011</v>
      </c>
      <c r="G352" s="334" t="s">
        <v>7012</v>
      </c>
      <c r="I352" s="334">
        <v>0.5</v>
      </c>
      <c r="M352" s="344">
        <v>45930.59512731482</v>
      </c>
      <c r="N352" s="376">
        <v>1.0</v>
      </c>
    </row>
    <row r="353" ht="15.75" customHeight="1">
      <c r="A353" s="334" t="s">
        <v>7516</v>
      </c>
      <c r="B353" s="362">
        <v>45933.0</v>
      </c>
      <c r="C353" s="334" t="s">
        <v>534</v>
      </c>
      <c r="D353" s="334" t="s">
        <v>46</v>
      </c>
      <c r="E353" s="334" t="s">
        <v>489</v>
      </c>
      <c r="F353" s="334" t="s">
        <v>130</v>
      </c>
      <c r="G353" s="334" t="s">
        <v>7517</v>
      </c>
      <c r="I353" s="334">
        <v>45.8</v>
      </c>
      <c r="M353" s="344">
        <v>45933.56466435185</v>
      </c>
      <c r="N353" s="376">
        <v>1.0</v>
      </c>
    </row>
    <row r="354" ht="15.75" customHeight="1">
      <c r="A354" s="334" t="s">
        <v>7518</v>
      </c>
      <c r="B354" s="362">
        <v>45937.0</v>
      </c>
      <c r="C354" s="334" t="s">
        <v>531</v>
      </c>
      <c r="D354" s="334" t="s">
        <v>77</v>
      </c>
      <c r="E354" s="334" t="s">
        <v>449</v>
      </c>
      <c r="F354" s="334" t="s">
        <v>7472</v>
      </c>
      <c r="G354" s="334" t="s">
        <v>7473</v>
      </c>
      <c r="I354" s="334">
        <v>0.5</v>
      </c>
      <c r="M354" s="344">
        <v>45937.277546296296</v>
      </c>
      <c r="N354" s="376">
        <v>1.0</v>
      </c>
    </row>
    <row r="355" ht="15.75" customHeight="1">
      <c r="A355" s="334" t="s">
        <v>7519</v>
      </c>
      <c r="B355" s="362">
        <v>45937.0</v>
      </c>
      <c r="C355" s="334" t="s">
        <v>532</v>
      </c>
      <c r="D355" s="334" t="s">
        <v>77</v>
      </c>
      <c r="E355" s="334" t="s">
        <v>486</v>
      </c>
      <c r="F355" s="334" t="s">
        <v>7499</v>
      </c>
      <c r="G355" s="334" t="s">
        <v>7500</v>
      </c>
      <c r="I355" s="334">
        <v>0.5</v>
      </c>
      <c r="M355" s="344">
        <v>45937.27784722222</v>
      </c>
      <c r="N355" s="376">
        <v>1.0</v>
      </c>
    </row>
    <row r="356" ht="15.75" customHeight="1">
      <c r="A356" s="334" t="s">
        <v>7520</v>
      </c>
      <c r="B356" s="362">
        <v>45937.0</v>
      </c>
      <c r="C356" s="334" t="s">
        <v>535</v>
      </c>
      <c r="D356" s="334" t="s">
        <v>77</v>
      </c>
      <c r="E356" s="334" t="s">
        <v>495</v>
      </c>
      <c r="F356" s="334" t="s">
        <v>7521</v>
      </c>
      <c r="G356" s="334" t="s">
        <v>7522</v>
      </c>
      <c r="I356" s="334">
        <v>0.5</v>
      </c>
      <c r="M356" s="344">
        <v>45937.278136574074</v>
      </c>
      <c r="N356" s="376">
        <v>1.0</v>
      </c>
    </row>
    <row r="357" ht="15.75" customHeight="1">
      <c r="A357" s="334" t="s">
        <v>7523</v>
      </c>
      <c r="B357" s="362">
        <v>45937.0</v>
      </c>
      <c r="C357" s="334" t="s">
        <v>536</v>
      </c>
      <c r="D357" s="334" t="s">
        <v>77</v>
      </c>
      <c r="E357" s="334" t="s">
        <v>496</v>
      </c>
      <c r="F357" s="334" t="s">
        <v>7524</v>
      </c>
      <c r="G357" s="334" t="s">
        <v>7525</v>
      </c>
      <c r="I357" s="334">
        <v>0.5</v>
      </c>
      <c r="M357" s="344">
        <v>45937.278449074074</v>
      </c>
      <c r="N357" s="376">
        <v>1.0</v>
      </c>
    </row>
    <row r="358" ht="15.75" customHeight="1">
      <c r="A358" s="334" t="s">
        <v>7526</v>
      </c>
      <c r="B358" s="362">
        <v>45937.0</v>
      </c>
      <c r="C358" s="334" t="s">
        <v>19</v>
      </c>
      <c r="D358" s="334" t="s">
        <v>61</v>
      </c>
      <c r="E358" s="334" t="s">
        <v>506</v>
      </c>
      <c r="F358" s="334" t="s">
        <v>116</v>
      </c>
      <c r="G358" s="334" t="s">
        <v>6980</v>
      </c>
      <c r="I358" s="334">
        <v>0.5</v>
      </c>
      <c r="M358" s="344">
        <v>45937.27890046296</v>
      </c>
      <c r="N358" s="376">
        <v>1.0</v>
      </c>
    </row>
    <row r="359" ht="15.75" customHeight="1">
      <c r="A359" s="334" t="s">
        <v>7527</v>
      </c>
      <c r="B359" s="362">
        <v>45937.0</v>
      </c>
      <c r="C359" s="334" t="s">
        <v>37</v>
      </c>
      <c r="D359" s="334" t="s">
        <v>48</v>
      </c>
      <c r="E359" s="334" t="s">
        <v>510</v>
      </c>
      <c r="F359" s="334" t="s">
        <v>7041</v>
      </c>
      <c r="G359" s="334" t="s">
        <v>7042</v>
      </c>
      <c r="I359" s="334">
        <v>0.5</v>
      </c>
      <c r="M359" s="344">
        <v>45937.27918981481</v>
      </c>
      <c r="N359" s="376">
        <v>1.0</v>
      </c>
    </row>
    <row r="360" ht="15.75" customHeight="1">
      <c r="A360" s="334" t="s">
        <v>7528</v>
      </c>
      <c r="B360" s="362">
        <v>45937.0</v>
      </c>
      <c r="C360" s="334" t="s">
        <v>14</v>
      </c>
      <c r="D360" s="334" t="s">
        <v>48</v>
      </c>
      <c r="E360" s="334" t="s">
        <v>498</v>
      </c>
      <c r="F360" s="334" t="s">
        <v>7529</v>
      </c>
      <c r="G360" s="334" t="s">
        <v>7530</v>
      </c>
      <c r="I360" s="334">
        <v>0.5</v>
      </c>
      <c r="M360" s="344">
        <v>45937.280277777776</v>
      </c>
      <c r="N360" s="376">
        <v>1.0</v>
      </c>
    </row>
    <row r="361" ht="15.75" customHeight="1">
      <c r="A361" s="334" t="s">
        <v>7531</v>
      </c>
      <c r="B361" s="362">
        <v>45937.0</v>
      </c>
      <c r="C361" s="334" t="s">
        <v>31</v>
      </c>
      <c r="D361" s="334" t="s">
        <v>64</v>
      </c>
      <c r="E361" s="334" t="s">
        <v>478</v>
      </c>
      <c r="F361" s="334" t="s">
        <v>116</v>
      </c>
      <c r="G361" s="334" t="s">
        <v>7337</v>
      </c>
      <c r="I361" s="334">
        <v>0.5</v>
      </c>
      <c r="M361" s="344">
        <v>45937.28136574074</v>
      </c>
      <c r="N361" s="376">
        <v>1.0</v>
      </c>
    </row>
    <row r="362" ht="15.75" customHeight="1">
      <c r="A362" s="334" t="s">
        <v>7532</v>
      </c>
      <c r="B362" s="362">
        <v>45937.0</v>
      </c>
      <c r="C362" s="334" t="s">
        <v>28</v>
      </c>
      <c r="D362" s="334" t="s">
        <v>52</v>
      </c>
      <c r="E362" s="334" t="s">
        <v>493</v>
      </c>
      <c r="F362" s="334" t="s">
        <v>7008</v>
      </c>
      <c r="G362" s="334" t="s">
        <v>7009</v>
      </c>
      <c r="I362" s="334">
        <v>0.5</v>
      </c>
      <c r="M362" s="344">
        <v>45937.345046296294</v>
      </c>
      <c r="N362" s="376">
        <v>1.0</v>
      </c>
    </row>
    <row r="363" ht="15.75" customHeight="1">
      <c r="A363" s="334" t="s">
        <v>7533</v>
      </c>
      <c r="B363" s="362">
        <v>45938.0</v>
      </c>
      <c r="C363" s="334" t="s">
        <v>534</v>
      </c>
      <c r="D363" s="334" t="s">
        <v>46</v>
      </c>
      <c r="E363" s="334" t="s">
        <v>489</v>
      </c>
      <c r="F363" s="334" t="s">
        <v>130</v>
      </c>
      <c r="G363" s="334" t="s">
        <v>7517</v>
      </c>
      <c r="I363" s="334">
        <v>0.5</v>
      </c>
      <c r="M363" s="344">
        <v>45937.712685185186</v>
      </c>
      <c r="N363" s="376">
        <v>1.0</v>
      </c>
    </row>
    <row r="364" ht="15.75" customHeight="1">
      <c r="A364" s="377" t="s">
        <v>7534</v>
      </c>
      <c r="B364" s="362">
        <v>45938.0</v>
      </c>
      <c r="C364" s="334" t="s">
        <v>12</v>
      </c>
      <c r="D364" s="334" t="s">
        <v>53</v>
      </c>
      <c r="E364" s="334" t="s">
        <v>491</v>
      </c>
      <c r="F364" s="334" t="s">
        <v>7262</v>
      </c>
      <c r="G364" s="334" t="s">
        <v>7263</v>
      </c>
      <c r="I364" s="334">
        <v>0.5</v>
      </c>
      <c r="M364" s="344">
        <v>45937.71328703704</v>
      </c>
      <c r="N364" s="376">
        <v>1.0</v>
      </c>
    </row>
    <row r="365" ht="15.75" customHeight="1">
      <c r="A365" s="334" t="s">
        <v>7535</v>
      </c>
      <c r="B365" s="362">
        <v>45938.0</v>
      </c>
      <c r="C365" s="334" t="s">
        <v>14</v>
      </c>
      <c r="D365" s="334" t="s">
        <v>46</v>
      </c>
      <c r="E365" s="334" t="s">
        <v>497</v>
      </c>
      <c r="F365" s="334" t="s">
        <v>7259</v>
      </c>
      <c r="G365" s="334" t="s">
        <v>7260</v>
      </c>
      <c r="I365" s="334">
        <v>0.5</v>
      </c>
      <c r="M365" s="344">
        <v>45937.71368055556</v>
      </c>
      <c r="N365" s="376">
        <v>1.0</v>
      </c>
    </row>
    <row r="366" ht="15.75" customHeight="1">
      <c r="A366" s="334" t="s">
        <v>7536</v>
      </c>
      <c r="B366" s="362">
        <v>45938.0</v>
      </c>
      <c r="C366" s="334" t="s">
        <v>15</v>
      </c>
      <c r="D366" s="334" t="s">
        <v>7157</v>
      </c>
      <c r="E366" s="334" t="s">
        <v>7158</v>
      </c>
      <c r="F366" s="334" t="s">
        <v>7537</v>
      </c>
      <c r="G366" s="334" t="s">
        <v>7538</v>
      </c>
      <c r="I366" s="334">
        <v>0.5</v>
      </c>
      <c r="M366" s="344">
        <v>45937.714050925926</v>
      </c>
      <c r="N366" s="376">
        <v>1.0</v>
      </c>
    </row>
    <row r="367" ht="15.75" customHeight="1">
      <c r="A367" s="334" t="s">
        <v>7539</v>
      </c>
      <c r="B367" s="362">
        <v>45938.0</v>
      </c>
      <c r="C367" s="334" t="s">
        <v>537</v>
      </c>
      <c r="D367" s="334" t="s">
        <v>7162</v>
      </c>
      <c r="E367" s="334" t="s">
        <v>7163</v>
      </c>
      <c r="F367" s="334" t="s">
        <v>7415</v>
      </c>
      <c r="G367" s="334" t="s">
        <v>7416</v>
      </c>
      <c r="I367" s="334">
        <v>0.5</v>
      </c>
      <c r="M367" s="344">
        <v>45937.71471064815</v>
      </c>
      <c r="N367" s="376">
        <v>1.0</v>
      </c>
    </row>
    <row r="368" ht="15.75" customHeight="1">
      <c r="A368" s="334" t="s">
        <v>7540</v>
      </c>
      <c r="B368" s="362">
        <v>45938.0</v>
      </c>
      <c r="C368" s="334" t="s">
        <v>12</v>
      </c>
      <c r="D368" s="334" t="s">
        <v>50</v>
      </c>
      <c r="E368" s="334" t="s">
        <v>490</v>
      </c>
      <c r="F368" s="334" t="s">
        <v>7011</v>
      </c>
      <c r="G368" s="334" t="s">
        <v>7012</v>
      </c>
      <c r="I368" s="334">
        <v>0.5</v>
      </c>
      <c r="M368" s="344">
        <v>45937.73626157407</v>
      </c>
      <c r="N368" s="376">
        <v>1.0</v>
      </c>
    </row>
    <row r="369" ht="15.75" customHeight="1">
      <c r="A369" s="334" t="s">
        <v>7541</v>
      </c>
      <c r="B369" s="362">
        <v>45938.0</v>
      </c>
      <c r="C369" s="334" t="s">
        <v>35</v>
      </c>
      <c r="D369" s="334" t="s">
        <v>48</v>
      </c>
      <c r="E369" s="334" t="s">
        <v>509</v>
      </c>
      <c r="F369" s="334" t="s">
        <v>130</v>
      </c>
      <c r="G369" s="334" t="s">
        <v>6975</v>
      </c>
      <c r="I369" s="334">
        <v>0.5</v>
      </c>
      <c r="M369" s="344">
        <v>45937.73650462963</v>
      </c>
      <c r="N369" s="376">
        <v>1.0</v>
      </c>
    </row>
    <row r="370" ht="15.75" customHeight="1">
      <c r="A370" s="334" t="s">
        <v>7542</v>
      </c>
      <c r="B370" s="375">
        <v>45940.0</v>
      </c>
      <c r="C370" s="334" t="s">
        <v>531</v>
      </c>
      <c r="D370" s="334" t="s">
        <v>77</v>
      </c>
      <c r="E370" s="334" t="s">
        <v>449</v>
      </c>
      <c r="F370" s="334" t="s">
        <v>6983</v>
      </c>
      <c r="G370" s="334" t="s">
        <v>7065</v>
      </c>
      <c r="I370" s="334">
        <v>1.0</v>
      </c>
      <c r="M370" s="345">
        <v>45940.267696759256</v>
      </c>
      <c r="N370" s="376">
        <v>1.0</v>
      </c>
    </row>
    <row r="371" ht="15.75" customHeight="1">
      <c r="A371" s="334" t="s">
        <v>7543</v>
      </c>
      <c r="B371" s="375">
        <v>45940.0</v>
      </c>
      <c r="C371" s="334" t="s">
        <v>532</v>
      </c>
      <c r="D371" s="334" t="s">
        <v>77</v>
      </c>
      <c r="E371" s="334" t="s">
        <v>486</v>
      </c>
      <c r="F371" s="334" t="s">
        <v>7078</v>
      </c>
      <c r="G371" s="334" t="s">
        <v>7079</v>
      </c>
      <c r="I371" s="334">
        <v>1.0</v>
      </c>
      <c r="M371" s="345">
        <v>45940.268055555556</v>
      </c>
      <c r="N371" s="376">
        <v>1.0</v>
      </c>
    </row>
    <row r="372" ht="15.75" customHeight="1">
      <c r="A372" s="334" t="s">
        <v>7544</v>
      </c>
      <c r="B372" s="375">
        <v>45940.0</v>
      </c>
      <c r="C372" s="334" t="s">
        <v>535</v>
      </c>
      <c r="D372" s="334" t="s">
        <v>77</v>
      </c>
      <c r="E372" s="334" t="s">
        <v>495</v>
      </c>
      <c r="F372" s="334" t="s">
        <v>6983</v>
      </c>
      <c r="G372" s="334" t="s">
        <v>6986</v>
      </c>
      <c r="I372" s="334">
        <v>1.0</v>
      </c>
      <c r="M372" s="345">
        <v>45940.26832175926</v>
      </c>
      <c r="N372" s="376">
        <v>1.0</v>
      </c>
    </row>
    <row r="373" ht="15.75" customHeight="1">
      <c r="A373" s="334" t="s">
        <v>7545</v>
      </c>
      <c r="B373" s="375">
        <v>45940.0</v>
      </c>
      <c r="C373" s="334" t="s">
        <v>536</v>
      </c>
      <c r="D373" s="334" t="s">
        <v>77</v>
      </c>
      <c r="E373" s="334" t="s">
        <v>496</v>
      </c>
      <c r="F373" s="334" t="s">
        <v>6988</v>
      </c>
      <c r="G373" s="334" t="s">
        <v>6989</v>
      </c>
      <c r="I373" s="334">
        <v>1.0</v>
      </c>
      <c r="M373" s="345">
        <v>45940.26857638889</v>
      </c>
      <c r="N373" s="376">
        <v>1.0</v>
      </c>
    </row>
    <row r="374" ht="15.75" customHeight="1">
      <c r="A374" s="334" t="s">
        <v>7546</v>
      </c>
      <c r="B374" s="375">
        <v>45940.0</v>
      </c>
      <c r="C374" s="334" t="s">
        <v>7</v>
      </c>
      <c r="D374" s="334" t="s">
        <v>46</v>
      </c>
      <c r="E374" s="334" t="s">
        <v>456</v>
      </c>
      <c r="F374" s="334" t="s">
        <v>7074</v>
      </c>
      <c r="G374" s="334" t="s">
        <v>7547</v>
      </c>
      <c r="I374" s="334">
        <v>1.0</v>
      </c>
      <c r="M374" s="345">
        <v>45940.26892361111</v>
      </c>
      <c r="N374" s="376">
        <v>1.0</v>
      </c>
    </row>
    <row r="375" ht="15.75" customHeight="1">
      <c r="A375" s="334" t="s">
        <v>7548</v>
      </c>
      <c r="B375" s="375">
        <v>45940.0</v>
      </c>
      <c r="C375" s="334" t="s">
        <v>12</v>
      </c>
      <c r="D375" s="334" t="s">
        <v>50</v>
      </c>
      <c r="E375" s="334" t="s">
        <v>490</v>
      </c>
      <c r="F375" s="334" t="s">
        <v>7011</v>
      </c>
      <c r="G375" s="334" t="s">
        <v>7012</v>
      </c>
      <c r="I375" s="334">
        <v>1.0</v>
      </c>
      <c r="M375" s="345">
        <v>45940.26930555556</v>
      </c>
      <c r="N375" s="376">
        <v>1.0</v>
      </c>
    </row>
    <row r="376" ht="15.75" customHeight="1">
      <c r="A376" s="334" t="s">
        <v>7549</v>
      </c>
      <c r="B376" s="375">
        <v>45940.0</v>
      </c>
      <c r="C376" s="334" t="s">
        <v>22</v>
      </c>
      <c r="D376" s="334" t="s">
        <v>47</v>
      </c>
      <c r="E376" s="334" t="s">
        <v>468</v>
      </c>
      <c r="F376" s="334" t="s">
        <v>7487</v>
      </c>
      <c r="G376" s="334" t="s">
        <v>7488</v>
      </c>
      <c r="I376" s="334">
        <v>1.0</v>
      </c>
      <c r="M376" s="345">
        <v>45940.26966435185</v>
      </c>
      <c r="N376" s="376">
        <v>1.0</v>
      </c>
    </row>
    <row r="377" ht="15.75" customHeight="1">
      <c r="A377" s="334" t="s">
        <v>7550</v>
      </c>
      <c r="B377" s="375">
        <v>45940.0</v>
      </c>
      <c r="C377" s="334" t="s">
        <v>6</v>
      </c>
      <c r="D377" s="334" t="s">
        <v>48</v>
      </c>
      <c r="E377" s="334" t="s">
        <v>454</v>
      </c>
      <c r="F377" s="334" t="s">
        <v>7551</v>
      </c>
      <c r="G377" s="334" t="s">
        <v>7552</v>
      </c>
      <c r="I377" s="334">
        <v>1.0</v>
      </c>
      <c r="M377" s="345">
        <v>45940.26988425926</v>
      </c>
      <c r="N377" s="376">
        <v>1.0</v>
      </c>
    </row>
    <row r="378" ht="15.75" customHeight="1">
      <c r="A378" s="334" t="s">
        <v>7553</v>
      </c>
      <c r="B378" s="375">
        <v>45940.0</v>
      </c>
      <c r="C378" s="334" t="s">
        <v>6</v>
      </c>
      <c r="D378" s="334" t="s">
        <v>48</v>
      </c>
      <c r="E378" s="334" t="s">
        <v>454</v>
      </c>
      <c r="F378" s="334" t="s">
        <v>575</v>
      </c>
      <c r="G378" s="334" t="s">
        <v>6952</v>
      </c>
      <c r="I378" s="334">
        <v>0.5</v>
      </c>
      <c r="M378" s="345">
        <v>45940.27017361111</v>
      </c>
      <c r="N378" s="376">
        <v>1.0</v>
      </c>
    </row>
    <row r="379" ht="15.75" customHeight="1">
      <c r="A379" s="334" t="s">
        <v>7554</v>
      </c>
      <c r="B379" s="375">
        <v>45940.0</v>
      </c>
      <c r="C379" s="334" t="s">
        <v>36</v>
      </c>
      <c r="D379" s="334" t="s">
        <v>1303</v>
      </c>
      <c r="E379" s="334" t="s">
        <v>469</v>
      </c>
      <c r="F379" s="334" t="s">
        <v>6996</v>
      </c>
      <c r="G379" s="334" t="s">
        <v>7002</v>
      </c>
      <c r="I379" s="334">
        <v>0.5</v>
      </c>
      <c r="M379" s="345">
        <v>45940.27049768518</v>
      </c>
      <c r="N379" s="376">
        <v>1.0</v>
      </c>
    </row>
    <row r="380" ht="15.75" customHeight="1">
      <c r="A380" s="334" t="s">
        <v>7555</v>
      </c>
      <c r="B380" s="375">
        <v>45940.0</v>
      </c>
      <c r="C380" s="334" t="s">
        <v>19</v>
      </c>
      <c r="D380" s="334" t="s">
        <v>61</v>
      </c>
      <c r="E380" s="334" t="s">
        <v>506</v>
      </c>
      <c r="F380" s="334" t="s">
        <v>116</v>
      </c>
      <c r="G380" s="334" t="s">
        <v>6980</v>
      </c>
      <c r="I380" s="334">
        <v>1.0</v>
      </c>
      <c r="M380" s="345">
        <v>45940.271006944444</v>
      </c>
      <c r="N380" s="376">
        <v>1.0</v>
      </c>
    </row>
    <row r="381" ht="15.75" customHeight="1">
      <c r="A381" s="334" t="s">
        <v>7556</v>
      </c>
      <c r="B381" s="375">
        <v>45940.0</v>
      </c>
      <c r="C381" s="334" t="s">
        <v>37</v>
      </c>
      <c r="D381" s="334" t="s">
        <v>48</v>
      </c>
      <c r="E381" s="334" t="s">
        <v>510</v>
      </c>
      <c r="F381" s="334" t="s">
        <v>7041</v>
      </c>
      <c r="G381" s="334" t="s">
        <v>7042</v>
      </c>
      <c r="I381" s="334">
        <v>1.0</v>
      </c>
      <c r="M381" s="345">
        <v>45940.27127314815</v>
      </c>
      <c r="N381" s="376">
        <v>1.0</v>
      </c>
    </row>
    <row r="382" ht="15.75" customHeight="1">
      <c r="A382" s="334" t="s">
        <v>7557</v>
      </c>
      <c r="B382" s="375">
        <v>45940.0</v>
      </c>
      <c r="C382" s="334" t="s">
        <v>14</v>
      </c>
      <c r="D382" s="334" t="s">
        <v>48</v>
      </c>
      <c r="E382" s="334" t="s">
        <v>498</v>
      </c>
      <c r="F382" s="334" t="s">
        <v>7016</v>
      </c>
      <c r="G382" s="334" t="s">
        <v>7558</v>
      </c>
      <c r="I382" s="334">
        <v>1.0</v>
      </c>
      <c r="M382" s="345">
        <v>45940.271631944444</v>
      </c>
      <c r="N382" s="376">
        <v>1.0</v>
      </c>
    </row>
    <row r="383" ht="15.75" customHeight="1">
      <c r="A383" s="334" t="s">
        <v>7559</v>
      </c>
      <c r="B383" s="375">
        <v>45940.0</v>
      </c>
      <c r="C383" s="334" t="s">
        <v>35</v>
      </c>
      <c r="D383" s="334" t="s">
        <v>48</v>
      </c>
      <c r="E383" s="334" t="s">
        <v>509</v>
      </c>
      <c r="F383" s="334" t="s">
        <v>130</v>
      </c>
      <c r="G383" s="334" t="s">
        <v>6975</v>
      </c>
      <c r="I383" s="334">
        <v>1.0</v>
      </c>
      <c r="M383" s="345">
        <v>45940.272523148145</v>
      </c>
      <c r="N383" s="376">
        <v>1.0</v>
      </c>
    </row>
    <row r="384" ht="15.75" customHeight="1">
      <c r="A384" s="334" t="s">
        <v>7560</v>
      </c>
      <c r="B384" s="375">
        <v>45940.0</v>
      </c>
      <c r="C384" s="334" t="s">
        <v>10</v>
      </c>
      <c r="D384" s="334" t="s">
        <v>47</v>
      </c>
      <c r="E384" s="334" t="s">
        <v>463</v>
      </c>
      <c r="F384" s="334" t="s">
        <v>6996</v>
      </c>
      <c r="G384" s="334" t="s">
        <v>6997</v>
      </c>
      <c r="I384" s="334">
        <v>0.5</v>
      </c>
      <c r="M384" s="345">
        <v>45940.2728587963</v>
      </c>
      <c r="N384" s="376">
        <v>1.0</v>
      </c>
    </row>
    <row r="385" ht="15.75" customHeight="1">
      <c r="A385" s="334" t="s">
        <v>7561</v>
      </c>
      <c r="B385" s="375">
        <v>45940.0</v>
      </c>
      <c r="C385" s="334" t="s">
        <v>5</v>
      </c>
      <c r="D385" s="334" t="s">
        <v>46</v>
      </c>
      <c r="E385" s="334" t="s">
        <v>450</v>
      </c>
      <c r="F385" s="334" t="s">
        <v>7102</v>
      </c>
      <c r="G385" s="334" t="s">
        <v>7103</v>
      </c>
      <c r="I385" s="334">
        <v>0.5</v>
      </c>
      <c r="M385" s="345">
        <v>45940.27328703704</v>
      </c>
      <c r="N385" s="376">
        <v>1.0</v>
      </c>
    </row>
    <row r="386" ht="15.75" customHeight="1">
      <c r="A386" s="334" t="s">
        <v>7562</v>
      </c>
      <c r="B386" s="375">
        <v>45940.0</v>
      </c>
      <c r="C386" s="334" t="s">
        <v>5</v>
      </c>
      <c r="D386" s="334" t="s">
        <v>47</v>
      </c>
      <c r="E386" s="334" t="s">
        <v>451</v>
      </c>
      <c r="F386" s="334" t="s">
        <v>7105</v>
      </c>
      <c r="G386" s="334" t="s">
        <v>7106</v>
      </c>
      <c r="I386" s="334">
        <v>0.5</v>
      </c>
      <c r="M386" s="345">
        <v>45940.27364583333</v>
      </c>
      <c r="N386" s="376">
        <v>1.0</v>
      </c>
    </row>
    <row r="387" ht="15.75" customHeight="1">
      <c r="A387" s="334" t="s">
        <v>7563</v>
      </c>
      <c r="B387" s="375">
        <v>45940.0</v>
      </c>
      <c r="C387" s="334" t="s">
        <v>5</v>
      </c>
      <c r="D387" s="334" t="s">
        <v>6937</v>
      </c>
      <c r="E387" s="334" t="s">
        <v>6938</v>
      </c>
      <c r="F387" s="334" t="s">
        <v>130</v>
      </c>
      <c r="G387" s="334" t="s">
        <v>6939</v>
      </c>
      <c r="I387" s="334">
        <v>0.5</v>
      </c>
      <c r="M387" s="345">
        <v>45940.273831018516</v>
      </c>
      <c r="N387" s="376">
        <v>1.0</v>
      </c>
    </row>
    <row r="388" ht="15.75" customHeight="1">
      <c r="A388" s="334" t="s">
        <v>7564</v>
      </c>
      <c r="B388" s="375">
        <v>45940.0</v>
      </c>
      <c r="C388" s="334" t="s">
        <v>11</v>
      </c>
      <c r="D388" s="334" t="s">
        <v>46</v>
      </c>
      <c r="E388" s="334" t="s">
        <v>488</v>
      </c>
      <c r="F388" s="334" t="s">
        <v>7094</v>
      </c>
      <c r="G388" s="334" t="s">
        <v>7095</v>
      </c>
      <c r="I388" s="334">
        <v>1.0</v>
      </c>
      <c r="M388" s="345">
        <v>45940.27407407408</v>
      </c>
      <c r="N388" s="376">
        <v>1.0</v>
      </c>
    </row>
    <row r="389" ht="15.75" customHeight="1">
      <c r="A389" s="334" t="s">
        <v>7565</v>
      </c>
      <c r="B389" s="375">
        <v>45940.0</v>
      </c>
      <c r="C389" s="334" t="s">
        <v>31</v>
      </c>
      <c r="D389" s="334" t="s">
        <v>64</v>
      </c>
      <c r="E389" s="334" t="s">
        <v>478</v>
      </c>
      <c r="F389" s="334" t="s">
        <v>7242</v>
      </c>
      <c r="G389" s="334" t="s">
        <v>7243</v>
      </c>
      <c r="I389" s="334">
        <v>0.5</v>
      </c>
      <c r="M389" s="345">
        <v>45940.274513888886</v>
      </c>
      <c r="N389" s="376">
        <v>1.0</v>
      </c>
    </row>
    <row r="390" ht="15.75" customHeight="1">
      <c r="A390" s="334" t="s">
        <v>7566</v>
      </c>
      <c r="B390" s="375">
        <v>45940.0</v>
      </c>
      <c r="C390" s="334" t="s">
        <v>29</v>
      </c>
      <c r="D390" s="334" t="s">
        <v>63</v>
      </c>
      <c r="E390" s="334" t="s">
        <v>472</v>
      </c>
      <c r="F390" s="334" t="s">
        <v>116</v>
      </c>
      <c r="G390" s="334" t="s">
        <v>7326</v>
      </c>
      <c r="I390" s="334">
        <v>1.0</v>
      </c>
      <c r="M390" s="345">
        <v>45940.341875</v>
      </c>
      <c r="N390" s="376">
        <v>1.0</v>
      </c>
    </row>
    <row r="391" ht="15.75" customHeight="1">
      <c r="A391" s="334" t="s">
        <v>7567</v>
      </c>
      <c r="B391" s="375">
        <v>45941.0</v>
      </c>
      <c r="C391" s="334" t="s">
        <v>14</v>
      </c>
      <c r="D391" s="334" t="s">
        <v>46</v>
      </c>
      <c r="E391" s="334" t="s">
        <v>497</v>
      </c>
      <c r="F391" s="334" t="s">
        <v>7259</v>
      </c>
      <c r="G391" s="334" t="s">
        <v>7260</v>
      </c>
      <c r="I391" s="334">
        <v>1.0</v>
      </c>
      <c r="M391" s="345">
        <v>45940.74188657408</v>
      </c>
      <c r="N391" s="376">
        <v>1.0</v>
      </c>
    </row>
    <row r="392" ht="15.75" customHeight="1">
      <c r="A392" s="334" t="s">
        <v>7568</v>
      </c>
      <c r="B392" s="375">
        <v>45941.0</v>
      </c>
      <c r="C392" s="334" t="s">
        <v>15</v>
      </c>
      <c r="D392" s="334" t="s">
        <v>58</v>
      </c>
      <c r="E392" s="334" t="s">
        <v>499</v>
      </c>
      <c r="F392" s="334" t="s">
        <v>7569</v>
      </c>
      <c r="G392" s="334" t="s">
        <v>7570</v>
      </c>
      <c r="I392" s="334">
        <v>1.0</v>
      </c>
      <c r="M392" s="345">
        <v>45940.742164351854</v>
      </c>
      <c r="N392" s="376">
        <v>1.0</v>
      </c>
    </row>
    <row r="393" ht="15.75" customHeight="1">
      <c r="A393" s="334" t="s">
        <v>7571</v>
      </c>
      <c r="B393" s="375">
        <v>45941.0</v>
      </c>
      <c r="C393" s="334" t="s">
        <v>15</v>
      </c>
      <c r="D393" s="334" t="s">
        <v>46</v>
      </c>
      <c r="E393" s="334" t="s">
        <v>500</v>
      </c>
      <c r="F393" s="334" t="s">
        <v>7572</v>
      </c>
      <c r="G393" s="334" t="s">
        <v>7573</v>
      </c>
      <c r="I393" s="334">
        <v>1.0</v>
      </c>
      <c r="M393" s="345">
        <v>45940.74254629629</v>
      </c>
      <c r="N393" s="376">
        <v>1.0</v>
      </c>
    </row>
    <row r="394" ht="15.75" customHeight="1">
      <c r="A394" s="334" t="s">
        <v>7574</v>
      </c>
      <c r="B394" s="375">
        <v>45941.0</v>
      </c>
      <c r="C394" s="334" t="s">
        <v>537</v>
      </c>
      <c r="D394" s="334" t="s">
        <v>7162</v>
      </c>
      <c r="E394" s="334" t="s">
        <v>7163</v>
      </c>
      <c r="F394" s="334" t="s">
        <v>7164</v>
      </c>
      <c r="G394" s="334" t="s">
        <v>7165</v>
      </c>
      <c r="I394" s="334">
        <v>1.0</v>
      </c>
      <c r="M394" s="345">
        <v>45940.7427662037</v>
      </c>
      <c r="N394" s="376">
        <v>1.0</v>
      </c>
    </row>
    <row r="395" ht="15.75" customHeight="1">
      <c r="A395" s="334" t="s">
        <v>7575</v>
      </c>
      <c r="B395" s="375">
        <v>45940.0</v>
      </c>
      <c r="C395" s="334" t="s">
        <v>28</v>
      </c>
      <c r="D395" s="334" t="s">
        <v>52</v>
      </c>
      <c r="E395" s="334" t="s">
        <v>493</v>
      </c>
      <c r="F395" s="334" t="s">
        <v>7576</v>
      </c>
      <c r="G395" s="334" t="s">
        <v>7577</v>
      </c>
      <c r="I395" s="334">
        <v>2.0</v>
      </c>
      <c r="M395" s="345">
        <v>45940.74922453704</v>
      </c>
      <c r="N395" s="376">
        <v>1.0</v>
      </c>
    </row>
    <row r="396" ht="15.75" customHeight="1">
      <c r="A396" s="334" t="s">
        <v>7578</v>
      </c>
      <c r="B396" s="375">
        <v>45940.0</v>
      </c>
      <c r="C396" s="334" t="s">
        <v>28</v>
      </c>
      <c r="D396" s="334" t="s">
        <v>52</v>
      </c>
      <c r="E396" s="334" t="s">
        <v>493</v>
      </c>
      <c r="F396" s="334" t="s">
        <v>7446</v>
      </c>
      <c r="G396" s="334" t="s">
        <v>7447</v>
      </c>
      <c r="I396" s="334">
        <v>1.0</v>
      </c>
      <c r="M396" s="345">
        <v>45940.74974537037</v>
      </c>
      <c r="N396" s="376">
        <v>1.0</v>
      </c>
    </row>
    <row r="397" ht="15.75" customHeight="1">
      <c r="A397" s="334" t="s">
        <v>7579</v>
      </c>
      <c r="B397" s="375">
        <v>45941.0</v>
      </c>
      <c r="C397" s="334" t="s">
        <v>12</v>
      </c>
      <c r="D397" s="334" t="s">
        <v>53</v>
      </c>
      <c r="E397" s="334" t="s">
        <v>491</v>
      </c>
      <c r="F397" s="334" t="s">
        <v>7262</v>
      </c>
      <c r="G397" s="334" t="s">
        <v>7263</v>
      </c>
      <c r="I397" s="334">
        <v>1.0</v>
      </c>
      <c r="M397" s="345">
        <v>45940.76490740741</v>
      </c>
      <c r="N397" s="376">
        <v>1.0</v>
      </c>
    </row>
    <row r="398" ht="15.75" customHeight="1">
      <c r="A398" s="334" t="s">
        <v>7580</v>
      </c>
      <c r="B398" s="375">
        <v>45945.0</v>
      </c>
      <c r="C398" s="334" t="s">
        <v>9</v>
      </c>
      <c r="D398" s="334" t="s">
        <v>51</v>
      </c>
      <c r="E398" s="334" t="s">
        <v>458</v>
      </c>
      <c r="F398" s="334" t="s">
        <v>7581</v>
      </c>
      <c r="G398" s="334" t="s">
        <v>7582</v>
      </c>
      <c r="I398" s="334">
        <v>1.5</v>
      </c>
      <c r="M398" s="345">
        <v>45944.734814814816</v>
      </c>
      <c r="N398" s="376">
        <v>1.0</v>
      </c>
    </row>
    <row r="399" ht="15.75" customHeight="1">
      <c r="A399" s="334" t="s">
        <v>7583</v>
      </c>
      <c r="B399" s="375">
        <v>45945.0</v>
      </c>
      <c r="C399" s="334" t="s">
        <v>9</v>
      </c>
      <c r="D399" s="334" t="s">
        <v>51</v>
      </c>
      <c r="E399" s="334" t="s">
        <v>458</v>
      </c>
      <c r="F399" s="334" t="s">
        <v>7584</v>
      </c>
      <c r="G399" s="334" t="s">
        <v>7585</v>
      </c>
      <c r="I399" s="334">
        <v>0.5</v>
      </c>
      <c r="M399" s="345">
        <v>45944.73539351852</v>
      </c>
      <c r="N399" s="376">
        <v>1.0</v>
      </c>
    </row>
    <row r="400" ht="15.75" customHeight="1">
      <c r="A400" s="334" t="s">
        <v>7586</v>
      </c>
      <c r="B400" s="375">
        <v>45945.0</v>
      </c>
      <c r="C400" s="334" t="s">
        <v>9</v>
      </c>
      <c r="D400" s="334" t="s">
        <v>47</v>
      </c>
      <c r="E400" s="334" t="s">
        <v>459</v>
      </c>
      <c r="F400" s="334" t="s">
        <v>7587</v>
      </c>
      <c r="G400" s="334" t="s">
        <v>7588</v>
      </c>
      <c r="I400" s="334">
        <v>1.5</v>
      </c>
      <c r="M400" s="345">
        <v>45944.73563657407</v>
      </c>
      <c r="N400" s="376">
        <v>1.0</v>
      </c>
    </row>
    <row r="401" ht="15.75" customHeight="1">
      <c r="A401" s="334" t="s">
        <v>7589</v>
      </c>
      <c r="B401" s="375">
        <v>45945.0</v>
      </c>
      <c r="C401" s="334" t="s">
        <v>9</v>
      </c>
      <c r="D401" s="334" t="s">
        <v>47</v>
      </c>
      <c r="E401" s="334" t="s">
        <v>459</v>
      </c>
      <c r="F401" s="334" t="s">
        <v>7584</v>
      </c>
      <c r="G401" s="334" t="s">
        <v>7590</v>
      </c>
      <c r="I401" s="334">
        <v>0.5</v>
      </c>
      <c r="M401" s="345">
        <v>45944.735914351855</v>
      </c>
      <c r="N401" s="376">
        <v>1.0</v>
      </c>
    </row>
    <row r="402" ht="15.75" customHeight="1">
      <c r="A402" s="334" t="s">
        <v>7591</v>
      </c>
      <c r="B402" s="375">
        <v>45945.0</v>
      </c>
      <c r="C402" s="334" t="s">
        <v>9</v>
      </c>
      <c r="D402" s="334" t="s">
        <v>50</v>
      </c>
      <c r="E402" s="334" t="s">
        <v>460</v>
      </c>
      <c r="F402" s="334" t="s">
        <v>7592</v>
      </c>
      <c r="G402" s="334" t="s">
        <v>7593</v>
      </c>
      <c r="I402" s="334">
        <v>1.5</v>
      </c>
      <c r="M402" s="345">
        <v>45944.73771990741</v>
      </c>
      <c r="N402" s="376">
        <v>1.0</v>
      </c>
    </row>
    <row r="403" ht="15.75" customHeight="1">
      <c r="A403" s="334" t="s">
        <v>7594</v>
      </c>
      <c r="B403" s="375">
        <v>45945.0</v>
      </c>
      <c r="C403" s="334" t="s">
        <v>9</v>
      </c>
      <c r="D403" s="334" t="s">
        <v>50</v>
      </c>
      <c r="E403" s="334" t="s">
        <v>460</v>
      </c>
      <c r="F403" s="334" t="s">
        <v>575</v>
      </c>
      <c r="G403" s="334" t="s">
        <v>7378</v>
      </c>
      <c r="I403" s="334">
        <v>0.5</v>
      </c>
      <c r="M403" s="345">
        <v>45944.738541666666</v>
      </c>
      <c r="N403" s="376">
        <v>1.0</v>
      </c>
    </row>
    <row r="404" ht="15.75" customHeight="1">
      <c r="A404" s="334" t="s">
        <v>7595</v>
      </c>
      <c r="B404" s="375">
        <v>45945.0</v>
      </c>
      <c r="C404" s="334" t="s">
        <v>9</v>
      </c>
      <c r="D404" s="334" t="s">
        <v>49</v>
      </c>
      <c r="E404" s="334" t="s">
        <v>461</v>
      </c>
      <c r="F404" s="334" t="s">
        <v>7596</v>
      </c>
      <c r="G404" s="334" t="s">
        <v>7597</v>
      </c>
      <c r="I404" s="334">
        <v>1.5</v>
      </c>
      <c r="M404" s="345">
        <v>45944.73936342593</v>
      </c>
      <c r="N404" s="376">
        <v>1.0</v>
      </c>
    </row>
    <row r="405" ht="15.75" customHeight="1">
      <c r="A405" s="334" t="s">
        <v>7598</v>
      </c>
      <c r="B405" s="375">
        <v>45944.0</v>
      </c>
      <c r="C405" s="334" t="s">
        <v>29</v>
      </c>
      <c r="D405" s="334" t="s">
        <v>63</v>
      </c>
      <c r="E405" s="334" t="s">
        <v>472</v>
      </c>
      <c r="F405" s="334" t="s">
        <v>116</v>
      </c>
      <c r="G405" s="334" t="s">
        <v>7326</v>
      </c>
      <c r="I405" s="334">
        <v>2.0</v>
      </c>
      <c r="M405" s="345">
        <v>45945.64266203704</v>
      </c>
      <c r="N405" s="376">
        <v>1.0</v>
      </c>
    </row>
    <row r="406" ht="15.75" customHeight="1">
      <c r="A406" s="334" t="s">
        <v>7599</v>
      </c>
      <c r="B406" s="375">
        <v>45947.0</v>
      </c>
      <c r="C406" s="334" t="s">
        <v>532</v>
      </c>
      <c r="D406" s="334" t="s">
        <v>77</v>
      </c>
      <c r="E406" s="334" t="s">
        <v>486</v>
      </c>
      <c r="F406" s="334" t="s">
        <v>7078</v>
      </c>
      <c r="G406" s="334" t="s">
        <v>7079</v>
      </c>
      <c r="I406" s="334">
        <v>0.5</v>
      </c>
      <c r="M406" s="345">
        <v>45947.26726851852</v>
      </c>
      <c r="N406" s="376">
        <v>1.0</v>
      </c>
    </row>
    <row r="407" ht="15.75" customHeight="1">
      <c r="A407" s="334" t="s">
        <v>7600</v>
      </c>
      <c r="B407" s="375">
        <v>45947.0</v>
      </c>
      <c r="C407" s="334" t="s">
        <v>22</v>
      </c>
      <c r="D407" s="334" t="s">
        <v>47</v>
      </c>
      <c r="E407" s="334" t="s">
        <v>468</v>
      </c>
      <c r="F407" s="334" t="s">
        <v>7487</v>
      </c>
      <c r="G407" s="334" t="s">
        <v>7488</v>
      </c>
      <c r="I407" s="334">
        <v>0.5</v>
      </c>
      <c r="M407" s="345">
        <v>45947.26783564815</v>
      </c>
      <c r="N407" s="376">
        <v>1.0</v>
      </c>
    </row>
    <row r="408" ht="15.75" customHeight="1">
      <c r="A408" s="334" t="s">
        <v>7601</v>
      </c>
      <c r="B408" s="375">
        <v>45947.0</v>
      </c>
      <c r="C408" s="334" t="s">
        <v>9</v>
      </c>
      <c r="D408" s="334" t="s">
        <v>51</v>
      </c>
      <c r="E408" s="334" t="s">
        <v>458</v>
      </c>
      <c r="F408" s="334" t="s">
        <v>7602</v>
      </c>
      <c r="G408" s="334" t="s">
        <v>7603</v>
      </c>
      <c r="I408" s="334">
        <v>0.5</v>
      </c>
      <c r="M408" s="345">
        <v>45947.2683912037</v>
      </c>
      <c r="N408" s="376">
        <v>1.0</v>
      </c>
    </row>
    <row r="409" ht="15.75" customHeight="1">
      <c r="A409" s="334" t="s">
        <v>7604</v>
      </c>
      <c r="B409" s="375">
        <v>45947.0</v>
      </c>
      <c r="C409" s="334" t="s">
        <v>9</v>
      </c>
      <c r="D409" s="334" t="s">
        <v>47</v>
      </c>
      <c r="E409" s="334" t="s">
        <v>459</v>
      </c>
      <c r="F409" s="334" t="s">
        <v>7587</v>
      </c>
      <c r="G409" s="334" t="s">
        <v>7588</v>
      </c>
      <c r="I409" s="334">
        <v>0.5</v>
      </c>
      <c r="M409" s="345">
        <v>45947.26865740741</v>
      </c>
      <c r="N409" s="376">
        <v>1.0</v>
      </c>
    </row>
    <row r="410" ht="15.75" customHeight="1">
      <c r="A410" s="334" t="s">
        <v>7605</v>
      </c>
      <c r="B410" s="375">
        <v>45947.0</v>
      </c>
      <c r="C410" s="334" t="s">
        <v>9</v>
      </c>
      <c r="D410" s="334" t="s">
        <v>50</v>
      </c>
      <c r="E410" s="334" t="s">
        <v>460</v>
      </c>
      <c r="F410" s="334" t="s">
        <v>7592</v>
      </c>
      <c r="G410" s="334" t="s">
        <v>7593</v>
      </c>
      <c r="I410" s="334">
        <v>0.5</v>
      </c>
      <c r="M410" s="345">
        <v>45947.268842592595</v>
      </c>
      <c r="N410" s="376">
        <v>1.0</v>
      </c>
    </row>
    <row r="411" ht="15.75" customHeight="1">
      <c r="A411" s="334" t="s">
        <v>7606</v>
      </c>
      <c r="B411" s="375">
        <v>45947.0</v>
      </c>
      <c r="C411" s="334" t="s">
        <v>9</v>
      </c>
      <c r="D411" s="334" t="s">
        <v>49</v>
      </c>
      <c r="E411" s="334" t="s">
        <v>461</v>
      </c>
      <c r="F411" s="334" t="s">
        <v>7596</v>
      </c>
      <c r="G411" s="334" t="s">
        <v>7597</v>
      </c>
      <c r="I411" s="334">
        <v>0.5</v>
      </c>
      <c r="M411" s="345">
        <v>45947.26907407407</v>
      </c>
      <c r="N411" s="376">
        <v>1.0</v>
      </c>
    </row>
    <row r="412" ht="15.75" customHeight="1">
      <c r="A412" s="334" t="s">
        <v>7607</v>
      </c>
      <c r="B412" s="375">
        <v>45947.0</v>
      </c>
      <c r="C412" s="334" t="s">
        <v>36</v>
      </c>
      <c r="D412" s="334" t="s">
        <v>1303</v>
      </c>
      <c r="E412" s="334" t="s">
        <v>469</v>
      </c>
      <c r="F412" s="334" t="s">
        <v>6996</v>
      </c>
      <c r="G412" s="334" t="s">
        <v>7002</v>
      </c>
      <c r="I412" s="334">
        <v>0.5</v>
      </c>
      <c r="M412" s="345">
        <v>45947.26935185185</v>
      </c>
      <c r="N412" s="376">
        <v>1.0</v>
      </c>
    </row>
    <row r="413" ht="15.75" customHeight="1">
      <c r="A413" s="334" t="s">
        <v>7608</v>
      </c>
      <c r="B413" s="375">
        <v>45947.0</v>
      </c>
      <c r="C413" s="334" t="s">
        <v>10</v>
      </c>
      <c r="D413" s="334" t="s">
        <v>47</v>
      </c>
      <c r="E413" s="334" t="s">
        <v>463</v>
      </c>
      <c r="F413" s="334" t="s">
        <v>6996</v>
      </c>
      <c r="G413" s="334" t="s">
        <v>6997</v>
      </c>
      <c r="I413" s="334">
        <v>0.5</v>
      </c>
      <c r="M413" s="345">
        <v>45947.269733796296</v>
      </c>
      <c r="N413" s="376">
        <v>1.0</v>
      </c>
    </row>
    <row r="414" ht="15.75" customHeight="1">
      <c r="A414" s="334" t="s">
        <v>7609</v>
      </c>
      <c r="B414" s="375">
        <v>45947.0</v>
      </c>
      <c r="C414" s="334" t="s">
        <v>10</v>
      </c>
      <c r="D414" s="334" t="s">
        <v>46</v>
      </c>
      <c r="E414" s="334" t="s">
        <v>464</v>
      </c>
      <c r="F414" s="334" t="s">
        <v>149</v>
      </c>
      <c r="G414" s="334" t="s">
        <v>7461</v>
      </c>
      <c r="I414" s="334">
        <v>0.5</v>
      </c>
      <c r="M414" s="345">
        <v>45947.26997685185</v>
      </c>
      <c r="N414" s="376">
        <v>1.0</v>
      </c>
    </row>
    <row r="415" ht="15.75" customHeight="1">
      <c r="A415" s="334" t="s">
        <v>7610</v>
      </c>
      <c r="B415" s="375">
        <v>45947.0</v>
      </c>
      <c r="C415" s="334" t="s">
        <v>7</v>
      </c>
      <c r="D415" s="334" t="s">
        <v>49</v>
      </c>
      <c r="E415" s="334" t="s">
        <v>455</v>
      </c>
      <c r="F415" s="334" t="s">
        <v>7074</v>
      </c>
      <c r="G415" s="334" t="s">
        <v>7075</v>
      </c>
      <c r="I415" s="334">
        <v>0.5</v>
      </c>
      <c r="M415" s="345">
        <v>45947.27074074074</v>
      </c>
      <c r="N415" s="376">
        <v>1.0</v>
      </c>
    </row>
    <row r="416" ht="15.75" customHeight="1">
      <c r="A416" s="334" t="s">
        <v>7611</v>
      </c>
      <c r="B416" s="375">
        <v>45947.0</v>
      </c>
      <c r="C416" s="334" t="s">
        <v>31</v>
      </c>
      <c r="D416" s="334" t="s">
        <v>64</v>
      </c>
      <c r="E416" s="334" t="s">
        <v>478</v>
      </c>
      <c r="F416" s="334" t="s">
        <v>116</v>
      </c>
      <c r="G416" s="334" t="s">
        <v>7337</v>
      </c>
      <c r="I416" s="334">
        <v>0.5</v>
      </c>
      <c r="M416" s="345">
        <v>45947.271365740744</v>
      </c>
      <c r="N416" s="376">
        <v>1.0</v>
      </c>
    </row>
    <row r="417" ht="15.75" customHeight="1">
      <c r="A417" s="334" t="s">
        <v>7612</v>
      </c>
      <c r="B417" s="375">
        <v>45947.0</v>
      </c>
      <c r="C417" s="334" t="s">
        <v>11</v>
      </c>
      <c r="D417" s="334" t="s">
        <v>46</v>
      </c>
      <c r="E417" s="334" t="s">
        <v>488</v>
      </c>
      <c r="F417" s="334" t="s">
        <v>7094</v>
      </c>
      <c r="G417" s="334" t="s">
        <v>7095</v>
      </c>
      <c r="I417" s="334">
        <v>0.5</v>
      </c>
      <c r="M417" s="345">
        <v>45947.27179398148</v>
      </c>
      <c r="N417" s="376">
        <v>1.0</v>
      </c>
    </row>
    <row r="418" ht="15.75" customHeight="1">
      <c r="A418" s="334" t="s">
        <v>7613</v>
      </c>
      <c r="B418" s="375">
        <v>45947.0</v>
      </c>
      <c r="C418" s="334" t="s">
        <v>28</v>
      </c>
      <c r="D418" s="334" t="s">
        <v>52</v>
      </c>
      <c r="E418" s="334" t="s">
        <v>493</v>
      </c>
      <c r="F418" s="334" t="s">
        <v>7614</v>
      </c>
      <c r="G418" s="334" t="s">
        <v>7615</v>
      </c>
      <c r="I418" s="334">
        <v>0.5</v>
      </c>
      <c r="M418" s="345">
        <v>45947.37585648148</v>
      </c>
      <c r="N418" s="376">
        <v>1.0</v>
      </c>
    </row>
    <row r="419" ht="15.75" customHeight="1">
      <c r="A419" s="334" t="s">
        <v>7616</v>
      </c>
      <c r="B419" s="375">
        <v>45948.0</v>
      </c>
      <c r="C419" s="334" t="s">
        <v>6</v>
      </c>
      <c r="D419" s="334" t="s">
        <v>48</v>
      </c>
      <c r="E419" s="334" t="s">
        <v>454</v>
      </c>
      <c r="F419" s="334" t="s">
        <v>7551</v>
      </c>
      <c r="G419" s="334" t="s">
        <v>7552</v>
      </c>
      <c r="I419" s="334">
        <v>0.5</v>
      </c>
      <c r="M419" s="345">
        <v>45947.71986111111</v>
      </c>
      <c r="N419" s="376">
        <v>1.0</v>
      </c>
    </row>
    <row r="420" ht="15.75" customHeight="1">
      <c r="A420" s="334" t="s">
        <v>7617</v>
      </c>
      <c r="B420" s="375">
        <v>45948.0</v>
      </c>
      <c r="C420" s="334" t="s">
        <v>13</v>
      </c>
      <c r="D420" s="334" t="s">
        <v>49</v>
      </c>
      <c r="E420" s="334" t="s">
        <v>467</v>
      </c>
      <c r="F420" s="334" t="s">
        <v>130</v>
      </c>
      <c r="G420" s="334" t="s">
        <v>7086</v>
      </c>
      <c r="I420" s="334">
        <v>0.5</v>
      </c>
      <c r="M420" s="345">
        <v>45947.72009259259</v>
      </c>
      <c r="N420" s="376">
        <v>1.0</v>
      </c>
    </row>
    <row r="421" ht="15.75" customHeight="1">
      <c r="A421" s="334" t="s">
        <v>7618</v>
      </c>
      <c r="B421" s="375">
        <v>45948.0</v>
      </c>
      <c r="C421" s="334" t="s">
        <v>534</v>
      </c>
      <c r="D421" s="334" t="s">
        <v>46</v>
      </c>
      <c r="E421" s="334" t="s">
        <v>489</v>
      </c>
      <c r="F421" s="334" t="s">
        <v>130</v>
      </c>
      <c r="G421" s="334" t="s">
        <v>7517</v>
      </c>
      <c r="I421" s="334">
        <v>0.5</v>
      </c>
      <c r="M421" s="345">
        <v>45947.720300925925</v>
      </c>
      <c r="N421" s="376">
        <v>1.0</v>
      </c>
    </row>
    <row r="422" ht="15.75" customHeight="1">
      <c r="A422" s="334" t="s">
        <v>7619</v>
      </c>
      <c r="B422" s="375">
        <v>45948.0</v>
      </c>
      <c r="C422" s="334" t="s">
        <v>31</v>
      </c>
      <c r="D422" s="334" t="s">
        <v>64</v>
      </c>
      <c r="E422" s="334" t="s">
        <v>478</v>
      </c>
      <c r="F422" s="334" t="s">
        <v>116</v>
      </c>
      <c r="G422" s="334" t="s">
        <v>7337</v>
      </c>
      <c r="I422" s="334">
        <v>1.0</v>
      </c>
      <c r="M422" s="345">
        <v>45947.76936342593</v>
      </c>
      <c r="N422" s="376">
        <v>1.0</v>
      </c>
    </row>
    <row r="423" ht="15.75" customHeight="1">
      <c r="A423" s="334" t="s">
        <v>7620</v>
      </c>
      <c r="B423" s="375">
        <v>45951.0</v>
      </c>
      <c r="C423" s="334" t="s">
        <v>531</v>
      </c>
      <c r="D423" s="334" t="s">
        <v>77</v>
      </c>
      <c r="E423" s="334" t="s">
        <v>449</v>
      </c>
      <c r="F423" s="334" t="s">
        <v>6983</v>
      </c>
      <c r="G423" s="334" t="s">
        <v>7065</v>
      </c>
      <c r="I423" s="334">
        <v>1.0</v>
      </c>
      <c r="M423" s="345">
        <v>45951.282372685186</v>
      </c>
      <c r="N423" s="376">
        <v>1.0</v>
      </c>
    </row>
    <row r="424" ht="15.75" customHeight="1">
      <c r="A424" s="334" t="s">
        <v>7621</v>
      </c>
      <c r="B424" s="375">
        <v>45951.0</v>
      </c>
      <c r="C424" s="334" t="s">
        <v>532</v>
      </c>
      <c r="D424" s="334" t="s">
        <v>77</v>
      </c>
      <c r="E424" s="334" t="s">
        <v>486</v>
      </c>
      <c r="F424" s="334" t="s">
        <v>7078</v>
      </c>
      <c r="G424" s="334" t="s">
        <v>7079</v>
      </c>
      <c r="I424" s="334">
        <v>0.5</v>
      </c>
      <c r="M424" s="345">
        <v>45951.28266203704</v>
      </c>
      <c r="N424" s="376">
        <v>1.0</v>
      </c>
    </row>
    <row r="425" ht="15.75" customHeight="1">
      <c r="A425" s="334" t="s">
        <v>7622</v>
      </c>
      <c r="B425" s="375">
        <v>45951.0</v>
      </c>
      <c r="C425" s="334" t="s">
        <v>535</v>
      </c>
      <c r="D425" s="334" t="s">
        <v>77</v>
      </c>
      <c r="E425" s="334" t="s">
        <v>495</v>
      </c>
      <c r="F425" s="334" t="s">
        <v>6983</v>
      </c>
      <c r="G425" s="334" t="s">
        <v>6986</v>
      </c>
      <c r="I425" s="334">
        <v>1.0</v>
      </c>
      <c r="M425" s="345">
        <v>45951.28295138889</v>
      </c>
      <c r="N425" s="376">
        <v>1.0</v>
      </c>
    </row>
    <row r="426" ht="15.75" customHeight="1">
      <c r="A426" s="334" t="s">
        <v>7623</v>
      </c>
      <c r="B426" s="375">
        <v>45951.0</v>
      </c>
      <c r="C426" s="334" t="s">
        <v>536</v>
      </c>
      <c r="D426" s="334" t="s">
        <v>77</v>
      </c>
      <c r="E426" s="334" t="s">
        <v>496</v>
      </c>
      <c r="F426" s="334" t="s">
        <v>6988</v>
      </c>
      <c r="G426" s="334" t="s">
        <v>6989</v>
      </c>
      <c r="I426" s="334">
        <v>1.0</v>
      </c>
      <c r="M426" s="345">
        <v>45951.283171296294</v>
      </c>
      <c r="N426" s="376">
        <v>1.0</v>
      </c>
    </row>
    <row r="427" ht="15.75" customHeight="1">
      <c r="A427" s="334" t="s">
        <v>7624</v>
      </c>
      <c r="B427" s="375">
        <v>45951.0</v>
      </c>
      <c r="C427" s="334" t="s">
        <v>7</v>
      </c>
      <c r="D427" s="334" t="s">
        <v>49</v>
      </c>
      <c r="E427" s="334" t="s">
        <v>455</v>
      </c>
      <c r="F427" s="334" t="s">
        <v>7041</v>
      </c>
      <c r="G427" s="334" t="s">
        <v>7097</v>
      </c>
      <c r="I427" s="334">
        <v>0.5</v>
      </c>
      <c r="M427" s="345">
        <v>45951.283472222225</v>
      </c>
      <c r="N427" s="376">
        <v>1.0</v>
      </c>
    </row>
    <row r="428" ht="15.75" customHeight="1">
      <c r="A428" s="334" t="s">
        <v>7625</v>
      </c>
      <c r="B428" s="375">
        <v>45951.0</v>
      </c>
      <c r="C428" s="334" t="s">
        <v>19</v>
      </c>
      <c r="D428" s="334" t="s">
        <v>61</v>
      </c>
      <c r="E428" s="334" t="s">
        <v>506</v>
      </c>
      <c r="F428" s="334" t="s">
        <v>116</v>
      </c>
      <c r="G428" s="334" t="s">
        <v>6980</v>
      </c>
      <c r="I428" s="334">
        <v>1.0</v>
      </c>
      <c r="M428" s="345">
        <v>45951.28537037037</v>
      </c>
      <c r="N428" s="376">
        <v>1.0</v>
      </c>
    </row>
    <row r="429" ht="15.75" customHeight="1">
      <c r="A429" s="334" t="s">
        <v>7626</v>
      </c>
      <c r="B429" s="375">
        <v>45951.0</v>
      </c>
      <c r="C429" s="334" t="s">
        <v>37</v>
      </c>
      <c r="D429" s="334" t="s">
        <v>48</v>
      </c>
      <c r="E429" s="334" t="s">
        <v>510</v>
      </c>
      <c r="F429" s="334" t="s">
        <v>7041</v>
      </c>
      <c r="G429" s="334" t="s">
        <v>7042</v>
      </c>
      <c r="I429" s="334">
        <v>1.0</v>
      </c>
      <c r="M429" s="345">
        <v>45951.28563657407</v>
      </c>
      <c r="N429" s="376">
        <v>1.0</v>
      </c>
    </row>
    <row r="430" ht="15.75" customHeight="1">
      <c r="A430" s="334" t="s">
        <v>7627</v>
      </c>
      <c r="B430" s="375">
        <v>45951.0</v>
      </c>
      <c r="C430" s="334" t="s">
        <v>6</v>
      </c>
      <c r="D430" s="334" t="s">
        <v>48</v>
      </c>
      <c r="E430" s="334" t="s">
        <v>454</v>
      </c>
      <c r="F430" s="334" t="s">
        <v>7551</v>
      </c>
      <c r="G430" s="334" t="s">
        <v>7552</v>
      </c>
      <c r="I430" s="334">
        <v>0.5</v>
      </c>
      <c r="M430" s="345">
        <v>45951.28601851852</v>
      </c>
      <c r="N430" s="376">
        <v>1.0</v>
      </c>
    </row>
    <row r="431" ht="15.75" customHeight="1">
      <c r="A431" s="334" t="s">
        <v>7628</v>
      </c>
      <c r="B431" s="375">
        <v>45951.0</v>
      </c>
      <c r="C431" s="334" t="s">
        <v>31</v>
      </c>
      <c r="D431" s="334" t="s">
        <v>64</v>
      </c>
      <c r="E431" s="334" t="s">
        <v>478</v>
      </c>
      <c r="F431" s="334" t="s">
        <v>116</v>
      </c>
      <c r="G431" s="334" t="s">
        <v>7337</v>
      </c>
      <c r="I431" s="334">
        <v>0.5</v>
      </c>
      <c r="M431" s="345">
        <v>45951.28662037037</v>
      </c>
      <c r="N431" s="376">
        <v>1.0</v>
      </c>
    </row>
    <row r="432" ht="15.75" customHeight="1">
      <c r="A432" s="334" t="s">
        <v>7629</v>
      </c>
      <c r="B432" s="375">
        <v>45951.0</v>
      </c>
      <c r="C432" s="334" t="s">
        <v>9</v>
      </c>
      <c r="D432" s="334" t="s">
        <v>51</v>
      </c>
      <c r="E432" s="334" t="s">
        <v>458</v>
      </c>
      <c r="F432" s="334" t="s">
        <v>7602</v>
      </c>
      <c r="G432" s="334" t="s">
        <v>7603</v>
      </c>
      <c r="I432" s="334">
        <v>0.5</v>
      </c>
      <c r="M432" s="345">
        <v>45951.28728009259</v>
      </c>
      <c r="N432" s="376">
        <v>1.0</v>
      </c>
    </row>
    <row r="433" ht="15.75" customHeight="1">
      <c r="A433" s="334" t="s">
        <v>7630</v>
      </c>
      <c r="B433" s="375">
        <v>45951.0</v>
      </c>
      <c r="C433" s="334" t="s">
        <v>9</v>
      </c>
      <c r="D433" s="334" t="s">
        <v>47</v>
      </c>
      <c r="E433" s="334" t="s">
        <v>459</v>
      </c>
      <c r="F433" s="334" t="s">
        <v>7587</v>
      </c>
      <c r="G433" s="334" t="s">
        <v>7588</v>
      </c>
      <c r="I433" s="334">
        <v>0.5</v>
      </c>
      <c r="M433" s="345">
        <v>45951.28759259259</v>
      </c>
      <c r="N433" s="376">
        <v>1.0</v>
      </c>
    </row>
    <row r="434" ht="15.75" customHeight="1">
      <c r="A434" s="334" t="s">
        <v>7631</v>
      </c>
      <c r="B434" s="375">
        <v>45951.0</v>
      </c>
      <c r="C434" s="334" t="s">
        <v>9</v>
      </c>
      <c r="D434" s="334" t="s">
        <v>50</v>
      </c>
      <c r="E434" s="334" t="s">
        <v>460</v>
      </c>
      <c r="F434" s="334" t="s">
        <v>7592</v>
      </c>
      <c r="G434" s="334" t="s">
        <v>7593</v>
      </c>
      <c r="I434" s="334">
        <v>0.5</v>
      </c>
      <c r="M434" s="345">
        <v>45951.287824074076</v>
      </c>
      <c r="N434" s="376">
        <v>1.0</v>
      </c>
    </row>
    <row r="435" ht="15.75" customHeight="1">
      <c r="A435" s="334" t="s">
        <v>7632</v>
      </c>
      <c r="B435" s="375">
        <v>45951.0</v>
      </c>
      <c r="C435" s="334" t="s">
        <v>9</v>
      </c>
      <c r="D435" s="334" t="s">
        <v>49</v>
      </c>
      <c r="E435" s="334" t="s">
        <v>461</v>
      </c>
      <c r="F435" s="334" t="s">
        <v>7596</v>
      </c>
      <c r="G435" s="334" t="s">
        <v>7597</v>
      </c>
      <c r="I435" s="334">
        <v>0.5</v>
      </c>
      <c r="M435" s="345">
        <v>45951.28802083333</v>
      </c>
      <c r="N435" s="376">
        <v>1.0</v>
      </c>
    </row>
    <row r="436" ht="15.75" customHeight="1">
      <c r="A436" s="334" t="s">
        <v>7633</v>
      </c>
      <c r="B436" s="375">
        <v>45951.0</v>
      </c>
      <c r="C436" s="334" t="s">
        <v>10</v>
      </c>
      <c r="D436" s="334" t="s">
        <v>47</v>
      </c>
      <c r="E436" s="334" t="s">
        <v>463</v>
      </c>
      <c r="F436" s="334" t="s">
        <v>6996</v>
      </c>
      <c r="G436" s="334" t="s">
        <v>6997</v>
      </c>
      <c r="I436" s="334">
        <v>0.5</v>
      </c>
      <c r="M436" s="345">
        <v>45951.28832175926</v>
      </c>
      <c r="N436" s="376">
        <v>1.0</v>
      </c>
    </row>
    <row r="437" ht="15.75" customHeight="1">
      <c r="A437" s="334" t="s">
        <v>7634</v>
      </c>
      <c r="B437" s="375">
        <v>45951.0</v>
      </c>
      <c r="C437" s="334" t="s">
        <v>10</v>
      </c>
      <c r="D437" s="334" t="s">
        <v>46</v>
      </c>
      <c r="E437" s="334" t="s">
        <v>464</v>
      </c>
      <c r="F437" s="334" t="s">
        <v>149</v>
      </c>
      <c r="G437" s="334" t="s">
        <v>7461</v>
      </c>
      <c r="I437" s="334">
        <v>0.5</v>
      </c>
      <c r="M437" s="345">
        <v>45951.288668981484</v>
      </c>
      <c r="N437" s="376">
        <v>1.0</v>
      </c>
    </row>
    <row r="438" ht="15.75" customHeight="1">
      <c r="A438" s="334" t="s">
        <v>7635</v>
      </c>
      <c r="B438" s="375">
        <v>45951.0</v>
      </c>
      <c r="C438" s="334" t="s">
        <v>36</v>
      </c>
      <c r="D438" s="334" t="s">
        <v>1303</v>
      </c>
      <c r="E438" s="334" t="s">
        <v>469</v>
      </c>
      <c r="F438" s="334" t="s">
        <v>6996</v>
      </c>
      <c r="G438" s="334" t="s">
        <v>7002</v>
      </c>
      <c r="I438" s="334">
        <v>0.5</v>
      </c>
      <c r="M438" s="345">
        <v>45951.2890162037</v>
      </c>
      <c r="N438" s="376">
        <v>1.0</v>
      </c>
    </row>
    <row r="439" ht="15.75" customHeight="1">
      <c r="A439" s="334" t="s">
        <v>7636</v>
      </c>
      <c r="B439" s="375">
        <v>45951.0</v>
      </c>
      <c r="C439" s="334" t="s">
        <v>29</v>
      </c>
      <c r="D439" s="334" t="s">
        <v>63</v>
      </c>
      <c r="E439" s="334" t="s">
        <v>472</v>
      </c>
      <c r="F439" s="334" t="s">
        <v>1199</v>
      </c>
      <c r="G439" s="334" t="s">
        <v>7324</v>
      </c>
      <c r="I439" s="334">
        <v>3.5</v>
      </c>
      <c r="M439" s="345">
        <v>45951.291238425925</v>
      </c>
      <c r="N439" s="376">
        <v>1.0</v>
      </c>
    </row>
    <row r="440" ht="15.75" customHeight="1">
      <c r="A440" s="334" t="s">
        <v>7637</v>
      </c>
      <c r="B440" s="375">
        <v>45951.0</v>
      </c>
      <c r="C440" s="334" t="s">
        <v>29</v>
      </c>
      <c r="D440" s="334" t="s">
        <v>63</v>
      </c>
      <c r="E440" s="334" t="s">
        <v>472</v>
      </c>
      <c r="F440" s="334" t="s">
        <v>116</v>
      </c>
      <c r="G440" s="334" t="s">
        <v>7326</v>
      </c>
      <c r="I440" s="334">
        <v>0.5</v>
      </c>
      <c r="M440" s="345">
        <v>45951.291608796295</v>
      </c>
      <c r="N440" s="376">
        <v>1.0</v>
      </c>
    </row>
    <row r="441" ht="15.75" customHeight="1">
      <c r="A441" s="334" t="s">
        <v>7638</v>
      </c>
      <c r="B441" s="375">
        <v>45951.0</v>
      </c>
      <c r="C441" s="334" t="s">
        <v>14</v>
      </c>
      <c r="D441" s="334" t="s">
        <v>48</v>
      </c>
      <c r="E441" s="334" t="s">
        <v>498</v>
      </c>
      <c r="F441" s="334" t="s">
        <v>7019</v>
      </c>
      <c r="G441" s="334" t="s">
        <v>7020</v>
      </c>
      <c r="I441" s="334">
        <v>1.0</v>
      </c>
      <c r="M441" s="345">
        <v>45951.37755787037</v>
      </c>
      <c r="N441" s="376">
        <v>1.0</v>
      </c>
    </row>
    <row r="442" ht="15.75" customHeight="1">
      <c r="A442" s="334" t="s">
        <v>7639</v>
      </c>
      <c r="B442" s="375">
        <v>45951.0</v>
      </c>
      <c r="C442" s="334" t="s">
        <v>28</v>
      </c>
      <c r="D442" s="334" t="s">
        <v>52</v>
      </c>
      <c r="E442" s="334" t="s">
        <v>493</v>
      </c>
      <c r="F442" s="334" t="s">
        <v>7008</v>
      </c>
      <c r="G442" s="334" t="s">
        <v>7009</v>
      </c>
      <c r="I442" s="334">
        <v>0.5</v>
      </c>
      <c r="M442" s="345">
        <v>45951.37815972222</v>
      </c>
      <c r="N442" s="376">
        <v>1.0</v>
      </c>
    </row>
    <row r="443" ht="15.75" customHeight="1">
      <c r="A443" s="334" t="s">
        <v>7640</v>
      </c>
      <c r="B443" s="375">
        <v>45951.0</v>
      </c>
      <c r="C443" s="334" t="s">
        <v>29</v>
      </c>
      <c r="D443" s="334" t="s">
        <v>63</v>
      </c>
      <c r="E443" s="334" t="s">
        <v>472</v>
      </c>
      <c r="F443" s="334" t="s">
        <v>111</v>
      </c>
      <c r="G443" s="334" t="s">
        <v>7641</v>
      </c>
      <c r="I443" s="334">
        <v>42.5</v>
      </c>
      <c r="M443" s="345">
        <v>45951.385358796295</v>
      </c>
      <c r="N443" s="376">
        <v>1.0</v>
      </c>
    </row>
    <row r="444" ht="15.75" customHeight="1">
      <c r="A444" s="334" t="s">
        <v>7642</v>
      </c>
      <c r="B444" s="375">
        <v>45951.0</v>
      </c>
      <c r="C444" s="334" t="s">
        <v>29</v>
      </c>
      <c r="D444" s="334" t="s">
        <v>63</v>
      </c>
      <c r="E444" s="334" t="s">
        <v>472</v>
      </c>
      <c r="F444" s="334" t="s">
        <v>119</v>
      </c>
      <c r="G444" s="334" t="s">
        <v>7643</v>
      </c>
      <c r="I444" s="334">
        <v>40.5</v>
      </c>
      <c r="M444" s="345">
        <v>45951.38853009259</v>
      </c>
      <c r="N444" s="376">
        <v>1.0</v>
      </c>
    </row>
    <row r="445" ht="15.75" customHeight="1">
      <c r="A445" s="334" t="s">
        <v>7644</v>
      </c>
      <c r="B445" s="375">
        <v>45951.0</v>
      </c>
      <c r="C445" s="334" t="s">
        <v>29</v>
      </c>
      <c r="D445" s="334" t="s">
        <v>63</v>
      </c>
      <c r="E445" s="334" t="s">
        <v>472</v>
      </c>
      <c r="F445" s="334" t="s">
        <v>122</v>
      </c>
      <c r="G445" s="334" t="s">
        <v>7645</v>
      </c>
      <c r="I445" s="334">
        <v>39.5</v>
      </c>
      <c r="M445" s="345">
        <v>45951.39048611111</v>
      </c>
      <c r="N445" s="376">
        <v>1.0</v>
      </c>
    </row>
    <row r="446" ht="15.75" customHeight="1">
      <c r="A446" s="334" t="s">
        <v>7646</v>
      </c>
      <c r="B446" s="375">
        <v>45952.0</v>
      </c>
      <c r="C446" s="334" t="s">
        <v>534</v>
      </c>
      <c r="D446" s="334" t="s">
        <v>46</v>
      </c>
      <c r="E446" s="334" t="s">
        <v>489</v>
      </c>
      <c r="F446" s="334" t="s">
        <v>130</v>
      </c>
      <c r="G446" s="334" t="s">
        <v>7517</v>
      </c>
      <c r="I446" s="334">
        <v>0.5</v>
      </c>
      <c r="M446" s="345">
        <v>45951.726435185185</v>
      </c>
      <c r="N446" s="376">
        <v>1.0</v>
      </c>
    </row>
    <row r="447" ht="15.75" customHeight="1">
      <c r="A447" s="334" t="s">
        <v>7647</v>
      </c>
      <c r="B447" s="375">
        <v>45952.0</v>
      </c>
      <c r="C447" s="334" t="s">
        <v>12</v>
      </c>
      <c r="D447" s="334" t="s">
        <v>53</v>
      </c>
      <c r="E447" s="334" t="s">
        <v>491</v>
      </c>
      <c r="F447" s="334" t="s">
        <v>6999</v>
      </c>
      <c r="G447" s="334" t="s">
        <v>7117</v>
      </c>
      <c r="I447" s="334">
        <v>0.5</v>
      </c>
      <c r="M447" s="345">
        <v>45951.726956018516</v>
      </c>
      <c r="N447" s="376">
        <v>1.0</v>
      </c>
    </row>
    <row r="448" ht="15.75" customHeight="1">
      <c r="A448" s="334" t="s">
        <v>7648</v>
      </c>
      <c r="B448" s="375">
        <v>45952.0</v>
      </c>
      <c r="C448" s="334" t="s">
        <v>12</v>
      </c>
      <c r="D448" s="334" t="s">
        <v>53</v>
      </c>
      <c r="E448" s="334" t="s">
        <v>491</v>
      </c>
      <c r="F448" s="334" t="s">
        <v>7418</v>
      </c>
      <c r="G448" s="334" t="s">
        <v>7419</v>
      </c>
      <c r="I448" s="334">
        <v>1.0</v>
      </c>
      <c r="M448" s="345">
        <v>45951.72741898148</v>
      </c>
      <c r="N448" s="376">
        <v>1.0</v>
      </c>
    </row>
    <row r="449" ht="15.75" customHeight="1">
      <c r="A449" s="334" t="s">
        <v>7649</v>
      </c>
      <c r="B449" s="375">
        <v>45952.0</v>
      </c>
      <c r="C449" s="334" t="s">
        <v>14</v>
      </c>
      <c r="D449" s="334" t="s">
        <v>46</v>
      </c>
      <c r="E449" s="334" t="s">
        <v>497</v>
      </c>
      <c r="F449" s="334" t="s">
        <v>7650</v>
      </c>
      <c r="G449" s="334" t="s">
        <v>7651</v>
      </c>
      <c r="I449" s="334">
        <v>1.0</v>
      </c>
      <c r="M449" s="345">
        <v>45951.727951388886</v>
      </c>
      <c r="N449" s="376">
        <v>1.0</v>
      </c>
    </row>
    <row r="450" ht="15.75" customHeight="1">
      <c r="A450" s="334" t="s">
        <v>7652</v>
      </c>
      <c r="B450" s="375">
        <v>45952.0</v>
      </c>
      <c r="C450" s="334" t="s">
        <v>14</v>
      </c>
      <c r="D450" s="334" t="s">
        <v>46</v>
      </c>
      <c r="E450" s="334" t="s">
        <v>497</v>
      </c>
      <c r="F450" s="334" t="s">
        <v>6999</v>
      </c>
      <c r="G450" s="334" t="s">
        <v>7310</v>
      </c>
      <c r="I450" s="334">
        <v>0.5</v>
      </c>
      <c r="M450" s="345">
        <v>45951.72828703704</v>
      </c>
      <c r="N450" s="376">
        <v>1.0</v>
      </c>
    </row>
    <row r="451" ht="15.75" customHeight="1">
      <c r="A451" s="334" t="s">
        <v>7653</v>
      </c>
      <c r="B451" s="375">
        <v>45952.0</v>
      </c>
      <c r="C451" s="334" t="s">
        <v>15</v>
      </c>
      <c r="D451" s="334" t="s">
        <v>58</v>
      </c>
      <c r="E451" s="334" t="s">
        <v>499</v>
      </c>
      <c r="F451" s="334" t="s">
        <v>7569</v>
      </c>
      <c r="G451" s="334" t="s">
        <v>7570</v>
      </c>
      <c r="I451" s="334">
        <v>1.0</v>
      </c>
      <c r="M451" s="345">
        <v>45951.72869212963</v>
      </c>
      <c r="N451" s="376">
        <v>1.0</v>
      </c>
    </row>
    <row r="452" ht="15.75" customHeight="1">
      <c r="A452" s="334" t="s">
        <v>7654</v>
      </c>
      <c r="B452" s="375">
        <v>45952.0</v>
      </c>
      <c r="C452" s="334" t="s">
        <v>15</v>
      </c>
      <c r="D452" s="334" t="s">
        <v>46</v>
      </c>
      <c r="E452" s="334" t="s">
        <v>500</v>
      </c>
      <c r="F452" s="334" t="s">
        <v>7572</v>
      </c>
      <c r="G452" s="334" t="s">
        <v>7573</v>
      </c>
      <c r="I452" s="334">
        <v>1.0</v>
      </c>
      <c r="M452" s="345">
        <v>45951.73005787037</v>
      </c>
      <c r="N452" s="376">
        <v>1.0</v>
      </c>
    </row>
    <row r="453" ht="15.75" customHeight="1">
      <c r="A453" s="334" t="s">
        <v>7655</v>
      </c>
      <c r="B453" s="375">
        <v>45952.0</v>
      </c>
      <c r="C453" s="334" t="s">
        <v>537</v>
      </c>
      <c r="D453" s="334" t="s">
        <v>59</v>
      </c>
      <c r="E453" s="334" t="s">
        <v>501</v>
      </c>
      <c r="F453" s="334" t="s">
        <v>7656</v>
      </c>
      <c r="G453" s="334" t="s">
        <v>7657</v>
      </c>
      <c r="I453" s="334">
        <v>1.0</v>
      </c>
      <c r="M453" s="345">
        <v>45951.73033564815</v>
      </c>
      <c r="N453" s="376">
        <v>1.0</v>
      </c>
    </row>
    <row r="454" ht="15.75" customHeight="1">
      <c r="A454" s="334" t="s">
        <v>7658</v>
      </c>
      <c r="B454" s="375">
        <v>45952.0</v>
      </c>
      <c r="C454" s="334" t="s">
        <v>537</v>
      </c>
      <c r="D454" s="334" t="s">
        <v>1404</v>
      </c>
      <c r="E454" s="334" t="s">
        <v>502</v>
      </c>
      <c r="F454" s="334" t="s">
        <v>7033</v>
      </c>
      <c r="G454" s="334" t="s">
        <v>7659</v>
      </c>
      <c r="I454" s="334">
        <v>1.0</v>
      </c>
      <c r="M454" s="345">
        <v>45951.730625</v>
      </c>
      <c r="N454" s="376">
        <v>1.0</v>
      </c>
    </row>
    <row r="455" ht="15.75" customHeight="1">
      <c r="A455" s="334" t="s">
        <v>7660</v>
      </c>
      <c r="B455" s="375">
        <v>45951.0</v>
      </c>
      <c r="C455" s="334" t="s">
        <v>537</v>
      </c>
      <c r="D455" s="334" t="s">
        <v>7274</v>
      </c>
      <c r="E455" s="334" t="s">
        <v>7275</v>
      </c>
      <c r="F455" s="334" t="s">
        <v>7033</v>
      </c>
      <c r="G455" s="334" t="s">
        <v>7661</v>
      </c>
      <c r="I455" s="334">
        <v>1.0</v>
      </c>
      <c r="M455" s="345">
        <v>45951.73087962963</v>
      </c>
      <c r="N455" s="376">
        <v>1.0</v>
      </c>
    </row>
    <row r="456" ht="15.75" customHeight="1">
      <c r="A456" s="334" t="s">
        <v>7662</v>
      </c>
      <c r="B456" s="375">
        <v>45952.0</v>
      </c>
      <c r="C456" s="334" t="s">
        <v>14</v>
      </c>
      <c r="D456" s="334" t="s">
        <v>46</v>
      </c>
      <c r="E456" s="334" t="s">
        <v>497</v>
      </c>
      <c r="F456" s="334" t="s">
        <v>145</v>
      </c>
      <c r="G456" s="334" t="s">
        <v>7313</v>
      </c>
      <c r="I456" s="334">
        <v>0.5</v>
      </c>
      <c r="M456" s="345">
        <v>45951.74050925926</v>
      </c>
      <c r="N456" s="376">
        <v>1.0</v>
      </c>
    </row>
    <row r="457" ht="15.75" customHeight="1">
      <c r="A457" s="334" t="s">
        <v>7663</v>
      </c>
      <c r="B457" s="375">
        <v>45951.0</v>
      </c>
      <c r="C457" s="334" t="s">
        <v>9</v>
      </c>
      <c r="D457" s="334" t="s">
        <v>50</v>
      </c>
      <c r="E457" s="334" t="s">
        <v>460</v>
      </c>
      <c r="F457" s="334" t="s">
        <v>111</v>
      </c>
      <c r="G457" s="334" t="s">
        <v>7370</v>
      </c>
      <c r="I457" s="334">
        <v>1.0</v>
      </c>
      <c r="M457" s="345">
        <v>45952.41143518518</v>
      </c>
      <c r="N457" s="376">
        <v>1.0</v>
      </c>
    </row>
    <row r="458" ht="15.75" customHeight="1">
      <c r="A458" s="334" t="s">
        <v>7664</v>
      </c>
      <c r="B458" s="375">
        <v>45954.0</v>
      </c>
      <c r="C458" s="334" t="s">
        <v>11</v>
      </c>
      <c r="D458" s="334" t="s">
        <v>46</v>
      </c>
      <c r="E458" s="334" t="s">
        <v>488</v>
      </c>
      <c r="F458" s="334" t="s">
        <v>7094</v>
      </c>
      <c r="G458" s="334" t="s">
        <v>7095</v>
      </c>
      <c r="I458" s="334">
        <v>0.5</v>
      </c>
      <c r="M458" s="345">
        <v>45953.76299768518</v>
      </c>
      <c r="N458" s="376">
        <v>1.0</v>
      </c>
    </row>
    <row r="459" ht="15.75" customHeight="1">
      <c r="A459" s="334" t="s">
        <v>7665</v>
      </c>
      <c r="B459" s="375">
        <v>45940.0</v>
      </c>
      <c r="C459" s="334" t="s">
        <v>7</v>
      </c>
      <c r="D459" s="334" t="s">
        <v>49</v>
      </c>
      <c r="E459" s="334" t="s">
        <v>455</v>
      </c>
      <c r="F459" s="334" t="s">
        <v>7074</v>
      </c>
      <c r="G459" s="334" t="s">
        <v>7075</v>
      </c>
      <c r="I459" s="334">
        <v>1.0</v>
      </c>
      <c r="M459" s="345">
        <v>45954.48399305555</v>
      </c>
      <c r="N459" s="376">
        <v>1.0</v>
      </c>
    </row>
    <row r="460" ht="15.75" customHeight="1">
      <c r="A460" s="334" t="s">
        <v>7666</v>
      </c>
      <c r="B460" s="375">
        <v>45941.0</v>
      </c>
      <c r="C460" s="334" t="s">
        <v>13</v>
      </c>
      <c r="D460" s="334" t="s">
        <v>49</v>
      </c>
      <c r="E460" s="334" t="s">
        <v>467</v>
      </c>
      <c r="F460" s="334" t="s">
        <v>130</v>
      </c>
      <c r="G460" s="334" t="s">
        <v>7086</v>
      </c>
      <c r="I460" s="334">
        <v>1.0</v>
      </c>
      <c r="M460" s="345">
        <v>45954.48494212963</v>
      </c>
      <c r="N460" s="376">
        <v>1.0</v>
      </c>
    </row>
    <row r="461" ht="15.75" customHeight="1">
      <c r="A461" s="334" t="s">
        <v>7667</v>
      </c>
      <c r="B461" s="375">
        <v>45940.0</v>
      </c>
      <c r="C461" s="334" t="s">
        <v>534</v>
      </c>
      <c r="D461" s="334" t="s">
        <v>46</v>
      </c>
      <c r="E461" s="334" t="s">
        <v>489</v>
      </c>
      <c r="F461" s="334" t="s">
        <v>130</v>
      </c>
      <c r="G461" s="334" t="s">
        <v>7517</v>
      </c>
      <c r="I461" s="334">
        <v>1.0</v>
      </c>
      <c r="M461" s="345">
        <v>45954.48709490741</v>
      </c>
      <c r="N461" s="376">
        <v>1.0</v>
      </c>
    </row>
    <row r="462" ht="15.75" customHeight="1">
      <c r="A462" s="334" t="s">
        <v>7668</v>
      </c>
      <c r="B462" s="375">
        <v>45940.0</v>
      </c>
      <c r="C462" s="334" t="s">
        <v>534</v>
      </c>
      <c r="D462" s="334" t="s">
        <v>46</v>
      </c>
      <c r="E462" s="334" t="s">
        <v>489</v>
      </c>
      <c r="F462" s="334" t="s">
        <v>130</v>
      </c>
      <c r="G462" s="334" t="s">
        <v>7517</v>
      </c>
      <c r="I462" s="334">
        <v>1.5</v>
      </c>
      <c r="M462" s="345">
        <v>45954.709444444445</v>
      </c>
      <c r="N462" s="376">
        <v>1.0</v>
      </c>
    </row>
    <row r="463" ht="15.75" customHeight="1">
      <c r="A463" s="334" t="s">
        <v>7669</v>
      </c>
      <c r="B463" s="375">
        <v>45948.0</v>
      </c>
      <c r="C463" s="334" t="s">
        <v>534</v>
      </c>
      <c r="D463" s="334" t="s">
        <v>46</v>
      </c>
      <c r="E463" s="334" t="s">
        <v>489</v>
      </c>
      <c r="F463" s="334" t="s">
        <v>130</v>
      </c>
      <c r="G463" s="334" t="s">
        <v>7517</v>
      </c>
      <c r="I463" s="334">
        <v>0.5</v>
      </c>
      <c r="M463" s="345">
        <v>45954.71394675926</v>
      </c>
      <c r="N463" s="376">
        <v>1.0</v>
      </c>
    </row>
    <row r="464" ht="15.75" customHeight="1">
      <c r="A464" s="334" t="s">
        <v>7670</v>
      </c>
      <c r="B464" s="375">
        <v>45952.0</v>
      </c>
      <c r="C464" s="334" t="s">
        <v>534</v>
      </c>
      <c r="D464" s="334" t="s">
        <v>46</v>
      </c>
      <c r="E464" s="334" t="s">
        <v>489</v>
      </c>
      <c r="F464" s="334" t="s">
        <v>130</v>
      </c>
      <c r="G464" s="334" t="s">
        <v>7517</v>
      </c>
      <c r="I464" s="334">
        <v>0.5</v>
      </c>
      <c r="M464" s="345">
        <v>45954.716157407405</v>
      </c>
      <c r="N464" s="376">
        <v>1.0</v>
      </c>
    </row>
    <row r="465" ht="15.75" customHeight="1">
      <c r="A465" s="334" t="s">
        <v>7671</v>
      </c>
      <c r="B465" s="375">
        <v>45955.0</v>
      </c>
      <c r="C465" s="334" t="s">
        <v>13</v>
      </c>
      <c r="D465" s="334" t="s">
        <v>49</v>
      </c>
      <c r="E465" s="334" t="s">
        <v>467</v>
      </c>
      <c r="F465" s="334" t="s">
        <v>130</v>
      </c>
      <c r="G465" s="334" t="s">
        <v>7086</v>
      </c>
      <c r="I465" s="334">
        <v>0.5</v>
      </c>
      <c r="M465" s="345">
        <v>45954.728368055556</v>
      </c>
      <c r="N465" s="376">
        <v>1.0</v>
      </c>
    </row>
    <row r="466" ht="15.75" customHeight="1">
      <c r="A466" s="334" t="s">
        <v>7672</v>
      </c>
      <c r="B466" s="375">
        <v>45955.0</v>
      </c>
      <c r="C466" s="334" t="s">
        <v>22</v>
      </c>
      <c r="D466" s="334" t="s">
        <v>47</v>
      </c>
      <c r="E466" s="334" t="s">
        <v>468</v>
      </c>
      <c r="F466" s="334" t="s">
        <v>7487</v>
      </c>
      <c r="G466" s="334" t="s">
        <v>7488</v>
      </c>
      <c r="I466" s="334">
        <v>0.5</v>
      </c>
      <c r="M466" s="345">
        <v>45954.757627314815</v>
      </c>
      <c r="N466" s="376">
        <v>1.0</v>
      </c>
    </row>
    <row r="467" ht="15.75" customHeight="1">
      <c r="A467" s="334" t="s">
        <v>7673</v>
      </c>
      <c r="B467" s="375">
        <v>45959.0</v>
      </c>
      <c r="C467" s="334" t="s">
        <v>7</v>
      </c>
      <c r="D467" s="334" t="s">
        <v>49</v>
      </c>
      <c r="E467" s="334" t="s">
        <v>455</v>
      </c>
      <c r="F467" s="334" t="s">
        <v>111</v>
      </c>
      <c r="G467" s="334" t="s">
        <v>7674</v>
      </c>
      <c r="I467" s="334">
        <v>1.0</v>
      </c>
      <c r="M467" s="345">
        <v>45959.26828703703</v>
      </c>
      <c r="N467" s="376">
        <v>1.0</v>
      </c>
    </row>
    <row r="468" ht="15.75" customHeight="1">
      <c r="A468" s="334" t="s">
        <v>7675</v>
      </c>
      <c r="B468" s="375">
        <v>45959.0</v>
      </c>
      <c r="C468" s="334" t="s">
        <v>7</v>
      </c>
      <c r="D468" s="334" t="s">
        <v>49</v>
      </c>
      <c r="E468" s="334" t="s">
        <v>455</v>
      </c>
      <c r="F468" s="334" t="s">
        <v>7676</v>
      </c>
      <c r="G468" s="334" t="s">
        <v>7677</v>
      </c>
      <c r="I468" s="334">
        <v>0.5</v>
      </c>
      <c r="M468" s="345">
        <v>45959.26861111111</v>
      </c>
      <c r="N468" s="376">
        <v>1.0</v>
      </c>
    </row>
    <row r="469" ht="15.75" customHeight="1">
      <c r="A469" s="334" t="s">
        <v>7678</v>
      </c>
      <c r="B469" s="375">
        <v>45959.0</v>
      </c>
      <c r="C469" s="334" t="s">
        <v>10</v>
      </c>
      <c r="D469" s="334" t="s">
        <v>47</v>
      </c>
      <c r="E469" s="334" t="s">
        <v>463</v>
      </c>
      <c r="F469" s="334" t="s">
        <v>111</v>
      </c>
      <c r="G469" s="334" t="s">
        <v>7149</v>
      </c>
      <c r="I469" s="334">
        <v>1.0</v>
      </c>
      <c r="M469" s="345">
        <v>45959.26943287037</v>
      </c>
      <c r="N469" s="376">
        <v>1.0</v>
      </c>
    </row>
    <row r="470" ht="15.75" customHeight="1">
      <c r="A470" s="334" t="s">
        <v>7679</v>
      </c>
      <c r="B470" s="375">
        <v>45959.0</v>
      </c>
      <c r="C470" s="334" t="s">
        <v>10</v>
      </c>
      <c r="D470" s="334" t="s">
        <v>47</v>
      </c>
      <c r="E470" s="334" t="s">
        <v>463</v>
      </c>
      <c r="F470" s="334" t="s">
        <v>7005</v>
      </c>
      <c r="G470" s="334" t="s">
        <v>7151</v>
      </c>
      <c r="I470" s="334">
        <v>0.5</v>
      </c>
      <c r="M470" s="345">
        <v>45959.26966435185</v>
      </c>
      <c r="N470" s="376">
        <v>1.0</v>
      </c>
    </row>
    <row r="471" ht="15.75" customHeight="1">
      <c r="A471" s="334" t="s">
        <v>7680</v>
      </c>
      <c r="B471" s="375">
        <v>45959.0</v>
      </c>
      <c r="C471" s="334" t="s">
        <v>7</v>
      </c>
      <c r="D471" s="334" t="s">
        <v>49</v>
      </c>
      <c r="E471" s="334" t="s">
        <v>455</v>
      </c>
      <c r="F471" s="334" t="s">
        <v>111</v>
      </c>
      <c r="G471" s="334" t="s">
        <v>7674</v>
      </c>
      <c r="I471" s="334">
        <v>0.5</v>
      </c>
      <c r="M471" s="345">
        <v>45959.334074074075</v>
      </c>
      <c r="N471" s="376">
        <v>1.0</v>
      </c>
    </row>
    <row r="472" ht="15.75" customHeight="1">
      <c r="A472" s="334" t="s">
        <v>7681</v>
      </c>
      <c r="B472" s="375">
        <v>45959.0</v>
      </c>
      <c r="C472" s="334" t="s">
        <v>12</v>
      </c>
      <c r="D472" s="334" t="s">
        <v>53</v>
      </c>
      <c r="E472" s="334" t="s">
        <v>491</v>
      </c>
      <c r="F472" s="334" t="s">
        <v>574</v>
      </c>
      <c r="G472" s="334" t="s">
        <v>7122</v>
      </c>
      <c r="I472" s="334">
        <v>1.0</v>
      </c>
      <c r="M472" s="345">
        <v>45959.49959490741</v>
      </c>
      <c r="N472" s="376">
        <v>1.0</v>
      </c>
    </row>
    <row r="473" ht="15.75" customHeight="1">
      <c r="A473" s="334" t="s">
        <v>7682</v>
      </c>
      <c r="B473" s="362">
        <v>45932.0</v>
      </c>
      <c r="C473" s="334" t="s">
        <v>29</v>
      </c>
      <c r="D473" s="334" t="s">
        <v>50</v>
      </c>
      <c r="E473" s="334" t="s">
        <v>473</v>
      </c>
      <c r="F473" s="334" t="s">
        <v>130</v>
      </c>
      <c r="G473" s="334" t="s">
        <v>7683</v>
      </c>
      <c r="I473" s="334">
        <v>-0.3</v>
      </c>
      <c r="M473" s="345">
        <v>45959.50052083333</v>
      </c>
      <c r="N473" s="376">
        <v>1.0</v>
      </c>
    </row>
    <row r="474" ht="15.75" customHeight="1">
      <c r="A474" s="334" t="s">
        <v>7684</v>
      </c>
      <c r="B474" s="375">
        <v>45957.0</v>
      </c>
      <c r="C474" s="334" t="s">
        <v>31</v>
      </c>
      <c r="D474" s="334" t="s">
        <v>47</v>
      </c>
      <c r="E474" s="334" t="s">
        <v>477</v>
      </c>
      <c r="F474" s="334" t="s">
        <v>130</v>
      </c>
      <c r="G474" s="334" t="s">
        <v>7685</v>
      </c>
      <c r="I474" s="334">
        <v>45.8</v>
      </c>
      <c r="M474" s="345">
        <v>45959.55478009259</v>
      </c>
      <c r="N474" s="376">
        <v>1.0</v>
      </c>
    </row>
    <row r="475" ht="15.75" customHeight="1">
      <c r="A475" s="334" t="s">
        <v>7686</v>
      </c>
      <c r="B475" s="375">
        <v>45952.0</v>
      </c>
      <c r="C475" s="334" t="s">
        <v>534</v>
      </c>
      <c r="D475" s="334" t="s">
        <v>46</v>
      </c>
      <c r="E475" s="334" t="s">
        <v>489</v>
      </c>
      <c r="F475" s="334" t="s">
        <v>131</v>
      </c>
      <c r="G475" s="334" t="s">
        <v>7687</v>
      </c>
      <c r="I475" s="334">
        <v>47.8</v>
      </c>
      <c r="M475" s="345">
        <v>45959.55856481481</v>
      </c>
      <c r="N475" s="376">
        <v>1.0</v>
      </c>
    </row>
    <row r="476" ht="15.75" customHeight="1">
      <c r="A476" s="334" t="s">
        <v>7688</v>
      </c>
      <c r="B476" s="375">
        <v>45961.0</v>
      </c>
      <c r="C476" s="334" t="s">
        <v>531</v>
      </c>
      <c r="D476" s="334" t="s">
        <v>77</v>
      </c>
      <c r="E476" s="334" t="s">
        <v>449</v>
      </c>
      <c r="F476" s="334" t="s">
        <v>7472</v>
      </c>
      <c r="G476" s="334" t="s">
        <v>7473</v>
      </c>
      <c r="I476" s="334">
        <v>1.0</v>
      </c>
      <c r="M476" s="344">
        <v>45962.27689814815</v>
      </c>
      <c r="N476" s="376">
        <v>1.0</v>
      </c>
    </row>
    <row r="477" ht="15.75" customHeight="1">
      <c r="A477" s="334" t="s">
        <v>7689</v>
      </c>
      <c r="B477" s="375">
        <v>45961.0</v>
      </c>
      <c r="C477" s="334" t="s">
        <v>29</v>
      </c>
      <c r="D477" s="334" t="s">
        <v>63</v>
      </c>
      <c r="E477" s="334" t="s">
        <v>472</v>
      </c>
      <c r="F477" s="334" t="s">
        <v>7690</v>
      </c>
      <c r="G477" s="334" t="s">
        <v>7691</v>
      </c>
      <c r="I477" s="334">
        <v>-0.5</v>
      </c>
      <c r="M477" s="344">
        <v>45962.27984953704</v>
      </c>
      <c r="N477" s="376">
        <v>1.0</v>
      </c>
    </row>
    <row r="478" ht="15.75" customHeight="1">
      <c r="A478" s="334" t="s">
        <v>7692</v>
      </c>
      <c r="B478" s="362">
        <v>45962.0</v>
      </c>
      <c r="E478" s="377" t="s">
        <v>7693</v>
      </c>
      <c r="G478" s="377" t="s">
        <v>7693</v>
      </c>
      <c r="N478" s="376">
        <v>1.0</v>
      </c>
    </row>
    <row r="479" ht="15.75" customHeight="1">
      <c r="A479" s="391" t="s">
        <v>7694</v>
      </c>
      <c r="B479" s="392">
        <v>45962.0</v>
      </c>
      <c r="C479" s="391" t="s">
        <v>532</v>
      </c>
      <c r="D479" s="391" t="s">
        <v>77</v>
      </c>
      <c r="E479" s="393" t="s">
        <v>486</v>
      </c>
      <c r="F479" s="393" t="s">
        <v>7078</v>
      </c>
      <c r="G479" s="393" t="s">
        <v>7079</v>
      </c>
      <c r="H479" s="394"/>
      <c r="I479" s="393">
        <v>0.5</v>
      </c>
      <c r="M479" s="344">
        <v>45962.344409722224</v>
      </c>
      <c r="N479" s="376">
        <v>1.0</v>
      </c>
    </row>
    <row r="480" ht="15.75" customHeight="1">
      <c r="A480" s="391" t="s">
        <v>7695</v>
      </c>
      <c r="B480" s="392">
        <v>45962.0</v>
      </c>
      <c r="C480" s="391" t="s">
        <v>6</v>
      </c>
      <c r="D480" s="391" t="s">
        <v>48</v>
      </c>
      <c r="E480" s="391" t="s">
        <v>454</v>
      </c>
      <c r="F480" s="334" t="s">
        <v>7071</v>
      </c>
      <c r="G480" s="334" t="s">
        <v>7072</v>
      </c>
      <c r="I480" s="334">
        <v>0.5</v>
      </c>
      <c r="M480" s="344">
        <v>45962.34476851852</v>
      </c>
      <c r="N480" s="376">
        <v>1.0</v>
      </c>
    </row>
    <row r="481" ht="15.75" customHeight="1">
      <c r="A481" s="391" t="s">
        <v>7696</v>
      </c>
      <c r="B481" s="392">
        <v>45965.0</v>
      </c>
      <c r="C481" s="391" t="s">
        <v>7</v>
      </c>
      <c r="D481" s="391" t="s">
        <v>49</v>
      </c>
      <c r="E481" s="391" t="s">
        <v>455</v>
      </c>
      <c r="F481" s="334" t="s">
        <v>7697</v>
      </c>
      <c r="G481" s="334" t="s">
        <v>7698</v>
      </c>
      <c r="I481" s="334">
        <v>0.5</v>
      </c>
      <c r="M481" s="344">
        <v>45962.34505787037</v>
      </c>
      <c r="N481" s="376">
        <v>1.0</v>
      </c>
    </row>
    <row r="482" ht="15.75" customHeight="1">
      <c r="A482" s="391" t="s">
        <v>7699</v>
      </c>
      <c r="B482" s="392">
        <v>45962.0</v>
      </c>
      <c r="C482" s="391" t="s">
        <v>9</v>
      </c>
      <c r="D482" s="391" t="s">
        <v>51</v>
      </c>
      <c r="E482" s="391" t="s">
        <v>458</v>
      </c>
      <c r="F482" s="334" t="s">
        <v>7602</v>
      </c>
      <c r="G482" s="334" t="s">
        <v>7603</v>
      </c>
      <c r="I482" s="334">
        <v>0.5</v>
      </c>
      <c r="M482" s="344">
        <v>45962.34673611111</v>
      </c>
      <c r="N482" s="376">
        <v>1.0</v>
      </c>
    </row>
    <row r="483" ht="15.75" customHeight="1">
      <c r="A483" s="391" t="s">
        <v>7700</v>
      </c>
      <c r="B483" s="392">
        <v>45962.0</v>
      </c>
      <c r="C483" s="391" t="s">
        <v>9</v>
      </c>
      <c r="D483" s="391" t="s">
        <v>51</v>
      </c>
      <c r="E483" s="391" t="s">
        <v>458</v>
      </c>
      <c r="F483" s="334" t="s">
        <v>7584</v>
      </c>
      <c r="G483" s="334" t="s">
        <v>7585</v>
      </c>
      <c r="I483" s="334">
        <v>1.0</v>
      </c>
      <c r="M483" s="344">
        <v>45962.35383101852</v>
      </c>
      <c r="N483" s="376">
        <v>1.0</v>
      </c>
    </row>
    <row r="484" ht="15.75" customHeight="1">
      <c r="A484" s="391" t="s">
        <v>7701</v>
      </c>
      <c r="B484" s="392">
        <v>45962.0</v>
      </c>
      <c r="C484" s="391" t="s">
        <v>9</v>
      </c>
      <c r="D484" s="391" t="s">
        <v>47</v>
      </c>
      <c r="E484" s="393" t="s">
        <v>459</v>
      </c>
      <c r="F484" s="393" t="s">
        <v>7587</v>
      </c>
      <c r="G484" s="393" t="s">
        <v>7588</v>
      </c>
      <c r="H484" s="394"/>
      <c r="I484" s="393">
        <v>0.5</v>
      </c>
      <c r="M484" s="344">
        <v>45962.35400462963</v>
      </c>
      <c r="N484" s="376">
        <v>1.0</v>
      </c>
    </row>
    <row r="485" ht="15.75" customHeight="1">
      <c r="A485" s="391" t="s">
        <v>7702</v>
      </c>
      <c r="B485" s="392">
        <v>45962.0</v>
      </c>
      <c r="C485" s="391" t="s">
        <v>9</v>
      </c>
      <c r="D485" s="391" t="s">
        <v>47</v>
      </c>
      <c r="E485" s="393" t="s">
        <v>459</v>
      </c>
      <c r="F485" s="393" t="s">
        <v>7584</v>
      </c>
      <c r="G485" s="393" t="s">
        <v>7590</v>
      </c>
      <c r="H485" s="394"/>
      <c r="I485" s="393">
        <v>1.0</v>
      </c>
      <c r="M485" s="344">
        <v>45962.35425925926</v>
      </c>
      <c r="N485" s="376">
        <v>1.0</v>
      </c>
    </row>
    <row r="486" ht="15.75" customHeight="1">
      <c r="A486" s="391" t="s">
        <v>7703</v>
      </c>
      <c r="B486" s="392">
        <v>45962.0</v>
      </c>
      <c r="C486" s="391" t="s">
        <v>9</v>
      </c>
      <c r="D486" s="391" t="s">
        <v>49</v>
      </c>
      <c r="E486" s="391" t="s">
        <v>461</v>
      </c>
      <c r="F486" s="334" t="s">
        <v>7596</v>
      </c>
      <c r="G486" s="334" t="s">
        <v>7597</v>
      </c>
      <c r="I486" s="334">
        <v>0.5</v>
      </c>
      <c r="M486" s="344">
        <v>45962.354409722226</v>
      </c>
      <c r="N486" s="376">
        <v>1.0</v>
      </c>
    </row>
    <row r="487" ht="15.75" customHeight="1">
      <c r="A487" s="391" t="s">
        <v>7704</v>
      </c>
      <c r="B487" s="395">
        <v>45951.0</v>
      </c>
      <c r="C487" s="391" t="s">
        <v>9</v>
      </c>
      <c r="D487" s="391" t="s">
        <v>50</v>
      </c>
      <c r="E487" s="391" t="s">
        <v>460</v>
      </c>
      <c r="F487" s="334" t="s">
        <v>7705</v>
      </c>
      <c r="G487" s="334" t="s">
        <v>7706</v>
      </c>
      <c r="I487" s="334">
        <v>1.0</v>
      </c>
      <c r="M487" s="344">
        <v>45962.35497685185</v>
      </c>
      <c r="N487" s="376">
        <v>1.0</v>
      </c>
    </row>
    <row r="488" ht="15.75" customHeight="1">
      <c r="A488" s="391" t="s">
        <v>7707</v>
      </c>
      <c r="B488" s="395">
        <v>45951.0</v>
      </c>
      <c r="C488" s="391" t="s">
        <v>9</v>
      </c>
      <c r="D488" s="391" t="s">
        <v>50</v>
      </c>
      <c r="E488" s="391" t="s">
        <v>460</v>
      </c>
      <c r="F488" s="334" t="s">
        <v>7708</v>
      </c>
      <c r="G488" s="334" t="s">
        <v>7709</v>
      </c>
      <c r="I488" s="334">
        <v>0.5</v>
      </c>
      <c r="M488" s="344">
        <v>45962.356875</v>
      </c>
      <c r="N488" s="376">
        <v>1.0</v>
      </c>
    </row>
    <row r="489" ht="15.75" customHeight="1">
      <c r="A489" s="391" t="s">
        <v>7710</v>
      </c>
      <c r="B489" s="392">
        <v>45962.0</v>
      </c>
      <c r="C489" s="391" t="s">
        <v>9</v>
      </c>
      <c r="D489" s="391" t="s">
        <v>47</v>
      </c>
      <c r="E489" s="393" t="s">
        <v>459</v>
      </c>
      <c r="F489" s="393" t="s">
        <v>7587</v>
      </c>
      <c r="G489" s="393" t="s">
        <v>7588</v>
      </c>
      <c r="H489" s="394"/>
      <c r="I489" s="393">
        <v>0.5</v>
      </c>
      <c r="M489" s="344">
        <v>45962.358622685184</v>
      </c>
      <c r="N489" s="376">
        <v>1.0</v>
      </c>
    </row>
    <row r="490" ht="15.75" customHeight="1">
      <c r="A490" s="396" t="s">
        <v>7711</v>
      </c>
      <c r="B490" s="392">
        <v>45962.0</v>
      </c>
      <c r="C490" s="391" t="s">
        <v>9</v>
      </c>
      <c r="D490" s="391" t="s">
        <v>47</v>
      </c>
      <c r="E490" s="393" t="s">
        <v>459</v>
      </c>
      <c r="F490" s="393" t="s">
        <v>7584</v>
      </c>
      <c r="G490" s="393" t="s">
        <v>7590</v>
      </c>
      <c r="H490" s="394"/>
      <c r="I490" s="393">
        <v>1.0</v>
      </c>
      <c r="M490" s="344">
        <v>45962.358981481484</v>
      </c>
      <c r="N490" s="376">
        <v>1.0</v>
      </c>
    </row>
    <row r="491" ht="15.75" customHeight="1">
      <c r="A491" s="391" t="s">
        <v>7712</v>
      </c>
      <c r="B491" s="392">
        <v>45962.0</v>
      </c>
      <c r="C491" s="391" t="s">
        <v>10</v>
      </c>
      <c r="D491" s="391" t="s">
        <v>47</v>
      </c>
      <c r="E491" s="391" t="s">
        <v>463</v>
      </c>
      <c r="F491" s="334" t="s">
        <v>6996</v>
      </c>
      <c r="G491" s="334" t="s">
        <v>6997</v>
      </c>
      <c r="I491" s="334">
        <v>0.5</v>
      </c>
      <c r="M491" s="344">
        <v>45962.35923611111</v>
      </c>
      <c r="N491" s="376">
        <v>1.0</v>
      </c>
    </row>
    <row r="492" ht="15.75" customHeight="1">
      <c r="A492" s="391" t="s">
        <v>7713</v>
      </c>
      <c r="B492" s="392">
        <v>45962.0</v>
      </c>
      <c r="C492" s="391" t="s">
        <v>13</v>
      </c>
      <c r="D492" s="391" t="s">
        <v>49</v>
      </c>
      <c r="E492" s="391" t="s">
        <v>467</v>
      </c>
      <c r="F492" s="334" t="s">
        <v>130</v>
      </c>
      <c r="G492" s="334" t="s">
        <v>7086</v>
      </c>
      <c r="I492" s="334">
        <v>0.5</v>
      </c>
      <c r="M492" s="344">
        <v>45962.36466435185</v>
      </c>
      <c r="N492" s="376">
        <v>1.0</v>
      </c>
    </row>
    <row r="493" ht="15.75" customHeight="1">
      <c r="A493" s="391" t="s">
        <v>7714</v>
      </c>
      <c r="B493" s="392">
        <v>45962.0</v>
      </c>
      <c r="C493" s="391" t="s">
        <v>22</v>
      </c>
      <c r="D493" s="391" t="s">
        <v>47</v>
      </c>
      <c r="E493" s="391" t="s">
        <v>468</v>
      </c>
      <c r="F493" s="334" t="s">
        <v>7487</v>
      </c>
      <c r="G493" s="334" t="s">
        <v>7488</v>
      </c>
      <c r="I493" s="334">
        <v>0.5</v>
      </c>
      <c r="M493" s="344">
        <v>45962.3650462963</v>
      </c>
      <c r="N493" s="376">
        <v>1.0</v>
      </c>
    </row>
    <row r="494" ht="15.75" customHeight="1">
      <c r="A494" s="391" t="s">
        <v>7715</v>
      </c>
      <c r="B494" s="392">
        <v>45962.0</v>
      </c>
      <c r="C494" s="391" t="s">
        <v>36</v>
      </c>
      <c r="D494" s="391" t="s">
        <v>1303</v>
      </c>
      <c r="E494" s="391" t="s">
        <v>469</v>
      </c>
      <c r="F494" s="334" t="s">
        <v>6996</v>
      </c>
      <c r="G494" s="334" t="s">
        <v>7002</v>
      </c>
      <c r="I494" s="334">
        <v>0.5</v>
      </c>
      <c r="M494" s="344">
        <v>45962.36525462963</v>
      </c>
      <c r="N494" s="376">
        <v>1.0</v>
      </c>
    </row>
    <row r="495" ht="15.75" customHeight="1">
      <c r="A495" s="391" t="s">
        <v>7716</v>
      </c>
      <c r="B495" s="395">
        <v>45947.0</v>
      </c>
      <c r="C495" s="391" t="s">
        <v>12</v>
      </c>
      <c r="D495" s="391" t="s">
        <v>50</v>
      </c>
      <c r="E495" s="391" t="s">
        <v>490</v>
      </c>
      <c r="F495" s="393" t="s">
        <v>7011</v>
      </c>
      <c r="G495" s="393" t="s">
        <v>7012</v>
      </c>
      <c r="H495" s="394"/>
      <c r="I495" s="393">
        <v>0.5</v>
      </c>
      <c r="M495" s="344">
        <v>45962.36965277778</v>
      </c>
      <c r="N495" s="376">
        <v>1.0</v>
      </c>
    </row>
    <row r="496" ht="15.75" customHeight="1">
      <c r="A496" s="391" t="s">
        <v>7717</v>
      </c>
      <c r="B496" s="392">
        <v>45962.0</v>
      </c>
      <c r="C496" s="391" t="s">
        <v>11</v>
      </c>
      <c r="D496" s="391" t="s">
        <v>46</v>
      </c>
      <c r="E496" s="391" t="s">
        <v>488</v>
      </c>
      <c r="F496" s="334" t="s">
        <v>7094</v>
      </c>
      <c r="G496" s="334" t="s">
        <v>7095</v>
      </c>
      <c r="I496" s="334">
        <v>0.5</v>
      </c>
      <c r="M496" s="344">
        <v>45962.37085648148</v>
      </c>
      <c r="N496" s="376">
        <v>1.0</v>
      </c>
    </row>
    <row r="497" ht="15.75" customHeight="1">
      <c r="A497" s="391" t="s">
        <v>7718</v>
      </c>
      <c r="B497" s="392">
        <v>45962.0</v>
      </c>
      <c r="C497" s="391" t="s">
        <v>534</v>
      </c>
      <c r="D497" s="391" t="s">
        <v>46</v>
      </c>
      <c r="E497" s="391" t="s">
        <v>489</v>
      </c>
      <c r="F497" s="334" t="s">
        <v>6999</v>
      </c>
      <c r="G497" s="334" t="s">
        <v>7719</v>
      </c>
      <c r="I497" s="397">
        <v>-0.5</v>
      </c>
      <c r="M497" s="344">
        <v>45962.371458333335</v>
      </c>
      <c r="N497" s="376">
        <v>1.0</v>
      </c>
    </row>
    <row r="498" ht="15.75" customHeight="1">
      <c r="A498" s="391" t="s">
        <v>7720</v>
      </c>
      <c r="B498" s="392">
        <v>45962.0</v>
      </c>
      <c r="C498" s="391" t="s">
        <v>532</v>
      </c>
      <c r="D498" s="391" t="s">
        <v>77</v>
      </c>
      <c r="E498" s="393" t="s">
        <v>486</v>
      </c>
      <c r="F498" s="393" t="s">
        <v>7078</v>
      </c>
      <c r="G498" s="393" t="s">
        <v>7079</v>
      </c>
      <c r="H498" s="394"/>
      <c r="I498" s="393">
        <v>0.5</v>
      </c>
      <c r="M498" s="344">
        <v>45962.37296296296</v>
      </c>
      <c r="N498" s="376">
        <v>1.0</v>
      </c>
    </row>
    <row r="499" ht="15.75" customHeight="1">
      <c r="A499" s="391" t="s">
        <v>7721</v>
      </c>
      <c r="B499" s="392">
        <v>45962.0</v>
      </c>
      <c r="C499" s="391" t="s">
        <v>12</v>
      </c>
      <c r="D499" s="391" t="s">
        <v>50</v>
      </c>
      <c r="E499" s="391" t="s">
        <v>490</v>
      </c>
      <c r="F499" s="393" t="s">
        <v>7011</v>
      </c>
      <c r="G499" s="393" t="s">
        <v>7012</v>
      </c>
      <c r="H499" s="394"/>
      <c r="I499" s="393">
        <v>1.0</v>
      </c>
      <c r="M499" s="344">
        <v>45962.37354166667</v>
      </c>
      <c r="N499" s="376">
        <v>1.0</v>
      </c>
    </row>
    <row r="500" ht="15.75" customHeight="1">
      <c r="A500" s="391" t="s">
        <v>7722</v>
      </c>
      <c r="B500" s="392">
        <v>45962.0</v>
      </c>
      <c r="C500" s="391" t="s">
        <v>31</v>
      </c>
      <c r="D500" s="391" t="s">
        <v>64</v>
      </c>
      <c r="E500" s="391" t="s">
        <v>478</v>
      </c>
      <c r="F500" s="334" t="s">
        <v>1199</v>
      </c>
      <c r="G500" s="334" t="s">
        <v>7178</v>
      </c>
      <c r="I500" s="334">
        <v>2.8</v>
      </c>
      <c r="M500" s="344">
        <v>45962.377847222226</v>
      </c>
      <c r="N500" s="376">
        <v>1.0</v>
      </c>
    </row>
    <row r="501" ht="15.75" customHeight="1">
      <c r="A501" s="391" t="s">
        <v>7723</v>
      </c>
      <c r="B501" s="392">
        <v>45962.0</v>
      </c>
      <c r="C501" s="391" t="s">
        <v>535</v>
      </c>
      <c r="D501" s="391" t="s">
        <v>77</v>
      </c>
      <c r="E501" s="391" t="s">
        <v>495</v>
      </c>
      <c r="F501" s="334" t="s">
        <v>6983</v>
      </c>
      <c r="G501" s="334" t="s">
        <v>6986</v>
      </c>
      <c r="I501" s="334">
        <v>0.5</v>
      </c>
      <c r="M501" s="344">
        <v>45962.37841435185</v>
      </c>
      <c r="N501" s="376">
        <v>1.0</v>
      </c>
    </row>
    <row r="502" ht="15.75" customHeight="1">
      <c r="A502" s="391" t="s">
        <v>7724</v>
      </c>
      <c r="B502" s="392">
        <v>45962.0</v>
      </c>
      <c r="C502" s="391" t="s">
        <v>536</v>
      </c>
      <c r="D502" s="391" t="s">
        <v>77</v>
      </c>
      <c r="E502" s="391" t="s">
        <v>496</v>
      </c>
      <c r="F502" s="334" t="s">
        <v>6988</v>
      </c>
      <c r="G502" s="334" t="s">
        <v>6989</v>
      </c>
      <c r="I502" s="334">
        <v>0.5</v>
      </c>
      <c r="M502" s="344">
        <v>45962.37863425926</v>
      </c>
      <c r="N502" s="376">
        <v>1.0</v>
      </c>
    </row>
    <row r="503" ht="15.75" customHeight="1">
      <c r="A503" s="391" t="s">
        <v>7725</v>
      </c>
      <c r="B503" s="392">
        <v>45962.0</v>
      </c>
      <c r="C503" s="391" t="s">
        <v>19</v>
      </c>
      <c r="D503" s="391" t="s">
        <v>61</v>
      </c>
      <c r="E503" s="391" t="s">
        <v>506</v>
      </c>
      <c r="F503" s="334" t="s">
        <v>116</v>
      </c>
      <c r="G503" s="334" t="s">
        <v>6980</v>
      </c>
      <c r="I503" s="334">
        <v>0.5</v>
      </c>
      <c r="M503" s="344">
        <v>45962.378854166665</v>
      </c>
      <c r="N503" s="376">
        <v>1.0</v>
      </c>
    </row>
    <row r="504" ht="15.75" customHeight="1">
      <c r="A504" s="391" t="s">
        <v>7726</v>
      </c>
      <c r="B504" s="392">
        <v>45962.0</v>
      </c>
      <c r="C504" s="391" t="s">
        <v>15</v>
      </c>
      <c r="D504" s="391" t="s">
        <v>58</v>
      </c>
      <c r="E504" s="391" t="s">
        <v>499</v>
      </c>
      <c r="F504" s="334" t="s">
        <v>7569</v>
      </c>
      <c r="G504" s="334" t="s">
        <v>7570</v>
      </c>
      <c r="I504" s="334">
        <v>0.5</v>
      </c>
      <c r="M504" s="344">
        <v>45962.37913194444</v>
      </c>
      <c r="N504" s="376">
        <v>1.0</v>
      </c>
    </row>
    <row r="505" ht="15.75" customHeight="1">
      <c r="A505" s="391" t="s">
        <v>7727</v>
      </c>
      <c r="B505" s="392">
        <v>45962.0</v>
      </c>
      <c r="C505" s="391" t="s">
        <v>15</v>
      </c>
      <c r="D505" s="391" t="s">
        <v>46</v>
      </c>
      <c r="E505" s="391" t="s">
        <v>500</v>
      </c>
      <c r="F505" s="334" t="s">
        <v>7572</v>
      </c>
      <c r="G505" s="334" t="s">
        <v>7573</v>
      </c>
      <c r="I505" s="334">
        <v>0.5</v>
      </c>
      <c r="M505" s="344">
        <v>45962.379525462966</v>
      </c>
      <c r="N505" s="376">
        <v>1.0</v>
      </c>
    </row>
    <row r="506" ht="15.75" customHeight="1">
      <c r="A506" s="391" t="s">
        <v>7728</v>
      </c>
      <c r="B506" s="392">
        <v>45962.0</v>
      </c>
      <c r="C506" s="391" t="s">
        <v>37</v>
      </c>
      <c r="D506" s="391" t="s">
        <v>48</v>
      </c>
      <c r="E506" s="391" t="s">
        <v>510</v>
      </c>
      <c r="F506" s="334" t="s">
        <v>7041</v>
      </c>
      <c r="G506" s="334" t="s">
        <v>7042</v>
      </c>
      <c r="I506" s="334">
        <v>0.5</v>
      </c>
      <c r="M506" s="344">
        <v>45962.37976851852</v>
      </c>
      <c r="N506" s="376">
        <v>1.0</v>
      </c>
    </row>
    <row r="507" ht="15.75" customHeight="1">
      <c r="A507" s="391" t="s">
        <v>7729</v>
      </c>
      <c r="B507" s="392">
        <v>45962.0</v>
      </c>
      <c r="C507" s="391" t="s">
        <v>28</v>
      </c>
      <c r="D507" s="391" t="s">
        <v>52</v>
      </c>
      <c r="E507" s="391" t="s">
        <v>493</v>
      </c>
      <c r="F507" s="334" t="s">
        <v>7008</v>
      </c>
      <c r="G507" s="334" t="s">
        <v>7009</v>
      </c>
      <c r="I507" s="334">
        <v>0.5</v>
      </c>
      <c r="M507" s="344">
        <v>45962.3900462963</v>
      </c>
      <c r="N507" s="376">
        <v>1.0</v>
      </c>
    </row>
    <row r="508" ht="15.75" customHeight="1">
      <c r="A508" s="391" t="s">
        <v>7730</v>
      </c>
      <c r="B508" s="392">
        <v>45962.0</v>
      </c>
      <c r="C508" s="391" t="s">
        <v>14</v>
      </c>
      <c r="D508" s="391" t="s">
        <v>48</v>
      </c>
      <c r="E508" s="391" t="s">
        <v>498</v>
      </c>
      <c r="F508" s="334" t="s">
        <v>7019</v>
      </c>
      <c r="G508" s="334" t="s">
        <v>7020</v>
      </c>
      <c r="I508" s="334">
        <v>0.5</v>
      </c>
      <c r="M508" s="344">
        <v>45962.392905092594</v>
      </c>
      <c r="N508" s="376">
        <v>1.0</v>
      </c>
    </row>
    <row r="509" ht="15.75" customHeight="1">
      <c r="A509" s="334" t="s">
        <v>7731</v>
      </c>
      <c r="B509" s="362">
        <v>45966.0</v>
      </c>
      <c r="C509" s="334" t="s">
        <v>534</v>
      </c>
      <c r="D509" s="334" t="s">
        <v>46</v>
      </c>
      <c r="E509" s="334" t="s">
        <v>489</v>
      </c>
      <c r="F509" s="334" t="s">
        <v>6999</v>
      </c>
      <c r="G509" s="334" t="s">
        <v>7719</v>
      </c>
      <c r="I509" s="334">
        <v>0.5</v>
      </c>
      <c r="M509" s="344">
        <v>45965.73428240741</v>
      </c>
      <c r="N509" s="376">
        <v>1.0</v>
      </c>
    </row>
    <row r="510" ht="15.75" customHeight="1">
      <c r="A510" s="334" t="s">
        <v>7732</v>
      </c>
      <c r="B510" s="362">
        <v>45966.0</v>
      </c>
      <c r="C510" s="334" t="s">
        <v>12</v>
      </c>
      <c r="D510" s="334" t="s">
        <v>53</v>
      </c>
      <c r="E510" s="334" t="s">
        <v>491</v>
      </c>
      <c r="F510" s="334" t="s">
        <v>7262</v>
      </c>
      <c r="G510" s="334" t="s">
        <v>7263</v>
      </c>
      <c r="I510" s="334">
        <v>0.5</v>
      </c>
      <c r="M510" s="344">
        <v>45965.735127314816</v>
      </c>
      <c r="N510" s="376">
        <v>1.0</v>
      </c>
    </row>
    <row r="511" ht="15.75" customHeight="1">
      <c r="A511" s="334" t="s">
        <v>7733</v>
      </c>
      <c r="B511" s="362">
        <v>45966.0</v>
      </c>
      <c r="C511" s="334" t="s">
        <v>14</v>
      </c>
      <c r="D511" s="334" t="s">
        <v>46</v>
      </c>
      <c r="E511" s="334" t="s">
        <v>497</v>
      </c>
      <c r="F511" s="334" t="s">
        <v>7259</v>
      </c>
      <c r="G511" s="334" t="s">
        <v>7260</v>
      </c>
      <c r="I511" s="334">
        <v>0.5</v>
      </c>
      <c r="M511" s="344">
        <v>45965.73559027778</v>
      </c>
      <c r="N511" s="376">
        <v>1.0</v>
      </c>
    </row>
    <row r="512" ht="15.75" customHeight="1">
      <c r="A512" s="334" t="s">
        <v>7734</v>
      </c>
      <c r="B512" s="362">
        <v>45966.0</v>
      </c>
      <c r="C512" s="334" t="s">
        <v>537</v>
      </c>
      <c r="D512" s="334" t="s">
        <v>59</v>
      </c>
      <c r="E512" s="334" t="s">
        <v>501</v>
      </c>
      <c r="F512" s="334" t="s">
        <v>7656</v>
      </c>
      <c r="G512" s="334" t="s">
        <v>7657</v>
      </c>
      <c r="I512" s="334">
        <v>0.5</v>
      </c>
      <c r="M512" s="344">
        <v>45965.736655092594</v>
      </c>
      <c r="N512" s="376">
        <v>1.0</v>
      </c>
    </row>
    <row r="513" ht="15.75" customHeight="1">
      <c r="A513" s="334" t="s">
        <v>7735</v>
      </c>
      <c r="B513" s="362">
        <v>45965.0</v>
      </c>
      <c r="C513" s="334" t="s">
        <v>537</v>
      </c>
      <c r="D513" s="334" t="s">
        <v>1404</v>
      </c>
      <c r="E513" s="334" t="s">
        <v>502</v>
      </c>
      <c r="F513" s="334" t="s">
        <v>7033</v>
      </c>
      <c r="G513" s="334" t="s">
        <v>7659</v>
      </c>
      <c r="I513" s="334">
        <v>0.5</v>
      </c>
      <c r="M513" s="344">
        <v>45965.73694444444</v>
      </c>
      <c r="N513" s="376">
        <v>1.0</v>
      </c>
    </row>
    <row r="514" ht="15.75" customHeight="1">
      <c r="A514" s="334" t="s">
        <v>7736</v>
      </c>
      <c r="B514" s="362">
        <v>45966.0</v>
      </c>
      <c r="C514" s="334" t="s">
        <v>537</v>
      </c>
      <c r="D514" s="334" t="s">
        <v>1407</v>
      </c>
      <c r="E514" s="334" t="s">
        <v>503</v>
      </c>
      <c r="F514" s="334" t="s">
        <v>7033</v>
      </c>
      <c r="G514" s="334" t="s">
        <v>7737</v>
      </c>
      <c r="I514" s="334">
        <v>0.5</v>
      </c>
      <c r="M514" s="344">
        <v>45965.7371412037</v>
      </c>
      <c r="N514" s="376">
        <v>1.0</v>
      </c>
    </row>
    <row r="515" ht="15.75" customHeight="1">
      <c r="A515" s="334" t="s">
        <v>7738</v>
      </c>
      <c r="B515" s="362">
        <v>45966.0</v>
      </c>
      <c r="C515" s="334" t="s">
        <v>537</v>
      </c>
      <c r="D515" s="334" t="s">
        <v>1410</v>
      </c>
      <c r="E515" s="334" t="s">
        <v>504</v>
      </c>
      <c r="F515" s="334" t="s">
        <v>7033</v>
      </c>
      <c r="G515" s="334" t="s">
        <v>7739</v>
      </c>
      <c r="I515" s="334">
        <v>0.5</v>
      </c>
      <c r="M515" s="344">
        <v>45965.737349537034</v>
      </c>
      <c r="N515" s="376">
        <v>1.0</v>
      </c>
    </row>
    <row r="516" ht="15.75" customHeight="1">
      <c r="A516" s="334" t="s">
        <v>7740</v>
      </c>
      <c r="B516" s="362">
        <v>45967.0</v>
      </c>
      <c r="C516" s="334" t="s">
        <v>7</v>
      </c>
      <c r="D516" s="334" t="s">
        <v>49</v>
      </c>
      <c r="E516" s="334" t="s">
        <v>455</v>
      </c>
      <c r="F516" s="334" t="s">
        <v>7697</v>
      </c>
      <c r="G516" s="334" t="s">
        <v>7698</v>
      </c>
      <c r="I516" s="334">
        <v>0.5</v>
      </c>
      <c r="M516" s="344">
        <v>45967.28077546296</v>
      </c>
      <c r="N516" s="376">
        <v>1.0</v>
      </c>
    </row>
    <row r="517" ht="15.75" customHeight="1">
      <c r="A517" s="334" t="s">
        <v>7741</v>
      </c>
      <c r="B517" s="362">
        <v>45968.0</v>
      </c>
      <c r="C517" s="334" t="s">
        <v>31</v>
      </c>
      <c r="D517" s="334" t="s">
        <v>64</v>
      </c>
      <c r="E517" s="334" t="s">
        <v>478</v>
      </c>
      <c r="F517" s="334" t="s">
        <v>1199</v>
      </c>
      <c r="G517" s="334" t="s">
        <v>7178</v>
      </c>
      <c r="I517" s="334">
        <v>0.9</v>
      </c>
      <c r="M517" s="344">
        <v>45968.68583333334</v>
      </c>
      <c r="N517" s="376">
        <v>1.0</v>
      </c>
    </row>
    <row r="518" ht="15.75" customHeight="1">
      <c r="A518" s="334" t="s">
        <v>7742</v>
      </c>
      <c r="B518" s="362">
        <v>45968.0</v>
      </c>
      <c r="C518" s="334" t="s">
        <v>31</v>
      </c>
      <c r="D518" s="334" t="s">
        <v>64</v>
      </c>
      <c r="E518" s="334" t="s">
        <v>478</v>
      </c>
      <c r="F518" s="334" t="s">
        <v>116</v>
      </c>
      <c r="G518" s="334" t="s">
        <v>7337</v>
      </c>
      <c r="I518" s="334">
        <v>0.7</v>
      </c>
      <c r="M518" s="344">
        <v>45968.68607638889</v>
      </c>
      <c r="N518" s="376">
        <v>1.0</v>
      </c>
    </row>
    <row r="519" ht="15.75" customHeight="1">
      <c r="A519" s="334" t="s">
        <v>7743</v>
      </c>
      <c r="B519" s="362">
        <v>45968.0</v>
      </c>
      <c r="C519" s="334" t="s">
        <v>31</v>
      </c>
      <c r="D519" s="334" t="s">
        <v>64</v>
      </c>
      <c r="E519" s="334" t="s">
        <v>478</v>
      </c>
      <c r="F519" s="334" t="s">
        <v>130</v>
      </c>
      <c r="G519" s="334" t="s">
        <v>6971</v>
      </c>
      <c r="I519" s="334">
        <v>0.5</v>
      </c>
      <c r="M519" s="344">
        <v>45968.68630787037</v>
      </c>
      <c r="N519" s="376">
        <v>1.0</v>
      </c>
    </row>
    <row r="520" ht="15.75" customHeight="1">
      <c r="A520" s="334" t="s">
        <v>7744</v>
      </c>
      <c r="B520" s="375">
        <v>45973.0</v>
      </c>
      <c r="C520" s="334" t="s">
        <v>531</v>
      </c>
      <c r="D520" s="334" t="s">
        <v>77</v>
      </c>
      <c r="E520" s="334" t="s">
        <v>449</v>
      </c>
      <c r="F520" s="334" t="s">
        <v>6983</v>
      </c>
      <c r="G520" s="334" t="s">
        <v>7065</v>
      </c>
      <c r="I520" s="334">
        <v>0.5</v>
      </c>
      <c r="M520" s="345">
        <v>45973.270266203705</v>
      </c>
      <c r="N520" s="376">
        <v>1.0</v>
      </c>
    </row>
    <row r="521" ht="15.75" customHeight="1">
      <c r="A521" s="334" t="s">
        <v>7745</v>
      </c>
      <c r="B521" s="375">
        <v>45973.0</v>
      </c>
      <c r="C521" s="334" t="s">
        <v>532</v>
      </c>
      <c r="D521" s="334" t="s">
        <v>77</v>
      </c>
      <c r="E521" s="334" t="s">
        <v>486</v>
      </c>
      <c r="F521" s="334" t="s">
        <v>7078</v>
      </c>
      <c r="G521" s="334" t="s">
        <v>7079</v>
      </c>
      <c r="I521" s="334">
        <v>0.5</v>
      </c>
      <c r="M521" s="345">
        <v>45973.27056712963</v>
      </c>
      <c r="N521" s="376">
        <v>1.0</v>
      </c>
    </row>
    <row r="522" ht="15.75" customHeight="1">
      <c r="A522" s="334" t="s">
        <v>7746</v>
      </c>
      <c r="B522" s="375">
        <v>45973.0</v>
      </c>
      <c r="C522" s="334" t="s">
        <v>535</v>
      </c>
      <c r="D522" s="334" t="s">
        <v>77</v>
      </c>
      <c r="E522" s="334" t="s">
        <v>495</v>
      </c>
      <c r="F522" s="334" t="s">
        <v>6983</v>
      </c>
      <c r="G522" s="334" t="s">
        <v>6986</v>
      </c>
      <c r="I522" s="334">
        <v>0.5</v>
      </c>
      <c r="M522" s="345">
        <v>45973.270787037036</v>
      </c>
      <c r="N522" s="376">
        <v>1.0</v>
      </c>
    </row>
    <row r="523" ht="15.75" customHeight="1">
      <c r="A523" s="334" t="s">
        <v>7747</v>
      </c>
      <c r="B523" s="375">
        <v>45973.0</v>
      </c>
      <c r="C523" s="334" t="s">
        <v>536</v>
      </c>
      <c r="D523" s="334" t="s">
        <v>77</v>
      </c>
      <c r="E523" s="334" t="s">
        <v>496</v>
      </c>
      <c r="F523" s="334" t="s">
        <v>6988</v>
      </c>
      <c r="G523" s="334" t="s">
        <v>6989</v>
      </c>
      <c r="I523" s="334">
        <v>0.5</v>
      </c>
      <c r="M523" s="345">
        <v>45973.27104166667</v>
      </c>
      <c r="N523" s="376">
        <v>1.0</v>
      </c>
    </row>
    <row r="524" ht="15.75" customHeight="1">
      <c r="A524" s="334" t="s">
        <v>7748</v>
      </c>
      <c r="B524" s="375">
        <v>45973.0</v>
      </c>
      <c r="C524" s="334" t="s">
        <v>6</v>
      </c>
      <c r="D524" s="334" t="s">
        <v>48</v>
      </c>
      <c r="E524" s="334" t="s">
        <v>454</v>
      </c>
      <c r="F524" s="334" t="s">
        <v>7071</v>
      </c>
      <c r="G524" s="334" t="s">
        <v>7072</v>
      </c>
      <c r="I524" s="334">
        <v>0.5</v>
      </c>
      <c r="M524" s="345">
        <v>45973.27127314815</v>
      </c>
      <c r="N524" s="376">
        <v>1.0</v>
      </c>
    </row>
    <row r="525" ht="15.75" customHeight="1">
      <c r="A525" s="334" t="s">
        <v>7749</v>
      </c>
      <c r="B525" s="375">
        <v>45973.0</v>
      </c>
      <c r="C525" s="334" t="s">
        <v>9</v>
      </c>
      <c r="D525" s="334" t="s">
        <v>7750</v>
      </c>
      <c r="E525" s="334" t="s">
        <v>7751</v>
      </c>
      <c r="F525" s="334" t="s">
        <v>7584</v>
      </c>
      <c r="G525" s="334" t="s">
        <v>7752</v>
      </c>
      <c r="I525" s="334">
        <v>1.0</v>
      </c>
      <c r="M525" s="345">
        <v>45973.27222222222</v>
      </c>
      <c r="N525" s="376">
        <v>1.0</v>
      </c>
    </row>
    <row r="526" ht="15.75" customHeight="1">
      <c r="A526" s="334" t="s">
        <v>7753</v>
      </c>
      <c r="B526" s="375">
        <v>45973.0</v>
      </c>
      <c r="C526" s="334" t="s">
        <v>9</v>
      </c>
      <c r="D526" s="334" t="s">
        <v>51</v>
      </c>
      <c r="E526" s="334" t="s">
        <v>458</v>
      </c>
      <c r="F526" s="334" t="s">
        <v>7602</v>
      </c>
      <c r="G526" s="334" t="s">
        <v>7603</v>
      </c>
      <c r="I526" s="334">
        <v>0.5</v>
      </c>
      <c r="M526" s="345">
        <v>45973.272835648146</v>
      </c>
      <c r="N526" s="376">
        <v>1.0</v>
      </c>
    </row>
    <row r="527" ht="15.75" customHeight="1">
      <c r="A527" s="391" t="s">
        <v>7754</v>
      </c>
      <c r="B527" s="395">
        <v>45973.0</v>
      </c>
      <c r="C527" s="391" t="s">
        <v>9</v>
      </c>
      <c r="D527" s="391" t="s">
        <v>47</v>
      </c>
      <c r="E527" s="391" t="s">
        <v>459</v>
      </c>
      <c r="F527" s="334" t="s">
        <v>7587</v>
      </c>
      <c r="G527" s="334" t="s">
        <v>7588</v>
      </c>
      <c r="I527" s="334">
        <v>0.5</v>
      </c>
      <c r="M527" s="345">
        <v>45973.273148148146</v>
      </c>
      <c r="N527" s="376">
        <v>1.0</v>
      </c>
    </row>
    <row r="528" ht="15.75" customHeight="1">
      <c r="A528" s="334" t="s">
        <v>7755</v>
      </c>
      <c r="B528" s="375">
        <v>45973.0</v>
      </c>
      <c r="C528" s="334" t="s">
        <v>9</v>
      </c>
      <c r="D528" s="334" t="s">
        <v>50</v>
      </c>
      <c r="E528" s="334" t="s">
        <v>460</v>
      </c>
      <c r="F528" s="334" t="s">
        <v>7592</v>
      </c>
      <c r="G528" s="334" t="s">
        <v>7593</v>
      </c>
      <c r="I528" s="334">
        <v>0.5</v>
      </c>
      <c r="M528" s="345">
        <v>45973.273368055554</v>
      </c>
      <c r="N528" s="376">
        <v>1.0</v>
      </c>
    </row>
    <row r="529" ht="15.75" customHeight="1">
      <c r="A529" s="334" t="s">
        <v>7756</v>
      </c>
      <c r="B529" s="375">
        <v>45973.0</v>
      </c>
      <c r="C529" s="334" t="s">
        <v>9</v>
      </c>
      <c r="D529" s="334" t="s">
        <v>49</v>
      </c>
      <c r="E529" s="334" t="s">
        <v>461</v>
      </c>
      <c r="F529" s="334" t="s">
        <v>7596</v>
      </c>
      <c r="G529" s="334" t="s">
        <v>7597</v>
      </c>
      <c r="I529" s="334">
        <v>0.5</v>
      </c>
      <c r="M529" s="345">
        <v>45973.27358796296</v>
      </c>
      <c r="N529" s="376">
        <v>1.0</v>
      </c>
    </row>
    <row r="530" ht="15.75" customHeight="1">
      <c r="A530" s="334" t="s">
        <v>7757</v>
      </c>
      <c r="B530" s="375">
        <v>45973.0</v>
      </c>
      <c r="C530" s="334" t="s">
        <v>10</v>
      </c>
      <c r="D530" s="334" t="s">
        <v>47</v>
      </c>
      <c r="E530" s="334" t="s">
        <v>463</v>
      </c>
      <c r="F530" s="334" t="s">
        <v>6996</v>
      </c>
      <c r="G530" s="334" t="s">
        <v>6997</v>
      </c>
      <c r="I530" s="334">
        <v>0.5</v>
      </c>
      <c r="M530" s="345">
        <v>45973.273888888885</v>
      </c>
      <c r="N530" s="376">
        <v>1.0</v>
      </c>
    </row>
    <row r="531" ht="15.75" customHeight="1">
      <c r="A531" s="334" t="s">
        <v>7758</v>
      </c>
      <c r="B531" s="375">
        <v>45973.0</v>
      </c>
      <c r="C531" s="334" t="s">
        <v>10</v>
      </c>
      <c r="D531" s="334" t="s">
        <v>46</v>
      </c>
      <c r="E531" s="334" t="s">
        <v>464</v>
      </c>
      <c r="F531" s="334" t="s">
        <v>149</v>
      </c>
      <c r="G531" s="334" t="s">
        <v>7461</v>
      </c>
      <c r="I531" s="334">
        <v>0.5</v>
      </c>
      <c r="M531" s="345">
        <v>45973.27425925926</v>
      </c>
      <c r="N531" s="376">
        <v>1.0</v>
      </c>
    </row>
    <row r="532" ht="15.75" customHeight="1">
      <c r="A532" s="334" t="s">
        <v>7759</v>
      </c>
      <c r="B532" s="375">
        <v>45973.0</v>
      </c>
      <c r="C532" s="334" t="s">
        <v>7</v>
      </c>
      <c r="D532" s="334" t="s">
        <v>49</v>
      </c>
      <c r="E532" s="334" t="s">
        <v>455</v>
      </c>
      <c r="F532" s="334" t="s">
        <v>7074</v>
      </c>
      <c r="G532" s="334" t="s">
        <v>7075</v>
      </c>
      <c r="I532" s="334">
        <v>0.5</v>
      </c>
      <c r="M532" s="345">
        <v>45973.2749537037</v>
      </c>
      <c r="N532" s="376">
        <v>1.0</v>
      </c>
    </row>
    <row r="533" ht="15.75" customHeight="1">
      <c r="A533" s="334" t="s">
        <v>7760</v>
      </c>
      <c r="B533" s="375">
        <v>45973.0</v>
      </c>
      <c r="C533" s="334" t="s">
        <v>22</v>
      </c>
      <c r="D533" s="334" t="s">
        <v>47</v>
      </c>
      <c r="E533" s="334" t="s">
        <v>468</v>
      </c>
      <c r="F533" s="334" t="s">
        <v>7487</v>
      </c>
      <c r="G533" s="334" t="s">
        <v>7488</v>
      </c>
      <c r="I533" s="334">
        <v>0.5</v>
      </c>
      <c r="M533" s="345">
        <v>45973.275289351855</v>
      </c>
      <c r="N533" s="376">
        <v>1.0</v>
      </c>
    </row>
    <row r="534" ht="15.75" customHeight="1">
      <c r="A534" s="334" t="s">
        <v>7761</v>
      </c>
      <c r="B534" s="375">
        <v>45973.0</v>
      </c>
      <c r="C534" s="334" t="s">
        <v>36</v>
      </c>
      <c r="D534" s="334" t="s">
        <v>1303</v>
      </c>
      <c r="E534" s="334" t="s">
        <v>469</v>
      </c>
      <c r="F534" s="334" t="s">
        <v>6996</v>
      </c>
      <c r="G534" s="334" t="s">
        <v>7002</v>
      </c>
      <c r="I534" s="334">
        <v>0.5</v>
      </c>
      <c r="M534" s="345">
        <v>45973.27585648148</v>
      </c>
      <c r="N534" s="376">
        <v>1.0</v>
      </c>
    </row>
    <row r="535" ht="15.75" customHeight="1">
      <c r="A535" s="334" t="s">
        <v>7762</v>
      </c>
      <c r="B535" s="375">
        <v>45973.0</v>
      </c>
      <c r="C535" s="334" t="s">
        <v>11</v>
      </c>
      <c r="D535" s="334" t="s">
        <v>46</v>
      </c>
      <c r="E535" s="334" t="s">
        <v>488</v>
      </c>
      <c r="F535" s="334" t="s">
        <v>7094</v>
      </c>
      <c r="G535" s="334" t="s">
        <v>7095</v>
      </c>
      <c r="I535" s="334">
        <v>0.5</v>
      </c>
      <c r="M535" s="345">
        <v>45973.276400462964</v>
      </c>
      <c r="N535" s="376">
        <v>1.0</v>
      </c>
    </row>
    <row r="536" ht="15.75" customHeight="1">
      <c r="A536" s="334" t="s">
        <v>7763</v>
      </c>
      <c r="B536" s="375">
        <v>45973.0</v>
      </c>
      <c r="C536" s="334" t="s">
        <v>19</v>
      </c>
      <c r="D536" s="334" t="s">
        <v>61</v>
      </c>
      <c r="E536" s="334" t="s">
        <v>506</v>
      </c>
      <c r="F536" s="334" t="s">
        <v>116</v>
      </c>
      <c r="G536" s="334" t="s">
        <v>6980</v>
      </c>
      <c r="I536" s="334">
        <v>0.5</v>
      </c>
      <c r="M536" s="345">
        <v>45973.276979166665</v>
      </c>
      <c r="N536" s="376">
        <v>1.0</v>
      </c>
    </row>
    <row r="537" ht="15.75" customHeight="1">
      <c r="A537" s="334" t="s">
        <v>7764</v>
      </c>
      <c r="B537" s="375">
        <v>45973.0</v>
      </c>
      <c r="C537" s="334" t="s">
        <v>37</v>
      </c>
      <c r="D537" s="334" t="s">
        <v>48</v>
      </c>
      <c r="E537" s="334" t="s">
        <v>510</v>
      </c>
      <c r="F537" s="334" t="s">
        <v>7041</v>
      </c>
      <c r="G537" s="334" t="s">
        <v>7042</v>
      </c>
      <c r="I537" s="334">
        <v>0.5</v>
      </c>
      <c r="M537" s="345">
        <v>45973.27722222222</v>
      </c>
      <c r="N537" s="376">
        <v>1.0</v>
      </c>
    </row>
    <row r="538" ht="15.75" customHeight="1">
      <c r="A538" s="334" t="s">
        <v>7765</v>
      </c>
      <c r="B538" s="375">
        <v>45973.0</v>
      </c>
      <c r="C538" s="334" t="s">
        <v>14</v>
      </c>
      <c r="D538" s="334" t="s">
        <v>48</v>
      </c>
      <c r="E538" s="334" t="s">
        <v>498</v>
      </c>
      <c r="F538" s="334" t="s">
        <v>7019</v>
      </c>
      <c r="G538" s="334" t="s">
        <v>7020</v>
      </c>
      <c r="I538" s="334">
        <v>0.5</v>
      </c>
      <c r="M538" s="345">
        <v>45973.27768518519</v>
      </c>
      <c r="N538" s="376">
        <v>1.0</v>
      </c>
    </row>
    <row r="539" ht="15.75" customHeight="1">
      <c r="A539" s="334" t="s">
        <v>7766</v>
      </c>
      <c r="B539" s="375">
        <v>45973.0</v>
      </c>
      <c r="C539" s="334" t="s">
        <v>31</v>
      </c>
      <c r="D539" s="334" t="s">
        <v>64</v>
      </c>
      <c r="E539" s="334" t="s">
        <v>478</v>
      </c>
      <c r="F539" s="334" t="s">
        <v>7242</v>
      </c>
      <c r="G539" s="334" t="s">
        <v>7243</v>
      </c>
      <c r="I539" s="334">
        <v>0.5</v>
      </c>
      <c r="M539" s="345">
        <v>45973.27831018518</v>
      </c>
      <c r="N539" s="376">
        <v>1.0</v>
      </c>
    </row>
    <row r="540" ht="15.75" customHeight="1">
      <c r="A540" s="334" t="s">
        <v>7767</v>
      </c>
      <c r="B540" s="375">
        <v>45973.0</v>
      </c>
      <c r="C540" s="334" t="s">
        <v>12</v>
      </c>
      <c r="D540" s="334" t="s">
        <v>50</v>
      </c>
      <c r="E540" s="334" t="s">
        <v>490</v>
      </c>
      <c r="F540" s="334" t="s">
        <v>7011</v>
      </c>
      <c r="G540" s="334" t="s">
        <v>7012</v>
      </c>
      <c r="I540" s="334">
        <v>0.5</v>
      </c>
      <c r="M540" s="345">
        <v>45973.3608912037</v>
      </c>
      <c r="N540" s="376">
        <v>1.0</v>
      </c>
    </row>
    <row r="541" ht="15.75" customHeight="1">
      <c r="A541" s="334" t="s">
        <v>7768</v>
      </c>
      <c r="B541" s="375">
        <v>45973.0</v>
      </c>
      <c r="C541" s="334" t="s">
        <v>28</v>
      </c>
      <c r="D541" s="334" t="s">
        <v>52</v>
      </c>
      <c r="E541" s="334" t="s">
        <v>493</v>
      </c>
      <c r="F541" s="334" t="s">
        <v>7008</v>
      </c>
      <c r="G541" s="334" t="s">
        <v>7009</v>
      </c>
      <c r="I541" s="334">
        <v>0.5</v>
      </c>
      <c r="M541" s="345">
        <v>45973.36429398148</v>
      </c>
      <c r="N541" s="376">
        <v>1.0</v>
      </c>
    </row>
    <row r="542" ht="15.75" customHeight="1">
      <c r="A542" s="334" t="s">
        <v>7769</v>
      </c>
      <c r="B542" s="375">
        <v>45974.0</v>
      </c>
      <c r="C542" s="334" t="s">
        <v>14</v>
      </c>
      <c r="D542" s="334" t="s">
        <v>46</v>
      </c>
      <c r="E542" s="334" t="s">
        <v>497</v>
      </c>
      <c r="F542" s="334" t="s">
        <v>7016</v>
      </c>
      <c r="G542" s="334" t="s">
        <v>7017</v>
      </c>
      <c r="I542" s="334">
        <v>0.5</v>
      </c>
      <c r="M542" s="345">
        <v>45974.27008101852</v>
      </c>
      <c r="N542" s="376">
        <v>1.0</v>
      </c>
    </row>
    <row r="543" ht="15.75" customHeight="1">
      <c r="A543" s="334" t="s">
        <v>7770</v>
      </c>
      <c r="B543" s="375">
        <v>45974.0</v>
      </c>
      <c r="C543" s="334" t="s">
        <v>15</v>
      </c>
      <c r="D543" s="334" t="s">
        <v>58</v>
      </c>
      <c r="E543" s="334" t="s">
        <v>499</v>
      </c>
      <c r="F543" s="334" t="s">
        <v>7771</v>
      </c>
      <c r="G543" s="334" t="s">
        <v>7772</v>
      </c>
      <c r="I543" s="334">
        <v>0.5</v>
      </c>
      <c r="M543" s="345">
        <v>45974.27086805556</v>
      </c>
      <c r="N543" s="376">
        <v>1.0</v>
      </c>
    </row>
    <row r="544" ht="15.75" customHeight="1">
      <c r="A544" s="334" t="s">
        <v>7773</v>
      </c>
      <c r="B544" s="375">
        <v>45974.0</v>
      </c>
      <c r="C544" s="334" t="s">
        <v>15</v>
      </c>
      <c r="D544" s="334" t="s">
        <v>46</v>
      </c>
      <c r="E544" s="334" t="s">
        <v>500</v>
      </c>
      <c r="F544" s="334" t="s">
        <v>7572</v>
      </c>
      <c r="G544" s="334" t="s">
        <v>7573</v>
      </c>
      <c r="I544" s="334">
        <v>0.5</v>
      </c>
      <c r="M544" s="345">
        <v>45974.271458333336</v>
      </c>
      <c r="N544" s="376">
        <v>1.0</v>
      </c>
    </row>
    <row r="545" ht="15.75" customHeight="1">
      <c r="A545" s="334" t="s">
        <v>7774</v>
      </c>
      <c r="B545" s="375">
        <v>45974.0</v>
      </c>
      <c r="C545" s="334" t="s">
        <v>537</v>
      </c>
      <c r="D545" s="334" t="s">
        <v>59</v>
      </c>
      <c r="E545" s="334" t="s">
        <v>501</v>
      </c>
      <c r="F545" s="334" t="s">
        <v>1199</v>
      </c>
      <c r="G545" s="334" t="s">
        <v>7775</v>
      </c>
      <c r="I545" s="334">
        <v>0.5</v>
      </c>
      <c r="M545" s="345">
        <v>45974.27171296296</v>
      </c>
      <c r="N545" s="376">
        <v>1.0</v>
      </c>
    </row>
    <row r="546" ht="15.75" customHeight="1">
      <c r="A546" s="334" t="s">
        <v>7776</v>
      </c>
      <c r="B546" s="375">
        <v>45974.0</v>
      </c>
      <c r="C546" s="334" t="s">
        <v>537</v>
      </c>
      <c r="D546" s="334" t="s">
        <v>7031</v>
      </c>
      <c r="E546" s="334" t="s">
        <v>7032</v>
      </c>
      <c r="F546" s="334" t="s">
        <v>7415</v>
      </c>
      <c r="G546" s="334" t="s">
        <v>7777</v>
      </c>
      <c r="I546" s="334">
        <v>0.5</v>
      </c>
      <c r="M546" s="345">
        <v>45974.27209490741</v>
      </c>
      <c r="N546" s="376">
        <v>1.0</v>
      </c>
    </row>
    <row r="547" ht="15.75" customHeight="1">
      <c r="A547" s="334" t="s">
        <v>7778</v>
      </c>
      <c r="B547" s="375">
        <v>45973.0</v>
      </c>
      <c r="C547" s="334" t="s">
        <v>9</v>
      </c>
      <c r="D547" s="334" t="s">
        <v>47</v>
      </c>
      <c r="E547" s="334" t="s">
        <v>459</v>
      </c>
      <c r="F547" s="334" t="s">
        <v>7587</v>
      </c>
      <c r="G547" s="334" t="s">
        <v>7588</v>
      </c>
      <c r="I547" s="334">
        <v>0.5</v>
      </c>
      <c r="M547" s="345">
        <v>45976.65519675926</v>
      </c>
      <c r="N547" s="376">
        <v>1.0</v>
      </c>
    </row>
    <row r="548" ht="15.75" customHeight="1">
      <c r="A548" s="334" t="s">
        <v>7779</v>
      </c>
      <c r="B548" s="375">
        <v>45979.0</v>
      </c>
      <c r="E548" s="377" t="s">
        <v>7693</v>
      </c>
      <c r="G548" s="377" t="s">
        <v>7693</v>
      </c>
      <c r="N548" s="376">
        <v>1.0</v>
      </c>
    </row>
    <row r="549" ht="15.75" customHeight="1">
      <c r="A549" s="334" t="s">
        <v>7780</v>
      </c>
      <c r="B549" s="375">
        <v>45973.0</v>
      </c>
      <c r="C549" s="334" t="s">
        <v>6</v>
      </c>
      <c r="D549" s="334" t="s">
        <v>48</v>
      </c>
      <c r="E549" s="334" t="s">
        <v>454</v>
      </c>
      <c r="F549" s="334" t="s">
        <v>1237</v>
      </c>
      <c r="G549" s="334" t="s">
        <v>7781</v>
      </c>
      <c r="I549" s="334">
        <v>-0.5</v>
      </c>
      <c r="M549" s="345">
        <v>45979.593668981484</v>
      </c>
      <c r="N549" s="376">
        <v>1.0</v>
      </c>
    </row>
    <row r="550" ht="15.75" customHeight="1">
      <c r="A550" s="334" t="s">
        <v>7782</v>
      </c>
      <c r="B550" s="375">
        <v>45975.0</v>
      </c>
      <c r="C550" s="334" t="s">
        <v>534</v>
      </c>
      <c r="D550" s="334" t="s">
        <v>46</v>
      </c>
      <c r="E550" s="334" t="s">
        <v>489</v>
      </c>
      <c r="F550" s="334" t="s">
        <v>6999</v>
      </c>
      <c r="G550" s="334" t="s">
        <v>7719</v>
      </c>
      <c r="I550" s="334">
        <v>-0.5</v>
      </c>
      <c r="M550" s="345">
        <v>45979.59667824074</v>
      </c>
      <c r="N550" s="376">
        <v>1.0</v>
      </c>
    </row>
    <row r="551" ht="15.75" customHeight="1">
      <c r="A551" s="334" t="s">
        <v>7783</v>
      </c>
      <c r="B551" s="375">
        <v>45976.0</v>
      </c>
      <c r="C551" s="334" t="s">
        <v>13</v>
      </c>
      <c r="D551" s="334" t="s">
        <v>49</v>
      </c>
      <c r="E551" s="334" t="s">
        <v>467</v>
      </c>
      <c r="F551" s="334" t="s">
        <v>130</v>
      </c>
      <c r="G551" s="334" t="s">
        <v>7086</v>
      </c>
      <c r="I551" s="334">
        <v>0.5</v>
      </c>
      <c r="M551" s="345">
        <v>45979.59962962963</v>
      </c>
      <c r="N551" s="376">
        <v>1.0</v>
      </c>
    </row>
    <row r="552" ht="15.75" customHeight="1">
      <c r="A552" s="334" t="s">
        <v>7784</v>
      </c>
      <c r="B552" s="375">
        <v>45974.0</v>
      </c>
      <c r="C552" s="334" t="s">
        <v>12</v>
      </c>
      <c r="D552" s="334" t="s">
        <v>53</v>
      </c>
      <c r="E552" s="334" t="s">
        <v>491</v>
      </c>
      <c r="F552" s="334" t="s">
        <v>7785</v>
      </c>
      <c r="G552" s="334" t="s">
        <v>7786</v>
      </c>
      <c r="I552" s="334">
        <v>0.5</v>
      </c>
      <c r="M552" s="345">
        <v>45979.60596064815</v>
      </c>
      <c r="N552" s="376">
        <v>1.0</v>
      </c>
    </row>
    <row r="553" ht="15.75" customHeight="1">
      <c r="A553" s="334" t="s">
        <v>7787</v>
      </c>
      <c r="B553" s="375">
        <v>45975.0</v>
      </c>
      <c r="C553" s="334" t="s">
        <v>12</v>
      </c>
      <c r="D553" s="334" t="s">
        <v>53</v>
      </c>
      <c r="E553" s="334" t="s">
        <v>491</v>
      </c>
      <c r="F553" s="334" t="s">
        <v>7048</v>
      </c>
      <c r="G553" s="334" t="s">
        <v>7132</v>
      </c>
      <c r="I553" s="334">
        <v>0.5</v>
      </c>
      <c r="M553" s="345">
        <v>45979.608460648145</v>
      </c>
      <c r="N553" s="376">
        <v>1.0</v>
      </c>
    </row>
    <row r="554" ht="15.75" customHeight="1">
      <c r="A554" s="334" t="s">
        <v>7788</v>
      </c>
      <c r="B554" s="375">
        <v>45975.0</v>
      </c>
      <c r="C554" s="334" t="s">
        <v>14</v>
      </c>
      <c r="D554" s="334" t="s">
        <v>46</v>
      </c>
      <c r="E554" s="334" t="s">
        <v>497</v>
      </c>
      <c r="F554" s="334" t="s">
        <v>7789</v>
      </c>
      <c r="G554" s="334" t="s">
        <v>7790</v>
      </c>
      <c r="I554" s="334">
        <v>0.5</v>
      </c>
      <c r="M554" s="345">
        <v>45979.60899305555</v>
      </c>
      <c r="N554" s="376">
        <v>1.0</v>
      </c>
    </row>
    <row r="555" ht="15.75" customHeight="1">
      <c r="A555" s="334" t="s">
        <v>7791</v>
      </c>
      <c r="B555" s="375">
        <v>45973.0</v>
      </c>
      <c r="C555" s="334" t="s">
        <v>11</v>
      </c>
      <c r="D555" s="334" t="s">
        <v>46</v>
      </c>
      <c r="E555" s="334" t="s">
        <v>488</v>
      </c>
      <c r="F555" s="334" t="s">
        <v>7333</v>
      </c>
      <c r="G555" s="334" t="s">
        <v>7792</v>
      </c>
      <c r="I555" s="334">
        <v>0.5</v>
      </c>
      <c r="M555" s="345">
        <v>45979.68605324074</v>
      </c>
      <c r="N555" s="376">
        <v>1.0</v>
      </c>
    </row>
    <row r="556" ht="15.75" customHeight="1">
      <c r="A556" s="334" t="s">
        <v>7793</v>
      </c>
      <c r="B556" s="375">
        <v>45981.0</v>
      </c>
      <c r="C556" s="334" t="s">
        <v>531</v>
      </c>
      <c r="D556" s="334" t="s">
        <v>77</v>
      </c>
      <c r="E556" s="334" t="s">
        <v>449</v>
      </c>
      <c r="F556" s="334" t="s">
        <v>6983</v>
      </c>
      <c r="G556" s="334" t="s">
        <v>7065</v>
      </c>
      <c r="I556" s="334">
        <v>0.5</v>
      </c>
      <c r="M556" s="345">
        <v>45980.78334490741</v>
      </c>
      <c r="N556" s="376">
        <v>1.0</v>
      </c>
    </row>
    <row r="557" ht="15.75" customHeight="1">
      <c r="A557" s="334" t="s">
        <v>7794</v>
      </c>
      <c r="B557" s="375">
        <v>45981.0</v>
      </c>
      <c r="C557" s="334" t="s">
        <v>532</v>
      </c>
      <c r="D557" s="334" t="s">
        <v>77</v>
      </c>
      <c r="E557" s="334" t="s">
        <v>486</v>
      </c>
      <c r="F557" s="334" t="s">
        <v>7078</v>
      </c>
      <c r="G557" s="334" t="s">
        <v>7079</v>
      </c>
      <c r="I557" s="334">
        <v>0.5</v>
      </c>
      <c r="M557" s="345">
        <v>45980.78356481482</v>
      </c>
      <c r="N557" s="376">
        <v>1.0</v>
      </c>
    </row>
    <row r="558" ht="15.75" customHeight="1">
      <c r="A558" s="334" t="s">
        <v>7795</v>
      </c>
      <c r="B558" s="375">
        <v>45981.0</v>
      </c>
      <c r="C558" s="334" t="s">
        <v>535</v>
      </c>
      <c r="D558" s="334" t="s">
        <v>77</v>
      </c>
      <c r="E558" s="334" t="s">
        <v>495</v>
      </c>
      <c r="F558" s="334" t="s">
        <v>6983</v>
      </c>
      <c r="G558" s="334" t="s">
        <v>6986</v>
      </c>
      <c r="I558" s="334">
        <v>0.5</v>
      </c>
      <c r="M558" s="345">
        <v>45980.78381944444</v>
      </c>
      <c r="N558" s="376">
        <v>1.0</v>
      </c>
    </row>
    <row r="559" ht="15.75" customHeight="1">
      <c r="A559" s="334" t="s">
        <v>7796</v>
      </c>
      <c r="B559" s="375">
        <v>45981.0</v>
      </c>
      <c r="C559" s="334" t="s">
        <v>536</v>
      </c>
      <c r="D559" s="334" t="s">
        <v>77</v>
      </c>
      <c r="E559" s="334" t="s">
        <v>496</v>
      </c>
      <c r="F559" s="334" t="s">
        <v>6988</v>
      </c>
      <c r="G559" s="334" t="s">
        <v>6989</v>
      </c>
      <c r="I559" s="334">
        <v>0.5</v>
      </c>
      <c r="M559" s="345">
        <v>45980.78403935185</v>
      </c>
      <c r="N559" s="376">
        <v>1.0</v>
      </c>
    </row>
    <row r="560" ht="15.75" customHeight="1">
      <c r="A560" s="334" t="s">
        <v>7797</v>
      </c>
      <c r="B560" s="375">
        <v>45981.0</v>
      </c>
      <c r="C560" s="334" t="s">
        <v>5</v>
      </c>
      <c r="D560" s="334" t="s">
        <v>47</v>
      </c>
      <c r="E560" s="334" t="s">
        <v>451</v>
      </c>
      <c r="F560" s="334" t="s">
        <v>1199</v>
      </c>
      <c r="G560" s="334" t="s">
        <v>7798</v>
      </c>
      <c r="I560" s="334">
        <v>4.5</v>
      </c>
      <c r="M560" s="345">
        <v>45980.78465277778</v>
      </c>
      <c r="N560" s="376">
        <v>1.0</v>
      </c>
    </row>
    <row r="561" ht="15.75" customHeight="1">
      <c r="A561" s="334" t="s">
        <v>7799</v>
      </c>
      <c r="B561" s="375">
        <v>45981.0</v>
      </c>
      <c r="C561" s="334" t="s">
        <v>12</v>
      </c>
      <c r="D561" s="334" t="s">
        <v>50</v>
      </c>
      <c r="E561" s="334" t="s">
        <v>490</v>
      </c>
      <c r="F561" s="334" t="s">
        <v>7011</v>
      </c>
      <c r="G561" s="334" t="s">
        <v>7012</v>
      </c>
      <c r="I561" s="334">
        <v>0.5</v>
      </c>
      <c r="M561" s="345">
        <v>45980.78564814815</v>
      </c>
      <c r="N561" s="376">
        <v>1.0</v>
      </c>
    </row>
    <row r="562" ht="15.75" customHeight="1">
      <c r="A562" s="334" t="s">
        <v>7800</v>
      </c>
      <c r="B562" s="375">
        <v>45981.0</v>
      </c>
      <c r="C562" s="334" t="s">
        <v>534</v>
      </c>
      <c r="D562" s="334" t="s">
        <v>46</v>
      </c>
      <c r="E562" s="334" t="s">
        <v>489</v>
      </c>
      <c r="F562" s="334" t="s">
        <v>6999</v>
      </c>
      <c r="G562" s="334" t="s">
        <v>7719</v>
      </c>
      <c r="I562" s="334">
        <v>0.5</v>
      </c>
      <c r="M562" s="345">
        <v>45980.78596064815</v>
      </c>
      <c r="N562" s="376">
        <v>1.0</v>
      </c>
    </row>
    <row r="563" ht="15.75" customHeight="1">
      <c r="A563" s="334" t="s">
        <v>7801</v>
      </c>
      <c r="B563" s="375">
        <v>45981.0</v>
      </c>
      <c r="C563" s="334" t="s">
        <v>28</v>
      </c>
      <c r="D563" s="334" t="s">
        <v>52</v>
      </c>
      <c r="E563" s="334" t="s">
        <v>493</v>
      </c>
      <c r="F563" s="334" t="s">
        <v>7008</v>
      </c>
      <c r="G563" s="334" t="s">
        <v>7009</v>
      </c>
      <c r="I563" s="334">
        <v>0.5</v>
      </c>
      <c r="M563" s="345">
        <v>45980.7869212963</v>
      </c>
      <c r="N563" s="376">
        <v>1.0</v>
      </c>
    </row>
    <row r="564" ht="15.75" customHeight="1">
      <c r="A564" s="334" t="s">
        <v>7802</v>
      </c>
      <c r="B564" s="375">
        <v>45981.0</v>
      </c>
      <c r="C564" s="334" t="s">
        <v>11</v>
      </c>
      <c r="D564" s="334" t="s">
        <v>46</v>
      </c>
      <c r="E564" s="334" t="s">
        <v>488</v>
      </c>
      <c r="F564" s="334" t="s">
        <v>7094</v>
      </c>
      <c r="G564" s="334" t="s">
        <v>7095</v>
      </c>
      <c r="I564" s="334">
        <v>0.5</v>
      </c>
      <c r="M564" s="345">
        <v>45980.787256944444</v>
      </c>
      <c r="N564" s="376">
        <v>1.0</v>
      </c>
    </row>
    <row r="565" ht="15.75" customHeight="1">
      <c r="A565" s="334" t="s">
        <v>7803</v>
      </c>
      <c r="B565" s="375">
        <v>45981.0</v>
      </c>
      <c r="C565" s="334" t="s">
        <v>19</v>
      </c>
      <c r="D565" s="334" t="s">
        <v>61</v>
      </c>
      <c r="E565" s="334" t="s">
        <v>506</v>
      </c>
      <c r="F565" s="334" t="s">
        <v>116</v>
      </c>
      <c r="G565" s="334" t="s">
        <v>6980</v>
      </c>
      <c r="I565" s="334">
        <v>0.5</v>
      </c>
      <c r="M565" s="345">
        <v>45980.78766203704</v>
      </c>
      <c r="N565" s="376">
        <v>1.0</v>
      </c>
    </row>
    <row r="566" ht="15.75" customHeight="1">
      <c r="A566" s="334" t="s">
        <v>7804</v>
      </c>
      <c r="B566" s="375">
        <v>45981.0</v>
      </c>
      <c r="C566" s="334" t="s">
        <v>14</v>
      </c>
      <c r="D566" s="334" t="s">
        <v>48</v>
      </c>
      <c r="E566" s="334" t="s">
        <v>498</v>
      </c>
      <c r="F566" s="334" t="s">
        <v>7019</v>
      </c>
      <c r="G566" s="334" t="s">
        <v>7020</v>
      </c>
      <c r="I566" s="334">
        <v>0.5</v>
      </c>
      <c r="M566" s="345">
        <v>45980.788194444445</v>
      </c>
      <c r="N566" s="376">
        <v>1.0</v>
      </c>
    </row>
    <row r="567" ht="15.75" customHeight="1">
      <c r="A567" s="334" t="s">
        <v>7805</v>
      </c>
      <c r="B567" s="375">
        <v>45982.0</v>
      </c>
      <c r="C567" s="334" t="s">
        <v>12</v>
      </c>
      <c r="D567" s="334" t="s">
        <v>53</v>
      </c>
      <c r="E567" s="334" t="s">
        <v>491</v>
      </c>
      <c r="F567" s="334" t="s">
        <v>7806</v>
      </c>
      <c r="G567" s="334" t="s">
        <v>7807</v>
      </c>
      <c r="I567" s="334">
        <v>0.5</v>
      </c>
      <c r="M567" s="345">
        <v>45982.267743055556</v>
      </c>
      <c r="N567" s="376">
        <v>1.0</v>
      </c>
    </row>
    <row r="568" ht="15.75" customHeight="1">
      <c r="A568" s="334" t="s">
        <v>7808</v>
      </c>
      <c r="B568" s="375">
        <v>45982.0</v>
      </c>
      <c r="C568" s="334" t="s">
        <v>19</v>
      </c>
      <c r="D568" s="334" t="s">
        <v>61</v>
      </c>
      <c r="E568" s="334" t="s">
        <v>506</v>
      </c>
      <c r="F568" s="334" t="s">
        <v>116</v>
      </c>
      <c r="G568" s="334" t="s">
        <v>6980</v>
      </c>
      <c r="I568" s="334">
        <v>0.5</v>
      </c>
      <c r="M568" s="345">
        <v>45982.268159722225</v>
      </c>
      <c r="N568" s="376">
        <v>1.0</v>
      </c>
    </row>
    <row r="569" ht="15.75" customHeight="1">
      <c r="A569" s="334" t="s">
        <v>7809</v>
      </c>
      <c r="B569" s="375">
        <v>45982.0</v>
      </c>
      <c r="C569" s="334" t="s">
        <v>14</v>
      </c>
      <c r="D569" s="334" t="s">
        <v>46</v>
      </c>
      <c r="E569" s="334" t="s">
        <v>497</v>
      </c>
      <c r="F569" s="334" t="s">
        <v>7810</v>
      </c>
      <c r="G569" s="334" t="s">
        <v>7811</v>
      </c>
      <c r="I569" s="334">
        <v>0.5</v>
      </c>
      <c r="M569" s="345">
        <v>45982.268483796295</v>
      </c>
      <c r="N569" s="376">
        <v>1.0</v>
      </c>
    </row>
    <row r="570" ht="15.75" customHeight="1">
      <c r="A570" s="334" t="s">
        <v>7812</v>
      </c>
      <c r="B570" s="375">
        <v>45982.0</v>
      </c>
      <c r="C570" s="334" t="s">
        <v>537</v>
      </c>
      <c r="D570" s="334" t="s">
        <v>1404</v>
      </c>
      <c r="E570" s="334" t="s">
        <v>502</v>
      </c>
      <c r="F570" s="334" t="s">
        <v>7813</v>
      </c>
      <c r="G570" s="334" t="s">
        <v>7814</v>
      </c>
      <c r="I570" s="334">
        <v>0.5</v>
      </c>
      <c r="M570" s="345">
        <v>45982.26880787037</v>
      </c>
      <c r="N570" s="376">
        <v>1.0</v>
      </c>
    </row>
    <row r="571" ht="15.75" customHeight="1">
      <c r="A571" s="334" t="s">
        <v>7815</v>
      </c>
      <c r="B571" s="375">
        <v>45982.0</v>
      </c>
      <c r="C571" s="334" t="s">
        <v>537</v>
      </c>
      <c r="D571" s="334" t="s">
        <v>7816</v>
      </c>
      <c r="E571" s="334" t="s">
        <v>7817</v>
      </c>
      <c r="F571" s="334" t="s">
        <v>7186</v>
      </c>
      <c r="G571" s="334" t="s">
        <v>7818</v>
      </c>
      <c r="I571" s="334">
        <v>0.5</v>
      </c>
      <c r="M571" s="345">
        <v>45982.269270833334</v>
      </c>
      <c r="N571" s="376">
        <v>1.0</v>
      </c>
    </row>
    <row r="572" ht="15.75" customHeight="1">
      <c r="A572" s="334" t="s">
        <v>7819</v>
      </c>
      <c r="B572" s="375">
        <v>45982.0</v>
      </c>
      <c r="C572" s="334" t="s">
        <v>15</v>
      </c>
      <c r="D572" s="334" t="s">
        <v>58</v>
      </c>
      <c r="E572" s="334" t="s">
        <v>499</v>
      </c>
      <c r="F572" s="334" t="s">
        <v>7820</v>
      </c>
      <c r="G572" s="334" t="s">
        <v>7821</v>
      </c>
      <c r="I572" s="334">
        <v>0.5</v>
      </c>
      <c r="M572" s="345">
        <v>45982.26950231481</v>
      </c>
      <c r="N572" s="376">
        <v>1.0</v>
      </c>
    </row>
    <row r="573" ht="15.75" customHeight="1">
      <c r="A573" s="334" t="s">
        <v>7822</v>
      </c>
      <c r="B573" s="375">
        <v>45982.0</v>
      </c>
      <c r="C573" s="334" t="s">
        <v>15</v>
      </c>
      <c r="D573" s="334" t="s">
        <v>46</v>
      </c>
      <c r="E573" s="334" t="s">
        <v>500</v>
      </c>
      <c r="F573" s="334" t="s">
        <v>7823</v>
      </c>
      <c r="G573" s="334" t="s">
        <v>7824</v>
      </c>
      <c r="I573" s="334">
        <v>0.5</v>
      </c>
      <c r="M573" s="345">
        <v>45982.269837962966</v>
      </c>
      <c r="N573" s="376">
        <v>1.0</v>
      </c>
    </row>
    <row r="574" ht="15.75" customHeight="1">
      <c r="A574" s="334" t="s">
        <v>7825</v>
      </c>
      <c r="B574" s="375">
        <v>45982.0</v>
      </c>
      <c r="C574" s="334" t="s">
        <v>37</v>
      </c>
      <c r="D574" s="334" t="s">
        <v>48</v>
      </c>
      <c r="E574" s="334" t="s">
        <v>510</v>
      </c>
      <c r="F574" s="334" t="s">
        <v>7826</v>
      </c>
      <c r="G574" s="334" t="s">
        <v>7827</v>
      </c>
      <c r="I574" s="334">
        <v>0.5</v>
      </c>
      <c r="M574" s="345">
        <v>45982.27003472222</v>
      </c>
      <c r="N574" s="376">
        <v>1.0</v>
      </c>
    </row>
    <row r="575" ht="15.75" customHeight="1">
      <c r="A575" s="334" t="s">
        <v>7828</v>
      </c>
      <c r="B575" s="375">
        <v>45986.0</v>
      </c>
      <c r="C575" s="334" t="s">
        <v>29</v>
      </c>
      <c r="D575" s="334" t="s">
        <v>63</v>
      </c>
      <c r="E575" s="334" t="s">
        <v>472</v>
      </c>
      <c r="F575" s="334" t="s">
        <v>1199</v>
      </c>
      <c r="G575" s="334" t="s">
        <v>7324</v>
      </c>
      <c r="I575" s="334">
        <v>1.0</v>
      </c>
      <c r="M575" s="345">
        <v>45986.26861111111</v>
      </c>
      <c r="N575" s="376">
        <v>1.0</v>
      </c>
    </row>
    <row r="576" ht="15.75" customHeight="1">
      <c r="A576" s="334" t="s">
        <v>7829</v>
      </c>
      <c r="B576" s="375">
        <v>45973.0</v>
      </c>
      <c r="C576" s="334" t="s">
        <v>31</v>
      </c>
      <c r="D576" s="334" t="s">
        <v>47</v>
      </c>
      <c r="E576" s="334" t="s">
        <v>477</v>
      </c>
      <c r="F576" s="334" t="s">
        <v>130</v>
      </c>
      <c r="G576" s="334" t="s">
        <v>7685</v>
      </c>
      <c r="I576" s="334">
        <v>0.5</v>
      </c>
      <c r="M576" s="345">
        <v>45986.675578703704</v>
      </c>
      <c r="N576" s="376">
        <v>1.0</v>
      </c>
    </row>
    <row r="577" ht="15.75" customHeight="1">
      <c r="A577" s="334" t="s">
        <v>7830</v>
      </c>
      <c r="B577" s="375">
        <v>45986.0</v>
      </c>
      <c r="C577" s="334" t="s">
        <v>534</v>
      </c>
      <c r="D577" s="334" t="s">
        <v>46</v>
      </c>
      <c r="E577" s="334" t="s">
        <v>489</v>
      </c>
      <c r="F577" s="334" t="s">
        <v>6999</v>
      </c>
      <c r="G577" s="334" t="s">
        <v>7719</v>
      </c>
      <c r="I577" s="334">
        <v>-0.5</v>
      </c>
      <c r="M577" s="345">
        <v>45986.77296296296</v>
      </c>
      <c r="N577" s="376">
        <v>1.0</v>
      </c>
    </row>
    <row r="578" ht="15.75" customHeight="1">
      <c r="A578" s="334" t="s">
        <v>7831</v>
      </c>
      <c r="B578" s="375">
        <v>45989.0</v>
      </c>
      <c r="C578" s="334" t="s">
        <v>7</v>
      </c>
      <c r="D578" s="334" t="s">
        <v>49</v>
      </c>
      <c r="E578" s="334" t="s">
        <v>455</v>
      </c>
      <c r="F578" s="334" t="s">
        <v>111</v>
      </c>
      <c r="G578" s="334" t="s">
        <v>7674</v>
      </c>
      <c r="I578" s="334">
        <v>0.5</v>
      </c>
      <c r="M578" s="345">
        <v>45988.73664351852</v>
      </c>
      <c r="N578" s="376">
        <v>1.0</v>
      </c>
    </row>
    <row r="579" ht="15.75" customHeight="1">
      <c r="A579" s="334" t="s">
        <v>7832</v>
      </c>
      <c r="B579" s="362">
        <v>45992.0</v>
      </c>
      <c r="C579" s="334" t="s">
        <v>31</v>
      </c>
      <c r="D579" s="334" t="s">
        <v>47</v>
      </c>
      <c r="E579" s="334" t="s">
        <v>477</v>
      </c>
      <c r="F579" s="334" t="s">
        <v>130</v>
      </c>
      <c r="G579" s="334" t="s">
        <v>7685</v>
      </c>
      <c r="I579" s="334">
        <v>0.5</v>
      </c>
      <c r="M579" s="344">
        <v>45992.639131944445</v>
      </c>
      <c r="N579" s="376">
        <v>1.0</v>
      </c>
    </row>
    <row r="580" ht="15.75" customHeight="1">
      <c r="A580" s="334" t="s">
        <v>7833</v>
      </c>
      <c r="B580" s="362">
        <v>45993.0</v>
      </c>
      <c r="C580" s="334" t="s">
        <v>29</v>
      </c>
      <c r="D580" s="334" t="s">
        <v>63</v>
      </c>
      <c r="E580" s="334" t="s">
        <v>472</v>
      </c>
      <c r="F580" s="334" t="s">
        <v>1199</v>
      </c>
      <c r="G580" s="334" t="s">
        <v>7324</v>
      </c>
      <c r="I580" s="334">
        <v>0.5</v>
      </c>
      <c r="M580" s="344">
        <v>45992.698541666665</v>
      </c>
      <c r="N580" s="376">
        <v>1.0</v>
      </c>
    </row>
    <row r="581" ht="15.75" customHeight="1">
      <c r="A581" s="334" t="s">
        <v>7834</v>
      </c>
      <c r="B581" s="362">
        <v>45993.0</v>
      </c>
      <c r="C581" s="334" t="s">
        <v>31</v>
      </c>
      <c r="D581" s="334" t="s">
        <v>64</v>
      </c>
      <c r="E581" s="334" t="s">
        <v>478</v>
      </c>
      <c r="F581" s="334" t="s">
        <v>1199</v>
      </c>
      <c r="G581" s="334" t="s">
        <v>7178</v>
      </c>
      <c r="I581" s="334">
        <v>0.3</v>
      </c>
      <c r="M581" s="344">
        <v>45992.77400462963</v>
      </c>
      <c r="N581" s="376">
        <v>1.0</v>
      </c>
    </row>
    <row r="582" ht="15.75" customHeight="1">
      <c r="A582" s="334" t="s">
        <v>7835</v>
      </c>
      <c r="B582" s="362">
        <v>45993.0</v>
      </c>
      <c r="C582" s="334" t="s">
        <v>31</v>
      </c>
      <c r="D582" s="334" t="s">
        <v>64</v>
      </c>
      <c r="E582" s="334" t="s">
        <v>478</v>
      </c>
      <c r="F582" s="334" t="s">
        <v>130</v>
      </c>
      <c r="G582" s="334" t="s">
        <v>6971</v>
      </c>
      <c r="I582" s="334">
        <v>1.5</v>
      </c>
      <c r="M582" s="344">
        <v>45992.77422453704</v>
      </c>
      <c r="N582" s="376">
        <v>1.0</v>
      </c>
    </row>
    <row r="583" ht="15.75" customHeight="1">
      <c r="A583" s="334" t="s">
        <v>7836</v>
      </c>
      <c r="B583" s="375">
        <v>46001.0</v>
      </c>
      <c r="C583" s="334" t="s">
        <v>9</v>
      </c>
      <c r="D583" s="334" t="s">
        <v>48</v>
      </c>
      <c r="E583" s="334" t="s">
        <v>462</v>
      </c>
      <c r="F583" s="334" t="s">
        <v>116</v>
      </c>
      <c r="G583" s="334" t="s">
        <v>7837</v>
      </c>
      <c r="I583" s="334">
        <v>44.7</v>
      </c>
      <c r="M583" s="345">
        <v>46001.707037037035</v>
      </c>
      <c r="N583" s="376">
        <v>1.0</v>
      </c>
    </row>
    <row r="584" ht="15.75" customHeight="1">
      <c r="A584" s="334" t="s">
        <v>7838</v>
      </c>
      <c r="B584" s="375">
        <v>46001.0</v>
      </c>
      <c r="C584" s="334" t="s">
        <v>9</v>
      </c>
      <c r="D584" s="334" t="s">
        <v>48</v>
      </c>
      <c r="E584" s="334" t="s">
        <v>462</v>
      </c>
      <c r="F584" s="334" t="s">
        <v>119</v>
      </c>
      <c r="G584" s="334" t="s">
        <v>7839</v>
      </c>
      <c r="I584" s="334">
        <v>44.2</v>
      </c>
      <c r="M584" s="345">
        <v>46001.70761574074</v>
      </c>
      <c r="N584" s="376">
        <v>1.0</v>
      </c>
    </row>
    <row r="585" ht="15.75" customHeight="1">
      <c r="A585" s="334" t="s">
        <v>7840</v>
      </c>
      <c r="B585" s="375">
        <v>46001.0</v>
      </c>
      <c r="C585" s="334" t="s">
        <v>9</v>
      </c>
      <c r="D585" s="334" t="s">
        <v>48</v>
      </c>
      <c r="E585" s="334" t="s">
        <v>462</v>
      </c>
      <c r="F585" s="334" t="s">
        <v>122</v>
      </c>
      <c r="G585" s="334" t="s">
        <v>7841</v>
      </c>
      <c r="I585" s="334">
        <v>43.7</v>
      </c>
      <c r="M585" s="345">
        <v>46001.708020833335</v>
      </c>
      <c r="N585" s="376">
        <v>1.0</v>
      </c>
    </row>
    <row r="586" ht="15.75" customHeight="1">
      <c r="A586" s="334" t="s">
        <v>7842</v>
      </c>
      <c r="B586" s="375">
        <v>46006.0</v>
      </c>
      <c r="C586" s="334" t="s">
        <v>5</v>
      </c>
      <c r="D586" s="334" t="s">
        <v>47</v>
      </c>
      <c r="E586" s="334" t="s">
        <v>451</v>
      </c>
      <c r="F586" s="334" t="s">
        <v>7843</v>
      </c>
      <c r="G586" s="334" t="s">
        <v>7844</v>
      </c>
      <c r="I586" s="334">
        <v>3.0</v>
      </c>
      <c r="M586" s="345">
        <v>46003.711168981485</v>
      </c>
      <c r="N586" s="376">
        <v>1.0</v>
      </c>
    </row>
    <row r="587" ht="15.75" customHeight="1">
      <c r="A587" s="334" t="s">
        <v>7845</v>
      </c>
      <c r="B587" s="375">
        <v>46006.0</v>
      </c>
      <c r="C587" s="334" t="s">
        <v>5</v>
      </c>
      <c r="D587" s="334" t="s">
        <v>47</v>
      </c>
      <c r="E587" s="334" t="s">
        <v>451</v>
      </c>
      <c r="F587" s="334" t="s">
        <v>7048</v>
      </c>
      <c r="G587" s="334" t="s">
        <v>7846</v>
      </c>
      <c r="I587" s="334">
        <v>2.5</v>
      </c>
      <c r="M587" s="345">
        <v>46003.712685185186</v>
      </c>
      <c r="N587" s="376">
        <v>1.0</v>
      </c>
    </row>
    <row r="588" ht="15.75" customHeight="1">
      <c r="A588" s="334" t="s">
        <v>7847</v>
      </c>
      <c r="B588" s="375">
        <v>46006.0</v>
      </c>
      <c r="C588" s="334" t="s">
        <v>5</v>
      </c>
      <c r="D588" s="334" t="s">
        <v>6937</v>
      </c>
      <c r="E588" s="334" t="s">
        <v>6938</v>
      </c>
      <c r="F588" s="334" t="s">
        <v>130</v>
      </c>
      <c r="G588" s="334" t="s">
        <v>6939</v>
      </c>
      <c r="I588" s="334">
        <v>2.5</v>
      </c>
      <c r="M588" s="345">
        <v>46003.720671296294</v>
      </c>
      <c r="N588" s="376">
        <v>1.0</v>
      </c>
    </row>
    <row r="589" ht="15.75" customHeight="1">
      <c r="A589" s="334" t="s">
        <v>7848</v>
      </c>
      <c r="B589" s="375">
        <v>46006.0</v>
      </c>
      <c r="C589" s="334" t="s">
        <v>5</v>
      </c>
      <c r="D589" s="334" t="s">
        <v>46</v>
      </c>
      <c r="E589" s="334" t="s">
        <v>450</v>
      </c>
      <c r="F589" s="334" t="s">
        <v>7843</v>
      </c>
      <c r="G589" s="334" t="s">
        <v>7849</v>
      </c>
      <c r="I589" s="334">
        <v>3.0</v>
      </c>
      <c r="M589" s="345">
        <v>46003.7800462963</v>
      </c>
      <c r="N589" s="376">
        <v>1.0</v>
      </c>
    </row>
    <row r="590" ht="15.75" customHeight="1">
      <c r="A590" s="334" t="s">
        <v>7850</v>
      </c>
      <c r="B590" s="375">
        <v>46006.0</v>
      </c>
      <c r="C590" s="334" t="s">
        <v>5</v>
      </c>
      <c r="D590" s="334" t="s">
        <v>46</v>
      </c>
      <c r="E590" s="334" t="s">
        <v>450</v>
      </c>
      <c r="F590" s="334" t="s">
        <v>7048</v>
      </c>
      <c r="G590" s="334" t="s">
        <v>7851</v>
      </c>
      <c r="I590" s="334">
        <v>2.5</v>
      </c>
      <c r="M590" s="345">
        <v>46003.7803125</v>
      </c>
      <c r="N590" s="376">
        <v>1.0</v>
      </c>
    </row>
    <row r="591" ht="15.75" customHeight="1">
      <c r="A591" s="334" t="s">
        <v>7852</v>
      </c>
      <c r="B591" s="375">
        <v>46004.0</v>
      </c>
      <c r="C591" s="334" t="s">
        <v>9</v>
      </c>
      <c r="D591" s="334" t="s">
        <v>50</v>
      </c>
      <c r="E591" s="334" t="s">
        <v>460</v>
      </c>
      <c r="F591" s="334" t="s">
        <v>7853</v>
      </c>
      <c r="G591" s="334" t="s">
        <v>7854</v>
      </c>
      <c r="I591" s="334">
        <v>1.0</v>
      </c>
      <c r="M591" s="345">
        <v>46006.3425462963</v>
      </c>
      <c r="N591" s="376">
        <v>1.0</v>
      </c>
    </row>
    <row r="592" ht="15.75" customHeight="1">
      <c r="A592" s="391" t="s">
        <v>7855</v>
      </c>
      <c r="B592" s="395">
        <v>46008.0</v>
      </c>
      <c r="C592" s="391" t="s">
        <v>7</v>
      </c>
      <c r="D592" s="391" t="s">
        <v>49</v>
      </c>
      <c r="E592" s="391" t="s">
        <v>455</v>
      </c>
      <c r="F592" s="334" t="s">
        <v>6999</v>
      </c>
      <c r="G592" s="334" t="s">
        <v>7000</v>
      </c>
      <c r="I592" s="334">
        <v>-0.5</v>
      </c>
      <c r="M592" s="345">
        <v>46007.74277777778</v>
      </c>
      <c r="N592" s="376">
        <v>1.0</v>
      </c>
    </row>
    <row r="593" ht="15.75" customHeight="1">
      <c r="A593" s="391" t="s">
        <v>7856</v>
      </c>
      <c r="B593" s="395">
        <v>46008.0</v>
      </c>
      <c r="C593" s="391" t="s">
        <v>7</v>
      </c>
      <c r="D593" s="391" t="s">
        <v>49</v>
      </c>
      <c r="E593" s="391" t="s">
        <v>455</v>
      </c>
      <c r="F593" s="334" t="s">
        <v>7041</v>
      </c>
      <c r="G593" s="334" t="s">
        <v>7097</v>
      </c>
      <c r="I593" s="334">
        <v>0.5</v>
      </c>
      <c r="M593" s="345">
        <v>46007.74317129629</v>
      </c>
      <c r="N593" s="376">
        <v>1.0</v>
      </c>
    </row>
    <row r="594" ht="15.75" customHeight="1">
      <c r="A594" s="334" t="s">
        <v>7857</v>
      </c>
      <c r="B594" s="375">
        <v>46014.0</v>
      </c>
      <c r="C594" s="334" t="s">
        <v>12</v>
      </c>
      <c r="D594" s="334" t="s">
        <v>541</v>
      </c>
      <c r="E594" s="334" t="s">
        <v>492</v>
      </c>
      <c r="F594" s="334" t="s">
        <v>1199</v>
      </c>
      <c r="G594" s="334" t="s">
        <v>7858</v>
      </c>
      <c r="I594" s="334">
        <v>50.5</v>
      </c>
      <c r="M594" s="345">
        <v>46014.55432870371</v>
      </c>
      <c r="N594" s="376">
        <v>1.0</v>
      </c>
    </row>
    <row r="595" ht="15.75" customHeight="1">
      <c r="A595" s="334" t="s">
        <v>7859</v>
      </c>
      <c r="B595" s="375">
        <v>46014.0</v>
      </c>
      <c r="C595" s="334" t="s">
        <v>12</v>
      </c>
      <c r="D595" s="334" t="s">
        <v>541</v>
      </c>
      <c r="E595" s="334" t="s">
        <v>492</v>
      </c>
      <c r="F595" s="334" t="s">
        <v>101</v>
      </c>
      <c r="G595" s="334" t="s">
        <v>7860</v>
      </c>
      <c r="I595" s="334">
        <v>50.3</v>
      </c>
      <c r="M595" s="345">
        <v>46014.55469907408</v>
      </c>
      <c r="N595" s="376">
        <v>1.0</v>
      </c>
    </row>
    <row r="596" ht="15.75" customHeight="1">
      <c r="A596" s="334" t="s">
        <v>7861</v>
      </c>
      <c r="B596" s="375">
        <v>46014.0</v>
      </c>
      <c r="C596" s="334" t="s">
        <v>12</v>
      </c>
      <c r="D596" s="334" t="s">
        <v>541</v>
      </c>
      <c r="E596" s="334" t="s">
        <v>492</v>
      </c>
      <c r="F596" s="334" t="s">
        <v>105</v>
      </c>
      <c r="G596" s="334" t="s">
        <v>7862</v>
      </c>
      <c r="I596" s="334">
        <v>48.3</v>
      </c>
      <c r="M596" s="345">
        <v>46014.55504629629</v>
      </c>
      <c r="N596" s="376">
        <v>1.0</v>
      </c>
    </row>
    <row r="597" ht="15.75" customHeight="1">
      <c r="A597" s="334" t="s">
        <v>7863</v>
      </c>
      <c r="B597" s="375">
        <v>46016.0</v>
      </c>
      <c r="C597" s="334" t="s">
        <v>531</v>
      </c>
      <c r="D597" s="334" t="s">
        <v>77</v>
      </c>
      <c r="E597" s="334" t="s">
        <v>449</v>
      </c>
      <c r="F597" s="334" t="s">
        <v>7864</v>
      </c>
      <c r="G597" s="334" t="s">
        <v>7865</v>
      </c>
      <c r="I597" s="334">
        <v>-0.5</v>
      </c>
      <c r="M597" s="345">
        <v>46016.349641203706</v>
      </c>
      <c r="N597" s="376">
        <v>1.0</v>
      </c>
    </row>
    <row r="598" ht="15.75" customHeight="1">
      <c r="A598" s="334" t="s">
        <v>7866</v>
      </c>
      <c r="B598" s="375">
        <v>46016.0</v>
      </c>
      <c r="C598" s="334" t="s">
        <v>532</v>
      </c>
      <c r="D598" s="334" t="s">
        <v>77</v>
      </c>
      <c r="E598" s="334" t="s">
        <v>486</v>
      </c>
      <c r="F598" s="334" t="s">
        <v>7078</v>
      </c>
      <c r="G598" s="334" t="s">
        <v>7079</v>
      </c>
      <c r="I598" s="334">
        <v>-0.5</v>
      </c>
      <c r="M598" s="345">
        <v>46016.350023148145</v>
      </c>
      <c r="N598" s="376">
        <v>1.0</v>
      </c>
    </row>
    <row r="599" ht="15.75" customHeight="1">
      <c r="A599" s="334" t="s">
        <v>7867</v>
      </c>
      <c r="B599" s="375">
        <v>46016.0</v>
      </c>
      <c r="C599" s="334" t="s">
        <v>536</v>
      </c>
      <c r="D599" s="334" t="s">
        <v>77</v>
      </c>
      <c r="E599" s="334" t="s">
        <v>496</v>
      </c>
      <c r="F599" s="334" t="s">
        <v>7868</v>
      </c>
      <c r="G599" s="334" t="s">
        <v>7869</v>
      </c>
      <c r="I599" s="334">
        <v>-0.5</v>
      </c>
      <c r="M599" s="345">
        <v>46016.35023148148</v>
      </c>
      <c r="N599" s="376">
        <v>1.0</v>
      </c>
    </row>
    <row r="600" ht="15.75" customHeight="1">
      <c r="A600" s="334" t="s">
        <v>7870</v>
      </c>
      <c r="B600" s="375">
        <v>46016.0</v>
      </c>
      <c r="C600" s="334" t="s">
        <v>19</v>
      </c>
      <c r="D600" s="334" t="s">
        <v>61</v>
      </c>
      <c r="E600" s="334" t="s">
        <v>506</v>
      </c>
      <c r="F600" s="334" t="s">
        <v>116</v>
      </c>
      <c r="G600" s="334" t="s">
        <v>6980</v>
      </c>
      <c r="I600" s="334">
        <v>-0.5</v>
      </c>
      <c r="M600" s="345">
        <v>46016.350949074076</v>
      </c>
      <c r="N600" s="376">
        <v>1.0</v>
      </c>
    </row>
    <row r="601" ht="15.75" customHeight="1">
      <c r="A601" s="334" t="s">
        <v>7871</v>
      </c>
      <c r="B601" s="375">
        <v>46016.0</v>
      </c>
      <c r="C601" s="334" t="s">
        <v>37</v>
      </c>
      <c r="D601" s="334" t="s">
        <v>48</v>
      </c>
      <c r="E601" s="334" t="s">
        <v>510</v>
      </c>
      <c r="F601" s="334" t="s">
        <v>7041</v>
      </c>
      <c r="G601" s="334" t="s">
        <v>7042</v>
      </c>
      <c r="I601" s="334">
        <v>-0.5</v>
      </c>
      <c r="M601" s="345">
        <v>46016.35128472222</v>
      </c>
      <c r="N601" s="376">
        <v>1.0</v>
      </c>
    </row>
    <row r="602" ht="15.75" customHeight="1">
      <c r="A602" s="334" t="s">
        <v>7872</v>
      </c>
      <c r="B602" s="375">
        <v>46016.0</v>
      </c>
      <c r="C602" s="334" t="s">
        <v>11</v>
      </c>
      <c r="D602" s="334" t="s">
        <v>46</v>
      </c>
      <c r="E602" s="334" t="s">
        <v>488</v>
      </c>
      <c r="F602" s="334" t="s">
        <v>7094</v>
      </c>
      <c r="G602" s="334" t="s">
        <v>7095</v>
      </c>
      <c r="I602" s="334">
        <v>-0.5</v>
      </c>
      <c r="M602" s="345">
        <v>46016.35162037037</v>
      </c>
      <c r="N602" s="376">
        <v>1.0</v>
      </c>
    </row>
    <row r="603" ht="15.75" customHeight="1">
      <c r="A603" s="334" t="s">
        <v>7873</v>
      </c>
      <c r="B603" s="375">
        <v>46016.0</v>
      </c>
      <c r="C603" s="334" t="s">
        <v>14</v>
      </c>
      <c r="D603" s="334" t="s">
        <v>48</v>
      </c>
      <c r="E603" s="334" t="s">
        <v>498</v>
      </c>
      <c r="F603" s="334" t="s">
        <v>7019</v>
      </c>
      <c r="G603" s="334" t="s">
        <v>7020</v>
      </c>
      <c r="I603" s="334">
        <v>-0.5</v>
      </c>
      <c r="M603" s="345">
        <v>46016.35207175926</v>
      </c>
      <c r="N603" s="376">
        <v>1.0</v>
      </c>
    </row>
    <row r="604" ht="15.75" customHeight="1">
      <c r="A604" s="334" t="s">
        <v>7874</v>
      </c>
      <c r="B604" s="375">
        <v>46016.0</v>
      </c>
      <c r="C604" s="334" t="s">
        <v>31</v>
      </c>
      <c r="D604" s="334" t="s">
        <v>64</v>
      </c>
      <c r="E604" s="334" t="s">
        <v>478</v>
      </c>
      <c r="F604" s="334" t="s">
        <v>130</v>
      </c>
      <c r="G604" s="334" t="s">
        <v>6971</v>
      </c>
      <c r="I604" s="334">
        <v>1.0</v>
      </c>
      <c r="M604" s="345">
        <v>46016.35271990741</v>
      </c>
      <c r="N604" s="376">
        <v>1.0</v>
      </c>
    </row>
    <row r="605" ht="15.75" customHeight="1">
      <c r="A605" s="334" t="s">
        <v>7875</v>
      </c>
      <c r="B605" s="375">
        <v>46016.0</v>
      </c>
      <c r="C605" s="334" t="s">
        <v>31</v>
      </c>
      <c r="D605" s="334" t="s">
        <v>47</v>
      </c>
      <c r="E605" s="334" t="s">
        <v>477</v>
      </c>
      <c r="F605" s="334" t="s">
        <v>130</v>
      </c>
      <c r="G605" s="334" t="s">
        <v>7685</v>
      </c>
      <c r="I605" s="334">
        <v>0.5</v>
      </c>
      <c r="M605" s="345">
        <v>46016.353310185186</v>
      </c>
      <c r="N605" s="376">
        <v>1.0</v>
      </c>
    </row>
    <row r="606" ht="15.75" customHeight="1">
      <c r="A606" s="334" t="s">
        <v>7876</v>
      </c>
      <c r="B606" s="375">
        <v>46016.0</v>
      </c>
      <c r="C606" s="334" t="s">
        <v>28</v>
      </c>
      <c r="D606" s="334" t="s">
        <v>52</v>
      </c>
      <c r="E606" s="334" t="s">
        <v>493</v>
      </c>
      <c r="F606" s="334" t="s">
        <v>7041</v>
      </c>
      <c r="G606" s="334" t="s">
        <v>7877</v>
      </c>
      <c r="I606" s="334">
        <v>4.5</v>
      </c>
      <c r="M606" s="345">
        <v>46016.35837962963</v>
      </c>
      <c r="N606" s="376">
        <v>1.0</v>
      </c>
    </row>
    <row r="607" ht="15.75" customHeight="1">
      <c r="A607" s="377" t="s">
        <v>7878</v>
      </c>
      <c r="B607" s="375">
        <v>46016.0</v>
      </c>
      <c r="C607" s="334" t="s">
        <v>28</v>
      </c>
      <c r="D607" s="334" t="s">
        <v>52</v>
      </c>
      <c r="E607" s="334" t="s">
        <v>493</v>
      </c>
      <c r="F607" s="334" t="s">
        <v>575</v>
      </c>
      <c r="G607" s="334" t="s">
        <v>7879</v>
      </c>
      <c r="I607" s="334">
        <v>-1.5</v>
      </c>
      <c r="M607" s="345">
        <v>46016.358668981484</v>
      </c>
      <c r="N607" s="376">
        <v>1.0</v>
      </c>
    </row>
    <row r="608" ht="15.75" customHeight="1">
      <c r="A608" s="334" t="s">
        <v>7880</v>
      </c>
      <c r="B608" s="375">
        <v>46016.0</v>
      </c>
      <c r="C608" s="334" t="s">
        <v>28</v>
      </c>
      <c r="D608" s="334" t="s">
        <v>52</v>
      </c>
      <c r="E608" s="334" t="s">
        <v>493</v>
      </c>
      <c r="F608" s="334" t="s">
        <v>154</v>
      </c>
      <c r="G608" s="334" t="s">
        <v>7100</v>
      </c>
      <c r="I608" s="334">
        <v>-0.5</v>
      </c>
      <c r="M608" s="345">
        <v>46016.35890046296</v>
      </c>
      <c r="N608" s="376">
        <v>1.0</v>
      </c>
    </row>
    <row r="609" ht="15.75" customHeight="1">
      <c r="A609" s="334" t="s">
        <v>7881</v>
      </c>
      <c r="B609" s="362">
        <v>46027.0</v>
      </c>
      <c r="C609" s="334" t="s">
        <v>28</v>
      </c>
      <c r="D609" s="334" t="s">
        <v>52</v>
      </c>
      <c r="E609" s="334" t="s">
        <v>493</v>
      </c>
      <c r="F609" s="334" t="s">
        <v>154</v>
      </c>
      <c r="G609" s="334" t="s">
        <v>7100</v>
      </c>
      <c r="I609" s="334">
        <v>0.5</v>
      </c>
      <c r="M609" s="345">
        <v>46016.36583333334</v>
      </c>
      <c r="N609" s="376">
        <v>1.0</v>
      </c>
    </row>
    <row r="610" ht="15.75" customHeight="1">
      <c r="A610" s="334" t="s">
        <v>7882</v>
      </c>
      <c r="B610" s="375">
        <v>46017.0</v>
      </c>
      <c r="C610" s="334" t="s">
        <v>12</v>
      </c>
      <c r="D610" s="334" t="s">
        <v>53</v>
      </c>
      <c r="E610" s="334" t="s">
        <v>491</v>
      </c>
      <c r="F610" s="334" t="s">
        <v>7048</v>
      </c>
      <c r="G610" s="334" t="s">
        <v>7132</v>
      </c>
      <c r="I610" s="334">
        <v>-0.5</v>
      </c>
      <c r="M610" s="345">
        <v>46016.747037037036</v>
      </c>
      <c r="N610" s="376">
        <v>1.0</v>
      </c>
    </row>
    <row r="611" ht="15.75" customHeight="1">
      <c r="A611" s="334" t="s">
        <v>7883</v>
      </c>
      <c r="B611" s="375">
        <v>46017.0</v>
      </c>
      <c r="C611" s="334" t="s">
        <v>15</v>
      </c>
      <c r="D611" s="334" t="s">
        <v>58</v>
      </c>
      <c r="E611" s="334" t="s">
        <v>499</v>
      </c>
      <c r="F611" s="334" t="s">
        <v>7771</v>
      </c>
      <c r="G611" s="334" t="s">
        <v>7772</v>
      </c>
      <c r="I611" s="334">
        <v>-0.5</v>
      </c>
      <c r="M611" s="345">
        <v>46016.747662037036</v>
      </c>
      <c r="N611" s="376">
        <v>1.0</v>
      </c>
    </row>
    <row r="612" ht="15.75" customHeight="1">
      <c r="A612" s="334" t="s">
        <v>7884</v>
      </c>
      <c r="B612" s="375">
        <v>46017.0</v>
      </c>
      <c r="C612" s="334" t="s">
        <v>15</v>
      </c>
      <c r="D612" s="334" t="s">
        <v>46</v>
      </c>
      <c r="E612" s="334" t="s">
        <v>500</v>
      </c>
      <c r="F612" s="334" t="s">
        <v>7572</v>
      </c>
      <c r="G612" s="334" t="s">
        <v>7573</v>
      </c>
      <c r="I612" s="334">
        <v>-0.5</v>
      </c>
      <c r="M612" s="345">
        <v>46016.748020833336</v>
      </c>
      <c r="N612" s="376">
        <v>1.0</v>
      </c>
    </row>
    <row r="613" ht="15.75" customHeight="1">
      <c r="A613" s="334" t="s">
        <v>7885</v>
      </c>
      <c r="B613" s="375">
        <v>46017.0</v>
      </c>
      <c r="C613" s="334" t="s">
        <v>537</v>
      </c>
      <c r="D613" s="334" t="s">
        <v>59</v>
      </c>
      <c r="E613" s="334" t="s">
        <v>501</v>
      </c>
      <c r="F613" s="334" t="s">
        <v>1199</v>
      </c>
      <c r="G613" s="334" t="s">
        <v>7775</v>
      </c>
      <c r="I613" s="334">
        <v>-0.5</v>
      </c>
      <c r="M613" s="345">
        <v>46016.74855324074</v>
      </c>
      <c r="N613" s="376">
        <v>1.0</v>
      </c>
    </row>
    <row r="614" ht="15.75" customHeight="1">
      <c r="A614" s="334" t="s">
        <v>7886</v>
      </c>
      <c r="B614" s="375">
        <v>46016.0</v>
      </c>
      <c r="C614" s="334" t="s">
        <v>537</v>
      </c>
      <c r="D614" s="334" t="s">
        <v>7031</v>
      </c>
      <c r="E614" s="334" t="s">
        <v>7032</v>
      </c>
      <c r="F614" s="334" t="s">
        <v>7415</v>
      </c>
      <c r="G614" s="334" t="s">
        <v>7777</v>
      </c>
      <c r="I614" s="334">
        <v>-0.5</v>
      </c>
      <c r="M614" s="345">
        <v>46016.74896990741</v>
      </c>
      <c r="N614" s="376">
        <v>1.0</v>
      </c>
    </row>
    <row r="615" ht="15.75" customHeight="1">
      <c r="A615" s="334" t="s">
        <v>7887</v>
      </c>
      <c r="B615" s="375">
        <v>46017.0</v>
      </c>
      <c r="C615" s="334" t="s">
        <v>12</v>
      </c>
      <c r="D615" s="334" t="s">
        <v>53</v>
      </c>
      <c r="E615" s="334" t="s">
        <v>491</v>
      </c>
      <c r="F615" s="334" t="s">
        <v>7011</v>
      </c>
      <c r="G615" s="334" t="s">
        <v>7014</v>
      </c>
      <c r="I615" s="334">
        <v>-0.5</v>
      </c>
      <c r="M615" s="345">
        <v>46016.76131944444</v>
      </c>
      <c r="N615" s="376">
        <v>1.0</v>
      </c>
    </row>
    <row r="616" ht="15.75" customHeight="1">
      <c r="A616" s="334" t="s">
        <v>7888</v>
      </c>
      <c r="B616" s="362">
        <v>46028.0</v>
      </c>
      <c r="C616" s="334" t="s">
        <v>14</v>
      </c>
      <c r="D616" s="334" t="s">
        <v>46</v>
      </c>
      <c r="E616" s="334" t="s">
        <v>497</v>
      </c>
      <c r="F616" s="334" t="s">
        <v>7016</v>
      </c>
      <c r="G616" s="334" t="s">
        <v>7017</v>
      </c>
      <c r="I616" s="334">
        <v>-0.5</v>
      </c>
      <c r="M616" s="345">
        <v>46017.72054398148</v>
      </c>
      <c r="N616" s="376">
        <v>1.0</v>
      </c>
    </row>
    <row r="617" ht="15.75" customHeight="1">
      <c r="A617" s="334" t="s">
        <v>7889</v>
      </c>
      <c r="B617" s="362">
        <v>46030.0</v>
      </c>
      <c r="C617" s="334" t="s">
        <v>17</v>
      </c>
      <c r="D617" s="334" t="s">
        <v>563</v>
      </c>
      <c r="E617" s="334" t="s">
        <v>508</v>
      </c>
      <c r="F617" s="334" t="s">
        <v>575</v>
      </c>
      <c r="G617" s="334" t="s">
        <v>7330</v>
      </c>
      <c r="I617" s="334">
        <v>1.0</v>
      </c>
      <c r="M617" s="344">
        <v>46029.71810185185</v>
      </c>
      <c r="N617" s="376">
        <v>1.0</v>
      </c>
    </row>
    <row r="618" ht="15.75" customHeight="1">
      <c r="A618" s="334" t="s">
        <v>7890</v>
      </c>
      <c r="B618" s="362">
        <v>46030.0</v>
      </c>
      <c r="C618" s="334" t="s">
        <v>531</v>
      </c>
      <c r="D618" s="334" t="s">
        <v>77</v>
      </c>
      <c r="E618" s="334" t="s">
        <v>449</v>
      </c>
      <c r="F618" s="334" t="s">
        <v>7472</v>
      </c>
      <c r="G618" s="334" t="s">
        <v>7473</v>
      </c>
      <c r="I618" s="334">
        <v>-0.5</v>
      </c>
      <c r="M618" s="344">
        <v>46030.68299768519</v>
      </c>
      <c r="N618" s="376">
        <v>1.0</v>
      </c>
    </row>
    <row r="619" ht="15.75" customHeight="1">
      <c r="A619" s="334" t="s">
        <v>7891</v>
      </c>
      <c r="B619" s="375">
        <v>46016.0</v>
      </c>
      <c r="C619" s="334" t="s">
        <v>12</v>
      </c>
      <c r="D619" s="334" t="s">
        <v>541</v>
      </c>
      <c r="E619" s="334" t="s">
        <v>492</v>
      </c>
      <c r="F619" s="334" t="s">
        <v>7011</v>
      </c>
      <c r="G619" s="334" t="s">
        <v>7892</v>
      </c>
      <c r="I619" s="334">
        <v>-0.5</v>
      </c>
      <c r="M619" s="344">
        <v>46030.683275462965</v>
      </c>
      <c r="N619" s="376">
        <v>1.0</v>
      </c>
    </row>
    <row r="620" ht="15.75" customHeight="1">
      <c r="A620" s="334" t="s">
        <v>7893</v>
      </c>
      <c r="B620" s="362">
        <v>46032.0</v>
      </c>
      <c r="C620" s="334" t="s">
        <v>5</v>
      </c>
      <c r="D620" s="334" t="s">
        <v>46</v>
      </c>
      <c r="E620" s="334" t="s">
        <v>450</v>
      </c>
      <c r="F620" s="334" t="s">
        <v>111</v>
      </c>
      <c r="G620" s="334" t="s">
        <v>6925</v>
      </c>
      <c r="I620" s="334">
        <v>1.3</v>
      </c>
      <c r="M620" s="344">
        <v>46032.284583333334</v>
      </c>
      <c r="N620" s="376">
        <v>1.0</v>
      </c>
    </row>
    <row r="621" ht="15.75" customHeight="1">
      <c r="A621" s="334" t="s">
        <v>7894</v>
      </c>
      <c r="B621" s="362">
        <v>46032.0</v>
      </c>
      <c r="C621" s="334" t="s">
        <v>5</v>
      </c>
      <c r="D621" s="334" t="s">
        <v>46</v>
      </c>
      <c r="E621" s="334" t="s">
        <v>450</v>
      </c>
      <c r="F621" s="334" t="s">
        <v>7895</v>
      </c>
      <c r="G621" s="334" t="s">
        <v>7896</v>
      </c>
      <c r="I621" s="334">
        <v>0.5</v>
      </c>
      <c r="M621" s="344">
        <v>46032.285</v>
      </c>
      <c r="N621" s="376">
        <v>1.0</v>
      </c>
    </row>
    <row r="622" ht="15.75" customHeight="1">
      <c r="A622" s="334" t="s">
        <v>7897</v>
      </c>
      <c r="B622" s="362">
        <v>46032.0</v>
      </c>
      <c r="C622" s="334" t="s">
        <v>5</v>
      </c>
      <c r="D622" s="334" t="s">
        <v>47</v>
      </c>
      <c r="E622" s="334" t="s">
        <v>451</v>
      </c>
      <c r="F622" s="334" t="s">
        <v>7898</v>
      </c>
      <c r="G622" s="334" t="s">
        <v>7899</v>
      </c>
      <c r="I622" s="334">
        <v>0.5</v>
      </c>
      <c r="M622" s="344">
        <v>46032.28549768519</v>
      </c>
      <c r="N622" s="376">
        <v>1.0</v>
      </c>
    </row>
    <row r="623" ht="15.75" customHeight="1">
      <c r="A623" s="334" t="s">
        <v>7900</v>
      </c>
      <c r="B623" s="362">
        <v>46032.0</v>
      </c>
      <c r="C623" s="334" t="s">
        <v>5</v>
      </c>
      <c r="D623" s="334" t="s">
        <v>6937</v>
      </c>
      <c r="E623" s="334" t="s">
        <v>6938</v>
      </c>
      <c r="F623" s="334" t="s">
        <v>130</v>
      </c>
      <c r="G623" s="334" t="s">
        <v>6939</v>
      </c>
      <c r="I623" s="334">
        <v>0.5</v>
      </c>
      <c r="M623" s="344">
        <v>46032.28601851852</v>
      </c>
      <c r="N623" s="376">
        <v>1.0</v>
      </c>
    </row>
    <row r="624" ht="15.75" customHeight="1">
      <c r="A624" s="334" t="s">
        <v>7901</v>
      </c>
      <c r="B624" s="362">
        <v>46032.0</v>
      </c>
      <c r="C624" s="334" t="s">
        <v>31</v>
      </c>
      <c r="D624" s="334" t="s">
        <v>47</v>
      </c>
      <c r="E624" s="334" t="s">
        <v>477</v>
      </c>
      <c r="F624" s="334" t="s">
        <v>130</v>
      </c>
      <c r="G624" s="334" t="s">
        <v>7685</v>
      </c>
      <c r="I624" s="334">
        <v>0.5</v>
      </c>
      <c r="M624" s="344">
        <v>46032.28670138889</v>
      </c>
      <c r="N624" s="376">
        <v>1.0</v>
      </c>
    </row>
    <row r="625" ht="15.75" customHeight="1">
      <c r="A625" s="334" t="s">
        <v>7902</v>
      </c>
      <c r="B625" s="375">
        <v>46016.0</v>
      </c>
      <c r="C625" s="334" t="s">
        <v>28</v>
      </c>
      <c r="D625" s="334" t="s">
        <v>52</v>
      </c>
      <c r="E625" s="334" t="s">
        <v>493</v>
      </c>
      <c r="F625" s="334" t="s">
        <v>7041</v>
      </c>
      <c r="G625" s="334" t="s">
        <v>7877</v>
      </c>
      <c r="I625" s="334">
        <v>-2.5</v>
      </c>
      <c r="M625" s="344">
        <v>46044.71586805556</v>
      </c>
      <c r="N625" s="376">
        <v>1.0</v>
      </c>
    </row>
    <row r="626" ht="15.75" customHeight="1">
      <c r="A626" s="334" t="s">
        <v>7903</v>
      </c>
      <c r="B626" s="362">
        <v>46045.0</v>
      </c>
      <c r="C626" s="334" t="s">
        <v>5</v>
      </c>
      <c r="D626" s="334" t="s">
        <v>6919</v>
      </c>
      <c r="E626" s="334" t="s">
        <v>6920</v>
      </c>
      <c r="F626" s="334" t="s">
        <v>7898</v>
      </c>
      <c r="G626" s="334" t="s">
        <v>7904</v>
      </c>
      <c r="I626" s="334">
        <v>0.5</v>
      </c>
      <c r="M626" s="344">
        <v>46045.2893287037</v>
      </c>
      <c r="N626" s="376">
        <v>1.0</v>
      </c>
    </row>
    <row r="627" ht="15.75" customHeight="1">
      <c r="A627" s="334" t="s">
        <v>7905</v>
      </c>
      <c r="B627" s="362">
        <v>46045.0</v>
      </c>
      <c r="C627" s="334" t="s">
        <v>5</v>
      </c>
      <c r="D627" s="334" t="s">
        <v>6937</v>
      </c>
      <c r="E627" s="334" t="s">
        <v>6938</v>
      </c>
      <c r="F627" s="334" t="s">
        <v>130</v>
      </c>
      <c r="G627" s="334" t="s">
        <v>6939</v>
      </c>
      <c r="I627" s="334">
        <v>0.5</v>
      </c>
      <c r="M627" s="344">
        <v>46045.289768518516</v>
      </c>
      <c r="N627" s="376">
        <v>1.0</v>
      </c>
    </row>
    <row r="628" ht="15.75" customHeight="1">
      <c r="A628" s="334" t="s">
        <v>7906</v>
      </c>
      <c r="B628" s="362">
        <v>46049.0</v>
      </c>
      <c r="C628" s="334" t="s">
        <v>7</v>
      </c>
      <c r="D628" s="334" t="s">
        <v>49</v>
      </c>
      <c r="E628" s="334" t="s">
        <v>455</v>
      </c>
      <c r="F628" s="334" t="s">
        <v>6999</v>
      </c>
      <c r="G628" s="334" t="s">
        <v>7000</v>
      </c>
      <c r="I628" s="334">
        <v>1.0</v>
      </c>
      <c r="M628" s="344">
        <v>46048.744039351855</v>
      </c>
      <c r="N628" s="376">
        <v>1.0</v>
      </c>
    </row>
    <row r="629" ht="15.75" customHeight="1">
      <c r="A629" s="334" t="s">
        <v>7907</v>
      </c>
      <c r="B629" s="362">
        <v>46051.0</v>
      </c>
      <c r="C629" s="334" t="s">
        <v>532</v>
      </c>
      <c r="D629" s="334" t="s">
        <v>77</v>
      </c>
      <c r="E629" s="334" t="s">
        <v>486</v>
      </c>
      <c r="F629" s="334" t="s">
        <v>7078</v>
      </c>
      <c r="G629" s="334" t="s">
        <v>7079</v>
      </c>
      <c r="I629" s="334">
        <v>-0.5</v>
      </c>
      <c r="M629" s="344">
        <v>46051.27609953703</v>
      </c>
      <c r="N629" s="376">
        <v>1.0</v>
      </c>
    </row>
    <row r="630" ht="15.75" customHeight="1">
      <c r="A630" s="334" t="s">
        <v>7908</v>
      </c>
      <c r="B630" s="362">
        <v>46051.0</v>
      </c>
      <c r="C630" s="334" t="s">
        <v>9</v>
      </c>
      <c r="D630" s="334" t="s">
        <v>51</v>
      </c>
      <c r="E630" s="334" t="s">
        <v>458</v>
      </c>
      <c r="F630" s="334" t="s">
        <v>7296</v>
      </c>
      <c r="G630" s="334" t="s">
        <v>7909</v>
      </c>
      <c r="I630" s="334">
        <v>-0.5</v>
      </c>
      <c r="M630" s="344">
        <v>46051.276550925926</v>
      </c>
      <c r="N630" s="376">
        <v>1.0</v>
      </c>
    </row>
    <row r="631" ht="15.75" customHeight="1">
      <c r="A631" s="334" t="s">
        <v>7910</v>
      </c>
      <c r="B631" s="362">
        <v>46051.0</v>
      </c>
      <c r="C631" s="334" t="s">
        <v>9</v>
      </c>
      <c r="D631" s="334" t="s">
        <v>47</v>
      </c>
      <c r="E631" s="334" t="s">
        <v>459</v>
      </c>
      <c r="F631" s="334" t="s">
        <v>7911</v>
      </c>
      <c r="G631" s="334" t="s">
        <v>7912</v>
      </c>
      <c r="I631" s="334">
        <v>-0.5</v>
      </c>
      <c r="M631" s="344">
        <v>46051.27700231481</v>
      </c>
      <c r="N631" s="376">
        <v>1.0</v>
      </c>
    </row>
    <row r="632" ht="15.75" customHeight="1">
      <c r="A632" s="334" t="s">
        <v>7913</v>
      </c>
      <c r="B632" s="362">
        <v>46051.0</v>
      </c>
      <c r="C632" s="334" t="s">
        <v>9</v>
      </c>
      <c r="D632" s="334" t="s">
        <v>50</v>
      </c>
      <c r="E632" s="334" t="s">
        <v>460</v>
      </c>
      <c r="F632" s="334" t="s">
        <v>7914</v>
      </c>
      <c r="G632" s="334" t="s">
        <v>7915</v>
      </c>
      <c r="I632" s="334">
        <v>-0.5</v>
      </c>
      <c r="M632" s="344">
        <v>46051.27721064815</v>
      </c>
      <c r="N632" s="376">
        <v>1.0</v>
      </c>
    </row>
    <row r="633" ht="15.75" customHeight="1">
      <c r="A633" s="334" t="s">
        <v>7916</v>
      </c>
      <c r="B633" s="362">
        <v>46051.0</v>
      </c>
      <c r="C633" s="334" t="s">
        <v>9</v>
      </c>
      <c r="D633" s="334" t="s">
        <v>49</v>
      </c>
      <c r="E633" s="334" t="s">
        <v>461</v>
      </c>
      <c r="F633" s="334" t="s">
        <v>7596</v>
      </c>
      <c r="G633" s="334" t="s">
        <v>7597</v>
      </c>
      <c r="I633" s="334">
        <v>-0.5</v>
      </c>
      <c r="M633" s="344">
        <v>46051.27752314815</v>
      </c>
      <c r="N633" s="376">
        <v>1.0</v>
      </c>
    </row>
    <row r="634" ht="15.75" customHeight="1">
      <c r="A634" s="334" t="s">
        <v>7917</v>
      </c>
      <c r="B634" s="362">
        <v>46051.0</v>
      </c>
      <c r="C634" s="334" t="s">
        <v>9</v>
      </c>
      <c r="D634" s="334" t="s">
        <v>48</v>
      </c>
      <c r="E634" s="334" t="s">
        <v>462</v>
      </c>
      <c r="F634" s="334" t="s">
        <v>7041</v>
      </c>
      <c r="G634" s="334" t="s">
        <v>7918</v>
      </c>
      <c r="I634" s="334">
        <v>-0.5</v>
      </c>
      <c r="M634" s="344">
        <v>46051.27768518519</v>
      </c>
      <c r="N634" s="376">
        <v>1.0</v>
      </c>
    </row>
    <row r="635" ht="15.75" customHeight="1">
      <c r="A635" s="334" t="s">
        <v>7919</v>
      </c>
      <c r="B635" s="362">
        <v>46051.0</v>
      </c>
      <c r="C635" s="334" t="s">
        <v>12</v>
      </c>
      <c r="D635" s="334" t="s">
        <v>541</v>
      </c>
      <c r="E635" s="334" t="s">
        <v>492</v>
      </c>
      <c r="F635" s="334" t="s">
        <v>7011</v>
      </c>
      <c r="G635" s="334" t="s">
        <v>7892</v>
      </c>
      <c r="I635" s="334">
        <v>-0.5</v>
      </c>
      <c r="M635" s="344">
        <v>46051.278333333335</v>
      </c>
      <c r="N635" s="376">
        <v>1.0</v>
      </c>
    </row>
    <row r="636" ht="15.75" customHeight="1">
      <c r="A636" s="334" t="s">
        <v>7920</v>
      </c>
      <c r="B636" s="362">
        <v>46051.0</v>
      </c>
      <c r="C636" s="334" t="s">
        <v>9</v>
      </c>
      <c r="D636" s="334" t="s">
        <v>48</v>
      </c>
      <c r="E636" s="334" t="s">
        <v>462</v>
      </c>
      <c r="F636" s="334" t="s">
        <v>111</v>
      </c>
      <c r="G636" s="334" t="s">
        <v>7921</v>
      </c>
      <c r="I636" s="334">
        <v>0.5</v>
      </c>
      <c r="M636" s="344">
        <v>46051.28618055556</v>
      </c>
      <c r="N636" s="376">
        <v>1.0</v>
      </c>
    </row>
    <row r="637" ht="15.75" customHeight="1">
      <c r="A637" s="334" t="s">
        <v>7922</v>
      </c>
      <c r="B637" s="362">
        <v>46056.0</v>
      </c>
      <c r="C637" s="334" t="s">
        <v>31</v>
      </c>
      <c r="D637" s="334" t="s">
        <v>47</v>
      </c>
      <c r="E637" s="334" t="s">
        <v>477</v>
      </c>
      <c r="F637" s="334" t="s">
        <v>130</v>
      </c>
      <c r="G637" s="334" t="s">
        <v>7685</v>
      </c>
      <c r="I637" s="334">
        <v>0.5</v>
      </c>
      <c r="M637" s="344">
        <v>46052.62706018519</v>
      </c>
      <c r="N637" s="376">
        <v>1.0</v>
      </c>
    </row>
    <row r="638" ht="15.75" customHeight="1">
      <c r="A638" s="334" t="s">
        <v>7923</v>
      </c>
      <c r="B638" s="362">
        <v>46055.0</v>
      </c>
      <c r="C638" s="334" t="s">
        <v>12</v>
      </c>
      <c r="D638" s="334" t="s">
        <v>541</v>
      </c>
      <c r="E638" s="334" t="s">
        <v>492</v>
      </c>
      <c r="F638" s="334" t="s">
        <v>7011</v>
      </c>
      <c r="G638" s="334" t="s">
        <v>7892</v>
      </c>
      <c r="I638" s="334">
        <v>0.2</v>
      </c>
      <c r="M638" s="344">
        <v>46055.56350694445</v>
      </c>
      <c r="N638" s="376">
        <v>1.0</v>
      </c>
    </row>
    <row r="639" ht="15.75" customHeight="1">
      <c r="A639" s="334" t="s">
        <v>7924</v>
      </c>
      <c r="B639" s="362">
        <v>46056.0</v>
      </c>
      <c r="C639" s="334" t="s">
        <v>7</v>
      </c>
      <c r="D639" s="334" t="s">
        <v>49</v>
      </c>
      <c r="E639" s="334" t="s">
        <v>455</v>
      </c>
      <c r="F639" s="334" t="s">
        <v>6999</v>
      </c>
      <c r="G639" s="334" t="s">
        <v>7000</v>
      </c>
      <c r="I639" s="334">
        <v>0.5</v>
      </c>
      <c r="M639" s="344">
        <v>46056.2737037037</v>
      </c>
      <c r="N639" s="376">
        <v>1.0</v>
      </c>
    </row>
    <row r="640" ht="15.75" customHeight="1">
      <c r="A640" s="334" t="s">
        <v>7925</v>
      </c>
      <c r="B640" s="362">
        <v>46058.0</v>
      </c>
      <c r="C640" s="334" t="s">
        <v>10</v>
      </c>
      <c r="D640" s="334" t="s">
        <v>539</v>
      </c>
      <c r="E640" s="334" t="s">
        <v>465</v>
      </c>
      <c r="F640" s="334" t="s">
        <v>111</v>
      </c>
      <c r="G640" s="334" t="s">
        <v>7926</v>
      </c>
      <c r="I640" s="334">
        <v>48.2</v>
      </c>
      <c r="M640" s="344">
        <v>46058.81565972222</v>
      </c>
      <c r="N640" s="376">
        <v>1.0</v>
      </c>
    </row>
    <row r="641" ht="15.75" customHeight="1">
      <c r="A641" s="334" t="s">
        <v>7927</v>
      </c>
      <c r="B641" s="362">
        <v>46058.0</v>
      </c>
      <c r="C641" s="334" t="s">
        <v>10</v>
      </c>
      <c r="D641" s="334" t="s">
        <v>539</v>
      </c>
      <c r="E641" s="334" t="s">
        <v>465</v>
      </c>
      <c r="F641" s="334" t="s">
        <v>116</v>
      </c>
      <c r="G641" s="334" t="s">
        <v>7928</v>
      </c>
      <c r="I641" s="334">
        <v>46.2</v>
      </c>
      <c r="M641" s="344">
        <v>46058.816145833334</v>
      </c>
      <c r="N641" s="376">
        <v>1.0</v>
      </c>
    </row>
    <row r="642" ht="15.75" customHeight="1">
      <c r="A642" s="334" t="s">
        <v>7929</v>
      </c>
      <c r="B642" s="362">
        <v>46058.0</v>
      </c>
      <c r="C642" s="334" t="s">
        <v>10</v>
      </c>
      <c r="D642" s="334" t="s">
        <v>539</v>
      </c>
      <c r="E642" s="334" t="s">
        <v>465</v>
      </c>
      <c r="F642" s="334" t="s">
        <v>119</v>
      </c>
      <c r="G642" s="334" t="s">
        <v>7930</v>
      </c>
      <c r="I642" s="334">
        <v>44.7</v>
      </c>
      <c r="M642" s="344">
        <v>46058.816469907404</v>
      </c>
      <c r="N642" s="376">
        <v>1.0</v>
      </c>
    </row>
    <row r="643" ht="15.75" customHeight="1">
      <c r="A643" s="334" t="s">
        <v>7931</v>
      </c>
      <c r="B643" s="362">
        <v>46060.0</v>
      </c>
      <c r="C643" s="334" t="s">
        <v>5</v>
      </c>
      <c r="D643" s="334" t="s">
        <v>47</v>
      </c>
      <c r="E643" s="334" t="s">
        <v>451</v>
      </c>
      <c r="F643" s="334" t="s">
        <v>7932</v>
      </c>
      <c r="G643" s="334" t="s">
        <v>7933</v>
      </c>
      <c r="I643" s="334">
        <v>0.5</v>
      </c>
      <c r="M643" s="344">
        <v>46059.705358796295</v>
      </c>
      <c r="N643" s="376">
        <v>1.0</v>
      </c>
    </row>
    <row r="644" ht="15.75" customHeight="1">
      <c r="A644" s="334" t="s">
        <v>7934</v>
      </c>
      <c r="B644" s="362">
        <v>46060.0</v>
      </c>
      <c r="C644" s="334" t="s">
        <v>5</v>
      </c>
      <c r="D644" s="334" t="s">
        <v>6937</v>
      </c>
      <c r="E644" s="334" t="s">
        <v>6938</v>
      </c>
      <c r="F644" s="334" t="s">
        <v>130</v>
      </c>
      <c r="G644" s="334" t="s">
        <v>6939</v>
      </c>
      <c r="I644" s="334">
        <v>0.5</v>
      </c>
      <c r="M644" s="344">
        <v>46059.70752314815</v>
      </c>
      <c r="N644" s="376">
        <v>1.0</v>
      </c>
    </row>
    <row r="645" ht="15.75" customHeight="1">
      <c r="A645" s="334" t="s">
        <v>7935</v>
      </c>
      <c r="B645" s="362">
        <v>46060.0</v>
      </c>
      <c r="C645" s="334" t="s">
        <v>5</v>
      </c>
      <c r="D645" s="334" t="s">
        <v>46</v>
      </c>
      <c r="E645" s="334" t="s">
        <v>450</v>
      </c>
      <c r="F645" s="334" t="s">
        <v>7936</v>
      </c>
      <c r="G645" s="334" t="s">
        <v>7937</v>
      </c>
      <c r="I645" s="334">
        <v>0.5</v>
      </c>
      <c r="M645" s="344">
        <v>46059.74005787037</v>
      </c>
      <c r="N645" s="376">
        <v>1.0</v>
      </c>
    </row>
    <row r="646" ht="15.75" customHeight="1">
      <c r="A646" s="334" t="s">
        <v>7938</v>
      </c>
      <c r="B646" s="362">
        <v>46063.0</v>
      </c>
      <c r="C646" s="334" t="s">
        <v>28</v>
      </c>
      <c r="D646" s="334" t="s">
        <v>52</v>
      </c>
      <c r="E646" s="334" t="s">
        <v>493</v>
      </c>
      <c r="F646" s="334" t="s">
        <v>154</v>
      </c>
      <c r="G646" s="334" t="s">
        <v>7100</v>
      </c>
      <c r="I646" s="334">
        <v>-0.5</v>
      </c>
      <c r="M646" s="344">
        <v>46065.67575231481</v>
      </c>
      <c r="N646" s="376">
        <v>1.0</v>
      </c>
    </row>
    <row r="647" ht="15.75" customHeight="1">
      <c r="A647" s="334" t="s">
        <v>7939</v>
      </c>
      <c r="B647" s="362">
        <v>46065.0</v>
      </c>
      <c r="C647" s="334" t="s">
        <v>28</v>
      </c>
      <c r="D647" s="334" t="s">
        <v>52</v>
      </c>
      <c r="E647" s="334" t="s">
        <v>493</v>
      </c>
      <c r="F647" s="334" t="s">
        <v>154</v>
      </c>
      <c r="G647" s="334" t="s">
        <v>7100</v>
      </c>
      <c r="I647" s="334">
        <v>-0.5</v>
      </c>
      <c r="M647" s="344">
        <v>46065.67649305556</v>
      </c>
      <c r="N647" s="376">
        <v>1.0</v>
      </c>
    </row>
    <row r="648" ht="15.75" customHeight="1">
      <c r="A648" s="334" t="s">
        <v>7940</v>
      </c>
      <c r="B648" s="362">
        <v>46051.0</v>
      </c>
      <c r="C648" s="334" t="s">
        <v>12</v>
      </c>
      <c r="D648" s="334" t="s">
        <v>50</v>
      </c>
      <c r="E648" s="334" t="s">
        <v>490</v>
      </c>
      <c r="F648" s="334" t="s">
        <v>7011</v>
      </c>
      <c r="G648" s="334" t="s">
        <v>7012</v>
      </c>
      <c r="I648" s="334">
        <v>-0.5</v>
      </c>
      <c r="M648" s="344">
        <v>46065.74201388889</v>
      </c>
      <c r="N648" s="376">
        <v>1.0</v>
      </c>
    </row>
    <row r="649" ht="15.75" customHeight="1">
      <c r="A649" s="377" t="s">
        <v>7941</v>
      </c>
      <c r="B649" s="362">
        <v>46051.0</v>
      </c>
      <c r="C649" s="334" t="s">
        <v>9</v>
      </c>
      <c r="D649" s="334" t="s">
        <v>50</v>
      </c>
      <c r="E649" s="334" t="s">
        <v>460</v>
      </c>
      <c r="F649" s="334" t="s">
        <v>7942</v>
      </c>
      <c r="G649" s="334" t="s">
        <v>7943</v>
      </c>
      <c r="I649" s="334">
        <v>16.5</v>
      </c>
      <c r="M649" s="344">
        <v>46065.74487268519</v>
      </c>
      <c r="N649" s="376">
        <v>1.0</v>
      </c>
    </row>
    <row r="650" ht="15.75" customHeight="1">
      <c r="A650" s="334" t="s">
        <v>7944</v>
      </c>
      <c r="B650" s="362">
        <v>46069.0</v>
      </c>
      <c r="C650" s="334" t="s">
        <v>31</v>
      </c>
      <c r="D650" s="334" t="s">
        <v>47</v>
      </c>
      <c r="E650" s="334" t="s">
        <v>477</v>
      </c>
      <c r="F650" s="334" t="s">
        <v>130</v>
      </c>
      <c r="G650" s="334" t="s">
        <v>7685</v>
      </c>
      <c r="I650" s="334">
        <v>0.5</v>
      </c>
      <c r="M650" s="344">
        <v>46070.28041666667</v>
      </c>
      <c r="N650" s="376">
        <v>1.0</v>
      </c>
    </row>
    <row r="651" ht="15.75" customHeight="1">
      <c r="A651" s="334" t="s">
        <v>7945</v>
      </c>
      <c r="B651" s="362">
        <v>46032.0</v>
      </c>
      <c r="C651" s="334" t="s">
        <v>5</v>
      </c>
      <c r="D651" s="334" t="s">
        <v>46</v>
      </c>
      <c r="E651" s="334" t="s">
        <v>450</v>
      </c>
      <c r="F651" s="334" t="s">
        <v>101</v>
      </c>
      <c r="G651" s="334" t="s">
        <v>7946</v>
      </c>
      <c r="I651" s="334">
        <v>0.5</v>
      </c>
      <c r="M651" s="344">
        <v>46071.36170138889</v>
      </c>
      <c r="N651" s="376">
        <v>1.0</v>
      </c>
    </row>
    <row r="652" ht="15.75" customHeight="1">
      <c r="A652" s="334" t="s">
        <v>7947</v>
      </c>
      <c r="B652" s="362">
        <v>46071.0</v>
      </c>
      <c r="C652" s="334" t="s">
        <v>30</v>
      </c>
      <c r="D652" s="334" t="s">
        <v>52</v>
      </c>
      <c r="E652" s="334" t="s">
        <v>474</v>
      </c>
      <c r="F652" s="334" t="s">
        <v>1199</v>
      </c>
      <c r="G652" s="334" t="s">
        <v>7948</v>
      </c>
      <c r="I652" s="334">
        <v>49.0</v>
      </c>
      <c r="M652" s="344">
        <v>46071.413402777776</v>
      </c>
      <c r="N652" s="376">
        <v>1.0</v>
      </c>
    </row>
    <row r="653" ht="15.75" customHeight="1">
      <c r="A653" s="334" t="s">
        <v>7949</v>
      </c>
      <c r="B653" s="362">
        <v>46072.0</v>
      </c>
      <c r="C653" s="334" t="s">
        <v>29</v>
      </c>
      <c r="D653" s="334" t="s">
        <v>50</v>
      </c>
      <c r="E653" s="334" t="s">
        <v>473</v>
      </c>
      <c r="F653" s="334" t="s">
        <v>130</v>
      </c>
      <c r="G653" s="334" t="s">
        <v>7683</v>
      </c>
      <c r="I653" s="334">
        <v>4.8</v>
      </c>
      <c r="M653" s="344">
        <v>46071.73554398148</v>
      </c>
      <c r="N653" s="376">
        <v>1.0</v>
      </c>
    </row>
    <row r="654" ht="15.75" customHeight="1">
      <c r="A654" s="334" t="s">
        <v>7950</v>
      </c>
      <c r="B654" s="362">
        <v>46072.0</v>
      </c>
      <c r="C654" s="334" t="s">
        <v>12</v>
      </c>
      <c r="D654" s="334" t="s">
        <v>50</v>
      </c>
      <c r="E654" s="334" t="s">
        <v>490</v>
      </c>
      <c r="F654" s="334" t="s">
        <v>7011</v>
      </c>
      <c r="G654" s="334" t="s">
        <v>7012</v>
      </c>
      <c r="I654" s="334">
        <v>0.5</v>
      </c>
      <c r="M654" s="344">
        <v>46072.27381944445</v>
      </c>
      <c r="N654" s="376">
        <v>1.0</v>
      </c>
    </row>
    <row r="655" ht="15.75" customHeight="1">
      <c r="A655" s="334" t="s">
        <v>7951</v>
      </c>
      <c r="B655" s="362">
        <v>46072.0</v>
      </c>
      <c r="C655" s="334" t="s">
        <v>7</v>
      </c>
      <c r="D655" s="334" t="s">
        <v>49</v>
      </c>
      <c r="E655" s="334" t="s">
        <v>455</v>
      </c>
      <c r="F655" s="334" t="s">
        <v>7074</v>
      </c>
      <c r="G655" s="334" t="s">
        <v>7075</v>
      </c>
      <c r="I655" s="334">
        <v>0.5</v>
      </c>
      <c r="M655" s="344">
        <v>46072.27489583333</v>
      </c>
      <c r="N655" s="376">
        <v>1.0</v>
      </c>
    </row>
    <row r="656" ht="15.75" customHeight="1">
      <c r="A656" s="334" t="s">
        <v>7952</v>
      </c>
      <c r="B656" s="362">
        <v>46072.0</v>
      </c>
      <c r="C656" s="334" t="s">
        <v>12</v>
      </c>
      <c r="D656" s="334" t="s">
        <v>541</v>
      </c>
      <c r="E656" s="334" t="s">
        <v>492</v>
      </c>
      <c r="F656" s="334" t="s">
        <v>7011</v>
      </c>
      <c r="G656" s="334" t="s">
        <v>7892</v>
      </c>
      <c r="I656" s="334">
        <v>0.5</v>
      </c>
      <c r="M656" s="344">
        <v>46072.27533564815</v>
      </c>
      <c r="N656" s="376">
        <v>1.0</v>
      </c>
    </row>
    <row r="657" ht="15.75" customHeight="1">
      <c r="A657" s="334" t="s">
        <v>7953</v>
      </c>
      <c r="B657" s="362">
        <v>46072.0</v>
      </c>
      <c r="C657" s="334" t="s">
        <v>532</v>
      </c>
      <c r="D657" s="334" t="s">
        <v>77</v>
      </c>
      <c r="E657" s="334" t="s">
        <v>486</v>
      </c>
      <c r="F657" s="334" t="s">
        <v>7954</v>
      </c>
      <c r="G657" s="334" t="s">
        <v>7955</v>
      </c>
      <c r="I657" s="334">
        <v>0.5</v>
      </c>
      <c r="M657" s="344">
        <v>46072.27579861111</v>
      </c>
      <c r="N657" s="376">
        <v>1.0</v>
      </c>
    </row>
    <row r="658" ht="15.75" customHeight="1">
      <c r="A658" s="334" t="s">
        <v>7956</v>
      </c>
      <c r="B658" s="362">
        <v>46072.0</v>
      </c>
      <c r="C658" s="334" t="s">
        <v>28</v>
      </c>
      <c r="D658" s="334" t="s">
        <v>52</v>
      </c>
      <c r="E658" s="334" t="s">
        <v>493</v>
      </c>
      <c r="F658" s="334" t="s">
        <v>7333</v>
      </c>
      <c r="G658" s="334" t="s">
        <v>7334</v>
      </c>
      <c r="I658" s="334">
        <v>1.0</v>
      </c>
      <c r="M658" s="344">
        <v>46072.36777777778</v>
      </c>
      <c r="N658" s="376">
        <v>1.0</v>
      </c>
    </row>
    <row r="659" ht="15.75" customHeight="1">
      <c r="A659" s="334" t="s">
        <v>7957</v>
      </c>
      <c r="B659" s="362">
        <v>46072.0</v>
      </c>
      <c r="C659" s="334" t="s">
        <v>28</v>
      </c>
      <c r="D659" s="334" t="s">
        <v>52</v>
      </c>
      <c r="E659" s="334" t="s">
        <v>493</v>
      </c>
      <c r="F659" s="334" t="s">
        <v>7446</v>
      </c>
      <c r="G659" s="334" t="s">
        <v>7447</v>
      </c>
      <c r="I659" s="334">
        <v>0.5</v>
      </c>
      <c r="M659" s="344">
        <v>46072.36851851852</v>
      </c>
      <c r="N659" s="376">
        <v>1.0</v>
      </c>
    </row>
    <row r="660" ht="15.75" customHeight="1">
      <c r="A660" s="334" t="s">
        <v>7958</v>
      </c>
      <c r="B660" s="362">
        <v>46072.0</v>
      </c>
      <c r="C660" s="334" t="s">
        <v>36</v>
      </c>
      <c r="D660" s="334" t="s">
        <v>1303</v>
      </c>
      <c r="E660" s="334" t="s">
        <v>469</v>
      </c>
      <c r="F660" s="334" t="s">
        <v>111</v>
      </c>
      <c r="G660" s="334" t="s">
        <v>7196</v>
      </c>
      <c r="I660" s="334">
        <v>1.5</v>
      </c>
      <c r="M660" s="344">
        <v>46072.37646990741</v>
      </c>
      <c r="N660" s="376">
        <v>1.0</v>
      </c>
    </row>
    <row r="661" ht="15.75" customHeight="1">
      <c r="A661" s="334" t="s">
        <v>7959</v>
      </c>
      <c r="B661" s="362">
        <v>46072.0</v>
      </c>
      <c r="C661" s="334" t="s">
        <v>36</v>
      </c>
      <c r="D661" s="334" t="s">
        <v>1303</v>
      </c>
      <c r="E661" s="334" t="s">
        <v>469</v>
      </c>
      <c r="F661" s="334" t="s">
        <v>116</v>
      </c>
      <c r="G661" s="334" t="s">
        <v>7198</v>
      </c>
      <c r="I661" s="334">
        <v>2.0</v>
      </c>
      <c r="M661" s="344">
        <v>46072.376655092594</v>
      </c>
      <c r="N661" s="376">
        <v>1.0</v>
      </c>
    </row>
    <row r="662" ht="15.75" customHeight="1">
      <c r="A662" s="334" t="s">
        <v>7960</v>
      </c>
      <c r="B662" s="362">
        <v>46072.0</v>
      </c>
      <c r="C662" s="334" t="s">
        <v>36</v>
      </c>
      <c r="D662" s="334" t="s">
        <v>1303</v>
      </c>
      <c r="E662" s="334" t="s">
        <v>469</v>
      </c>
      <c r="F662" s="334" t="s">
        <v>119</v>
      </c>
      <c r="G662" s="334" t="s">
        <v>7200</v>
      </c>
      <c r="I662" s="334">
        <v>2.5</v>
      </c>
      <c r="M662" s="344">
        <v>46072.376921296294</v>
      </c>
      <c r="N662" s="376">
        <v>1.0</v>
      </c>
    </row>
    <row r="663" ht="15.75" customHeight="1">
      <c r="A663" s="334" t="s">
        <v>7961</v>
      </c>
      <c r="B663" s="362">
        <v>46072.0</v>
      </c>
      <c r="C663" s="334" t="s">
        <v>36</v>
      </c>
      <c r="D663" s="334" t="s">
        <v>1303</v>
      </c>
      <c r="E663" s="334" t="s">
        <v>469</v>
      </c>
      <c r="F663" s="334" t="s">
        <v>122</v>
      </c>
      <c r="G663" s="334" t="s">
        <v>7202</v>
      </c>
      <c r="I663" s="334">
        <v>3.0</v>
      </c>
      <c r="M663" s="344">
        <v>46072.37709490741</v>
      </c>
      <c r="N663" s="376">
        <v>1.0</v>
      </c>
    </row>
    <row r="664" ht="15.75" customHeight="1">
      <c r="A664" s="334" t="s">
        <v>7962</v>
      </c>
      <c r="B664" s="362">
        <v>46073.0</v>
      </c>
      <c r="C664" s="334" t="s">
        <v>14</v>
      </c>
      <c r="D664" s="334" t="s">
        <v>46</v>
      </c>
      <c r="E664" s="334" t="s">
        <v>497</v>
      </c>
      <c r="F664" s="334" t="s">
        <v>7119</v>
      </c>
      <c r="G664" s="334" t="s">
        <v>7120</v>
      </c>
      <c r="I664" s="334">
        <v>1.0</v>
      </c>
      <c r="M664" s="344">
        <v>46072.787939814814</v>
      </c>
      <c r="N664" s="376">
        <v>1.0</v>
      </c>
    </row>
    <row r="665" ht="15.75" customHeight="1">
      <c r="A665" s="334" t="s">
        <v>7963</v>
      </c>
      <c r="B665" s="362">
        <v>46073.0</v>
      </c>
      <c r="C665" s="334" t="s">
        <v>12</v>
      </c>
      <c r="D665" s="334" t="s">
        <v>53</v>
      </c>
      <c r="E665" s="334" t="s">
        <v>491</v>
      </c>
      <c r="F665" s="334" t="s">
        <v>7048</v>
      </c>
      <c r="G665" s="334" t="s">
        <v>7132</v>
      </c>
      <c r="I665" s="334">
        <v>1.0</v>
      </c>
      <c r="M665" s="344">
        <v>46072.788877314815</v>
      </c>
      <c r="N665" s="376">
        <v>1.0</v>
      </c>
    </row>
    <row r="666" ht="15.75" customHeight="1">
      <c r="A666" s="334" t="s">
        <v>7964</v>
      </c>
      <c r="B666" s="362">
        <v>46073.0</v>
      </c>
      <c r="C666" s="334" t="s">
        <v>7</v>
      </c>
      <c r="D666" s="334" t="s">
        <v>49</v>
      </c>
      <c r="E666" s="334" t="s">
        <v>455</v>
      </c>
      <c r="F666" s="334" t="s">
        <v>7584</v>
      </c>
      <c r="G666" s="334" t="s">
        <v>7965</v>
      </c>
      <c r="I666" s="334">
        <v>0.5</v>
      </c>
      <c r="M666" s="344">
        <v>46073.44403935185</v>
      </c>
      <c r="N666" s="376">
        <v>1.0</v>
      </c>
    </row>
    <row r="667" ht="15.75" customHeight="1">
      <c r="A667" s="377" t="s">
        <v>7966</v>
      </c>
      <c r="B667" s="362">
        <v>46074.0</v>
      </c>
      <c r="C667" s="334" t="s">
        <v>531</v>
      </c>
      <c r="D667" s="334" t="s">
        <v>77</v>
      </c>
      <c r="E667" s="334" t="s">
        <v>449</v>
      </c>
      <c r="F667" s="334" t="s">
        <v>6983</v>
      </c>
      <c r="G667" s="334" t="s">
        <v>7065</v>
      </c>
      <c r="I667" s="334">
        <v>1.0</v>
      </c>
      <c r="M667" s="344">
        <v>46076.66614583333</v>
      </c>
      <c r="N667" s="376">
        <v>1.0</v>
      </c>
    </row>
    <row r="668" ht="15.75" customHeight="1">
      <c r="A668" s="334" t="s">
        <v>7967</v>
      </c>
      <c r="B668" s="362">
        <v>46074.0</v>
      </c>
      <c r="C668" s="334" t="s">
        <v>5</v>
      </c>
      <c r="D668" s="334" t="s">
        <v>46</v>
      </c>
      <c r="E668" s="334" t="s">
        <v>450</v>
      </c>
      <c r="F668" s="334" t="s">
        <v>7102</v>
      </c>
      <c r="G668" s="334" t="s">
        <v>7103</v>
      </c>
      <c r="I668" s="334">
        <v>1.0</v>
      </c>
      <c r="M668" s="344">
        <v>46076.66673611111</v>
      </c>
      <c r="N668" s="376">
        <v>1.0</v>
      </c>
    </row>
    <row r="669" ht="15.75" customHeight="1">
      <c r="A669" s="334" t="s">
        <v>7968</v>
      </c>
      <c r="B669" s="362">
        <v>46074.0</v>
      </c>
      <c r="C669" s="334" t="s">
        <v>5</v>
      </c>
      <c r="D669" s="334" t="s">
        <v>47</v>
      </c>
      <c r="E669" s="334" t="s">
        <v>451</v>
      </c>
      <c r="F669" s="334" t="s">
        <v>1199</v>
      </c>
      <c r="G669" s="334" t="s">
        <v>7798</v>
      </c>
      <c r="I669" s="334">
        <v>1.0</v>
      </c>
      <c r="M669" s="344">
        <v>46076.66726851852</v>
      </c>
      <c r="N669" s="376">
        <v>1.0</v>
      </c>
    </row>
    <row r="670" ht="15.75" customHeight="1">
      <c r="A670" s="334" t="s">
        <v>7969</v>
      </c>
      <c r="B670" s="362">
        <v>46074.0</v>
      </c>
      <c r="C670" s="334" t="s">
        <v>5</v>
      </c>
      <c r="D670" s="334" t="s">
        <v>6937</v>
      </c>
      <c r="E670" s="334" t="s">
        <v>6938</v>
      </c>
      <c r="F670" s="334" t="s">
        <v>130</v>
      </c>
      <c r="G670" s="334" t="s">
        <v>6939</v>
      </c>
      <c r="I670" s="334">
        <v>1.0</v>
      </c>
      <c r="M670" s="344">
        <v>46076.66746527778</v>
      </c>
      <c r="N670" s="376">
        <v>1.0</v>
      </c>
    </row>
    <row r="671" ht="15.75" customHeight="1">
      <c r="A671" s="334" t="s">
        <v>7970</v>
      </c>
      <c r="B671" s="362">
        <v>46074.0</v>
      </c>
      <c r="C671" s="334" t="s">
        <v>6</v>
      </c>
      <c r="D671" s="334" t="s">
        <v>48</v>
      </c>
      <c r="E671" s="334" t="s">
        <v>454</v>
      </c>
      <c r="F671" s="334" t="s">
        <v>7071</v>
      </c>
      <c r="G671" s="334" t="s">
        <v>7072</v>
      </c>
      <c r="I671" s="334">
        <v>1.0</v>
      </c>
      <c r="M671" s="344">
        <v>46076.667662037034</v>
      </c>
      <c r="N671" s="376">
        <v>1.0</v>
      </c>
    </row>
    <row r="672" ht="15.75" customHeight="1">
      <c r="A672" s="334" t="s">
        <v>7971</v>
      </c>
      <c r="B672" s="362">
        <v>46074.0</v>
      </c>
      <c r="C672" s="334" t="s">
        <v>7</v>
      </c>
      <c r="D672" s="334" t="s">
        <v>49</v>
      </c>
      <c r="E672" s="334" t="s">
        <v>455</v>
      </c>
      <c r="F672" s="334" t="s">
        <v>7074</v>
      </c>
      <c r="G672" s="334" t="s">
        <v>7075</v>
      </c>
      <c r="I672" s="334">
        <v>0.5</v>
      </c>
      <c r="M672" s="344">
        <v>46076.668125</v>
      </c>
      <c r="N672" s="376">
        <v>1.0</v>
      </c>
    </row>
    <row r="673" ht="15.75" customHeight="1">
      <c r="A673" s="334" t="s">
        <v>7972</v>
      </c>
      <c r="B673" s="362">
        <v>46074.0</v>
      </c>
      <c r="C673" s="334" t="s">
        <v>10</v>
      </c>
      <c r="D673" s="334" t="s">
        <v>47</v>
      </c>
      <c r="E673" s="334" t="s">
        <v>463</v>
      </c>
      <c r="F673" s="334" t="s">
        <v>6996</v>
      </c>
      <c r="G673" s="334" t="s">
        <v>6997</v>
      </c>
      <c r="I673" s="334">
        <v>1.0</v>
      </c>
      <c r="M673" s="344">
        <v>46076.66881944444</v>
      </c>
      <c r="N673" s="376">
        <v>1.0</v>
      </c>
    </row>
    <row r="674" ht="15.75" customHeight="1">
      <c r="A674" s="334" t="s">
        <v>7973</v>
      </c>
      <c r="B674" s="362">
        <v>46074.0</v>
      </c>
      <c r="C674" s="334" t="s">
        <v>10</v>
      </c>
      <c r="D674" s="334" t="s">
        <v>539</v>
      </c>
      <c r="E674" s="334" t="s">
        <v>465</v>
      </c>
      <c r="F674" s="334" t="s">
        <v>7974</v>
      </c>
      <c r="G674" s="334" t="s">
        <v>7975</v>
      </c>
      <c r="I674" s="334">
        <v>1.0</v>
      </c>
      <c r="M674" s="344">
        <v>46076.66924768518</v>
      </c>
      <c r="N674" s="376">
        <v>1.0</v>
      </c>
    </row>
    <row r="675" ht="15.75" customHeight="1">
      <c r="A675" s="334" t="s">
        <v>7976</v>
      </c>
      <c r="B675" s="362">
        <v>46074.0</v>
      </c>
      <c r="C675" s="334" t="s">
        <v>10</v>
      </c>
      <c r="D675" s="334" t="s">
        <v>46</v>
      </c>
      <c r="E675" s="334" t="s">
        <v>464</v>
      </c>
      <c r="F675" s="334" t="s">
        <v>149</v>
      </c>
      <c r="G675" s="334" t="s">
        <v>7461</v>
      </c>
      <c r="I675" s="334">
        <v>1.0</v>
      </c>
      <c r="M675" s="344">
        <v>46076.66957175926</v>
      </c>
      <c r="N675" s="376">
        <v>1.0</v>
      </c>
    </row>
    <row r="676" ht="15.75" customHeight="1">
      <c r="A676" s="334" t="s">
        <v>7977</v>
      </c>
      <c r="B676" s="362">
        <v>46074.0</v>
      </c>
      <c r="C676" s="334" t="s">
        <v>13</v>
      </c>
      <c r="D676" s="334" t="s">
        <v>49</v>
      </c>
      <c r="E676" s="334" t="s">
        <v>467</v>
      </c>
      <c r="F676" s="334" t="s">
        <v>130</v>
      </c>
      <c r="G676" s="334" t="s">
        <v>7086</v>
      </c>
      <c r="I676" s="334">
        <v>1.0</v>
      </c>
      <c r="M676" s="344">
        <v>46076.67018518518</v>
      </c>
      <c r="N676" s="376">
        <v>1.0</v>
      </c>
    </row>
    <row r="677" ht="15.75" customHeight="1">
      <c r="A677" s="334" t="s">
        <v>7978</v>
      </c>
      <c r="B677" s="362">
        <v>46074.0</v>
      </c>
      <c r="C677" s="334" t="s">
        <v>22</v>
      </c>
      <c r="D677" s="334" t="s">
        <v>47</v>
      </c>
      <c r="E677" s="334" t="s">
        <v>468</v>
      </c>
      <c r="F677" s="334" t="s">
        <v>7487</v>
      </c>
      <c r="G677" s="334" t="s">
        <v>7488</v>
      </c>
      <c r="I677" s="334">
        <v>1.0</v>
      </c>
      <c r="M677" s="344">
        <v>46076.670648148145</v>
      </c>
      <c r="N677" s="376">
        <v>1.0</v>
      </c>
    </row>
    <row r="678" ht="15.75" customHeight="1">
      <c r="A678" s="334" t="s">
        <v>7979</v>
      </c>
      <c r="B678" s="362">
        <v>46074.0</v>
      </c>
      <c r="C678" s="334" t="s">
        <v>36</v>
      </c>
      <c r="D678" s="334" t="s">
        <v>1303</v>
      </c>
      <c r="E678" s="334" t="s">
        <v>469</v>
      </c>
      <c r="F678" s="334" t="s">
        <v>6996</v>
      </c>
      <c r="G678" s="334" t="s">
        <v>7002</v>
      </c>
      <c r="I678" s="334">
        <v>1.0</v>
      </c>
      <c r="M678" s="344">
        <v>46076.670902777776</v>
      </c>
      <c r="N678" s="376">
        <v>1.0</v>
      </c>
    </row>
    <row r="679" ht="15.75" customHeight="1">
      <c r="A679" s="334" t="s">
        <v>7980</v>
      </c>
      <c r="B679" s="362">
        <v>46074.0</v>
      </c>
      <c r="C679" s="334" t="s">
        <v>30</v>
      </c>
      <c r="D679" s="334" t="s">
        <v>52</v>
      </c>
      <c r="E679" s="334" t="s">
        <v>474</v>
      </c>
      <c r="F679" s="334" t="s">
        <v>1199</v>
      </c>
      <c r="G679" s="334" t="s">
        <v>7948</v>
      </c>
      <c r="I679" s="334">
        <v>0.5</v>
      </c>
      <c r="M679" s="344">
        <v>46076.671377314815</v>
      </c>
      <c r="N679" s="376">
        <v>1.0</v>
      </c>
    </row>
    <row r="680" ht="15.75" customHeight="1">
      <c r="A680" s="334" t="s">
        <v>7981</v>
      </c>
      <c r="B680" s="362">
        <v>46074.0</v>
      </c>
      <c r="C680" s="334" t="s">
        <v>31</v>
      </c>
      <c r="D680" s="334" t="s">
        <v>47</v>
      </c>
      <c r="E680" s="334" t="s">
        <v>477</v>
      </c>
      <c r="F680" s="334" t="s">
        <v>130</v>
      </c>
      <c r="G680" s="334" t="s">
        <v>7685</v>
      </c>
      <c r="I680" s="334">
        <v>1.0</v>
      </c>
      <c r="M680" s="344">
        <v>46076.67228009259</v>
      </c>
      <c r="N680" s="376">
        <v>1.0</v>
      </c>
    </row>
    <row r="681" ht="15.75" customHeight="1">
      <c r="A681" s="334" t="s">
        <v>7982</v>
      </c>
      <c r="B681" s="362">
        <v>46074.0</v>
      </c>
      <c r="C681" s="334" t="s">
        <v>532</v>
      </c>
      <c r="D681" s="334" t="s">
        <v>77</v>
      </c>
      <c r="E681" s="334" t="s">
        <v>486</v>
      </c>
      <c r="F681" s="334" t="s">
        <v>7078</v>
      </c>
      <c r="G681" s="334" t="s">
        <v>7079</v>
      </c>
      <c r="I681" s="334">
        <v>1.0</v>
      </c>
      <c r="M681" s="344">
        <v>46076.67340277778</v>
      </c>
      <c r="N681" s="376">
        <v>1.0</v>
      </c>
    </row>
    <row r="682" ht="15.75" customHeight="1">
      <c r="A682" s="334" t="s">
        <v>7983</v>
      </c>
      <c r="B682" s="362">
        <v>46074.0</v>
      </c>
      <c r="C682" s="334" t="s">
        <v>11</v>
      </c>
      <c r="D682" s="334" t="s">
        <v>46</v>
      </c>
      <c r="E682" s="334" t="s">
        <v>488</v>
      </c>
      <c r="F682" s="334" t="s">
        <v>7094</v>
      </c>
      <c r="G682" s="334" t="s">
        <v>7095</v>
      </c>
      <c r="I682" s="334">
        <v>1.0</v>
      </c>
      <c r="M682" s="344">
        <v>46076.67377314815</v>
      </c>
      <c r="N682" s="376">
        <v>1.0</v>
      </c>
    </row>
    <row r="683" ht="15.75" customHeight="1">
      <c r="A683" s="334" t="s">
        <v>7984</v>
      </c>
      <c r="B683" s="362">
        <v>46074.0</v>
      </c>
      <c r="C683" s="334" t="s">
        <v>12</v>
      </c>
      <c r="D683" s="334" t="s">
        <v>50</v>
      </c>
      <c r="E683" s="334" t="s">
        <v>490</v>
      </c>
      <c r="F683" s="334" t="s">
        <v>7011</v>
      </c>
      <c r="G683" s="334" t="s">
        <v>7012</v>
      </c>
      <c r="I683" s="334">
        <v>1.0</v>
      </c>
      <c r="M683" s="344">
        <v>46076.67422453704</v>
      </c>
      <c r="N683" s="376">
        <v>1.0</v>
      </c>
    </row>
    <row r="684" ht="15.75" customHeight="1">
      <c r="A684" s="334" t="s">
        <v>7985</v>
      </c>
      <c r="B684" s="362">
        <v>46074.0</v>
      </c>
      <c r="C684" s="334" t="s">
        <v>12</v>
      </c>
      <c r="D684" s="334" t="s">
        <v>53</v>
      </c>
      <c r="E684" s="334" t="s">
        <v>491</v>
      </c>
      <c r="F684" s="334" t="s">
        <v>7168</v>
      </c>
      <c r="G684" s="334" t="s">
        <v>7169</v>
      </c>
      <c r="I684" s="334">
        <v>1.0</v>
      </c>
      <c r="M684" s="344">
        <v>46076.674409722225</v>
      </c>
      <c r="N684" s="376">
        <v>1.0</v>
      </c>
    </row>
    <row r="685" ht="15.75" customHeight="1">
      <c r="A685" s="334" t="s">
        <v>7986</v>
      </c>
      <c r="B685" s="362">
        <v>46074.0</v>
      </c>
      <c r="C685" s="334" t="s">
        <v>12</v>
      </c>
      <c r="D685" s="334" t="s">
        <v>541</v>
      </c>
      <c r="E685" s="334" t="s">
        <v>492</v>
      </c>
      <c r="F685" s="334" t="s">
        <v>7011</v>
      </c>
      <c r="G685" s="334" t="s">
        <v>7892</v>
      </c>
      <c r="I685" s="334">
        <v>1.0</v>
      </c>
      <c r="M685" s="344">
        <v>46076.675405092596</v>
      </c>
      <c r="N685" s="376">
        <v>1.0</v>
      </c>
    </row>
    <row r="686" ht="15.75" customHeight="1">
      <c r="A686" s="334" t="s">
        <v>7987</v>
      </c>
      <c r="B686" s="362">
        <v>46074.0</v>
      </c>
      <c r="C686" s="334" t="s">
        <v>535</v>
      </c>
      <c r="D686" s="334" t="s">
        <v>77</v>
      </c>
      <c r="E686" s="334" t="s">
        <v>495</v>
      </c>
      <c r="F686" s="334" t="s">
        <v>6983</v>
      </c>
      <c r="G686" s="334" t="s">
        <v>6986</v>
      </c>
      <c r="I686" s="334">
        <v>1.0</v>
      </c>
      <c r="M686" s="344">
        <v>46076.67585648148</v>
      </c>
      <c r="N686" s="376">
        <v>1.0</v>
      </c>
    </row>
    <row r="687" ht="15.75" customHeight="1">
      <c r="A687" s="334" t="s">
        <v>7988</v>
      </c>
      <c r="B687" s="362">
        <v>46074.0</v>
      </c>
      <c r="C687" s="334" t="s">
        <v>536</v>
      </c>
      <c r="D687" s="334" t="s">
        <v>77</v>
      </c>
      <c r="E687" s="334" t="s">
        <v>496</v>
      </c>
      <c r="F687" s="334" t="s">
        <v>6988</v>
      </c>
      <c r="G687" s="334" t="s">
        <v>6989</v>
      </c>
      <c r="I687" s="334">
        <v>1.0</v>
      </c>
      <c r="M687" s="344">
        <v>46076.676030092596</v>
      </c>
      <c r="N687" s="376">
        <v>1.0</v>
      </c>
    </row>
    <row r="688" ht="15.75" customHeight="1">
      <c r="A688" s="334" t="s">
        <v>7989</v>
      </c>
      <c r="B688" s="362">
        <v>46074.0</v>
      </c>
      <c r="C688" s="334" t="s">
        <v>15</v>
      </c>
      <c r="D688" s="334" t="s">
        <v>58</v>
      </c>
      <c r="E688" s="334" t="s">
        <v>499</v>
      </c>
      <c r="F688" s="334" t="s">
        <v>7569</v>
      </c>
      <c r="G688" s="334" t="s">
        <v>7570</v>
      </c>
      <c r="I688" s="334">
        <v>1.0</v>
      </c>
      <c r="M688" s="344">
        <v>46076.676458333335</v>
      </c>
      <c r="N688" s="376">
        <v>1.0</v>
      </c>
    </row>
    <row r="689" ht="15.75" customHeight="1">
      <c r="A689" s="334" t="s">
        <v>7990</v>
      </c>
      <c r="B689" s="362">
        <v>46074.0</v>
      </c>
      <c r="C689" s="334" t="s">
        <v>15</v>
      </c>
      <c r="D689" s="334" t="s">
        <v>46</v>
      </c>
      <c r="E689" s="334" t="s">
        <v>500</v>
      </c>
      <c r="F689" s="334" t="s">
        <v>7572</v>
      </c>
      <c r="G689" s="334" t="s">
        <v>7573</v>
      </c>
      <c r="I689" s="334">
        <v>1.0</v>
      </c>
      <c r="M689" s="344">
        <v>46076.676828703705</v>
      </c>
      <c r="N689" s="376">
        <v>1.0</v>
      </c>
    </row>
    <row r="690" ht="15.75" customHeight="1">
      <c r="A690" s="334" t="s">
        <v>7991</v>
      </c>
      <c r="B690" s="362">
        <v>46074.0</v>
      </c>
      <c r="C690" s="334" t="s">
        <v>14</v>
      </c>
      <c r="D690" s="334" t="s">
        <v>46</v>
      </c>
      <c r="E690" s="334" t="s">
        <v>497</v>
      </c>
      <c r="F690" s="334" t="s">
        <v>7016</v>
      </c>
      <c r="G690" s="334" t="s">
        <v>7017</v>
      </c>
      <c r="I690" s="334">
        <v>1.0</v>
      </c>
      <c r="M690" s="344">
        <v>46076.67712962963</v>
      </c>
      <c r="N690" s="376">
        <v>1.0</v>
      </c>
    </row>
    <row r="691" ht="15.75" customHeight="1">
      <c r="A691" s="334" t="s">
        <v>7992</v>
      </c>
      <c r="B691" s="362">
        <v>46074.0</v>
      </c>
      <c r="C691" s="334" t="s">
        <v>14</v>
      </c>
      <c r="D691" s="334" t="s">
        <v>48</v>
      </c>
      <c r="E691" s="334" t="s">
        <v>498</v>
      </c>
      <c r="F691" s="334" t="s">
        <v>7019</v>
      </c>
      <c r="G691" s="334" t="s">
        <v>7020</v>
      </c>
      <c r="I691" s="334">
        <v>1.0</v>
      </c>
      <c r="M691" s="344">
        <v>46076.67766203704</v>
      </c>
      <c r="N691" s="376">
        <v>1.0</v>
      </c>
    </row>
    <row r="692" ht="15.75" customHeight="1">
      <c r="A692" s="334" t="s">
        <v>7993</v>
      </c>
      <c r="B692" s="362">
        <v>46074.0</v>
      </c>
      <c r="C692" s="334" t="s">
        <v>537</v>
      </c>
      <c r="D692" s="334" t="s">
        <v>59</v>
      </c>
      <c r="E692" s="334" t="s">
        <v>501</v>
      </c>
      <c r="F692" s="334" t="s">
        <v>7656</v>
      </c>
      <c r="G692" s="334" t="s">
        <v>7657</v>
      </c>
      <c r="I692" s="334">
        <v>1.0</v>
      </c>
      <c r="M692" s="344">
        <v>46076.677928240744</v>
      </c>
      <c r="N692" s="376">
        <v>1.0</v>
      </c>
    </row>
    <row r="693" ht="15.75" customHeight="1">
      <c r="A693" s="334" t="s">
        <v>7994</v>
      </c>
      <c r="B693" s="362">
        <v>46074.0</v>
      </c>
      <c r="C693" s="334" t="s">
        <v>537</v>
      </c>
      <c r="D693" s="334" t="s">
        <v>7031</v>
      </c>
      <c r="E693" s="334" t="s">
        <v>7032</v>
      </c>
      <c r="F693" s="334" t="s">
        <v>7033</v>
      </c>
      <c r="G693" s="334" t="s">
        <v>7034</v>
      </c>
      <c r="I693" s="334">
        <v>1.0</v>
      </c>
      <c r="M693" s="344">
        <v>46076.67821759259</v>
      </c>
      <c r="N693" s="376">
        <v>1.0</v>
      </c>
    </row>
    <row r="694" ht="15.75" customHeight="1">
      <c r="A694" s="334" t="s">
        <v>7995</v>
      </c>
      <c r="B694" s="362">
        <v>46074.0</v>
      </c>
      <c r="C694" s="334" t="s">
        <v>19</v>
      </c>
      <c r="D694" s="334" t="s">
        <v>61</v>
      </c>
      <c r="E694" s="334" t="s">
        <v>506</v>
      </c>
      <c r="F694" s="334" t="s">
        <v>116</v>
      </c>
      <c r="G694" s="334" t="s">
        <v>6980</v>
      </c>
      <c r="I694" s="334">
        <v>1.0</v>
      </c>
      <c r="M694" s="344">
        <v>46076.678773148145</v>
      </c>
      <c r="N694" s="376">
        <v>1.0</v>
      </c>
    </row>
    <row r="695" ht="15.75" customHeight="1">
      <c r="A695" s="334" t="s">
        <v>7996</v>
      </c>
      <c r="B695" s="362">
        <v>46074.0</v>
      </c>
      <c r="C695" s="334" t="s">
        <v>37</v>
      </c>
      <c r="D695" s="334" t="s">
        <v>48</v>
      </c>
      <c r="E695" s="334" t="s">
        <v>510</v>
      </c>
      <c r="F695" s="334" t="s">
        <v>7041</v>
      </c>
      <c r="G695" s="334" t="s">
        <v>7042</v>
      </c>
      <c r="I695" s="334">
        <v>1.0</v>
      </c>
      <c r="M695" s="344">
        <v>46076.67943287037</v>
      </c>
      <c r="N695" s="376">
        <v>1.0</v>
      </c>
    </row>
    <row r="696" ht="15.75" customHeight="1">
      <c r="A696" s="334" t="s">
        <v>7997</v>
      </c>
      <c r="B696" s="362">
        <v>46074.0</v>
      </c>
      <c r="C696" s="334" t="s">
        <v>31</v>
      </c>
      <c r="D696" s="334" t="s">
        <v>64</v>
      </c>
      <c r="E696" s="334" t="s">
        <v>478</v>
      </c>
      <c r="F696" s="334" t="s">
        <v>7344</v>
      </c>
      <c r="G696" s="334" t="s">
        <v>7998</v>
      </c>
      <c r="I696" s="334">
        <v>0.5</v>
      </c>
      <c r="M696" s="344">
        <v>46076.68699074074</v>
      </c>
      <c r="N696" s="376">
        <v>1.0</v>
      </c>
    </row>
    <row r="697" ht="15.75" customHeight="1">
      <c r="A697" s="334" t="s">
        <v>7999</v>
      </c>
      <c r="B697" s="362">
        <v>46074.0</v>
      </c>
      <c r="C697" s="334" t="s">
        <v>5</v>
      </c>
      <c r="D697" s="334" t="s">
        <v>47</v>
      </c>
      <c r="E697" s="334" t="s">
        <v>451</v>
      </c>
      <c r="F697" s="334" t="s">
        <v>7102</v>
      </c>
      <c r="G697" s="334" t="s">
        <v>8000</v>
      </c>
      <c r="I697" s="334">
        <v>1.0</v>
      </c>
      <c r="M697" s="344">
        <v>46076.69064814815</v>
      </c>
      <c r="N697" s="376">
        <v>1.0</v>
      </c>
    </row>
    <row r="698" ht="15.75" customHeight="1">
      <c r="A698" s="334" t="s">
        <v>8001</v>
      </c>
      <c r="B698" s="362">
        <v>46072.0</v>
      </c>
      <c r="C698" s="334" t="s">
        <v>12</v>
      </c>
      <c r="D698" s="334" t="s">
        <v>541</v>
      </c>
      <c r="E698" s="334" t="s">
        <v>492</v>
      </c>
      <c r="F698" s="334" t="s">
        <v>7011</v>
      </c>
      <c r="G698" s="334" t="s">
        <v>7892</v>
      </c>
      <c r="I698" s="334">
        <v>0.5</v>
      </c>
      <c r="M698" s="344">
        <v>46077.45564814815</v>
      </c>
      <c r="N698" s="376">
        <v>1.0</v>
      </c>
    </row>
    <row r="699" ht="15.75" customHeight="1">
      <c r="A699" s="334" t="s">
        <v>8002</v>
      </c>
      <c r="B699" s="375">
        <v>46008.0</v>
      </c>
      <c r="C699" s="334" t="s">
        <v>534</v>
      </c>
      <c r="D699" s="334" t="s">
        <v>46</v>
      </c>
      <c r="E699" s="334" t="s">
        <v>489</v>
      </c>
      <c r="F699" s="334" t="s">
        <v>7048</v>
      </c>
      <c r="G699" s="334" t="s">
        <v>8003</v>
      </c>
      <c r="I699" s="334">
        <v>-0.5</v>
      </c>
      <c r="M699" s="344">
        <v>46078.2749537037</v>
      </c>
      <c r="N699" s="376">
        <v>1.0</v>
      </c>
    </row>
    <row r="700" ht="15.75" customHeight="1">
      <c r="A700" s="334" t="s">
        <v>8004</v>
      </c>
      <c r="B700" s="362">
        <v>46078.0</v>
      </c>
      <c r="C700" s="334" t="s">
        <v>9</v>
      </c>
      <c r="D700" s="334" t="s">
        <v>51</v>
      </c>
      <c r="E700" s="334" t="s">
        <v>458</v>
      </c>
      <c r="F700" s="334" t="s">
        <v>7296</v>
      </c>
      <c r="G700" s="334" t="s">
        <v>7909</v>
      </c>
      <c r="I700" s="334">
        <v>1.5</v>
      </c>
      <c r="M700" s="344">
        <v>46078.276030092595</v>
      </c>
      <c r="N700" s="376">
        <v>1.0</v>
      </c>
    </row>
    <row r="701" ht="15.75" customHeight="1">
      <c r="A701" s="334" t="s">
        <v>8005</v>
      </c>
      <c r="B701" s="362">
        <v>46078.0</v>
      </c>
      <c r="C701" s="334" t="s">
        <v>9</v>
      </c>
      <c r="D701" s="334" t="s">
        <v>47</v>
      </c>
      <c r="E701" s="334" t="s">
        <v>459</v>
      </c>
      <c r="F701" s="334" t="s">
        <v>7911</v>
      </c>
      <c r="G701" s="334" t="s">
        <v>7912</v>
      </c>
      <c r="I701" s="334">
        <v>1.5</v>
      </c>
      <c r="M701" s="344">
        <v>46078.27637731482</v>
      </c>
      <c r="N701" s="376">
        <v>1.0</v>
      </c>
    </row>
    <row r="702" ht="15.75" customHeight="1">
      <c r="A702" s="334" t="s">
        <v>8006</v>
      </c>
      <c r="B702" s="362">
        <v>46078.0</v>
      </c>
      <c r="C702" s="334" t="s">
        <v>9</v>
      </c>
      <c r="D702" s="334" t="s">
        <v>50</v>
      </c>
      <c r="E702" s="334" t="s">
        <v>460</v>
      </c>
      <c r="F702" s="334" t="s">
        <v>7914</v>
      </c>
      <c r="G702" s="334" t="s">
        <v>7915</v>
      </c>
      <c r="I702" s="334">
        <v>1.5</v>
      </c>
      <c r="M702" s="344">
        <v>46078.276550925926</v>
      </c>
      <c r="N702" s="376">
        <v>1.0</v>
      </c>
    </row>
    <row r="703" ht="15.75" customHeight="1">
      <c r="A703" s="334" t="s">
        <v>8007</v>
      </c>
      <c r="B703" s="362">
        <v>46078.0</v>
      </c>
      <c r="C703" s="334" t="s">
        <v>9</v>
      </c>
      <c r="D703" s="334" t="s">
        <v>49</v>
      </c>
      <c r="E703" s="334" t="s">
        <v>461</v>
      </c>
      <c r="F703" s="334" t="s">
        <v>7596</v>
      </c>
      <c r="G703" s="334" t="s">
        <v>7597</v>
      </c>
      <c r="I703" s="334">
        <v>1.5</v>
      </c>
      <c r="M703" s="344">
        <v>46078.27670138889</v>
      </c>
      <c r="N703" s="376">
        <v>1.0</v>
      </c>
    </row>
    <row r="704" ht="15.75" customHeight="1">
      <c r="A704" s="334" t="s">
        <v>8008</v>
      </c>
      <c r="B704" s="362">
        <v>46078.0</v>
      </c>
      <c r="C704" s="334" t="s">
        <v>9</v>
      </c>
      <c r="D704" s="334" t="s">
        <v>48</v>
      </c>
      <c r="E704" s="334" t="s">
        <v>462</v>
      </c>
      <c r="F704" s="334" t="s">
        <v>7041</v>
      </c>
      <c r="G704" s="334" t="s">
        <v>7918</v>
      </c>
      <c r="I704" s="334">
        <v>1.5</v>
      </c>
      <c r="M704" s="344">
        <v>46078.27685185185</v>
      </c>
      <c r="N704" s="376">
        <v>1.0</v>
      </c>
    </row>
    <row r="705" ht="15.75" customHeight="1">
      <c r="A705" s="334" t="s">
        <v>8009</v>
      </c>
      <c r="B705" s="362">
        <v>46078.0</v>
      </c>
      <c r="C705" s="334" t="s">
        <v>534</v>
      </c>
      <c r="D705" s="334" t="s">
        <v>46</v>
      </c>
      <c r="E705" s="334" t="s">
        <v>489</v>
      </c>
      <c r="F705" s="334" t="s">
        <v>7048</v>
      </c>
      <c r="G705" s="334" t="s">
        <v>8003</v>
      </c>
      <c r="I705" s="334">
        <v>1.0</v>
      </c>
      <c r="M705" s="344">
        <v>46078.27701388889</v>
      </c>
      <c r="N705" s="376">
        <v>1.0</v>
      </c>
    </row>
    <row r="706" ht="15.75" customHeight="1">
      <c r="A706" s="334" t="s">
        <v>8010</v>
      </c>
      <c r="B706" s="362">
        <v>46078.0</v>
      </c>
      <c r="C706" s="334" t="s">
        <v>9</v>
      </c>
      <c r="D706" s="334" t="s">
        <v>48</v>
      </c>
      <c r="E706" s="334" t="s">
        <v>462</v>
      </c>
      <c r="F706" s="334" t="s">
        <v>111</v>
      </c>
      <c r="G706" s="334" t="s">
        <v>7921</v>
      </c>
      <c r="I706" s="334">
        <v>-1.5</v>
      </c>
      <c r="M706" s="344">
        <v>46078.286087962966</v>
      </c>
      <c r="N706" s="376">
        <v>1.0</v>
      </c>
    </row>
    <row r="707" ht="15.75" customHeight="1">
      <c r="A707" s="334" t="s">
        <v>8011</v>
      </c>
      <c r="B707" s="362">
        <v>46078.0</v>
      </c>
      <c r="C707" s="334" t="s">
        <v>534</v>
      </c>
      <c r="D707" s="334" t="s">
        <v>46</v>
      </c>
      <c r="E707" s="334" t="s">
        <v>489</v>
      </c>
      <c r="F707" s="334" t="s">
        <v>574</v>
      </c>
      <c r="G707" s="334" t="s">
        <v>8012</v>
      </c>
      <c r="I707" s="334">
        <v>-0.5</v>
      </c>
      <c r="M707" s="344">
        <v>46078.28673611111</v>
      </c>
      <c r="N707" s="376">
        <v>1.0</v>
      </c>
    </row>
    <row r="708" ht="15.75" customHeight="1">
      <c r="A708" s="334" t="s">
        <v>8013</v>
      </c>
      <c r="B708" s="362">
        <v>46079.0</v>
      </c>
      <c r="C708" s="334" t="s">
        <v>12</v>
      </c>
      <c r="D708" s="334" t="s">
        <v>50</v>
      </c>
      <c r="E708" s="334" t="s">
        <v>490</v>
      </c>
      <c r="F708" s="334" t="s">
        <v>7011</v>
      </c>
      <c r="G708" s="334" t="s">
        <v>7012</v>
      </c>
      <c r="I708" s="334">
        <v>1.1</v>
      </c>
      <c r="M708" s="344">
        <v>46079.41116898148</v>
      </c>
      <c r="N708" s="376">
        <v>1.0</v>
      </c>
    </row>
    <row r="709" ht="15.75" customHeight="1">
      <c r="A709" s="334" t="s">
        <v>8014</v>
      </c>
      <c r="B709" s="362">
        <v>46080.0</v>
      </c>
      <c r="C709" s="334" t="s">
        <v>7</v>
      </c>
      <c r="D709" s="334" t="s">
        <v>49</v>
      </c>
      <c r="E709" s="334" t="s">
        <v>455</v>
      </c>
      <c r="F709" s="334" t="s">
        <v>8015</v>
      </c>
      <c r="G709" s="334" t="s">
        <v>8016</v>
      </c>
      <c r="I709" s="334">
        <v>0.5</v>
      </c>
      <c r="M709" s="344">
        <v>46080.276041666664</v>
      </c>
      <c r="N709" s="376">
        <v>1.0</v>
      </c>
    </row>
    <row r="710" ht="15.75" customHeight="1">
      <c r="A710" s="334" t="s">
        <v>8017</v>
      </c>
      <c r="B710" s="362">
        <v>46080.0</v>
      </c>
      <c r="C710" s="334" t="s">
        <v>7</v>
      </c>
      <c r="D710" s="334" t="s">
        <v>49</v>
      </c>
      <c r="E710" s="334" t="s">
        <v>455</v>
      </c>
      <c r="F710" s="334" t="s">
        <v>6999</v>
      </c>
      <c r="G710" s="334" t="s">
        <v>7000</v>
      </c>
      <c r="I710" s="334">
        <v>1.0</v>
      </c>
      <c r="M710" s="344">
        <v>46080.27642361111</v>
      </c>
      <c r="N710" s="376">
        <v>1.0</v>
      </c>
    </row>
    <row r="711" ht="15.75" customHeight="1">
      <c r="A711" s="334" t="s">
        <v>8018</v>
      </c>
      <c r="B711" s="362">
        <v>46081.0</v>
      </c>
      <c r="C711" s="334" t="s">
        <v>13</v>
      </c>
      <c r="D711" s="334" t="s">
        <v>49</v>
      </c>
      <c r="E711" s="334" t="s">
        <v>467</v>
      </c>
      <c r="F711" s="334" t="s">
        <v>130</v>
      </c>
      <c r="G711" s="334" t="s">
        <v>7086</v>
      </c>
      <c r="I711" s="334">
        <v>0.5</v>
      </c>
      <c r="M711" s="344">
        <v>46081.28224537037</v>
      </c>
      <c r="N711" s="376">
        <v>1.0</v>
      </c>
    </row>
    <row r="712" ht="15.75" customHeight="1">
      <c r="A712" s="334" t="s">
        <v>8019</v>
      </c>
      <c r="B712" s="362">
        <v>46081.0</v>
      </c>
      <c r="C712" s="334" t="s">
        <v>5</v>
      </c>
      <c r="D712" s="334" t="s">
        <v>46</v>
      </c>
      <c r="E712" s="334" t="s">
        <v>450</v>
      </c>
      <c r="F712" s="334" t="s">
        <v>7102</v>
      </c>
      <c r="G712" s="334" t="s">
        <v>7103</v>
      </c>
      <c r="I712" s="334">
        <v>1.0</v>
      </c>
      <c r="M712" s="344">
        <v>46081.28244212963</v>
      </c>
      <c r="N712" s="376">
        <v>1.0</v>
      </c>
    </row>
    <row r="713" ht="15.75" customHeight="1">
      <c r="A713" s="334" t="s">
        <v>8020</v>
      </c>
      <c r="B713" s="362">
        <v>46081.0</v>
      </c>
      <c r="C713" s="334" t="s">
        <v>5</v>
      </c>
      <c r="D713" s="334" t="s">
        <v>47</v>
      </c>
      <c r="E713" s="334" t="s">
        <v>451</v>
      </c>
      <c r="F713" s="334" t="s">
        <v>7105</v>
      </c>
      <c r="G713" s="334" t="s">
        <v>7106</v>
      </c>
      <c r="I713" s="334">
        <v>1.0</v>
      </c>
      <c r="M713" s="344">
        <v>46081.28283564815</v>
      </c>
      <c r="N713" s="376">
        <v>1.0</v>
      </c>
    </row>
    <row r="714" ht="15.75" customHeight="1">
      <c r="A714" s="334" t="s">
        <v>8021</v>
      </c>
      <c r="B714" s="362">
        <v>46081.0</v>
      </c>
      <c r="C714" s="334" t="s">
        <v>5</v>
      </c>
      <c r="D714" s="334" t="s">
        <v>6937</v>
      </c>
      <c r="E714" s="334" t="s">
        <v>6938</v>
      </c>
      <c r="F714" s="334" t="s">
        <v>130</v>
      </c>
      <c r="G714" s="334" t="s">
        <v>6939</v>
      </c>
      <c r="I714" s="334">
        <v>1.0</v>
      </c>
      <c r="M714" s="344">
        <v>46081.28297453704</v>
      </c>
      <c r="N714" s="376">
        <v>1.0</v>
      </c>
    </row>
    <row r="715" ht="15.75" customHeight="1">
      <c r="A715" s="334" t="s">
        <v>8022</v>
      </c>
      <c r="B715" s="362">
        <v>46081.0</v>
      </c>
      <c r="C715" s="334" t="s">
        <v>14</v>
      </c>
      <c r="D715" s="334" t="s">
        <v>46</v>
      </c>
      <c r="E715" s="334" t="s">
        <v>497</v>
      </c>
      <c r="F715" s="334" t="s">
        <v>7119</v>
      </c>
      <c r="G715" s="334" t="s">
        <v>7120</v>
      </c>
      <c r="I715" s="334">
        <v>1.0</v>
      </c>
      <c r="M715" s="344">
        <v>46081.28335648148</v>
      </c>
      <c r="N715" s="376">
        <v>1.0</v>
      </c>
    </row>
    <row r="716" ht="15.75" customHeight="1">
      <c r="A716" s="334" t="s">
        <v>8023</v>
      </c>
      <c r="B716" s="362">
        <v>46084.0</v>
      </c>
      <c r="C716" s="334" t="s">
        <v>531</v>
      </c>
      <c r="D716" s="334" t="s">
        <v>77</v>
      </c>
      <c r="E716" s="334" t="s">
        <v>449</v>
      </c>
      <c r="F716" s="334" t="s">
        <v>6983</v>
      </c>
      <c r="G716" s="334" t="s">
        <v>7065</v>
      </c>
      <c r="I716" s="334">
        <v>1.0</v>
      </c>
      <c r="M716" s="344">
        <v>46084.2791087963</v>
      </c>
      <c r="N716" s="376">
        <v>1.0</v>
      </c>
    </row>
    <row r="717" ht="15.75" customHeight="1">
      <c r="A717" s="334" t="s">
        <v>8024</v>
      </c>
      <c r="B717" s="362">
        <v>46084.0</v>
      </c>
      <c r="C717" s="334" t="s">
        <v>535</v>
      </c>
      <c r="D717" s="334" t="s">
        <v>77</v>
      </c>
      <c r="E717" s="334" t="s">
        <v>495</v>
      </c>
      <c r="F717" s="334" t="s">
        <v>6983</v>
      </c>
      <c r="G717" s="334" t="s">
        <v>6986</v>
      </c>
      <c r="I717" s="334">
        <v>1.0</v>
      </c>
      <c r="M717" s="344">
        <v>46084.279398148145</v>
      </c>
      <c r="N717" s="376">
        <v>1.0</v>
      </c>
    </row>
    <row r="718" ht="15.75" customHeight="1">
      <c r="A718" s="334" t="s">
        <v>8025</v>
      </c>
      <c r="B718" s="362">
        <v>46084.0</v>
      </c>
      <c r="C718" s="334" t="s">
        <v>536</v>
      </c>
      <c r="D718" s="334" t="s">
        <v>77</v>
      </c>
      <c r="E718" s="334" t="s">
        <v>496</v>
      </c>
      <c r="F718" s="334" t="s">
        <v>6988</v>
      </c>
      <c r="G718" s="334" t="s">
        <v>6989</v>
      </c>
      <c r="I718" s="334">
        <v>1.0</v>
      </c>
      <c r="M718" s="344">
        <v>46084.27960648148</v>
      </c>
      <c r="N718" s="376">
        <v>1.0</v>
      </c>
    </row>
    <row r="719" ht="15.75" customHeight="1">
      <c r="A719" s="334" t="s">
        <v>8026</v>
      </c>
      <c r="B719" s="362">
        <v>46084.0</v>
      </c>
      <c r="C719" s="334" t="s">
        <v>532</v>
      </c>
      <c r="D719" s="334" t="s">
        <v>77</v>
      </c>
      <c r="E719" s="334" t="s">
        <v>486</v>
      </c>
      <c r="F719" s="334" t="s">
        <v>7078</v>
      </c>
      <c r="G719" s="334" t="s">
        <v>7079</v>
      </c>
      <c r="I719" s="334">
        <v>1.0</v>
      </c>
      <c r="M719" s="344">
        <v>46084.279814814814</v>
      </c>
      <c r="N719" s="376">
        <v>1.0</v>
      </c>
    </row>
    <row r="720" ht="15.75" customHeight="1">
      <c r="A720" s="334" t="s">
        <v>8027</v>
      </c>
      <c r="B720" s="362">
        <v>46084.0</v>
      </c>
      <c r="C720" s="334" t="s">
        <v>5</v>
      </c>
      <c r="D720" s="334" t="s">
        <v>46</v>
      </c>
      <c r="E720" s="334" t="s">
        <v>450</v>
      </c>
      <c r="F720" s="334" t="s">
        <v>7102</v>
      </c>
      <c r="G720" s="334" t="s">
        <v>7103</v>
      </c>
      <c r="I720" s="334">
        <v>1.0</v>
      </c>
      <c r="M720" s="344">
        <v>46084.280127314814</v>
      </c>
      <c r="N720" s="376">
        <v>1.0</v>
      </c>
    </row>
    <row r="721" ht="15.75" customHeight="1">
      <c r="A721" s="334" t="s">
        <v>8028</v>
      </c>
      <c r="B721" s="362">
        <v>46084.0</v>
      </c>
      <c r="C721" s="334" t="s">
        <v>5</v>
      </c>
      <c r="D721" s="334" t="s">
        <v>47</v>
      </c>
      <c r="E721" s="334" t="s">
        <v>451</v>
      </c>
      <c r="F721" s="334" t="s">
        <v>7105</v>
      </c>
      <c r="G721" s="334" t="s">
        <v>7106</v>
      </c>
      <c r="I721" s="334">
        <v>1.0</v>
      </c>
      <c r="M721" s="344">
        <v>46084.2803587963</v>
      </c>
      <c r="N721" s="376">
        <v>1.0</v>
      </c>
    </row>
    <row r="722" ht="15.75" customHeight="1">
      <c r="A722" s="334" t="s">
        <v>8029</v>
      </c>
      <c r="B722" s="362">
        <v>46084.0</v>
      </c>
      <c r="C722" s="334" t="s">
        <v>5</v>
      </c>
      <c r="D722" s="334" t="s">
        <v>6937</v>
      </c>
      <c r="E722" s="334" t="s">
        <v>6938</v>
      </c>
      <c r="F722" s="334" t="s">
        <v>130</v>
      </c>
      <c r="G722" s="334" t="s">
        <v>6939</v>
      </c>
      <c r="I722" s="334">
        <v>1.0</v>
      </c>
      <c r="M722" s="344">
        <v>46084.280486111114</v>
      </c>
      <c r="N722" s="376">
        <v>1.0</v>
      </c>
    </row>
    <row r="723" ht="15.75" customHeight="1">
      <c r="A723" s="334" t="s">
        <v>8030</v>
      </c>
      <c r="B723" s="362">
        <v>46084.0</v>
      </c>
      <c r="C723" s="334" t="s">
        <v>6</v>
      </c>
      <c r="D723" s="334" t="s">
        <v>48</v>
      </c>
      <c r="E723" s="334" t="s">
        <v>454</v>
      </c>
      <c r="F723" s="334" t="s">
        <v>7071</v>
      </c>
      <c r="G723" s="334" t="s">
        <v>7072</v>
      </c>
      <c r="I723" s="334">
        <v>1.0</v>
      </c>
      <c r="M723" s="344">
        <v>46084.2806712963</v>
      </c>
      <c r="N723" s="376">
        <v>1.0</v>
      </c>
    </row>
    <row r="724" ht="15.75" customHeight="1">
      <c r="A724" s="334" t="s">
        <v>8031</v>
      </c>
      <c r="B724" s="362">
        <v>46084.0</v>
      </c>
      <c r="C724" s="334" t="s">
        <v>9</v>
      </c>
      <c r="D724" s="334" t="s">
        <v>51</v>
      </c>
      <c r="E724" s="334" t="s">
        <v>458</v>
      </c>
      <c r="F724" s="334" t="s">
        <v>7296</v>
      </c>
      <c r="G724" s="334" t="s">
        <v>7909</v>
      </c>
      <c r="I724" s="334">
        <v>1.0</v>
      </c>
      <c r="M724" s="344">
        <v>46084.28094907408</v>
      </c>
      <c r="N724" s="376">
        <v>1.0</v>
      </c>
    </row>
    <row r="725" ht="15.75" customHeight="1">
      <c r="A725" s="377" t="s">
        <v>8032</v>
      </c>
      <c r="B725" s="362">
        <v>46084.0</v>
      </c>
      <c r="C725" s="334" t="s">
        <v>9</v>
      </c>
      <c r="D725" s="334" t="s">
        <v>47</v>
      </c>
      <c r="E725" s="334" t="s">
        <v>459</v>
      </c>
      <c r="F725" s="334" t="s">
        <v>7911</v>
      </c>
      <c r="G725" s="334" t="s">
        <v>7912</v>
      </c>
      <c r="I725" s="334">
        <v>1.0</v>
      </c>
      <c r="M725" s="344">
        <v>46084.281122685185</v>
      </c>
      <c r="N725" s="376">
        <v>1.0</v>
      </c>
    </row>
    <row r="726" ht="15.75" customHeight="1">
      <c r="A726" s="334" t="s">
        <v>8033</v>
      </c>
      <c r="B726" s="362">
        <v>46084.0</v>
      </c>
      <c r="C726" s="334" t="s">
        <v>9</v>
      </c>
      <c r="D726" s="334" t="s">
        <v>50</v>
      </c>
      <c r="E726" s="334" t="s">
        <v>460</v>
      </c>
      <c r="F726" s="334" t="s">
        <v>7914</v>
      </c>
      <c r="G726" s="334" t="s">
        <v>7915</v>
      </c>
      <c r="I726" s="334">
        <v>1.0</v>
      </c>
      <c r="M726" s="344">
        <v>46084.28128472222</v>
      </c>
      <c r="N726" s="376">
        <v>1.0</v>
      </c>
    </row>
    <row r="727" ht="15.75" customHeight="1">
      <c r="A727" s="334" t="s">
        <v>8034</v>
      </c>
      <c r="B727" s="362">
        <v>46084.0</v>
      </c>
      <c r="C727" s="334" t="s">
        <v>9</v>
      </c>
      <c r="D727" s="334" t="s">
        <v>49</v>
      </c>
      <c r="E727" s="334" t="s">
        <v>461</v>
      </c>
      <c r="F727" s="334" t="s">
        <v>7596</v>
      </c>
      <c r="G727" s="334" t="s">
        <v>7597</v>
      </c>
      <c r="I727" s="334">
        <v>1.0</v>
      </c>
      <c r="M727" s="344">
        <v>46084.28141203704</v>
      </c>
      <c r="N727" s="376">
        <v>1.0</v>
      </c>
    </row>
    <row r="728" ht="15.75" customHeight="1">
      <c r="A728" s="334" t="s">
        <v>8035</v>
      </c>
      <c r="B728" s="362">
        <v>46084.0</v>
      </c>
      <c r="C728" s="334" t="s">
        <v>9</v>
      </c>
      <c r="D728" s="334" t="s">
        <v>48</v>
      </c>
      <c r="E728" s="334" t="s">
        <v>462</v>
      </c>
      <c r="F728" s="334" t="s">
        <v>8036</v>
      </c>
      <c r="G728" s="334" t="s">
        <v>8037</v>
      </c>
      <c r="I728" s="334">
        <v>1.0</v>
      </c>
      <c r="M728" s="344">
        <v>46084.28158564815</v>
      </c>
      <c r="N728" s="376">
        <v>1.0</v>
      </c>
    </row>
    <row r="729" ht="15.75" customHeight="1">
      <c r="A729" s="334" t="s">
        <v>8038</v>
      </c>
      <c r="B729" s="362">
        <v>46084.0</v>
      </c>
      <c r="C729" s="334" t="s">
        <v>10</v>
      </c>
      <c r="D729" s="334" t="s">
        <v>47</v>
      </c>
      <c r="E729" s="334" t="s">
        <v>463</v>
      </c>
      <c r="F729" s="334" t="s">
        <v>6996</v>
      </c>
      <c r="G729" s="334" t="s">
        <v>6997</v>
      </c>
      <c r="I729" s="334">
        <v>1.0</v>
      </c>
      <c r="M729" s="344">
        <v>46084.28188657408</v>
      </c>
      <c r="N729" s="376">
        <v>1.0</v>
      </c>
    </row>
    <row r="730" ht="15.75" customHeight="1">
      <c r="A730" s="334" t="s">
        <v>8039</v>
      </c>
      <c r="B730" s="362">
        <v>46084.0</v>
      </c>
      <c r="C730" s="334" t="s">
        <v>10</v>
      </c>
      <c r="D730" s="334" t="s">
        <v>46</v>
      </c>
      <c r="E730" s="334" t="s">
        <v>464</v>
      </c>
      <c r="F730" s="334" t="s">
        <v>149</v>
      </c>
      <c r="G730" s="334" t="s">
        <v>7461</v>
      </c>
      <c r="I730" s="334">
        <v>1.0</v>
      </c>
      <c r="M730" s="344">
        <v>46084.28223379629</v>
      </c>
      <c r="N730" s="376">
        <v>1.0</v>
      </c>
    </row>
    <row r="731" ht="15.75" customHeight="1">
      <c r="A731" s="334" t="s">
        <v>8040</v>
      </c>
      <c r="B731" s="362">
        <v>46084.0</v>
      </c>
      <c r="C731" s="334" t="s">
        <v>22</v>
      </c>
      <c r="D731" s="334" t="s">
        <v>47</v>
      </c>
      <c r="E731" s="334" t="s">
        <v>468</v>
      </c>
      <c r="F731" s="334" t="s">
        <v>7487</v>
      </c>
      <c r="G731" s="334" t="s">
        <v>7488</v>
      </c>
      <c r="I731" s="334">
        <v>1.0</v>
      </c>
      <c r="M731" s="344">
        <v>46084.282997685186</v>
      </c>
      <c r="N731" s="376">
        <v>1.0</v>
      </c>
    </row>
    <row r="732" ht="15.75" customHeight="1">
      <c r="A732" s="334" t="s">
        <v>8041</v>
      </c>
      <c r="B732" s="362">
        <v>46084.0</v>
      </c>
      <c r="C732" s="334" t="s">
        <v>36</v>
      </c>
      <c r="D732" s="334" t="s">
        <v>1303</v>
      </c>
      <c r="E732" s="334" t="s">
        <v>469</v>
      </c>
      <c r="F732" s="334" t="s">
        <v>6996</v>
      </c>
      <c r="G732" s="334" t="s">
        <v>7002</v>
      </c>
      <c r="I732" s="334">
        <v>1.0</v>
      </c>
      <c r="M732" s="344">
        <v>46084.283321759256</v>
      </c>
      <c r="N732" s="376">
        <v>1.0</v>
      </c>
    </row>
    <row r="733" ht="15.75" customHeight="1">
      <c r="A733" s="334" t="s">
        <v>8042</v>
      </c>
      <c r="B733" s="362">
        <v>46084.0</v>
      </c>
      <c r="C733" s="334" t="s">
        <v>31</v>
      </c>
      <c r="D733" s="334" t="s">
        <v>47</v>
      </c>
      <c r="E733" s="334" t="s">
        <v>477</v>
      </c>
      <c r="F733" s="334" t="s">
        <v>130</v>
      </c>
      <c r="G733" s="334" t="s">
        <v>7685</v>
      </c>
      <c r="I733" s="334">
        <v>1.0</v>
      </c>
      <c r="M733" s="344">
        <v>46084.28418981482</v>
      </c>
      <c r="N733" s="376">
        <v>1.0</v>
      </c>
    </row>
    <row r="734" ht="15.75" customHeight="1">
      <c r="A734" s="334" t="s">
        <v>8043</v>
      </c>
      <c r="B734" s="362">
        <v>46084.0</v>
      </c>
      <c r="C734" s="334" t="s">
        <v>7</v>
      </c>
      <c r="D734" s="334" t="s">
        <v>49</v>
      </c>
      <c r="E734" s="334" t="s">
        <v>455</v>
      </c>
      <c r="F734" s="334" t="s">
        <v>7074</v>
      </c>
      <c r="G734" s="334" t="s">
        <v>7075</v>
      </c>
      <c r="I734" s="334">
        <v>1.0</v>
      </c>
      <c r="M734" s="344">
        <v>46084.28503472222</v>
      </c>
      <c r="N734" s="376">
        <v>1.0</v>
      </c>
    </row>
    <row r="735" ht="15.75" customHeight="1">
      <c r="A735" s="334" t="s">
        <v>8044</v>
      </c>
      <c r="B735" s="362">
        <v>46084.0</v>
      </c>
      <c r="C735" s="334" t="s">
        <v>11</v>
      </c>
      <c r="D735" s="334" t="s">
        <v>46</v>
      </c>
      <c r="E735" s="334" t="s">
        <v>488</v>
      </c>
      <c r="F735" s="334" t="s">
        <v>7094</v>
      </c>
      <c r="G735" s="334" t="s">
        <v>7095</v>
      </c>
      <c r="I735" s="334">
        <v>1.0</v>
      </c>
      <c r="M735" s="344">
        <v>46084.28533564815</v>
      </c>
      <c r="N735" s="376">
        <v>1.0</v>
      </c>
    </row>
    <row r="736" ht="15.75" customHeight="1">
      <c r="A736" s="334" t="s">
        <v>8045</v>
      </c>
      <c r="B736" s="362">
        <v>46081.0</v>
      </c>
      <c r="C736" s="334" t="s">
        <v>12</v>
      </c>
      <c r="D736" s="334" t="s">
        <v>53</v>
      </c>
      <c r="E736" s="334" t="s">
        <v>491</v>
      </c>
      <c r="F736" s="334" t="s">
        <v>7048</v>
      </c>
      <c r="G736" s="334" t="s">
        <v>7132</v>
      </c>
      <c r="I736" s="334">
        <v>1.0</v>
      </c>
      <c r="M736" s="344">
        <v>46084.288148148145</v>
      </c>
      <c r="N736" s="376">
        <v>1.0</v>
      </c>
    </row>
    <row r="737" ht="15.75" customHeight="1">
      <c r="A737" s="334" t="s">
        <v>8046</v>
      </c>
      <c r="B737" s="362">
        <v>46084.0</v>
      </c>
      <c r="C737" s="334" t="s">
        <v>12</v>
      </c>
      <c r="D737" s="334" t="s">
        <v>53</v>
      </c>
      <c r="E737" s="334" t="s">
        <v>491</v>
      </c>
      <c r="F737" s="334" t="s">
        <v>7168</v>
      </c>
      <c r="G737" s="334" t="s">
        <v>7169</v>
      </c>
      <c r="I737" s="334">
        <v>1.0</v>
      </c>
      <c r="M737" s="344">
        <v>46084.28855324074</v>
      </c>
      <c r="N737" s="376">
        <v>1.0</v>
      </c>
    </row>
    <row r="738" ht="15.75" customHeight="1">
      <c r="A738" s="334" t="s">
        <v>8047</v>
      </c>
      <c r="B738" s="362">
        <v>46084.0</v>
      </c>
      <c r="C738" s="334" t="s">
        <v>14</v>
      </c>
      <c r="D738" s="334" t="s">
        <v>46</v>
      </c>
      <c r="E738" s="334" t="s">
        <v>497</v>
      </c>
      <c r="F738" s="334" t="s">
        <v>7016</v>
      </c>
      <c r="G738" s="334" t="s">
        <v>7017</v>
      </c>
      <c r="I738" s="334">
        <v>1.0</v>
      </c>
      <c r="M738" s="344">
        <v>46084.288935185185</v>
      </c>
      <c r="N738" s="376">
        <v>1.0</v>
      </c>
    </row>
    <row r="739" ht="15.75" customHeight="1">
      <c r="A739" s="334" t="s">
        <v>8048</v>
      </c>
      <c r="B739" s="362">
        <v>46084.0</v>
      </c>
      <c r="C739" s="334" t="s">
        <v>537</v>
      </c>
      <c r="D739" s="334" t="s">
        <v>59</v>
      </c>
      <c r="E739" s="334" t="s">
        <v>501</v>
      </c>
      <c r="F739" s="334" t="s">
        <v>7656</v>
      </c>
      <c r="G739" s="334" t="s">
        <v>7657</v>
      </c>
      <c r="I739" s="334">
        <v>1.0</v>
      </c>
      <c r="M739" s="344">
        <v>46084.289664351854</v>
      </c>
      <c r="N739" s="376">
        <v>1.0</v>
      </c>
    </row>
    <row r="740" ht="15.75" customHeight="1">
      <c r="A740" s="334" t="s">
        <v>8049</v>
      </c>
      <c r="B740" s="362">
        <v>46084.0</v>
      </c>
      <c r="C740" s="334" t="s">
        <v>537</v>
      </c>
      <c r="D740" s="334" t="s">
        <v>7031</v>
      </c>
      <c r="E740" s="334" t="s">
        <v>7032</v>
      </c>
      <c r="F740" s="334" t="s">
        <v>7033</v>
      </c>
      <c r="G740" s="334" t="s">
        <v>7034</v>
      </c>
      <c r="I740" s="334">
        <v>1.0</v>
      </c>
      <c r="M740" s="344">
        <v>46084.289988425924</v>
      </c>
      <c r="N740" s="376">
        <v>1.0</v>
      </c>
    </row>
    <row r="741" ht="15.75" customHeight="1">
      <c r="A741" s="334" t="s">
        <v>8050</v>
      </c>
      <c r="B741" s="362">
        <v>46084.0</v>
      </c>
      <c r="C741" s="334" t="s">
        <v>37</v>
      </c>
      <c r="D741" s="334" t="s">
        <v>48</v>
      </c>
      <c r="E741" s="334" t="s">
        <v>510</v>
      </c>
      <c r="F741" s="334" t="s">
        <v>7041</v>
      </c>
      <c r="G741" s="334" t="s">
        <v>7042</v>
      </c>
      <c r="I741" s="334">
        <v>1.0</v>
      </c>
      <c r="M741" s="344">
        <v>46084.290497685186</v>
      </c>
      <c r="N741" s="376">
        <v>1.0</v>
      </c>
    </row>
    <row r="742" ht="15.75" customHeight="1">
      <c r="A742" s="334" t="s">
        <v>8051</v>
      </c>
      <c r="B742" s="362">
        <v>46084.0</v>
      </c>
      <c r="C742" s="334" t="s">
        <v>14</v>
      </c>
      <c r="D742" s="334" t="s">
        <v>48</v>
      </c>
      <c r="E742" s="334" t="s">
        <v>498</v>
      </c>
      <c r="F742" s="334" t="s">
        <v>7019</v>
      </c>
      <c r="G742" s="334" t="s">
        <v>7020</v>
      </c>
      <c r="I742" s="334">
        <v>1.0</v>
      </c>
      <c r="M742" s="344">
        <v>46084.36550925926</v>
      </c>
      <c r="N742" s="376">
        <v>1.0</v>
      </c>
    </row>
    <row r="743" ht="15.75" customHeight="1">
      <c r="A743" s="334" t="s">
        <v>8052</v>
      </c>
      <c r="B743" s="362">
        <v>46084.0</v>
      </c>
      <c r="C743" s="334" t="s">
        <v>22</v>
      </c>
      <c r="D743" s="334" t="s">
        <v>47</v>
      </c>
      <c r="E743" s="334" t="s">
        <v>468</v>
      </c>
      <c r="F743" s="334" t="s">
        <v>7487</v>
      </c>
      <c r="G743" s="334" t="s">
        <v>7488</v>
      </c>
      <c r="I743" s="334">
        <v>0.5</v>
      </c>
      <c r="M743" s="344">
        <v>46084.36662037037</v>
      </c>
      <c r="N743" s="376">
        <v>1.0</v>
      </c>
    </row>
    <row r="744" ht="15.75" customHeight="1">
      <c r="A744" s="334" t="s">
        <v>8053</v>
      </c>
      <c r="B744" s="362">
        <v>46074.0</v>
      </c>
      <c r="C744" s="334" t="s">
        <v>28</v>
      </c>
      <c r="D744" s="334" t="s">
        <v>52</v>
      </c>
      <c r="E744" s="334" t="s">
        <v>493</v>
      </c>
      <c r="F744" s="334" t="s">
        <v>7008</v>
      </c>
      <c r="G744" s="334" t="s">
        <v>7009</v>
      </c>
      <c r="I744" s="334">
        <v>1.0</v>
      </c>
      <c r="M744" s="344">
        <v>46084.579884259256</v>
      </c>
      <c r="N744" s="376">
        <v>1.0</v>
      </c>
    </row>
    <row r="745" ht="15.75" customHeight="1">
      <c r="A745" s="334" t="s">
        <v>8054</v>
      </c>
      <c r="B745" s="362">
        <v>46084.0</v>
      </c>
      <c r="C745" s="334" t="s">
        <v>28</v>
      </c>
      <c r="D745" s="334" t="s">
        <v>52</v>
      </c>
      <c r="E745" s="334" t="s">
        <v>493</v>
      </c>
      <c r="F745" s="334" t="s">
        <v>7008</v>
      </c>
      <c r="G745" s="334" t="s">
        <v>7009</v>
      </c>
      <c r="I745" s="334">
        <v>1.0</v>
      </c>
      <c r="M745" s="344">
        <v>46084.583506944444</v>
      </c>
      <c r="N745" s="376">
        <v>1.0</v>
      </c>
    </row>
    <row r="746" ht="15.75" customHeight="1">
      <c r="A746" s="334" t="s">
        <v>8055</v>
      </c>
      <c r="B746" s="362">
        <v>46084.0</v>
      </c>
      <c r="C746" s="334" t="s">
        <v>10</v>
      </c>
      <c r="D746" s="334" t="s">
        <v>539</v>
      </c>
      <c r="E746" s="334" t="s">
        <v>465</v>
      </c>
      <c r="F746" s="334" t="s">
        <v>7974</v>
      </c>
      <c r="G746" s="334" t="s">
        <v>7975</v>
      </c>
      <c r="I746" s="334">
        <v>1.0</v>
      </c>
      <c r="M746" s="344">
        <v>46084.58366898148</v>
      </c>
      <c r="N746" s="376">
        <v>1.0</v>
      </c>
    </row>
    <row r="747" ht="15.75" customHeight="1">
      <c r="A747" s="334" t="s">
        <v>8056</v>
      </c>
      <c r="B747" s="362">
        <v>46084.0</v>
      </c>
      <c r="C747" s="334" t="s">
        <v>12</v>
      </c>
      <c r="D747" s="334" t="s">
        <v>541</v>
      </c>
      <c r="E747" s="334" t="s">
        <v>492</v>
      </c>
      <c r="F747" s="334" t="s">
        <v>7011</v>
      </c>
      <c r="G747" s="334" t="s">
        <v>7892</v>
      </c>
      <c r="I747" s="334">
        <v>1.0</v>
      </c>
      <c r="M747" s="344">
        <v>46084.83331018518</v>
      </c>
      <c r="N747" s="376">
        <v>1.0</v>
      </c>
    </row>
    <row r="748" ht="15.75" customHeight="1">
      <c r="A748" s="334" t="s">
        <v>8057</v>
      </c>
      <c r="B748" s="362">
        <v>46085.0</v>
      </c>
      <c r="C748" s="334" t="s">
        <v>19</v>
      </c>
      <c r="D748" s="334" t="s">
        <v>61</v>
      </c>
      <c r="E748" s="334" t="s">
        <v>506</v>
      </c>
      <c r="F748" s="334" t="s">
        <v>116</v>
      </c>
      <c r="G748" s="334" t="s">
        <v>6980</v>
      </c>
      <c r="I748" s="334">
        <v>1.0</v>
      </c>
      <c r="M748" s="344">
        <v>46084.83503472222</v>
      </c>
      <c r="N748" s="376">
        <v>1.0</v>
      </c>
    </row>
    <row r="749" ht="15.75" customHeight="1">
      <c r="A749" s="334" t="s">
        <v>8058</v>
      </c>
      <c r="B749" s="362">
        <v>46085.0</v>
      </c>
      <c r="C749" s="334" t="s">
        <v>15</v>
      </c>
      <c r="D749" s="334" t="s">
        <v>58</v>
      </c>
      <c r="E749" s="334" t="s">
        <v>499</v>
      </c>
      <c r="F749" s="334" t="s">
        <v>7569</v>
      </c>
      <c r="G749" s="334" t="s">
        <v>7570</v>
      </c>
      <c r="I749" s="334">
        <v>1.0</v>
      </c>
      <c r="M749" s="344">
        <v>46084.83534722222</v>
      </c>
      <c r="N749" s="376">
        <v>1.0</v>
      </c>
    </row>
    <row r="750" ht="15.75" customHeight="1">
      <c r="A750" s="334" t="s">
        <v>8059</v>
      </c>
      <c r="B750" s="362">
        <v>46085.0</v>
      </c>
      <c r="C750" s="334" t="s">
        <v>15</v>
      </c>
      <c r="D750" s="334" t="s">
        <v>46</v>
      </c>
      <c r="E750" s="334" t="s">
        <v>500</v>
      </c>
      <c r="F750" s="334" t="s">
        <v>7572</v>
      </c>
      <c r="G750" s="334" t="s">
        <v>7573</v>
      </c>
      <c r="I750" s="334">
        <v>1.0</v>
      </c>
      <c r="M750" s="344">
        <v>46084.835706018515</v>
      </c>
      <c r="N750" s="376">
        <v>1.0</v>
      </c>
    </row>
    <row r="751" ht="15.75" customHeight="1">
      <c r="A751" s="334" t="s">
        <v>8060</v>
      </c>
      <c r="B751" s="362">
        <v>46085.0</v>
      </c>
      <c r="C751" s="334" t="s">
        <v>12</v>
      </c>
      <c r="D751" s="334" t="s">
        <v>50</v>
      </c>
      <c r="E751" s="334" t="s">
        <v>490</v>
      </c>
      <c r="F751" s="334" t="s">
        <v>7011</v>
      </c>
      <c r="G751" s="334" t="s">
        <v>7012</v>
      </c>
      <c r="I751" s="334">
        <v>-0.1</v>
      </c>
      <c r="M751" s="344">
        <v>46084.839780092596</v>
      </c>
      <c r="N751" s="376">
        <v>1.0</v>
      </c>
    </row>
    <row r="752" ht="15.75" customHeight="1">
      <c r="A752" s="334" t="s">
        <v>8061</v>
      </c>
      <c r="B752" s="362">
        <v>46086.0</v>
      </c>
      <c r="C752" s="334" t="s">
        <v>7</v>
      </c>
      <c r="D752" s="334" t="s">
        <v>49</v>
      </c>
      <c r="E752" s="334" t="s">
        <v>455</v>
      </c>
      <c r="F752" s="334" t="s">
        <v>6999</v>
      </c>
      <c r="G752" s="334" t="s">
        <v>7000</v>
      </c>
      <c r="I752" s="334">
        <v>1.0</v>
      </c>
      <c r="M752" s="344">
        <v>46086.27606481482</v>
      </c>
      <c r="N752" s="376">
        <v>1.0</v>
      </c>
    </row>
    <row r="753" ht="15.75" customHeight="1">
      <c r="A753" s="334" t="s">
        <v>8062</v>
      </c>
      <c r="B753" s="362">
        <v>46086.0</v>
      </c>
      <c r="C753" s="334" t="s">
        <v>30</v>
      </c>
      <c r="D753" s="334" t="s">
        <v>52</v>
      </c>
      <c r="E753" s="334" t="s">
        <v>474</v>
      </c>
      <c r="F753" s="334" t="s">
        <v>1199</v>
      </c>
      <c r="G753" s="334" t="s">
        <v>7948</v>
      </c>
      <c r="I753" s="334">
        <v>0.5</v>
      </c>
      <c r="M753" s="344">
        <v>46086.276770833334</v>
      </c>
      <c r="N753" s="376">
        <v>1.0</v>
      </c>
    </row>
    <row r="754" ht="15.75" customHeight="1">
      <c r="A754" s="334" t="s">
        <v>8063</v>
      </c>
      <c r="B754" s="362">
        <v>46084.0</v>
      </c>
      <c r="C754" s="334" t="s">
        <v>29</v>
      </c>
      <c r="D754" s="334" t="s">
        <v>50</v>
      </c>
      <c r="E754" s="334" t="s">
        <v>473</v>
      </c>
      <c r="F754" s="334" t="s">
        <v>130</v>
      </c>
      <c r="G754" s="334" t="s">
        <v>7683</v>
      </c>
      <c r="I754" s="334">
        <v>3.0</v>
      </c>
      <c r="M754" s="344">
        <v>46086.278958333336</v>
      </c>
      <c r="N754" s="376">
        <v>1.0</v>
      </c>
    </row>
    <row r="755" ht="15.75" customHeight="1">
      <c r="A755" s="334" t="s">
        <v>8064</v>
      </c>
      <c r="B755" s="362">
        <v>46085.0</v>
      </c>
      <c r="C755" s="334" t="s">
        <v>534</v>
      </c>
      <c r="D755" s="334" t="s">
        <v>46</v>
      </c>
      <c r="E755" s="334" t="s">
        <v>489</v>
      </c>
      <c r="F755" s="334" t="s">
        <v>6999</v>
      </c>
      <c r="G755" s="334" t="s">
        <v>7719</v>
      </c>
      <c r="I755" s="334">
        <v>1.0</v>
      </c>
      <c r="M755" s="344">
        <v>46086.73888888889</v>
      </c>
      <c r="N755" s="376">
        <v>1.0</v>
      </c>
    </row>
    <row r="756" ht="15.75" customHeight="1">
      <c r="A756" s="334" t="s">
        <v>8065</v>
      </c>
      <c r="B756" s="362">
        <v>46087.0</v>
      </c>
      <c r="C756" s="334" t="s">
        <v>534</v>
      </c>
      <c r="D756" s="334" t="s">
        <v>46</v>
      </c>
      <c r="E756" s="334" t="s">
        <v>489</v>
      </c>
      <c r="F756" s="334" t="s">
        <v>6999</v>
      </c>
      <c r="G756" s="334" t="s">
        <v>7719</v>
      </c>
      <c r="I756" s="334">
        <v>0.5</v>
      </c>
      <c r="M756" s="344">
        <v>46086.74023148148</v>
      </c>
      <c r="N756" s="376">
        <v>1.0</v>
      </c>
    </row>
    <row r="757" ht="15.75" customHeight="1">
      <c r="A757" s="334" t="s">
        <v>8066</v>
      </c>
      <c r="B757" s="362">
        <v>46087.0</v>
      </c>
      <c r="C757" s="334" t="s">
        <v>30</v>
      </c>
      <c r="D757" s="334" t="s">
        <v>52</v>
      </c>
      <c r="E757" s="334" t="s">
        <v>474</v>
      </c>
      <c r="F757" s="334" t="s">
        <v>1199</v>
      </c>
      <c r="G757" s="334" t="s">
        <v>7948</v>
      </c>
      <c r="I757" s="334">
        <v>1.5</v>
      </c>
      <c r="M757" s="344">
        <v>46086.74275462963</v>
      </c>
      <c r="N757" s="376">
        <v>1.0</v>
      </c>
    </row>
    <row r="758" ht="15.75" customHeight="1">
      <c r="A758" s="334" t="s">
        <v>8067</v>
      </c>
      <c r="B758" s="362">
        <v>46087.0</v>
      </c>
      <c r="C758" s="334" t="s">
        <v>34</v>
      </c>
      <c r="D758" s="334" t="s">
        <v>48</v>
      </c>
      <c r="E758" s="334" t="s">
        <v>482</v>
      </c>
      <c r="F758" s="334" t="s">
        <v>130</v>
      </c>
      <c r="G758" s="334" t="s">
        <v>8068</v>
      </c>
      <c r="I758" s="334">
        <v>51.5</v>
      </c>
      <c r="M758" s="344">
        <v>46087.64476851852</v>
      </c>
      <c r="N758" s="376">
        <v>1.0</v>
      </c>
    </row>
    <row r="759" ht="15.75" customHeight="1">
      <c r="A759" s="334" t="s">
        <v>8069</v>
      </c>
      <c r="B759" s="362">
        <v>46088.0</v>
      </c>
      <c r="C759" s="334" t="s">
        <v>13</v>
      </c>
      <c r="D759" s="334" t="s">
        <v>49</v>
      </c>
      <c r="E759" s="334" t="s">
        <v>467</v>
      </c>
      <c r="F759" s="334" t="s">
        <v>130</v>
      </c>
      <c r="G759" s="334" t="s">
        <v>7086</v>
      </c>
      <c r="I759" s="334">
        <v>0.5</v>
      </c>
      <c r="M759" s="344">
        <v>46087.707824074074</v>
      </c>
      <c r="N759" s="376">
        <v>1.0</v>
      </c>
    </row>
    <row r="760" ht="15.75" customHeight="1">
      <c r="A760" s="334" t="s">
        <v>8070</v>
      </c>
      <c r="B760" s="362">
        <v>46091.0</v>
      </c>
      <c r="C760" s="334" t="s">
        <v>534</v>
      </c>
      <c r="D760" s="334" t="s">
        <v>46</v>
      </c>
      <c r="E760" s="334" t="s">
        <v>489</v>
      </c>
      <c r="F760" s="334" t="s">
        <v>6999</v>
      </c>
      <c r="G760" s="334" t="s">
        <v>7719</v>
      </c>
      <c r="I760" s="334">
        <v>0.5</v>
      </c>
      <c r="M760" s="344">
        <v>46090.71643518518</v>
      </c>
      <c r="N760" s="376">
        <v>1.0</v>
      </c>
    </row>
    <row r="761" ht="15.75" customHeight="1">
      <c r="A761" s="334" t="s">
        <v>8071</v>
      </c>
      <c r="B761" s="362">
        <v>46085.0</v>
      </c>
      <c r="C761" s="334" t="s">
        <v>10</v>
      </c>
      <c r="D761" s="334" t="s">
        <v>539</v>
      </c>
      <c r="E761" s="334" t="s">
        <v>465</v>
      </c>
      <c r="F761" s="334" t="s">
        <v>7974</v>
      </c>
      <c r="G761" s="334" t="s">
        <v>7975</v>
      </c>
      <c r="I761" s="334">
        <v>0.5</v>
      </c>
      <c r="M761" s="344">
        <v>46092.66751157407</v>
      </c>
      <c r="N761" s="376">
        <v>1.0</v>
      </c>
    </row>
    <row r="762" ht="15.75" customHeight="1">
      <c r="A762" s="334" t="s">
        <v>8072</v>
      </c>
      <c r="B762" s="362">
        <v>46093.0</v>
      </c>
      <c r="C762" s="334" t="s">
        <v>531</v>
      </c>
      <c r="D762" s="334" t="s">
        <v>77</v>
      </c>
      <c r="E762" s="334" t="s">
        <v>449</v>
      </c>
      <c r="F762" s="334" t="s">
        <v>6983</v>
      </c>
      <c r="G762" s="334" t="s">
        <v>7065</v>
      </c>
      <c r="I762" s="334">
        <v>2.5</v>
      </c>
      <c r="M762" s="344">
        <v>46093.34798611111</v>
      </c>
      <c r="N762" s="376">
        <v>1.0</v>
      </c>
    </row>
    <row r="763" ht="15.75" customHeight="1">
      <c r="A763" s="334" t="s">
        <v>8073</v>
      </c>
      <c r="B763" s="362">
        <v>46093.0</v>
      </c>
      <c r="C763" s="334" t="s">
        <v>532</v>
      </c>
      <c r="D763" s="334" t="s">
        <v>77</v>
      </c>
      <c r="E763" s="334" t="s">
        <v>486</v>
      </c>
      <c r="F763" s="334" t="s">
        <v>7078</v>
      </c>
      <c r="G763" s="334" t="s">
        <v>7079</v>
      </c>
      <c r="I763" s="334">
        <v>2.0</v>
      </c>
      <c r="M763" s="344">
        <v>46093.348541666666</v>
      </c>
      <c r="N763" s="376">
        <v>1.0</v>
      </c>
    </row>
    <row r="764" ht="15.75" customHeight="1">
      <c r="A764" s="334" t="s">
        <v>8074</v>
      </c>
      <c r="B764" s="362">
        <v>46093.0</v>
      </c>
      <c r="C764" s="334" t="s">
        <v>535</v>
      </c>
      <c r="D764" s="334" t="s">
        <v>77</v>
      </c>
      <c r="E764" s="334" t="s">
        <v>495</v>
      </c>
      <c r="F764" s="334" t="s">
        <v>6983</v>
      </c>
      <c r="G764" s="334" t="s">
        <v>6986</v>
      </c>
      <c r="I764" s="334">
        <v>2.0</v>
      </c>
      <c r="M764" s="344">
        <v>46093.348807870374</v>
      </c>
      <c r="N764" s="376">
        <v>1.0</v>
      </c>
    </row>
    <row r="765" ht="15.75" customHeight="1">
      <c r="A765" s="334" t="s">
        <v>8075</v>
      </c>
      <c r="B765" s="362">
        <v>46093.0</v>
      </c>
      <c r="C765" s="334" t="s">
        <v>536</v>
      </c>
      <c r="D765" s="334" t="s">
        <v>77</v>
      </c>
      <c r="E765" s="334" t="s">
        <v>496</v>
      </c>
      <c r="F765" s="334" t="s">
        <v>6988</v>
      </c>
      <c r="G765" s="334" t="s">
        <v>6989</v>
      </c>
      <c r="I765" s="334">
        <v>2.0</v>
      </c>
      <c r="M765" s="344">
        <v>46093.349074074074</v>
      </c>
      <c r="N765" s="376">
        <v>1.0</v>
      </c>
    </row>
    <row r="766" ht="15.75" customHeight="1">
      <c r="A766" s="334" t="s">
        <v>8076</v>
      </c>
      <c r="B766" s="362">
        <v>46093.0</v>
      </c>
      <c r="C766" s="334" t="s">
        <v>5</v>
      </c>
      <c r="D766" s="334" t="s">
        <v>46</v>
      </c>
      <c r="E766" s="334" t="s">
        <v>450</v>
      </c>
      <c r="F766" s="334" t="s">
        <v>7102</v>
      </c>
      <c r="G766" s="334" t="s">
        <v>7103</v>
      </c>
      <c r="I766" s="334">
        <v>2.0</v>
      </c>
      <c r="M766" s="344">
        <v>46093.349328703705</v>
      </c>
      <c r="N766" s="376">
        <v>1.0</v>
      </c>
    </row>
    <row r="767" ht="15.75" customHeight="1">
      <c r="A767" s="334" t="s">
        <v>8077</v>
      </c>
      <c r="B767" s="362">
        <v>46093.0</v>
      </c>
      <c r="C767" s="334" t="s">
        <v>5</v>
      </c>
      <c r="D767" s="334" t="s">
        <v>47</v>
      </c>
      <c r="E767" s="334" t="s">
        <v>451</v>
      </c>
      <c r="F767" s="334" t="s">
        <v>7105</v>
      </c>
      <c r="G767" s="334" t="s">
        <v>7106</v>
      </c>
      <c r="I767" s="334">
        <v>2.0</v>
      </c>
      <c r="M767" s="344">
        <v>46093.34961805555</v>
      </c>
      <c r="N767" s="376">
        <v>1.0</v>
      </c>
    </row>
    <row r="768" ht="15.75" customHeight="1">
      <c r="A768" s="334" t="s">
        <v>8078</v>
      </c>
      <c r="B768" s="362">
        <v>46093.0</v>
      </c>
      <c r="C768" s="334" t="s">
        <v>5</v>
      </c>
      <c r="D768" s="334" t="s">
        <v>6937</v>
      </c>
      <c r="E768" s="334" t="s">
        <v>6938</v>
      </c>
      <c r="F768" s="334" t="s">
        <v>130</v>
      </c>
      <c r="G768" s="334" t="s">
        <v>6939</v>
      </c>
      <c r="I768" s="334">
        <v>2.0</v>
      </c>
      <c r="M768" s="344">
        <v>46093.34982638889</v>
      </c>
      <c r="N768" s="376">
        <v>1.0</v>
      </c>
    </row>
    <row r="769" ht="15.75" customHeight="1">
      <c r="A769" s="334" t="s">
        <v>8079</v>
      </c>
      <c r="B769" s="362">
        <v>46093.0</v>
      </c>
      <c r="C769" s="334" t="s">
        <v>6</v>
      </c>
      <c r="D769" s="334" t="s">
        <v>48</v>
      </c>
      <c r="E769" s="334" t="s">
        <v>454</v>
      </c>
      <c r="F769" s="334" t="s">
        <v>7071</v>
      </c>
      <c r="G769" s="334" t="s">
        <v>7072</v>
      </c>
      <c r="I769" s="334">
        <v>2.0</v>
      </c>
      <c r="M769" s="344">
        <v>46093.35003472222</v>
      </c>
      <c r="N769" s="376">
        <v>1.0</v>
      </c>
    </row>
    <row r="770" ht="15.75" customHeight="1">
      <c r="A770" s="334" t="s">
        <v>8080</v>
      </c>
      <c r="B770" s="362">
        <v>46093.0</v>
      </c>
      <c r="C770" s="334" t="s">
        <v>34</v>
      </c>
      <c r="D770" s="334" t="s">
        <v>48</v>
      </c>
      <c r="E770" s="334" t="s">
        <v>482</v>
      </c>
      <c r="F770" s="334" t="s">
        <v>130</v>
      </c>
      <c r="G770" s="334" t="s">
        <v>8068</v>
      </c>
      <c r="I770" s="334">
        <v>2.0</v>
      </c>
      <c r="M770" s="344">
        <v>46093.35047453704</v>
      </c>
      <c r="N770" s="376">
        <v>1.0</v>
      </c>
    </row>
    <row r="771" ht="15.75" customHeight="1">
      <c r="A771" s="334" t="s">
        <v>8081</v>
      </c>
      <c r="B771" s="362">
        <v>46093.0</v>
      </c>
      <c r="C771" s="334" t="s">
        <v>7</v>
      </c>
      <c r="D771" s="334" t="s">
        <v>49</v>
      </c>
      <c r="E771" s="334" t="s">
        <v>455</v>
      </c>
      <c r="F771" s="334" t="s">
        <v>7074</v>
      </c>
      <c r="G771" s="334" t="s">
        <v>7075</v>
      </c>
      <c r="I771" s="334">
        <v>2.0</v>
      </c>
      <c r="M771" s="344">
        <v>46093.35074074074</v>
      </c>
      <c r="N771" s="376">
        <v>1.0</v>
      </c>
    </row>
    <row r="772" ht="15.75" customHeight="1">
      <c r="A772" s="334" t="s">
        <v>8082</v>
      </c>
      <c r="B772" s="362">
        <v>46093.0</v>
      </c>
      <c r="C772" s="334" t="s">
        <v>9</v>
      </c>
      <c r="D772" s="334" t="s">
        <v>51</v>
      </c>
      <c r="E772" s="334" t="s">
        <v>458</v>
      </c>
      <c r="F772" s="334" t="s">
        <v>7296</v>
      </c>
      <c r="G772" s="334" t="s">
        <v>7909</v>
      </c>
      <c r="I772" s="334">
        <v>2.0</v>
      </c>
      <c r="M772" s="344">
        <v>46093.351168981484</v>
      </c>
      <c r="N772" s="376">
        <v>1.0</v>
      </c>
    </row>
    <row r="773" ht="15.75" customHeight="1">
      <c r="A773" s="334" t="s">
        <v>8083</v>
      </c>
      <c r="B773" s="362">
        <v>46093.0</v>
      </c>
      <c r="C773" s="334" t="s">
        <v>9</v>
      </c>
      <c r="D773" s="334" t="s">
        <v>47</v>
      </c>
      <c r="E773" s="334" t="s">
        <v>459</v>
      </c>
      <c r="F773" s="334" t="s">
        <v>7911</v>
      </c>
      <c r="G773" s="334" t="s">
        <v>7912</v>
      </c>
      <c r="I773" s="334">
        <v>2.0</v>
      </c>
      <c r="M773" s="344">
        <v>46093.35146990741</v>
      </c>
      <c r="N773" s="376">
        <v>1.0</v>
      </c>
    </row>
    <row r="774" ht="15.75" customHeight="1">
      <c r="A774" s="334" t="s">
        <v>8084</v>
      </c>
      <c r="B774" s="362">
        <v>46093.0</v>
      </c>
      <c r="C774" s="334" t="s">
        <v>9</v>
      </c>
      <c r="D774" s="334" t="s">
        <v>50</v>
      </c>
      <c r="E774" s="334" t="s">
        <v>460</v>
      </c>
      <c r="F774" s="334" t="s">
        <v>7914</v>
      </c>
      <c r="G774" s="334" t="s">
        <v>7915</v>
      </c>
      <c r="I774" s="334">
        <v>2.0</v>
      </c>
      <c r="M774" s="344">
        <v>46093.35172453704</v>
      </c>
      <c r="N774" s="376">
        <v>1.0</v>
      </c>
    </row>
    <row r="775" ht="15.75" customHeight="1">
      <c r="A775" s="334" t="s">
        <v>8085</v>
      </c>
      <c r="B775" s="362">
        <v>46093.0</v>
      </c>
      <c r="C775" s="334" t="s">
        <v>12</v>
      </c>
      <c r="D775" s="334" t="s">
        <v>50</v>
      </c>
      <c r="E775" s="334" t="s">
        <v>490</v>
      </c>
      <c r="F775" s="334" t="s">
        <v>7011</v>
      </c>
      <c r="G775" s="334" t="s">
        <v>7012</v>
      </c>
      <c r="I775" s="334">
        <v>2.0</v>
      </c>
      <c r="M775" s="344">
        <v>46093.35309027778</v>
      </c>
      <c r="N775" s="376">
        <v>1.0</v>
      </c>
    </row>
    <row r="776" ht="15.75" customHeight="1">
      <c r="A776" s="334" t="s">
        <v>8086</v>
      </c>
      <c r="B776" s="362">
        <v>46093.0</v>
      </c>
      <c r="C776" s="334" t="s">
        <v>9</v>
      </c>
      <c r="D776" s="334" t="s">
        <v>49</v>
      </c>
      <c r="E776" s="334" t="s">
        <v>461</v>
      </c>
      <c r="F776" s="334" t="s">
        <v>7596</v>
      </c>
      <c r="G776" s="334" t="s">
        <v>7597</v>
      </c>
      <c r="I776" s="334">
        <v>2.0</v>
      </c>
      <c r="M776" s="344">
        <v>46093.35333333333</v>
      </c>
      <c r="N776" s="376">
        <v>1.0</v>
      </c>
    </row>
    <row r="777" ht="15.75" customHeight="1">
      <c r="A777" s="334" t="s">
        <v>8087</v>
      </c>
      <c r="B777" s="362">
        <v>46093.0</v>
      </c>
      <c r="C777" s="334" t="s">
        <v>9</v>
      </c>
      <c r="D777" s="334" t="s">
        <v>48</v>
      </c>
      <c r="E777" s="334" t="s">
        <v>462</v>
      </c>
      <c r="F777" s="334" t="s">
        <v>7041</v>
      </c>
      <c r="G777" s="334" t="s">
        <v>7918</v>
      </c>
      <c r="I777" s="334">
        <v>2.0</v>
      </c>
      <c r="M777" s="344">
        <v>46093.35391203704</v>
      </c>
      <c r="N777" s="376">
        <v>1.0</v>
      </c>
    </row>
    <row r="778" ht="15.75" customHeight="1">
      <c r="A778" s="334" t="s">
        <v>8088</v>
      </c>
      <c r="B778" s="362">
        <v>46093.0</v>
      </c>
      <c r="C778" s="334" t="s">
        <v>10</v>
      </c>
      <c r="D778" s="334" t="s">
        <v>47</v>
      </c>
      <c r="E778" s="334" t="s">
        <v>463</v>
      </c>
      <c r="F778" s="334" t="s">
        <v>6996</v>
      </c>
      <c r="G778" s="334" t="s">
        <v>6997</v>
      </c>
      <c r="I778" s="334">
        <v>2.0</v>
      </c>
      <c r="M778" s="344">
        <v>46093.35423611111</v>
      </c>
      <c r="N778" s="376">
        <v>1.0</v>
      </c>
    </row>
    <row r="779" ht="15.75" customHeight="1">
      <c r="A779" s="334" t="s">
        <v>8089</v>
      </c>
      <c r="B779" s="362">
        <v>46093.0</v>
      </c>
      <c r="C779" s="334" t="s">
        <v>10</v>
      </c>
      <c r="D779" s="334" t="s">
        <v>46</v>
      </c>
      <c r="E779" s="334" t="s">
        <v>464</v>
      </c>
      <c r="F779" s="334" t="s">
        <v>149</v>
      </c>
      <c r="G779" s="334" t="s">
        <v>7461</v>
      </c>
      <c r="I779" s="334">
        <v>2.0</v>
      </c>
      <c r="M779" s="344">
        <v>46093.35465277778</v>
      </c>
      <c r="N779" s="376">
        <v>1.0</v>
      </c>
    </row>
    <row r="780" ht="15.75" customHeight="1">
      <c r="A780" s="334" t="s">
        <v>8090</v>
      </c>
      <c r="B780" s="362">
        <v>46093.0</v>
      </c>
      <c r="C780" s="334" t="s">
        <v>10</v>
      </c>
      <c r="D780" s="334" t="s">
        <v>539</v>
      </c>
      <c r="E780" s="334" t="s">
        <v>465</v>
      </c>
      <c r="F780" s="334" t="s">
        <v>7974</v>
      </c>
      <c r="G780" s="334" t="s">
        <v>7975</v>
      </c>
      <c r="I780" s="334">
        <v>2.0</v>
      </c>
      <c r="M780" s="344">
        <v>46093.35513888889</v>
      </c>
      <c r="N780" s="376">
        <v>1.0</v>
      </c>
    </row>
    <row r="781" ht="15.75" customHeight="1">
      <c r="A781" s="334" t="s">
        <v>8091</v>
      </c>
      <c r="B781" s="362">
        <v>46093.0</v>
      </c>
      <c r="C781" s="334" t="s">
        <v>36</v>
      </c>
      <c r="D781" s="334" t="s">
        <v>1303</v>
      </c>
      <c r="E781" s="334" t="s">
        <v>469</v>
      </c>
      <c r="F781" s="334" t="s">
        <v>6996</v>
      </c>
      <c r="G781" s="334" t="s">
        <v>7002</v>
      </c>
      <c r="I781" s="334">
        <v>2.0</v>
      </c>
      <c r="M781" s="344">
        <v>46093.355358796296</v>
      </c>
      <c r="N781" s="376">
        <v>1.0</v>
      </c>
    </row>
    <row r="782" ht="15.75" customHeight="1">
      <c r="A782" s="334" t="s">
        <v>8092</v>
      </c>
      <c r="B782" s="362">
        <v>46093.0</v>
      </c>
      <c r="C782" s="334" t="s">
        <v>29</v>
      </c>
      <c r="D782" s="334" t="s">
        <v>50</v>
      </c>
      <c r="E782" s="334" t="s">
        <v>473</v>
      </c>
      <c r="F782" s="334" t="s">
        <v>130</v>
      </c>
      <c r="G782" s="334" t="s">
        <v>7683</v>
      </c>
      <c r="I782" s="334">
        <v>2.0</v>
      </c>
      <c r="M782" s="344">
        <v>46093.356099537035</v>
      </c>
      <c r="N782" s="376">
        <v>1.0</v>
      </c>
    </row>
    <row r="783" ht="15.75" customHeight="1">
      <c r="A783" s="334" t="s">
        <v>8093</v>
      </c>
      <c r="B783" s="362">
        <v>46093.0</v>
      </c>
      <c r="C783" s="334" t="s">
        <v>30</v>
      </c>
      <c r="D783" s="334" t="s">
        <v>52</v>
      </c>
      <c r="E783" s="334" t="s">
        <v>474</v>
      </c>
      <c r="F783" s="334" t="s">
        <v>1199</v>
      </c>
      <c r="G783" s="334" t="s">
        <v>7948</v>
      </c>
      <c r="I783" s="334">
        <v>1.5</v>
      </c>
      <c r="M783" s="344">
        <v>46093.35631944444</v>
      </c>
      <c r="N783" s="376">
        <v>1.0</v>
      </c>
    </row>
    <row r="784" ht="15.75" customHeight="1">
      <c r="A784" s="334" t="s">
        <v>8094</v>
      </c>
      <c r="B784" s="362">
        <v>46093.0</v>
      </c>
      <c r="C784" s="334" t="s">
        <v>11</v>
      </c>
      <c r="D784" s="334" t="s">
        <v>46</v>
      </c>
      <c r="E784" s="334" t="s">
        <v>488</v>
      </c>
      <c r="F784" s="334" t="s">
        <v>7094</v>
      </c>
      <c r="G784" s="334" t="s">
        <v>7095</v>
      </c>
      <c r="I784" s="334">
        <v>2.0</v>
      </c>
      <c r="M784" s="344">
        <v>46093.35690972222</v>
      </c>
      <c r="N784" s="376">
        <v>1.0</v>
      </c>
    </row>
    <row r="785" ht="15.75" customHeight="1">
      <c r="A785" s="334" t="s">
        <v>8095</v>
      </c>
      <c r="B785" s="362">
        <v>46093.0</v>
      </c>
      <c r="C785" s="334" t="s">
        <v>12</v>
      </c>
      <c r="D785" s="334" t="s">
        <v>53</v>
      </c>
      <c r="E785" s="334" t="s">
        <v>491</v>
      </c>
      <c r="F785" s="334" t="s">
        <v>7048</v>
      </c>
      <c r="G785" s="334" t="s">
        <v>7132</v>
      </c>
      <c r="I785" s="334">
        <v>1.0</v>
      </c>
      <c r="M785" s="344">
        <v>46093.35731481481</v>
      </c>
      <c r="N785" s="376">
        <v>1.0</v>
      </c>
    </row>
    <row r="786" ht="15.75" customHeight="1">
      <c r="A786" s="334" t="s">
        <v>8096</v>
      </c>
      <c r="B786" s="362">
        <v>46093.0</v>
      </c>
      <c r="C786" s="334" t="s">
        <v>12</v>
      </c>
      <c r="D786" s="334" t="s">
        <v>53</v>
      </c>
      <c r="E786" s="334" t="s">
        <v>491</v>
      </c>
      <c r="F786" s="334" t="s">
        <v>7168</v>
      </c>
      <c r="G786" s="334" t="s">
        <v>7169</v>
      </c>
      <c r="I786" s="334">
        <v>2.0</v>
      </c>
      <c r="M786" s="344">
        <v>46093.357766203706</v>
      </c>
      <c r="N786" s="376">
        <v>1.0</v>
      </c>
    </row>
    <row r="787" ht="15.75" customHeight="1">
      <c r="A787" s="334" t="s">
        <v>8097</v>
      </c>
      <c r="B787" s="362">
        <v>46093.0</v>
      </c>
      <c r="C787" s="334" t="s">
        <v>12</v>
      </c>
      <c r="D787" s="334" t="s">
        <v>541</v>
      </c>
      <c r="E787" s="334" t="s">
        <v>492</v>
      </c>
      <c r="F787" s="334" t="s">
        <v>7011</v>
      </c>
      <c r="G787" s="334" t="s">
        <v>7892</v>
      </c>
      <c r="I787" s="334">
        <v>2.0</v>
      </c>
      <c r="M787" s="344">
        <v>46093.35804398148</v>
      </c>
      <c r="N787" s="376">
        <v>1.0</v>
      </c>
    </row>
    <row r="788" ht="15.75" customHeight="1">
      <c r="A788" s="334" t="s">
        <v>8098</v>
      </c>
      <c r="B788" s="362">
        <v>46093.0</v>
      </c>
      <c r="C788" s="334" t="s">
        <v>28</v>
      </c>
      <c r="D788" s="334" t="s">
        <v>52</v>
      </c>
      <c r="E788" s="334" t="s">
        <v>493</v>
      </c>
      <c r="F788" s="334" t="s">
        <v>7008</v>
      </c>
      <c r="G788" s="334" t="s">
        <v>7009</v>
      </c>
      <c r="I788" s="334">
        <v>2.0</v>
      </c>
      <c r="M788" s="344">
        <v>46093.35837962963</v>
      </c>
      <c r="N788" s="376">
        <v>1.0</v>
      </c>
    </row>
    <row r="789" ht="15.75" customHeight="1">
      <c r="A789" s="334" t="s">
        <v>8099</v>
      </c>
      <c r="B789" s="362">
        <v>46093.0</v>
      </c>
      <c r="C789" s="334" t="s">
        <v>14</v>
      </c>
      <c r="D789" s="334" t="s">
        <v>46</v>
      </c>
      <c r="E789" s="334" t="s">
        <v>497</v>
      </c>
      <c r="F789" s="334" t="s">
        <v>7016</v>
      </c>
      <c r="G789" s="334" t="s">
        <v>7017</v>
      </c>
      <c r="I789" s="334">
        <v>2.0</v>
      </c>
      <c r="M789" s="344">
        <v>46093.35872685185</v>
      </c>
      <c r="N789" s="376">
        <v>1.0</v>
      </c>
    </row>
    <row r="790" ht="15.75" customHeight="1">
      <c r="A790" s="334" t="s">
        <v>8100</v>
      </c>
      <c r="B790" s="362">
        <v>46093.0</v>
      </c>
      <c r="C790" s="334" t="s">
        <v>14</v>
      </c>
      <c r="D790" s="334" t="s">
        <v>46</v>
      </c>
      <c r="E790" s="334" t="s">
        <v>497</v>
      </c>
      <c r="F790" s="334" t="s">
        <v>7119</v>
      </c>
      <c r="G790" s="334" t="s">
        <v>7120</v>
      </c>
      <c r="I790" s="334">
        <v>1.0</v>
      </c>
      <c r="M790" s="344">
        <v>46093.35915509259</v>
      </c>
      <c r="N790" s="376">
        <v>1.0</v>
      </c>
    </row>
    <row r="791" ht="15.75" customHeight="1">
      <c r="A791" s="334" t="s">
        <v>8101</v>
      </c>
      <c r="B791" s="362">
        <v>46093.0</v>
      </c>
      <c r="C791" s="334" t="s">
        <v>14</v>
      </c>
      <c r="D791" s="334" t="s">
        <v>48</v>
      </c>
      <c r="E791" s="334" t="s">
        <v>498</v>
      </c>
      <c r="F791" s="334" t="s">
        <v>7019</v>
      </c>
      <c r="G791" s="334" t="s">
        <v>7020</v>
      </c>
      <c r="I791" s="334">
        <v>2.0</v>
      </c>
      <c r="M791" s="344">
        <v>46093.35953703704</v>
      </c>
      <c r="N791" s="376">
        <v>1.0</v>
      </c>
    </row>
    <row r="792" ht="15.75" customHeight="1">
      <c r="A792" s="334" t="s">
        <v>8102</v>
      </c>
      <c r="B792" s="362">
        <v>46093.0</v>
      </c>
      <c r="C792" s="334" t="s">
        <v>15</v>
      </c>
      <c r="D792" s="334" t="s">
        <v>58</v>
      </c>
      <c r="E792" s="334" t="s">
        <v>499</v>
      </c>
      <c r="F792" s="334" t="s">
        <v>7569</v>
      </c>
      <c r="G792" s="334" t="s">
        <v>7570</v>
      </c>
      <c r="I792" s="334">
        <v>2.0</v>
      </c>
      <c r="M792" s="344">
        <v>46093.359814814816</v>
      </c>
      <c r="N792" s="376">
        <v>1.0</v>
      </c>
    </row>
    <row r="793" ht="15.75" customHeight="1">
      <c r="A793" s="334" t="s">
        <v>8103</v>
      </c>
      <c r="B793" s="362">
        <v>46093.0</v>
      </c>
      <c r="C793" s="334" t="s">
        <v>15</v>
      </c>
      <c r="D793" s="334" t="s">
        <v>46</v>
      </c>
      <c r="E793" s="334" t="s">
        <v>500</v>
      </c>
      <c r="F793" s="334" t="s">
        <v>7572</v>
      </c>
      <c r="G793" s="334" t="s">
        <v>7573</v>
      </c>
      <c r="I793" s="334">
        <v>2.0</v>
      </c>
      <c r="M793" s="344">
        <v>46093.36011574074</v>
      </c>
      <c r="N793" s="376">
        <v>1.0</v>
      </c>
    </row>
    <row r="794" ht="15.75" customHeight="1">
      <c r="A794" s="334" t="s">
        <v>8104</v>
      </c>
      <c r="B794" s="362">
        <v>46093.0</v>
      </c>
      <c r="C794" s="334" t="s">
        <v>537</v>
      </c>
      <c r="D794" s="334" t="s">
        <v>59</v>
      </c>
      <c r="E794" s="334" t="s">
        <v>501</v>
      </c>
      <c r="F794" s="334" t="s">
        <v>7656</v>
      </c>
      <c r="G794" s="334" t="s">
        <v>7657</v>
      </c>
      <c r="I794" s="334">
        <v>2.0</v>
      </c>
      <c r="M794" s="344">
        <v>46093.36032407408</v>
      </c>
      <c r="N794" s="376">
        <v>1.0</v>
      </c>
    </row>
    <row r="795" ht="15.75" customHeight="1">
      <c r="A795" s="334" t="s">
        <v>8105</v>
      </c>
      <c r="B795" s="362">
        <v>46093.0</v>
      </c>
      <c r="C795" s="334" t="s">
        <v>537</v>
      </c>
      <c r="D795" s="334" t="s">
        <v>7031</v>
      </c>
      <c r="E795" s="334" t="s">
        <v>7032</v>
      </c>
      <c r="F795" s="334" t="s">
        <v>7033</v>
      </c>
      <c r="G795" s="334" t="s">
        <v>7034</v>
      </c>
      <c r="I795" s="334">
        <v>2.0</v>
      </c>
      <c r="M795" s="344">
        <v>46093.360671296294</v>
      </c>
      <c r="N795" s="376">
        <v>1.0</v>
      </c>
    </row>
    <row r="796" ht="15.75" customHeight="1">
      <c r="A796" s="334" t="s">
        <v>8106</v>
      </c>
      <c r="B796" s="362">
        <v>46093.0</v>
      </c>
      <c r="C796" s="334" t="s">
        <v>19</v>
      </c>
      <c r="D796" s="334" t="s">
        <v>61</v>
      </c>
      <c r="E796" s="334" t="s">
        <v>506</v>
      </c>
      <c r="F796" s="334" t="s">
        <v>116</v>
      </c>
      <c r="G796" s="334" t="s">
        <v>6980</v>
      </c>
      <c r="I796" s="334">
        <v>2.0</v>
      </c>
      <c r="M796" s="344">
        <v>46093.36108796296</v>
      </c>
      <c r="N796" s="376">
        <v>1.0</v>
      </c>
    </row>
    <row r="797" ht="15.75" customHeight="1">
      <c r="A797" s="334" t="s">
        <v>8107</v>
      </c>
      <c r="B797" s="362">
        <v>46093.0</v>
      </c>
      <c r="C797" s="334" t="s">
        <v>37</v>
      </c>
      <c r="D797" s="334" t="s">
        <v>48</v>
      </c>
      <c r="E797" s="334" t="s">
        <v>510</v>
      </c>
      <c r="F797" s="334" t="s">
        <v>7041</v>
      </c>
      <c r="G797" s="334" t="s">
        <v>7042</v>
      </c>
      <c r="I797" s="334">
        <v>2.0</v>
      </c>
      <c r="M797" s="344">
        <v>46093.36210648148</v>
      </c>
      <c r="N797" s="376">
        <v>1.0</v>
      </c>
    </row>
    <row r="798" ht="15.75" customHeight="1">
      <c r="A798" s="334" t="s">
        <v>8108</v>
      </c>
      <c r="B798" s="362">
        <v>46093.0</v>
      </c>
      <c r="C798" s="334" t="s">
        <v>9</v>
      </c>
      <c r="D798" s="334" t="s">
        <v>48</v>
      </c>
      <c r="E798" s="334" t="s">
        <v>462</v>
      </c>
      <c r="F798" s="334" t="s">
        <v>111</v>
      </c>
      <c r="G798" s="334" t="s">
        <v>7921</v>
      </c>
      <c r="I798" s="334">
        <v>-2.0</v>
      </c>
      <c r="M798" s="344">
        <v>46093.39010416667</v>
      </c>
      <c r="N798" s="376">
        <v>1.0</v>
      </c>
    </row>
    <row r="799" ht="15.75" customHeight="1">
      <c r="A799" s="334" t="s">
        <v>8109</v>
      </c>
      <c r="B799" s="362">
        <v>46094.0</v>
      </c>
      <c r="C799" s="334" t="s">
        <v>534</v>
      </c>
      <c r="D799" s="334" t="s">
        <v>46</v>
      </c>
      <c r="E799" s="334" t="s">
        <v>489</v>
      </c>
      <c r="F799" s="334" t="s">
        <v>6999</v>
      </c>
      <c r="G799" s="334" t="s">
        <v>7719</v>
      </c>
      <c r="I799" s="334">
        <v>2.0</v>
      </c>
      <c r="M799" s="344">
        <v>46094.305868055555</v>
      </c>
      <c r="N799" s="376">
        <v>1.0</v>
      </c>
    </row>
    <row r="800" ht="15.75" customHeight="1">
      <c r="A800" s="334" t="s">
        <v>8110</v>
      </c>
      <c r="B800" s="362">
        <v>46095.0</v>
      </c>
      <c r="C800" s="334" t="s">
        <v>13</v>
      </c>
      <c r="D800" s="334" t="s">
        <v>49</v>
      </c>
      <c r="E800" s="334" t="s">
        <v>467</v>
      </c>
      <c r="F800" s="334" t="s">
        <v>130</v>
      </c>
      <c r="G800" s="334" t="s">
        <v>7086</v>
      </c>
      <c r="I800" s="334">
        <v>2.5</v>
      </c>
      <c r="M800" s="344">
        <v>46095.27143518518</v>
      </c>
      <c r="N800" s="376">
        <v>1.0</v>
      </c>
    </row>
    <row r="801" ht="15.75" customHeight="1">
      <c r="A801" s="334" t="s">
        <v>8111</v>
      </c>
      <c r="B801" s="362">
        <v>46095.0</v>
      </c>
      <c r="C801" s="334" t="s">
        <v>12</v>
      </c>
      <c r="D801" s="334" t="s">
        <v>53</v>
      </c>
      <c r="E801" s="334" t="s">
        <v>491</v>
      </c>
      <c r="F801" s="334" t="s">
        <v>7048</v>
      </c>
      <c r="G801" s="334" t="s">
        <v>7132</v>
      </c>
      <c r="I801" s="334">
        <v>1.0</v>
      </c>
      <c r="M801" s="344">
        <v>46095.271875</v>
      </c>
      <c r="N801" s="376">
        <v>1.0</v>
      </c>
    </row>
    <row r="802" ht="15.75" customHeight="1">
      <c r="A802" s="334" t="s">
        <v>8112</v>
      </c>
      <c r="B802" s="362">
        <v>46095.0</v>
      </c>
      <c r="C802" s="334" t="s">
        <v>14</v>
      </c>
      <c r="D802" s="334" t="s">
        <v>46</v>
      </c>
      <c r="E802" s="334" t="s">
        <v>497</v>
      </c>
      <c r="F802" s="334" t="s">
        <v>7119</v>
      </c>
      <c r="G802" s="334" t="s">
        <v>7120</v>
      </c>
      <c r="I802" s="334">
        <v>1.0</v>
      </c>
      <c r="M802" s="344">
        <v>46095.27228009259</v>
      </c>
      <c r="N802" s="376">
        <v>1.0</v>
      </c>
    </row>
    <row r="803" ht="15.75" customHeight="1">
      <c r="A803" s="334" t="s">
        <v>8113</v>
      </c>
      <c r="B803" s="362">
        <v>46095.0</v>
      </c>
      <c r="C803" s="334" t="s">
        <v>31</v>
      </c>
      <c r="D803" s="334" t="s">
        <v>47</v>
      </c>
      <c r="E803" s="334" t="s">
        <v>477</v>
      </c>
      <c r="F803" s="334" t="s">
        <v>130</v>
      </c>
      <c r="G803" s="334" t="s">
        <v>7685</v>
      </c>
      <c r="I803" s="334">
        <v>2.2</v>
      </c>
      <c r="M803" s="344">
        <v>46095.46540509259</v>
      </c>
      <c r="N803" s="376">
        <v>1.0</v>
      </c>
    </row>
    <row r="804" ht="15.75" customHeight="1">
      <c r="A804" s="334" t="s">
        <v>8114</v>
      </c>
      <c r="B804" s="362">
        <v>46099.0</v>
      </c>
      <c r="C804" s="334" t="s">
        <v>535</v>
      </c>
      <c r="D804" s="334" t="s">
        <v>77</v>
      </c>
      <c r="E804" s="334" t="s">
        <v>495</v>
      </c>
      <c r="F804" s="334" t="s">
        <v>111</v>
      </c>
      <c r="G804" s="334" t="s">
        <v>8115</v>
      </c>
      <c r="I804" s="334">
        <v>1.0</v>
      </c>
      <c r="M804" s="344">
        <v>46098.72758101852</v>
      </c>
      <c r="N804" s="376">
        <v>1.0</v>
      </c>
    </row>
    <row r="805" ht="15.75" customHeight="1">
      <c r="A805" s="334" t="s">
        <v>8116</v>
      </c>
      <c r="B805" s="362">
        <v>46101.0</v>
      </c>
      <c r="C805" s="334" t="s">
        <v>531</v>
      </c>
      <c r="D805" s="334" t="s">
        <v>77</v>
      </c>
      <c r="E805" s="334" t="s">
        <v>449</v>
      </c>
      <c r="F805" s="334" t="s">
        <v>6983</v>
      </c>
      <c r="G805" s="334" t="s">
        <v>7065</v>
      </c>
      <c r="I805" s="334">
        <v>1.0</v>
      </c>
      <c r="M805" s="344">
        <v>46100.81306712963</v>
      </c>
      <c r="N805" s="376">
        <v>1.0</v>
      </c>
    </row>
    <row r="806" ht="15.75" customHeight="1">
      <c r="A806" s="334" t="s">
        <v>8117</v>
      </c>
      <c r="B806" s="362">
        <v>46101.0</v>
      </c>
      <c r="C806" s="334" t="s">
        <v>535</v>
      </c>
      <c r="D806" s="334" t="s">
        <v>77</v>
      </c>
      <c r="E806" s="334" t="s">
        <v>495</v>
      </c>
      <c r="F806" s="334" t="s">
        <v>6983</v>
      </c>
      <c r="G806" s="334" t="s">
        <v>6986</v>
      </c>
      <c r="I806" s="334">
        <v>1.0</v>
      </c>
      <c r="M806" s="344">
        <v>46100.81324074074</v>
      </c>
      <c r="N806" s="376">
        <v>1.0</v>
      </c>
    </row>
    <row r="807" ht="15.75" customHeight="1">
      <c r="A807" s="334" t="s">
        <v>8118</v>
      </c>
      <c r="B807" s="362">
        <v>46101.0</v>
      </c>
      <c r="C807" s="334" t="s">
        <v>532</v>
      </c>
      <c r="D807" s="334" t="s">
        <v>77</v>
      </c>
      <c r="E807" s="334" t="s">
        <v>486</v>
      </c>
      <c r="F807" s="334" t="s">
        <v>7078</v>
      </c>
      <c r="G807" s="334" t="s">
        <v>7079</v>
      </c>
      <c r="I807" s="334">
        <v>1.0</v>
      </c>
      <c r="M807" s="344">
        <v>46100.81358796296</v>
      </c>
      <c r="N807" s="376">
        <v>1.0</v>
      </c>
    </row>
    <row r="808" ht="15.75" customHeight="1">
      <c r="A808" s="377" t="s">
        <v>8119</v>
      </c>
      <c r="B808" s="362">
        <v>46101.0</v>
      </c>
      <c r="C808" s="334" t="s">
        <v>536</v>
      </c>
      <c r="D808" s="334" t="s">
        <v>77</v>
      </c>
      <c r="E808" s="334" t="s">
        <v>496</v>
      </c>
      <c r="F808" s="334" t="s">
        <v>6988</v>
      </c>
      <c r="G808" s="334" t="s">
        <v>6989</v>
      </c>
      <c r="I808" s="334">
        <v>1.0</v>
      </c>
      <c r="M808" s="344">
        <v>46100.81376157407</v>
      </c>
      <c r="N808" s="376">
        <v>1.0</v>
      </c>
    </row>
    <row r="809" ht="15.75" customHeight="1">
      <c r="A809" s="334" t="s">
        <v>8120</v>
      </c>
      <c r="B809" s="362">
        <v>46101.0</v>
      </c>
      <c r="C809" s="334" t="s">
        <v>6</v>
      </c>
      <c r="D809" s="334" t="s">
        <v>48</v>
      </c>
      <c r="E809" s="334" t="s">
        <v>454</v>
      </c>
      <c r="F809" s="334" t="s">
        <v>7071</v>
      </c>
      <c r="G809" s="334" t="s">
        <v>7072</v>
      </c>
      <c r="I809" s="334">
        <v>1.0</v>
      </c>
      <c r="M809" s="344">
        <v>46100.814050925925</v>
      </c>
      <c r="N809" s="376">
        <v>1.0</v>
      </c>
    </row>
    <row r="810" ht="15.75" customHeight="1">
      <c r="A810" s="334" t="s">
        <v>8121</v>
      </c>
      <c r="B810" s="362">
        <v>46101.0</v>
      </c>
      <c r="C810" s="334" t="s">
        <v>7</v>
      </c>
      <c r="D810" s="334" t="s">
        <v>49</v>
      </c>
      <c r="E810" s="334" t="s">
        <v>455</v>
      </c>
      <c r="F810" s="334" t="s">
        <v>7074</v>
      </c>
      <c r="G810" s="334" t="s">
        <v>7075</v>
      </c>
      <c r="I810" s="334">
        <v>1.0</v>
      </c>
      <c r="M810" s="344">
        <v>46100.81429398148</v>
      </c>
      <c r="N810" s="376">
        <v>1.0</v>
      </c>
    </row>
    <row r="811" ht="15.75" customHeight="1">
      <c r="A811" s="334" t="s">
        <v>8122</v>
      </c>
      <c r="B811" s="362">
        <v>46101.0</v>
      </c>
      <c r="C811" s="334" t="s">
        <v>9</v>
      </c>
      <c r="D811" s="334" t="s">
        <v>51</v>
      </c>
      <c r="E811" s="334" t="s">
        <v>458</v>
      </c>
      <c r="F811" s="334" t="s">
        <v>7296</v>
      </c>
      <c r="G811" s="334" t="s">
        <v>7909</v>
      </c>
      <c r="I811" s="334">
        <v>1.0</v>
      </c>
      <c r="M811" s="344">
        <v>46100.814722222225</v>
      </c>
      <c r="N811" s="376">
        <v>1.0</v>
      </c>
    </row>
    <row r="812" ht="15.75" customHeight="1">
      <c r="A812" s="334" t="s">
        <v>8123</v>
      </c>
      <c r="B812" s="362">
        <v>46101.0</v>
      </c>
      <c r="C812" s="334" t="s">
        <v>9</v>
      </c>
      <c r="D812" s="334" t="s">
        <v>47</v>
      </c>
      <c r="E812" s="334" t="s">
        <v>459</v>
      </c>
      <c r="F812" s="334" t="s">
        <v>7911</v>
      </c>
      <c r="G812" s="334" t="s">
        <v>7912</v>
      </c>
      <c r="I812" s="334">
        <v>1.0</v>
      </c>
      <c r="M812" s="344">
        <v>46100.81496527778</v>
      </c>
      <c r="N812" s="376">
        <v>1.0</v>
      </c>
    </row>
    <row r="813" ht="15.75" customHeight="1">
      <c r="A813" s="334" t="s">
        <v>8124</v>
      </c>
      <c r="B813" s="362">
        <v>46101.0</v>
      </c>
      <c r="C813" s="334" t="s">
        <v>9</v>
      </c>
      <c r="D813" s="334" t="s">
        <v>50</v>
      </c>
      <c r="E813" s="334" t="s">
        <v>460</v>
      </c>
      <c r="F813" s="334" t="s">
        <v>7914</v>
      </c>
      <c r="G813" s="334" t="s">
        <v>7915</v>
      </c>
      <c r="I813" s="334">
        <v>1.0</v>
      </c>
      <c r="M813" s="344">
        <v>46100.81521990741</v>
      </c>
      <c r="N813" s="376">
        <v>1.0</v>
      </c>
    </row>
    <row r="814" ht="15.75" customHeight="1">
      <c r="A814" s="334" t="s">
        <v>8125</v>
      </c>
      <c r="B814" s="362">
        <v>46101.0</v>
      </c>
      <c r="C814" s="334" t="s">
        <v>9</v>
      </c>
      <c r="D814" s="334" t="s">
        <v>49</v>
      </c>
      <c r="E814" s="334" t="s">
        <v>461</v>
      </c>
      <c r="F814" s="334" t="s">
        <v>7596</v>
      </c>
      <c r="G814" s="334" t="s">
        <v>7597</v>
      </c>
      <c r="I814" s="334">
        <v>1.0</v>
      </c>
      <c r="M814" s="344">
        <v>46100.81539351852</v>
      </c>
      <c r="N814" s="376">
        <v>1.0</v>
      </c>
    </row>
    <row r="815" ht="15.75" customHeight="1">
      <c r="A815" s="334" t="s">
        <v>8126</v>
      </c>
      <c r="B815" s="362">
        <v>46101.0</v>
      </c>
      <c r="C815" s="334" t="s">
        <v>9</v>
      </c>
      <c r="D815" s="334" t="s">
        <v>48</v>
      </c>
      <c r="E815" s="334" t="s">
        <v>462</v>
      </c>
      <c r="F815" s="334" t="s">
        <v>8036</v>
      </c>
      <c r="G815" s="334" t="s">
        <v>8037</v>
      </c>
      <c r="I815" s="334">
        <v>1.0</v>
      </c>
      <c r="M815" s="344">
        <v>46100.8155787037</v>
      </c>
      <c r="N815" s="376">
        <v>1.0</v>
      </c>
    </row>
    <row r="816" ht="15.75" customHeight="1">
      <c r="A816" s="334" t="s">
        <v>8127</v>
      </c>
      <c r="B816" s="362">
        <v>46102.0</v>
      </c>
      <c r="C816" s="334" t="s">
        <v>10</v>
      </c>
      <c r="D816" s="334" t="s">
        <v>47</v>
      </c>
      <c r="E816" s="334" t="s">
        <v>463</v>
      </c>
      <c r="F816" s="334" t="s">
        <v>6996</v>
      </c>
      <c r="G816" s="334" t="s">
        <v>6997</v>
      </c>
      <c r="I816" s="334">
        <v>1.0</v>
      </c>
      <c r="M816" s="344">
        <v>46100.816030092596</v>
      </c>
      <c r="N816" s="376">
        <v>1.0</v>
      </c>
    </row>
    <row r="817" ht="15.75" customHeight="1">
      <c r="A817" s="334" t="s">
        <v>8128</v>
      </c>
      <c r="B817" s="362">
        <v>46102.0</v>
      </c>
      <c r="C817" s="334" t="s">
        <v>10</v>
      </c>
      <c r="D817" s="334" t="s">
        <v>539</v>
      </c>
      <c r="E817" s="334" t="s">
        <v>465</v>
      </c>
      <c r="F817" s="334" t="s">
        <v>7974</v>
      </c>
      <c r="G817" s="334" t="s">
        <v>7975</v>
      </c>
      <c r="I817" s="334">
        <v>1.0</v>
      </c>
      <c r="M817" s="344">
        <v>46100.816516203704</v>
      </c>
      <c r="N817" s="376">
        <v>1.0</v>
      </c>
    </row>
    <row r="818" ht="15.75" customHeight="1">
      <c r="A818" s="334" t="s">
        <v>8129</v>
      </c>
      <c r="B818" s="362">
        <v>46102.0</v>
      </c>
      <c r="C818" s="334" t="s">
        <v>10</v>
      </c>
      <c r="D818" s="334" t="s">
        <v>46</v>
      </c>
      <c r="E818" s="334" t="s">
        <v>464</v>
      </c>
      <c r="F818" s="334" t="s">
        <v>149</v>
      </c>
      <c r="G818" s="334" t="s">
        <v>7461</v>
      </c>
      <c r="I818" s="334">
        <v>1.0</v>
      </c>
      <c r="M818" s="344">
        <v>46100.81680555556</v>
      </c>
      <c r="N818" s="376">
        <v>1.0</v>
      </c>
    </row>
    <row r="819" ht="15.75" customHeight="1">
      <c r="A819" s="334" t="s">
        <v>8130</v>
      </c>
      <c r="B819" s="362">
        <v>46101.0</v>
      </c>
      <c r="C819" s="334" t="s">
        <v>13</v>
      </c>
      <c r="D819" s="334" t="s">
        <v>49</v>
      </c>
      <c r="E819" s="334" t="s">
        <v>467</v>
      </c>
      <c r="F819" s="334" t="s">
        <v>130</v>
      </c>
      <c r="G819" s="334" t="s">
        <v>7086</v>
      </c>
      <c r="I819" s="334">
        <v>1.0</v>
      </c>
      <c r="M819" s="344">
        <v>46100.81730324074</v>
      </c>
      <c r="N819" s="376">
        <v>1.0</v>
      </c>
    </row>
    <row r="820" ht="15.75" customHeight="1">
      <c r="A820" s="334" t="s">
        <v>8131</v>
      </c>
      <c r="B820" s="362">
        <v>46093.0</v>
      </c>
      <c r="C820" s="334" t="s">
        <v>22</v>
      </c>
      <c r="D820" s="334" t="s">
        <v>47</v>
      </c>
      <c r="E820" s="334" t="s">
        <v>468</v>
      </c>
      <c r="F820" s="334" t="s">
        <v>7487</v>
      </c>
      <c r="G820" s="334" t="s">
        <v>7488</v>
      </c>
      <c r="I820" s="334">
        <v>2.0</v>
      </c>
      <c r="M820" s="344">
        <v>46100.81765046297</v>
      </c>
      <c r="N820" s="376">
        <v>1.0</v>
      </c>
    </row>
    <row r="821" ht="15.75" customHeight="1">
      <c r="A821" s="334" t="s">
        <v>8132</v>
      </c>
      <c r="B821" s="362">
        <v>46101.0</v>
      </c>
      <c r="C821" s="334" t="s">
        <v>22</v>
      </c>
      <c r="D821" s="334" t="s">
        <v>47</v>
      </c>
      <c r="E821" s="334" t="s">
        <v>468</v>
      </c>
      <c r="F821" s="334" t="s">
        <v>7487</v>
      </c>
      <c r="G821" s="334" t="s">
        <v>7488</v>
      </c>
      <c r="I821" s="334">
        <v>1.0</v>
      </c>
      <c r="M821" s="344">
        <v>46100.818078703705</v>
      </c>
      <c r="N821" s="376">
        <v>1.0</v>
      </c>
    </row>
    <row r="822" ht="15.75" customHeight="1">
      <c r="A822" s="334" t="s">
        <v>8133</v>
      </c>
      <c r="B822" s="362">
        <v>46104.0</v>
      </c>
      <c r="C822" s="334" t="s">
        <v>36</v>
      </c>
      <c r="D822" s="334" t="s">
        <v>1303</v>
      </c>
      <c r="E822" s="334" t="s">
        <v>469</v>
      </c>
      <c r="F822" s="334" t="s">
        <v>6996</v>
      </c>
      <c r="G822" s="334" t="s">
        <v>7002</v>
      </c>
      <c r="I822" s="334">
        <v>1.0</v>
      </c>
      <c r="M822" s="344">
        <v>46100.818344907406</v>
      </c>
      <c r="N822" s="376">
        <v>1.0</v>
      </c>
    </row>
    <row r="823" ht="15.75" customHeight="1">
      <c r="A823" s="334" t="s">
        <v>8134</v>
      </c>
      <c r="B823" s="362">
        <v>46101.0</v>
      </c>
      <c r="C823" s="334" t="s">
        <v>31</v>
      </c>
      <c r="D823" s="334" t="s">
        <v>47</v>
      </c>
      <c r="E823" s="334" t="s">
        <v>477</v>
      </c>
      <c r="F823" s="334" t="s">
        <v>130</v>
      </c>
      <c r="G823" s="334" t="s">
        <v>7685</v>
      </c>
      <c r="I823" s="334">
        <v>0.5</v>
      </c>
      <c r="M823" s="344">
        <v>46100.81880787037</v>
      </c>
      <c r="N823" s="376">
        <v>1.0</v>
      </c>
    </row>
    <row r="824" ht="15.75" customHeight="1">
      <c r="A824" s="334" t="s">
        <v>8135</v>
      </c>
      <c r="B824" s="362">
        <v>46101.0</v>
      </c>
      <c r="C824" s="334" t="s">
        <v>12</v>
      </c>
      <c r="D824" s="334" t="s">
        <v>53</v>
      </c>
      <c r="E824" s="334" t="s">
        <v>491</v>
      </c>
      <c r="F824" s="334" t="s">
        <v>7262</v>
      </c>
      <c r="G824" s="334" t="s">
        <v>7263</v>
      </c>
      <c r="I824" s="334">
        <v>1.0</v>
      </c>
      <c r="M824" s="344">
        <v>46100.81935185185</v>
      </c>
      <c r="N824" s="376">
        <v>1.0</v>
      </c>
    </row>
    <row r="825" ht="15.75" customHeight="1">
      <c r="A825" s="334" t="s">
        <v>8136</v>
      </c>
      <c r="B825" s="362">
        <v>46101.0</v>
      </c>
      <c r="C825" s="334" t="s">
        <v>11</v>
      </c>
      <c r="D825" s="334" t="s">
        <v>46</v>
      </c>
      <c r="E825" s="334" t="s">
        <v>488</v>
      </c>
      <c r="F825" s="334" t="s">
        <v>7094</v>
      </c>
      <c r="G825" s="334" t="s">
        <v>7095</v>
      </c>
      <c r="I825" s="334">
        <v>1.0</v>
      </c>
      <c r="M825" s="344">
        <v>46100.81990740741</v>
      </c>
      <c r="N825" s="376">
        <v>1.0</v>
      </c>
    </row>
    <row r="826" ht="15.75" customHeight="1">
      <c r="A826" s="334" t="s">
        <v>8137</v>
      </c>
      <c r="B826" s="362">
        <v>46101.0</v>
      </c>
      <c r="C826" s="334" t="s">
        <v>12</v>
      </c>
      <c r="D826" s="334" t="s">
        <v>50</v>
      </c>
      <c r="E826" s="334" t="s">
        <v>490</v>
      </c>
      <c r="F826" s="334" t="s">
        <v>7011</v>
      </c>
      <c r="G826" s="334" t="s">
        <v>7012</v>
      </c>
      <c r="I826" s="334">
        <v>1.0</v>
      </c>
      <c r="M826" s="344">
        <v>46100.820081018515</v>
      </c>
      <c r="N826" s="376">
        <v>1.0</v>
      </c>
    </row>
    <row r="827" ht="15.75" customHeight="1">
      <c r="A827" s="334" t="s">
        <v>8138</v>
      </c>
      <c r="B827" s="362">
        <v>46101.0</v>
      </c>
      <c r="C827" s="334" t="s">
        <v>12</v>
      </c>
      <c r="D827" s="334" t="s">
        <v>541</v>
      </c>
      <c r="E827" s="334" t="s">
        <v>492</v>
      </c>
      <c r="F827" s="334" t="s">
        <v>7011</v>
      </c>
      <c r="G827" s="334" t="s">
        <v>7892</v>
      </c>
      <c r="I827" s="334">
        <v>1.0</v>
      </c>
      <c r="M827" s="344">
        <v>46100.820289351854</v>
      </c>
      <c r="N827" s="376">
        <v>1.0</v>
      </c>
    </row>
    <row r="828" ht="15.75" customHeight="1">
      <c r="A828" s="334" t="s">
        <v>8139</v>
      </c>
      <c r="B828" s="362">
        <v>46101.0</v>
      </c>
      <c r="C828" s="334" t="s">
        <v>28</v>
      </c>
      <c r="D828" s="334" t="s">
        <v>52</v>
      </c>
      <c r="E828" s="334" t="s">
        <v>493</v>
      </c>
      <c r="F828" s="334" t="s">
        <v>7008</v>
      </c>
      <c r="G828" s="334" t="s">
        <v>7009</v>
      </c>
      <c r="I828" s="334">
        <v>1.0</v>
      </c>
      <c r="M828" s="344">
        <v>46100.82126157408</v>
      </c>
      <c r="N828" s="376">
        <v>1.0</v>
      </c>
    </row>
    <row r="829" ht="15.75" customHeight="1">
      <c r="A829" s="334" t="s">
        <v>8140</v>
      </c>
      <c r="B829" s="362">
        <v>46101.0</v>
      </c>
      <c r="C829" s="334" t="s">
        <v>14</v>
      </c>
      <c r="D829" s="334" t="s">
        <v>46</v>
      </c>
      <c r="E829" s="334" t="s">
        <v>497</v>
      </c>
      <c r="F829" s="334" t="s">
        <v>7259</v>
      </c>
      <c r="G829" s="334" t="s">
        <v>7260</v>
      </c>
      <c r="I829" s="334">
        <v>1.0</v>
      </c>
      <c r="M829" s="344">
        <v>46100.8215625</v>
      </c>
      <c r="N829" s="376">
        <v>1.0</v>
      </c>
    </row>
    <row r="830" ht="15.75" customHeight="1">
      <c r="A830" s="334" t="s">
        <v>8141</v>
      </c>
      <c r="B830" s="362">
        <v>46101.0</v>
      </c>
      <c r="C830" s="334" t="s">
        <v>14</v>
      </c>
      <c r="D830" s="334" t="s">
        <v>48</v>
      </c>
      <c r="E830" s="334" t="s">
        <v>498</v>
      </c>
      <c r="F830" s="334" t="s">
        <v>7019</v>
      </c>
      <c r="G830" s="334" t="s">
        <v>7020</v>
      </c>
      <c r="I830" s="334">
        <v>1.0</v>
      </c>
      <c r="M830" s="344">
        <v>46100.821921296294</v>
      </c>
      <c r="N830" s="376">
        <v>1.0</v>
      </c>
    </row>
    <row r="831" ht="15.75" customHeight="1">
      <c r="A831" s="334" t="s">
        <v>8142</v>
      </c>
      <c r="B831" s="362">
        <v>46101.0</v>
      </c>
      <c r="C831" s="334" t="s">
        <v>15</v>
      </c>
      <c r="D831" s="334" t="s">
        <v>58</v>
      </c>
      <c r="E831" s="334" t="s">
        <v>499</v>
      </c>
      <c r="F831" s="334" t="s">
        <v>7569</v>
      </c>
      <c r="G831" s="334" t="s">
        <v>7570</v>
      </c>
      <c r="I831" s="334">
        <v>1.0</v>
      </c>
      <c r="M831" s="344">
        <v>46100.82209490741</v>
      </c>
      <c r="N831" s="376">
        <v>1.0</v>
      </c>
    </row>
    <row r="832" ht="15.75" customHeight="1">
      <c r="A832" s="334" t="s">
        <v>8143</v>
      </c>
      <c r="B832" s="362">
        <v>46101.0</v>
      </c>
      <c r="C832" s="334" t="s">
        <v>15</v>
      </c>
      <c r="D832" s="334" t="s">
        <v>46</v>
      </c>
      <c r="E832" s="334" t="s">
        <v>500</v>
      </c>
      <c r="F832" s="334" t="s">
        <v>7572</v>
      </c>
      <c r="G832" s="334" t="s">
        <v>7573</v>
      </c>
      <c r="I832" s="334">
        <v>1.0</v>
      </c>
      <c r="M832" s="344">
        <v>46100.82231481482</v>
      </c>
      <c r="N832" s="376">
        <v>1.0</v>
      </c>
    </row>
    <row r="833" ht="15.75" customHeight="1">
      <c r="A833" s="334" t="s">
        <v>8144</v>
      </c>
      <c r="B833" s="362">
        <v>46101.0</v>
      </c>
      <c r="C833" s="334" t="s">
        <v>537</v>
      </c>
      <c r="D833" s="334" t="s">
        <v>59</v>
      </c>
      <c r="E833" s="334" t="s">
        <v>501</v>
      </c>
      <c r="F833" s="334" t="s">
        <v>7656</v>
      </c>
      <c r="G833" s="334" t="s">
        <v>7657</v>
      </c>
      <c r="I833" s="334">
        <v>1.0</v>
      </c>
      <c r="M833" s="344">
        <v>46100.82247685185</v>
      </c>
      <c r="N833" s="376">
        <v>1.0</v>
      </c>
    </row>
    <row r="834" ht="15.75" customHeight="1">
      <c r="A834" s="334" t="s">
        <v>8145</v>
      </c>
      <c r="B834" s="362">
        <v>46101.0</v>
      </c>
      <c r="C834" s="334" t="s">
        <v>537</v>
      </c>
      <c r="D834" s="334" t="s">
        <v>7031</v>
      </c>
      <c r="E834" s="334" t="s">
        <v>7032</v>
      </c>
      <c r="F834" s="334" t="s">
        <v>7033</v>
      </c>
      <c r="G834" s="334" t="s">
        <v>7034</v>
      </c>
      <c r="I834" s="334">
        <v>1.0</v>
      </c>
      <c r="M834" s="344">
        <v>46100.82270833333</v>
      </c>
      <c r="N834" s="376">
        <v>1.0</v>
      </c>
    </row>
    <row r="835" ht="15.75" customHeight="1">
      <c r="A835" s="334" t="s">
        <v>8146</v>
      </c>
      <c r="B835" s="362">
        <v>46101.0</v>
      </c>
      <c r="C835" s="334" t="s">
        <v>19</v>
      </c>
      <c r="D835" s="334" t="s">
        <v>61</v>
      </c>
      <c r="E835" s="334" t="s">
        <v>506</v>
      </c>
      <c r="F835" s="334" t="s">
        <v>116</v>
      </c>
      <c r="G835" s="334" t="s">
        <v>6980</v>
      </c>
      <c r="I835" s="334">
        <v>1.0</v>
      </c>
      <c r="M835" s="344">
        <v>46100.82313657407</v>
      </c>
      <c r="N835" s="376">
        <v>1.0</v>
      </c>
    </row>
    <row r="836" ht="15.75" customHeight="1">
      <c r="A836" s="334" t="s">
        <v>8147</v>
      </c>
      <c r="B836" s="362">
        <v>46101.0</v>
      </c>
      <c r="C836" s="334" t="s">
        <v>37</v>
      </c>
      <c r="D836" s="334" t="s">
        <v>48</v>
      </c>
      <c r="E836" s="334" t="s">
        <v>510</v>
      </c>
      <c r="F836" s="334" t="s">
        <v>7041</v>
      </c>
      <c r="G836" s="334" t="s">
        <v>7042</v>
      </c>
      <c r="I836" s="334">
        <v>1.0</v>
      </c>
      <c r="M836" s="344">
        <v>46100.82344907407</v>
      </c>
      <c r="N836" s="376">
        <v>1.0</v>
      </c>
    </row>
    <row r="837" ht="15.75" customHeight="1">
      <c r="A837" s="334" t="s">
        <v>8148</v>
      </c>
      <c r="B837" s="362">
        <v>46101.0</v>
      </c>
      <c r="C837" s="334" t="s">
        <v>34</v>
      </c>
      <c r="D837" s="334" t="s">
        <v>48</v>
      </c>
      <c r="E837" s="334" t="s">
        <v>482</v>
      </c>
      <c r="F837" s="334" t="s">
        <v>130</v>
      </c>
      <c r="G837" s="334" t="s">
        <v>8068</v>
      </c>
      <c r="I837" s="334">
        <v>1.0</v>
      </c>
      <c r="M837" s="344">
        <v>46102.270833333336</v>
      </c>
      <c r="N837" s="376">
        <v>1.0</v>
      </c>
    </row>
    <row r="838" ht="15.75" customHeight="1">
      <c r="A838" s="334" t="s">
        <v>8149</v>
      </c>
      <c r="B838" s="362">
        <v>46101.0</v>
      </c>
      <c r="C838" s="334" t="s">
        <v>31</v>
      </c>
      <c r="D838" s="334" t="s">
        <v>64</v>
      </c>
      <c r="E838" s="334" t="s">
        <v>478</v>
      </c>
      <c r="F838" s="334" t="s">
        <v>116</v>
      </c>
      <c r="G838" s="334" t="s">
        <v>7337</v>
      </c>
      <c r="I838" s="334">
        <v>5.0</v>
      </c>
      <c r="M838" s="344">
        <v>46102.27142361111</v>
      </c>
      <c r="N838" s="376">
        <v>1.0</v>
      </c>
    </row>
    <row r="839" ht="15.75" customHeight="1">
      <c r="A839" s="334" t="s">
        <v>8150</v>
      </c>
      <c r="B839" s="362">
        <v>46102.0</v>
      </c>
      <c r="C839" s="334" t="s">
        <v>5</v>
      </c>
      <c r="D839" s="334" t="s">
        <v>46</v>
      </c>
      <c r="E839" s="334" t="s">
        <v>450</v>
      </c>
      <c r="F839" s="334" t="s">
        <v>7102</v>
      </c>
      <c r="G839" s="334" t="s">
        <v>7103</v>
      </c>
      <c r="I839" s="334">
        <v>1.0</v>
      </c>
      <c r="M839" s="344">
        <v>46104.37923611111</v>
      </c>
      <c r="N839" s="376">
        <v>1.0</v>
      </c>
    </row>
    <row r="840" ht="15.75" customHeight="1">
      <c r="A840" s="334" t="s">
        <v>8151</v>
      </c>
      <c r="B840" s="362">
        <v>46102.0</v>
      </c>
      <c r="C840" s="334" t="s">
        <v>5</v>
      </c>
      <c r="D840" s="334" t="s">
        <v>47</v>
      </c>
      <c r="E840" s="334" t="s">
        <v>451</v>
      </c>
      <c r="F840" s="334" t="s">
        <v>7105</v>
      </c>
      <c r="G840" s="334" t="s">
        <v>7106</v>
      </c>
      <c r="I840" s="334">
        <v>1.0</v>
      </c>
      <c r="M840" s="344">
        <v>46104.37938657407</v>
      </c>
      <c r="N840" s="376">
        <v>1.0</v>
      </c>
    </row>
    <row r="841" ht="15.75" customHeight="1">
      <c r="A841" s="334" t="s">
        <v>8152</v>
      </c>
      <c r="B841" s="362">
        <v>46102.0</v>
      </c>
      <c r="C841" s="334" t="s">
        <v>5</v>
      </c>
      <c r="D841" s="334" t="s">
        <v>6937</v>
      </c>
      <c r="E841" s="334" t="s">
        <v>6938</v>
      </c>
      <c r="F841" s="334" t="s">
        <v>130</v>
      </c>
      <c r="G841" s="334" t="s">
        <v>6939</v>
      </c>
      <c r="I841" s="334">
        <v>1.0</v>
      </c>
      <c r="M841" s="344">
        <v>46104.379583333335</v>
      </c>
      <c r="N841" s="376">
        <v>1.0</v>
      </c>
    </row>
    <row r="842" ht="15.75" customHeight="1">
      <c r="A842" s="334" t="s">
        <v>8153</v>
      </c>
      <c r="B842" s="362">
        <v>46105.0</v>
      </c>
      <c r="C842" s="334" t="s">
        <v>534</v>
      </c>
      <c r="D842" s="334" t="s">
        <v>46</v>
      </c>
      <c r="E842" s="334" t="s">
        <v>489</v>
      </c>
      <c r="F842" s="334" t="s">
        <v>6999</v>
      </c>
      <c r="G842" s="334" t="s">
        <v>7719</v>
      </c>
      <c r="I842" s="334">
        <v>1.0</v>
      </c>
      <c r="M842" s="344">
        <v>46104.768541666665</v>
      </c>
      <c r="N842" s="376">
        <v>1.0</v>
      </c>
    </row>
    <row r="843" ht="15.75" customHeight="1">
      <c r="A843" s="334" t="s">
        <v>8154</v>
      </c>
      <c r="B843" s="362">
        <v>46106.0</v>
      </c>
      <c r="C843" s="334" t="s">
        <v>6</v>
      </c>
      <c r="D843" s="334" t="s">
        <v>48</v>
      </c>
      <c r="E843" s="334" t="s">
        <v>454</v>
      </c>
      <c r="F843" s="334" t="s">
        <v>8155</v>
      </c>
      <c r="G843" s="334" t="s">
        <v>8156</v>
      </c>
      <c r="I843" s="334">
        <v>1.5</v>
      </c>
      <c r="M843" s="344">
        <v>46106.47824074074</v>
      </c>
      <c r="N843" s="376">
        <v>1.0</v>
      </c>
    </row>
    <row r="844" ht="15.75" customHeight="1">
      <c r="A844" s="334" t="s">
        <v>8157</v>
      </c>
      <c r="B844" s="362">
        <v>46106.0</v>
      </c>
      <c r="C844" s="334" t="s">
        <v>6</v>
      </c>
      <c r="D844" s="334" t="s">
        <v>48</v>
      </c>
      <c r="E844" s="334" t="s">
        <v>454</v>
      </c>
      <c r="F844" s="334" t="s">
        <v>573</v>
      </c>
      <c r="G844" s="334" t="s">
        <v>6950</v>
      </c>
      <c r="I844" s="334">
        <v>1.0</v>
      </c>
      <c r="M844" s="344">
        <v>46106.478541666664</v>
      </c>
      <c r="N844" s="376">
        <v>1.0</v>
      </c>
    </row>
    <row r="845" ht="15.75" customHeight="1">
      <c r="A845" s="334" t="s">
        <v>8158</v>
      </c>
      <c r="B845" s="362">
        <v>46106.0</v>
      </c>
      <c r="C845" s="334" t="s">
        <v>6</v>
      </c>
      <c r="D845" s="334" t="s">
        <v>48</v>
      </c>
      <c r="E845" s="334" t="s">
        <v>454</v>
      </c>
      <c r="F845" s="334" t="s">
        <v>1237</v>
      </c>
      <c r="G845" s="334" t="s">
        <v>7781</v>
      </c>
      <c r="I845" s="334">
        <v>-1.5</v>
      </c>
      <c r="M845" s="344">
        <v>46106.485138888886</v>
      </c>
      <c r="N845" s="376">
        <v>1.0</v>
      </c>
    </row>
    <row r="846" ht="15.75" customHeight="1">
      <c r="A846" s="334" t="s">
        <v>8159</v>
      </c>
      <c r="B846" s="362">
        <v>46108.0</v>
      </c>
      <c r="C846" s="334" t="s">
        <v>32</v>
      </c>
      <c r="D846" s="334" t="s">
        <v>52</v>
      </c>
      <c r="E846" s="334" t="s">
        <v>480</v>
      </c>
      <c r="F846" s="334" t="s">
        <v>116</v>
      </c>
      <c r="G846" s="334" t="s">
        <v>8160</v>
      </c>
      <c r="I846" s="334">
        <v>50.0</v>
      </c>
      <c r="M846" s="344">
        <v>46108.59856481481</v>
      </c>
      <c r="N846" s="376">
        <v>1.0</v>
      </c>
    </row>
    <row r="847" ht="15.75" customHeight="1">
      <c r="A847" s="334" t="s">
        <v>8161</v>
      </c>
      <c r="B847" s="362">
        <v>46109.0</v>
      </c>
      <c r="C847" s="334" t="s">
        <v>10</v>
      </c>
      <c r="D847" s="334" t="s">
        <v>539</v>
      </c>
      <c r="E847" s="334" t="s">
        <v>465</v>
      </c>
      <c r="F847" s="334" t="s">
        <v>7974</v>
      </c>
      <c r="G847" s="334" t="s">
        <v>7975</v>
      </c>
      <c r="I847" s="334">
        <v>0.5</v>
      </c>
      <c r="M847" s="344">
        <v>46109.2743287037</v>
      </c>
      <c r="N847" s="376">
        <v>1.0</v>
      </c>
    </row>
    <row r="848" ht="15.75" customHeight="1">
      <c r="A848" s="334" t="s">
        <v>8162</v>
      </c>
      <c r="B848" s="362">
        <v>46102.0</v>
      </c>
      <c r="C848" s="334" t="s">
        <v>10</v>
      </c>
      <c r="D848" s="334" t="s">
        <v>539</v>
      </c>
      <c r="E848" s="334" t="s">
        <v>465</v>
      </c>
      <c r="F848" s="334" t="s">
        <v>119</v>
      </c>
      <c r="G848" s="334" t="s">
        <v>7930</v>
      </c>
      <c r="I848" s="334">
        <v>-0.5</v>
      </c>
      <c r="M848" s="344">
        <v>46112.27596064815</v>
      </c>
      <c r="N848" s="376">
        <v>1.0</v>
      </c>
    </row>
    <row r="849" ht="15.75" customHeight="1">
      <c r="A849" s="334" t="s">
        <v>8163</v>
      </c>
      <c r="B849" s="362">
        <v>46112.0</v>
      </c>
      <c r="C849" s="334" t="s">
        <v>535</v>
      </c>
      <c r="D849" s="334" t="s">
        <v>77</v>
      </c>
      <c r="E849" s="334" t="s">
        <v>495</v>
      </c>
      <c r="F849" s="334" t="s">
        <v>111</v>
      </c>
      <c r="G849" s="334" t="s">
        <v>8115</v>
      </c>
      <c r="I849" s="334">
        <v>1.3</v>
      </c>
      <c r="M849" s="344">
        <v>46112.27675925926</v>
      </c>
      <c r="N849" s="376">
        <v>1.0</v>
      </c>
    </row>
    <row r="850" ht="15.75" customHeight="1">
      <c r="A850" s="334" t="s">
        <v>8164</v>
      </c>
      <c r="B850" s="362">
        <v>46112.0</v>
      </c>
      <c r="C850" s="334" t="s">
        <v>535</v>
      </c>
      <c r="D850" s="334" t="s">
        <v>77</v>
      </c>
      <c r="E850" s="334" t="s">
        <v>495</v>
      </c>
      <c r="F850" s="334" t="s">
        <v>119</v>
      </c>
      <c r="G850" s="334" t="s">
        <v>8165</v>
      </c>
      <c r="I850" s="334">
        <v>1.5</v>
      </c>
      <c r="M850" s="344">
        <v>46112.27707175926</v>
      </c>
      <c r="N850" s="376">
        <v>1.0</v>
      </c>
    </row>
    <row r="851" ht="15.75" customHeight="1">
      <c r="A851" s="334" t="s">
        <v>8166</v>
      </c>
      <c r="B851" s="362">
        <v>46112.0</v>
      </c>
      <c r="C851" s="334" t="s">
        <v>535</v>
      </c>
      <c r="D851" s="334" t="s">
        <v>77</v>
      </c>
      <c r="E851" s="334" t="s">
        <v>495</v>
      </c>
      <c r="F851" s="334" t="s">
        <v>122</v>
      </c>
      <c r="G851" s="334" t="s">
        <v>8167</v>
      </c>
      <c r="I851" s="334">
        <v>2.5</v>
      </c>
      <c r="M851" s="344">
        <v>46112.2775</v>
      </c>
      <c r="N851" s="376">
        <v>1.0</v>
      </c>
    </row>
    <row r="852" ht="15.75" customHeight="1">
      <c r="A852" s="334" t="s">
        <v>8168</v>
      </c>
      <c r="B852" s="362">
        <v>46112.0</v>
      </c>
      <c r="C852" s="334" t="s">
        <v>535</v>
      </c>
      <c r="D852" s="334" t="s">
        <v>77</v>
      </c>
      <c r="E852" s="334" t="s">
        <v>495</v>
      </c>
      <c r="F852" s="334" t="s">
        <v>8169</v>
      </c>
      <c r="G852" s="334" t="s">
        <v>8170</v>
      </c>
      <c r="I852" s="334">
        <v>1.0</v>
      </c>
      <c r="M852" s="344">
        <v>46112.27780092593</v>
      </c>
      <c r="N852" s="376">
        <v>1.0</v>
      </c>
    </row>
    <row r="853" ht="15.75" customHeight="1">
      <c r="A853" s="334" t="s">
        <v>8171</v>
      </c>
      <c r="B853" s="362">
        <v>46112.0</v>
      </c>
      <c r="C853" s="334" t="s">
        <v>536</v>
      </c>
      <c r="D853" s="334" t="s">
        <v>77</v>
      </c>
      <c r="E853" s="334" t="s">
        <v>496</v>
      </c>
      <c r="F853" s="334" t="s">
        <v>1199</v>
      </c>
      <c r="G853" s="334" t="s">
        <v>8172</v>
      </c>
      <c r="I853" s="334">
        <v>2.0</v>
      </c>
      <c r="M853" s="344">
        <v>46112.27814814815</v>
      </c>
      <c r="N853" s="376">
        <v>1.0</v>
      </c>
    </row>
    <row r="854" ht="15.75" customHeight="1">
      <c r="A854" s="334" t="s">
        <v>8173</v>
      </c>
      <c r="B854" s="362">
        <v>46112.0</v>
      </c>
      <c r="C854" s="334" t="s">
        <v>536</v>
      </c>
      <c r="D854" s="334" t="s">
        <v>77</v>
      </c>
      <c r="E854" s="334" t="s">
        <v>496</v>
      </c>
      <c r="F854" s="334" t="s">
        <v>111</v>
      </c>
      <c r="G854" s="334" t="s">
        <v>8174</v>
      </c>
      <c r="I854" s="334">
        <v>2.3</v>
      </c>
      <c r="M854" s="344">
        <v>46112.27841435185</v>
      </c>
      <c r="N854" s="376">
        <v>1.0</v>
      </c>
    </row>
    <row r="855" ht="15.75" customHeight="1">
      <c r="A855" s="334" t="s">
        <v>8175</v>
      </c>
      <c r="B855" s="362">
        <v>46112.0</v>
      </c>
      <c r="C855" s="334" t="s">
        <v>536</v>
      </c>
      <c r="D855" s="334" t="s">
        <v>77</v>
      </c>
      <c r="E855" s="334" t="s">
        <v>496</v>
      </c>
      <c r="F855" s="334" t="s">
        <v>119</v>
      </c>
      <c r="G855" s="334" t="s">
        <v>8176</v>
      </c>
      <c r="I855" s="334">
        <v>1.5</v>
      </c>
      <c r="M855" s="344">
        <v>46112.27863425926</v>
      </c>
      <c r="N855" s="376">
        <v>1.0</v>
      </c>
    </row>
    <row r="856" ht="15.75" customHeight="1">
      <c r="A856" s="334" t="s">
        <v>8177</v>
      </c>
      <c r="B856" s="362">
        <v>46112.0</v>
      </c>
      <c r="C856" s="334" t="s">
        <v>536</v>
      </c>
      <c r="D856" s="334" t="s">
        <v>77</v>
      </c>
      <c r="E856" s="334" t="s">
        <v>496</v>
      </c>
      <c r="F856" s="334" t="s">
        <v>122</v>
      </c>
      <c r="G856" s="334" t="s">
        <v>8178</v>
      </c>
      <c r="I856" s="334">
        <v>2.5</v>
      </c>
      <c r="M856" s="344">
        <v>46112.27887731481</v>
      </c>
      <c r="N856" s="376">
        <v>1.0</v>
      </c>
    </row>
    <row r="857" ht="15.75" customHeight="1">
      <c r="A857" s="334" t="s">
        <v>8179</v>
      </c>
      <c r="B857" s="362">
        <v>46112.0</v>
      </c>
      <c r="C857" s="334" t="s">
        <v>536</v>
      </c>
      <c r="D857" s="334" t="s">
        <v>77</v>
      </c>
      <c r="E857" s="334" t="s">
        <v>496</v>
      </c>
      <c r="F857" s="334" t="s">
        <v>6999</v>
      </c>
      <c r="G857" s="334" t="s">
        <v>7141</v>
      </c>
      <c r="I857" s="334">
        <v>3.5</v>
      </c>
      <c r="M857" s="344">
        <v>46112.2791087963</v>
      </c>
      <c r="N857" s="376">
        <v>1.0</v>
      </c>
    </row>
    <row r="858" ht="15.75" customHeight="1">
      <c r="A858" s="334" t="s">
        <v>8180</v>
      </c>
      <c r="B858" s="362">
        <v>46112.0</v>
      </c>
      <c r="C858" s="334" t="s">
        <v>536</v>
      </c>
      <c r="D858" s="334" t="s">
        <v>77</v>
      </c>
      <c r="E858" s="334" t="s">
        <v>496</v>
      </c>
      <c r="F858" s="334" t="s">
        <v>8181</v>
      </c>
      <c r="G858" s="334" t="s">
        <v>8182</v>
      </c>
      <c r="I858" s="334">
        <v>1.0</v>
      </c>
      <c r="M858" s="344">
        <v>46112.27940972222</v>
      </c>
      <c r="N858" s="376">
        <v>1.0</v>
      </c>
    </row>
    <row r="859" ht="15.75" customHeight="1">
      <c r="A859" s="334" t="s">
        <v>8183</v>
      </c>
      <c r="B859" s="362">
        <v>46112.0</v>
      </c>
      <c r="C859" s="334" t="s">
        <v>9</v>
      </c>
      <c r="D859" s="334" t="s">
        <v>51</v>
      </c>
      <c r="E859" s="334" t="s">
        <v>458</v>
      </c>
      <c r="F859" s="334" t="s">
        <v>7296</v>
      </c>
      <c r="G859" s="334" t="s">
        <v>7909</v>
      </c>
      <c r="I859" s="334">
        <v>1.0</v>
      </c>
      <c r="M859" s="344">
        <v>46112.280277777776</v>
      </c>
      <c r="N859" s="376">
        <v>1.0</v>
      </c>
    </row>
    <row r="860" ht="15.75" customHeight="1">
      <c r="A860" s="334" t="s">
        <v>8184</v>
      </c>
      <c r="B860" s="362">
        <v>46112.0</v>
      </c>
      <c r="C860" s="334" t="s">
        <v>9</v>
      </c>
      <c r="D860" s="334" t="s">
        <v>47</v>
      </c>
      <c r="E860" s="334" t="s">
        <v>459</v>
      </c>
      <c r="F860" s="334" t="s">
        <v>7911</v>
      </c>
      <c r="G860" s="334" t="s">
        <v>7912</v>
      </c>
      <c r="I860" s="334">
        <v>1.0</v>
      </c>
      <c r="M860" s="344">
        <v>46112.28052083333</v>
      </c>
      <c r="N860" s="376">
        <v>1.0</v>
      </c>
    </row>
    <row r="861" ht="15.75" customHeight="1">
      <c r="A861" s="334" t="s">
        <v>8185</v>
      </c>
      <c r="B861" s="362">
        <v>46112.0</v>
      </c>
      <c r="C861" s="334" t="s">
        <v>9</v>
      </c>
      <c r="D861" s="334" t="s">
        <v>50</v>
      </c>
      <c r="E861" s="334" t="s">
        <v>460</v>
      </c>
      <c r="F861" s="334" t="s">
        <v>7914</v>
      </c>
      <c r="G861" s="334" t="s">
        <v>7915</v>
      </c>
      <c r="I861" s="334">
        <v>1.0</v>
      </c>
      <c r="M861" s="344">
        <v>46112.280706018515</v>
      </c>
      <c r="N861" s="376">
        <v>1.0</v>
      </c>
    </row>
    <row r="862" ht="15.75" customHeight="1">
      <c r="A862" s="334" t="s">
        <v>8186</v>
      </c>
      <c r="B862" s="362">
        <v>46112.0</v>
      </c>
      <c r="C862" s="334" t="s">
        <v>9</v>
      </c>
      <c r="D862" s="334" t="s">
        <v>49</v>
      </c>
      <c r="E862" s="334" t="s">
        <v>461</v>
      </c>
      <c r="F862" s="334" t="s">
        <v>7596</v>
      </c>
      <c r="G862" s="334" t="s">
        <v>7597</v>
      </c>
      <c r="I862" s="334">
        <v>1.0</v>
      </c>
      <c r="M862" s="344">
        <v>46112.28087962963</v>
      </c>
      <c r="N862" s="376">
        <v>1.0</v>
      </c>
    </row>
    <row r="863" ht="15.75" customHeight="1">
      <c r="A863" s="334" t="s">
        <v>8187</v>
      </c>
      <c r="B863" s="362">
        <v>46112.0</v>
      </c>
      <c r="C863" s="334" t="s">
        <v>9</v>
      </c>
      <c r="D863" s="334" t="s">
        <v>48</v>
      </c>
      <c r="E863" s="334" t="s">
        <v>462</v>
      </c>
      <c r="F863" s="334" t="s">
        <v>8036</v>
      </c>
      <c r="G863" s="334" t="s">
        <v>8037</v>
      </c>
      <c r="I863" s="334">
        <v>1.0</v>
      </c>
      <c r="M863" s="344">
        <v>46112.28109953704</v>
      </c>
      <c r="N863" s="376">
        <v>1.0</v>
      </c>
    </row>
    <row r="864" ht="15.75" customHeight="1">
      <c r="A864" s="334" t="s">
        <v>8188</v>
      </c>
      <c r="B864" s="362">
        <v>46112.0</v>
      </c>
      <c r="C864" s="334" t="s">
        <v>10</v>
      </c>
      <c r="D864" s="334" t="s">
        <v>47</v>
      </c>
      <c r="E864" s="334" t="s">
        <v>463</v>
      </c>
      <c r="F864" s="334" t="s">
        <v>6996</v>
      </c>
      <c r="G864" s="334" t="s">
        <v>6997</v>
      </c>
      <c r="I864" s="334">
        <v>1.0</v>
      </c>
      <c r="M864" s="344">
        <v>46112.28145833333</v>
      </c>
      <c r="N864" s="376">
        <v>1.0</v>
      </c>
    </row>
    <row r="865" ht="15.75" customHeight="1">
      <c r="A865" s="334" t="s">
        <v>8189</v>
      </c>
      <c r="B865" s="362">
        <v>46112.0</v>
      </c>
      <c r="C865" s="334" t="s">
        <v>10</v>
      </c>
      <c r="D865" s="334" t="s">
        <v>539</v>
      </c>
      <c r="E865" s="334" t="s">
        <v>465</v>
      </c>
      <c r="F865" s="334" t="s">
        <v>7974</v>
      </c>
      <c r="G865" s="334" t="s">
        <v>7975</v>
      </c>
      <c r="I865" s="334">
        <v>1.0</v>
      </c>
      <c r="M865" s="344">
        <v>46112.28196759259</v>
      </c>
      <c r="N865" s="376">
        <v>1.0</v>
      </c>
    </row>
    <row r="866" ht="15.75" customHeight="1">
      <c r="A866" s="334" t="s">
        <v>8190</v>
      </c>
      <c r="B866" s="362">
        <v>46112.0</v>
      </c>
      <c r="C866" s="334" t="s">
        <v>36</v>
      </c>
      <c r="D866" s="334" t="s">
        <v>1303</v>
      </c>
      <c r="E866" s="334" t="s">
        <v>469</v>
      </c>
      <c r="F866" s="334" t="s">
        <v>6996</v>
      </c>
      <c r="G866" s="334" t="s">
        <v>7002</v>
      </c>
      <c r="I866" s="334">
        <v>1.0</v>
      </c>
      <c r="M866" s="344">
        <v>46112.282222222224</v>
      </c>
      <c r="N866" s="376">
        <v>1.0</v>
      </c>
    </row>
    <row r="867" ht="15.75" customHeight="1">
      <c r="A867" s="334" t="s">
        <v>8191</v>
      </c>
      <c r="B867" s="362">
        <v>46112.0</v>
      </c>
      <c r="C867" s="334" t="s">
        <v>5</v>
      </c>
      <c r="D867" s="334" t="s">
        <v>46</v>
      </c>
      <c r="E867" s="334" t="s">
        <v>450</v>
      </c>
      <c r="F867" s="334" t="s">
        <v>7102</v>
      </c>
      <c r="G867" s="334" t="s">
        <v>7103</v>
      </c>
      <c r="I867" s="334">
        <v>1.0</v>
      </c>
      <c r="M867" s="344">
        <v>46112.28269675926</v>
      </c>
      <c r="N867" s="376">
        <v>1.0</v>
      </c>
    </row>
    <row r="868" ht="15.75" customHeight="1">
      <c r="A868" s="334" t="s">
        <v>8192</v>
      </c>
      <c r="B868" s="362">
        <v>46112.0</v>
      </c>
      <c r="C868" s="334" t="s">
        <v>5</v>
      </c>
      <c r="D868" s="334" t="s">
        <v>47</v>
      </c>
      <c r="E868" s="334" t="s">
        <v>451</v>
      </c>
      <c r="F868" s="334" t="s">
        <v>7105</v>
      </c>
      <c r="G868" s="334" t="s">
        <v>7106</v>
      </c>
      <c r="I868" s="334">
        <v>1.0</v>
      </c>
      <c r="M868" s="344">
        <v>46112.28283564815</v>
      </c>
      <c r="N868" s="376">
        <v>1.0</v>
      </c>
    </row>
    <row r="869" ht="15.75" customHeight="1">
      <c r="A869" s="334" t="s">
        <v>8193</v>
      </c>
      <c r="B869" s="362">
        <v>46112.0</v>
      </c>
      <c r="C869" s="334" t="s">
        <v>5</v>
      </c>
      <c r="D869" s="334" t="s">
        <v>6937</v>
      </c>
      <c r="E869" s="334" t="s">
        <v>6938</v>
      </c>
      <c r="F869" s="334" t="s">
        <v>130</v>
      </c>
      <c r="G869" s="334" t="s">
        <v>6939</v>
      </c>
      <c r="I869" s="334">
        <v>1.0</v>
      </c>
      <c r="M869" s="344">
        <v>46112.28295138889</v>
      </c>
      <c r="N869" s="376">
        <v>1.0</v>
      </c>
    </row>
    <row r="870" ht="15.75" customHeight="1">
      <c r="A870" s="377" t="s">
        <v>8194</v>
      </c>
      <c r="B870" s="362">
        <v>46112.0</v>
      </c>
      <c r="C870" s="334" t="s">
        <v>6</v>
      </c>
      <c r="D870" s="334" t="s">
        <v>48</v>
      </c>
      <c r="E870" s="334" t="s">
        <v>454</v>
      </c>
      <c r="F870" s="334" t="s">
        <v>7071</v>
      </c>
      <c r="G870" s="334" t="s">
        <v>7072</v>
      </c>
      <c r="I870" s="334">
        <v>1.0</v>
      </c>
      <c r="M870" s="344">
        <v>46112.283368055556</v>
      </c>
      <c r="N870" s="376">
        <v>1.0</v>
      </c>
    </row>
    <row r="871" ht="15.75" customHeight="1">
      <c r="A871" s="334" t="s">
        <v>8195</v>
      </c>
      <c r="B871" s="362">
        <v>46112.0</v>
      </c>
      <c r="C871" s="334" t="s">
        <v>7</v>
      </c>
      <c r="D871" s="334" t="s">
        <v>49</v>
      </c>
      <c r="E871" s="334" t="s">
        <v>455</v>
      </c>
      <c r="F871" s="334" t="s">
        <v>7074</v>
      </c>
      <c r="G871" s="334" t="s">
        <v>7075</v>
      </c>
      <c r="I871" s="334">
        <v>1.0</v>
      </c>
      <c r="M871" s="344">
        <v>46112.28365740741</v>
      </c>
      <c r="N871" s="376">
        <v>1.0</v>
      </c>
    </row>
    <row r="872" ht="15.75" customHeight="1">
      <c r="A872" s="334" t="s">
        <v>8196</v>
      </c>
      <c r="B872" s="362">
        <v>46112.0</v>
      </c>
      <c r="C872" s="334" t="s">
        <v>7</v>
      </c>
      <c r="D872" s="334" t="s">
        <v>46</v>
      </c>
      <c r="E872" s="334" t="s">
        <v>456</v>
      </c>
      <c r="F872" s="334" t="s">
        <v>7074</v>
      </c>
      <c r="G872" s="334" t="s">
        <v>7547</v>
      </c>
      <c r="I872" s="334">
        <v>1.0</v>
      </c>
      <c r="M872" s="344">
        <v>46112.28377314815</v>
      </c>
      <c r="N872" s="376">
        <v>1.0</v>
      </c>
    </row>
    <row r="873" ht="15.75" customHeight="1">
      <c r="A873" s="334" t="s">
        <v>8197</v>
      </c>
      <c r="B873" s="362">
        <v>46112.0</v>
      </c>
      <c r="C873" s="334" t="s">
        <v>531</v>
      </c>
      <c r="D873" s="334" t="s">
        <v>77</v>
      </c>
      <c r="E873" s="334" t="s">
        <v>449</v>
      </c>
      <c r="F873" s="334" t="s">
        <v>122</v>
      </c>
      <c r="G873" s="334" t="s">
        <v>8198</v>
      </c>
      <c r="I873" s="334">
        <v>2.5</v>
      </c>
      <c r="M873" s="344">
        <v>46112.28449074074</v>
      </c>
      <c r="N873" s="376">
        <v>1.0</v>
      </c>
    </row>
    <row r="874" ht="15.75" customHeight="1">
      <c r="A874" s="334" t="s">
        <v>8199</v>
      </c>
      <c r="B874" s="362">
        <v>46112.0</v>
      </c>
      <c r="C874" s="334" t="s">
        <v>531</v>
      </c>
      <c r="D874" s="334" t="s">
        <v>77</v>
      </c>
      <c r="E874" s="334" t="s">
        <v>449</v>
      </c>
      <c r="F874" s="334" t="s">
        <v>8200</v>
      </c>
      <c r="G874" s="334" t="s">
        <v>8201</v>
      </c>
      <c r="I874" s="334">
        <v>1.0</v>
      </c>
      <c r="M874" s="344">
        <v>46112.28488425926</v>
      </c>
      <c r="N874" s="376">
        <v>1.0</v>
      </c>
    </row>
    <row r="875" ht="15.75" customHeight="1">
      <c r="A875" s="334" t="s">
        <v>8202</v>
      </c>
      <c r="B875" s="362">
        <v>46112.0</v>
      </c>
      <c r="C875" s="334" t="s">
        <v>532</v>
      </c>
      <c r="D875" s="334" t="s">
        <v>77</v>
      </c>
      <c r="E875" s="334" t="s">
        <v>486</v>
      </c>
      <c r="F875" s="334" t="s">
        <v>111</v>
      </c>
      <c r="G875" s="334" t="s">
        <v>8203</v>
      </c>
      <c r="I875" s="334">
        <v>1.8</v>
      </c>
      <c r="M875" s="344">
        <v>46112.285162037035</v>
      </c>
      <c r="N875" s="376">
        <v>1.0</v>
      </c>
    </row>
    <row r="876" ht="15.75" customHeight="1">
      <c r="A876" s="334" t="s">
        <v>8204</v>
      </c>
      <c r="B876" s="362">
        <v>46112.0</v>
      </c>
      <c r="C876" s="334" t="s">
        <v>532</v>
      </c>
      <c r="D876" s="334" t="s">
        <v>77</v>
      </c>
      <c r="E876" s="334" t="s">
        <v>486</v>
      </c>
      <c r="F876" s="334" t="s">
        <v>119</v>
      </c>
      <c r="G876" s="334" t="s">
        <v>8205</v>
      </c>
      <c r="I876" s="334">
        <v>1.5</v>
      </c>
      <c r="M876" s="344">
        <v>46112.28543981481</v>
      </c>
      <c r="N876" s="376">
        <v>1.0</v>
      </c>
    </row>
    <row r="877" ht="15.75" customHeight="1">
      <c r="A877" s="334" t="s">
        <v>8206</v>
      </c>
      <c r="B877" s="362">
        <v>46112.0</v>
      </c>
      <c r="C877" s="334" t="s">
        <v>532</v>
      </c>
      <c r="D877" s="334" t="s">
        <v>77</v>
      </c>
      <c r="E877" s="334" t="s">
        <v>486</v>
      </c>
      <c r="F877" s="334" t="s">
        <v>122</v>
      </c>
      <c r="G877" s="334" t="s">
        <v>8207</v>
      </c>
      <c r="I877" s="334">
        <v>2.5</v>
      </c>
      <c r="M877" s="344">
        <v>46112.285729166666</v>
      </c>
      <c r="N877" s="376">
        <v>1.0</v>
      </c>
    </row>
    <row r="878" ht="15.75" customHeight="1">
      <c r="A878" s="334" t="s">
        <v>8208</v>
      </c>
      <c r="B878" s="362">
        <v>46112.0</v>
      </c>
      <c r="C878" s="334" t="s">
        <v>532</v>
      </c>
      <c r="D878" s="334" t="s">
        <v>77</v>
      </c>
      <c r="E878" s="334" t="s">
        <v>486</v>
      </c>
      <c r="F878" s="334" t="s">
        <v>8209</v>
      </c>
      <c r="G878" s="334" t="s">
        <v>8210</v>
      </c>
      <c r="I878" s="334">
        <v>1.0</v>
      </c>
      <c r="M878" s="344">
        <v>46112.28601851852</v>
      </c>
      <c r="N878" s="376">
        <v>1.0</v>
      </c>
    </row>
    <row r="879" ht="15.75" customHeight="1">
      <c r="A879" s="334" t="s">
        <v>8211</v>
      </c>
      <c r="B879" s="362">
        <v>46112.0</v>
      </c>
      <c r="C879" s="334" t="s">
        <v>12</v>
      </c>
      <c r="D879" s="334" t="s">
        <v>541</v>
      </c>
      <c r="E879" s="334" t="s">
        <v>492</v>
      </c>
      <c r="F879" s="334" t="s">
        <v>7011</v>
      </c>
      <c r="G879" s="334" t="s">
        <v>7892</v>
      </c>
      <c r="I879" s="334">
        <v>1.0</v>
      </c>
      <c r="M879" s="344">
        <v>46112.28711805555</v>
      </c>
      <c r="N879" s="376">
        <v>1.0</v>
      </c>
    </row>
    <row r="880" ht="15.75" customHeight="1">
      <c r="A880" s="334" t="s">
        <v>8212</v>
      </c>
      <c r="B880" s="362">
        <v>46112.0</v>
      </c>
      <c r="C880" s="334" t="s">
        <v>22</v>
      </c>
      <c r="D880" s="334" t="s">
        <v>47</v>
      </c>
      <c r="E880" s="334" t="s">
        <v>468</v>
      </c>
      <c r="F880" s="334" t="s">
        <v>7487</v>
      </c>
      <c r="G880" s="334" t="s">
        <v>7488</v>
      </c>
      <c r="I880" s="334">
        <v>1.0</v>
      </c>
      <c r="M880" s="344">
        <v>46112.28733796296</v>
      </c>
      <c r="N880" s="376">
        <v>1.0</v>
      </c>
    </row>
    <row r="881" ht="15.75" customHeight="1">
      <c r="A881" s="334" t="s">
        <v>8213</v>
      </c>
      <c r="B881" s="362">
        <v>46112.0</v>
      </c>
      <c r="C881" s="334" t="s">
        <v>11</v>
      </c>
      <c r="D881" s="334" t="s">
        <v>46</v>
      </c>
      <c r="E881" s="334" t="s">
        <v>488</v>
      </c>
      <c r="F881" s="334" t="s">
        <v>7094</v>
      </c>
      <c r="G881" s="334" t="s">
        <v>7095</v>
      </c>
      <c r="I881" s="334">
        <v>1.0</v>
      </c>
      <c r="M881" s="344">
        <v>46112.28761574074</v>
      </c>
      <c r="N881" s="376">
        <v>1.0</v>
      </c>
    </row>
    <row r="882" ht="15.75" customHeight="1">
      <c r="A882" s="334" t="s">
        <v>8214</v>
      </c>
      <c r="B882" s="362">
        <v>46112.0</v>
      </c>
      <c r="C882" s="334" t="s">
        <v>19</v>
      </c>
      <c r="D882" s="334" t="s">
        <v>61</v>
      </c>
      <c r="E882" s="334" t="s">
        <v>506</v>
      </c>
      <c r="F882" s="334" t="s">
        <v>116</v>
      </c>
      <c r="G882" s="334" t="s">
        <v>6980</v>
      </c>
      <c r="I882" s="334">
        <v>1.0</v>
      </c>
      <c r="M882" s="344">
        <v>46112.28807870371</v>
      </c>
      <c r="N882" s="376">
        <v>1.0</v>
      </c>
    </row>
    <row r="883" ht="15.75" customHeight="1">
      <c r="A883" s="334" t="s">
        <v>8215</v>
      </c>
      <c r="B883" s="362">
        <v>46112.0</v>
      </c>
      <c r="C883" s="334" t="s">
        <v>37</v>
      </c>
      <c r="D883" s="334" t="s">
        <v>48</v>
      </c>
      <c r="E883" s="334" t="s">
        <v>510</v>
      </c>
      <c r="F883" s="334" t="s">
        <v>7041</v>
      </c>
      <c r="G883" s="334" t="s">
        <v>7042</v>
      </c>
      <c r="I883" s="334">
        <v>1.5</v>
      </c>
      <c r="M883" s="344">
        <v>46112.28836805555</v>
      </c>
      <c r="N883" s="376">
        <v>1.0</v>
      </c>
    </row>
    <row r="884" ht="15.75" customHeight="1">
      <c r="A884" s="334" t="s">
        <v>8216</v>
      </c>
      <c r="B884" s="362">
        <v>46112.0</v>
      </c>
      <c r="C884" s="334" t="s">
        <v>15</v>
      </c>
      <c r="D884" s="334" t="s">
        <v>58</v>
      </c>
      <c r="E884" s="334" t="s">
        <v>499</v>
      </c>
      <c r="F884" s="334" t="s">
        <v>1199</v>
      </c>
      <c r="G884" s="334" t="s">
        <v>8217</v>
      </c>
      <c r="I884" s="334">
        <v>2.0</v>
      </c>
      <c r="M884" s="344">
        <v>46112.288611111115</v>
      </c>
      <c r="N884" s="376">
        <v>1.0</v>
      </c>
    </row>
    <row r="885" ht="15.75" customHeight="1">
      <c r="A885" s="334" t="s">
        <v>8218</v>
      </c>
      <c r="B885" s="362">
        <v>46112.0</v>
      </c>
      <c r="C885" s="334" t="s">
        <v>15</v>
      </c>
      <c r="D885" s="334" t="s">
        <v>58</v>
      </c>
      <c r="E885" s="334" t="s">
        <v>499</v>
      </c>
      <c r="F885" s="334" t="s">
        <v>8219</v>
      </c>
      <c r="G885" s="334" t="s">
        <v>8220</v>
      </c>
      <c r="I885" s="334">
        <v>1.5</v>
      </c>
      <c r="M885" s="344">
        <v>46112.2891087963</v>
      </c>
      <c r="N885" s="376">
        <v>1.0</v>
      </c>
    </row>
    <row r="886" ht="15.75" customHeight="1">
      <c r="A886" s="377" t="s">
        <v>8221</v>
      </c>
      <c r="B886" s="362">
        <v>46112.0</v>
      </c>
      <c r="C886" s="334" t="s">
        <v>15</v>
      </c>
      <c r="D886" s="334" t="s">
        <v>58</v>
      </c>
      <c r="E886" s="334" t="s">
        <v>499</v>
      </c>
      <c r="F886" s="334" t="s">
        <v>8222</v>
      </c>
      <c r="G886" s="334" t="s">
        <v>8223</v>
      </c>
      <c r="I886" s="334">
        <v>1.0</v>
      </c>
      <c r="M886" s="344">
        <v>46112.28989583333</v>
      </c>
      <c r="N886" s="376">
        <v>1.0</v>
      </c>
    </row>
    <row r="887" ht="15.75" customHeight="1">
      <c r="A887" s="334" t="s">
        <v>8224</v>
      </c>
      <c r="B887" s="362">
        <v>46112.0</v>
      </c>
      <c r="C887" s="334" t="s">
        <v>15</v>
      </c>
      <c r="D887" s="334" t="s">
        <v>46</v>
      </c>
      <c r="E887" s="334" t="s">
        <v>500</v>
      </c>
      <c r="F887" s="334" t="s">
        <v>1199</v>
      </c>
      <c r="G887" s="334" t="s">
        <v>8225</v>
      </c>
      <c r="I887" s="334">
        <v>2.0</v>
      </c>
      <c r="M887" s="344">
        <v>46112.29023148148</v>
      </c>
      <c r="N887" s="376">
        <v>1.0</v>
      </c>
    </row>
    <row r="888" ht="15.75" customHeight="1">
      <c r="A888" s="334" t="s">
        <v>8226</v>
      </c>
      <c r="B888" s="362">
        <v>46112.0</v>
      </c>
      <c r="C888" s="334" t="s">
        <v>15</v>
      </c>
      <c r="D888" s="334" t="s">
        <v>46</v>
      </c>
      <c r="E888" s="334" t="s">
        <v>500</v>
      </c>
      <c r="F888" s="334" t="s">
        <v>8227</v>
      </c>
      <c r="G888" s="334" t="s">
        <v>8228</v>
      </c>
      <c r="I888" s="334">
        <v>1.5</v>
      </c>
      <c r="M888" s="344">
        <v>46112.29047453704</v>
      </c>
      <c r="N888" s="376">
        <v>1.0</v>
      </c>
    </row>
    <row r="889" ht="15.75" customHeight="1">
      <c r="A889" s="334" t="s">
        <v>8229</v>
      </c>
      <c r="B889" s="362">
        <v>46112.0</v>
      </c>
      <c r="C889" s="334" t="s">
        <v>32</v>
      </c>
      <c r="D889" s="334" t="s">
        <v>52</v>
      </c>
      <c r="E889" s="334" t="s">
        <v>480</v>
      </c>
      <c r="F889" s="334" t="s">
        <v>116</v>
      </c>
      <c r="G889" s="334" t="s">
        <v>8160</v>
      </c>
      <c r="I889" s="334">
        <v>1.0</v>
      </c>
      <c r="M889" s="344">
        <v>46112.30635416666</v>
      </c>
      <c r="N889" s="376">
        <v>1.0</v>
      </c>
    </row>
    <row r="890" ht="15.75" customHeight="1">
      <c r="A890" s="334" t="s">
        <v>8230</v>
      </c>
      <c r="B890" s="362">
        <v>46112.0</v>
      </c>
      <c r="C890" s="334" t="s">
        <v>12</v>
      </c>
      <c r="D890" s="334" t="s">
        <v>50</v>
      </c>
      <c r="E890" s="334" t="s">
        <v>490</v>
      </c>
      <c r="F890" s="334" t="s">
        <v>7011</v>
      </c>
      <c r="G890" s="334" t="s">
        <v>7012</v>
      </c>
      <c r="I890" s="334">
        <v>1.0</v>
      </c>
      <c r="M890" s="344">
        <v>46112.36116898148</v>
      </c>
      <c r="N890" s="376">
        <v>1.0</v>
      </c>
    </row>
    <row r="891" ht="15.75" customHeight="1">
      <c r="A891" s="334" t="s">
        <v>8231</v>
      </c>
      <c r="B891" s="362">
        <v>46112.0</v>
      </c>
      <c r="C891" s="334" t="s">
        <v>6</v>
      </c>
      <c r="D891" s="334" t="s">
        <v>48</v>
      </c>
      <c r="E891" s="334" t="s">
        <v>454</v>
      </c>
      <c r="F891" s="334" t="s">
        <v>1237</v>
      </c>
      <c r="G891" s="334" t="s">
        <v>7781</v>
      </c>
      <c r="I891" s="334">
        <v>1.5</v>
      </c>
      <c r="M891" s="344">
        <v>46112.37695601852</v>
      </c>
      <c r="N891" s="376">
        <v>1.0</v>
      </c>
    </row>
    <row r="892" ht="15.75" customHeight="1">
      <c r="A892" s="334" t="s">
        <v>8232</v>
      </c>
      <c r="B892" s="362">
        <v>46112.0</v>
      </c>
      <c r="C892" s="334" t="s">
        <v>34</v>
      </c>
      <c r="D892" s="334" t="s">
        <v>48</v>
      </c>
      <c r="E892" s="334" t="s">
        <v>482</v>
      </c>
      <c r="F892" s="334" t="s">
        <v>130</v>
      </c>
      <c r="G892" s="334" t="s">
        <v>8068</v>
      </c>
      <c r="I892" s="334">
        <v>1.0</v>
      </c>
      <c r="M892" s="344">
        <v>46112.37841435185</v>
      </c>
      <c r="N892" s="376">
        <v>1.0</v>
      </c>
    </row>
    <row r="893" ht="15.75" customHeight="1">
      <c r="A893" s="334" t="s">
        <v>8233</v>
      </c>
      <c r="B893" s="362">
        <v>46112.0</v>
      </c>
      <c r="C893" s="334" t="s">
        <v>31</v>
      </c>
      <c r="D893" s="334" t="s">
        <v>64</v>
      </c>
      <c r="E893" s="334" t="s">
        <v>478</v>
      </c>
      <c r="F893" s="334" t="s">
        <v>116</v>
      </c>
      <c r="G893" s="334" t="s">
        <v>7337</v>
      </c>
      <c r="I893" s="334">
        <v>1.0</v>
      </c>
      <c r="M893" s="344">
        <v>46112.37881944444</v>
      </c>
      <c r="N893" s="376">
        <v>1.0</v>
      </c>
    </row>
    <row r="894" ht="15.75" customHeight="1">
      <c r="A894" s="334" t="s">
        <v>8234</v>
      </c>
      <c r="B894" s="362">
        <v>46112.0</v>
      </c>
      <c r="C894" s="334" t="s">
        <v>14</v>
      </c>
      <c r="D894" s="334" t="s">
        <v>48</v>
      </c>
      <c r="E894" s="334" t="s">
        <v>498</v>
      </c>
      <c r="F894" s="334" t="s">
        <v>7019</v>
      </c>
      <c r="G894" s="334" t="s">
        <v>7020</v>
      </c>
      <c r="I894" s="334">
        <v>1.0</v>
      </c>
      <c r="M894" s="344">
        <v>46112.38784722222</v>
      </c>
      <c r="N894" s="376">
        <v>1.0</v>
      </c>
    </row>
    <row r="895" ht="15.75" customHeight="1">
      <c r="A895" s="334" t="s">
        <v>8235</v>
      </c>
      <c r="B895" s="362">
        <v>46113.0</v>
      </c>
      <c r="C895" s="334" t="s">
        <v>12</v>
      </c>
      <c r="D895" s="334" t="s">
        <v>541</v>
      </c>
      <c r="E895" s="334" t="s">
        <v>492</v>
      </c>
      <c r="F895" s="334" t="s">
        <v>7011</v>
      </c>
      <c r="G895" s="334" t="s">
        <v>7892</v>
      </c>
      <c r="I895" s="334">
        <v>-0.5</v>
      </c>
      <c r="M895" s="344">
        <v>46112.574594907404</v>
      </c>
      <c r="N895" s="376">
        <v>1.0</v>
      </c>
    </row>
    <row r="896" ht="15.75" customHeight="1">
      <c r="A896" s="334" t="s">
        <v>8236</v>
      </c>
      <c r="B896" s="362">
        <v>46113.0</v>
      </c>
      <c r="C896" s="334" t="s">
        <v>534</v>
      </c>
      <c r="D896" s="334" t="s">
        <v>46</v>
      </c>
      <c r="E896" s="334" t="s">
        <v>489</v>
      </c>
      <c r="F896" s="334" t="s">
        <v>6999</v>
      </c>
      <c r="G896" s="334" t="s">
        <v>7719</v>
      </c>
      <c r="I896" s="334">
        <v>1.0</v>
      </c>
      <c r="M896" s="344">
        <v>46113.267372685186</v>
      </c>
      <c r="N896" s="376">
        <v>1.0</v>
      </c>
    </row>
    <row r="897" ht="15.75" customHeight="1">
      <c r="A897" s="334" t="s">
        <v>8237</v>
      </c>
      <c r="B897" s="362">
        <v>46113.0</v>
      </c>
      <c r="C897" s="334" t="s">
        <v>12</v>
      </c>
      <c r="D897" s="334" t="s">
        <v>53</v>
      </c>
      <c r="E897" s="334" t="s">
        <v>491</v>
      </c>
      <c r="F897" s="334" t="s">
        <v>7048</v>
      </c>
      <c r="G897" s="334" t="s">
        <v>7132</v>
      </c>
      <c r="I897" s="334">
        <v>2.0</v>
      </c>
      <c r="M897" s="344">
        <v>46113.2678125</v>
      </c>
      <c r="N897" s="376">
        <v>1.0</v>
      </c>
    </row>
    <row r="898" ht="15.75" customHeight="1">
      <c r="A898" s="334" t="s">
        <v>8238</v>
      </c>
      <c r="B898" s="362">
        <v>46113.0</v>
      </c>
      <c r="C898" s="334" t="s">
        <v>12</v>
      </c>
      <c r="D898" s="334" t="s">
        <v>53</v>
      </c>
      <c r="E898" s="334" t="s">
        <v>491</v>
      </c>
      <c r="F898" s="334" t="s">
        <v>7168</v>
      </c>
      <c r="G898" s="334" t="s">
        <v>7169</v>
      </c>
      <c r="I898" s="334">
        <v>1.5</v>
      </c>
      <c r="M898" s="344">
        <v>46113.26818287037</v>
      </c>
      <c r="N898" s="376">
        <v>1.0</v>
      </c>
    </row>
    <row r="899" ht="15.75" customHeight="1">
      <c r="A899" s="334" t="s">
        <v>8239</v>
      </c>
      <c r="B899" s="362">
        <v>46113.0</v>
      </c>
      <c r="C899" s="334" t="s">
        <v>31</v>
      </c>
      <c r="D899" s="334" t="s">
        <v>47</v>
      </c>
      <c r="E899" s="334" t="s">
        <v>477</v>
      </c>
      <c r="F899" s="334" t="s">
        <v>130</v>
      </c>
      <c r="G899" s="334" t="s">
        <v>7685</v>
      </c>
      <c r="I899" s="334">
        <v>1.0</v>
      </c>
      <c r="M899" s="344">
        <v>46113.2687037037</v>
      </c>
      <c r="N899" s="376">
        <v>1.0</v>
      </c>
    </row>
    <row r="900" ht="15.75" customHeight="1">
      <c r="A900" s="334" t="s">
        <v>8240</v>
      </c>
      <c r="B900" s="362">
        <v>46113.0</v>
      </c>
      <c r="C900" s="334" t="s">
        <v>14</v>
      </c>
      <c r="D900" s="334" t="s">
        <v>46</v>
      </c>
      <c r="E900" s="334" t="s">
        <v>497</v>
      </c>
      <c r="F900" s="334" t="s">
        <v>7016</v>
      </c>
      <c r="G900" s="334" t="s">
        <v>7017</v>
      </c>
      <c r="I900" s="334">
        <v>1.5</v>
      </c>
      <c r="M900" s="344">
        <v>46113.26913194444</v>
      </c>
      <c r="N900" s="376">
        <v>1.0</v>
      </c>
    </row>
    <row r="901" ht="15.75" customHeight="1">
      <c r="A901" s="334" t="s">
        <v>8241</v>
      </c>
      <c r="B901" s="362">
        <v>46113.0</v>
      </c>
      <c r="C901" s="334" t="s">
        <v>14</v>
      </c>
      <c r="D901" s="334" t="s">
        <v>46</v>
      </c>
      <c r="E901" s="334" t="s">
        <v>497</v>
      </c>
      <c r="F901" s="334" t="s">
        <v>7119</v>
      </c>
      <c r="G901" s="334" t="s">
        <v>7120</v>
      </c>
      <c r="I901" s="334">
        <v>2.0</v>
      </c>
      <c r="M901" s="344">
        <v>46113.26961805556</v>
      </c>
      <c r="N901" s="376">
        <v>1.0</v>
      </c>
    </row>
    <row r="902" ht="15.75" customHeight="1">
      <c r="A902" s="334" t="s">
        <v>8242</v>
      </c>
      <c r="B902" s="362">
        <v>46113.0</v>
      </c>
      <c r="C902" s="334" t="s">
        <v>537</v>
      </c>
      <c r="D902" s="334" t="s">
        <v>7162</v>
      </c>
      <c r="E902" s="334" t="s">
        <v>7163</v>
      </c>
      <c r="F902" s="334" t="s">
        <v>575</v>
      </c>
      <c r="G902" s="334" t="s">
        <v>8243</v>
      </c>
      <c r="I902" s="334">
        <v>1.0</v>
      </c>
      <c r="M902" s="344">
        <v>46113.27048611111</v>
      </c>
      <c r="N902" s="376">
        <v>1.0</v>
      </c>
    </row>
    <row r="903" ht="15.75" customHeight="1">
      <c r="A903" s="334" t="s">
        <v>8244</v>
      </c>
      <c r="B903" s="362">
        <v>46113.0</v>
      </c>
      <c r="C903" s="334" t="s">
        <v>537</v>
      </c>
      <c r="D903" s="334" t="s">
        <v>59</v>
      </c>
      <c r="E903" s="334" t="s">
        <v>501</v>
      </c>
      <c r="F903" s="334" t="s">
        <v>1199</v>
      </c>
      <c r="G903" s="334" t="s">
        <v>7775</v>
      </c>
      <c r="I903" s="334">
        <v>1.5</v>
      </c>
      <c r="M903" s="344">
        <v>46113.270833333336</v>
      </c>
      <c r="N903" s="376">
        <v>1.0</v>
      </c>
    </row>
    <row r="904" ht="15.75" customHeight="1">
      <c r="A904" s="334" t="s">
        <v>8245</v>
      </c>
      <c r="B904" s="362">
        <v>46113.0</v>
      </c>
      <c r="C904" s="334" t="s">
        <v>537</v>
      </c>
      <c r="D904" s="334" t="s">
        <v>7031</v>
      </c>
      <c r="E904" s="334" t="s">
        <v>7032</v>
      </c>
      <c r="F904" s="334" t="s">
        <v>7415</v>
      </c>
      <c r="G904" s="334" t="s">
        <v>7777</v>
      </c>
      <c r="I904" s="334">
        <v>1.5</v>
      </c>
      <c r="M904" s="344">
        <v>46113.27111111111</v>
      </c>
      <c r="N904" s="376">
        <v>1.0</v>
      </c>
    </row>
    <row r="905" ht="15.75" customHeight="1">
      <c r="A905" s="334" t="s">
        <v>8246</v>
      </c>
      <c r="B905" s="362">
        <v>46113.0</v>
      </c>
      <c r="C905" s="334" t="s">
        <v>28</v>
      </c>
      <c r="D905" s="334" t="s">
        <v>52</v>
      </c>
      <c r="E905" s="334" t="s">
        <v>493</v>
      </c>
      <c r="F905" s="334" t="s">
        <v>7008</v>
      </c>
      <c r="G905" s="334" t="s">
        <v>7009</v>
      </c>
      <c r="I905" s="334">
        <v>1.0</v>
      </c>
      <c r="M905" s="344">
        <v>46113.4562037037</v>
      </c>
      <c r="N905" s="376">
        <v>1.0</v>
      </c>
    </row>
    <row r="906" ht="15.75" customHeight="1">
      <c r="A906" s="334" t="s">
        <v>8247</v>
      </c>
      <c r="B906" s="362">
        <v>46112.0</v>
      </c>
      <c r="C906" s="334" t="s">
        <v>5</v>
      </c>
      <c r="D906" s="334" t="s">
        <v>46</v>
      </c>
      <c r="E906" s="334" t="s">
        <v>450</v>
      </c>
      <c r="F906" s="334" t="s">
        <v>116</v>
      </c>
      <c r="G906" s="334" t="s">
        <v>7287</v>
      </c>
      <c r="I906" s="334">
        <v>-3.2</v>
      </c>
      <c r="M906" s="344">
        <v>46114.49903935185</v>
      </c>
      <c r="N906" s="376">
        <v>1.0</v>
      </c>
    </row>
    <row r="907" ht="15.75" customHeight="1">
      <c r="A907" s="334" t="s">
        <v>8248</v>
      </c>
      <c r="B907" s="362">
        <v>46112.0</v>
      </c>
      <c r="C907" s="334" t="s">
        <v>5</v>
      </c>
      <c r="D907" s="334" t="s">
        <v>46</v>
      </c>
      <c r="E907" s="334" t="s">
        <v>450</v>
      </c>
      <c r="F907" s="334" t="s">
        <v>119</v>
      </c>
      <c r="G907" s="334" t="s">
        <v>8249</v>
      </c>
      <c r="I907" s="334">
        <v>6.2</v>
      </c>
      <c r="M907" s="344">
        <v>46114.49940972222</v>
      </c>
      <c r="N907" s="376">
        <v>1.0</v>
      </c>
    </row>
    <row r="908" ht="15.75" customHeight="1">
      <c r="A908" s="334" t="s">
        <v>8250</v>
      </c>
      <c r="B908" s="362">
        <v>46112.0</v>
      </c>
      <c r="C908" s="334" t="s">
        <v>5</v>
      </c>
      <c r="D908" s="334" t="s">
        <v>46</v>
      </c>
      <c r="E908" s="334" t="s">
        <v>450</v>
      </c>
      <c r="F908" s="334" t="s">
        <v>122</v>
      </c>
      <c r="G908" s="334" t="s">
        <v>8251</v>
      </c>
      <c r="I908" s="334">
        <v>12.2</v>
      </c>
      <c r="M908" s="344">
        <v>46114.49998842592</v>
      </c>
      <c r="N908" s="376">
        <v>1.0</v>
      </c>
    </row>
    <row r="909" ht="15.75" customHeight="1">
      <c r="A909" s="334" t="s">
        <v>8252</v>
      </c>
      <c r="B909" s="362">
        <v>46112.0</v>
      </c>
      <c r="C909" s="334" t="s">
        <v>5</v>
      </c>
      <c r="D909" s="334" t="s">
        <v>46</v>
      </c>
      <c r="E909" s="334" t="s">
        <v>450</v>
      </c>
      <c r="F909" s="334" t="s">
        <v>116</v>
      </c>
      <c r="G909" s="334" t="s">
        <v>7287</v>
      </c>
      <c r="I909" s="334">
        <v>6.4</v>
      </c>
      <c r="M909" s="344">
        <v>46114.50035879629</v>
      </c>
      <c r="N909" s="376">
        <v>1.0</v>
      </c>
    </row>
    <row r="910" ht="15.75" customHeight="1">
      <c r="A910" s="334" t="s">
        <v>8253</v>
      </c>
      <c r="B910" s="362">
        <v>46115.0</v>
      </c>
      <c r="C910" s="334" t="s">
        <v>13</v>
      </c>
      <c r="D910" s="334" t="s">
        <v>49</v>
      </c>
      <c r="E910" s="334" t="s">
        <v>467</v>
      </c>
      <c r="F910" s="334" t="s">
        <v>130</v>
      </c>
      <c r="G910" s="334" t="s">
        <v>7086</v>
      </c>
      <c r="I910" s="334">
        <v>1.0</v>
      </c>
      <c r="M910" s="344">
        <v>46114.69888888889</v>
      </c>
      <c r="N910" s="376">
        <v>1.0</v>
      </c>
    </row>
    <row r="911" ht="15.75" customHeight="1">
      <c r="A911" s="334" t="s">
        <v>8254</v>
      </c>
      <c r="B911" s="362">
        <v>46119.0</v>
      </c>
      <c r="C911" s="334" t="s">
        <v>531</v>
      </c>
      <c r="D911" s="334" t="s">
        <v>77</v>
      </c>
      <c r="E911" s="334" t="s">
        <v>449</v>
      </c>
      <c r="F911" s="334" t="s">
        <v>6983</v>
      </c>
      <c r="G911" s="334" t="s">
        <v>7065</v>
      </c>
      <c r="I911" s="334">
        <v>1.0</v>
      </c>
      <c r="M911" s="344">
        <v>46119.27657407407</v>
      </c>
      <c r="N911" s="376">
        <v>1.0</v>
      </c>
    </row>
    <row r="912" ht="15.75" customHeight="1">
      <c r="A912" s="334" t="s">
        <v>8255</v>
      </c>
      <c r="B912" s="362">
        <v>46119.0</v>
      </c>
      <c r="C912" s="334" t="s">
        <v>532</v>
      </c>
      <c r="D912" s="334" t="s">
        <v>77</v>
      </c>
      <c r="E912" s="334" t="s">
        <v>486</v>
      </c>
      <c r="F912" s="334" t="s">
        <v>7078</v>
      </c>
      <c r="G912" s="334" t="s">
        <v>7079</v>
      </c>
      <c r="I912" s="334">
        <v>1.0</v>
      </c>
      <c r="M912" s="344">
        <v>46119.27693287037</v>
      </c>
      <c r="N912" s="376">
        <v>1.0</v>
      </c>
    </row>
    <row r="913" ht="15.75" customHeight="1">
      <c r="A913" s="334" t="s">
        <v>8256</v>
      </c>
      <c r="B913" s="362">
        <v>46119.0</v>
      </c>
      <c r="C913" s="334" t="s">
        <v>535</v>
      </c>
      <c r="D913" s="334" t="s">
        <v>77</v>
      </c>
      <c r="E913" s="334" t="s">
        <v>495</v>
      </c>
      <c r="F913" s="334" t="s">
        <v>6983</v>
      </c>
      <c r="G913" s="334" t="s">
        <v>6986</v>
      </c>
      <c r="I913" s="334">
        <v>1.0</v>
      </c>
      <c r="M913" s="344">
        <v>46119.27715277778</v>
      </c>
      <c r="N913" s="376">
        <v>1.0</v>
      </c>
    </row>
    <row r="914" ht="15.75" customHeight="1">
      <c r="A914" s="334" t="s">
        <v>8257</v>
      </c>
      <c r="B914" s="362">
        <v>46119.0</v>
      </c>
      <c r="C914" s="334" t="s">
        <v>536</v>
      </c>
      <c r="D914" s="334" t="s">
        <v>77</v>
      </c>
      <c r="E914" s="334" t="s">
        <v>496</v>
      </c>
      <c r="F914" s="334" t="s">
        <v>6988</v>
      </c>
      <c r="G914" s="334" t="s">
        <v>6989</v>
      </c>
      <c r="I914" s="334">
        <v>1.0</v>
      </c>
      <c r="M914" s="344">
        <v>46119.27732638889</v>
      </c>
      <c r="N914" s="376">
        <v>1.0</v>
      </c>
    </row>
    <row r="915" ht="15.75" customHeight="1">
      <c r="A915" s="334" t="s">
        <v>8258</v>
      </c>
      <c r="B915" s="362">
        <v>46119.0</v>
      </c>
      <c r="C915" s="334" t="s">
        <v>5</v>
      </c>
      <c r="D915" s="334" t="s">
        <v>46</v>
      </c>
      <c r="E915" s="334" t="s">
        <v>450</v>
      </c>
      <c r="F915" s="334" t="s">
        <v>7102</v>
      </c>
      <c r="G915" s="334" t="s">
        <v>7103</v>
      </c>
      <c r="I915" s="334">
        <v>1.0</v>
      </c>
      <c r="M915" s="344">
        <v>46119.27751157407</v>
      </c>
      <c r="N915" s="376">
        <v>1.0</v>
      </c>
    </row>
    <row r="916" ht="15.75" customHeight="1">
      <c r="A916" s="334" t="s">
        <v>8259</v>
      </c>
      <c r="B916" s="362">
        <v>46119.0</v>
      </c>
      <c r="C916" s="334" t="s">
        <v>5</v>
      </c>
      <c r="D916" s="334" t="s">
        <v>47</v>
      </c>
      <c r="E916" s="334" t="s">
        <v>451</v>
      </c>
      <c r="F916" s="334" t="s">
        <v>7105</v>
      </c>
      <c r="G916" s="334" t="s">
        <v>7106</v>
      </c>
      <c r="I916" s="334">
        <v>1.0</v>
      </c>
      <c r="M916" s="344">
        <v>46119.27767361111</v>
      </c>
      <c r="N916" s="376">
        <v>1.0</v>
      </c>
    </row>
    <row r="917" ht="15.75" customHeight="1">
      <c r="A917" s="334" t="s">
        <v>8260</v>
      </c>
      <c r="B917" s="362">
        <v>46119.0</v>
      </c>
      <c r="C917" s="334" t="s">
        <v>5</v>
      </c>
      <c r="D917" s="334" t="s">
        <v>6937</v>
      </c>
      <c r="E917" s="334" t="s">
        <v>6938</v>
      </c>
      <c r="F917" s="334" t="s">
        <v>130</v>
      </c>
      <c r="G917" s="334" t="s">
        <v>6939</v>
      </c>
      <c r="I917" s="334">
        <v>1.0</v>
      </c>
      <c r="M917" s="344">
        <v>46119.27787037037</v>
      </c>
      <c r="N917" s="376">
        <v>1.0</v>
      </c>
    </row>
    <row r="918" ht="15.75" customHeight="1">
      <c r="A918" s="334" t="s">
        <v>8261</v>
      </c>
      <c r="B918" s="362">
        <v>46119.0</v>
      </c>
      <c r="C918" s="334" t="s">
        <v>534</v>
      </c>
      <c r="D918" s="334" t="s">
        <v>46</v>
      </c>
      <c r="E918" s="334" t="s">
        <v>489</v>
      </c>
      <c r="F918" s="334" t="s">
        <v>6999</v>
      </c>
      <c r="G918" s="334" t="s">
        <v>7719</v>
      </c>
      <c r="I918" s="334">
        <v>1.0</v>
      </c>
      <c r="M918" s="344">
        <v>46119.27819444444</v>
      </c>
      <c r="N918" s="376">
        <v>1.0</v>
      </c>
    </row>
    <row r="919" ht="15.75" customHeight="1">
      <c r="A919" s="334" t="s">
        <v>8262</v>
      </c>
      <c r="B919" s="362">
        <v>46119.0</v>
      </c>
      <c r="C919" s="334" t="s">
        <v>11</v>
      </c>
      <c r="D919" s="334" t="s">
        <v>46</v>
      </c>
      <c r="E919" s="334" t="s">
        <v>488</v>
      </c>
      <c r="F919" s="334" t="s">
        <v>7094</v>
      </c>
      <c r="G919" s="334" t="s">
        <v>7095</v>
      </c>
      <c r="I919" s="334">
        <v>1.0</v>
      </c>
      <c r="M919" s="344">
        <v>46119.278657407405</v>
      </c>
      <c r="N919" s="376">
        <v>1.0</v>
      </c>
    </row>
    <row r="920" ht="15.75" customHeight="1">
      <c r="A920" s="334" t="s">
        <v>8263</v>
      </c>
      <c r="B920" s="362">
        <v>46119.0</v>
      </c>
      <c r="C920" s="334" t="s">
        <v>19</v>
      </c>
      <c r="D920" s="334" t="s">
        <v>61</v>
      </c>
      <c r="E920" s="334" t="s">
        <v>506</v>
      </c>
      <c r="F920" s="334" t="s">
        <v>116</v>
      </c>
      <c r="G920" s="334" t="s">
        <v>6980</v>
      </c>
      <c r="I920" s="334">
        <v>1.0</v>
      </c>
      <c r="M920" s="344">
        <v>46119.27909722222</v>
      </c>
      <c r="N920" s="376">
        <v>1.0</v>
      </c>
    </row>
    <row r="921" ht="15.75" customHeight="1">
      <c r="A921" s="334" t="s">
        <v>8264</v>
      </c>
      <c r="B921" s="362">
        <v>46119.0</v>
      </c>
      <c r="C921" s="334" t="s">
        <v>9</v>
      </c>
      <c r="D921" s="334" t="s">
        <v>51</v>
      </c>
      <c r="E921" s="334" t="s">
        <v>458</v>
      </c>
      <c r="F921" s="334" t="s">
        <v>7296</v>
      </c>
      <c r="G921" s="334" t="s">
        <v>7909</v>
      </c>
      <c r="I921" s="334">
        <v>1.0</v>
      </c>
      <c r="M921" s="344">
        <v>46119.2794212963</v>
      </c>
      <c r="N921" s="376">
        <v>1.0</v>
      </c>
    </row>
    <row r="922" ht="15.75" customHeight="1">
      <c r="A922" s="334" t="s">
        <v>8265</v>
      </c>
      <c r="B922" s="362">
        <v>46119.0</v>
      </c>
      <c r="C922" s="334" t="s">
        <v>9</v>
      </c>
      <c r="D922" s="334" t="s">
        <v>47</v>
      </c>
      <c r="E922" s="334" t="s">
        <v>459</v>
      </c>
      <c r="F922" s="334" t="s">
        <v>7911</v>
      </c>
      <c r="G922" s="334" t="s">
        <v>7912</v>
      </c>
      <c r="I922" s="334">
        <v>1.0</v>
      </c>
      <c r="M922" s="344">
        <v>46119.27962962963</v>
      </c>
      <c r="N922" s="376">
        <v>1.0</v>
      </c>
    </row>
    <row r="923" ht="15.75" customHeight="1">
      <c r="A923" s="334" t="s">
        <v>8266</v>
      </c>
      <c r="B923" s="362">
        <v>46119.0</v>
      </c>
      <c r="C923" s="334" t="s">
        <v>9</v>
      </c>
      <c r="D923" s="334" t="s">
        <v>50</v>
      </c>
      <c r="E923" s="334" t="s">
        <v>460</v>
      </c>
      <c r="F923" s="334" t="s">
        <v>7914</v>
      </c>
      <c r="G923" s="334" t="s">
        <v>7915</v>
      </c>
      <c r="I923" s="334">
        <v>1.0</v>
      </c>
      <c r="M923" s="344">
        <v>46119.27983796296</v>
      </c>
      <c r="N923" s="376">
        <v>1.0</v>
      </c>
    </row>
    <row r="924" ht="15.75" customHeight="1">
      <c r="A924" s="334" t="s">
        <v>8267</v>
      </c>
      <c r="B924" s="362">
        <v>46119.0</v>
      </c>
      <c r="C924" s="334" t="s">
        <v>9</v>
      </c>
      <c r="D924" s="334" t="s">
        <v>49</v>
      </c>
      <c r="E924" s="334" t="s">
        <v>461</v>
      </c>
      <c r="F924" s="334" t="s">
        <v>7596</v>
      </c>
      <c r="G924" s="334" t="s">
        <v>7597</v>
      </c>
      <c r="I924" s="334">
        <v>1.0</v>
      </c>
      <c r="M924" s="344">
        <v>46119.28010416667</v>
      </c>
      <c r="N924" s="376">
        <v>1.0</v>
      </c>
    </row>
    <row r="925" ht="15.75" customHeight="1">
      <c r="A925" s="334" t="s">
        <v>8268</v>
      </c>
      <c r="B925" s="362">
        <v>46119.0</v>
      </c>
      <c r="C925" s="334" t="s">
        <v>9</v>
      </c>
      <c r="D925" s="334" t="s">
        <v>48</v>
      </c>
      <c r="E925" s="334" t="s">
        <v>462</v>
      </c>
      <c r="F925" s="334" t="s">
        <v>8036</v>
      </c>
      <c r="G925" s="334" t="s">
        <v>8037</v>
      </c>
      <c r="I925" s="334">
        <v>1.0</v>
      </c>
      <c r="M925" s="344">
        <v>46119.280277777776</v>
      </c>
      <c r="N925" s="376">
        <v>1.0</v>
      </c>
    </row>
    <row r="926" ht="15.75" customHeight="1">
      <c r="A926" s="334" t="s">
        <v>8269</v>
      </c>
      <c r="B926" s="362">
        <v>46119.0</v>
      </c>
      <c r="C926" s="334" t="s">
        <v>10</v>
      </c>
      <c r="D926" s="334" t="s">
        <v>47</v>
      </c>
      <c r="E926" s="334" t="s">
        <v>463</v>
      </c>
      <c r="F926" s="334" t="s">
        <v>6996</v>
      </c>
      <c r="G926" s="334" t="s">
        <v>6997</v>
      </c>
      <c r="I926" s="334">
        <v>1.0</v>
      </c>
      <c r="M926" s="344">
        <v>46119.280590277776</v>
      </c>
      <c r="N926" s="376">
        <v>1.0</v>
      </c>
    </row>
    <row r="927" ht="15.75" customHeight="1">
      <c r="A927" s="334" t="s">
        <v>8270</v>
      </c>
      <c r="B927" s="362">
        <v>46119.0</v>
      </c>
      <c r="C927" s="334" t="s">
        <v>10</v>
      </c>
      <c r="D927" s="334" t="s">
        <v>46</v>
      </c>
      <c r="E927" s="334" t="s">
        <v>464</v>
      </c>
      <c r="F927" s="334" t="s">
        <v>149</v>
      </c>
      <c r="G927" s="334" t="s">
        <v>7461</v>
      </c>
      <c r="I927" s="334">
        <v>1.0</v>
      </c>
      <c r="M927" s="344">
        <v>46119.280752314815</v>
      </c>
      <c r="N927" s="376">
        <v>1.0</v>
      </c>
    </row>
    <row r="928" ht="15.75" customHeight="1">
      <c r="A928" s="334" t="s">
        <v>8271</v>
      </c>
      <c r="B928" s="362">
        <v>46119.0</v>
      </c>
      <c r="C928" s="334" t="s">
        <v>10</v>
      </c>
      <c r="D928" s="334" t="s">
        <v>539</v>
      </c>
      <c r="E928" s="334" t="s">
        <v>465</v>
      </c>
      <c r="F928" s="334" t="s">
        <v>7974</v>
      </c>
      <c r="G928" s="334" t="s">
        <v>7975</v>
      </c>
      <c r="I928" s="334">
        <v>1.0</v>
      </c>
      <c r="M928" s="344">
        <v>46119.28105324074</v>
      </c>
      <c r="N928" s="376">
        <v>1.0</v>
      </c>
    </row>
    <row r="929" ht="15.75" customHeight="1">
      <c r="A929" s="334" t="s">
        <v>8272</v>
      </c>
      <c r="B929" s="362">
        <v>46119.0</v>
      </c>
      <c r="C929" s="334" t="s">
        <v>36</v>
      </c>
      <c r="D929" s="334" t="s">
        <v>1303</v>
      </c>
      <c r="E929" s="334" t="s">
        <v>469</v>
      </c>
      <c r="F929" s="334" t="s">
        <v>6996</v>
      </c>
      <c r="G929" s="334" t="s">
        <v>7002</v>
      </c>
      <c r="I929" s="334">
        <v>1.0</v>
      </c>
      <c r="M929" s="344">
        <v>46119.28155092592</v>
      </c>
      <c r="N929" s="376">
        <v>1.0</v>
      </c>
    </row>
    <row r="930" ht="15.75" customHeight="1">
      <c r="A930" s="334" t="s">
        <v>8273</v>
      </c>
      <c r="B930" s="362">
        <v>46119.0</v>
      </c>
      <c r="C930" s="334" t="s">
        <v>12</v>
      </c>
      <c r="D930" s="334" t="s">
        <v>50</v>
      </c>
      <c r="E930" s="334" t="s">
        <v>490</v>
      </c>
      <c r="F930" s="334" t="s">
        <v>7011</v>
      </c>
      <c r="G930" s="334" t="s">
        <v>7012</v>
      </c>
      <c r="I930" s="334">
        <v>1.0</v>
      </c>
      <c r="M930" s="344">
        <v>46119.281909722224</v>
      </c>
      <c r="N930" s="376">
        <v>1.0</v>
      </c>
    </row>
    <row r="931" ht="15.75" customHeight="1">
      <c r="A931" s="334" t="s">
        <v>8274</v>
      </c>
      <c r="B931" s="362">
        <v>46119.0</v>
      </c>
      <c r="C931" s="334" t="s">
        <v>12</v>
      </c>
      <c r="D931" s="334" t="s">
        <v>53</v>
      </c>
      <c r="E931" s="334" t="s">
        <v>491</v>
      </c>
      <c r="F931" s="334" t="s">
        <v>7262</v>
      </c>
      <c r="G931" s="334" t="s">
        <v>7263</v>
      </c>
      <c r="I931" s="334">
        <v>1.0</v>
      </c>
      <c r="M931" s="344">
        <v>46119.28210648148</v>
      </c>
      <c r="N931" s="376">
        <v>1.0</v>
      </c>
    </row>
    <row r="932" ht="15.75" customHeight="1">
      <c r="A932" s="334" t="s">
        <v>8275</v>
      </c>
      <c r="B932" s="362">
        <v>46119.0</v>
      </c>
      <c r="C932" s="334" t="s">
        <v>12</v>
      </c>
      <c r="D932" s="334" t="s">
        <v>541</v>
      </c>
      <c r="E932" s="334" t="s">
        <v>492</v>
      </c>
      <c r="F932" s="334" t="s">
        <v>7011</v>
      </c>
      <c r="G932" s="334" t="s">
        <v>7892</v>
      </c>
      <c r="I932" s="334">
        <v>1.0</v>
      </c>
      <c r="M932" s="344">
        <v>46119.28233796296</v>
      </c>
      <c r="N932" s="376">
        <v>1.0</v>
      </c>
    </row>
    <row r="933" ht="15.75" customHeight="1">
      <c r="A933" s="334" t="s">
        <v>8276</v>
      </c>
      <c r="B933" s="362">
        <v>46119.0</v>
      </c>
      <c r="C933" s="334" t="s">
        <v>14</v>
      </c>
      <c r="D933" s="334" t="s">
        <v>46</v>
      </c>
      <c r="E933" s="334" t="s">
        <v>497</v>
      </c>
      <c r="F933" s="334" t="s">
        <v>7259</v>
      </c>
      <c r="G933" s="334" t="s">
        <v>7260</v>
      </c>
      <c r="I933" s="334">
        <v>1.0</v>
      </c>
      <c r="M933" s="344">
        <v>46119.28266203704</v>
      </c>
      <c r="N933" s="376">
        <v>1.0</v>
      </c>
    </row>
    <row r="934" ht="15.75" customHeight="1">
      <c r="A934" s="334" t="s">
        <v>8277</v>
      </c>
      <c r="B934" s="362">
        <v>46119.0</v>
      </c>
      <c r="C934" s="334" t="s">
        <v>14</v>
      </c>
      <c r="D934" s="334" t="s">
        <v>48</v>
      </c>
      <c r="E934" s="334" t="s">
        <v>498</v>
      </c>
      <c r="F934" s="334" t="s">
        <v>7019</v>
      </c>
      <c r="G934" s="334" t="s">
        <v>7020</v>
      </c>
      <c r="I934" s="334">
        <v>1.0</v>
      </c>
      <c r="M934" s="344">
        <v>46119.28296296296</v>
      </c>
      <c r="N934" s="376">
        <v>1.0</v>
      </c>
    </row>
    <row r="935" ht="15.75" customHeight="1">
      <c r="A935" s="334" t="s">
        <v>8278</v>
      </c>
      <c r="B935" s="362">
        <v>46119.0</v>
      </c>
      <c r="C935" s="334" t="s">
        <v>15</v>
      </c>
      <c r="D935" s="334" t="s">
        <v>58</v>
      </c>
      <c r="E935" s="334" t="s">
        <v>499</v>
      </c>
      <c r="F935" s="334" t="s">
        <v>7569</v>
      </c>
      <c r="G935" s="334" t="s">
        <v>7570</v>
      </c>
      <c r="I935" s="334">
        <v>1.0</v>
      </c>
      <c r="M935" s="344">
        <v>46119.28319444445</v>
      </c>
      <c r="N935" s="376">
        <v>1.0</v>
      </c>
    </row>
    <row r="936" ht="15.75" customHeight="1">
      <c r="A936" s="334" t="s">
        <v>8279</v>
      </c>
      <c r="B936" s="362">
        <v>46119.0</v>
      </c>
      <c r="C936" s="334" t="s">
        <v>15</v>
      </c>
      <c r="D936" s="334" t="s">
        <v>46</v>
      </c>
      <c r="E936" s="334" t="s">
        <v>500</v>
      </c>
      <c r="F936" s="334" t="s">
        <v>7572</v>
      </c>
      <c r="G936" s="334" t="s">
        <v>7573</v>
      </c>
      <c r="I936" s="334">
        <v>1.0</v>
      </c>
      <c r="M936" s="344">
        <v>46119.28340277778</v>
      </c>
      <c r="N936" s="376">
        <v>1.0</v>
      </c>
    </row>
    <row r="937" ht="15.75" customHeight="1">
      <c r="A937" s="334" t="s">
        <v>8280</v>
      </c>
      <c r="B937" s="362">
        <v>46119.0</v>
      </c>
      <c r="C937" s="334" t="s">
        <v>537</v>
      </c>
      <c r="D937" s="334" t="s">
        <v>59</v>
      </c>
      <c r="E937" s="334" t="s">
        <v>501</v>
      </c>
      <c r="F937" s="334" t="s">
        <v>7656</v>
      </c>
      <c r="G937" s="334" t="s">
        <v>7657</v>
      </c>
      <c r="I937" s="334">
        <v>1.0</v>
      </c>
      <c r="M937" s="344">
        <v>46119.28359953704</v>
      </c>
      <c r="N937" s="376">
        <v>1.0</v>
      </c>
    </row>
    <row r="938" ht="15.75" customHeight="1">
      <c r="A938" s="334" t="s">
        <v>8281</v>
      </c>
      <c r="B938" s="362">
        <v>46119.0</v>
      </c>
      <c r="C938" s="334" t="s">
        <v>537</v>
      </c>
      <c r="D938" s="334" t="s">
        <v>7031</v>
      </c>
      <c r="E938" s="334" t="s">
        <v>7032</v>
      </c>
      <c r="F938" s="334" t="s">
        <v>7033</v>
      </c>
      <c r="G938" s="334" t="s">
        <v>7034</v>
      </c>
      <c r="I938" s="334">
        <v>1.0</v>
      </c>
      <c r="M938" s="344">
        <v>46119.28380787037</v>
      </c>
      <c r="N938" s="376">
        <v>1.0</v>
      </c>
    </row>
    <row r="939" ht="15.75" customHeight="1">
      <c r="A939" s="334" t="s">
        <v>8282</v>
      </c>
      <c r="B939" s="362">
        <v>46119.0</v>
      </c>
      <c r="C939" s="334" t="s">
        <v>37</v>
      </c>
      <c r="D939" s="334" t="s">
        <v>48</v>
      </c>
      <c r="E939" s="334" t="s">
        <v>510</v>
      </c>
      <c r="F939" s="334" t="s">
        <v>7041</v>
      </c>
      <c r="G939" s="334" t="s">
        <v>7042</v>
      </c>
      <c r="I939" s="334">
        <v>1.0</v>
      </c>
      <c r="M939" s="344">
        <v>46119.28439814815</v>
      </c>
      <c r="N939" s="376">
        <v>1.0</v>
      </c>
    </row>
    <row r="940" ht="15.75" customHeight="1">
      <c r="A940" s="334" t="s">
        <v>8283</v>
      </c>
      <c r="B940" s="362">
        <v>46119.0</v>
      </c>
      <c r="C940" s="334" t="s">
        <v>22</v>
      </c>
      <c r="D940" s="334" t="s">
        <v>47</v>
      </c>
      <c r="E940" s="334" t="s">
        <v>468</v>
      </c>
      <c r="F940" s="334" t="s">
        <v>7487</v>
      </c>
      <c r="G940" s="334" t="s">
        <v>7488</v>
      </c>
      <c r="I940" s="334">
        <v>1.0</v>
      </c>
      <c r="M940" s="344">
        <v>46119.28648148148</v>
      </c>
      <c r="N940" s="376">
        <v>1.0</v>
      </c>
    </row>
    <row r="941" ht="15.75" customHeight="1">
      <c r="A941" s="334" t="s">
        <v>8284</v>
      </c>
      <c r="B941" s="362">
        <v>46119.0</v>
      </c>
      <c r="C941" s="334" t="s">
        <v>22</v>
      </c>
      <c r="D941" s="334" t="s">
        <v>47</v>
      </c>
      <c r="E941" s="334" t="s">
        <v>468</v>
      </c>
      <c r="F941" s="334" t="s">
        <v>7487</v>
      </c>
      <c r="G941" s="334" t="s">
        <v>7488</v>
      </c>
      <c r="I941" s="334">
        <v>1.0</v>
      </c>
      <c r="M941" s="344">
        <v>46119.68943287037</v>
      </c>
      <c r="N941" s="376">
        <v>1.0</v>
      </c>
    </row>
    <row r="942" ht="15.75" customHeight="1">
      <c r="A942" s="334" t="s">
        <v>8285</v>
      </c>
      <c r="B942" s="362">
        <v>46119.0</v>
      </c>
      <c r="C942" s="334" t="s">
        <v>28</v>
      </c>
      <c r="D942" s="334" t="s">
        <v>52</v>
      </c>
      <c r="E942" s="334" t="s">
        <v>493</v>
      </c>
      <c r="F942" s="334" t="s">
        <v>7008</v>
      </c>
      <c r="G942" s="334" t="s">
        <v>7009</v>
      </c>
      <c r="I942" s="334">
        <v>1.0</v>
      </c>
      <c r="M942" s="344">
        <v>46119.69011574074</v>
      </c>
      <c r="N942" s="376">
        <v>1.0</v>
      </c>
    </row>
    <row r="943" ht="15.75" customHeight="1">
      <c r="A943" s="377" t="s">
        <v>8286</v>
      </c>
      <c r="B943" s="362">
        <v>46119.0</v>
      </c>
      <c r="C943" s="334" t="s">
        <v>32</v>
      </c>
      <c r="D943" s="334" t="s">
        <v>52</v>
      </c>
      <c r="E943" s="334" t="s">
        <v>480</v>
      </c>
      <c r="F943" s="334" t="s">
        <v>116</v>
      </c>
      <c r="G943" s="334" t="s">
        <v>8160</v>
      </c>
      <c r="I943" s="334">
        <v>1.0</v>
      </c>
      <c r="M943" s="344">
        <v>46119.690625</v>
      </c>
      <c r="N943" s="376">
        <v>1.0</v>
      </c>
    </row>
    <row r="944" ht="15.75" customHeight="1">
      <c r="A944" s="334" t="s">
        <v>8287</v>
      </c>
      <c r="B944" s="362">
        <v>46119.0</v>
      </c>
      <c r="C944" s="334" t="s">
        <v>31</v>
      </c>
      <c r="D944" s="334" t="s">
        <v>47</v>
      </c>
      <c r="E944" s="334" t="s">
        <v>477</v>
      </c>
      <c r="F944" s="334" t="s">
        <v>130</v>
      </c>
      <c r="G944" s="334" t="s">
        <v>7685</v>
      </c>
      <c r="I944" s="334">
        <v>1.0</v>
      </c>
      <c r="M944" s="344">
        <v>46119.690833333334</v>
      </c>
      <c r="N944" s="376">
        <v>1.0</v>
      </c>
    </row>
    <row r="945" ht="15.75" customHeight="1">
      <c r="A945" s="334" t="s">
        <v>8288</v>
      </c>
      <c r="B945" s="362">
        <v>46119.0</v>
      </c>
      <c r="C945" s="334" t="s">
        <v>34</v>
      </c>
      <c r="D945" s="334" t="s">
        <v>48</v>
      </c>
      <c r="E945" s="334" t="s">
        <v>482</v>
      </c>
      <c r="F945" s="334" t="s">
        <v>130</v>
      </c>
      <c r="G945" s="334" t="s">
        <v>8068</v>
      </c>
      <c r="I945" s="334">
        <v>1.0</v>
      </c>
      <c r="M945" s="344">
        <v>46119.69158564815</v>
      </c>
      <c r="N945" s="376">
        <v>1.0</v>
      </c>
    </row>
    <row r="946" ht="15.75" customHeight="1">
      <c r="A946" s="334" t="s">
        <v>8289</v>
      </c>
      <c r="B946" s="362">
        <v>46119.0</v>
      </c>
      <c r="C946" s="334" t="s">
        <v>31</v>
      </c>
      <c r="D946" s="334" t="s">
        <v>64</v>
      </c>
      <c r="E946" s="334" t="s">
        <v>478</v>
      </c>
      <c r="F946" s="334" t="s">
        <v>130</v>
      </c>
      <c r="G946" s="334" t="s">
        <v>6971</v>
      </c>
      <c r="I946" s="334">
        <v>11.0</v>
      </c>
      <c r="M946" s="344">
        <v>46119.69201388889</v>
      </c>
      <c r="N946" s="376">
        <v>1.0</v>
      </c>
    </row>
    <row r="947" ht="15.75" customHeight="1">
      <c r="A947" s="334" t="s">
        <v>8290</v>
      </c>
      <c r="B947" s="362">
        <v>46119.0</v>
      </c>
      <c r="C947" s="334" t="s">
        <v>22</v>
      </c>
      <c r="D947" s="334" t="s">
        <v>47</v>
      </c>
      <c r="E947" s="334" t="s">
        <v>468</v>
      </c>
      <c r="F947" s="334" t="s">
        <v>7487</v>
      </c>
      <c r="G947" s="334" t="s">
        <v>7488</v>
      </c>
      <c r="I947" s="334">
        <v>-1.0</v>
      </c>
      <c r="M947" s="344">
        <v>46119.699421296296</v>
      </c>
      <c r="N947" s="376">
        <v>1.0</v>
      </c>
    </row>
    <row r="948" ht="15.75" customHeight="1">
      <c r="A948" s="334" t="s">
        <v>8291</v>
      </c>
      <c r="B948" s="362">
        <v>46120.0</v>
      </c>
      <c r="C948" s="334" t="s">
        <v>6</v>
      </c>
      <c r="D948" s="334" t="s">
        <v>48</v>
      </c>
      <c r="E948" s="334" t="s">
        <v>454</v>
      </c>
      <c r="F948" s="334" t="s">
        <v>116</v>
      </c>
      <c r="G948" s="334" t="s">
        <v>8292</v>
      </c>
      <c r="I948" s="334">
        <v>0.5</v>
      </c>
      <c r="M948" s="344">
        <v>46119.77804398148</v>
      </c>
      <c r="N948" s="376">
        <v>1.0</v>
      </c>
    </row>
    <row r="949" ht="15.75" customHeight="1">
      <c r="A949" s="334" t="s">
        <v>8293</v>
      </c>
      <c r="B949" s="362">
        <v>46119.0</v>
      </c>
      <c r="C949" s="334" t="s">
        <v>6</v>
      </c>
      <c r="D949" s="334" t="s">
        <v>48</v>
      </c>
      <c r="E949" s="334" t="s">
        <v>454</v>
      </c>
      <c r="F949" s="334" t="s">
        <v>7942</v>
      </c>
      <c r="G949" s="334" t="s">
        <v>8294</v>
      </c>
      <c r="I949" s="334">
        <v>1.5</v>
      </c>
      <c r="M949" s="344">
        <v>46119.77835648148</v>
      </c>
      <c r="N949" s="376">
        <v>1.0</v>
      </c>
    </row>
    <row r="950" ht="15.75" customHeight="1">
      <c r="A950" s="334" t="s">
        <v>8295</v>
      </c>
      <c r="B950" s="362">
        <v>46120.0</v>
      </c>
      <c r="C950" s="334" t="s">
        <v>6</v>
      </c>
      <c r="D950" s="334" t="s">
        <v>48</v>
      </c>
      <c r="E950" s="334" t="s">
        <v>454</v>
      </c>
      <c r="F950" s="334" t="s">
        <v>575</v>
      </c>
      <c r="G950" s="334" t="s">
        <v>6952</v>
      </c>
      <c r="I950" s="334">
        <v>1.0</v>
      </c>
      <c r="M950" s="344">
        <v>46119.77866898148</v>
      </c>
      <c r="N950" s="376">
        <v>1.0</v>
      </c>
    </row>
    <row r="951" ht="15.75" customHeight="1">
      <c r="A951" s="334" t="s">
        <v>8296</v>
      </c>
      <c r="B951" s="362">
        <v>46120.0</v>
      </c>
      <c r="C951" s="334" t="s">
        <v>6</v>
      </c>
      <c r="D951" s="334" t="s">
        <v>48</v>
      </c>
      <c r="E951" s="334" t="s">
        <v>454</v>
      </c>
      <c r="F951" s="334" t="s">
        <v>8297</v>
      </c>
      <c r="G951" s="334" t="s">
        <v>8298</v>
      </c>
      <c r="I951" s="334">
        <v>0.5</v>
      </c>
      <c r="M951" s="344">
        <v>46119.77894675926</v>
      </c>
      <c r="N951" s="376">
        <v>1.0</v>
      </c>
    </row>
    <row r="952" ht="15.75" customHeight="1">
      <c r="A952" s="334" t="s">
        <v>8299</v>
      </c>
      <c r="B952" s="362">
        <v>46120.0</v>
      </c>
      <c r="C952" s="334" t="s">
        <v>6</v>
      </c>
      <c r="D952" s="334" t="s">
        <v>48</v>
      </c>
      <c r="E952" s="334" t="s">
        <v>454</v>
      </c>
      <c r="F952" s="334" t="s">
        <v>1237</v>
      </c>
      <c r="G952" s="334" t="s">
        <v>7781</v>
      </c>
      <c r="I952" s="334">
        <v>-1.5</v>
      </c>
      <c r="M952" s="344">
        <v>46119.782685185186</v>
      </c>
      <c r="N952" s="376">
        <v>1.0</v>
      </c>
    </row>
    <row r="953" ht="15.75" customHeight="1">
      <c r="A953" s="334" t="s">
        <v>8300</v>
      </c>
      <c r="B953" s="362">
        <v>46120.0</v>
      </c>
      <c r="C953" s="334" t="s">
        <v>11</v>
      </c>
      <c r="D953" s="334" t="s">
        <v>46</v>
      </c>
      <c r="E953" s="334" t="s">
        <v>488</v>
      </c>
      <c r="F953" s="334" t="s">
        <v>8301</v>
      </c>
      <c r="G953" s="334" t="s">
        <v>8302</v>
      </c>
      <c r="I953" s="334">
        <v>1.0</v>
      </c>
      <c r="M953" s="344">
        <v>46119.78346064815</v>
      </c>
      <c r="N953" s="376">
        <v>1.0</v>
      </c>
    </row>
    <row r="954" ht="15.75" customHeight="1">
      <c r="A954" s="334" t="s">
        <v>8303</v>
      </c>
      <c r="B954" s="362">
        <v>46120.0</v>
      </c>
      <c r="C954" s="334" t="s">
        <v>11</v>
      </c>
      <c r="D954" s="334" t="s">
        <v>46</v>
      </c>
      <c r="E954" s="334" t="s">
        <v>488</v>
      </c>
      <c r="F954" s="334" t="s">
        <v>122</v>
      </c>
      <c r="G954" s="334" t="s">
        <v>8304</v>
      </c>
      <c r="I954" s="334">
        <v>2.0</v>
      </c>
      <c r="M954" s="344">
        <v>46119.783854166664</v>
      </c>
      <c r="N954" s="376">
        <v>1.0</v>
      </c>
    </row>
    <row r="955" ht="15.75" customHeight="1">
      <c r="A955" s="334" t="s">
        <v>8305</v>
      </c>
      <c r="B955" s="362">
        <v>46120.0</v>
      </c>
      <c r="C955" s="334" t="s">
        <v>11</v>
      </c>
      <c r="D955" s="334" t="s">
        <v>46</v>
      </c>
      <c r="E955" s="334" t="s">
        <v>488</v>
      </c>
      <c r="F955" s="334" t="s">
        <v>7245</v>
      </c>
      <c r="G955" s="334" t="s">
        <v>8306</v>
      </c>
      <c r="I955" s="334">
        <v>0.5</v>
      </c>
      <c r="M955" s="344">
        <v>46119.78420138889</v>
      </c>
      <c r="N955" s="376">
        <v>1.0</v>
      </c>
    </row>
    <row r="956" ht="15.75" customHeight="1">
      <c r="A956" s="393" t="s">
        <v>8307</v>
      </c>
      <c r="B956" s="398">
        <v>46122.0</v>
      </c>
      <c r="C956" s="393" t="s">
        <v>531</v>
      </c>
      <c r="D956" s="393" t="s">
        <v>77</v>
      </c>
      <c r="E956" s="393" t="s">
        <v>449</v>
      </c>
      <c r="F956" s="393" t="s">
        <v>6983</v>
      </c>
      <c r="G956" s="393" t="s">
        <v>7065</v>
      </c>
      <c r="H956" s="394"/>
      <c r="I956" s="393">
        <v>1.5</v>
      </c>
      <c r="J956" s="394"/>
      <c r="K956" s="394"/>
      <c r="L956" s="394"/>
      <c r="M956" s="399">
        <v>46122.275092592594</v>
      </c>
      <c r="N956" s="400">
        <v>1.0</v>
      </c>
      <c r="O956" s="394"/>
      <c r="P956" s="394"/>
      <c r="Q956" s="394"/>
      <c r="R956" s="394"/>
      <c r="S956" s="394"/>
      <c r="T956" s="394"/>
      <c r="U956" s="394"/>
      <c r="V956" s="394"/>
      <c r="W956" s="394"/>
      <c r="X956" s="394"/>
      <c r="Y956" s="394"/>
      <c r="Z956" s="394"/>
    </row>
    <row r="957" ht="15.75" customHeight="1">
      <c r="A957" s="393" t="s">
        <v>8308</v>
      </c>
      <c r="B957" s="398">
        <v>46122.0</v>
      </c>
      <c r="C957" s="393" t="s">
        <v>532</v>
      </c>
      <c r="D957" s="393" t="s">
        <v>77</v>
      </c>
      <c r="E957" s="393" t="s">
        <v>486</v>
      </c>
      <c r="F957" s="393" t="s">
        <v>7078</v>
      </c>
      <c r="G957" s="393" t="s">
        <v>7079</v>
      </c>
      <c r="H957" s="394"/>
      <c r="I957" s="393">
        <v>1.5</v>
      </c>
      <c r="J957" s="394"/>
      <c r="K957" s="394"/>
      <c r="L957" s="394"/>
      <c r="M957" s="399">
        <v>46122.275775462964</v>
      </c>
      <c r="N957" s="400">
        <v>1.0</v>
      </c>
      <c r="O957" s="394"/>
      <c r="P957" s="394"/>
      <c r="Q957" s="394"/>
      <c r="R957" s="394"/>
      <c r="S957" s="394"/>
      <c r="T957" s="394"/>
      <c r="U957" s="394"/>
      <c r="V957" s="394"/>
      <c r="W957" s="394"/>
      <c r="X957" s="394"/>
      <c r="Y957" s="394"/>
      <c r="Z957" s="394"/>
    </row>
    <row r="958" ht="15.75" customHeight="1">
      <c r="A958" s="393" t="s">
        <v>8309</v>
      </c>
      <c r="B958" s="398">
        <v>46122.0</v>
      </c>
      <c r="C958" s="393" t="s">
        <v>535</v>
      </c>
      <c r="D958" s="393" t="s">
        <v>77</v>
      </c>
      <c r="E958" s="393" t="s">
        <v>495</v>
      </c>
      <c r="F958" s="393" t="s">
        <v>6983</v>
      </c>
      <c r="G958" s="393" t="s">
        <v>6986</v>
      </c>
      <c r="H958" s="394"/>
      <c r="I958" s="393">
        <v>1.5</v>
      </c>
      <c r="J958" s="394"/>
      <c r="K958" s="394"/>
      <c r="L958" s="394"/>
      <c r="M958" s="399">
        <v>46122.275983796295</v>
      </c>
      <c r="N958" s="400">
        <v>1.0</v>
      </c>
      <c r="O958" s="394"/>
      <c r="P958" s="394"/>
      <c r="Q958" s="394"/>
      <c r="R958" s="394"/>
      <c r="S958" s="394"/>
      <c r="T958" s="394"/>
      <c r="U958" s="394"/>
      <c r="V958" s="394"/>
      <c r="W958" s="394"/>
      <c r="X958" s="394"/>
      <c r="Y958" s="394"/>
      <c r="Z958" s="394"/>
    </row>
    <row r="959" ht="15.75" customHeight="1">
      <c r="A959" s="393" t="s">
        <v>8310</v>
      </c>
      <c r="B959" s="398">
        <v>46122.0</v>
      </c>
      <c r="C959" s="393" t="s">
        <v>536</v>
      </c>
      <c r="D959" s="393" t="s">
        <v>77</v>
      </c>
      <c r="E959" s="393" t="s">
        <v>496</v>
      </c>
      <c r="F959" s="393" t="s">
        <v>6988</v>
      </c>
      <c r="G959" s="393" t="s">
        <v>6989</v>
      </c>
      <c r="H959" s="394"/>
      <c r="I959" s="393">
        <v>1.5</v>
      </c>
      <c r="J959" s="394"/>
      <c r="K959" s="394"/>
      <c r="L959" s="394"/>
      <c r="M959" s="399">
        <v>46122.2762037037</v>
      </c>
      <c r="N959" s="400">
        <v>1.0</v>
      </c>
      <c r="O959" s="394"/>
      <c r="P959" s="394"/>
      <c r="Q959" s="394"/>
      <c r="R959" s="394"/>
      <c r="S959" s="394"/>
      <c r="T959" s="394"/>
      <c r="U959" s="394"/>
      <c r="V959" s="394"/>
      <c r="W959" s="394"/>
      <c r="X959" s="394"/>
      <c r="Y959" s="394"/>
      <c r="Z959" s="394"/>
    </row>
    <row r="960" ht="15.75" customHeight="1">
      <c r="A960" s="393" t="s">
        <v>8311</v>
      </c>
      <c r="B960" s="398">
        <v>46122.0</v>
      </c>
      <c r="C960" s="393" t="s">
        <v>534</v>
      </c>
      <c r="D960" s="393" t="s">
        <v>46</v>
      </c>
      <c r="E960" s="393" t="s">
        <v>489</v>
      </c>
      <c r="F960" s="393" t="s">
        <v>6999</v>
      </c>
      <c r="G960" s="393" t="s">
        <v>7719</v>
      </c>
      <c r="H960" s="394"/>
      <c r="I960" s="393">
        <v>1.5</v>
      </c>
      <c r="J960" s="394"/>
      <c r="K960" s="394"/>
      <c r="L960" s="394"/>
      <c r="M960" s="399">
        <v>46122.27668981482</v>
      </c>
      <c r="N960" s="400">
        <v>1.0</v>
      </c>
      <c r="O960" s="394"/>
      <c r="P960" s="394"/>
      <c r="Q960" s="394"/>
      <c r="R960" s="394"/>
      <c r="S960" s="394"/>
      <c r="T960" s="394"/>
      <c r="U960" s="394"/>
      <c r="V960" s="394"/>
      <c r="W960" s="394"/>
      <c r="X960" s="394"/>
      <c r="Y960" s="394"/>
      <c r="Z960" s="394"/>
    </row>
    <row r="961" ht="15.75" customHeight="1">
      <c r="A961" s="393" t="s">
        <v>8312</v>
      </c>
      <c r="B961" s="398">
        <v>46122.0</v>
      </c>
      <c r="C961" s="393" t="s">
        <v>11</v>
      </c>
      <c r="D961" s="393" t="s">
        <v>46</v>
      </c>
      <c r="E961" s="393" t="s">
        <v>488</v>
      </c>
      <c r="F961" s="393" t="s">
        <v>7094</v>
      </c>
      <c r="G961" s="393" t="s">
        <v>7095</v>
      </c>
      <c r="H961" s="394"/>
      <c r="I961" s="393">
        <v>1.5</v>
      </c>
      <c r="J961" s="394"/>
      <c r="K961" s="394"/>
      <c r="L961" s="394"/>
      <c r="M961" s="399">
        <v>46122.27701388889</v>
      </c>
      <c r="N961" s="400">
        <v>1.0</v>
      </c>
      <c r="O961" s="394"/>
      <c r="P961" s="394"/>
      <c r="Q961" s="394"/>
      <c r="R961" s="394"/>
      <c r="S961" s="394"/>
      <c r="T961" s="394"/>
      <c r="U961" s="394"/>
      <c r="V961" s="394"/>
      <c r="W961" s="394"/>
      <c r="X961" s="394"/>
      <c r="Y961" s="394"/>
      <c r="Z961" s="394"/>
    </row>
    <row r="962" ht="15.75" customHeight="1">
      <c r="A962" s="393" t="s">
        <v>8313</v>
      </c>
      <c r="B962" s="398">
        <v>46122.0</v>
      </c>
      <c r="C962" s="393" t="s">
        <v>534</v>
      </c>
      <c r="D962" s="393" t="s">
        <v>46</v>
      </c>
      <c r="E962" s="393" t="s">
        <v>489</v>
      </c>
      <c r="F962" s="393" t="s">
        <v>6999</v>
      </c>
      <c r="G962" s="393" t="s">
        <v>7719</v>
      </c>
      <c r="H962" s="394"/>
      <c r="I962" s="393">
        <v>0.5</v>
      </c>
      <c r="J962" s="394"/>
      <c r="K962" s="394"/>
      <c r="L962" s="394"/>
      <c r="M962" s="399">
        <v>46122.27730324074</v>
      </c>
      <c r="N962" s="400">
        <v>1.0</v>
      </c>
      <c r="O962" s="394"/>
      <c r="P962" s="394"/>
      <c r="Q962" s="394"/>
      <c r="R962" s="394"/>
      <c r="S962" s="394"/>
      <c r="T962" s="394"/>
      <c r="U962" s="394"/>
      <c r="V962" s="394"/>
      <c r="W962" s="394"/>
      <c r="X962" s="394"/>
      <c r="Y962" s="394"/>
      <c r="Z962" s="394"/>
    </row>
    <row r="963" ht="15.75" customHeight="1">
      <c r="A963" s="393" t="s">
        <v>8314</v>
      </c>
      <c r="B963" s="398">
        <v>46122.0</v>
      </c>
      <c r="C963" s="393" t="s">
        <v>19</v>
      </c>
      <c r="D963" s="393" t="s">
        <v>61</v>
      </c>
      <c r="E963" s="393" t="s">
        <v>506</v>
      </c>
      <c r="F963" s="393" t="s">
        <v>116</v>
      </c>
      <c r="G963" s="393" t="s">
        <v>6980</v>
      </c>
      <c r="H963" s="394"/>
      <c r="I963" s="393">
        <v>1.5</v>
      </c>
      <c r="J963" s="394"/>
      <c r="K963" s="394"/>
      <c r="L963" s="394"/>
      <c r="M963" s="399">
        <v>46122.27767361111</v>
      </c>
      <c r="N963" s="400">
        <v>1.0</v>
      </c>
      <c r="O963" s="394"/>
      <c r="P963" s="394"/>
      <c r="Q963" s="394"/>
      <c r="R963" s="394"/>
      <c r="S963" s="394"/>
      <c r="T963" s="394"/>
      <c r="U963" s="394"/>
      <c r="V963" s="394"/>
      <c r="W963" s="394"/>
      <c r="X963" s="394"/>
      <c r="Y963" s="394"/>
      <c r="Z963" s="394"/>
    </row>
    <row r="964" ht="15.75" customHeight="1">
      <c r="A964" s="393" t="s">
        <v>8315</v>
      </c>
      <c r="B964" s="398">
        <v>46122.0</v>
      </c>
      <c r="C964" s="393" t="s">
        <v>5</v>
      </c>
      <c r="D964" s="393" t="s">
        <v>46</v>
      </c>
      <c r="E964" s="393" t="s">
        <v>450</v>
      </c>
      <c r="F964" s="393" t="s">
        <v>7102</v>
      </c>
      <c r="G964" s="393" t="s">
        <v>7103</v>
      </c>
      <c r="H964" s="394"/>
      <c r="I964" s="393">
        <v>1.5</v>
      </c>
      <c r="J964" s="394"/>
      <c r="K964" s="394"/>
      <c r="L964" s="394"/>
      <c r="M964" s="399">
        <v>46122.277962962966</v>
      </c>
      <c r="N964" s="400">
        <v>1.0</v>
      </c>
      <c r="O964" s="394"/>
      <c r="P964" s="394"/>
      <c r="Q964" s="394"/>
      <c r="R964" s="394"/>
      <c r="S964" s="394"/>
      <c r="T964" s="394"/>
      <c r="U964" s="394"/>
      <c r="V964" s="394"/>
      <c r="W964" s="394"/>
      <c r="X964" s="394"/>
      <c r="Y964" s="394"/>
      <c r="Z964" s="394"/>
    </row>
    <row r="965" ht="15.75" customHeight="1">
      <c r="A965" s="393" t="s">
        <v>8316</v>
      </c>
      <c r="B965" s="398">
        <v>46122.0</v>
      </c>
      <c r="C965" s="393" t="s">
        <v>5</v>
      </c>
      <c r="D965" s="393" t="s">
        <v>47</v>
      </c>
      <c r="E965" s="393" t="s">
        <v>451</v>
      </c>
      <c r="F965" s="393" t="s">
        <v>7105</v>
      </c>
      <c r="G965" s="393" t="s">
        <v>7106</v>
      </c>
      <c r="H965" s="394"/>
      <c r="I965" s="393">
        <v>1.5</v>
      </c>
      <c r="J965" s="394"/>
      <c r="K965" s="394"/>
      <c r="L965" s="394"/>
      <c r="M965" s="399">
        <v>46122.27821759259</v>
      </c>
      <c r="N965" s="400">
        <v>1.0</v>
      </c>
      <c r="O965" s="394"/>
      <c r="P965" s="394"/>
      <c r="Q965" s="394"/>
      <c r="R965" s="394"/>
      <c r="S965" s="394"/>
      <c r="T965" s="394"/>
      <c r="U965" s="394"/>
      <c r="V965" s="394"/>
      <c r="W965" s="394"/>
      <c r="X965" s="394"/>
      <c r="Y965" s="394"/>
      <c r="Z965" s="394"/>
    </row>
    <row r="966" ht="15.75" customHeight="1">
      <c r="A966" s="393" t="s">
        <v>8317</v>
      </c>
      <c r="B966" s="398">
        <v>46122.0</v>
      </c>
      <c r="C966" s="393" t="s">
        <v>5</v>
      </c>
      <c r="D966" s="393" t="s">
        <v>6937</v>
      </c>
      <c r="E966" s="393" t="s">
        <v>6938</v>
      </c>
      <c r="F966" s="393" t="s">
        <v>130</v>
      </c>
      <c r="G966" s="393" t="s">
        <v>6939</v>
      </c>
      <c r="H966" s="394"/>
      <c r="I966" s="393">
        <v>1.5</v>
      </c>
      <c r="J966" s="394"/>
      <c r="K966" s="394"/>
      <c r="L966" s="394"/>
      <c r="M966" s="399">
        <v>46122.278333333335</v>
      </c>
      <c r="N966" s="400">
        <v>1.0</v>
      </c>
      <c r="O966" s="394"/>
      <c r="P966" s="394"/>
      <c r="Q966" s="394"/>
      <c r="R966" s="394"/>
      <c r="S966" s="394"/>
      <c r="T966" s="394"/>
      <c r="U966" s="394"/>
      <c r="V966" s="394"/>
      <c r="W966" s="394"/>
      <c r="X966" s="394"/>
      <c r="Y966" s="394"/>
      <c r="Z966" s="394"/>
    </row>
    <row r="967" ht="15.75" customHeight="1">
      <c r="A967" s="393" t="s">
        <v>8318</v>
      </c>
      <c r="B967" s="398">
        <v>46122.0</v>
      </c>
      <c r="C967" s="393" t="s">
        <v>6</v>
      </c>
      <c r="D967" s="393" t="s">
        <v>48</v>
      </c>
      <c r="E967" s="393" t="s">
        <v>454</v>
      </c>
      <c r="F967" s="393" t="s">
        <v>7071</v>
      </c>
      <c r="G967" s="393" t="s">
        <v>7072</v>
      </c>
      <c r="H967" s="394"/>
      <c r="I967" s="393">
        <v>1.5</v>
      </c>
      <c r="J967" s="394"/>
      <c r="K967" s="394"/>
      <c r="L967" s="394"/>
      <c r="M967" s="399">
        <v>46122.27853009259</v>
      </c>
      <c r="N967" s="400">
        <v>1.0</v>
      </c>
      <c r="O967" s="394"/>
      <c r="P967" s="394"/>
      <c r="Q967" s="394"/>
      <c r="R967" s="394"/>
      <c r="S967" s="394"/>
      <c r="T967" s="394"/>
      <c r="U967" s="394"/>
      <c r="V967" s="394"/>
      <c r="W967" s="394"/>
      <c r="X967" s="394"/>
      <c r="Y967" s="394"/>
      <c r="Z967" s="394"/>
    </row>
    <row r="968" ht="15.75" customHeight="1">
      <c r="A968" s="401" t="s">
        <v>8319</v>
      </c>
      <c r="B968" s="402">
        <v>46122.0</v>
      </c>
      <c r="C968" s="401" t="s">
        <v>31</v>
      </c>
      <c r="D968" s="401" t="s">
        <v>64</v>
      </c>
      <c r="E968" s="401" t="s">
        <v>478</v>
      </c>
      <c r="F968" s="401" t="s">
        <v>130</v>
      </c>
      <c r="G968" s="401" t="s">
        <v>6971</v>
      </c>
      <c r="H968" s="403"/>
      <c r="I968" s="404">
        <v>1.0</v>
      </c>
      <c r="J968" s="403"/>
      <c r="K968" s="403"/>
      <c r="L968" s="403"/>
      <c r="M968" s="405">
        <v>46122.27909722222</v>
      </c>
      <c r="N968" s="406">
        <v>1.0</v>
      </c>
      <c r="O968" s="403"/>
      <c r="P968" s="403"/>
      <c r="Q968" s="403"/>
      <c r="R968" s="403"/>
      <c r="S968" s="403"/>
      <c r="T968" s="403"/>
      <c r="U968" s="403"/>
      <c r="V968" s="403"/>
      <c r="W968" s="403"/>
      <c r="X968" s="403"/>
      <c r="Y968" s="403"/>
      <c r="Z968" s="403"/>
    </row>
    <row r="969" ht="15.75" customHeight="1">
      <c r="A969" s="401" t="s">
        <v>8320</v>
      </c>
      <c r="B969" s="402">
        <v>46122.0</v>
      </c>
      <c r="C969" s="401" t="s">
        <v>34</v>
      </c>
      <c r="D969" s="401" t="s">
        <v>48</v>
      </c>
      <c r="E969" s="401" t="s">
        <v>482</v>
      </c>
      <c r="F969" s="401" t="s">
        <v>130</v>
      </c>
      <c r="G969" s="401" t="s">
        <v>8068</v>
      </c>
      <c r="H969" s="403"/>
      <c r="I969" s="404">
        <v>1.5</v>
      </c>
      <c r="J969" s="403"/>
      <c r="K969" s="403"/>
      <c r="L969" s="403"/>
      <c r="M969" s="405">
        <v>46122.27931712963</v>
      </c>
      <c r="N969" s="406">
        <v>1.0</v>
      </c>
      <c r="O969" s="403"/>
      <c r="P969" s="403"/>
      <c r="Q969" s="403"/>
      <c r="R969" s="403"/>
      <c r="S969" s="403"/>
      <c r="T969" s="403"/>
      <c r="U969" s="403"/>
      <c r="V969" s="403"/>
      <c r="W969" s="403"/>
      <c r="X969" s="403"/>
      <c r="Y969" s="403"/>
      <c r="Z969" s="403"/>
    </row>
    <row r="970" ht="15.75" customHeight="1">
      <c r="A970" s="401" t="s">
        <v>8321</v>
      </c>
      <c r="B970" s="402">
        <v>46122.0</v>
      </c>
      <c r="C970" s="401" t="s">
        <v>7</v>
      </c>
      <c r="D970" s="401" t="s">
        <v>49</v>
      </c>
      <c r="E970" s="401" t="s">
        <v>455</v>
      </c>
      <c r="F970" s="401" t="s">
        <v>7041</v>
      </c>
      <c r="G970" s="401" t="s">
        <v>7097</v>
      </c>
      <c r="H970" s="403"/>
      <c r="I970" s="404">
        <v>2.0</v>
      </c>
      <c r="J970" s="403"/>
      <c r="K970" s="403"/>
      <c r="L970" s="403"/>
      <c r="M970" s="405">
        <v>46122.27951388889</v>
      </c>
      <c r="N970" s="406">
        <v>1.0</v>
      </c>
      <c r="O970" s="403"/>
      <c r="P970" s="403"/>
      <c r="Q970" s="403"/>
      <c r="R970" s="403"/>
      <c r="S970" s="403"/>
      <c r="T970" s="403"/>
      <c r="U970" s="403"/>
      <c r="V970" s="403"/>
      <c r="W970" s="403"/>
      <c r="X970" s="403"/>
      <c r="Y970" s="403"/>
      <c r="Z970" s="403"/>
    </row>
    <row r="971" ht="15.75" customHeight="1">
      <c r="A971" s="401" t="s">
        <v>8322</v>
      </c>
      <c r="B971" s="402">
        <v>46122.0</v>
      </c>
      <c r="C971" s="401" t="s">
        <v>7</v>
      </c>
      <c r="D971" s="401" t="s">
        <v>49</v>
      </c>
      <c r="E971" s="401" t="s">
        <v>455</v>
      </c>
      <c r="F971" s="401" t="s">
        <v>8323</v>
      </c>
      <c r="G971" s="401" t="s">
        <v>8324</v>
      </c>
      <c r="H971" s="403"/>
      <c r="I971" s="404">
        <v>2.5</v>
      </c>
      <c r="J971" s="403"/>
      <c r="K971" s="403"/>
      <c r="L971" s="403"/>
      <c r="M971" s="405">
        <v>46122.27994212963</v>
      </c>
      <c r="N971" s="406">
        <v>1.0</v>
      </c>
      <c r="O971" s="403"/>
      <c r="P971" s="403"/>
      <c r="Q971" s="403"/>
      <c r="R971" s="403"/>
      <c r="S971" s="403"/>
      <c r="T971" s="403"/>
      <c r="U971" s="403"/>
      <c r="V971" s="403"/>
      <c r="W971" s="403"/>
      <c r="X971" s="403"/>
      <c r="Y971" s="403"/>
      <c r="Z971" s="403"/>
    </row>
    <row r="972" ht="15.75" customHeight="1">
      <c r="A972" s="401" t="s">
        <v>8325</v>
      </c>
      <c r="B972" s="402">
        <v>46122.0</v>
      </c>
      <c r="C972" s="401" t="s">
        <v>9</v>
      </c>
      <c r="D972" s="401" t="s">
        <v>51</v>
      </c>
      <c r="E972" s="401" t="s">
        <v>458</v>
      </c>
      <c r="F972" s="401" t="s">
        <v>7296</v>
      </c>
      <c r="G972" s="401" t="s">
        <v>7909</v>
      </c>
      <c r="H972" s="403"/>
      <c r="I972" s="404">
        <v>1.5</v>
      </c>
      <c r="J972" s="403"/>
      <c r="K972" s="403"/>
      <c r="L972" s="403"/>
      <c r="M972" s="405">
        <v>46122.28040509259</v>
      </c>
      <c r="N972" s="406">
        <v>1.0</v>
      </c>
      <c r="O972" s="403"/>
      <c r="P972" s="403"/>
      <c r="Q972" s="403"/>
      <c r="R972" s="403"/>
      <c r="S972" s="403"/>
      <c r="T972" s="403"/>
      <c r="U972" s="403"/>
      <c r="V972" s="403"/>
      <c r="W972" s="403"/>
      <c r="X972" s="403"/>
      <c r="Y972" s="403"/>
      <c r="Z972" s="403"/>
    </row>
    <row r="973" ht="15.75" customHeight="1">
      <c r="A973" s="401" t="s">
        <v>8326</v>
      </c>
      <c r="B973" s="402">
        <v>46122.0</v>
      </c>
      <c r="C973" s="401" t="s">
        <v>9</v>
      </c>
      <c r="D973" s="401" t="s">
        <v>47</v>
      </c>
      <c r="E973" s="401" t="s">
        <v>459</v>
      </c>
      <c r="F973" s="401" t="s">
        <v>7911</v>
      </c>
      <c r="G973" s="401" t="s">
        <v>7912</v>
      </c>
      <c r="H973" s="403"/>
      <c r="I973" s="404">
        <v>1.5</v>
      </c>
      <c r="J973" s="403"/>
      <c r="K973" s="403"/>
      <c r="L973" s="403"/>
      <c r="M973" s="405">
        <v>46122.280636574076</v>
      </c>
      <c r="N973" s="406">
        <v>1.0</v>
      </c>
      <c r="O973" s="403"/>
      <c r="P973" s="403"/>
      <c r="Q973" s="403"/>
      <c r="R973" s="403"/>
      <c r="S973" s="403"/>
      <c r="T973" s="403"/>
      <c r="U973" s="403"/>
      <c r="V973" s="403"/>
      <c r="W973" s="403"/>
      <c r="X973" s="403"/>
      <c r="Y973" s="403"/>
      <c r="Z973" s="403"/>
    </row>
    <row r="974" ht="15.75" customHeight="1">
      <c r="A974" s="401" t="s">
        <v>8327</v>
      </c>
      <c r="B974" s="402">
        <v>46122.0</v>
      </c>
      <c r="C974" s="401" t="s">
        <v>9</v>
      </c>
      <c r="D974" s="401" t="s">
        <v>50</v>
      </c>
      <c r="E974" s="401" t="s">
        <v>460</v>
      </c>
      <c r="F974" s="401" t="s">
        <v>7914</v>
      </c>
      <c r="G974" s="401" t="s">
        <v>7915</v>
      </c>
      <c r="H974" s="403"/>
      <c r="I974" s="404">
        <v>1.5</v>
      </c>
      <c r="J974" s="403"/>
      <c r="K974" s="403"/>
      <c r="L974" s="403"/>
      <c r="M974" s="405">
        <v>46122.280752314815</v>
      </c>
      <c r="N974" s="406">
        <v>1.0</v>
      </c>
      <c r="O974" s="403"/>
      <c r="P974" s="403"/>
      <c r="Q974" s="403"/>
      <c r="R974" s="403"/>
      <c r="S974" s="403"/>
      <c r="T974" s="403"/>
      <c r="U974" s="403"/>
      <c r="V974" s="403"/>
      <c r="W974" s="403"/>
      <c r="X974" s="403"/>
      <c r="Y974" s="403"/>
      <c r="Z974" s="403"/>
    </row>
    <row r="975" ht="15.75" customHeight="1">
      <c r="A975" s="401" t="s">
        <v>8328</v>
      </c>
      <c r="B975" s="402">
        <v>46122.0</v>
      </c>
      <c r="C975" s="401" t="s">
        <v>9</v>
      </c>
      <c r="D975" s="401" t="s">
        <v>49</v>
      </c>
      <c r="E975" s="401" t="s">
        <v>461</v>
      </c>
      <c r="F975" s="401" t="s">
        <v>7596</v>
      </c>
      <c r="G975" s="401" t="s">
        <v>7597</v>
      </c>
      <c r="H975" s="403"/>
      <c r="I975" s="404">
        <v>1.5</v>
      </c>
      <c r="J975" s="403"/>
      <c r="K975" s="403"/>
      <c r="L975" s="403"/>
      <c r="M975" s="405">
        <v>46122.28090277778</v>
      </c>
      <c r="N975" s="406">
        <v>1.0</v>
      </c>
      <c r="O975" s="403"/>
      <c r="P975" s="403"/>
      <c r="Q975" s="403"/>
      <c r="R975" s="403"/>
      <c r="S975" s="403"/>
      <c r="T975" s="403"/>
      <c r="U975" s="403"/>
      <c r="V975" s="403"/>
      <c r="W975" s="403"/>
      <c r="X975" s="403"/>
      <c r="Y975" s="403"/>
      <c r="Z975" s="403"/>
    </row>
    <row r="976" ht="15.75" customHeight="1">
      <c r="A976" s="401" t="s">
        <v>8329</v>
      </c>
      <c r="B976" s="402">
        <v>46122.0</v>
      </c>
      <c r="C976" s="401" t="s">
        <v>9</v>
      </c>
      <c r="D976" s="401" t="s">
        <v>48</v>
      </c>
      <c r="E976" s="401" t="s">
        <v>462</v>
      </c>
      <c r="F976" s="401" t="s">
        <v>8036</v>
      </c>
      <c r="G976" s="401" t="s">
        <v>8037</v>
      </c>
      <c r="H976" s="403"/>
      <c r="I976" s="404">
        <v>1.5</v>
      </c>
      <c r="J976" s="403"/>
      <c r="K976" s="403"/>
      <c r="L976" s="403"/>
      <c r="M976" s="405">
        <v>46122.28103009259</v>
      </c>
      <c r="N976" s="406">
        <v>1.0</v>
      </c>
      <c r="O976" s="403"/>
      <c r="P976" s="403"/>
      <c r="Q976" s="403"/>
      <c r="R976" s="403"/>
      <c r="S976" s="403"/>
      <c r="T976" s="403"/>
      <c r="U976" s="403"/>
      <c r="V976" s="403"/>
      <c r="W976" s="403"/>
      <c r="X976" s="403"/>
      <c r="Y976" s="403"/>
      <c r="Z976" s="403"/>
    </row>
    <row r="977" ht="15.75" customHeight="1">
      <c r="A977" s="401" t="s">
        <v>8330</v>
      </c>
      <c r="B977" s="402">
        <v>46122.0</v>
      </c>
      <c r="C977" s="401" t="s">
        <v>10</v>
      </c>
      <c r="D977" s="401" t="s">
        <v>47</v>
      </c>
      <c r="E977" s="401" t="s">
        <v>463</v>
      </c>
      <c r="F977" s="401" t="s">
        <v>6996</v>
      </c>
      <c r="G977" s="401" t="s">
        <v>6997</v>
      </c>
      <c r="H977" s="403"/>
      <c r="I977" s="404">
        <v>1.5</v>
      </c>
      <c r="J977" s="403"/>
      <c r="K977" s="403"/>
      <c r="L977" s="403"/>
      <c r="M977" s="405">
        <v>46122.28128472222</v>
      </c>
      <c r="N977" s="406">
        <v>1.0</v>
      </c>
      <c r="O977" s="403"/>
      <c r="P977" s="403"/>
      <c r="Q977" s="403"/>
      <c r="R977" s="403"/>
      <c r="S977" s="403"/>
      <c r="T977" s="403"/>
      <c r="U977" s="403"/>
      <c r="V977" s="403"/>
      <c r="W977" s="403"/>
      <c r="X977" s="403"/>
      <c r="Y977" s="403"/>
      <c r="Z977" s="403"/>
    </row>
    <row r="978" ht="15.75" customHeight="1">
      <c r="A978" s="401" t="s">
        <v>8331</v>
      </c>
      <c r="B978" s="402">
        <v>46122.0</v>
      </c>
      <c r="C978" s="401" t="s">
        <v>10</v>
      </c>
      <c r="D978" s="401" t="s">
        <v>46</v>
      </c>
      <c r="E978" s="401" t="s">
        <v>464</v>
      </c>
      <c r="F978" s="401" t="s">
        <v>149</v>
      </c>
      <c r="G978" s="401" t="s">
        <v>7461</v>
      </c>
      <c r="H978" s="403"/>
      <c r="I978" s="404">
        <v>1.5</v>
      </c>
      <c r="J978" s="403"/>
      <c r="K978" s="403"/>
      <c r="L978" s="403"/>
      <c r="M978" s="405">
        <v>46122.2815162037</v>
      </c>
      <c r="N978" s="406">
        <v>1.0</v>
      </c>
      <c r="O978" s="403"/>
      <c r="P978" s="403"/>
      <c r="Q978" s="403"/>
      <c r="R978" s="403"/>
      <c r="S978" s="403"/>
      <c r="T978" s="403"/>
      <c r="U978" s="403"/>
      <c r="V978" s="403"/>
      <c r="W978" s="403"/>
      <c r="X978" s="403"/>
      <c r="Y978" s="403"/>
      <c r="Z978" s="403"/>
    </row>
    <row r="979" ht="15.75" customHeight="1">
      <c r="A979" s="401" t="s">
        <v>8332</v>
      </c>
      <c r="B979" s="402">
        <v>46122.0</v>
      </c>
      <c r="C979" s="401" t="s">
        <v>10</v>
      </c>
      <c r="D979" s="401" t="s">
        <v>539</v>
      </c>
      <c r="E979" s="401" t="s">
        <v>465</v>
      </c>
      <c r="F979" s="401" t="s">
        <v>7974</v>
      </c>
      <c r="G979" s="401" t="s">
        <v>7975</v>
      </c>
      <c r="H979" s="403"/>
      <c r="I979" s="404">
        <v>1.5</v>
      </c>
      <c r="J979" s="403"/>
      <c r="K979" s="403"/>
      <c r="L979" s="403"/>
      <c r="M979" s="405">
        <v>46122.28177083333</v>
      </c>
      <c r="N979" s="406">
        <v>1.0</v>
      </c>
      <c r="O979" s="403"/>
      <c r="P979" s="403"/>
      <c r="Q979" s="403"/>
      <c r="R979" s="403"/>
      <c r="S979" s="403"/>
      <c r="T979" s="403"/>
      <c r="U979" s="403"/>
      <c r="V979" s="403"/>
      <c r="W979" s="403"/>
      <c r="X979" s="403"/>
      <c r="Y979" s="403"/>
      <c r="Z979" s="403"/>
    </row>
    <row r="980" ht="15.75" customHeight="1">
      <c r="A980" s="407" t="s">
        <v>8333</v>
      </c>
      <c r="B980" s="408">
        <v>46122.0</v>
      </c>
      <c r="C980" s="407" t="s">
        <v>22</v>
      </c>
      <c r="D980" s="407" t="s">
        <v>47</v>
      </c>
      <c r="E980" s="407" t="s">
        <v>468</v>
      </c>
      <c r="F980" s="407" t="s">
        <v>7487</v>
      </c>
      <c r="G980" s="407" t="s">
        <v>7488</v>
      </c>
      <c r="H980" s="409"/>
      <c r="I980" s="410">
        <v>1.5</v>
      </c>
      <c r="J980" s="409"/>
      <c r="K980" s="409"/>
      <c r="L980" s="409"/>
      <c r="M980" s="411">
        <v>46122.28212962963</v>
      </c>
      <c r="N980" s="412">
        <v>1.0</v>
      </c>
      <c r="O980" s="409"/>
      <c r="P980" s="409"/>
      <c r="Q980" s="409"/>
      <c r="R980" s="409"/>
      <c r="S980" s="409"/>
      <c r="T980" s="409"/>
      <c r="U980" s="409"/>
      <c r="V980" s="409"/>
      <c r="W980" s="409"/>
      <c r="X980" s="409"/>
      <c r="Y980" s="409"/>
      <c r="Z980" s="409"/>
    </row>
    <row r="981" ht="15.75" customHeight="1">
      <c r="A981" s="407" t="s">
        <v>8334</v>
      </c>
      <c r="B981" s="408">
        <v>46122.0</v>
      </c>
      <c r="C981" s="407" t="s">
        <v>36</v>
      </c>
      <c r="D981" s="407" t="s">
        <v>1303</v>
      </c>
      <c r="E981" s="407" t="s">
        <v>469</v>
      </c>
      <c r="F981" s="407" t="s">
        <v>6996</v>
      </c>
      <c r="G981" s="407" t="s">
        <v>7002</v>
      </c>
      <c r="H981" s="409"/>
      <c r="I981" s="410">
        <v>1.5</v>
      </c>
      <c r="J981" s="409"/>
      <c r="K981" s="409"/>
      <c r="L981" s="409"/>
      <c r="M981" s="411">
        <v>46122.282326388886</v>
      </c>
      <c r="N981" s="412">
        <v>1.0</v>
      </c>
      <c r="O981" s="409"/>
      <c r="P981" s="409"/>
      <c r="Q981" s="409"/>
      <c r="R981" s="409"/>
      <c r="S981" s="409"/>
      <c r="T981" s="409"/>
      <c r="U981" s="409"/>
      <c r="V981" s="409"/>
      <c r="W981" s="409"/>
      <c r="X981" s="409"/>
      <c r="Y981" s="409"/>
      <c r="Z981" s="409"/>
    </row>
    <row r="982" ht="15.75" customHeight="1">
      <c r="A982" s="407" t="s">
        <v>8335</v>
      </c>
      <c r="B982" s="408">
        <v>46122.0</v>
      </c>
      <c r="C982" s="407" t="s">
        <v>12</v>
      </c>
      <c r="D982" s="407" t="s">
        <v>50</v>
      </c>
      <c r="E982" s="407" t="s">
        <v>490</v>
      </c>
      <c r="F982" s="407" t="s">
        <v>7011</v>
      </c>
      <c r="G982" s="407" t="s">
        <v>7012</v>
      </c>
      <c r="H982" s="409"/>
      <c r="I982" s="410">
        <v>1.5</v>
      </c>
      <c r="J982" s="409"/>
      <c r="K982" s="409"/>
      <c r="L982" s="409"/>
      <c r="M982" s="411">
        <v>46122.28260416666</v>
      </c>
      <c r="N982" s="412">
        <v>1.0</v>
      </c>
      <c r="O982" s="409"/>
      <c r="P982" s="409"/>
      <c r="Q982" s="409"/>
      <c r="R982" s="409"/>
      <c r="S982" s="409"/>
      <c r="T982" s="409"/>
      <c r="U982" s="409"/>
      <c r="V982" s="409"/>
      <c r="W982" s="409"/>
      <c r="X982" s="409"/>
      <c r="Y982" s="409"/>
      <c r="Z982" s="409"/>
    </row>
    <row r="983" ht="15.75" customHeight="1">
      <c r="A983" s="407" t="s">
        <v>8336</v>
      </c>
      <c r="B983" s="408">
        <v>46122.0</v>
      </c>
      <c r="C983" s="407" t="s">
        <v>12</v>
      </c>
      <c r="D983" s="407" t="s">
        <v>53</v>
      </c>
      <c r="E983" s="407" t="s">
        <v>491</v>
      </c>
      <c r="F983" s="407" t="s">
        <v>7262</v>
      </c>
      <c r="G983" s="407" t="s">
        <v>7263</v>
      </c>
      <c r="H983" s="409"/>
      <c r="I983" s="410">
        <v>1.5</v>
      </c>
      <c r="J983" s="409"/>
      <c r="K983" s="409"/>
      <c r="L983" s="409"/>
      <c r="M983" s="411">
        <v>46122.2828125</v>
      </c>
      <c r="N983" s="412">
        <v>1.0</v>
      </c>
      <c r="O983" s="409"/>
      <c r="P983" s="409"/>
      <c r="Q983" s="409"/>
      <c r="R983" s="409"/>
      <c r="S983" s="409"/>
      <c r="T983" s="409"/>
      <c r="U983" s="409"/>
      <c r="V983" s="409"/>
      <c r="W983" s="409"/>
      <c r="X983" s="409"/>
      <c r="Y983" s="409"/>
      <c r="Z983" s="409"/>
    </row>
    <row r="984" ht="15.75" customHeight="1">
      <c r="A984" s="407" t="s">
        <v>8337</v>
      </c>
      <c r="B984" s="408">
        <v>46122.0</v>
      </c>
      <c r="C984" s="407" t="s">
        <v>12</v>
      </c>
      <c r="D984" s="407" t="s">
        <v>541</v>
      </c>
      <c r="E984" s="407" t="s">
        <v>492</v>
      </c>
      <c r="F984" s="407" t="s">
        <v>7011</v>
      </c>
      <c r="G984" s="407" t="s">
        <v>7892</v>
      </c>
      <c r="H984" s="409"/>
      <c r="I984" s="410">
        <v>1.5</v>
      </c>
      <c r="J984" s="409"/>
      <c r="K984" s="409"/>
      <c r="L984" s="409"/>
      <c r="M984" s="411">
        <v>46122.28298611111</v>
      </c>
      <c r="N984" s="412">
        <v>1.0</v>
      </c>
      <c r="O984" s="409"/>
      <c r="P984" s="409"/>
      <c r="Q984" s="409"/>
      <c r="R984" s="409"/>
      <c r="S984" s="409"/>
      <c r="T984" s="409"/>
      <c r="U984" s="409"/>
      <c r="V984" s="409"/>
      <c r="W984" s="409"/>
      <c r="X984" s="409"/>
      <c r="Y984" s="409"/>
      <c r="Z984" s="409"/>
    </row>
    <row r="985" ht="15.75" customHeight="1">
      <c r="A985" s="407" t="s">
        <v>8338</v>
      </c>
      <c r="B985" s="408">
        <v>46122.0</v>
      </c>
      <c r="C985" s="407" t="s">
        <v>28</v>
      </c>
      <c r="D985" s="407" t="s">
        <v>52</v>
      </c>
      <c r="E985" s="407" t="s">
        <v>493</v>
      </c>
      <c r="F985" s="407" t="s">
        <v>7008</v>
      </c>
      <c r="G985" s="407" t="s">
        <v>7009</v>
      </c>
      <c r="H985" s="409"/>
      <c r="I985" s="410">
        <v>1.5</v>
      </c>
      <c r="J985" s="409"/>
      <c r="K985" s="409"/>
      <c r="L985" s="409"/>
      <c r="M985" s="411">
        <v>46122.28459490741</v>
      </c>
      <c r="N985" s="412">
        <v>1.0</v>
      </c>
      <c r="O985" s="409"/>
      <c r="P985" s="409"/>
      <c r="Q985" s="409"/>
      <c r="R985" s="409"/>
      <c r="S985" s="409"/>
      <c r="T985" s="409"/>
      <c r="U985" s="409"/>
      <c r="V985" s="409"/>
      <c r="W985" s="409"/>
      <c r="X985" s="409"/>
      <c r="Y985" s="409"/>
      <c r="Z985" s="409"/>
    </row>
    <row r="986" ht="15.75" customHeight="1">
      <c r="A986" s="407" t="s">
        <v>8339</v>
      </c>
      <c r="B986" s="408">
        <v>46122.0</v>
      </c>
      <c r="C986" s="407" t="s">
        <v>32</v>
      </c>
      <c r="D986" s="407" t="s">
        <v>52</v>
      </c>
      <c r="E986" s="407" t="s">
        <v>480</v>
      </c>
      <c r="F986" s="407" t="s">
        <v>116</v>
      </c>
      <c r="G986" s="407" t="s">
        <v>8160</v>
      </c>
      <c r="H986" s="409"/>
      <c r="I986" s="410">
        <v>1.5</v>
      </c>
      <c r="J986" s="409"/>
      <c r="K986" s="409"/>
      <c r="L986" s="409"/>
      <c r="M986" s="411">
        <v>46122.28530092593</v>
      </c>
      <c r="N986" s="412">
        <v>1.0</v>
      </c>
      <c r="O986" s="409"/>
      <c r="P986" s="409"/>
      <c r="Q986" s="409"/>
      <c r="R986" s="409"/>
      <c r="S986" s="409"/>
      <c r="T986" s="409"/>
      <c r="U986" s="409"/>
      <c r="V986" s="409"/>
      <c r="W986" s="409"/>
      <c r="X986" s="409"/>
      <c r="Y986" s="409"/>
      <c r="Z986" s="409"/>
    </row>
    <row r="987" ht="15.75" customHeight="1">
      <c r="A987" s="413" t="s">
        <v>8340</v>
      </c>
      <c r="B987" s="408">
        <v>46122.0</v>
      </c>
      <c r="C987" s="407" t="s">
        <v>14</v>
      </c>
      <c r="D987" s="407" t="s">
        <v>46</v>
      </c>
      <c r="E987" s="407" t="s">
        <v>497</v>
      </c>
      <c r="F987" s="407" t="s">
        <v>7259</v>
      </c>
      <c r="G987" s="407" t="s">
        <v>7260</v>
      </c>
      <c r="H987" s="409"/>
      <c r="I987" s="410">
        <v>1.5</v>
      </c>
      <c r="J987" s="409"/>
      <c r="K987" s="409"/>
      <c r="L987" s="409"/>
      <c r="M987" s="411">
        <v>46122.28550925926</v>
      </c>
      <c r="N987" s="412">
        <v>1.0</v>
      </c>
      <c r="O987" s="409"/>
      <c r="P987" s="409"/>
      <c r="Q987" s="409"/>
      <c r="R987" s="409"/>
      <c r="S987" s="409"/>
      <c r="T987" s="409"/>
      <c r="U987" s="409"/>
      <c r="V987" s="409"/>
      <c r="W987" s="409"/>
      <c r="X987" s="409"/>
      <c r="Y987" s="409"/>
      <c r="Z987" s="409"/>
    </row>
    <row r="988" ht="15.75" customHeight="1">
      <c r="A988" s="407" t="s">
        <v>8341</v>
      </c>
      <c r="B988" s="408">
        <v>46122.0</v>
      </c>
      <c r="C988" s="407" t="s">
        <v>14</v>
      </c>
      <c r="D988" s="407" t="s">
        <v>48</v>
      </c>
      <c r="E988" s="407" t="s">
        <v>498</v>
      </c>
      <c r="F988" s="407" t="s">
        <v>7019</v>
      </c>
      <c r="G988" s="407" t="s">
        <v>7020</v>
      </c>
      <c r="H988" s="409"/>
      <c r="I988" s="410">
        <v>1.5</v>
      </c>
      <c r="J988" s="409"/>
      <c r="K988" s="409"/>
      <c r="L988" s="409"/>
      <c r="M988" s="411">
        <v>46122.28570601852</v>
      </c>
      <c r="N988" s="412">
        <v>1.0</v>
      </c>
      <c r="O988" s="409"/>
      <c r="P988" s="409"/>
      <c r="Q988" s="409"/>
      <c r="R988" s="409"/>
      <c r="S988" s="409"/>
      <c r="T988" s="409"/>
      <c r="U988" s="409"/>
      <c r="V988" s="409"/>
      <c r="W988" s="409"/>
      <c r="X988" s="409"/>
      <c r="Y988" s="409"/>
      <c r="Z988" s="409"/>
    </row>
    <row r="989" ht="15.75" customHeight="1">
      <c r="A989" s="407" t="s">
        <v>8342</v>
      </c>
      <c r="B989" s="408">
        <v>46122.0</v>
      </c>
      <c r="C989" s="407" t="s">
        <v>15</v>
      </c>
      <c r="D989" s="407" t="s">
        <v>58</v>
      </c>
      <c r="E989" s="407" t="s">
        <v>499</v>
      </c>
      <c r="F989" s="407" t="s">
        <v>7569</v>
      </c>
      <c r="G989" s="407" t="s">
        <v>7570</v>
      </c>
      <c r="H989" s="409"/>
      <c r="I989" s="410">
        <v>1.5</v>
      </c>
      <c r="J989" s="409"/>
      <c r="K989" s="409"/>
      <c r="L989" s="409"/>
      <c r="M989" s="411">
        <v>46122.28597222222</v>
      </c>
      <c r="N989" s="412">
        <v>1.0</v>
      </c>
      <c r="O989" s="409"/>
      <c r="P989" s="409"/>
      <c r="Q989" s="409"/>
      <c r="R989" s="409"/>
      <c r="S989" s="409"/>
      <c r="T989" s="409"/>
      <c r="U989" s="409"/>
      <c r="V989" s="409"/>
      <c r="W989" s="409"/>
      <c r="X989" s="409"/>
      <c r="Y989" s="409"/>
      <c r="Z989" s="409"/>
    </row>
    <row r="990" ht="15.75" customHeight="1">
      <c r="A990" s="407" t="s">
        <v>8343</v>
      </c>
      <c r="B990" s="408">
        <v>46122.0</v>
      </c>
      <c r="C990" s="407" t="s">
        <v>537</v>
      </c>
      <c r="D990" s="407" t="s">
        <v>59</v>
      </c>
      <c r="E990" s="407" t="s">
        <v>501</v>
      </c>
      <c r="F990" s="407" t="s">
        <v>7656</v>
      </c>
      <c r="G990" s="407" t="s">
        <v>7657</v>
      </c>
      <c r="H990" s="409"/>
      <c r="I990" s="410">
        <v>1.5</v>
      </c>
      <c r="J990" s="409"/>
      <c r="K990" s="409"/>
      <c r="L990" s="409"/>
      <c r="M990" s="411">
        <v>46122.286307870374</v>
      </c>
      <c r="N990" s="412">
        <v>1.0</v>
      </c>
      <c r="O990" s="409"/>
      <c r="P990" s="409"/>
      <c r="Q990" s="409"/>
      <c r="R990" s="409"/>
      <c r="S990" s="409"/>
      <c r="T990" s="409"/>
      <c r="U990" s="409"/>
      <c r="V990" s="409"/>
      <c r="W990" s="409"/>
      <c r="X990" s="409"/>
      <c r="Y990" s="409"/>
      <c r="Z990" s="409"/>
    </row>
    <row r="991" ht="15.75" customHeight="1">
      <c r="A991" s="407" t="s">
        <v>8344</v>
      </c>
      <c r="B991" s="408">
        <v>46122.0</v>
      </c>
      <c r="C991" s="407" t="s">
        <v>537</v>
      </c>
      <c r="D991" s="407" t="s">
        <v>7031</v>
      </c>
      <c r="E991" s="407" t="s">
        <v>7032</v>
      </c>
      <c r="F991" s="407" t="s">
        <v>7033</v>
      </c>
      <c r="G991" s="407" t="s">
        <v>7034</v>
      </c>
      <c r="H991" s="409"/>
      <c r="I991" s="410">
        <v>1.5</v>
      </c>
      <c r="J991" s="409"/>
      <c r="K991" s="409"/>
      <c r="L991" s="409"/>
      <c r="M991" s="411">
        <v>46122.28653935185</v>
      </c>
      <c r="N991" s="412">
        <v>1.0</v>
      </c>
      <c r="O991" s="409"/>
      <c r="P991" s="409"/>
      <c r="Q991" s="409"/>
      <c r="R991" s="409"/>
      <c r="S991" s="409"/>
      <c r="T991" s="409"/>
      <c r="U991" s="409"/>
      <c r="V991" s="409"/>
      <c r="W991" s="409"/>
      <c r="X991" s="409"/>
      <c r="Y991" s="409"/>
      <c r="Z991" s="409"/>
    </row>
    <row r="992" ht="15.75" customHeight="1">
      <c r="A992" s="407" t="s">
        <v>8345</v>
      </c>
      <c r="B992" s="408">
        <v>46122.0</v>
      </c>
      <c r="C992" s="407" t="s">
        <v>37</v>
      </c>
      <c r="D992" s="407" t="s">
        <v>48</v>
      </c>
      <c r="E992" s="407" t="s">
        <v>510</v>
      </c>
      <c r="F992" s="407" t="s">
        <v>7041</v>
      </c>
      <c r="G992" s="407" t="s">
        <v>7042</v>
      </c>
      <c r="H992" s="409"/>
      <c r="I992" s="410">
        <v>1.5</v>
      </c>
      <c r="J992" s="409"/>
      <c r="K992" s="409"/>
      <c r="L992" s="409"/>
      <c r="M992" s="411">
        <v>46122.28680555556</v>
      </c>
      <c r="N992" s="412">
        <v>1.0</v>
      </c>
      <c r="O992" s="409"/>
      <c r="P992" s="409"/>
      <c r="Q992" s="409"/>
      <c r="R992" s="409"/>
      <c r="S992" s="409"/>
      <c r="T992" s="409"/>
      <c r="U992" s="409"/>
      <c r="V992" s="409"/>
      <c r="W992" s="409"/>
      <c r="X992" s="409"/>
      <c r="Y992" s="409"/>
      <c r="Z992" s="409"/>
    </row>
    <row r="993" ht="15.75" customHeight="1">
      <c r="A993" s="407" t="s">
        <v>8346</v>
      </c>
      <c r="B993" s="408">
        <v>46122.0</v>
      </c>
      <c r="C993" s="407" t="s">
        <v>31</v>
      </c>
      <c r="D993" s="407" t="s">
        <v>47</v>
      </c>
      <c r="E993" s="407" t="s">
        <v>477</v>
      </c>
      <c r="F993" s="407" t="s">
        <v>130</v>
      </c>
      <c r="G993" s="407" t="s">
        <v>7685</v>
      </c>
      <c r="H993" s="409"/>
      <c r="I993" s="410">
        <v>1.5</v>
      </c>
      <c r="J993" s="409"/>
      <c r="K993" s="409"/>
      <c r="L993" s="409"/>
      <c r="M993" s="411">
        <v>46122.319340277776</v>
      </c>
      <c r="N993" s="412">
        <v>1.0</v>
      </c>
      <c r="O993" s="409"/>
      <c r="P993" s="409"/>
      <c r="Q993" s="409"/>
      <c r="R993" s="409"/>
      <c r="S993" s="409"/>
      <c r="T993" s="409"/>
      <c r="U993" s="409"/>
      <c r="V993" s="409"/>
      <c r="W993" s="409"/>
      <c r="X993" s="409"/>
      <c r="Y993" s="409"/>
      <c r="Z993" s="409"/>
    </row>
    <row r="994" ht="15.75" customHeight="1">
      <c r="A994" s="334" t="s">
        <v>8347</v>
      </c>
      <c r="B994" s="362">
        <v>46123.0</v>
      </c>
      <c r="C994" s="334" t="s">
        <v>13</v>
      </c>
      <c r="D994" s="334" t="s">
        <v>49</v>
      </c>
      <c r="E994" s="334" t="s">
        <v>467</v>
      </c>
      <c r="F994" s="334" t="s">
        <v>130</v>
      </c>
      <c r="G994" s="334" t="s">
        <v>7086</v>
      </c>
      <c r="I994" s="334">
        <v>2.5</v>
      </c>
      <c r="M994" s="344">
        <v>46122.76476851852</v>
      </c>
      <c r="N994" s="376">
        <v>1.0</v>
      </c>
    </row>
    <row r="995" ht="15.75" customHeight="1">
      <c r="A995" s="334" t="s">
        <v>8348</v>
      </c>
      <c r="B995" s="362">
        <v>46122.0</v>
      </c>
      <c r="C995" s="334" t="s">
        <v>10</v>
      </c>
      <c r="D995" s="334" t="s">
        <v>47</v>
      </c>
      <c r="E995" s="334" t="s">
        <v>463</v>
      </c>
      <c r="F995" s="334" t="s">
        <v>111</v>
      </c>
      <c r="G995" s="334" t="s">
        <v>7149</v>
      </c>
      <c r="I995" s="334">
        <v>5.0</v>
      </c>
      <c r="M995" s="344">
        <v>46122.77142361111</v>
      </c>
      <c r="N995" s="376">
        <v>1.0</v>
      </c>
    </row>
    <row r="996" ht="15.75" customHeight="1">
      <c r="A996" s="334" t="s">
        <v>8349</v>
      </c>
      <c r="B996" s="362">
        <v>46122.0</v>
      </c>
      <c r="C996" s="334" t="s">
        <v>10</v>
      </c>
      <c r="D996" s="334" t="s">
        <v>47</v>
      </c>
      <c r="E996" s="334" t="s">
        <v>463</v>
      </c>
      <c r="F996" s="334" t="s">
        <v>116</v>
      </c>
      <c r="G996" s="334" t="s">
        <v>8350</v>
      </c>
      <c r="I996" s="334">
        <v>5.5</v>
      </c>
      <c r="M996" s="344">
        <v>46122.77241898148</v>
      </c>
      <c r="N996" s="376">
        <v>1.0</v>
      </c>
    </row>
    <row r="997" ht="15.75" customHeight="1">
      <c r="A997" s="334" t="s">
        <v>8351</v>
      </c>
      <c r="B997" s="362">
        <v>46122.0</v>
      </c>
      <c r="C997" s="334" t="s">
        <v>10</v>
      </c>
      <c r="D997" s="334" t="s">
        <v>47</v>
      </c>
      <c r="E997" s="334" t="s">
        <v>463</v>
      </c>
      <c r="F997" s="334" t="s">
        <v>119</v>
      </c>
      <c r="G997" s="334" t="s">
        <v>8352</v>
      </c>
      <c r="I997" s="334">
        <v>4.0</v>
      </c>
      <c r="M997" s="344">
        <v>46122.77255787037</v>
      </c>
      <c r="N997" s="376">
        <v>1.0</v>
      </c>
    </row>
    <row r="998" ht="15.75" customHeight="1">
      <c r="A998" s="334" t="s">
        <v>8353</v>
      </c>
      <c r="B998" s="362">
        <v>46126.0</v>
      </c>
      <c r="C998" s="334" t="s">
        <v>6</v>
      </c>
      <c r="D998" s="334" t="s">
        <v>48</v>
      </c>
      <c r="E998" s="334" t="s">
        <v>454</v>
      </c>
      <c r="F998" s="334" t="s">
        <v>7071</v>
      </c>
      <c r="G998" s="334" t="s">
        <v>7072</v>
      </c>
      <c r="I998" s="334">
        <v>0.5</v>
      </c>
      <c r="M998" s="344">
        <v>46126.28092592592</v>
      </c>
      <c r="N998" s="376">
        <v>1.0</v>
      </c>
    </row>
    <row r="999" ht="15.75" customHeight="1">
      <c r="A999" s="334" t="s">
        <v>8354</v>
      </c>
      <c r="B999" s="362">
        <v>46126.0</v>
      </c>
      <c r="C999" s="334" t="s">
        <v>6</v>
      </c>
      <c r="D999" s="334" t="s">
        <v>48</v>
      </c>
      <c r="E999" s="334" t="s">
        <v>454</v>
      </c>
      <c r="F999" s="334" t="s">
        <v>8036</v>
      </c>
      <c r="G999" s="334" t="s">
        <v>8355</v>
      </c>
      <c r="I999" s="334">
        <v>0.5</v>
      </c>
      <c r="M999" s="344">
        <v>46126.28511574074</v>
      </c>
      <c r="N999" s="376">
        <v>1.0</v>
      </c>
    </row>
    <row r="1000" ht="15.75" customHeight="1">
      <c r="A1000" s="334" t="s">
        <v>8356</v>
      </c>
      <c r="B1000" s="362">
        <v>46128.0</v>
      </c>
      <c r="C1000" s="334" t="s">
        <v>531</v>
      </c>
      <c r="D1000" s="334" t="s">
        <v>77</v>
      </c>
      <c r="E1000" s="334" t="s">
        <v>449</v>
      </c>
      <c r="F1000" s="334" t="s">
        <v>6983</v>
      </c>
      <c r="G1000" s="334" t="s">
        <v>7065</v>
      </c>
      <c r="I1000" s="334">
        <v>0.5</v>
      </c>
      <c r="M1000" s="344">
        <v>46128.27075231481</v>
      </c>
      <c r="N1000" s="376">
        <v>1.0</v>
      </c>
    </row>
    <row r="1001" ht="15.75" customHeight="1">
      <c r="A1001" s="334" t="s">
        <v>8357</v>
      </c>
      <c r="B1001" s="362">
        <v>46128.0</v>
      </c>
      <c r="C1001" s="334" t="s">
        <v>532</v>
      </c>
      <c r="D1001" s="334" t="s">
        <v>77</v>
      </c>
      <c r="E1001" s="334" t="s">
        <v>486</v>
      </c>
      <c r="F1001" s="334" t="s">
        <v>7078</v>
      </c>
      <c r="G1001" s="334" t="s">
        <v>7079</v>
      </c>
      <c r="I1001" s="334">
        <v>0.5</v>
      </c>
      <c r="M1001" s="344">
        <v>46128.27108796296</v>
      </c>
      <c r="N1001" s="376">
        <v>1.0</v>
      </c>
    </row>
    <row r="1002" ht="15.75" customHeight="1">
      <c r="A1002" s="334" t="s">
        <v>8358</v>
      </c>
      <c r="B1002" s="362">
        <v>46128.0</v>
      </c>
      <c r="C1002" s="334" t="s">
        <v>535</v>
      </c>
      <c r="D1002" s="334" t="s">
        <v>77</v>
      </c>
      <c r="E1002" s="334" t="s">
        <v>495</v>
      </c>
      <c r="F1002" s="334" t="s">
        <v>6983</v>
      </c>
      <c r="G1002" s="334" t="s">
        <v>6986</v>
      </c>
      <c r="I1002" s="334">
        <v>0.5</v>
      </c>
      <c r="M1002" s="344">
        <v>46128.27130787037</v>
      </c>
      <c r="N1002" s="376">
        <v>1.0</v>
      </c>
    </row>
    <row r="1003" ht="15.75" customHeight="1">
      <c r="A1003" s="334" t="s">
        <v>8359</v>
      </c>
      <c r="B1003" s="362">
        <v>46128.0</v>
      </c>
      <c r="C1003" s="334" t="s">
        <v>536</v>
      </c>
      <c r="D1003" s="334" t="s">
        <v>77</v>
      </c>
      <c r="E1003" s="334" t="s">
        <v>496</v>
      </c>
      <c r="F1003" s="334" t="s">
        <v>6988</v>
      </c>
      <c r="G1003" s="334" t="s">
        <v>6989</v>
      </c>
      <c r="I1003" s="334">
        <v>0.5</v>
      </c>
      <c r="M1003" s="344">
        <v>46128.27155092593</v>
      </c>
      <c r="N1003" s="376">
        <v>1.0</v>
      </c>
    </row>
    <row r="1004" ht="15.75" customHeight="1">
      <c r="A1004" s="334" t="s">
        <v>8360</v>
      </c>
      <c r="B1004" s="362">
        <v>46128.0</v>
      </c>
      <c r="C1004" s="334" t="s">
        <v>6</v>
      </c>
      <c r="D1004" s="334" t="s">
        <v>48</v>
      </c>
      <c r="E1004" s="334" t="s">
        <v>454</v>
      </c>
      <c r="F1004" s="334" t="s">
        <v>7071</v>
      </c>
      <c r="G1004" s="334" t="s">
        <v>7072</v>
      </c>
      <c r="I1004" s="334">
        <v>0.5</v>
      </c>
      <c r="M1004" s="344">
        <v>46128.271898148145</v>
      </c>
      <c r="N1004" s="376">
        <v>1.0</v>
      </c>
    </row>
    <row r="1005" ht="15.75" customHeight="1">
      <c r="A1005" s="334" t="s">
        <v>8361</v>
      </c>
      <c r="B1005" s="362">
        <v>46128.0</v>
      </c>
      <c r="C1005" s="334" t="s">
        <v>7</v>
      </c>
      <c r="D1005" s="334" t="s">
        <v>49</v>
      </c>
      <c r="E1005" s="334" t="s">
        <v>455</v>
      </c>
      <c r="F1005" s="334" t="s">
        <v>7074</v>
      </c>
      <c r="G1005" s="334" t="s">
        <v>7075</v>
      </c>
      <c r="I1005" s="334">
        <v>0.5</v>
      </c>
      <c r="M1005" s="344">
        <v>46128.27217592593</v>
      </c>
      <c r="N1005" s="376">
        <v>1.0</v>
      </c>
    </row>
    <row r="1006" ht="15.75" customHeight="1">
      <c r="A1006" s="414" t="s">
        <v>8362</v>
      </c>
      <c r="B1006" s="415">
        <v>46128.0</v>
      </c>
      <c r="C1006" s="414" t="s">
        <v>9</v>
      </c>
      <c r="D1006" s="414" t="s">
        <v>8363</v>
      </c>
      <c r="E1006" s="414" t="s">
        <v>8364</v>
      </c>
      <c r="F1006" s="414" t="s">
        <v>7296</v>
      </c>
      <c r="G1006" s="414" t="s">
        <v>8365</v>
      </c>
      <c r="H1006" s="352"/>
      <c r="I1006" s="414">
        <v>0.5</v>
      </c>
      <c r="J1006" s="352"/>
      <c r="K1006" s="352"/>
      <c r="L1006" s="352"/>
      <c r="M1006" s="416">
        <v>46128.2725</v>
      </c>
      <c r="N1006" s="417">
        <v>1.0</v>
      </c>
      <c r="O1006" s="352"/>
      <c r="P1006" s="352"/>
      <c r="Q1006" s="352"/>
      <c r="R1006" s="352"/>
      <c r="S1006" s="352"/>
      <c r="T1006" s="352"/>
      <c r="U1006" s="352"/>
      <c r="V1006" s="352"/>
      <c r="W1006" s="352"/>
      <c r="X1006" s="352"/>
      <c r="Y1006" s="352"/>
      <c r="Z1006" s="352"/>
    </row>
    <row r="1007" ht="15.75" customHeight="1">
      <c r="A1007" s="334" t="s">
        <v>8366</v>
      </c>
      <c r="B1007" s="362">
        <v>46128.0</v>
      </c>
      <c r="C1007" s="393" t="s">
        <v>9</v>
      </c>
      <c r="D1007" s="393" t="s">
        <v>47</v>
      </c>
      <c r="E1007" s="334" t="s">
        <v>459</v>
      </c>
      <c r="F1007" s="334" t="s">
        <v>7911</v>
      </c>
      <c r="G1007" s="334" t="s">
        <v>7912</v>
      </c>
      <c r="I1007" s="334">
        <v>0.5</v>
      </c>
      <c r="M1007" s="344">
        <v>46128.27266203704</v>
      </c>
      <c r="N1007" s="376">
        <v>1.0</v>
      </c>
    </row>
    <row r="1008" ht="15.75" customHeight="1">
      <c r="A1008" s="334" t="s">
        <v>8367</v>
      </c>
      <c r="B1008" s="362">
        <v>46128.0</v>
      </c>
      <c r="C1008" s="393" t="s">
        <v>9</v>
      </c>
      <c r="D1008" s="393" t="s">
        <v>50</v>
      </c>
      <c r="E1008" s="334" t="s">
        <v>460</v>
      </c>
      <c r="F1008" s="334" t="s">
        <v>7914</v>
      </c>
      <c r="G1008" s="334" t="s">
        <v>7915</v>
      </c>
      <c r="I1008" s="334">
        <v>0.5</v>
      </c>
      <c r="M1008" s="344">
        <v>46128.2728125</v>
      </c>
      <c r="N1008" s="376">
        <v>1.0</v>
      </c>
    </row>
    <row r="1009" ht="15.75" customHeight="1">
      <c r="A1009" s="334" t="s">
        <v>8368</v>
      </c>
      <c r="B1009" s="362">
        <v>46128.0</v>
      </c>
      <c r="C1009" s="393" t="s">
        <v>9</v>
      </c>
      <c r="D1009" s="393" t="s">
        <v>49</v>
      </c>
      <c r="E1009" s="334" t="s">
        <v>461</v>
      </c>
      <c r="F1009" s="334" t="s">
        <v>7596</v>
      </c>
      <c r="G1009" s="334" t="s">
        <v>7597</v>
      </c>
      <c r="I1009" s="334">
        <v>0.5</v>
      </c>
      <c r="M1009" s="344">
        <v>46128.27292824074</v>
      </c>
      <c r="N1009" s="376">
        <v>1.0</v>
      </c>
    </row>
    <row r="1010" ht="15.75" customHeight="1">
      <c r="A1010" s="334" t="s">
        <v>8369</v>
      </c>
      <c r="B1010" s="362">
        <v>46128.0</v>
      </c>
      <c r="C1010" s="393" t="s">
        <v>9</v>
      </c>
      <c r="D1010" s="393" t="s">
        <v>48</v>
      </c>
      <c r="E1010" s="334" t="s">
        <v>462</v>
      </c>
      <c r="F1010" s="334" t="s">
        <v>8036</v>
      </c>
      <c r="G1010" s="334" t="s">
        <v>8037</v>
      </c>
      <c r="I1010" s="334">
        <v>0.5</v>
      </c>
      <c r="M1010" s="344">
        <v>46128.27307870371</v>
      </c>
      <c r="N1010" s="376">
        <v>1.0</v>
      </c>
    </row>
    <row r="1011" ht="15.75" customHeight="1">
      <c r="A1011" s="334" t="s">
        <v>8370</v>
      </c>
      <c r="B1011" s="362">
        <v>46128.0</v>
      </c>
      <c r="C1011" s="334" t="s">
        <v>534</v>
      </c>
      <c r="D1011" s="334" t="s">
        <v>46</v>
      </c>
      <c r="E1011" s="334" t="s">
        <v>489</v>
      </c>
      <c r="F1011" s="334" t="s">
        <v>6999</v>
      </c>
      <c r="G1011" s="334" t="s">
        <v>7719</v>
      </c>
      <c r="I1011" s="334">
        <v>0.5</v>
      </c>
      <c r="M1011" s="344">
        <v>46128.27704861111</v>
      </c>
      <c r="N1011" s="376">
        <v>1.0</v>
      </c>
    </row>
    <row r="1012" ht="15.75" customHeight="1">
      <c r="A1012" s="334" t="s">
        <v>8371</v>
      </c>
      <c r="B1012" s="362">
        <v>46128.0</v>
      </c>
      <c r="C1012" s="334" t="s">
        <v>11</v>
      </c>
      <c r="D1012" s="334" t="s">
        <v>46</v>
      </c>
      <c r="E1012" s="334" t="s">
        <v>488</v>
      </c>
      <c r="F1012" s="334" t="s">
        <v>7094</v>
      </c>
      <c r="G1012" s="334" t="s">
        <v>7095</v>
      </c>
      <c r="I1012" s="334">
        <v>0.5</v>
      </c>
      <c r="M1012" s="344">
        <v>46128.27737268519</v>
      </c>
      <c r="N1012" s="376">
        <v>1.0</v>
      </c>
    </row>
    <row r="1013" ht="15.75" customHeight="1">
      <c r="A1013" s="334" t="s">
        <v>8372</v>
      </c>
      <c r="B1013" s="362">
        <v>46128.0</v>
      </c>
      <c r="C1013" s="334" t="s">
        <v>10</v>
      </c>
      <c r="D1013" s="334" t="s">
        <v>47</v>
      </c>
      <c r="E1013" s="334" t="s">
        <v>463</v>
      </c>
      <c r="F1013" s="334" t="s">
        <v>6996</v>
      </c>
      <c r="G1013" s="334" t="s">
        <v>6997</v>
      </c>
      <c r="I1013" s="334">
        <v>0.5</v>
      </c>
      <c r="M1013" s="344">
        <v>46128.278136574074</v>
      </c>
      <c r="N1013" s="376">
        <v>1.0</v>
      </c>
    </row>
    <row r="1014" ht="15.75" customHeight="1">
      <c r="A1014" s="334" t="s">
        <v>8373</v>
      </c>
      <c r="B1014" s="362">
        <v>46128.0</v>
      </c>
      <c r="C1014" s="334" t="s">
        <v>10</v>
      </c>
      <c r="D1014" s="334" t="s">
        <v>46</v>
      </c>
      <c r="E1014" s="334" t="s">
        <v>464</v>
      </c>
      <c r="F1014" s="334" t="s">
        <v>149</v>
      </c>
      <c r="G1014" s="334" t="s">
        <v>7461</v>
      </c>
      <c r="I1014" s="334">
        <v>0.5</v>
      </c>
      <c r="M1014" s="344">
        <v>46128.27842592593</v>
      </c>
      <c r="N1014" s="376">
        <v>1.0</v>
      </c>
    </row>
    <row r="1015" ht="15.75" customHeight="1">
      <c r="A1015" s="334" t="s">
        <v>8374</v>
      </c>
      <c r="B1015" s="362">
        <v>46128.0</v>
      </c>
      <c r="C1015" s="334" t="s">
        <v>10</v>
      </c>
      <c r="D1015" s="334" t="s">
        <v>539</v>
      </c>
      <c r="E1015" s="334" t="s">
        <v>465</v>
      </c>
      <c r="F1015" s="334" t="s">
        <v>7974</v>
      </c>
      <c r="G1015" s="334" t="s">
        <v>7975</v>
      </c>
      <c r="I1015" s="334">
        <v>0.5</v>
      </c>
      <c r="M1015" s="344">
        <v>46128.27861111111</v>
      </c>
      <c r="N1015" s="376">
        <v>1.0</v>
      </c>
    </row>
    <row r="1016" ht="15.75" customHeight="1">
      <c r="A1016" s="334" t="s">
        <v>8375</v>
      </c>
      <c r="B1016" s="362">
        <v>46128.0</v>
      </c>
      <c r="C1016" s="334" t="s">
        <v>14</v>
      </c>
      <c r="D1016" s="334" t="s">
        <v>46</v>
      </c>
      <c r="E1016" s="334" t="s">
        <v>497</v>
      </c>
      <c r="F1016" s="334" t="s">
        <v>7259</v>
      </c>
      <c r="G1016" s="334" t="s">
        <v>7260</v>
      </c>
      <c r="I1016" s="334">
        <v>0.5</v>
      </c>
      <c r="M1016" s="344">
        <v>46128.28125</v>
      </c>
      <c r="N1016" s="376">
        <v>1.0</v>
      </c>
    </row>
    <row r="1017" ht="15.75" customHeight="1">
      <c r="A1017" s="334" t="s">
        <v>8376</v>
      </c>
      <c r="B1017" s="362">
        <v>46128.0</v>
      </c>
      <c r="C1017" s="334" t="s">
        <v>14</v>
      </c>
      <c r="D1017" s="334" t="s">
        <v>48</v>
      </c>
      <c r="E1017" s="334" t="s">
        <v>498</v>
      </c>
      <c r="F1017" s="334" t="s">
        <v>7019</v>
      </c>
      <c r="G1017" s="334" t="s">
        <v>7020</v>
      </c>
      <c r="I1017" s="334">
        <v>0.5</v>
      </c>
      <c r="M1017" s="344">
        <v>46128.28142361111</v>
      </c>
      <c r="N1017" s="376">
        <v>1.0</v>
      </c>
    </row>
    <row r="1018" ht="15.75" customHeight="1">
      <c r="A1018" s="334" t="s">
        <v>8377</v>
      </c>
      <c r="B1018" s="362">
        <v>46128.0</v>
      </c>
      <c r="C1018" s="334" t="s">
        <v>15</v>
      </c>
      <c r="D1018" s="334" t="s">
        <v>58</v>
      </c>
      <c r="E1018" s="334" t="s">
        <v>499</v>
      </c>
      <c r="F1018" s="334" t="s">
        <v>7569</v>
      </c>
      <c r="G1018" s="334" t="s">
        <v>7570</v>
      </c>
      <c r="I1018" s="334">
        <v>0.5</v>
      </c>
      <c r="M1018" s="344">
        <v>46128.28162037037</v>
      </c>
      <c r="N1018" s="376">
        <v>1.0</v>
      </c>
    </row>
    <row r="1019" ht="15.75" customHeight="1">
      <c r="A1019" s="334" t="s">
        <v>8378</v>
      </c>
      <c r="B1019" s="362">
        <v>46128.0</v>
      </c>
      <c r="C1019" s="334" t="s">
        <v>15</v>
      </c>
      <c r="D1019" s="334" t="s">
        <v>46</v>
      </c>
      <c r="E1019" s="334" t="s">
        <v>500</v>
      </c>
      <c r="F1019" s="334" t="s">
        <v>7572</v>
      </c>
      <c r="G1019" s="334" t="s">
        <v>7573</v>
      </c>
      <c r="I1019" s="334">
        <v>0.5</v>
      </c>
      <c r="M1019" s="344">
        <v>46128.281805555554</v>
      </c>
      <c r="N1019" s="376">
        <v>1.0</v>
      </c>
    </row>
    <row r="1020" ht="15.75" customHeight="1">
      <c r="A1020" s="334" t="s">
        <v>8379</v>
      </c>
      <c r="B1020" s="362">
        <v>46128.0</v>
      </c>
      <c r="C1020" s="334" t="s">
        <v>537</v>
      </c>
      <c r="D1020" s="334" t="s">
        <v>59</v>
      </c>
      <c r="E1020" s="334" t="s">
        <v>501</v>
      </c>
      <c r="F1020" s="334" t="s">
        <v>7656</v>
      </c>
      <c r="G1020" s="334" t="s">
        <v>7657</v>
      </c>
      <c r="I1020" s="334">
        <v>0.5</v>
      </c>
      <c r="M1020" s="344">
        <v>46128.282013888886</v>
      </c>
      <c r="N1020" s="376">
        <v>1.0</v>
      </c>
    </row>
    <row r="1021" ht="15.75" customHeight="1">
      <c r="A1021" s="334" t="s">
        <v>8380</v>
      </c>
      <c r="B1021" s="362">
        <v>46128.0</v>
      </c>
      <c r="C1021" s="334" t="s">
        <v>537</v>
      </c>
      <c r="D1021" s="334" t="s">
        <v>7031</v>
      </c>
      <c r="E1021" s="334" t="s">
        <v>7032</v>
      </c>
      <c r="F1021" s="334" t="s">
        <v>7033</v>
      </c>
      <c r="G1021" s="334" t="s">
        <v>7034</v>
      </c>
      <c r="I1021" s="334">
        <v>0.5</v>
      </c>
      <c r="M1021" s="344">
        <v>46128.2821875</v>
      </c>
      <c r="N1021" s="376">
        <v>1.0</v>
      </c>
    </row>
    <row r="1022" ht="15.75" customHeight="1">
      <c r="A1022" s="334" t="s">
        <v>8381</v>
      </c>
      <c r="B1022" s="362">
        <v>46128.0</v>
      </c>
      <c r="C1022" s="334" t="s">
        <v>19</v>
      </c>
      <c r="D1022" s="334" t="s">
        <v>61</v>
      </c>
      <c r="E1022" s="334" t="s">
        <v>506</v>
      </c>
      <c r="F1022" s="334" t="s">
        <v>116</v>
      </c>
      <c r="G1022" s="334" t="s">
        <v>6980</v>
      </c>
      <c r="I1022" s="334">
        <v>0.5</v>
      </c>
      <c r="M1022" s="344">
        <v>46128.282430555555</v>
      </c>
      <c r="N1022" s="376">
        <v>1.0</v>
      </c>
    </row>
    <row r="1023" ht="15.75" customHeight="1">
      <c r="A1023" s="334" t="s">
        <v>8382</v>
      </c>
      <c r="B1023" s="362">
        <v>46128.0</v>
      </c>
      <c r="C1023" s="334" t="s">
        <v>37</v>
      </c>
      <c r="D1023" s="334" t="s">
        <v>48</v>
      </c>
      <c r="E1023" s="334" t="s">
        <v>510</v>
      </c>
      <c r="F1023" s="334" t="s">
        <v>7041</v>
      </c>
      <c r="G1023" s="334" t="s">
        <v>7042</v>
      </c>
      <c r="I1023" s="334">
        <v>0.5</v>
      </c>
      <c r="M1023" s="344">
        <v>46128.28260416666</v>
      </c>
      <c r="N1023" s="376">
        <v>1.0</v>
      </c>
    </row>
    <row r="1024" ht="15.75" customHeight="1">
      <c r="A1024" s="334" t="s">
        <v>8383</v>
      </c>
      <c r="B1024" s="362">
        <v>46128.0</v>
      </c>
      <c r="C1024" s="334" t="s">
        <v>22</v>
      </c>
      <c r="D1024" s="334" t="s">
        <v>47</v>
      </c>
      <c r="E1024" s="334" t="s">
        <v>468</v>
      </c>
      <c r="F1024" s="334" t="s">
        <v>7487</v>
      </c>
      <c r="G1024" s="334" t="s">
        <v>7488</v>
      </c>
      <c r="I1024" s="334">
        <v>0.5</v>
      </c>
      <c r="M1024" s="344">
        <v>46128.320243055554</v>
      </c>
      <c r="N1024" s="376">
        <v>1.0</v>
      </c>
    </row>
    <row r="1025" ht="15.75" customHeight="1">
      <c r="A1025" s="334" t="s">
        <v>8384</v>
      </c>
      <c r="B1025" s="362">
        <v>46128.0</v>
      </c>
      <c r="C1025" s="334" t="s">
        <v>31</v>
      </c>
      <c r="D1025" s="334" t="s">
        <v>47</v>
      </c>
      <c r="E1025" s="334" t="s">
        <v>477</v>
      </c>
      <c r="F1025" s="334" t="s">
        <v>130</v>
      </c>
      <c r="G1025" s="334" t="s">
        <v>7685</v>
      </c>
      <c r="I1025" s="334">
        <v>0.5</v>
      </c>
      <c r="M1025" s="344">
        <v>46128.32048611111</v>
      </c>
      <c r="N1025" s="376">
        <v>1.0</v>
      </c>
    </row>
    <row r="1026" ht="15.75" customHeight="1">
      <c r="A1026" s="334" t="s">
        <v>8385</v>
      </c>
      <c r="B1026" s="362">
        <v>46128.0</v>
      </c>
      <c r="C1026" s="334" t="s">
        <v>12</v>
      </c>
      <c r="D1026" s="334" t="s">
        <v>50</v>
      </c>
      <c r="E1026" s="334" t="s">
        <v>490</v>
      </c>
      <c r="F1026" s="334" t="s">
        <v>7011</v>
      </c>
      <c r="G1026" s="334" t="s">
        <v>7012</v>
      </c>
      <c r="I1026" s="334">
        <v>0.5</v>
      </c>
      <c r="M1026" s="344">
        <v>46128.32351851852</v>
      </c>
      <c r="N1026" s="376">
        <v>1.0</v>
      </c>
    </row>
    <row r="1027" ht="15.75" customHeight="1">
      <c r="A1027" s="334" t="s">
        <v>8386</v>
      </c>
      <c r="B1027" s="362">
        <v>46128.0</v>
      </c>
      <c r="C1027" s="334" t="s">
        <v>12</v>
      </c>
      <c r="D1027" s="334" t="s">
        <v>53</v>
      </c>
      <c r="E1027" s="334" t="s">
        <v>491</v>
      </c>
      <c r="F1027" s="334" t="s">
        <v>7262</v>
      </c>
      <c r="G1027" s="334" t="s">
        <v>7263</v>
      </c>
      <c r="I1027" s="334">
        <v>0.5</v>
      </c>
      <c r="M1027" s="344">
        <v>46128.32380787037</v>
      </c>
      <c r="N1027" s="376">
        <v>1.0</v>
      </c>
    </row>
    <row r="1028" ht="15.75" customHeight="1">
      <c r="A1028" s="377" t="s">
        <v>8387</v>
      </c>
      <c r="B1028" s="362">
        <v>46128.0</v>
      </c>
      <c r="C1028" s="334" t="s">
        <v>12</v>
      </c>
      <c r="D1028" s="334" t="s">
        <v>541</v>
      </c>
      <c r="E1028" s="334" t="s">
        <v>492</v>
      </c>
      <c r="F1028" s="334" t="s">
        <v>7011</v>
      </c>
      <c r="G1028" s="334" t="s">
        <v>7892</v>
      </c>
      <c r="I1028" s="334">
        <v>0.5</v>
      </c>
      <c r="M1028" s="344">
        <v>46128.323969907404</v>
      </c>
      <c r="N1028" s="376">
        <v>1.0</v>
      </c>
    </row>
    <row r="1029" ht="15.75" customHeight="1">
      <c r="A1029" s="334" t="s">
        <v>8388</v>
      </c>
      <c r="B1029" s="362">
        <v>46128.0</v>
      </c>
      <c r="C1029" s="334" t="s">
        <v>31</v>
      </c>
      <c r="D1029" s="334" t="s">
        <v>64</v>
      </c>
      <c r="E1029" s="334" t="s">
        <v>478</v>
      </c>
      <c r="F1029" s="334" t="s">
        <v>130</v>
      </c>
      <c r="G1029" s="334" t="s">
        <v>6971</v>
      </c>
      <c r="I1029" s="334">
        <v>0.5</v>
      </c>
      <c r="M1029" s="344">
        <v>46128.33804398148</v>
      </c>
      <c r="N1029" s="376">
        <v>1.0</v>
      </c>
    </row>
    <row r="1030" ht="15.75" customHeight="1">
      <c r="A1030" s="334" t="s">
        <v>8389</v>
      </c>
      <c r="B1030" s="362">
        <v>46128.0</v>
      </c>
      <c r="C1030" s="334" t="s">
        <v>34</v>
      </c>
      <c r="D1030" s="334" t="s">
        <v>48</v>
      </c>
      <c r="E1030" s="334" t="s">
        <v>482</v>
      </c>
      <c r="F1030" s="334" t="s">
        <v>130</v>
      </c>
      <c r="G1030" s="334" t="s">
        <v>8068</v>
      </c>
      <c r="I1030" s="334">
        <v>0.5</v>
      </c>
      <c r="M1030" s="344">
        <v>46128.33834490741</v>
      </c>
      <c r="N1030" s="376">
        <v>1.0</v>
      </c>
    </row>
    <row r="1031" ht="15.75" customHeight="1">
      <c r="A1031" s="334" t="s">
        <v>8390</v>
      </c>
      <c r="B1031" s="362">
        <v>46128.0</v>
      </c>
      <c r="C1031" s="334" t="s">
        <v>5</v>
      </c>
      <c r="D1031" s="334" t="s">
        <v>46</v>
      </c>
      <c r="E1031" s="334" t="s">
        <v>450</v>
      </c>
      <c r="F1031" s="334" t="s">
        <v>7936</v>
      </c>
      <c r="G1031" s="334" t="s">
        <v>7937</v>
      </c>
      <c r="I1031" s="334">
        <v>0.5</v>
      </c>
      <c r="M1031" s="344">
        <v>46128.41233796296</v>
      </c>
      <c r="N1031" s="376">
        <v>1.0</v>
      </c>
    </row>
    <row r="1032" ht="15.75" customHeight="1">
      <c r="A1032" s="334" t="s">
        <v>8391</v>
      </c>
      <c r="B1032" s="362">
        <v>46128.0</v>
      </c>
      <c r="C1032" s="334" t="s">
        <v>5</v>
      </c>
      <c r="D1032" s="334" t="s">
        <v>47</v>
      </c>
      <c r="E1032" s="334" t="s">
        <v>451</v>
      </c>
      <c r="F1032" s="334" t="s">
        <v>8392</v>
      </c>
      <c r="G1032" s="334" t="s">
        <v>8393</v>
      </c>
      <c r="I1032" s="334">
        <v>0.5</v>
      </c>
      <c r="M1032" s="344">
        <v>46128.41248842593</v>
      </c>
      <c r="N1032" s="376">
        <v>1.0</v>
      </c>
    </row>
    <row r="1033" ht="15.75" customHeight="1">
      <c r="A1033" s="334" t="s">
        <v>8394</v>
      </c>
      <c r="B1033" s="362">
        <v>46128.0</v>
      </c>
      <c r="C1033" s="334" t="s">
        <v>5</v>
      </c>
      <c r="D1033" s="334" t="s">
        <v>6937</v>
      </c>
      <c r="E1033" s="334" t="s">
        <v>6938</v>
      </c>
      <c r="F1033" s="334" t="s">
        <v>130</v>
      </c>
      <c r="G1033" s="334" t="s">
        <v>6939</v>
      </c>
      <c r="I1033" s="334">
        <v>0.5</v>
      </c>
      <c r="M1033" s="344">
        <v>46128.41261574074</v>
      </c>
      <c r="N1033" s="376">
        <v>1.0</v>
      </c>
    </row>
    <row r="1034" ht="15.75" customHeight="1">
      <c r="A1034" s="334"/>
      <c r="B1034" s="362"/>
      <c r="C1034" s="334"/>
      <c r="D1034" s="334"/>
      <c r="E1034" s="334"/>
      <c r="F1034" s="334"/>
      <c r="G1034" s="334"/>
      <c r="I1034" s="334"/>
      <c r="M1034" s="344"/>
      <c r="N1034" s="376"/>
    </row>
    <row r="1035" ht="15.75" customHeight="1">
      <c r="A1035" s="334"/>
      <c r="B1035" s="362"/>
      <c r="C1035" s="334"/>
      <c r="D1035" s="334"/>
      <c r="E1035" s="334"/>
      <c r="F1035" s="334"/>
      <c r="G1035" s="334"/>
      <c r="I1035" s="334"/>
      <c r="M1035" s="344"/>
      <c r="N1035" s="376"/>
    </row>
    <row r="1036" ht="15.75" customHeight="1">
      <c r="A1036" s="334"/>
      <c r="B1036" s="362"/>
      <c r="C1036" s="334"/>
      <c r="D1036" s="334"/>
      <c r="E1036" s="334"/>
      <c r="F1036" s="334"/>
      <c r="G1036" s="334"/>
      <c r="I1036" s="334"/>
      <c r="M1036" s="344"/>
      <c r="N1036" s="376"/>
    </row>
    <row r="1037" ht="15.75" customHeight="1">
      <c r="A1037" s="334"/>
      <c r="B1037" s="362"/>
      <c r="C1037" s="334"/>
      <c r="D1037" s="334"/>
      <c r="E1037" s="334"/>
      <c r="F1037" s="334"/>
      <c r="G1037" s="334"/>
      <c r="I1037" s="334"/>
      <c r="M1037" s="344"/>
      <c r="N1037" s="376"/>
    </row>
    <row r="1038" ht="15.75" customHeight="1">
      <c r="A1038" s="334"/>
      <c r="B1038" s="362"/>
      <c r="C1038" s="334"/>
      <c r="D1038" s="334"/>
      <c r="E1038" s="334"/>
      <c r="F1038" s="334"/>
      <c r="G1038" s="334"/>
      <c r="I1038" s="334"/>
      <c r="M1038" s="344"/>
      <c r="N1038" s="376"/>
    </row>
    <row r="1039" ht="15.75" customHeight="1">
      <c r="A1039" s="334"/>
      <c r="B1039" s="362"/>
      <c r="C1039" s="334"/>
      <c r="D1039" s="334"/>
      <c r="E1039" s="334"/>
      <c r="F1039" s="334"/>
      <c r="G1039" s="334"/>
      <c r="I1039" s="334"/>
      <c r="M1039" s="344"/>
      <c r="N1039" s="376"/>
    </row>
    <row r="1040" ht="15.75" customHeight="1">
      <c r="A1040" s="334"/>
      <c r="B1040" s="362"/>
      <c r="C1040" s="334"/>
      <c r="D1040" s="334"/>
      <c r="E1040" s="334"/>
      <c r="F1040" s="334"/>
      <c r="G1040" s="334"/>
      <c r="I1040" s="334"/>
      <c r="M1040" s="344"/>
      <c r="N1040" s="376"/>
    </row>
    <row r="1041" ht="15.75" customHeight="1">
      <c r="A1041" s="334"/>
      <c r="B1041" s="362"/>
      <c r="C1041" s="334"/>
      <c r="D1041" s="334"/>
      <c r="E1041" s="334"/>
      <c r="F1041" s="334"/>
      <c r="G1041" s="334"/>
      <c r="I1041" s="334"/>
      <c r="M1041" s="344"/>
      <c r="N1041" s="376"/>
    </row>
    <row r="1042" ht="15.75" customHeight="1">
      <c r="A1042" s="334"/>
      <c r="B1042" s="362"/>
      <c r="C1042" s="334"/>
      <c r="D1042" s="334"/>
      <c r="E1042" s="334"/>
      <c r="F1042" s="334"/>
      <c r="G1042" s="334"/>
      <c r="I1042" s="334"/>
      <c r="M1042" s="344"/>
      <c r="N1042" s="376"/>
    </row>
    <row r="1043" ht="15.75" customHeight="1">
      <c r="A1043" s="334"/>
      <c r="B1043" s="362"/>
      <c r="C1043" s="334"/>
      <c r="D1043" s="334"/>
      <c r="E1043" s="334"/>
      <c r="F1043" s="334"/>
      <c r="G1043" s="334"/>
      <c r="I1043" s="334"/>
      <c r="M1043" s="344"/>
      <c r="N1043" s="376"/>
    </row>
    <row r="1044" ht="15.75" customHeight="1">
      <c r="A1044" s="334"/>
      <c r="B1044" s="362"/>
      <c r="C1044" s="334"/>
      <c r="D1044" s="334"/>
      <c r="E1044" s="334"/>
      <c r="F1044" s="334"/>
      <c r="G1044" s="334"/>
      <c r="I1044" s="334"/>
      <c r="M1044" s="344"/>
      <c r="N1044" s="376"/>
    </row>
    <row r="1045" ht="15.75" customHeight="1">
      <c r="A1045" s="334"/>
      <c r="B1045" s="362"/>
      <c r="C1045" s="334"/>
      <c r="D1045" s="334"/>
      <c r="E1045" s="334"/>
      <c r="F1045" s="334"/>
      <c r="G1045" s="334"/>
      <c r="I1045" s="334"/>
      <c r="M1045" s="344"/>
      <c r="N1045" s="376"/>
    </row>
    <row r="1046" ht="15.75" customHeight="1">
      <c r="A1046" s="334"/>
      <c r="B1046" s="362"/>
      <c r="C1046" s="334"/>
      <c r="D1046" s="334"/>
      <c r="E1046" s="334"/>
      <c r="F1046" s="334"/>
      <c r="G1046" s="334"/>
      <c r="I1046" s="334"/>
      <c r="M1046" s="344"/>
      <c r="N1046" s="376"/>
    </row>
    <row r="1047" ht="15.75" customHeight="1">
      <c r="A1047" s="334"/>
      <c r="B1047" s="362"/>
      <c r="C1047" s="334"/>
      <c r="D1047" s="334"/>
      <c r="E1047" s="334"/>
      <c r="F1047" s="334"/>
      <c r="G1047" s="334"/>
      <c r="I1047" s="334"/>
      <c r="M1047" s="344"/>
      <c r="N1047" s="376"/>
    </row>
    <row r="1048" ht="15.75" customHeight="1">
      <c r="A1048" s="334"/>
      <c r="B1048" s="362"/>
      <c r="C1048" s="334"/>
      <c r="D1048" s="334"/>
      <c r="E1048" s="334"/>
      <c r="F1048" s="334"/>
      <c r="G1048" s="334"/>
      <c r="I1048" s="334"/>
      <c r="M1048" s="344"/>
      <c r="N1048" s="376"/>
    </row>
    <row r="1049" ht="15.75" customHeight="1">
      <c r="A1049" s="334"/>
      <c r="B1049" s="362"/>
      <c r="C1049" s="334"/>
      <c r="D1049" s="334"/>
      <c r="E1049" s="334"/>
      <c r="F1049" s="334"/>
      <c r="G1049" s="334"/>
      <c r="I1049" s="334"/>
      <c r="M1049" s="344"/>
      <c r="N1049" s="376"/>
    </row>
    <row r="1050" ht="15.75" customHeight="1">
      <c r="A1050" s="334"/>
      <c r="B1050" s="362"/>
      <c r="C1050" s="334"/>
      <c r="D1050" s="334"/>
      <c r="E1050" s="334"/>
      <c r="F1050" s="334"/>
      <c r="G1050" s="334"/>
      <c r="I1050" s="334"/>
      <c r="M1050" s="344"/>
      <c r="N1050" s="376"/>
    </row>
    <row r="1051" ht="15.75" customHeight="1">
      <c r="A1051" s="334"/>
      <c r="B1051" s="362"/>
      <c r="C1051" s="334"/>
      <c r="D1051" s="334"/>
      <c r="E1051" s="334"/>
      <c r="F1051" s="334"/>
      <c r="G1051" s="334"/>
      <c r="I1051" s="334"/>
      <c r="M1051" s="344"/>
      <c r="N1051" s="376"/>
    </row>
    <row r="1052" ht="15.75" customHeight="1">
      <c r="A1052" s="334"/>
      <c r="B1052" s="362"/>
      <c r="C1052" s="334"/>
      <c r="D1052" s="334"/>
      <c r="E1052" s="334"/>
      <c r="F1052" s="334"/>
      <c r="G1052" s="334"/>
      <c r="I1052" s="334"/>
      <c r="M1052" s="344"/>
      <c r="N1052" s="376"/>
    </row>
    <row r="1053" ht="15.75" customHeight="1">
      <c r="A1053" s="334"/>
      <c r="B1053" s="362"/>
      <c r="C1053" s="334"/>
      <c r="D1053" s="334"/>
      <c r="E1053" s="334"/>
      <c r="F1053" s="334"/>
      <c r="G1053" s="334"/>
      <c r="I1053" s="334"/>
      <c r="M1053" s="344"/>
      <c r="N1053" s="376"/>
    </row>
    <row r="1054" ht="15.75" customHeight="1">
      <c r="A1054" s="334"/>
      <c r="B1054" s="362"/>
      <c r="C1054" s="334"/>
      <c r="D1054" s="334"/>
      <c r="E1054" s="334"/>
      <c r="F1054" s="334"/>
      <c r="G1054" s="334"/>
      <c r="I1054" s="334"/>
      <c r="M1054" s="344"/>
      <c r="N1054" s="376"/>
    </row>
    <row r="1055" ht="15.75" customHeight="1">
      <c r="A1055" s="334"/>
      <c r="B1055" s="362"/>
      <c r="C1055" s="334"/>
      <c r="D1055" s="334"/>
      <c r="E1055" s="334"/>
      <c r="F1055" s="334"/>
      <c r="G1055" s="334"/>
      <c r="I1055" s="334"/>
      <c r="M1055" s="344"/>
      <c r="N1055" s="376"/>
    </row>
    <row r="1056" ht="15.75" customHeight="1">
      <c r="A1056" s="334"/>
      <c r="B1056" s="362"/>
      <c r="C1056" s="334"/>
      <c r="D1056" s="334"/>
      <c r="E1056" s="334"/>
      <c r="F1056" s="334"/>
      <c r="G1056" s="334"/>
      <c r="I1056" s="334"/>
      <c r="M1056" s="344"/>
      <c r="N1056" s="376"/>
    </row>
    <row r="1057" ht="15.75" customHeight="1">
      <c r="A1057" s="334"/>
      <c r="B1057" s="362"/>
      <c r="C1057" s="334"/>
      <c r="D1057" s="334"/>
      <c r="E1057" s="334"/>
      <c r="F1057" s="334"/>
      <c r="G1057" s="334"/>
      <c r="I1057" s="334"/>
      <c r="M1057" s="344"/>
      <c r="N1057" s="376"/>
    </row>
    <row r="1058" ht="15.75" customHeight="1">
      <c r="A1058" s="334"/>
      <c r="B1058" s="362"/>
      <c r="C1058" s="334"/>
      <c r="D1058" s="334"/>
      <c r="E1058" s="334"/>
      <c r="F1058" s="334"/>
      <c r="G1058" s="334"/>
      <c r="I1058" s="334"/>
      <c r="M1058" s="344"/>
      <c r="N1058" s="376"/>
    </row>
    <row r="1059" ht="15.75" customHeight="1">
      <c r="A1059" s="334"/>
      <c r="B1059" s="362"/>
      <c r="C1059" s="334"/>
      <c r="D1059" s="334"/>
      <c r="E1059" s="334"/>
      <c r="F1059" s="334"/>
      <c r="G1059" s="334"/>
      <c r="I1059" s="334"/>
      <c r="M1059" s="344"/>
      <c r="N1059" s="376"/>
    </row>
    <row r="1060" ht="15.75" customHeight="1">
      <c r="A1060" s="334"/>
      <c r="B1060" s="362"/>
      <c r="C1060" s="334"/>
      <c r="D1060" s="334"/>
      <c r="E1060" s="334"/>
      <c r="F1060" s="334"/>
      <c r="G1060" s="334"/>
      <c r="I1060" s="334"/>
      <c r="M1060" s="344"/>
      <c r="N1060" s="376"/>
    </row>
    <row r="1061" ht="15.75" customHeight="1">
      <c r="A1061" s="334"/>
      <c r="B1061" s="362"/>
      <c r="C1061" s="334"/>
      <c r="D1061" s="334"/>
      <c r="E1061" s="334"/>
      <c r="F1061" s="334"/>
      <c r="G1061" s="334"/>
      <c r="I1061" s="334"/>
      <c r="M1061" s="344"/>
      <c r="N1061" s="376"/>
    </row>
    <row r="1062" ht="15.75" customHeight="1">
      <c r="A1062" s="334"/>
      <c r="B1062" s="362"/>
      <c r="C1062" s="334"/>
      <c r="D1062" s="334"/>
      <c r="E1062" s="334"/>
      <c r="F1062" s="334"/>
      <c r="G1062" s="334"/>
      <c r="I1062" s="334"/>
      <c r="M1062" s="344"/>
      <c r="N1062" s="376"/>
    </row>
    <row r="1063" ht="15.75" customHeight="1">
      <c r="A1063" s="334"/>
      <c r="B1063" s="362"/>
      <c r="C1063" s="334"/>
      <c r="D1063" s="334"/>
      <c r="E1063" s="334"/>
      <c r="F1063" s="334"/>
      <c r="G1063" s="334"/>
      <c r="I1063" s="334"/>
      <c r="M1063" s="344"/>
      <c r="N1063" s="376"/>
    </row>
    <row r="1064" ht="15.75" customHeight="1">
      <c r="A1064" s="334"/>
      <c r="B1064" s="362"/>
      <c r="C1064" s="334"/>
      <c r="D1064" s="334"/>
      <c r="E1064" s="334"/>
      <c r="F1064" s="334"/>
      <c r="G1064" s="334"/>
      <c r="I1064" s="334"/>
      <c r="M1064" s="344"/>
      <c r="N1064" s="376"/>
    </row>
    <row r="1065" ht="15.75" customHeight="1">
      <c r="A1065" s="334"/>
      <c r="B1065" s="362"/>
      <c r="C1065" s="334"/>
      <c r="D1065" s="334"/>
      <c r="E1065" s="334"/>
      <c r="F1065" s="334"/>
      <c r="G1065" s="334"/>
      <c r="I1065" s="334"/>
      <c r="M1065" s="344"/>
      <c r="N1065" s="376"/>
    </row>
    <row r="1066" ht="15.75" customHeight="1">
      <c r="A1066" s="334"/>
      <c r="B1066" s="362"/>
      <c r="C1066" s="334"/>
      <c r="D1066" s="334"/>
      <c r="E1066" s="334"/>
      <c r="F1066" s="334"/>
      <c r="G1066" s="334"/>
      <c r="I1066" s="334"/>
      <c r="M1066" s="344"/>
      <c r="N1066" s="376"/>
    </row>
    <row r="1067" ht="15.75" customHeight="1">
      <c r="A1067" s="334"/>
      <c r="B1067" s="362"/>
      <c r="C1067" s="334"/>
      <c r="D1067" s="334"/>
      <c r="E1067" s="334"/>
      <c r="F1067" s="334"/>
      <c r="G1067" s="334"/>
      <c r="I1067" s="334"/>
      <c r="M1067" s="344"/>
      <c r="N1067" s="376"/>
    </row>
    <row r="1068" ht="15.75" customHeight="1">
      <c r="A1068" s="334"/>
      <c r="B1068" s="362"/>
      <c r="C1068" s="334"/>
      <c r="D1068" s="334"/>
      <c r="E1068" s="334"/>
      <c r="F1068" s="334"/>
      <c r="G1068" s="334"/>
      <c r="I1068" s="334"/>
      <c r="M1068" s="344"/>
      <c r="N1068" s="376"/>
    </row>
    <row r="1069" ht="15.75" customHeight="1">
      <c r="A1069" s="334"/>
      <c r="B1069" s="362"/>
      <c r="C1069" s="334"/>
      <c r="D1069" s="334"/>
      <c r="E1069" s="334"/>
      <c r="F1069" s="334"/>
      <c r="G1069" s="334"/>
      <c r="I1069" s="334"/>
      <c r="M1069" s="344"/>
      <c r="N1069" s="376"/>
    </row>
    <row r="1070" ht="15.75" customHeight="1">
      <c r="A1070" s="334"/>
      <c r="B1070" s="362"/>
      <c r="C1070" s="334"/>
      <c r="D1070" s="334"/>
      <c r="E1070" s="334"/>
      <c r="F1070" s="334"/>
      <c r="G1070" s="334"/>
      <c r="I1070" s="334"/>
      <c r="M1070" s="344"/>
      <c r="N1070" s="376"/>
    </row>
    <row r="1071" ht="15.75" customHeight="1">
      <c r="A1071" s="334"/>
      <c r="B1071" s="362"/>
      <c r="C1071" s="334"/>
      <c r="D1071" s="334"/>
      <c r="E1071" s="334"/>
      <c r="F1071" s="334"/>
      <c r="G1071" s="334"/>
      <c r="I1071" s="334"/>
      <c r="M1071" s="344"/>
      <c r="N1071" s="376"/>
    </row>
    <row r="1072" ht="15.75" customHeight="1">
      <c r="A1072" s="334"/>
      <c r="B1072" s="362"/>
      <c r="C1072" s="334"/>
      <c r="D1072" s="334"/>
      <c r="E1072" s="334"/>
      <c r="F1072" s="334"/>
      <c r="G1072" s="334"/>
      <c r="I1072" s="334"/>
      <c r="M1072" s="344"/>
      <c r="N1072" s="376"/>
    </row>
    <row r="1073" ht="15.75" customHeight="1">
      <c r="A1073" s="334"/>
      <c r="B1073" s="362"/>
      <c r="C1073" s="334"/>
      <c r="D1073" s="334"/>
      <c r="E1073" s="334"/>
      <c r="F1073" s="334"/>
      <c r="G1073" s="334"/>
      <c r="I1073" s="334"/>
      <c r="M1073" s="344"/>
      <c r="N1073" s="376"/>
    </row>
    <row r="1074" ht="15.75" customHeight="1">
      <c r="A1074" s="334"/>
      <c r="B1074" s="362"/>
      <c r="C1074" s="334"/>
      <c r="D1074" s="334"/>
      <c r="E1074" s="334"/>
      <c r="F1074" s="334"/>
      <c r="G1074" s="334"/>
      <c r="I1074" s="334"/>
      <c r="M1074" s="344"/>
      <c r="N1074" s="376"/>
    </row>
    <row r="1075" ht="15.75" customHeight="1">
      <c r="A1075" s="334"/>
      <c r="B1075" s="362"/>
      <c r="C1075" s="334"/>
      <c r="D1075" s="334"/>
      <c r="E1075" s="334"/>
      <c r="F1075" s="334"/>
      <c r="G1075" s="334"/>
      <c r="I1075" s="334"/>
      <c r="M1075" s="344"/>
      <c r="N1075" s="376"/>
    </row>
    <row r="1076" ht="15.75" customHeight="1">
      <c r="A1076" s="334"/>
      <c r="B1076" s="362"/>
      <c r="C1076" s="334"/>
      <c r="D1076" s="334"/>
      <c r="E1076" s="334"/>
      <c r="F1076" s="334"/>
      <c r="G1076" s="334"/>
      <c r="I1076" s="334"/>
      <c r="M1076" s="344"/>
      <c r="N1076" s="376"/>
    </row>
    <row r="1077" ht="15.75" customHeight="1">
      <c r="A1077" s="334"/>
      <c r="B1077" s="362"/>
      <c r="C1077" s="334"/>
      <c r="D1077" s="334"/>
      <c r="E1077" s="334"/>
      <c r="F1077" s="334"/>
      <c r="G1077" s="334"/>
      <c r="I1077" s="334"/>
      <c r="M1077" s="344"/>
      <c r="N1077" s="376"/>
    </row>
    <row r="1078" ht="15.75" customHeight="1">
      <c r="A1078" s="334"/>
      <c r="B1078" s="362"/>
      <c r="C1078" s="334"/>
      <c r="D1078" s="334"/>
      <c r="E1078" s="334"/>
      <c r="F1078" s="334"/>
      <c r="G1078" s="334"/>
      <c r="I1078" s="334"/>
      <c r="M1078" s="344"/>
      <c r="N1078" s="376"/>
    </row>
    <row r="1079" ht="15.75" customHeight="1">
      <c r="A1079" s="334"/>
      <c r="B1079" s="362"/>
      <c r="C1079" s="334"/>
      <c r="D1079" s="334"/>
      <c r="E1079" s="334"/>
      <c r="F1079" s="334"/>
      <c r="G1079" s="334"/>
      <c r="I1079" s="334"/>
      <c r="M1079" s="344"/>
      <c r="N1079" s="376"/>
    </row>
    <row r="1080" ht="15.75" customHeight="1">
      <c r="A1080" s="334"/>
      <c r="B1080" s="362"/>
      <c r="C1080" s="334"/>
      <c r="D1080" s="334"/>
      <c r="E1080" s="334"/>
      <c r="F1080" s="334"/>
      <c r="G1080" s="334"/>
      <c r="I1080" s="334"/>
      <c r="M1080" s="344"/>
      <c r="N1080" s="376"/>
    </row>
    <row r="1081" ht="15.75" customHeight="1">
      <c r="A1081" s="334"/>
      <c r="B1081" s="362"/>
      <c r="C1081" s="334"/>
      <c r="D1081" s="334"/>
      <c r="E1081" s="334"/>
      <c r="F1081" s="334"/>
      <c r="G1081" s="334"/>
      <c r="I1081" s="334"/>
      <c r="M1081" s="344"/>
      <c r="N1081" s="376"/>
    </row>
    <row r="1082" ht="15.75" customHeight="1">
      <c r="A1082" s="334"/>
      <c r="B1082" s="362"/>
      <c r="C1082" s="334"/>
      <c r="D1082" s="334"/>
      <c r="E1082" s="334"/>
      <c r="F1082" s="334"/>
      <c r="G1082" s="334"/>
      <c r="I1082" s="334"/>
      <c r="M1082" s="344"/>
      <c r="N1082" s="376"/>
    </row>
    <row r="1083" ht="15.75" customHeight="1">
      <c r="A1083" s="334"/>
      <c r="B1083" s="362"/>
      <c r="C1083" s="334"/>
      <c r="D1083" s="334"/>
      <c r="E1083" s="334"/>
      <c r="F1083" s="334"/>
      <c r="G1083" s="334"/>
      <c r="I1083" s="334"/>
      <c r="M1083" s="344"/>
      <c r="N1083" s="376"/>
    </row>
    <row r="1084" ht="15.75" customHeight="1">
      <c r="A1084" s="334"/>
      <c r="B1084" s="362"/>
      <c r="C1084" s="334"/>
      <c r="D1084" s="334"/>
      <c r="E1084" s="334"/>
      <c r="F1084" s="334"/>
      <c r="G1084" s="334"/>
      <c r="I1084" s="334"/>
      <c r="M1084" s="344"/>
      <c r="N1084" s="376"/>
    </row>
    <row r="1085" ht="15.75" customHeight="1">
      <c r="A1085" s="334"/>
      <c r="B1085" s="362"/>
      <c r="C1085" s="334"/>
      <c r="D1085" s="334"/>
      <c r="E1085" s="334"/>
      <c r="F1085" s="334"/>
      <c r="G1085" s="334"/>
      <c r="I1085" s="334"/>
      <c r="M1085" s="344"/>
      <c r="N1085" s="376"/>
    </row>
    <row r="1086" ht="15.75" customHeight="1">
      <c r="A1086" s="334"/>
      <c r="B1086" s="362"/>
      <c r="C1086" s="334"/>
      <c r="D1086" s="334"/>
      <c r="E1086" s="334"/>
      <c r="F1086" s="334"/>
      <c r="G1086" s="334"/>
      <c r="I1086" s="334"/>
      <c r="M1086" s="344"/>
      <c r="N1086" s="376"/>
    </row>
    <row r="1087" ht="15.75" customHeight="1">
      <c r="A1087" s="334"/>
      <c r="B1087" s="362"/>
      <c r="C1087" s="334"/>
      <c r="D1087" s="334"/>
      <c r="E1087" s="334"/>
      <c r="F1087" s="334"/>
      <c r="G1087" s="334"/>
      <c r="I1087" s="334"/>
      <c r="M1087" s="344"/>
      <c r="N1087" s="376"/>
    </row>
    <row r="1088" ht="15.75" customHeight="1">
      <c r="A1088" s="334"/>
      <c r="B1088" s="362"/>
      <c r="C1088" s="334"/>
      <c r="D1088" s="334"/>
      <c r="E1088" s="334"/>
      <c r="F1088" s="334"/>
      <c r="G1088" s="334"/>
      <c r="I1088" s="334"/>
      <c r="M1088" s="344"/>
      <c r="N1088" s="376"/>
    </row>
    <row r="1089" ht="15.75" customHeight="1">
      <c r="A1089" s="334"/>
      <c r="B1089" s="362"/>
      <c r="C1089" s="334"/>
      <c r="D1089" s="334"/>
      <c r="E1089" s="334"/>
      <c r="F1089" s="334"/>
      <c r="G1089" s="334"/>
      <c r="I1089" s="334"/>
      <c r="M1089" s="344"/>
      <c r="N1089" s="376"/>
    </row>
    <row r="1090" ht="15.75" customHeight="1">
      <c r="A1090" s="334"/>
      <c r="B1090" s="362"/>
      <c r="C1090" s="334"/>
      <c r="D1090" s="334"/>
      <c r="E1090" s="334"/>
      <c r="F1090" s="334"/>
      <c r="G1090" s="334"/>
      <c r="I1090" s="334"/>
      <c r="M1090" s="344"/>
      <c r="N1090" s="376"/>
    </row>
    <row r="1091" ht="15.75" customHeight="1">
      <c r="A1091" s="334"/>
      <c r="B1091" s="362"/>
      <c r="C1091" s="334"/>
      <c r="D1091" s="334"/>
      <c r="E1091" s="334"/>
      <c r="F1091" s="334"/>
      <c r="G1091" s="334"/>
      <c r="I1091" s="334"/>
      <c r="M1091" s="344"/>
      <c r="N1091" s="376"/>
    </row>
    <row r="1092" ht="15.75" customHeight="1">
      <c r="A1092" s="334"/>
      <c r="B1092" s="362"/>
      <c r="C1092" s="334"/>
      <c r="D1092" s="334"/>
      <c r="E1092" s="334"/>
      <c r="F1092" s="334"/>
      <c r="G1092" s="334"/>
      <c r="I1092" s="334"/>
      <c r="M1092" s="344"/>
      <c r="N1092" s="376"/>
    </row>
    <row r="1093" ht="15.75" customHeight="1">
      <c r="A1093" s="334"/>
      <c r="B1093" s="362"/>
      <c r="C1093" s="334"/>
      <c r="D1093" s="334"/>
      <c r="E1093" s="334"/>
      <c r="F1093" s="334"/>
      <c r="G1093" s="334"/>
      <c r="I1093" s="334"/>
      <c r="M1093" s="344"/>
      <c r="N1093" s="376"/>
    </row>
    <row r="1094" ht="15.75" customHeight="1">
      <c r="A1094" s="334"/>
      <c r="B1094" s="362"/>
      <c r="C1094" s="334"/>
      <c r="D1094" s="334"/>
      <c r="E1094" s="334"/>
      <c r="F1094" s="334"/>
      <c r="G1094" s="334"/>
      <c r="I1094" s="334"/>
      <c r="M1094" s="344"/>
      <c r="N1094" s="376"/>
    </row>
    <row r="1095" ht="15.75" customHeight="1">
      <c r="A1095" s="334"/>
      <c r="B1095" s="362"/>
      <c r="C1095" s="334"/>
      <c r="D1095" s="334"/>
      <c r="E1095" s="334"/>
      <c r="F1095" s="334"/>
      <c r="G1095" s="334"/>
      <c r="I1095" s="334"/>
      <c r="M1095" s="344"/>
      <c r="N1095" s="376"/>
    </row>
    <row r="1096" ht="15.75" customHeight="1">
      <c r="A1096" s="334"/>
      <c r="B1096" s="362"/>
      <c r="C1096" s="334"/>
      <c r="D1096" s="334"/>
      <c r="E1096" s="334"/>
      <c r="F1096" s="334"/>
      <c r="G1096" s="334"/>
      <c r="I1096" s="334"/>
      <c r="M1096" s="344"/>
      <c r="N1096" s="376"/>
    </row>
    <row r="1097" ht="15.75" customHeight="1">
      <c r="A1097" s="334"/>
      <c r="B1097" s="362"/>
      <c r="C1097" s="334"/>
      <c r="D1097" s="334"/>
      <c r="E1097" s="334"/>
      <c r="F1097" s="334"/>
      <c r="G1097" s="334"/>
      <c r="I1097" s="334"/>
      <c r="M1097" s="344"/>
      <c r="N1097" s="376"/>
    </row>
    <row r="1098" ht="15.75" customHeight="1">
      <c r="A1098" s="334"/>
      <c r="B1098" s="362"/>
      <c r="C1098" s="334"/>
      <c r="D1098" s="334"/>
      <c r="E1098" s="334"/>
      <c r="F1098" s="334"/>
      <c r="G1098" s="334"/>
      <c r="I1098" s="334"/>
      <c r="M1098" s="344"/>
      <c r="N1098" s="376"/>
    </row>
    <row r="1099" ht="15.75" customHeight="1">
      <c r="A1099" s="334"/>
      <c r="B1099" s="362"/>
      <c r="C1099" s="334"/>
      <c r="D1099" s="334"/>
      <c r="E1099" s="334"/>
      <c r="F1099" s="334"/>
      <c r="G1099" s="334"/>
      <c r="I1099" s="334"/>
      <c r="M1099" s="344"/>
      <c r="N1099" s="376"/>
    </row>
    <row r="1100" ht="15.75" customHeight="1">
      <c r="A1100" s="334"/>
      <c r="B1100" s="362"/>
      <c r="C1100" s="334"/>
      <c r="D1100" s="334"/>
      <c r="E1100" s="334"/>
      <c r="F1100" s="334"/>
      <c r="G1100" s="334"/>
      <c r="I1100" s="334"/>
      <c r="M1100" s="344"/>
      <c r="N1100" s="376"/>
    </row>
    <row r="1101" ht="15.75" customHeight="1">
      <c r="A1101" s="334"/>
      <c r="B1101" s="362"/>
      <c r="C1101" s="334"/>
      <c r="D1101" s="334"/>
      <c r="E1101" s="334"/>
      <c r="F1101" s="334"/>
      <c r="G1101" s="334"/>
      <c r="I1101" s="334"/>
      <c r="M1101" s="344"/>
      <c r="N1101" s="376"/>
    </row>
    <row r="1102" ht="15.75" customHeight="1">
      <c r="A1102" s="334"/>
      <c r="B1102" s="362"/>
      <c r="C1102" s="334"/>
      <c r="D1102" s="334"/>
      <c r="E1102" s="334"/>
      <c r="F1102" s="334"/>
      <c r="G1102" s="334"/>
      <c r="I1102" s="334"/>
      <c r="M1102" s="344"/>
      <c r="N1102" s="376"/>
    </row>
    <row r="1103" ht="15.75" customHeight="1">
      <c r="A1103" s="334"/>
      <c r="B1103" s="362"/>
      <c r="C1103" s="334"/>
      <c r="D1103" s="334"/>
      <c r="E1103" s="334"/>
      <c r="F1103" s="334"/>
      <c r="G1103" s="334"/>
      <c r="I1103" s="334"/>
      <c r="M1103" s="344"/>
      <c r="N1103" s="376"/>
    </row>
    <row r="1104" ht="15.75" customHeight="1">
      <c r="A1104" s="334"/>
      <c r="B1104" s="362"/>
      <c r="C1104" s="334"/>
      <c r="D1104" s="334"/>
      <c r="E1104" s="334"/>
      <c r="F1104" s="334"/>
      <c r="G1104" s="334"/>
      <c r="I1104" s="334"/>
      <c r="M1104" s="344"/>
      <c r="N1104" s="376"/>
    </row>
    <row r="1105" ht="15.75" customHeight="1">
      <c r="A1105" s="334"/>
      <c r="B1105" s="362"/>
      <c r="C1105" s="334"/>
      <c r="D1105" s="334"/>
      <c r="E1105" s="334"/>
      <c r="F1105" s="334"/>
      <c r="G1105" s="334"/>
      <c r="I1105" s="334"/>
      <c r="M1105" s="344"/>
      <c r="N1105" s="376"/>
    </row>
    <row r="1106" ht="15.75" customHeight="1">
      <c r="A1106" s="334"/>
      <c r="B1106" s="362"/>
      <c r="C1106" s="334"/>
      <c r="D1106" s="334"/>
      <c r="E1106" s="334"/>
      <c r="F1106" s="334"/>
      <c r="G1106" s="334"/>
      <c r="I1106" s="334"/>
      <c r="M1106" s="344"/>
      <c r="N1106" s="376"/>
    </row>
    <row r="1107" ht="15.75" customHeight="1">
      <c r="A1107" s="334"/>
      <c r="B1107" s="362"/>
      <c r="C1107" s="334"/>
      <c r="D1107" s="334"/>
      <c r="E1107" s="334"/>
      <c r="F1107" s="334"/>
      <c r="G1107" s="334"/>
      <c r="I1107" s="334"/>
      <c r="M1107" s="344"/>
      <c r="N1107" s="376"/>
    </row>
    <row r="1108" ht="15.75" customHeight="1">
      <c r="A1108" s="334"/>
      <c r="B1108" s="362"/>
      <c r="C1108" s="334"/>
      <c r="D1108" s="334"/>
      <c r="E1108" s="334"/>
      <c r="F1108" s="334"/>
      <c r="G1108" s="334"/>
      <c r="I1108" s="334"/>
      <c r="M1108" s="344"/>
      <c r="N1108" s="376"/>
    </row>
    <row r="1109" ht="15.75" customHeight="1">
      <c r="A1109" s="334"/>
      <c r="B1109" s="362"/>
      <c r="C1109" s="334"/>
      <c r="D1109" s="334"/>
      <c r="E1109" s="334"/>
      <c r="F1109" s="334"/>
      <c r="G1109" s="334"/>
      <c r="I1109" s="334"/>
      <c r="M1109" s="344"/>
      <c r="N1109" s="376"/>
    </row>
    <row r="1110" ht="15.75" customHeight="1">
      <c r="A1110" s="334"/>
      <c r="B1110" s="362"/>
      <c r="C1110" s="334"/>
      <c r="D1110" s="334"/>
      <c r="E1110" s="334"/>
      <c r="F1110" s="334"/>
      <c r="G1110" s="334"/>
      <c r="I1110" s="334"/>
      <c r="M1110" s="344"/>
      <c r="N1110" s="376"/>
    </row>
    <row r="1111" ht="15.75" customHeight="1">
      <c r="A1111" s="334"/>
      <c r="B1111" s="362"/>
      <c r="C1111" s="334"/>
      <c r="D1111" s="334"/>
      <c r="E1111" s="334"/>
      <c r="F1111" s="334"/>
      <c r="G1111" s="334"/>
      <c r="I1111" s="334"/>
      <c r="M1111" s="344"/>
      <c r="N1111" s="376"/>
    </row>
    <row r="1112" ht="15.75" customHeight="1">
      <c r="A1112" s="334"/>
      <c r="B1112" s="362"/>
      <c r="C1112" s="334"/>
      <c r="D1112" s="334"/>
      <c r="E1112" s="334"/>
      <c r="F1112" s="334"/>
      <c r="G1112" s="334"/>
      <c r="I1112" s="334"/>
      <c r="M1112" s="344"/>
      <c r="N1112" s="376"/>
    </row>
    <row r="1113" ht="15.75" customHeight="1">
      <c r="A1113" s="334"/>
      <c r="B1113" s="362"/>
      <c r="C1113" s="334"/>
      <c r="D1113" s="334"/>
      <c r="E1113" s="334"/>
      <c r="F1113" s="334"/>
      <c r="G1113" s="334"/>
      <c r="I1113" s="334"/>
      <c r="M1113" s="344"/>
      <c r="N1113" s="376"/>
    </row>
    <row r="1114" ht="15.75" customHeight="1">
      <c r="A1114" s="334"/>
      <c r="B1114" s="362"/>
      <c r="C1114" s="334"/>
      <c r="D1114" s="334"/>
      <c r="E1114" s="334"/>
      <c r="F1114" s="334"/>
      <c r="G1114" s="334"/>
      <c r="I1114" s="334"/>
      <c r="M1114" s="344"/>
      <c r="N1114" s="376"/>
    </row>
    <row r="1115" ht="15.75" customHeight="1">
      <c r="A1115" s="334"/>
      <c r="B1115" s="362"/>
      <c r="C1115" s="334"/>
      <c r="D1115" s="334"/>
      <c r="E1115" s="334"/>
      <c r="F1115" s="334"/>
      <c r="G1115" s="334"/>
      <c r="I1115" s="334"/>
      <c r="M1115" s="344"/>
      <c r="N1115" s="376"/>
    </row>
    <row r="1116" ht="15.75" customHeight="1">
      <c r="A1116" s="334"/>
      <c r="B1116" s="362"/>
      <c r="C1116" s="334"/>
      <c r="D1116" s="334"/>
      <c r="E1116" s="334"/>
      <c r="F1116" s="334"/>
      <c r="G1116" s="334"/>
      <c r="I1116" s="334"/>
      <c r="M1116" s="344"/>
      <c r="N1116" s="376"/>
    </row>
    <row r="1117" ht="15.75" customHeight="1">
      <c r="A1117" s="334"/>
      <c r="B1117" s="362"/>
      <c r="C1117" s="334"/>
      <c r="D1117" s="334"/>
      <c r="E1117" s="334"/>
      <c r="F1117" s="334"/>
      <c r="G1117" s="334"/>
      <c r="I1117" s="334"/>
      <c r="M1117" s="344"/>
      <c r="N1117" s="376"/>
    </row>
    <row r="1118" ht="15.75" customHeight="1">
      <c r="A1118" s="334"/>
      <c r="B1118" s="362"/>
      <c r="C1118" s="334"/>
      <c r="D1118" s="334"/>
      <c r="E1118" s="334"/>
      <c r="F1118" s="334"/>
      <c r="G1118" s="334"/>
      <c r="I1118" s="334"/>
      <c r="M1118" s="344"/>
      <c r="N1118" s="376"/>
    </row>
    <row r="1119" ht="15.75" customHeight="1">
      <c r="A1119" s="334"/>
      <c r="B1119" s="362"/>
      <c r="C1119" s="334"/>
      <c r="D1119" s="334"/>
      <c r="E1119" s="334"/>
      <c r="F1119" s="334"/>
      <c r="G1119" s="334"/>
      <c r="I1119" s="334"/>
      <c r="M1119" s="344"/>
      <c r="N1119" s="376"/>
    </row>
    <row r="1120" ht="15.75" customHeight="1">
      <c r="A1120" s="334"/>
      <c r="B1120" s="362"/>
      <c r="C1120" s="334"/>
      <c r="D1120" s="334"/>
      <c r="E1120" s="334"/>
      <c r="F1120" s="334"/>
      <c r="G1120" s="334"/>
      <c r="I1120" s="334"/>
      <c r="M1120" s="344"/>
      <c r="N1120" s="376"/>
    </row>
    <row r="1121" ht="15.75" customHeight="1">
      <c r="A1121" s="334"/>
      <c r="B1121" s="362"/>
      <c r="C1121" s="334"/>
      <c r="D1121" s="334"/>
      <c r="E1121" s="334"/>
      <c r="F1121" s="334"/>
      <c r="G1121" s="334"/>
      <c r="I1121" s="334"/>
      <c r="M1121" s="344"/>
      <c r="N1121" s="376"/>
    </row>
    <row r="1122" ht="15.75" customHeight="1">
      <c r="A1122" s="334"/>
      <c r="B1122" s="362"/>
      <c r="C1122" s="334"/>
      <c r="D1122" s="334"/>
      <c r="E1122" s="334"/>
      <c r="F1122" s="334"/>
      <c r="G1122" s="334"/>
      <c r="I1122" s="334"/>
      <c r="M1122" s="344"/>
      <c r="N1122" s="376"/>
    </row>
    <row r="1123" ht="15.75" customHeight="1">
      <c r="A1123" s="334"/>
      <c r="B1123" s="362"/>
      <c r="C1123" s="334"/>
      <c r="D1123" s="334"/>
      <c r="E1123" s="334"/>
      <c r="F1123" s="334"/>
      <c r="G1123" s="334"/>
      <c r="I1123" s="334"/>
      <c r="M1123" s="344"/>
      <c r="N1123" s="376"/>
    </row>
    <row r="1124" ht="15.75" customHeight="1">
      <c r="A1124" s="334"/>
      <c r="B1124" s="362"/>
      <c r="C1124" s="334"/>
      <c r="D1124" s="334"/>
      <c r="E1124" s="334"/>
      <c r="F1124" s="334"/>
      <c r="G1124" s="334"/>
      <c r="I1124" s="334"/>
      <c r="M1124" s="344"/>
      <c r="N1124" s="376"/>
    </row>
    <row r="1125" ht="15.75" customHeight="1">
      <c r="A1125" s="334"/>
      <c r="B1125" s="362"/>
      <c r="C1125" s="334"/>
      <c r="D1125" s="334"/>
      <c r="E1125" s="334"/>
      <c r="F1125" s="334"/>
      <c r="G1125" s="334"/>
      <c r="I1125" s="334"/>
      <c r="M1125" s="344"/>
      <c r="N1125" s="376"/>
    </row>
    <row r="1126" ht="15.75" customHeight="1">
      <c r="A1126" s="334"/>
      <c r="B1126" s="362"/>
      <c r="C1126" s="334"/>
      <c r="D1126" s="334"/>
      <c r="E1126" s="334"/>
      <c r="F1126" s="334"/>
      <c r="G1126" s="334"/>
      <c r="I1126" s="334"/>
      <c r="M1126" s="344"/>
      <c r="N1126" s="376"/>
    </row>
    <row r="1127" ht="15.75" customHeight="1">
      <c r="A1127" s="334"/>
      <c r="B1127" s="362"/>
      <c r="C1127" s="334"/>
      <c r="D1127" s="334"/>
      <c r="E1127" s="334"/>
      <c r="F1127" s="334"/>
      <c r="G1127" s="334"/>
      <c r="I1127" s="334"/>
      <c r="M1127" s="344"/>
      <c r="N1127" s="376"/>
    </row>
    <row r="1128" ht="15.75" customHeight="1">
      <c r="A1128" s="334"/>
      <c r="B1128" s="362"/>
      <c r="C1128" s="334"/>
      <c r="D1128" s="334"/>
      <c r="E1128" s="334"/>
      <c r="F1128" s="334"/>
      <c r="G1128" s="334"/>
      <c r="I1128" s="334"/>
      <c r="M1128" s="344"/>
      <c r="N1128" s="376"/>
    </row>
    <row r="1129" ht="15.75" customHeight="1">
      <c r="A1129" s="334"/>
      <c r="B1129" s="362"/>
      <c r="C1129" s="334"/>
      <c r="D1129" s="334"/>
      <c r="E1129" s="334"/>
      <c r="F1129" s="334"/>
      <c r="G1129" s="334"/>
      <c r="I1129" s="334"/>
      <c r="M1129" s="344"/>
      <c r="N1129" s="376"/>
    </row>
    <row r="1130" ht="15.75" customHeight="1">
      <c r="A1130" s="334"/>
      <c r="B1130" s="362"/>
      <c r="C1130" s="334"/>
      <c r="D1130" s="334"/>
      <c r="E1130" s="334"/>
      <c r="F1130" s="334"/>
      <c r="G1130" s="334"/>
      <c r="I1130" s="334"/>
      <c r="M1130" s="344"/>
      <c r="N1130" s="376"/>
    </row>
    <row r="1131" ht="15.75" customHeight="1">
      <c r="A1131" s="334"/>
      <c r="B1131" s="362"/>
      <c r="C1131" s="334"/>
      <c r="D1131" s="334"/>
      <c r="E1131" s="334"/>
      <c r="F1131" s="334"/>
      <c r="G1131" s="334"/>
      <c r="I1131" s="334"/>
      <c r="M1131" s="344"/>
      <c r="N1131" s="376"/>
    </row>
    <row r="1132" ht="15.75" customHeight="1">
      <c r="A1132" s="334"/>
      <c r="B1132" s="362"/>
      <c r="C1132" s="334"/>
      <c r="D1132" s="334"/>
      <c r="E1132" s="334"/>
      <c r="F1132" s="334"/>
      <c r="G1132" s="334"/>
      <c r="I1132" s="334"/>
      <c r="M1132" s="344"/>
      <c r="N1132" s="376"/>
    </row>
    <row r="1133" ht="15.75" customHeight="1">
      <c r="A1133" s="334"/>
      <c r="B1133" s="362"/>
      <c r="C1133" s="334"/>
      <c r="D1133" s="334"/>
      <c r="E1133" s="334"/>
      <c r="F1133" s="334"/>
      <c r="G1133" s="334"/>
      <c r="I1133" s="334"/>
      <c r="M1133" s="344"/>
      <c r="N1133" s="376"/>
    </row>
    <row r="1134" ht="15.75" customHeight="1">
      <c r="A1134" s="334"/>
      <c r="B1134" s="362"/>
      <c r="C1134" s="334"/>
      <c r="D1134" s="334"/>
      <c r="E1134" s="334"/>
      <c r="F1134" s="334"/>
      <c r="G1134" s="334"/>
      <c r="I1134" s="334"/>
      <c r="M1134" s="344"/>
      <c r="N1134" s="376"/>
    </row>
    <row r="1135" ht="15.75" customHeight="1">
      <c r="A1135" s="334"/>
      <c r="B1135" s="362"/>
      <c r="C1135" s="334"/>
      <c r="D1135" s="334"/>
      <c r="E1135" s="334"/>
      <c r="F1135" s="334"/>
      <c r="G1135" s="334"/>
      <c r="I1135" s="334"/>
      <c r="M1135" s="344"/>
      <c r="N1135" s="376"/>
    </row>
    <row r="1136" ht="15.75" customHeight="1">
      <c r="A1136" s="334"/>
      <c r="B1136" s="362"/>
      <c r="C1136" s="334"/>
      <c r="D1136" s="334"/>
      <c r="E1136" s="334"/>
      <c r="F1136" s="334"/>
      <c r="G1136" s="334"/>
      <c r="I1136" s="334"/>
      <c r="M1136" s="344"/>
      <c r="N1136" s="376"/>
    </row>
    <row r="1137" ht="15.75" customHeight="1">
      <c r="A1137" s="334"/>
      <c r="B1137" s="362"/>
      <c r="C1137" s="334"/>
      <c r="D1137" s="334"/>
      <c r="E1137" s="334"/>
      <c r="F1137" s="334"/>
      <c r="G1137" s="334"/>
      <c r="I1137" s="334"/>
      <c r="M1137" s="344"/>
      <c r="N1137" s="376"/>
    </row>
    <row r="1138" ht="15.75" customHeight="1">
      <c r="A1138" s="334"/>
      <c r="B1138" s="362"/>
      <c r="C1138" s="334"/>
      <c r="D1138" s="334"/>
      <c r="E1138" s="334"/>
      <c r="F1138" s="334"/>
      <c r="G1138" s="334"/>
      <c r="I1138" s="334"/>
      <c r="M1138" s="344"/>
      <c r="N1138" s="376"/>
    </row>
    <row r="1139" ht="15.75" customHeight="1">
      <c r="A1139" s="334"/>
      <c r="B1139" s="362"/>
      <c r="C1139" s="334"/>
      <c r="D1139" s="334"/>
      <c r="E1139" s="334"/>
      <c r="F1139" s="334"/>
      <c r="G1139" s="334"/>
      <c r="I1139" s="334"/>
      <c r="M1139" s="344"/>
      <c r="N1139" s="376"/>
    </row>
    <row r="1140" ht="15.75" customHeight="1">
      <c r="A1140" s="334"/>
      <c r="B1140" s="362"/>
      <c r="C1140" s="334"/>
      <c r="D1140" s="334"/>
      <c r="E1140" s="334"/>
      <c r="F1140" s="334"/>
      <c r="G1140" s="334"/>
      <c r="I1140" s="334"/>
      <c r="M1140" s="344"/>
      <c r="N1140" s="376"/>
    </row>
    <row r="1141" ht="15.75" customHeight="1">
      <c r="A1141" s="334"/>
      <c r="B1141" s="362"/>
      <c r="C1141" s="334"/>
      <c r="D1141" s="334"/>
      <c r="E1141" s="334"/>
      <c r="F1141" s="334"/>
      <c r="G1141" s="334"/>
      <c r="I1141" s="334"/>
      <c r="M1141" s="344"/>
      <c r="N1141" s="376"/>
    </row>
    <row r="1142" ht="15.75" customHeight="1">
      <c r="A1142" s="334"/>
      <c r="B1142" s="362"/>
      <c r="C1142" s="334"/>
      <c r="D1142" s="334"/>
      <c r="E1142" s="334"/>
      <c r="F1142" s="334"/>
      <c r="G1142" s="334"/>
      <c r="I1142" s="334"/>
      <c r="M1142" s="344"/>
      <c r="N1142" s="376"/>
    </row>
    <row r="1143" ht="15.75" customHeight="1">
      <c r="A1143" s="334"/>
      <c r="B1143" s="362"/>
      <c r="C1143" s="334"/>
      <c r="D1143" s="334"/>
      <c r="E1143" s="334"/>
      <c r="F1143" s="334"/>
      <c r="G1143" s="334"/>
      <c r="I1143" s="334"/>
      <c r="M1143" s="344"/>
      <c r="N1143" s="376"/>
    </row>
    <row r="1144" ht="15.75" customHeight="1">
      <c r="A1144" s="334"/>
      <c r="B1144" s="362"/>
      <c r="C1144" s="334"/>
      <c r="D1144" s="334"/>
      <c r="E1144" s="334"/>
      <c r="F1144" s="334"/>
      <c r="G1144" s="334"/>
      <c r="I1144" s="334"/>
      <c r="M1144" s="344"/>
      <c r="N1144" s="376"/>
    </row>
    <row r="1145" ht="15.75" customHeight="1">
      <c r="A1145" s="334"/>
      <c r="B1145" s="362"/>
      <c r="C1145" s="334"/>
      <c r="D1145" s="334"/>
      <c r="E1145" s="334"/>
      <c r="F1145" s="334"/>
      <c r="G1145" s="334"/>
      <c r="I1145" s="334"/>
      <c r="M1145" s="344"/>
      <c r="N1145" s="376"/>
    </row>
    <row r="1146" ht="15.75" customHeight="1">
      <c r="A1146" s="334"/>
      <c r="B1146" s="362"/>
      <c r="C1146" s="334"/>
      <c r="D1146" s="334"/>
      <c r="E1146" s="334"/>
      <c r="F1146" s="334"/>
      <c r="G1146" s="334"/>
      <c r="I1146" s="334"/>
      <c r="M1146" s="344"/>
      <c r="N1146" s="376"/>
    </row>
    <row r="1147" ht="15.75" customHeight="1">
      <c r="A1147" s="334"/>
      <c r="B1147" s="362"/>
      <c r="C1147" s="334"/>
      <c r="D1147" s="334"/>
      <c r="E1147" s="334"/>
      <c r="F1147" s="334"/>
      <c r="G1147" s="334"/>
      <c r="I1147" s="334"/>
      <c r="M1147" s="344"/>
      <c r="N1147" s="376"/>
    </row>
    <row r="1148" ht="15.75" customHeight="1">
      <c r="A1148" s="334"/>
      <c r="B1148" s="362"/>
      <c r="C1148" s="334"/>
      <c r="D1148" s="334"/>
      <c r="E1148" s="334"/>
      <c r="F1148" s="334"/>
      <c r="G1148" s="334"/>
      <c r="I1148" s="334"/>
      <c r="M1148" s="344"/>
      <c r="N1148" s="376"/>
    </row>
    <row r="1149" ht="15.75" customHeight="1">
      <c r="A1149" s="334"/>
      <c r="B1149" s="362"/>
      <c r="C1149" s="334"/>
      <c r="D1149" s="334"/>
      <c r="E1149" s="334"/>
      <c r="F1149" s="334"/>
      <c r="G1149" s="334"/>
      <c r="I1149" s="334"/>
      <c r="M1149" s="344"/>
      <c r="N1149" s="376"/>
    </row>
    <row r="1150" ht="15.75" customHeight="1">
      <c r="A1150" s="334"/>
      <c r="B1150" s="362"/>
      <c r="C1150" s="334"/>
      <c r="D1150" s="334"/>
      <c r="E1150" s="334"/>
      <c r="F1150" s="334"/>
      <c r="G1150" s="334"/>
      <c r="I1150" s="334"/>
      <c r="M1150" s="344"/>
      <c r="N1150" s="376"/>
    </row>
    <row r="1151" ht="15.75" customHeight="1">
      <c r="A1151" s="334"/>
      <c r="B1151" s="362"/>
      <c r="C1151" s="334"/>
      <c r="D1151" s="334"/>
      <c r="E1151" s="334"/>
      <c r="F1151" s="334"/>
      <c r="G1151" s="334"/>
      <c r="I1151" s="334"/>
      <c r="M1151" s="344"/>
      <c r="N1151" s="376"/>
    </row>
    <row r="1152" ht="15.75" customHeight="1">
      <c r="A1152" s="334"/>
      <c r="B1152" s="362"/>
      <c r="C1152" s="334"/>
      <c r="D1152" s="334"/>
      <c r="E1152" s="334"/>
      <c r="F1152" s="334"/>
      <c r="G1152" s="334"/>
      <c r="I1152" s="334"/>
      <c r="M1152" s="344"/>
      <c r="N1152" s="376"/>
    </row>
    <row r="1153" ht="15.75" customHeight="1">
      <c r="A1153" s="334"/>
      <c r="B1153" s="362"/>
      <c r="C1153" s="334"/>
      <c r="D1153" s="334"/>
      <c r="E1153" s="334"/>
      <c r="F1153" s="334"/>
      <c r="G1153" s="334"/>
      <c r="I1153" s="334"/>
      <c r="M1153" s="344"/>
      <c r="N1153" s="376"/>
    </row>
    <row r="1154" ht="15.75" customHeight="1">
      <c r="A1154" s="334"/>
      <c r="B1154" s="362"/>
      <c r="C1154" s="334"/>
      <c r="D1154" s="334"/>
      <c r="E1154" s="334"/>
      <c r="F1154" s="334"/>
      <c r="G1154" s="334"/>
      <c r="I1154" s="334"/>
      <c r="M1154" s="344"/>
      <c r="N1154" s="376"/>
    </row>
    <row r="1155" ht="15.75" customHeight="1">
      <c r="A1155" s="334"/>
      <c r="B1155" s="362"/>
      <c r="C1155" s="334"/>
      <c r="D1155" s="334"/>
      <c r="E1155" s="334"/>
      <c r="F1155" s="334"/>
      <c r="G1155" s="334"/>
      <c r="I1155" s="334"/>
      <c r="M1155" s="344"/>
      <c r="N1155" s="376"/>
    </row>
    <row r="1156" ht="15.75" customHeight="1">
      <c r="A1156" s="334"/>
      <c r="B1156" s="362"/>
      <c r="C1156" s="334"/>
      <c r="D1156" s="334"/>
      <c r="E1156" s="334"/>
      <c r="F1156" s="334"/>
      <c r="G1156" s="334"/>
      <c r="I1156" s="334"/>
      <c r="M1156" s="344"/>
      <c r="N1156" s="376"/>
    </row>
    <row r="1157" ht="15.75" customHeight="1">
      <c r="A1157" s="334"/>
      <c r="B1157" s="362"/>
      <c r="C1157" s="334"/>
      <c r="D1157" s="334"/>
      <c r="E1157" s="334"/>
      <c r="F1157" s="334"/>
      <c r="G1157" s="334"/>
      <c r="I1157" s="334"/>
      <c r="M1157" s="344"/>
      <c r="N1157" s="376"/>
    </row>
    <row r="1158" ht="15.75" customHeight="1">
      <c r="A1158" s="334"/>
      <c r="B1158" s="362"/>
      <c r="C1158" s="334"/>
      <c r="D1158" s="334"/>
      <c r="E1158" s="334"/>
      <c r="F1158" s="334"/>
      <c r="G1158" s="334"/>
      <c r="I1158" s="334"/>
      <c r="M1158" s="344"/>
      <c r="N1158" s="376"/>
    </row>
    <row r="1159" ht="15.75" customHeight="1">
      <c r="A1159" s="334"/>
      <c r="B1159" s="362"/>
      <c r="C1159" s="334"/>
      <c r="D1159" s="334"/>
      <c r="E1159" s="334"/>
      <c r="F1159" s="334"/>
      <c r="G1159" s="334"/>
      <c r="I1159" s="334"/>
      <c r="M1159" s="344"/>
      <c r="N1159" s="376"/>
    </row>
    <row r="1160" ht="15.75" customHeight="1">
      <c r="A1160" s="334"/>
      <c r="B1160" s="362"/>
      <c r="C1160" s="334"/>
      <c r="D1160" s="334"/>
      <c r="E1160" s="334"/>
      <c r="F1160" s="334"/>
      <c r="G1160" s="334"/>
      <c r="I1160" s="334"/>
      <c r="M1160" s="344"/>
      <c r="N1160" s="376"/>
    </row>
    <row r="1161" ht="15.75" customHeight="1">
      <c r="A1161" s="334"/>
      <c r="B1161" s="362"/>
      <c r="C1161" s="334"/>
      <c r="D1161" s="334"/>
      <c r="E1161" s="334"/>
      <c r="F1161" s="334"/>
      <c r="G1161" s="334"/>
      <c r="I1161" s="334"/>
      <c r="M1161" s="344"/>
      <c r="N1161" s="376"/>
    </row>
    <row r="1162" ht="15.75" customHeight="1">
      <c r="A1162" s="334"/>
      <c r="B1162" s="362"/>
      <c r="C1162" s="334"/>
      <c r="D1162" s="334"/>
      <c r="E1162" s="334"/>
      <c r="F1162" s="334"/>
      <c r="G1162" s="334"/>
      <c r="I1162" s="334"/>
      <c r="M1162" s="344"/>
      <c r="N1162" s="376"/>
    </row>
    <row r="1163" ht="15.75" customHeight="1">
      <c r="A1163" s="334"/>
      <c r="B1163" s="362"/>
      <c r="C1163" s="334"/>
      <c r="D1163" s="334"/>
      <c r="E1163" s="334"/>
      <c r="F1163" s="334"/>
      <c r="G1163" s="334"/>
      <c r="I1163" s="334"/>
      <c r="M1163" s="344"/>
      <c r="N1163" s="376"/>
    </row>
    <row r="1164" ht="15.75" customHeight="1">
      <c r="A1164" s="334"/>
      <c r="B1164" s="362"/>
      <c r="C1164" s="334"/>
      <c r="D1164" s="334"/>
      <c r="E1164" s="334"/>
      <c r="F1164" s="334"/>
      <c r="G1164" s="334"/>
      <c r="I1164" s="334"/>
      <c r="M1164" s="344"/>
      <c r="N1164" s="376"/>
    </row>
    <row r="1165" ht="15.75" customHeight="1">
      <c r="A1165" s="334"/>
      <c r="B1165" s="362"/>
      <c r="C1165" s="334"/>
      <c r="D1165" s="334"/>
      <c r="E1165" s="334"/>
      <c r="F1165" s="334"/>
      <c r="G1165" s="334"/>
      <c r="I1165" s="334"/>
      <c r="M1165" s="344"/>
      <c r="N1165" s="376"/>
    </row>
    <row r="1166" ht="15.75" customHeight="1">
      <c r="A1166" s="334"/>
      <c r="B1166" s="362"/>
      <c r="C1166" s="334"/>
      <c r="D1166" s="334"/>
      <c r="E1166" s="334"/>
      <c r="F1166" s="334"/>
      <c r="G1166" s="334"/>
      <c r="I1166" s="334"/>
      <c r="M1166" s="344"/>
      <c r="N1166" s="376"/>
    </row>
    <row r="1167" ht="15.75" customHeight="1">
      <c r="A1167" s="334"/>
      <c r="B1167" s="362"/>
      <c r="C1167" s="334"/>
      <c r="D1167" s="334"/>
      <c r="E1167" s="334"/>
      <c r="F1167" s="334"/>
      <c r="G1167" s="334"/>
      <c r="I1167" s="334"/>
      <c r="M1167" s="344"/>
      <c r="N1167" s="376"/>
    </row>
    <row r="1168" ht="15.75" customHeight="1">
      <c r="A1168" s="334"/>
      <c r="B1168" s="362"/>
      <c r="C1168" s="334"/>
      <c r="D1168" s="334"/>
      <c r="E1168" s="334"/>
      <c r="F1168" s="334"/>
      <c r="G1168" s="334"/>
      <c r="I1168" s="334"/>
      <c r="M1168" s="344"/>
      <c r="N1168" s="376"/>
    </row>
    <row r="1169" ht="15.75" customHeight="1">
      <c r="A1169" s="334"/>
      <c r="B1169" s="362"/>
      <c r="C1169" s="334"/>
      <c r="D1169" s="334"/>
      <c r="E1169" s="334"/>
      <c r="F1169" s="334"/>
      <c r="G1169" s="334"/>
      <c r="I1169" s="334"/>
      <c r="M1169" s="344"/>
      <c r="N1169" s="376"/>
    </row>
    <row r="1170" ht="15.75" customHeight="1">
      <c r="A1170" s="334"/>
      <c r="B1170" s="362"/>
      <c r="C1170" s="334"/>
      <c r="D1170" s="334"/>
      <c r="E1170" s="334"/>
      <c r="F1170" s="334"/>
      <c r="G1170" s="334"/>
      <c r="I1170" s="334"/>
      <c r="M1170" s="344"/>
      <c r="N1170" s="376"/>
    </row>
    <row r="1171" ht="15.75" customHeight="1">
      <c r="A1171" s="334"/>
      <c r="B1171" s="362"/>
      <c r="C1171" s="334"/>
      <c r="D1171" s="334"/>
      <c r="E1171" s="334"/>
      <c r="F1171" s="334"/>
      <c r="G1171" s="334"/>
      <c r="I1171" s="334"/>
      <c r="M1171" s="344"/>
      <c r="N1171" s="376"/>
    </row>
    <row r="1172" ht="15.75" customHeight="1">
      <c r="A1172" s="334"/>
      <c r="B1172" s="362"/>
      <c r="C1172" s="334"/>
      <c r="D1172" s="334"/>
      <c r="E1172" s="334"/>
      <c r="F1172" s="334"/>
      <c r="G1172" s="334"/>
      <c r="I1172" s="334"/>
      <c r="M1172" s="344"/>
      <c r="N1172" s="376"/>
    </row>
    <row r="1173" ht="15.75" customHeight="1">
      <c r="A1173" s="334"/>
      <c r="B1173" s="362"/>
      <c r="C1173" s="334"/>
      <c r="D1173" s="334"/>
      <c r="E1173" s="334"/>
      <c r="F1173" s="334"/>
      <c r="G1173" s="334"/>
      <c r="I1173" s="334"/>
      <c r="M1173" s="344"/>
      <c r="N1173" s="376"/>
    </row>
    <row r="1174" ht="15.75" customHeight="1">
      <c r="A1174" s="334"/>
      <c r="B1174" s="362"/>
      <c r="C1174" s="334"/>
      <c r="D1174" s="334"/>
      <c r="E1174" s="334"/>
      <c r="F1174" s="334"/>
      <c r="G1174" s="334"/>
      <c r="I1174" s="334"/>
      <c r="M1174" s="344"/>
      <c r="N1174" s="376"/>
    </row>
    <row r="1175" ht="15.75" customHeight="1">
      <c r="A1175" s="334"/>
      <c r="B1175" s="362"/>
      <c r="C1175" s="334"/>
      <c r="D1175" s="334"/>
      <c r="E1175" s="334"/>
      <c r="F1175" s="334"/>
      <c r="G1175" s="334"/>
      <c r="I1175" s="334"/>
      <c r="M1175" s="344"/>
      <c r="N1175" s="376"/>
    </row>
    <row r="1176" ht="15.75" customHeight="1">
      <c r="A1176" s="334"/>
      <c r="B1176" s="362"/>
      <c r="C1176" s="334"/>
      <c r="D1176" s="334"/>
      <c r="E1176" s="334"/>
      <c r="F1176" s="334"/>
      <c r="G1176" s="334"/>
      <c r="I1176" s="334"/>
      <c r="M1176" s="344"/>
      <c r="N1176" s="376"/>
    </row>
    <row r="1177" ht="15.75" customHeight="1">
      <c r="A1177" s="334"/>
      <c r="B1177" s="362"/>
      <c r="C1177" s="334"/>
      <c r="D1177" s="334"/>
      <c r="E1177" s="334"/>
      <c r="F1177" s="334"/>
      <c r="G1177" s="334"/>
      <c r="I1177" s="334"/>
      <c r="M1177" s="344"/>
      <c r="N1177" s="376"/>
    </row>
    <row r="1178" ht="15.75" customHeight="1">
      <c r="A1178" s="334"/>
      <c r="B1178" s="362"/>
      <c r="C1178" s="334"/>
      <c r="D1178" s="334"/>
      <c r="E1178" s="334"/>
      <c r="F1178" s="334"/>
      <c r="G1178" s="334"/>
      <c r="I1178" s="334"/>
      <c r="M1178" s="344"/>
      <c r="N1178" s="376"/>
    </row>
    <row r="1179" ht="15.75" customHeight="1">
      <c r="A1179" s="334"/>
      <c r="B1179" s="362"/>
      <c r="C1179" s="334"/>
      <c r="D1179" s="334"/>
      <c r="E1179" s="334"/>
      <c r="F1179" s="334"/>
      <c r="G1179" s="334"/>
      <c r="I1179" s="334"/>
      <c r="M1179" s="344"/>
      <c r="N1179" s="376"/>
    </row>
    <row r="1180" ht="15.75" customHeight="1">
      <c r="A1180" s="334"/>
      <c r="B1180" s="362"/>
      <c r="C1180" s="334"/>
      <c r="D1180" s="334"/>
      <c r="E1180" s="334"/>
      <c r="F1180" s="334"/>
      <c r="G1180" s="334"/>
      <c r="I1180" s="334"/>
      <c r="M1180" s="344"/>
      <c r="N1180" s="376"/>
    </row>
    <row r="1181" ht="15.75" customHeight="1">
      <c r="A1181" s="334"/>
      <c r="B1181" s="362"/>
      <c r="C1181" s="334"/>
      <c r="D1181" s="334"/>
      <c r="E1181" s="334"/>
      <c r="F1181" s="334"/>
      <c r="G1181" s="334"/>
      <c r="I1181" s="334"/>
      <c r="M1181" s="344"/>
      <c r="N1181" s="376"/>
    </row>
    <row r="1182" ht="15.75" customHeight="1">
      <c r="A1182" s="334"/>
      <c r="B1182" s="362"/>
      <c r="C1182" s="334"/>
      <c r="D1182" s="334"/>
      <c r="E1182" s="334"/>
      <c r="F1182" s="334"/>
      <c r="G1182" s="334"/>
      <c r="I1182" s="334"/>
      <c r="M1182" s="344"/>
      <c r="N1182" s="376"/>
    </row>
    <row r="1183" ht="15.75" customHeight="1">
      <c r="A1183" s="334"/>
      <c r="B1183" s="362"/>
      <c r="C1183" s="334"/>
      <c r="D1183" s="334"/>
      <c r="E1183" s="334"/>
      <c r="F1183" s="334"/>
      <c r="G1183" s="334"/>
      <c r="I1183" s="334"/>
      <c r="M1183" s="344"/>
      <c r="N1183" s="376"/>
    </row>
    <row r="1184" ht="15.75" customHeight="1">
      <c r="A1184" s="334"/>
      <c r="B1184" s="362"/>
      <c r="C1184" s="334"/>
      <c r="D1184" s="334"/>
      <c r="E1184" s="334"/>
      <c r="F1184" s="334"/>
      <c r="G1184" s="334"/>
      <c r="I1184" s="334"/>
      <c r="M1184" s="344"/>
      <c r="N1184" s="376"/>
    </row>
    <row r="1185" ht="15.75" customHeight="1">
      <c r="A1185" s="334"/>
      <c r="B1185" s="362"/>
      <c r="C1185" s="334"/>
      <c r="D1185" s="334"/>
      <c r="E1185" s="334"/>
      <c r="F1185" s="334"/>
      <c r="G1185" s="334"/>
      <c r="I1185" s="334"/>
      <c r="M1185" s="344"/>
      <c r="N1185" s="376"/>
    </row>
    <row r="1186" ht="15.75" customHeight="1">
      <c r="A1186" s="334"/>
      <c r="B1186" s="362"/>
      <c r="C1186" s="334"/>
      <c r="D1186" s="334"/>
      <c r="E1186" s="334"/>
      <c r="F1186" s="334"/>
      <c r="G1186" s="334"/>
      <c r="I1186" s="334"/>
      <c r="M1186" s="344"/>
      <c r="N1186" s="376"/>
    </row>
    <row r="1187" ht="15.75" customHeight="1">
      <c r="A1187" s="334"/>
      <c r="B1187" s="362"/>
      <c r="C1187" s="334"/>
      <c r="D1187" s="334"/>
      <c r="E1187" s="334"/>
      <c r="F1187" s="334"/>
      <c r="G1187" s="334"/>
      <c r="I1187" s="334"/>
      <c r="M1187" s="344"/>
      <c r="N1187" s="376"/>
    </row>
    <row r="1188" ht="15.75" customHeight="1">
      <c r="A1188" s="334"/>
      <c r="B1188" s="362"/>
      <c r="C1188" s="334"/>
      <c r="D1188" s="334"/>
      <c r="E1188" s="334"/>
      <c r="F1188" s="334"/>
      <c r="G1188" s="334"/>
      <c r="I1188" s="334"/>
      <c r="M1188" s="344"/>
      <c r="N1188" s="376"/>
    </row>
    <row r="1189" ht="15.75" customHeight="1">
      <c r="A1189" s="334"/>
      <c r="B1189" s="362"/>
      <c r="C1189" s="334"/>
      <c r="D1189" s="334"/>
      <c r="E1189" s="334"/>
      <c r="F1189" s="334"/>
      <c r="G1189" s="334"/>
      <c r="I1189" s="334"/>
      <c r="M1189" s="344"/>
      <c r="N1189" s="376"/>
    </row>
    <row r="1190" ht="15.75" customHeight="1">
      <c r="A1190" s="334"/>
      <c r="B1190" s="362"/>
      <c r="C1190" s="334"/>
      <c r="D1190" s="334"/>
      <c r="E1190" s="334"/>
      <c r="F1190" s="334"/>
      <c r="G1190" s="334"/>
      <c r="I1190" s="334"/>
      <c r="M1190" s="344"/>
      <c r="N1190" s="376"/>
    </row>
    <row r="1191" ht="15.75" customHeight="1">
      <c r="A1191" s="334"/>
      <c r="B1191" s="362"/>
      <c r="C1191" s="334"/>
      <c r="D1191" s="334"/>
      <c r="E1191" s="334"/>
      <c r="F1191" s="334"/>
      <c r="G1191" s="334"/>
      <c r="I1191" s="334"/>
      <c r="M1191" s="344"/>
      <c r="N1191" s="376"/>
    </row>
    <row r="1192" ht="15.75" customHeight="1">
      <c r="A1192" s="334"/>
      <c r="B1192" s="362"/>
      <c r="C1192" s="334"/>
      <c r="D1192" s="334"/>
      <c r="E1192" s="334"/>
      <c r="F1192" s="334"/>
      <c r="G1192" s="334"/>
      <c r="I1192" s="334"/>
      <c r="M1192" s="344"/>
      <c r="N1192" s="376"/>
    </row>
    <row r="1193" ht="15.75" customHeight="1">
      <c r="A1193" s="334"/>
      <c r="B1193" s="362"/>
      <c r="C1193" s="334"/>
      <c r="D1193" s="334"/>
      <c r="E1193" s="334"/>
      <c r="F1193" s="334"/>
      <c r="G1193" s="334"/>
      <c r="I1193" s="334"/>
      <c r="M1193" s="344"/>
      <c r="N1193" s="376"/>
    </row>
    <row r="1194" ht="15.75" customHeight="1">
      <c r="A1194" s="334"/>
      <c r="B1194" s="362"/>
      <c r="C1194" s="334"/>
      <c r="D1194" s="334"/>
      <c r="E1194" s="334"/>
      <c r="F1194" s="334"/>
      <c r="G1194" s="334"/>
      <c r="I1194" s="334"/>
      <c r="M1194" s="344"/>
      <c r="N1194" s="376"/>
    </row>
    <row r="1195" ht="15.75" customHeight="1">
      <c r="A1195" s="334"/>
      <c r="B1195" s="362"/>
      <c r="C1195" s="334"/>
      <c r="D1195" s="334"/>
      <c r="E1195" s="334"/>
      <c r="F1195" s="334"/>
      <c r="G1195" s="334"/>
      <c r="I1195" s="334"/>
      <c r="M1195" s="344"/>
      <c r="N1195" s="376"/>
    </row>
    <row r="1196" ht="15.75" customHeight="1">
      <c r="A1196" s="334"/>
      <c r="B1196" s="362"/>
      <c r="C1196" s="334"/>
      <c r="D1196" s="334"/>
      <c r="E1196" s="334"/>
      <c r="F1196" s="334"/>
      <c r="G1196" s="334"/>
      <c r="I1196" s="334"/>
      <c r="M1196" s="344"/>
      <c r="N1196" s="376"/>
    </row>
    <row r="1197" ht="15.75" customHeight="1">
      <c r="A1197" s="334"/>
      <c r="B1197" s="362"/>
      <c r="C1197" s="334"/>
      <c r="D1197" s="334"/>
      <c r="E1197" s="334"/>
      <c r="F1197" s="334"/>
      <c r="G1197" s="334"/>
      <c r="I1197" s="334"/>
      <c r="M1197" s="344"/>
      <c r="N1197" s="376"/>
    </row>
    <row r="1198" ht="15.75" customHeight="1">
      <c r="A1198" s="334"/>
      <c r="B1198" s="362"/>
      <c r="C1198" s="334"/>
      <c r="D1198" s="334"/>
      <c r="E1198" s="334"/>
      <c r="F1198" s="334"/>
      <c r="G1198" s="334"/>
      <c r="I1198" s="334"/>
      <c r="M1198" s="344"/>
      <c r="N1198" s="376"/>
    </row>
    <row r="1199" ht="15.75" customHeight="1">
      <c r="A1199" s="334"/>
      <c r="B1199" s="362"/>
      <c r="C1199" s="334"/>
      <c r="D1199" s="334"/>
      <c r="E1199" s="334"/>
      <c r="F1199" s="334"/>
      <c r="G1199" s="334"/>
      <c r="I1199" s="334"/>
      <c r="M1199" s="344"/>
      <c r="N1199" s="376"/>
    </row>
    <row r="1200" ht="15.75" customHeight="1">
      <c r="A1200" s="334"/>
      <c r="B1200" s="362"/>
      <c r="C1200" s="334"/>
      <c r="D1200" s="334"/>
      <c r="E1200" s="334"/>
      <c r="F1200" s="334"/>
      <c r="G1200" s="334"/>
      <c r="I1200" s="334"/>
      <c r="M1200" s="344"/>
      <c r="N1200" s="376"/>
    </row>
    <row r="1201" ht="15.75" customHeight="1">
      <c r="A1201" s="334"/>
      <c r="B1201" s="362"/>
      <c r="C1201" s="334"/>
      <c r="D1201" s="334"/>
      <c r="E1201" s="334"/>
      <c r="F1201" s="334"/>
      <c r="G1201" s="334"/>
      <c r="I1201" s="334"/>
      <c r="M1201" s="344"/>
      <c r="N1201" s="376"/>
    </row>
    <row r="1202" ht="15.75" customHeight="1">
      <c r="A1202" s="334"/>
      <c r="B1202" s="362"/>
      <c r="C1202" s="334"/>
      <c r="D1202" s="334"/>
      <c r="E1202" s="334"/>
      <c r="F1202" s="334"/>
      <c r="G1202" s="334"/>
      <c r="I1202" s="334"/>
      <c r="M1202" s="344"/>
      <c r="N1202" s="376"/>
    </row>
    <row r="1203" ht="15.75" customHeight="1">
      <c r="A1203" s="334"/>
      <c r="B1203" s="362"/>
      <c r="C1203" s="334"/>
      <c r="D1203" s="334"/>
      <c r="E1203" s="334"/>
      <c r="F1203" s="334"/>
      <c r="G1203" s="334"/>
      <c r="I1203" s="334"/>
      <c r="M1203" s="344"/>
      <c r="N1203" s="376"/>
    </row>
    <row r="1204" ht="15.75" customHeight="1">
      <c r="A1204" s="334"/>
      <c r="B1204" s="362"/>
      <c r="C1204" s="334"/>
      <c r="D1204" s="334"/>
      <c r="E1204" s="334"/>
      <c r="F1204" s="334"/>
      <c r="G1204" s="334"/>
      <c r="I1204" s="334"/>
      <c r="M1204" s="344"/>
      <c r="N1204" s="376"/>
    </row>
    <row r="1205" ht="15.75" customHeight="1">
      <c r="A1205" s="334"/>
      <c r="B1205" s="362"/>
      <c r="C1205" s="334"/>
      <c r="D1205" s="334"/>
      <c r="E1205" s="334"/>
      <c r="F1205" s="334"/>
      <c r="G1205" s="334"/>
      <c r="I1205" s="334"/>
      <c r="M1205" s="344"/>
      <c r="N1205" s="376"/>
    </row>
    <row r="1206" ht="15.75" customHeight="1">
      <c r="A1206" s="334"/>
      <c r="B1206" s="362"/>
      <c r="C1206" s="334"/>
      <c r="D1206" s="334"/>
      <c r="E1206" s="334"/>
      <c r="F1206" s="334"/>
      <c r="G1206" s="334"/>
      <c r="I1206" s="334"/>
      <c r="M1206" s="344"/>
      <c r="N1206" s="376"/>
    </row>
    <row r="1207" ht="15.75" customHeight="1">
      <c r="A1207" s="334"/>
      <c r="B1207" s="362"/>
      <c r="C1207" s="334"/>
      <c r="D1207" s="334"/>
      <c r="E1207" s="334"/>
      <c r="F1207" s="334"/>
      <c r="G1207" s="334"/>
      <c r="I1207" s="334"/>
      <c r="M1207" s="344"/>
      <c r="N1207" s="376"/>
    </row>
    <row r="1208" ht="15.75" customHeight="1">
      <c r="A1208" s="334"/>
      <c r="B1208" s="362"/>
      <c r="C1208" s="334"/>
      <c r="D1208" s="334"/>
      <c r="E1208" s="334"/>
      <c r="F1208" s="334"/>
      <c r="G1208" s="334"/>
      <c r="I1208" s="334"/>
      <c r="M1208" s="344"/>
      <c r="N1208" s="376"/>
    </row>
    <row r="1209" ht="15.75" customHeight="1">
      <c r="A1209" s="334"/>
      <c r="B1209" s="362"/>
      <c r="C1209" s="334"/>
      <c r="D1209" s="334"/>
      <c r="E1209" s="334"/>
      <c r="F1209" s="334"/>
      <c r="G1209" s="334"/>
      <c r="I1209" s="334"/>
      <c r="M1209" s="344"/>
      <c r="N1209" s="376"/>
    </row>
    <row r="1210" ht="15.75" customHeight="1">
      <c r="A1210" s="334"/>
      <c r="B1210" s="362"/>
      <c r="C1210" s="334"/>
      <c r="D1210" s="334"/>
      <c r="E1210" s="334"/>
      <c r="F1210" s="334"/>
      <c r="G1210" s="334"/>
      <c r="I1210" s="334"/>
      <c r="M1210" s="344"/>
      <c r="N1210" s="376"/>
    </row>
    <row r="1211" ht="15.75" customHeight="1">
      <c r="A1211" s="334"/>
      <c r="B1211" s="362"/>
      <c r="C1211" s="334"/>
      <c r="D1211" s="334"/>
      <c r="E1211" s="334"/>
      <c r="F1211" s="334"/>
      <c r="G1211" s="334"/>
      <c r="I1211" s="334"/>
      <c r="M1211" s="344"/>
      <c r="N1211" s="376"/>
    </row>
    <row r="1212" ht="15.75" customHeight="1">
      <c r="A1212" s="334"/>
      <c r="B1212" s="362"/>
      <c r="C1212" s="334"/>
      <c r="D1212" s="334"/>
      <c r="E1212" s="334"/>
      <c r="F1212" s="334"/>
      <c r="G1212" s="334"/>
      <c r="I1212" s="334"/>
      <c r="M1212" s="344"/>
      <c r="N1212" s="376"/>
    </row>
    <row r="1213" ht="15.75" customHeight="1">
      <c r="A1213" s="334"/>
      <c r="B1213" s="362"/>
      <c r="C1213" s="334"/>
      <c r="D1213" s="334"/>
      <c r="E1213" s="334"/>
      <c r="F1213" s="334"/>
      <c r="G1213" s="334"/>
      <c r="I1213" s="334"/>
      <c r="M1213" s="344"/>
      <c r="N1213" s="376"/>
    </row>
    <row r="1214" ht="15.75" customHeight="1">
      <c r="A1214" s="334"/>
      <c r="B1214" s="362"/>
      <c r="C1214" s="334"/>
      <c r="D1214" s="334"/>
      <c r="E1214" s="334"/>
      <c r="F1214" s="334"/>
      <c r="G1214" s="334"/>
      <c r="I1214" s="334"/>
      <c r="M1214" s="344"/>
      <c r="N1214" s="376"/>
    </row>
    <row r="1215" ht="15.75" customHeight="1">
      <c r="A1215" s="334"/>
      <c r="B1215" s="362"/>
      <c r="C1215" s="334"/>
      <c r="D1215" s="334"/>
      <c r="E1215" s="334"/>
      <c r="F1215" s="334"/>
      <c r="G1215" s="334"/>
      <c r="I1215" s="334"/>
      <c r="M1215" s="344"/>
      <c r="N1215" s="376"/>
    </row>
    <row r="1216" ht="15.75" customHeight="1">
      <c r="A1216" s="334"/>
      <c r="B1216" s="362"/>
      <c r="C1216" s="334"/>
      <c r="D1216" s="334"/>
      <c r="E1216" s="334"/>
      <c r="F1216" s="334"/>
      <c r="G1216" s="334"/>
      <c r="I1216" s="334"/>
      <c r="M1216" s="344"/>
      <c r="N1216" s="376"/>
    </row>
    <row r="1217" ht="15.75" customHeight="1">
      <c r="A1217" s="334"/>
      <c r="B1217" s="362"/>
      <c r="C1217" s="334"/>
      <c r="D1217" s="334"/>
      <c r="E1217" s="334"/>
      <c r="F1217" s="334"/>
      <c r="G1217" s="334"/>
      <c r="I1217" s="334"/>
      <c r="M1217" s="344"/>
      <c r="N1217" s="376"/>
    </row>
    <row r="1218" ht="15.75" customHeight="1">
      <c r="A1218" s="334"/>
      <c r="B1218" s="362"/>
      <c r="C1218" s="334"/>
      <c r="D1218" s="334"/>
      <c r="E1218" s="334"/>
      <c r="F1218" s="334"/>
      <c r="G1218" s="334"/>
      <c r="I1218" s="334"/>
      <c r="M1218" s="344"/>
      <c r="N1218" s="376"/>
    </row>
    <row r="1219" ht="15.75" customHeight="1">
      <c r="A1219" s="334"/>
      <c r="B1219" s="362"/>
      <c r="C1219" s="334"/>
      <c r="D1219" s="334"/>
      <c r="E1219" s="334"/>
      <c r="F1219" s="334"/>
      <c r="G1219" s="334"/>
      <c r="I1219" s="334"/>
      <c r="M1219" s="344"/>
      <c r="N1219" s="376"/>
    </row>
    <row r="1220" ht="15.75" customHeight="1">
      <c r="A1220" s="334"/>
      <c r="B1220" s="362"/>
      <c r="C1220" s="334"/>
      <c r="D1220" s="334"/>
      <c r="E1220" s="334"/>
      <c r="F1220" s="334"/>
      <c r="G1220" s="334"/>
      <c r="I1220" s="334"/>
      <c r="M1220" s="344"/>
      <c r="N1220" s="376"/>
    </row>
    <row r="1221" ht="15.75" customHeight="1">
      <c r="A1221" s="334"/>
      <c r="B1221" s="362"/>
      <c r="C1221" s="334"/>
      <c r="D1221" s="334"/>
      <c r="E1221" s="334"/>
      <c r="F1221" s="334"/>
      <c r="G1221" s="334"/>
      <c r="I1221" s="334"/>
      <c r="M1221" s="344"/>
      <c r="N1221" s="376"/>
    </row>
    <row r="1222" ht="15.75" customHeight="1">
      <c r="A1222" s="334"/>
      <c r="B1222" s="362"/>
      <c r="C1222" s="334"/>
      <c r="D1222" s="334"/>
      <c r="E1222" s="334"/>
      <c r="F1222" s="334"/>
      <c r="G1222" s="334"/>
      <c r="I1222" s="334"/>
      <c r="M1222" s="344"/>
      <c r="N1222" s="376"/>
    </row>
    <row r="1223" ht="15.75" customHeight="1">
      <c r="A1223" s="334"/>
      <c r="B1223" s="362"/>
      <c r="C1223" s="334"/>
      <c r="D1223" s="334"/>
      <c r="E1223" s="334"/>
      <c r="F1223" s="334"/>
      <c r="G1223" s="334"/>
      <c r="I1223" s="334"/>
      <c r="M1223" s="344"/>
      <c r="N1223" s="376"/>
    </row>
    <row r="1224" ht="15.75" customHeight="1">
      <c r="A1224" s="334"/>
      <c r="B1224" s="362"/>
      <c r="C1224" s="334"/>
      <c r="D1224" s="334"/>
      <c r="E1224" s="334"/>
      <c r="F1224" s="334"/>
      <c r="G1224" s="334"/>
      <c r="I1224" s="334"/>
      <c r="M1224" s="344"/>
      <c r="N1224" s="376"/>
    </row>
    <row r="1225" ht="15.75" customHeight="1">
      <c r="A1225" s="334"/>
      <c r="B1225" s="362"/>
      <c r="C1225" s="334"/>
      <c r="D1225" s="334"/>
      <c r="E1225" s="334"/>
      <c r="F1225" s="334"/>
      <c r="G1225" s="334"/>
      <c r="I1225" s="334"/>
      <c r="M1225" s="344"/>
      <c r="N1225" s="376"/>
    </row>
    <row r="1226" ht="15.75" customHeight="1">
      <c r="A1226" s="334"/>
      <c r="B1226" s="362"/>
      <c r="C1226" s="334"/>
      <c r="D1226" s="334"/>
      <c r="E1226" s="334"/>
      <c r="F1226" s="334"/>
      <c r="G1226" s="334"/>
      <c r="I1226" s="334"/>
      <c r="M1226" s="344"/>
      <c r="N1226" s="376"/>
    </row>
    <row r="1227" ht="15.75" customHeight="1">
      <c r="A1227" s="334"/>
      <c r="B1227" s="362"/>
      <c r="C1227" s="334"/>
      <c r="D1227" s="334"/>
      <c r="E1227" s="334"/>
      <c r="F1227" s="334"/>
      <c r="G1227" s="334"/>
      <c r="I1227" s="334"/>
      <c r="M1227" s="344"/>
      <c r="N1227" s="376"/>
    </row>
    <row r="1228" ht="15.75" customHeight="1">
      <c r="A1228" s="334"/>
      <c r="B1228" s="362"/>
      <c r="C1228" s="334"/>
      <c r="D1228" s="334"/>
      <c r="E1228" s="334"/>
      <c r="F1228" s="334"/>
      <c r="G1228" s="334"/>
      <c r="I1228" s="334"/>
      <c r="M1228" s="344"/>
      <c r="N1228" s="376"/>
    </row>
    <row r="1229" ht="15.75" customHeight="1">
      <c r="A1229" s="334"/>
      <c r="B1229" s="362"/>
      <c r="C1229" s="334"/>
      <c r="D1229" s="334"/>
      <c r="E1229" s="334"/>
      <c r="F1229" s="334"/>
      <c r="G1229" s="334"/>
      <c r="I1229" s="334"/>
      <c r="M1229" s="344"/>
      <c r="N1229" s="376"/>
    </row>
    <row r="1230" ht="15.75" customHeight="1">
      <c r="A1230" s="334"/>
      <c r="B1230" s="362"/>
      <c r="C1230" s="334"/>
      <c r="D1230" s="334"/>
      <c r="E1230" s="334"/>
      <c r="F1230" s="334"/>
      <c r="G1230" s="334"/>
      <c r="I1230" s="334"/>
      <c r="M1230" s="344"/>
      <c r="N1230" s="376"/>
    </row>
    <row r="1231" ht="15.75" customHeight="1">
      <c r="A1231" s="334"/>
      <c r="B1231" s="362"/>
      <c r="C1231" s="334"/>
      <c r="D1231" s="334"/>
      <c r="E1231" s="334"/>
      <c r="F1231" s="334"/>
      <c r="G1231" s="334"/>
      <c r="I1231" s="334"/>
      <c r="M1231" s="344"/>
      <c r="N1231" s="376"/>
    </row>
    <row r="1232" ht="15.75" customHeight="1">
      <c r="A1232" s="334"/>
      <c r="B1232" s="362"/>
      <c r="C1232" s="334"/>
      <c r="D1232" s="334"/>
      <c r="E1232" s="334"/>
      <c r="F1232" s="334"/>
      <c r="G1232" s="334"/>
      <c r="I1232" s="334"/>
      <c r="M1232" s="344"/>
      <c r="N1232" s="376"/>
    </row>
    <row r="1233" ht="15.75" customHeight="1">
      <c r="A1233" s="334"/>
      <c r="B1233" s="362"/>
      <c r="C1233" s="334"/>
      <c r="D1233" s="334"/>
      <c r="E1233" s="334"/>
      <c r="F1233" s="334"/>
      <c r="G1233" s="334"/>
      <c r="I1233" s="334"/>
      <c r="M1233" s="344"/>
      <c r="N1233" s="376"/>
    </row>
    <row r="1234" ht="15.75" customHeight="1">
      <c r="A1234" s="334"/>
      <c r="B1234" s="362"/>
      <c r="C1234" s="334"/>
      <c r="D1234" s="334"/>
      <c r="E1234" s="334"/>
      <c r="F1234" s="334"/>
      <c r="G1234" s="334"/>
      <c r="I1234" s="334"/>
      <c r="M1234" s="344"/>
      <c r="N1234" s="376"/>
    </row>
    <row r="1235" ht="15.75" customHeight="1">
      <c r="A1235" s="334"/>
      <c r="B1235" s="362"/>
      <c r="C1235" s="334"/>
      <c r="D1235" s="334"/>
      <c r="E1235" s="334"/>
      <c r="F1235" s="334"/>
      <c r="G1235" s="334"/>
      <c r="I1235" s="334"/>
      <c r="M1235" s="344"/>
      <c r="N1235" s="376"/>
    </row>
    <row r="1236" ht="15.75" customHeight="1">
      <c r="A1236" s="334"/>
      <c r="B1236" s="362"/>
      <c r="C1236" s="334"/>
      <c r="D1236" s="334"/>
      <c r="E1236" s="334"/>
      <c r="F1236" s="334"/>
      <c r="G1236" s="334"/>
      <c r="I1236" s="334"/>
      <c r="M1236" s="344"/>
      <c r="N1236" s="376"/>
    </row>
    <row r="1237" ht="15.75" customHeight="1">
      <c r="A1237" s="334"/>
      <c r="B1237" s="362"/>
      <c r="C1237" s="334"/>
      <c r="D1237" s="334"/>
      <c r="E1237" s="334"/>
      <c r="F1237" s="334"/>
      <c r="G1237" s="334"/>
      <c r="I1237" s="334"/>
      <c r="M1237" s="344"/>
      <c r="N1237" s="376"/>
    </row>
    <row r="1238" ht="15.75" customHeight="1">
      <c r="A1238" s="334"/>
      <c r="B1238" s="362"/>
      <c r="C1238" s="334"/>
      <c r="D1238" s="334"/>
      <c r="E1238" s="334"/>
      <c r="F1238" s="334"/>
      <c r="G1238" s="334"/>
      <c r="I1238" s="334"/>
      <c r="M1238" s="344"/>
      <c r="N1238" s="376"/>
    </row>
    <row r="1239" ht="15.75" customHeight="1">
      <c r="A1239" s="334"/>
      <c r="B1239" s="362"/>
      <c r="C1239" s="334"/>
      <c r="D1239" s="334"/>
      <c r="E1239" s="334"/>
      <c r="F1239" s="334"/>
      <c r="G1239" s="334"/>
      <c r="I1239" s="334"/>
      <c r="M1239" s="344"/>
      <c r="N1239" s="376"/>
    </row>
    <row r="1240" ht="15.75" customHeight="1">
      <c r="A1240" s="334"/>
      <c r="B1240" s="362"/>
      <c r="C1240" s="334"/>
      <c r="D1240" s="334"/>
      <c r="E1240" s="334"/>
      <c r="F1240" s="334"/>
      <c r="G1240" s="334"/>
      <c r="I1240" s="334"/>
      <c r="M1240" s="344"/>
      <c r="N1240" s="376"/>
    </row>
    <row r="1241" ht="15.75" customHeight="1">
      <c r="A1241" s="334"/>
      <c r="B1241" s="362"/>
      <c r="C1241" s="334"/>
      <c r="D1241" s="334"/>
      <c r="E1241" s="334"/>
      <c r="F1241" s="334"/>
      <c r="G1241" s="334"/>
      <c r="I1241" s="334"/>
      <c r="M1241" s="344"/>
      <c r="N1241" s="376"/>
    </row>
    <row r="1242" ht="15.75" customHeight="1">
      <c r="A1242" s="334"/>
      <c r="B1242" s="362"/>
      <c r="C1242" s="334"/>
      <c r="D1242" s="334"/>
      <c r="E1242" s="334"/>
      <c r="F1242" s="334"/>
      <c r="G1242" s="334"/>
      <c r="I1242" s="334"/>
      <c r="M1242" s="344"/>
      <c r="N1242" s="376"/>
    </row>
    <row r="1243" ht="15.75" customHeight="1">
      <c r="A1243" s="334"/>
      <c r="B1243" s="362"/>
      <c r="C1243" s="334"/>
      <c r="D1243" s="334"/>
      <c r="E1243" s="334"/>
      <c r="F1243" s="334"/>
      <c r="G1243" s="334"/>
      <c r="I1243" s="334"/>
      <c r="M1243" s="344"/>
      <c r="N1243" s="376"/>
    </row>
    <row r="1244" ht="15.75" customHeight="1">
      <c r="A1244" s="334"/>
      <c r="B1244" s="362"/>
      <c r="C1244" s="334"/>
      <c r="D1244" s="334"/>
      <c r="E1244" s="334"/>
      <c r="F1244" s="334"/>
      <c r="G1244" s="334"/>
      <c r="I1244" s="334"/>
      <c r="M1244" s="344"/>
      <c r="N1244" s="376"/>
    </row>
    <row r="1245" ht="15.75" customHeight="1">
      <c r="A1245" s="334"/>
      <c r="B1245" s="362"/>
      <c r="C1245" s="334"/>
      <c r="D1245" s="334"/>
      <c r="E1245" s="334"/>
      <c r="F1245" s="334"/>
      <c r="G1245" s="334"/>
      <c r="I1245" s="334"/>
      <c r="M1245" s="344"/>
      <c r="N1245" s="376"/>
    </row>
    <row r="1246" ht="15.75" customHeight="1">
      <c r="A1246" s="334"/>
      <c r="B1246" s="362"/>
      <c r="C1246" s="334"/>
      <c r="D1246" s="334"/>
      <c r="E1246" s="334"/>
      <c r="F1246" s="334"/>
      <c r="G1246" s="334"/>
      <c r="I1246" s="334"/>
      <c r="M1246" s="344"/>
      <c r="N1246" s="376"/>
    </row>
    <row r="1247" ht="15.75" customHeight="1">
      <c r="A1247" s="334"/>
      <c r="B1247" s="362"/>
      <c r="C1247" s="334"/>
      <c r="D1247" s="334"/>
      <c r="E1247" s="334"/>
      <c r="F1247" s="334"/>
      <c r="G1247" s="334"/>
      <c r="I1247" s="334"/>
      <c r="M1247" s="344"/>
      <c r="N1247" s="376"/>
    </row>
    <row r="1248" ht="15.75" customHeight="1">
      <c r="A1248" s="334"/>
      <c r="B1248" s="362"/>
      <c r="C1248" s="334"/>
      <c r="D1248" s="334"/>
      <c r="E1248" s="334"/>
      <c r="F1248" s="334"/>
      <c r="G1248" s="334"/>
      <c r="I1248" s="334"/>
      <c r="M1248" s="344"/>
      <c r="N1248" s="376"/>
    </row>
    <row r="1249" ht="15.75" customHeight="1">
      <c r="A1249" s="334"/>
      <c r="B1249" s="362"/>
      <c r="C1249" s="334"/>
      <c r="D1249" s="334"/>
      <c r="E1249" s="334"/>
      <c r="F1249" s="334"/>
      <c r="G1249" s="334"/>
      <c r="I1249" s="334"/>
      <c r="M1249" s="344"/>
      <c r="N1249" s="376"/>
    </row>
    <row r="1250" ht="15.75" customHeight="1">
      <c r="A1250" s="334"/>
      <c r="B1250" s="362"/>
      <c r="C1250" s="334"/>
      <c r="D1250" s="334"/>
      <c r="E1250" s="334"/>
      <c r="F1250" s="334"/>
      <c r="G1250" s="334"/>
      <c r="I1250" s="334"/>
      <c r="M1250" s="344"/>
      <c r="N1250" s="376"/>
    </row>
    <row r="1251" ht="15.75" customHeight="1">
      <c r="A1251" s="334"/>
      <c r="B1251" s="362"/>
      <c r="C1251" s="334"/>
      <c r="D1251" s="334"/>
      <c r="E1251" s="334"/>
      <c r="F1251" s="334"/>
      <c r="G1251" s="334"/>
      <c r="I1251" s="334"/>
      <c r="M1251" s="344"/>
      <c r="N1251" s="376"/>
    </row>
    <row r="1252" ht="15.75" customHeight="1">
      <c r="A1252" s="334"/>
      <c r="B1252" s="362"/>
      <c r="C1252" s="334"/>
      <c r="D1252" s="334"/>
      <c r="E1252" s="334"/>
      <c r="F1252" s="334"/>
      <c r="G1252" s="334"/>
      <c r="I1252" s="334"/>
      <c r="M1252" s="344"/>
      <c r="N1252" s="376"/>
    </row>
    <row r="1253" ht="15.75" customHeight="1">
      <c r="A1253" s="334"/>
      <c r="B1253" s="362"/>
      <c r="C1253" s="334"/>
      <c r="D1253" s="334"/>
      <c r="E1253" s="334"/>
      <c r="F1253" s="334"/>
      <c r="G1253" s="334"/>
      <c r="I1253" s="334"/>
      <c r="M1253" s="344"/>
      <c r="N1253" s="376"/>
    </row>
    <row r="1254" ht="15.75" customHeight="1">
      <c r="A1254" s="334"/>
      <c r="B1254" s="362"/>
      <c r="C1254" s="334"/>
      <c r="D1254" s="334"/>
      <c r="E1254" s="334"/>
      <c r="F1254" s="334"/>
      <c r="G1254" s="334"/>
      <c r="I1254" s="334"/>
      <c r="M1254" s="344"/>
      <c r="N1254" s="376"/>
    </row>
    <row r="1255" ht="15.75" customHeight="1">
      <c r="A1255" s="334"/>
      <c r="B1255" s="362"/>
      <c r="C1255" s="334"/>
      <c r="D1255" s="334"/>
      <c r="E1255" s="334"/>
      <c r="F1255" s="334"/>
      <c r="G1255" s="334"/>
      <c r="I1255" s="334"/>
      <c r="M1255" s="344"/>
      <c r="N1255" s="376"/>
    </row>
    <row r="1256" ht="15.75" customHeight="1">
      <c r="A1256" s="334"/>
      <c r="B1256" s="362"/>
      <c r="C1256" s="334"/>
      <c r="D1256" s="334"/>
      <c r="E1256" s="334"/>
      <c r="F1256" s="334"/>
      <c r="G1256" s="334"/>
      <c r="I1256" s="334"/>
      <c r="M1256" s="344"/>
      <c r="N1256" s="376"/>
    </row>
    <row r="1257" ht="15.75" customHeight="1">
      <c r="A1257" s="334"/>
      <c r="B1257" s="362"/>
      <c r="C1257" s="334"/>
      <c r="D1257" s="334"/>
      <c r="E1257" s="334"/>
      <c r="F1257" s="334"/>
      <c r="G1257" s="334"/>
      <c r="I1257" s="334"/>
      <c r="M1257" s="344"/>
      <c r="N1257" s="376"/>
    </row>
    <row r="1258" ht="15.75" customHeight="1">
      <c r="A1258" s="334"/>
      <c r="B1258" s="362"/>
      <c r="C1258" s="334"/>
      <c r="D1258" s="334"/>
      <c r="E1258" s="334"/>
      <c r="F1258" s="334"/>
      <c r="G1258" s="334"/>
      <c r="I1258" s="334"/>
      <c r="M1258" s="344"/>
      <c r="N1258" s="376"/>
    </row>
    <row r="1259" ht="15.75" customHeight="1">
      <c r="A1259" s="334"/>
      <c r="B1259" s="362"/>
      <c r="C1259" s="334"/>
      <c r="D1259" s="334"/>
      <c r="E1259" s="334"/>
      <c r="F1259" s="334"/>
      <c r="G1259" s="334"/>
      <c r="I1259" s="334"/>
      <c r="M1259" s="344"/>
      <c r="N1259" s="376"/>
    </row>
    <row r="1260" ht="15.75" customHeight="1">
      <c r="A1260" s="334"/>
      <c r="B1260" s="362"/>
      <c r="C1260" s="334"/>
      <c r="D1260" s="334"/>
      <c r="E1260" s="334"/>
      <c r="F1260" s="334"/>
      <c r="G1260" s="334"/>
      <c r="I1260" s="334"/>
      <c r="M1260" s="344"/>
      <c r="N1260" s="376"/>
    </row>
    <row r="1261" ht="15.75" customHeight="1">
      <c r="A1261" s="334"/>
      <c r="B1261" s="362"/>
      <c r="C1261" s="334"/>
      <c r="D1261" s="334"/>
      <c r="E1261" s="334"/>
      <c r="F1261" s="334"/>
      <c r="G1261" s="334"/>
      <c r="I1261" s="334"/>
      <c r="M1261" s="344"/>
      <c r="N1261" s="376"/>
    </row>
    <row r="1262" ht="15.75" customHeight="1">
      <c r="A1262" s="334"/>
      <c r="B1262" s="362"/>
      <c r="C1262" s="334"/>
      <c r="D1262" s="334"/>
      <c r="E1262" s="334"/>
      <c r="F1262" s="334"/>
      <c r="G1262" s="334"/>
      <c r="I1262" s="334"/>
      <c r="M1262" s="344"/>
      <c r="N1262" s="376"/>
    </row>
    <row r="1263" ht="15.75" customHeight="1">
      <c r="A1263" s="334"/>
      <c r="B1263" s="362"/>
      <c r="C1263" s="334"/>
      <c r="D1263" s="334"/>
      <c r="E1263" s="334"/>
      <c r="F1263" s="334"/>
      <c r="G1263" s="334"/>
      <c r="I1263" s="334"/>
      <c r="M1263" s="344"/>
      <c r="N1263" s="376"/>
    </row>
    <row r="1264" ht="15.75" customHeight="1">
      <c r="A1264" s="334"/>
      <c r="B1264" s="362"/>
      <c r="C1264" s="334"/>
      <c r="D1264" s="334"/>
      <c r="E1264" s="334"/>
      <c r="F1264" s="334"/>
      <c r="G1264" s="334"/>
      <c r="I1264" s="334"/>
      <c r="M1264" s="344"/>
      <c r="N1264" s="376"/>
    </row>
    <row r="1265" ht="15.75" customHeight="1">
      <c r="A1265" s="334"/>
      <c r="B1265" s="362"/>
      <c r="C1265" s="334"/>
      <c r="D1265" s="334"/>
      <c r="E1265" s="334"/>
      <c r="F1265" s="334"/>
      <c r="G1265" s="334"/>
      <c r="I1265" s="334"/>
      <c r="M1265" s="344"/>
      <c r="N1265" s="376"/>
    </row>
    <row r="1266" ht="15.75" customHeight="1">
      <c r="A1266" s="334"/>
      <c r="B1266" s="362"/>
      <c r="C1266" s="334"/>
      <c r="D1266" s="334"/>
      <c r="E1266" s="334"/>
      <c r="F1266" s="334"/>
      <c r="G1266" s="334"/>
      <c r="I1266" s="334"/>
      <c r="M1266" s="344"/>
      <c r="N1266" s="376"/>
    </row>
    <row r="1267" ht="15.75" customHeight="1">
      <c r="A1267" s="334"/>
      <c r="B1267" s="362"/>
      <c r="C1267" s="334"/>
      <c r="D1267" s="334"/>
      <c r="E1267" s="334"/>
      <c r="F1267" s="334"/>
      <c r="G1267" s="334"/>
      <c r="I1267" s="334"/>
      <c r="M1267" s="344"/>
      <c r="N1267" s="376"/>
    </row>
    <row r="1268" ht="15.75" customHeight="1">
      <c r="A1268" s="334"/>
      <c r="B1268" s="362"/>
      <c r="C1268" s="334"/>
      <c r="D1268" s="334"/>
      <c r="E1268" s="334"/>
      <c r="F1268" s="334"/>
      <c r="G1268" s="334"/>
      <c r="I1268" s="334"/>
      <c r="M1268" s="344"/>
      <c r="N1268" s="376"/>
    </row>
    <row r="1269" ht="15.75" customHeight="1">
      <c r="A1269" s="334"/>
      <c r="B1269" s="362"/>
      <c r="C1269" s="334"/>
      <c r="D1269" s="334"/>
      <c r="E1269" s="334"/>
      <c r="F1269" s="334"/>
      <c r="G1269" s="334"/>
      <c r="I1269" s="334"/>
      <c r="M1269" s="344"/>
      <c r="N1269" s="376"/>
    </row>
    <row r="1270" ht="15.75" customHeight="1">
      <c r="A1270" s="334"/>
      <c r="B1270" s="362"/>
      <c r="C1270" s="334"/>
      <c r="D1270" s="334"/>
      <c r="E1270" s="334"/>
      <c r="F1270" s="334"/>
      <c r="G1270" s="334"/>
      <c r="I1270" s="334"/>
      <c r="M1270" s="344"/>
      <c r="N1270" s="376"/>
    </row>
    <row r="1271" ht="15.75" customHeight="1">
      <c r="A1271" s="334"/>
      <c r="B1271" s="362"/>
      <c r="C1271" s="334"/>
      <c r="D1271" s="334"/>
      <c r="E1271" s="334"/>
      <c r="F1271" s="334"/>
      <c r="G1271" s="334"/>
      <c r="I1271" s="334"/>
      <c r="M1271" s="344"/>
      <c r="N1271" s="376"/>
    </row>
    <row r="1272" ht="15.75" customHeight="1">
      <c r="A1272" s="334"/>
      <c r="B1272" s="362"/>
      <c r="C1272" s="334"/>
      <c r="D1272" s="334"/>
      <c r="E1272" s="334"/>
      <c r="F1272" s="334"/>
      <c r="G1272" s="334"/>
      <c r="I1272" s="334"/>
      <c r="M1272" s="344"/>
      <c r="N1272" s="376"/>
    </row>
    <row r="1273" ht="15.75" customHeight="1">
      <c r="A1273" s="334"/>
      <c r="B1273" s="362"/>
      <c r="C1273" s="334"/>
      <c r="D1273" s="334"/>
      <c r="E1273" s="334"/>
      <c r="F1273" s="334"/>
      <c r="G1273" s="334"/>
      <c r="I1273" s="334"/>
      <c r="M1273" s="344"/>
      <c r="N1273" s="376"/>
    </row>
    <row r="1274" ht="15.75" customHeight="1">
      <c r="A1274" s="334"/>
      <c r="B1274" s="362"/>
      <c r="C1274" s="334"/>
      <c r="D1274" s="334"/>
      <c r="E1274" s="334"/>
      <c r="F1274" s="334"/>
      <c r="G1274" s="334"/>
      <c r="I1274" s="334"/>
      <c r="M1274" s="344"/>
      <c r="N1274" s="376"/>
    </row>
    <row r="1275" ht="15.75" customHeight="1">
      <c r="A1275" s="334"/>
      <c r="B1275" s="362"/>
      <c r="C1275" s="334"/>
      <c r="D1275" s="334"/>
      <c r="E1275" s="334"/>
      <c r="F1275" s="334"/>
      <c r="G1275" s="334"/>
      <c r="I1275" s="334"/>
      <c r="M1275" s="344"/>
      <c r="N1275" s="376"/>
    </row>
    <row r="1276" ht="15.75" customHeight="1">
      <c r="A1276" s="334"/>
      <c r="B1276" s="362"/>
      <c r="C1276" s="334"/>
      <c r="D1276" s="334"/>
      <c r="E1276" s="334"/>
      <c r="F1276" s="334"/>
      <c r="G1276" s="334"/>
      <c r="I1276" s="334"/>
      <c r="M1276" s="344"/>
      <c r="N1276" s="376"/>
    </row>
    <row r="1277" ht="15.75" customHeight="1">
      <c r="A1277" s="334"/>
      <c r="B1277" s="362"/>
      <c r="C1277" s="334"/>
      <c r="D1277" s="334"/>
      <c r="E1277" s="334"/>
      <c r="F1277" s="334"/>
      <c r="G1277" s="334"/>
      <c r="I1277" s="334"/>
      <c r="M1277" s="344"/>
      <c r="N1277" s="376"/>
    </row>
    <row r="1278" ht="15.75" customHeight="1">
      <c r="A1278" s="334"/>
      <c r="B1278" s="362"/>
      <c r="C1278" s="334"/>
      <c r="D1278" s="334"/>
      <c r="E1278" s="334"/>
      <c r="F1278" s="334"/>
      <c r="G1278" s="334"/>
      <c r="I1278" s="334"/>
      <c r="M1278" s="344"/>
      <c r="N1278" s="376"/>
    </row>
    <row r="1279" ht="15.75" customHeight="1">
      <c r="A1279" s="334"/>
      <c r="B1279" s="362"/>
      <c r="C1279" s="334"/>
      <c r="D1279" s="334"/>
      <c r="E1279" s="334"/>
      <c r="F1279" s="334"/>
      <c r="G1279" s="334"/>
      <c r="I1279" s="334"/>
      <c r="M1279" s="344"/>
      <c r="N1279" s="376"/>
    </row>
    <row r="1280" ht="15.75" customHeight="1">
      <c r="A1280" s="334"/>
      <c r="B1280" s="362"/>
      <c r="C1280" s="334"/>
      <c r="D1280" s="334"/>
      <c r="E1280" s="334"/>
      <c r="F1280" s="334"/>
      <c r="G1280" s="334"/>
      <c r="I1280" s="334"/>
      <c r="M1280" s="344"/>
      <c r="N1280" s="376"/>
    </row>
    <row r="1281" ht="15.75" customHeight="1">
      <c r="A1281" s="334"/>
      <c r="B1281" s="362"/>
      <c r="C1281" s="334"/>
      <c r="D1281" s="334"/>
      <c r="E1281" s="334"/>
      <c r="F1281" s="334"/>
      <c r="G1281" s="334"/>
      <c r="I1281" s="334"/>
      <c r="M1281" s="344"/>
      <c r="N1281" s="376"/>
    </row>
    <row r="1282" ht="15.75" customHeight="1">
      <c r="A1282" s="334"/>
      <c r="B1282" s="362"/>
      <c r="C1282" s="334"/>
      <c r="D1282" s="334"/>
      <c r="E1282" s="334"/>
      <c r="F1282" s="334"/>
      <c r="G1282" s="334"/>
      <c r="I1282" s="334"/>
      <c r="M1282" s="344"/>
      <c r="N1282" s="376"/>
    </row>
    <row r="1283" ht="15.75" customHeight="1">
      <c r="A1283" s="334"/>
      <c r="B1283" s="362"/>
      <c r="C1283" s="334"/>
      <c r="D1283" s="334"/>
      <c r="E1283" s="334"/>
      <c r="F1283" s="334"/>
      <c r="G1283" s="334"/>
      <c r="I1283" s="334"/>
      <c r="M1283" s="344"/>
      <c r="N1283" s="376"/>
    </row>
    <row r="1284" ht="15.75" customHeight="1">
      <c r="A1284" s="334"/>
      <c r="B1284" s="362"/>
      <c r="C1284" s="334"/>
      <c r="D1284" s="334"/>
      <c r="E1284" s="334"/>
      <c r="F1284" s="334"/>
      <c r="G1284" s="334"/>
      <c r="I1284" s="334"/>
      <c r="M1284" s="344"/>
      <c r="N1284" s="376"/>
    </row>
    <row r="1285" ht="15.75" customHeight="1">
      <c r="A1285" s="334"/>
      <c r="B1285" s="362"/>
      <c r="C1285" s="334"/>
      <c r="D1285" s="334"/>
      <c r="E1285" s="334"/>
      <c r="F1285" s="334"/>
      <c r="G1285" s="334"/>
      <c r="I1285" s="334"/>
      <c r="M1285" s="344"/>
      <c r="N1285" s="376"/>
    </row>
    <row r="1286" ht="15.75" customHeight="1">
      <c r="A1286" s="334"/>
      <c r="B1286" s="362"/>
      <c r="C1286" s="334"/>
      <c r="D1286" s="334"/>
      <c r="E1286" s="334"/>
      <c r="F1286" s="334"/>
      <c r="G1286" s="334"/>
      <c r="I1286" s="334"/>
      <c r="M1286" s="344"/>
      <c r="N1286" s="376"/>
    </row>
    <row r="1287" ht="15.75" customHeight="1">
      <c r="A1287" s="334"/>
      <c r="B1287" s="362"/>
      <c r="C1287" s="334"/>
      <c r="D1287" s="334"/>
      <c r="E1287" s="334"/>
      <c r="F1287" s="334"/>
      <c r="G1287" s="334"/>
      <c r="I1287" s="334"/>
      <c r="M1287" s="344"/>
      <c r="N1287" s="376"/>
    </row>
    <row r="1288" ht="15.75" customHeight="1">
      <c r="A1288" s="334"/>
      <c r="B1288" s="362"/>
      <c r="C1288" s="334"/>
      <c r="D1288" s="334"/>
      <c r="E1288" s="334"/>
      <c r="F1288" s="334"/>
      <c r="G1288" s="334"/>
      <c r="I1288" s="334"/>
      <c r="M1288" s="344"/>
      <c r="N1288" s="376"/>
    </row>
    <row r="1289" ht="15.75" customHeight="1">
      <c r="A1289" s="334"/>
      <c r="B1289" s="362"/>
      <c r="C1289" s="334"/>
      <c r="D1289" s="334"/>
      <c r="E1289" s="334"/>
      <c r="F1289" s="334"/>
      <c r="G1289" s="334"/>
      <c r="I1289" s="334"/>
      <c r="M1289" s="344"/>
      <c r="N1289" s="376"/>
    </row>
    <row r="1290" ht="15.75" customHeight="1">
      <c r="A1290" s="334"/>
      <c r="B1290" s="362"/>
      <c r="C1290" s="334"/>
      <c r="D1290" s="334"/>
      <c r="E1290" s="334"/>
      <c r="F1290" s="334"/>
      <c r="G1290" s="334"/>
      <c r="I1290" s="334"/>
      <c r="M1290" s="344"/>
      <c r="N1290" s="376"/>
    </row>
    <row r="1291" ht="15.75" customHeight="1">
      <c r="A1291" s="334"/>
      <c r="B1291" s="362"/>
      <c r="C1291" s="334"/>
      <c r="D1291" s="334"/>
      <c r="E1291" s="334"/>
      <c r="F1291" s="334"/>
      <c r="G1291" s="334"/>
      <c r="I1291" s="334"/>
      <c r="M1291" s="344"/>
      <c r="N1291" s="376"/>
    </row>
    <row r="1292" ht="15.75" customHeight="1">
      <c r="A1292" s="334"/>
      <c r="B1292" s="362"/>
      <c r="C1292" s="334"/>
      <c r="D1292" s="334"/>
      <c r="E1292" s="334"/>
      <c r="F1292" s="334"/>
      <c r="G1292" s="334"/>
      <c r="I1292" s="334"/>
      <c r="M1292" s="344"/>
      <c r="N1292" s="376"/>
    </row>
    <row r="1293" ht="15.75" customHeight="1">
      <c r="A1293" s="334"/>
      <c r="B1293" s="362"/>
      <c r="C1293" s="334"/>
      <c r="D1293" s="334"/>
      <c r="E1293" s="334"/>
      <c r="F1293" s="334"/>
      <c r="G1293" s="334"/>
      <c r="I1293" s="334"/>
      <c r="M1293" s="344"/>
      <c r="N1293" s="376"/>
    </row>
    <row r="1294" ht="15.75" customHeight="1">
      <c r="A1294" s="334"/>
      <c r="B1294" s="362"/>
      <c r="C1294" s="334"/>
      <c r="D1294" s="334"/>
      <c r="E1294" s="334"/>
      <c r="F1294" s="334"/>
      <c r="G1294" s="334"/>
      <c r="I1294" s="334"/>
      <c r="M1294" s="344"/>
      <c r="N1294" s="376"/>
    </row>
    <row r="1295" ht="15.75" customHeight="1">
      <c r="A1295" s="334"/>
      <c r="B1295" s="362"/>
      <c r="C1295" s="334"/>
      <c r="D1295" s="334"/>
      <c r="E1295" s="334"/>
      <c r="F1295" s="334"/>
      <c r="G1295" s="334"/>
      <c r="I1295" s="334"/>
      <c r="M1295" s="344"/>
      <c r="N1295" s="376"/>
    </row>
    <row r="1296" ht="15.75" customHeight="1">
      <c r="A1296" s="334"/>
      <c r="B1296" s="362"/>
      <c r="C1296" s="334"/>
      <c r="D1296" s="334"/>
      <c r="E1296" s="334"/>
      <c r="F1296" s="334"/>
      <c r="G1296" s="334"/>
      <c r="I1296" s="334"/>
      <c r="M1296" s="344"/>
      <c r="N1296" s="376"/>
    </row>
    <row r="1297" ht="15.75" customHeight="1">
      <c r="A1297" s="334"/>
      <c r="B1297" s="362"/>
      <c r="C1297" s="334"/>
      <c r="D1297" s="334"/>
      <c r="E1297" s="334"/>
      <c r="F1297" s="334"/>
      <c r="G1297" s="334"/>
      <c r="I1297" s="334"/>
      <c r="M1297" s="344"/>
      <c r="N1297" s="376"/>
    </row>
    <row r="1298" ht="15.75" customHeight="1">
      <c r="A1298" s="334"/>
      <c r="B1298" s="362"/>
      <c r="C1298" s="334"/>
      <c r="D1298" s="334"/>
      <c r="E1298" s="334"/>
      <c r="F1298" s="334"/>
      <c r="G1298" s="334"/>
      <c r="I1298" s="334"/>
      <c r="M1298" s="344"/>
      <c r="N1298" s="376"/>
    </row>
    <row r="1299" ht="15.75" customHeight="1">
      <c r="A1299" s="334"/>
      <c r="B1299" s="362"/>
      <c r="C1299" s="334"/>
      <c r="D1299" s="334"/>
      <c r="E1299" s="334"/>
      <c r="F1299" s="334"/>
      <c r="G1299" s="334"/>
      <c r="I1299" s="334"/>
      <c r="M1299" s="344"/>
      <c r="N1299" s="376"/>
    </row>
    <row r="1300" ht="15.75" customHeight="1">
      <c r="A1300" s="334"/>
      <c r="B1300" s="362"/>
      <c r="C1300" s="334"/>
      <c r="D1300" s="334"/>
      <c r="E1300" s="334"/>
      <c r="F1300" s="334"/>
      <c r="G1300" s="334"/>
      <c r="I1300" s="334"/>
      <c r="M1300" s="344"/>
      <c r="N1300" s="376"/>
    </row>
    <row r="1301" ht="15.75" customHeight="1">
      <c r="A1301" s="334"/>
      <c r="B1301" s="362"/>
      <c r="C1301" s="334"/>
      <c r="D1301" s="334"/>
      <c r="E1301" s="334"/>
      <c r="F1301" s="334"/>
      <c r="G1301" s="334"/>
      <c r="I1301" s="334"/>
      <c r="M1301" s="344"/>
      <c r="N1301" s="376"/>
    </row>
    <row r="1302" ht="15.75" customHeight="1">
      <c r="A1302" s="334"/>
      <c r="B1302" s="362"/>
      <c r="C1302" s="334"/>
      <c r="D1302" s="334"/>
      <c r="E1302" s="334"/>
      <c r="F1302" s="334"/>
      <c r="G1302" s="334"/>
      <c r="I1302" s="334"/>
      <c r="M1302" s="344"/>
      <c r="N1302" s="376"/>
    </row>
    <row r="1303" ht="15.75" customHeight="1">
      <c r="A1303" s="334"/>
      <c r="B1303" s="362"/>
      <c r="C1303" s="334"/>
      <c r="D1303" s="334"/>
      <c r="E1303" s="334"/>
      <c r="F1303" s="334"/>
      <c r="G1303" s="334"/>
      <c r="I1303" s="334"/>
      <c r="M1303" s="344"/>
      <c r="N1303" s="376"/>
    </row>
    <row r="1304" ht="15.75" customHeight="1">
      <c r="A1304" s="334"/>
      <c r="B1304" s="362"/>
      <c r="C1304" s="334"/>
      <c r="D1304" s="334"/>
      <c r="E1304" s="334"/>
      <c r="F1304" s="334"/>
      <c r="G1304" s="334"/>
      <c r="I1304" s="334"/>
      <c r="M1304" s="344"/>
      <c r="N1304" s="376"/>
    </row>
    <row r="1305" ht="15.75" customHeight="1">
      <c r="A1305" s="334"/>
      <c r="B1305" s="362"/>
      <c r="C1305" s="334"/>
      <c r="D1305" s="334"/>
      <c r="E1305" s="334"/>
      <c r="F1305" s="334"/>
      <c r="G1305" s="334"/>
      <c r="I1305" s="334"/>
      <c r="M1305" s="344"/>
      <c r="N1305" s="376"/>
    </row>
    <row r="1306" ht="15.75" customHeight="1">
      <c r="A1306" s="334"/>
      <c r="B1306" s="362"/>
      <c r="C1306" s="334"/>
      <c r="D1306" s="334"/>
      <c r="E1306" s="334"/>
      <c r="F1306" s="334"/>
      <c r="G1306" s="334"/>
      <c r="I1306" s="334"/>
      <c r="M1306" s="344"/>
      <c r="N1306" s="376"/>
    </row>
    <row r="1307" ht="15.75" customHeight="1">
      <c r="A1307" s="334"/>
      <c r="B1307" s="362"/>
      <c r="C1307" s="334"/>
      <c r="D1307" s="334"/>
      <c r="E1307" s="334"/>
      <c r="F1307" s="334"/>
      <c r="G1307" s="334"/>
      <c r="I1307" s="334"/>
      <c r="M1307" s="344"/>
      <c r="N1307" s="376"/>
    </row>
    <row r="1308" ht="15.75" customHeight="1">
      <c r="A1308" s="334"/>
      <c r="B1308" s="362"/>
      <c r="C1308" s="334"/>
      <c r="D1308" s="334"/>
      <c r="E1308" s="334"/>
      <c r="F1308" s="334"/>
      <c r="G1308" s="334"/>
      <c r="I1308" s="334"/>
      <c r="M1308" s="344"/>
      <c r="N1308" s="376"/>
    </row>
    <row r="1309" ht="15.75" customHeight="1">
      <c r="A1309" s="334"/>
      <c r="B1309" s="362"/>
      <c r="C1309" s="334"/>
      <c r="D1309" s="334"/>
      <c r="E1309" s="334"/>
      <c r="F1309" s="334"/>
      <c r="G1309" s="334"/>
      <c r="I1309" s="334"/>
      <c r="M1309" s="344"/>
      <c r="N1309" s="376"/>
    </row>
    <row r="1310" ht="15.75" customHeight="1">
      <c r="A1310" s="334"/>
      <c r="B1310" s="362"/>
      <c r="C1310" s="334"/>
      <c r="D1310" s="334"/>
      <c r="E1310" s="334"/>
      <c r="F1310" s="334"/>
      <c r="G1310" s="334"/>
      <c r="I1310" s="334"/>
      <c r="M1310" s="344"/>
      <c r="N1310" s="376"/>
    </row>
    <row r="1311" ht="15.75" customHeight="1">
      <c r="A1311" s="334"/>
      <c r="B1311" s="362"/>
      <c r="C1311" s="334"/>
      <c r="D1311" s="334"/>
      <c r="E1311" s="334"/>
      <c r="F1311" s="334"/>
      <c r="G1311" s="334"/>
      <c r="I1311" s="334"/>
      <c r="M1311" s="344"/>
      <c r="N1311" s="376"/>
    </row>
    <row r="1312" ht="15.75" customHeight="1">
      <c r="A1312" s="334"/>
      <c r="B1312" s="362"/>
      <c r="C1312" s="334"/>
      <c r="D1312" s="334"/>
      <c r="E1312" s="334"/>
      <c r="F1312" s="334"/>
      <c r="G1312" s="334"/>
      <c r="I1312" s="334"/>
      <c r="M1312" s="344"/>
      <c r="N1312" s="376"/>
    </row>
    <row r="1313" ht="15.75" customHeight="1">
      <c r="A1313" s="334"/>
      <c r="B1313" s="362"/>
      <c r="C1313" s="334"/>
      <c r="D1313" s="334"/>
      <c r="E1313" s="334"/>
      <c r="F1313" s="334"/>
      <c r="G1313" s="334"/>
      <c r="I1313" s="334"/>
      <c r="M1313" s="344"/>
      <c r="N1313" s="376"/>
    </row>
    <row r="1314" ht="15.75" customHeight="1">
      <c r="A1314" s="334"/>
      <c r="B1314" s="362"/>
      <c r="C1314" s="334"/>
      <c r="D1314" s="334"/>
      <c r="E1314" s="334"/>
      <c r="F1314" s="334"/>
      <c r="G1314" s="334"/>
      <c r="I1314" s="334"/>
      <c r="M1314" s="344"/>
      <c r="N1314" s="376"/>
    </row>
    <row r="1315" ht="15.75" customHeight="1">
      <c r="A1315" s="334"/>
      <c r="B1315" s="362"/>
      <c r="C1315" s="334"/>
      <c r="D1315" s="334"/>
      <c r="E1315" s="334"/>
      <c r="F1315" s="334"/>
      <c r="G1315" s="334"/>
      <c r="I1315" s="334"/>
      <c r="M1315" s="344"/>
      <c r="N1315" s="376"/>
    </row>
    <row r="1316" ht="15.75" customHeight="1">
      <c r="A1316" s="334"/>
      <c r="B1316" s="362"/>
      <c r="C1316" s="334"/>
      <c r="D1316" s="334"/>
      <c r="E1316" s="334"/>
      <c r="F1316" s="334"/>
      <c r="G1316" s="334"/>
      <c r="I1316" s="334"/>
      <c r="M1316" s="344"/>
      <c r="N1316" s="376"/>
    </row>
    <row r="1317" ht="15.75" customHeight="1">
      <c r="A1317" s="334"/>
      <c r="B1317" s="362"/>
      <c r="C1317" s="334"/>
      <c r="D1317" s="334"/>
      <c r="E1317" s="334"/>
      <c r="F1317" s="334"/>
      <c r="G1317" s="334"/>
      <c r="I1317" s="334"/>
      <c r="M1317" s="344"/>
      <c r="N1317" s="376"/>
    </row>
    <row r="1318" ht="15.75" customHeight="1">
      <c r="A1318" s="334"/>
      <c r="B1318" s="362"/>
      <c r="C1318" s="334"/>
      <c r="D1318" s="334"/>
      <c r="E1318" s="334"/>
      <c r="F1318" s="334"/>
      <c r="G1318" s="334"/>
      <c r="I1318" s="334"/>
      <c r="M1318" s="344"/>
      <c r="N1318" s="376"/>
    </row>
    <row r="1319" ht="15.75" customHeight="1">
      <c r="A1319" s="334"/>
      <c r="B1319" s="362"/>
      <c r="C1319" s="334"/>
      <c r="D1319" s="334"/>
      <c r="E1319" s="334"/>
      <c r="F1319" s="334"/>
      <c r="G1319" s="334"/>
      <c r="I1319" s="334"/>
      <c r="M1319" s="344"/>
      <c r="N1319" s="376"/>
    </row>
    <row r="1320" ht="15.75" customHeight="1">
      <c r="A1320" s="334"/>
      <c r="B1320" s="362"/>
      <c r="C1320" s="334"/>
      <c r="D1320" s="334"/>
      <c r="E1320" s="334"/>
      <c r="F1320" s="334"/>
      <c r="G1320" s="334"/>
      <c r="I1320" s="334"/>
      <c r="M1320" s="344"/>
      <c r="N1320" s="376"/>
    </row>
    <row r="1321" ht="15.75" customHeight="1">
      <c r="A1321" s="334"/>
      <c r="B1321" s="362"/>
      <c r="C1321" s="334"/>
      <c r="D1321" s="334"/>
      <c r="E1321" s="334"/>
      <c r="F1321" s="334"/>
      <c r="G1321" s="334"/>
      <c r="I1321" s="334"/>
      <c r="M1321" s="344"/>
      <c r="N1321" s="376"/>
    </row>
    <row r="1322" ht="15.75" customHeight="1">
      <c r="A1322" s="334"/>
      <c r="B1322" s="362"/>
      <c r="C1322" s="334"/>
      <c r="D1322" s="334"/>
      <c r="E1322" s="334"/>
      <c r="F1322" s="334"/>
      <c r="G1322" s="334"/>
      <c r="I1322" s="334"/>
      <c r="M1322" s="344"/>
      <c r="N1322" s="376"/>
    </row>
    <row r="1323" ht="15.75" customHeight="1">
      <c r="A1323" s="334"/>
      <c r="B1323" s="362"/>
      <c r="C1323" s="334"/>
      <c r="D1323" s="334"/>
      <c r="E1323" s="334"/>
      <c r="F1323" s="334"/>
      <c r="G1323" s="334"/>
      <c r="I1323" s="334"/>
      <c r="M1323" s="344"/>
      <c r="N1323" s="376"/>
    </row>
    <row r="1324" ht="15.75" customHeight="1">
      <c r="A1324" s="334"/>
      <c r="B1324" s="362"/>
      <c r="C1324" s="334"/>
      <c r="D1324" s="334"/>
      <c r="E1324" s="334"/>
      <c r="F1324" s="334"/>
      <c r="G1324" s="334"/>
      <c r="I1324" s="334"/>
      <c r="M1324" s="344"/>
      <c r="N1324" s="376"/>
    </row>
    <row r="1325" ht="15.75" customHeight="1">
      <c r="A1325" s="334"/>
      <c r="B1325" s="362"/>
      <c r="C1325" s="334"/>
      <c r="D1325" s="334"/>
      <c r="E1325" s="334"/>
      <c r="F1325" s="334"/>
      <c r="G1325" s="334"/>
      <c r="I1325" s="334"/>
      <c r="M1325" s="344"/>
      <c r="N1325" s="376"/>
    </row>
    <row r="1326" ht="15.75" customHeight="1">
      <c r="A1326" s="334"/>
      <c r="B1326" s="362"/>
      <c r="C1326" s="334"/>
      <c r="D1326" s="334"/>
      <c r="E1326" s="334"/>
      <c r="F1326" s="334"/>
      <c r="G1326" s="334"/>
      <c r="I1326" s="334"/>
      <c r="M1326" s="344"/>
      <c r="N1326" s="376"/>
    </row>
    <row r="1327" ht="15.75" customHeight="1">
      <c r="A1327" s="334"/>
      <c r="B1327" s="362"/>
      <c r="C1327" s="334"/>
      <c r="D1327" s="334"/>
      <c r="E1327" s="334"/>
      <c r="F1327" s="334"/>
      <c r="G1327" s="334"/>
      <c r="I1327" s="334"/>
      <c r="M1327" s="344"/>
      <c r="N1327" s="376"/>
    </row>
    <row r="1328" ht="15.75" customHeight="1">
      <c r="A1328" s="334"/>
      <c r="B1328" s="362"/>
      <c r="C1328" s="334"/>
      <c r="D1328" s="334"/>
      <c r="E1328" s="334"/>
      <c r="F1328" s="334"/>
      <c r="G1328" s="334"/>
      <c r="I1328" s="334"/>
      <c r="M1328" s="344"/>
      <c r="N1328" s="376"/>
    </row>
    <row r="1329" ht="15.75" customHeight="1">
      <c r="A1329" s="334"/>
      <c r="B1329" s="362"/>
      <c r="C1329" s="334"/>
      <c r="D1329" s="334"/>
      <c r="E1329" s="334"/>
      <c r="F1329" s="334"/>
      <c r="G1329" s="334"/>
      <c r="I1329" s="334"/>
      <c r="M1329" s="344"/>
      <c r="N1329" s="376"/>
    </row>
    <row r="1330" ht="15.75" customHeight="1">
      <c r="A1330" s="334"/>
      <c r="B1330" s="362"/>
      <c r="C1330" s="334"/>
      <c r="D1330" s="334"/>
      <c r="E1330" s="334"/>
      <c r="F1330" s="334"/>
      <c r="G1330" s="334"/>
      <c r="I1330" s="334"/>
      <c r="M1330" s="344"/>
      <c r="N1330" s="376"/>
    </row>
    <row r="1331" ht="15.75" customHeight="1">
      <c r="A1331" s="334"/>
      <c r="B1331" s="362"/>
      <c r="C1331" s="334"/>
      <c r="D1331" s="334"/>
      <c r="E1331" s="334"/>
      <c r="F1331" s="334"/>
      <c r="G1331" s="334"/>
      <c r="I1331" s="334"/>
      <c r="M1331" s="344"/>
      <c r="N1331" s="376"/>
    </row>
    <row r="1332" ht="15.75" customHeight="1">
      <c r="A1332" s="334"/>
      <c r="B1332" s="362"/>
      <c r="C1332" s="334"/>
      <c r="D1332" s="334"/>
      <c r="E1332" s="334"/>
      <c r="F1332" s="334"/>
      <c r="G1332" s="334"/>
      <c r="I1332" s="334"/>
      <c r="M1332" s="344"/>
      <c r="N1332" s="376"/>
    </row>
    <row r="1333" ht="15.75" customHeight="1">
      <c r="A1333" s="334"/>
      <c r="B1333" s="362"/>
      <c r="C1333" s="334"/>
      <c r="D1333" s="334"/>
      <c r="E1333" s="334"/>
      <c r="F1333" s="334"/>
      <c r="G1333" s="334"/>
      <c r="I1333" s="334"/>
      <c r="M1333" s="344"/>
      <c r="N1333" s="376"/>
    </row>
    <row r="1334" ht="15.75" customHeight="1">
      <c r="A1334" s="334"/>
      <c r="B1334" s="362"/>
      <c r="C1334" s="334"/>
      <c r="D1334" s="334"/>
      <c r="E1334" s="334"/>
      <c r="F1334" s="334"/>
      <c r="G1334" s="334"/>
      <c r="I1334" s="334"/>
      <c r="M1334" s="344"/>
      <c r="N1334" s="376"/>
    </row>
    <row r="1335" ht="15.75" customHeight="1">
      <c r="A1335" s="334"/>
      <c r="B1335" s="362"/>
      <c r="C1335" s="334"/>
      <c r="D1335" s="334"/>
      <c r="E1335" s="334"/>
      <c r="F1335" s="334"/>
      <c r="G1335" s="334"/>
      <c r="I1335" s="334"/>
      <c r="M1335" s="344"/>
      <c r="N1335" s="376"/>
    </row>
    <row r="1336" ht="15.75" customHeight="1">
      <c r="A1336" s="334"/>
      <c r="B1336" s="362"/>
      <c r="C1336" s="334"/>
      <c r="D1336" s="334"/>
      <c r="E1336" s="334"/>
      <c r="F1336" s="334"/>
      <c r="G1336" s="334"/>
      <c r="I1336" s="334"/>
      <c r="M1336" s="344"/>
      <c r="N1336" s="376"/>
    </row>
    <row r="1337" ht="15.75" customHeight="1">
      <c r="A1337" s="334"/>
      <c r="B1337" s="362"/>
      <c r="C1337" s="334"/>
      <c r="D1337" s="334"/>
      <c r="E1337" s="334"/>
      <c r="F1337" s="334"/>
      <c r="G1337" s="334"/>
      <c r="I1337" s="334"/>
      <c r="M1337" s="344"/>
      <c r="N1337" s="376"/>
    </row>
    <row r="1338" ht="15.75" customHeight="1">
      <c r="A1338" s="334"/>
      <c r="B1338" s="362"/>
      <c r="C1338" s="334"/>
      <c r="D1338" s="334"/>
      <c r="E1338" s="334"/>
      <c r="F1338" s="334"/>
      <c r="G1338" s="334"/>
      <c r="I1338" s="334"/>
      <c r="M1338" s="344"/>
      <c r="N1338" s="376"/>
    </row>
    <row r="1339" ht="15.75" customHeight="1">
      <c r="A1339" s="334"/>
      <c r="B1339" s="362"/>
      <c r="C1339" s="334"/>
      <c r="D1339" s="334"/>
      <c r="E1339" s="334"/>
      <c r="F1339" s="334"/>
      <c r="G1339" s="334"/>
      <c r="I1339" s="334"/>
      <c r="M1339" s="344"/>
      <c r="N1339" s="376"/>
    </row>
    <row r="1340" ht="15.75" customHeight="1">
      <c r="A1340" s="334"/>
      <c r="B1340" s="362"/>
      <c r="C1340" s="334"/>
      <c r="D1340" s="334"/>
      <c r="E1340" s="334"/>
      <c r="F1340" s="334"/>
      <c r="G1340" s="334"/>
      <c r="I1340" s="334"/>
      <c r="M1340" s="344"/>
      <c r="N1340" s="376"/>
    </row>
    <row r="1341" ht="15.75" customHeight="1">
      <c r="A1341" s="334"/>
      <c r="B1341" s="362"/>
      <c r="C1341" s="334"/>
      <c r="D1341" s="334"/>
      <c r="E1341" s="334"/>
      <c r="F1341" s="334"/>
      <c r="G1341" s="334"/>
      <c r="I1341" s="334"/>
      <c r="M1341" s="344"/>
      <c r="N1341" s="376"/>
    </row>
    <row r="1342" ht="15.75" customHeight="1">
      <c r="A1342" s="334"/>
      <c r="B1342" s="362"/>
      <c r="C1342" s="334"/>
      <c r="D1342" s="334"/>
      <c r="E1342" s="334"/>
      <c r="F1342" s="334"/>
      <c r="G1342" s="334"/>
      <c r="I1342" s="334"/>
      <c r="M1342" s="344"/>
      <c r="N1342" s="376"/>
    </row>
    <row r="1343" ht="15.75" customHeight="1">
      <c r="A1343" s="334"/>
      <c r="B1343" s="362"/>
      <c r="C1343" s="334"/>
      <c r="D1343" s="334"/>
      <c r="E1343" s="334"/>
      <c r="F1343" s="334"/>
      <c r="G1343" s="334"/>
      <c r="I1343" s="334"/>
      <c r="M1343" s="344"/>
      <c r="N1343" s="376"/>
    </row>
    <row r="1344" ht="15.75" customHeight="1">
      <c r="A1344" s="334"/>
      <c r="B1344" s="362"/>
      <c r="C1344" s="334"/>
      <c r="D1344" s="334"/>
      <c r="E1344" s="334"/>
      <c r="F1344" s="334"/>
      <c r="G1344" s="334"/>
      <c r="I1344" s="334"/>
      <c r="M1344" s="344"/>
      <c r="N1344" s="376"/>
    </row>
    <row r="1345" ht="15.75" customHeight="1">
      <c r="A1345" s="334"/>
      <c r="B1345" s="362"/>
      <c r="C1345" s="334"/>
      <c r="D1345" s="334"/>
      <c r="E1345" s="334"/>
      <c r="F1345" s="334"/>
      <c r="G1345" s="334"/>
      <c r="I1345" s="334"/>
      <c r="M1345" s="344"/>
      <c r="N1345" s="376"/>
    </row>
    <row r="1346" ht="15.75" customHeight="1">
      <c r="A1346" s="334"/>
      <c r="B1346" s="362"/>
      <c r="C1346" s="334"/>
      <c r="D1346" s="334"/>
      <c r="E1346" s="334"/>
      <c r="F1346" s="334"/>
      <c r="G1346" s="334"/>
      <c r="I1346" s="334"/>
      <c r="M1346" s="344"/>
      <c r="N1346" s="376"/>
    </row>
    <row r="1347" ht="15.75" customHeight="1">
      <c r="A1347" s="334"/>
      <c r="B1347" s="362"/>
      <c r="C1347" s="334"/>
      <c r="D1347" s="334"/>
      <c r="E1347" s="334"/>
      <c r="F1347" s="334"/>
      <c r="G1347" s="334"/>
      <c r="I1347" s="334"/>
      <c r="M1347" s="344"/>
      <c r="N1347" s="376"/>
    </row>
    <row r="1348" ht="15.75" customHeight="1">
      <c r="A1348" s="334"/>
      <c r="B1348" s="362"/>
      <c r="C1348" s="334"/>
      <c r="D1348" s="334"/>
      <c r="E1348" s="334"/>
      <c r="F1348" s="334"/>
      <c r="G1348" s="334"/>
      <c r="I1348" s="334"/>
      <c r="M1348" s="344"/>
      <c r="N1348" s="376"/>
    </row>
    <row r="1349" ht="15.75" customHeight="1">
      <c r="A1349" s="334"/>
      <c r="B1349" s="362"/>
      <c r="C1349" s="334"/>
      <c r="D1349" s="334"/>
      <c r="E1349" s="334"/>
      <c r="F1349" s="334"/>
      <c r="G1349" s="334"/>
      <c r="I1349" s="334"/>
      <c r="M1349" s="344"/>
      <c r="N1349" s="376"/>
    </row>
    <row r="1350" ht="15.75" customHeight="1">
      <c r="A1350" s="334"/>
      <c r="B1350" s="362"/>
      <c r="C1350" s="334"/>
      <c r="D1350" s="334"/>
      <c r="E1350" s="334"/>
      <c r="F1350" s="334"/>
      <c r="G1350" s="334"/>
      <c r="I1350" s="334"/>
      <c r="M1350" s="344"/>
      <c r="N1350" s="376"/>
    </row>
    <row r="1351" ht="15.75" customHeight="1">
      <c r="A1351" s="334"/>
      <c r="B1351" s="362"/>
      <c r="C1351" s="334"/>
      <c r="D1351" s="334"/>
      <c r="E1351" s="334"/>
      <c r="F1351" s="334"/>
      <c r="G1351" s="334"/>
      <c r="I1351" s="334"/>
      <c r="M1351" s="344"/>
      <c r="N1351" s="376"/>
    </row>
    <row r="1352" ht="15.75" customHeight="1">
      <c r="A1352" s="334"/>
      <c r="B1352" s="362"/>
      <c r="C1352" s="334"/>
      <c r="D1352" s="334"/>
      <c r="E1352" s="334"/>
      <c r="F1352" s="334"/>
      <c r="G1352" s="334"/>
      <c r="I1352" s="334"/>
      <c r="M1352" s="344"/>
      <c r="N1352" s="376"/>
    </row>
    <row r="1353" ht="15.75" customHeight="1">
      <c r="A1353" s="334"/>
      <c r="B1353" s="362"/>
      <c r="C1353" s="334"/>
      <c r="D1353" s="334"/>
      <c r="E1353" s="334"/>
      <c r="F1353" s="334"/>
      <c r="G1353" s="334"/>
      <c r="I1353" s="334"/>
      <c r="M1353" s="344"/>
      <c r="N1353" s="376"/>
    </row>
    <row r="1354" ht="15.75" customHeight="1">
      <c r="A1354" s="334"/>
      <c r="B1354" s="362"/>
      <c r="C1354" s="334"/>
      <c r="D1354" s="334"/>
      <c r="E1354" s="334"/>
      <c r="F1354" s="334"/>
      <c r="G1354" s="334"/>
      <c r="I1354" s="334"/>
      <c r="M1354" s="344"/>
      <c r="N1354" s="376"/>
    </row>
    <row r="1355" ht="15.75" customHeight="1">
      <c r="A1355" s="334"/>
      <c r="B1355" s="362"/>
      <c r="C1355" s="334"/>
      <c r="D1355" s="334"/>
      <c r="E1355" s="334"/>
      <c r="F1355" s="334"/>
      <c r="G1355" s="334"/>
      <c r="I1355" s="334"/>
      <c r="M1355" s="344"/>
      <c r="N1355" s="376"/>
    </row>
    <row r="1356" ht="15.75" customHeight="1">
      <c r="A1356" s="334"/>
      <c r="B1356" s="362"/>
      <c r="C1356" s="334"/>
      <c r="D1356" s="334"/>
      <c r="E1356" s="334"/>
      <c r="F1356" s="334"/>
      <c r="G1356" s="334"/>
      <c r="I1356" s="334"/>
      <c r="M1356" s="344"/>
      <c r="N1356" s="376"/>
    </row>
    <row r="1357" ht="15.75" customHeight="1">
      <c r="A1357" s="334"/>
      <c r="B1357" s="362"/>
      <c r="C1357" s="334"/>
      <c r="D1357" s="334"/>
      <c r="E1357" s="334"/>
      <c r="F1357" s="334"/>
      <c r="G1357" s="334"/>
      <c r="I1357" s="334"/>
      <c r="M1357" s="344"/>
      <c r="N1357" s="376"/>
    </row>
    <row r="1358" ht="15.75" customHeight="1">
      <c r="A1358" s="334"/>
      <c r="B1358" s="362"/>
      <c r="C1358" s="334"/>
      <c r="D1358" s="334"/>
      <c r="E1358" s="334"/>
      <c r="F1358" s="334"/>
      <c r="G1358" s="334"/>
      <c r="I1358" s="334"/>
      <c r="M1358" s="344"/>
      <c r="N1358" s="376"/>
    </row>
    <row r="1359" ht="15.75" customHeight="1">
      <c r="A1359" s="334"/>
      <c r="B1359" s="362"/>
      <c r="C1359" s="334"/>
      <c r="D1359" s="334"/>
      <c r="E1359" s="334"/>
      <c r="F1359" s="334"/>
      <c r="G1359" s="334"/>
      <c r="I1359" s="334"/>
      <c r="M1359" s="344"/>
      <c r="N1359" s="376"/>
    </row>
    <row r="1360" ht="15.75" customHeight="1">
      <c r="A1360" s="334"/>
      <c r="B1360" s="362"/>
      <c r="C1360" s="334"/>
      <c r="D1360" s="334"/>
      <c r="E1360" s="334"/>
      <c r="F1360" s="334"/>
      <c r="G1360" s="334"/>
      <c r="I1360" s="334"/>
      <c r="M1360" s="344"/>
      <c r="N1360" s="376"/>
    </row>
    <row r="1361" ht="15.75" customHeight="1">
      <c r="A1361" s="334"/>
      <c r="B1361" s="362"/>
      <c r="C1361" s="334"/>
      <c r="D1361" s="334"/>
      <c r="E1361" s="334"/>
      <c r="F1361" s="334"/>
      <c r="G1361" s="334"/>
      <c r="I1361" s="334"/>
      <c r="M1361" s="344"/>
      <c r="N1361" s="376"/>
    </row>
    <row r="1362" ht="15.75" customHeight="1">
      <c r="A1362" s="334"/>
      <c r="B1362" s="362"/>
      <c r="C1362" s="334"/>
      <c r="D1362" s="334"/>
      <c r="E1362" s="334"/>
      <c r="F1362" s="334"/>
      <c r="G1362" s="334"/>
      <c r="I1362" s="334"/>
      <c r="M1362" s="344"/>
      <c r="N1362" s="376"/>
    </row>
    <row r="1363" ht="15.75" customHeight="1">
      <c r="A1363" s="334"/>
      <c r="B1363" s="362"/>
      <c r="C1363" s="334"/>
      <c r="D1363" s="334"/>
      <c r="E1363" s="334"/>
      <c r="F1363" s="334"/>
      <c r="G1363" s="334"/>
      <c r="I1363" s="334"/>
      <c r="M1363" s="344"/>
      <c r="N1363" s="376"/>
    </row>
    <row r="1364" ht="15.75" customHeight="1">
      <c r="A1364" s="334"/>
      <c r="B1364" s="362"/>
      <c r="C1364" s="334"/>
      <c r="D1364" s="334"/>
      <c r="E1364" s="334"/>
      <c r="F1364" s="334"/>
      <c r="G1364" s="334"/>
      <c r="I1364" s="334"/>
      <c r="M1364" s="344"/>
      <c r="N1364" s="376"/>
    </row>
    <row r="1365" ht="15.75" customHeight="1">
      <c r="A1365" s="334"/>
      <c r="B1365" s="362"/>
      <c r="C1365" s="334"/>
      <c r="D1365" s="334"/>
      <c r="E1365" s="334"/>
      <c r="F1365" s="334"/>
      <c r="G1365" s="334"/>
      <c r="I1365" s="334"/>
      <c r="M1365" s="344"/>
      <c r="N1365" s="376"/>
    </row>
    <row r="1366" ht="15.75" customHeight="1">
      <c r="A1366" s="334"/>
      <c r="B1366" s="362"/>
      <c r="C1366" s="334"/>
      <c r="D1366" s="334"/>
      <c r="E1366" s="334"/>
      <c r="F1366" s="334"/>
      <c r="G1366" s="334"/>
      <c r="I1366" s="334"/>
      <c r="M1366" s="344"/>
      <c r="N1366" s="376"/>
    </row>
    <row r="1367" ht="15.75" customHeight="1">
      <c r="A1367" s="334"/>
      <c r="B1367" s="362"/>
      <c r="C1367" s="334"/>
      <c r="D1367" s="334"/>
      <c r="E1367" s="334"/>
      <c r="F1367" s="334"/>
      <c r="G1367" s="334"/>
      <c r="I1367" s="334"/>
      <c r="M1367" s="344"/>
      <c r="N1367" s="376"/>
    </row>
    <row r="1368" ht="15.75" customHeight="1">
      <c r="A1368" s="334"/>
      <c r="B1368" s="362"/>
      <c r="C1368" s="334"/>
      <c r="D1368" s="334"/>
      <c r="E1368" s="334"/>
      <c r="F1368" s="334"/>
      <c r="G1368" s="334"/>
      <c r="I1368" s="334"/>
      <c r="M1368" s="344"/>
      <c r="N1368" s="376"/>
    </row>
    <row r="1369" ht="15.75" customHeight="1">
      <c r="A1369" s="334"/>
      <c r="B1369" s="362"/>
      <c r="C1369" s="334"/>
      <c r="D1369" s="334"/>
      <c r="E1369" s="334"/>
      <c r="F1369" s="334"/>
      <c r="G1369" s="334"/>
      <c r="I1369" s="334"/>
      <c r="M1369" s="344"/>
      <c r="N1369" s="376"/>
    </row>
    <row r="1370" ht="15.75" customHeight="1">
      <c r="A1370" s="334"/>
      <c r="B1370" s="362"/>
      <c r="C1370" s="334"/>
      <c r="D1370" s="334"/>
      <c r="E1370" s="334"/>
      <c r="F1370" s="334"/>
      <c r="G1370" s="334"/>
      <c r="I1370" s="334"/>
      <c r="M1370" s="344"/>
      <c r="N1370" s="376"/>
    </row>
    <row r="1371" ht="15.75" customHeight="1">
      <c r="A1371" s="334"/>
      <c r="B1371" s="362"/>
      <c r="C1371" s="334"/>
      <c r="D1371" s="334"/>
      <c r="E1371" s="334"/>
      <c r="F1371" s="334"/>
      <c r="G1371" s="334"/>
      <c r="I1371" s="334"/>
      <c r="M1371" s="344"/>
      <c r="N1371" s="376"/>
    </row>
    <row r="1372" ht="15.75" customHeight="1">
      <c r="A1372" s="334"/>
      <c r="B1372" s="362"/>
      <c r="C1372" s="334"/>
      <c r="D1372" s="334"/>
      <c r="E1372" s="334"/>
      <c r="F1372" s="334"/>
      <c r="G1372" s="334"/>
      <c r="I1372" s="334"/>
      <c r="M1372" s="344"/>
      <c r="N1372" s="376"/>
    </row>
    <row r="1373" ht="15.75" customHeight="1">
      <c r="A1373" s="334"/>
      <c r="B1373" s="362"/>
      <c r="C1373" s="334"/>
      <c r="D1373" s="334"/>
      <c r="E1373" s="334"/>
      <c r="F1373" s="334"/>
      <c r="G1373" s="334"/>
      <c r="I1373" s="334"/>
      <c r="M1373" s="344"/>
      <c r="N1373" s="376"/>
    </row>
    <row r="1374" ht="15.75" customHeight="1">
      <c r="A1374" s="334"/>
      <c r="B1374" s="362"/>
      <c r="C1374" s="334"/>
      <c r="D1374" s="334"/>
      <c r="E1374" s="334"/>
      <c r="F1374" s="334"/>
      <c r="G1374" s="334"/>
      <c r="I1374" s="334"/>
      <c r="M1374" s="344"/>
      <c r="N1374" s="376"/>
    </row>
    <row r="1375" ht="15.75" customHeight="1">
      <c r="A1375" s="334"/>
      <c r="B1375" s="362"/>
      <c r="C1375" s="334"/>
      <c r="D1375" s="334"/>
      <c r="E1375" s="334"/>
      <c r="F1375" s="334"/>
      <c r="G1375" s="334"/>
      <c r="I1375" s="334"/>
      <c r="M1375" s="344"/>
      <c r="N1375" s="376"/>
    </row>
    <row r="1376" ht="15.75" customHeight="1">
      <c r="A1376" s="334"/>
      <c r="B1376" s="362"/>
      <c r="C1376" s="334"/>
      <c r="D1376" s="334"/>
      <c r="E1376" s="334"/>
      <c r="F1376" s="334"/>
      <c r="G1376" s="334"/>
      <c r="I1376" s="334"/>
      <c r="M1376" s="344"/>
      <c r="N1376" s="376"/>
    </row>
    <row r="1377" ht="15.75" customHeight="1">
      <c r="A1377" s="334"/>
      <c r="B1377" s="362"/>
      <c r="C1377" s="334"/>
      <c r="D1377" s="334"/>
      <c r="E1377" s="334"/>
      <c r="F1377" s="334"/>
      <c r="G1377" s="334"/>
      <c r="I1377" s="334"/>
      <c r="M1377" s="344"/>
      <c r="N1377" s="376"/>
    </row>
    <row r="1378" ht="15.75" customHeight="1">
      <c r="A1378" s="334"/>
      <c r="B1378" s="362"/>
      <c r="C1378" s="334"/>
      <c r="D1378" s="334"/>
      <c r="E1378" s="334"/>
      <c r="F1378" s="334"/>
      <c r="G1378" s="334"/>
      <c r="I1378" s="334"/>
      <c r="M1378" s="344"/>
      <c r="N1378" s="376"/>
    </row>
    <row r="1379" ht="15.75" customHeight="1">
      <c r="A1379" s="334"/>
      <c r="B1379" s="362"/>
      <c r="C1379" s="334"/>
      <c r="D1379" s="334"/>
      <c r="E1379" s="334"/>
      <c r="F1379" s="334"/>
      <c r="G1379" s="334"/>
      <c r="I1379" s="334"/>
      <c r="M1379" s="344"/>
      <c r="N1379" s="376"/>
    </row>
    <row r="1380" ht="15.75" customHeight="1">
      <c r="A1380" s="334"/>
      <c r="B1380" s="362"/>
      <c r="C1380" s="334"/>
      <c r="D1380" s="334"/>
      <c r="E1380" s="334"/>
      <c r="F1380" s="334"/>
      <c r="G1380" s="334"/>
      <c r="I1380" s="334"/>
      <c r="M1380" s="344"/>
      <c r="N1380" s="376"/>
    </row>
    <row r="1381" ht="15.75" customHeight="1">
      <c r="A1381" s="334"/>
      <c r="B1381" s="362"/>
      <c r="C1381" s="334"/>
      <c r="D1381" s="334"/>
      <c r="E1381" s="334"/>
      <c r="F1381" s="334"/>
      <c r="G1381" s="334"/>
      <c r="I1381" s="334"/>
      <c r="M1381" s="344"/>
      <c r="N1381" s="376"/>
    </row>
    <row r="1382" ht="15.75" customHeight="1">
      <c r="A1382" s="334"/>
      <c r="B1382" s="362"/>
      <c r="C1382" s="334"/>
      <c r="D1382" s="334"/>
      <c r="E1382" s="334"/>
      <c r="F1382" s="334"/>
      <c r="G1382" s="334"/>
      <c r="I1382" s="334"/>
      <c r="M1382" s="344"/>
      <c r="N1382" s="376"/>
    </row>
    <row r="1383" ht="15.75" customHeight="1">
      <c r="A1383" s="334"/>
      <c r="B1383" s="362"/>
      <c r="C1383" s="334"/>
      <c r="D1383" s="334"/>
      <c r="E1383" s="334"/>
      <c r="F1383" s="334"/>
      <c r="G1383" s="334"/>
      <c r="I1383" s="334"/>
      <c r="M1383" s="344"/>
      <c r="N1383" s="376"/>
    </row>
    <row r="1384" ht="15.75" customHeight="1">
      <c r="A1384" s="334"/>
      <c r="B1384" s="362"/>
      <c r="C1384" s="334"/>
      <c r="D1384" s="334"/>
      <c r="E1384" s="334"/>
      <c r="F1384" s="334"/>
      <c r="G1384" s="334"/>
      <c r="I1384" s="334"/>
      <c r="M1384" s="344"/>
      <c r="N1384" s="376"/>
    </row>
    <row r="1385" ht="15.75" customHeight="1">
      <c r="A1385" s="334"/>
      <c r="B1385" s="362"/>
      <c r="C1385" s="334"/>
      <c r="D1385" s="334"/>
      <c r="E1385" s="334"/>
      <c r="F1385" s="334"/>
      <c r="G1385" s="334"/>
      <c r="I1385" s="334"/>
      <c r="M1385" s="344"/>
      <c r="N1385" s="376"/>
    </row>
    <row r="1386" ht="15.75" customHeight="1">
      <c r="A1386" s="334"/>
      <c r="B1386" s="362"/>
      <c r="C1386" s="334"/>
      <c r="D1386" s="334"/>
      <c r="E1386" s="334"/>
      <c r="F1386" s="334"/>
      <c r="G1386" s="334"/>
      <c r="I1386" s="334"/>
      <c r="M1386" s="344"/>
      <c r="N1386" s="376"/>
    </row>
    <row r="1387" ht="15.75" customHeight="1">
      <c r="A1387" s="334"/>
      <c r="B1387" s="362"/>
      <c r="C1387" s="334"/>
      <c r="D1387" s="334"/>
      <c r="E1387" s="334"/>
      <c r="F1387" s="334"/>
      <c r="G1387" s="334"/>
      <c r="I1387" s="334"/>
      <c r="M1387" s="344"/>
      <c r="N1387" s="376"/>
    </row>
    <row r="1388" ht="15.75" customHeight="1">
      <c r="A1388" s="334"/>
      <c r="B1388" s="362"/>
      <c r="C1388" s="334"/>
      <c r="D1388" s="334"/>
      <c r="E1388" s="334"/>
      <c r="F1388" s="334"/>
      <c r="G1388" s="334"/>
      <c r="I1388" s="334"/>
      <c r="M1388" s="344"/>
      <c r="N1388" s="376"/>
    </row>
    <row r="1389" ht="15.75" customHeight="1">
      <c r="A1389" s="334"/>
      <c r="B1389" s="362"/>
      <c r="C1389" s="334"/>
      <c r="D1389" s="334"/>
      <c r="E1389" s="334"/>
      <c r="F1389" s="334"/>
      <c r="G1389" s="334"/>
      <c r="I1389" s="334"/>
      <c r="M1389" s="344"/>
      <c r="N1389" s="376"/>
    </row>
    <row r="1390" ht="15.75" customHeight="1">
      <c r="A1390" s="334"/>
      <c r="B1390" s="362"/>
      <c r="C1390" s="334"/>
      <c r="D1390" s="334"/>
      <c r="E1390" s="334"/>
      <c r="F1390" s="334"/>
      <c r="G1390" s="334"/>
      <c r="I1390" s="334"/>
      <c r="M1390" s="344"/>
      <c r="N1390" s="376"/>
    </row>
    <row r="1391" ht="15.75" customHeight="1">
      <c r="A1391" s="334"/>
      <c r="B1391" s="362"/>
      <c r="C1391" s="334"/>
      <c r="D1391" s="334"/>
      <c r="E1391" s="334"/>
      <c r="F1391" s="334"/>
      <c r="G1391" s="334"/>
      <c r="I1391" s="334"/>
      <c r="M1391" s="344"/>
      <c r="N1391" s="376"/>
    </row>
    <row r="1392" ht="15.75" customHeight="1">
      <c r="A1392" s="334"/>
      <c r="B1392" s="362"/>
      <c r="C1392" s="334"/>
      <c r="D1392" s="334"/>
      <c r="E1392" s="334"/>
      <c r="F1392" s="334"/>
      <c r="G1392" s="334"/>
      <c r="I1392" s="334"/>
      <c r="M1392" s="344"/>
      <c r="N1392" s="376"/>
    </row>
    <row r="1393" ht="15.75" customHeight="1">
      <c r="A1393" s="334"/>
      <c r="B1393" s="362"/>
      <c r="C1393" s="334"/>
      <c r="D1393" s="334"/>
      <c r="E1393" s="334"/>
      <c r="F1393" s="334"/>
      <c r="G1393" s="334"/>
      <c r="I1393" s="334"/>
      <c r="M1393" s="344"/>
      <c r="N1393" s="376"/>
    </row>
    <row r="1394" ht="15.75" customHeight="1">
      <c r="A1394" s="334"/>
      <c r="B1394" s="362"/>
      <c r="C1394" s="334"/>
      <c r="D1394" s="334"/>
      <c r="E1394" s="334"/>
      <c r="F1394" s="334"/>
      <c r="G1394" s="334"/>
      <c r="I1394" s="334"/>
      <c r="M1394" s="344"/>
      <c r="N1394" s="376"/>
    </row>
    <row r="1395" ht="15.75" customHeight="1">
      <c r="A1395" s="334"/>
      <c r="B1395" s="362"/>
      <c r="C1395" s="334"/>
      <c r="D1395" s="334"/>
      <c r="E1395" s="334"/>
      <c r="F1395" s="334"/>
      <c r="G1395" s="334"/>
      <c r="I1395" s="334"/>
      <c r="M1395" s="344"/>
      <c r="N1395" s="376"/>
    </row>
    <row r="1396" ht="15.75" customHeight="1">
      <c r="A1396" s="334"/>
      <c r="B1396" s="362"/>
      <c r="C1396" s="334"/>
      <c r="D1396" s="334"/>
      <c r="E1396" s="334"/>
      <c r="F1396" s="334"/>
      <c r="G1396" s="334"/>
      <c r="I1396" s="334"/>
      <c r="M1396" s="344"/>
      <c r="N1396" s="376"/>
    </row>
    <row r="1397" ht="15.75" customHeight="1">
      <c r="A1397" s="334"/>
      <c r="B1397" s="362"/>
      <c r="C1397" s="334"/>
      <c r="D1397" s="334"/>
      <c r="E1397" s="334"/>
      <c r="F1397" s="334"/>
      <c r="G1397" s="334"/>
      <c r="I1397" s="334"/>
      <c r="M1397" s="344"/>
      <c r="N1397" s="376"/>
    </row>
    <row r="1398" ht="15.75" customHeight="1">
      <c r="A1398" s="334"/>
      <c r="B1398" s="362"/>
      <c r="C1398" s="334"/>
      <c r="D1398" s="334"/>
      <c r="E1398" s="334"/>
      <c r="F1398" s="334"/>
      <c r="G1398" s="334"/>
      <c r="I1398" s="334"/>
      <c r="M1398" s="344"/>
      <c r="N1398" s="376"/>
    </row>
    <row r="1399" ht="15.75" customHeight="1">
      <c r="A1399" s="334"/>
      <c r="B1399" s="362"/>
      <c r="C1399" s="334"/>
      <c r="D1399" s="334"/>
      <c r="E1399" s="334"/>
      <c r="F1399" s="334"/>
      <c r="G1399" s="334"/>
      <c r="I1399" s="334"/>
      <c r="M1399" s="344"/>
      <c r="N1399" s="376"/>
    </row>
    <row r="1400" ht="15.75" customHeight="1">
      <c r="A1400" s="334"/>
      <c r="B1400" s="362"/>
      <c r="C1400" s="334"/>
      <c r="D1400" s="334"/>
      <c r="E1400" s="334"/>
      <c r="F1400" s="334"/>
      <c r="G1400" s="334"/>
      <c r="I1400" s="334"/>
      <c r="M1400" s="344"/>
      <c r="N1400" s="376"/>
    </row>
    <row r="1401" ht="15.75" customHeight="1">
      <c r="A1401" s="334"/>
      <c r="B1401" s="362"/>
      <c r="C1401" s="334"/>
      <c r="D1401" s="334"/>
      <c r="E1401" s="334"/>
      <c r="F1401" s="334"/>
      <c r="G1401" s="334"/>
      <c r="I1401" s="334"/>
      <c r="M1401" s="344"/>
      <c r="N1401" s="376"/>
    </row>
    <row r="1402" ht="15.75" customHeight="1">
      <c r="A1402" s="334"/>
      <c r="B1402" s="362"/>
      <c r="C1402" s="334"/>
      <c r="D1402" s="334"/>
      <c r="E1402" s="334"/>
      <c r="F1402" s="334"/>
      <c r="G1402" s="334"/>
      <c r="I1402" s="334"/>
      <c r="M1402" s="344"/>
      <c r="N1402" s="376"/>
    </row>
    <row r="1403" ht="15.75" customHeight="1">
      <c r="A1403" s="334"/>
      <c r="B1403" s="362"/>
      <c r="C1403" s="334"/>
      <c r="D1403" s="334"/>
      <c r="E1403" s="334"/>
      <c r="F1403" s="334"/>
      <c r="G1403" s="334"/>
      <c r="I1403" s="334"/>
      <c r="M1403" s="344"/>
      <c r="N1403" s="376"/>
    </row>
    <row r="1404" ht="15.75" customHeight="1">
      <c r="A1404" s="334"/>
      <c r="B1404" s="362"/>
      <c r="C1404" s="334"/>
      <c r="D1404" s="334"/>
      <c r="E1404" s="334"/>
      <c r="F1404" s="334"/>
      <c r="G1404" s="334"/>
      <c r="I1404" s="334"/>
      <c r="M1404" s="344"/>
      <c r="N1404" s="376"/>
    </row>
    <row r="1405" ht="15.75" customHeight="1">
      <c r="A1405" s="334"/>
      <c r="B1405" s="362"/>
      <c r="C1405" s="334"/>
      <c r="D1405" s="334"/>
      <c r="E1405" s="334"/>
      <c r="F1405" s="334"/>
      <c r="G1405" s="334"/>
      <c r="I1405" s="334"/>
      <c r="M1405" s="344"/>
      <c r="N1405" s="376"/>
    </row>
    <row r="1406" ht="15.75" customHeight="1">
      <c r="A1406" s="334"/>
      <c r="B1406" s="362"/>
      <c r="C1406" s="334"/>
      <c r="D1406" s="334"/>
      <c r="E1406" s="334"/>
      <c r="F1406" s="334"/>
      <c r="G1406" s="334"/>
      <c r="I1406" s="334"/>
      <c r="M1406" s="344"/>
      <c r="N1406" s="376"/>
    </row>
    <row r="1407" ht="15.75" customHeight="1">
      <c r="A1407" s="334"/>
      <c r="B1407" s="362"/>
      <c r="C1407" s="334"/>
      <c r="D1407" s="334"/>
      <c r="E1407" s="334"/>
      <c r="F1407" s="334"/>
      <c r="G1407" s="334"/>
      <c r="I1407" s="334"/>
      <c r="M1407" s="344"/>
      <c r="N1407" s="376"/>
    </row>
    <row r="1408" ht="15.75" customHeight="1">
      <c r="A1408" s="334"/>
      <c r="B1408" s="362"/>
      <c r="C1408" s="334"/>
      <c r="D1408" s="334"/>
      <c r="E1408" s="334"/>
      <c r="F1408" s="334"/>
      <c r="G1408" s="334"/>
      <c r="I1408" s="334"/>
      <c r="M1408" s="344"/>
      <c r="N1408" s="376"/>
    </row>
    <row r="1409" ht="15.75" customHeight="1">
      <c r="A1409" s="334"/>
      <c r="B1409" s="362"/>
      <c r="C1409" s="334"/>
      <c r="D1409" s="334"/>
      <c r="E1409" s="334"/>
      <c r="F1409" s="334"/>
      <c r="G1409" s="334"/>
      <c r="I1409" s="334"/>
      <c r="M1409" s="344"/>
      <c r="N1409" s="376"/>
    </row>
    <row r="1410" ht="15.75" customHeight="1">
      <c r="A1410" s="334"/>
      <c r="B1410" s="362"/>
      <c r="C1410" s="334"/>
      <c r="D1410" s="334"/>
      <c r="E1410" s="334"/>
      <c r="F1410" s="334"/>
      <c r="G1410" s="334"/>
      <c r="I1410" s="334"/>
      <c r="M1410" s="344"/>
      <c r="N1410" s="376"/>
    </row>
    <row r="1411" ht="15.75" customHeight="1">
      <c r="A1411" s="334"/>
      <c r="B1411" s="362"/>
      <c r="C1411" s="334"/>
      <c r="D1411" s="334"/>
      <c r="E1411" s="334"/>
      <c r="F1411" s="334"/>
      <c r="G1411" s="334"/>
      <c r="I1411" s="334"/>
      <c r="M1411" s="344"/>
      <c r="N1411" s="376"/>
    </row>
    <row r="1412" ht="15.75" customHeight="1">
      <c r="A1412" s="334"/>
      <c r="B1412" s="362"/>
      <c r="C1412" s="334"/>
      <c r="D1412" s="334"/>
      <c r="E1412" s="334"/>
      <c r="F1412" s="334"/>
      <c r="G1412" s="334"/>
      <c r="I1412" s="334"/>
      <c r="M1412" s="344"/>
      <c r="N1412" s="376"/>
    </row>
    <row r="1413" ht="15.75" customHeight="1">
      <c r="A1413" s="334"/>
      <c r="B1413" s="362"/>
      <c r="C1413" s="334"/>
      <c r="D1413" s="334"/>
      <c r="E1413" s="334"/>
      <c r="F1413" s="334"/>
      <c r="G1413" s="334"/>
      <c r="I1413" s="334"/>
      <c r="M1413" s="344"/>
      <c r="N1413" s="376"/>
    </row>
    <row r="1414" ht="15.75" customHeight="1">
      <c r="A1414" s="334"/>
      <c r="B1414" s="362"/>
      <c r="C1414" s="334"/>
      <c r="D1414" s="334"/>
      <c r="E1414" s="334"/>
      <c r="F1414" s="334"/>
      <c r="G1414" s="334"/>
      <c r="I1414" s="334"/>
      <c r="M1414" s="344"/>
      <c r="N1414" s="376"/>
    </row>
    <row r="1415" ht="15.75" customHeight="1">
      <c r="A1415" s="334"/>
      <c r="B1415" s="362"/>
      <c r="C1415" s="334"/>
      <c r="D1415" s="334"/>
      <c r="E1415" s="334"/>
      <c r="F1415" s="334"/>
      <c r="G1415" s="334"/>
      <c r="I1415" s="334"/>
      <c r="M1415" s="344"/>
      <c r="N1415" s="376"/>
    </row>
    <row r="1416" ht="15.75" customHeight="1">
      <c r="A1416" s="334"/>
      <c r="B1416" s="362"/>
      <c r="C1416" s="334"/>
      <c r="D1416" s="334"/>
      <c r="E1416" s="334"/>
      <c r="F1416" s="334"/>
      <c r="G1416" s="334"/>
      <c r="I1416" s="334"/>
      <c r="M1416" s="344"/>
      <c r="N1416" s="376"/>
    </row>
    <row r="1417" ht="15.75" customHeight="1">
      <c r="A1417" s="334"/>
      <c r="B1417" s="362"/>
      <c r="C1417" s="334"/>
      <c r="D1417" s="334"/>
      <c r="E1417" s="334"/>
      <c r="F1417" s="334"/>
      <c r="G1417" s="334"/>
      <c r="I1417" s="334"/>
      <c r="M1417" s="344"/>
      <c r="N1417" s="376"/>
    </row>
    <row r="1418" ht="15.75" customHeight="1">
      <c r="A1418" s="334"/>
      <c r="B1418" s="362"/>
      <c r="C1418" s="334"/>
      <c r="D1418" s="334"/>
      <c r="E1418" s="334"/>
      <c r="F1418" s="334"/>
      <c r="G1418" s="334"/>
      <c r="I1418" s="334"/>
      <c r="M1418" s="344"/>
      <c r="N1418" s="376"/>
    </row>
    <row r="1419" ht="15.75" customHeight="1">
      <c r="A1419" s="334"/>
      <c r="B1419" s="362"/>
      <c r="C1419" s="334"/>
      <c r="D1419" s="334"/>
      <c r="E1419" s="334"/>
      <c r="F1419" s="334"/>
      <c r="G1419" s="334"/>
      <c r="I1419" s="334"/>
      <c r="M1419" s="344"/>
      <c r="N1419" s="376"/>
    </row>
    <row r="1420" ht="15.75" customHeight="1">
      <c r="A1420" s="334"/>
      <c r="B1420" s="362"/>
      <c r="C1420" s="334"/>
      <c r="D1420" s="334"/>
      <c r="E1420" s="334"/>
      <c r="F1420" s="334"/>
      <c r="G1420" s="334"/>
      <c r="I1420" s="334"/>
      <c r="M1420" s="344"/>
      <c r="N1420" s="376"/>
    </row>
    <row r="1421" ht="15.75" customHeight="1">
      <c r="A1421" s="334"/>
      <c r="B1421" s="362"/>
      <c r="C1421" s="334"/>
      <c r="D1421" s="334"/>
      <c r="E1421" s="334"/>
      <c r="F1421" s="334"/>
      <c r="G1421" s="334"/>
      <c r="I1421" s="334"/>
      <c r="M1421" s="344"/>
      <c r="N1421" s="376"/>
    </row>
    <row r="1422" ht="15.75" customHeight="1">
      <c r="A1422" s="334"/>
      <c r="B1422" s="362"/>
      <c r="C1422" s="334"/>
      <c r="D1422" s="334"/>
      <c r="E1422" s="334"/>
      <c r="F1422" s="334"/>
      <c r="G1422" s="334"/>
      <c r="I1422" s="334"/>
      <c r="M1422" s="344"/>
      <c r="N1422" s="376"/>
    </row>
    <row r="1423" ht="15.75" customHeight="1">
      <c r="A1423" s="334"/>
      <c r="B1423" s="362"/>
      <c r="C1423" s="334"/>
      <c r="D1423" s="334"/>
      <c r="E1423" s="334"/>
      <c r="F1423" s="334"/>
      <c r="G1423" s="334"/>
      <c r="I1423" s="334"/>
      <c r="M1423" s="344"/>
      <c r="N1423" s="376"/>
    </row>
    <row r="1424" ht="15.75" customHeight="1">
      <c r="A1424" s="334"/>
      <c r="B1424" s="362"/>
      <c r="C1424" s="334"/>
      <c r="D1424" s="334"/>
      <c r="E1424" s="334"/>
      <c r="F1424" s="334"/>
      <c r="G1424" s="334"/>
      <c r="I1424" s="334"/>
      <c r="M1424" s="344"/>
      <c r="N1424" s="376"/>
    </row>
    <row r="1425" ht="15.75" customHeight="1">
      <c r="A1425" s="334"/>
      <c r="B1425" s="362"/>
      <c r="C1425" s="334"/>
      <c r="D1425" s="334"/>
      <c r="E1425" s="334"/>
      <c r="F1425" s="334"/>
      <c r="G1425" s="334"/>
      <c r="I1425" s="334"/>
      <c r="M1425" s="344"/>
      <c r="N1425" s="376"/>
    </row>
    <row r="1426" ht="15.75" customHeight="1">
      <c r="A1426" s="334"/>
      <c r="B1426" s="362"/>
      <c r="C1426" s="334"/>
      <c r="D1426" s="334"/>
      <c r="E1426" s="334"/>
      <c r="F1426" s="334"/>
      <c r="G1426" s="334"/>
      <c r="I1426" s="334"/>
      <c r="M1426" s="344"/>
      <c r="N1426" s="376"/>
    </row>
    <row r="1427" ht="15.75" customHeight="1">
      <c r="A1427" s="334"/>
      <c r="B1427" s="362"/>
      <c r="C1427" s="334"/>
      <c r="D1427" s="334"/>
      <c r="E1427" s="334"/>
      <c r="F1427" s="334"/>
      <c r="G1427" s="334"/>
      <c r="I1427" s="334"/>
      <c r="M1427" s="344"/>
      <c r="N1427" s="376"/>
    </row>
    <row r="1428" ht="15.75" customHeight="1">
      <c r="A1428" s="334"/>
      <c r="B1428" s="362"/>
      <c r="C1428" s="334"/>
      <c r="D1428" s="334"/>
      <c r="E1428" s="334"/>
      <c r="F1428" s="334"/>
      <c r="G1428" s="334"/>
      <c r="I1428" s="334"/>
      <c r="M1428" s="344"/>
      <c r="N1428" s="376"/>
    </row>
    <row r="1429" ht="15.75" customHeight="1">
      <c r="A1429" s="334"/>
      <c r="B1429" s="362"/>
      <c r="C1429" s="334"/>
      <c r="D1429" s="334"/>
      <c r="E1429" s="334"/>
      <c r="F1429" s="334"/>
      <c r="G1429" s="334"/>
      <c r="I1429" s="334"/>
      <c r="M1429" s="344"/>
      <c r="N1429" s="376"/>
    </row>
    <row r="1430" ht="15.75" customHeight="1">
      <c r="A1430" s="334"/>
      <c r="B1430" s="362"/>
      <c r="C1430" s="334"/>
      <c r="D1430" s="334"/>
      <c r="E1430" s="334"/>
      <c r="F1430" s="334"/>
      <c r="G1430" s="334"/>
      <c r="I1430" s="334"/>
      <c r="M1430" s="344"/>
      <c r="N1430" s="376"/>
    </row>
    <row r="1431" ht="15.75" customHeight="1">
      <c r="A1431" s="334"/>
      <c r="B1431" s="362"/>
      <c r="C1431" s="334"/>
      <c r="D1431" s="334"/>
      <c r="E1431" s="334"/>
      <c r="F1431" s="334"/>
      <c r="G1431" s="334"/>
      <c r="I1431" s="334"/>
      <c r="M1431" s="344"/>
      <c r="N1431" s="376"/>
    </row>
    <row r="1432" ht="15.75" customHeight="1">
      <c r="A1432" s="334"/>
      <c r="B1432" s="362"/>
      <c r="C1432" s="334"/>
      <c r="D1432" s="334"/>
      <c r="E1432" s="334"/>
      <c r="F1432" s="334"/>
      <c r="G1432" s="334"/>
      <c r="I1432" s="334"/>
      <c r="M1432" s="344"/>
      <c r="N1432" s="376"/>
    </row>
    <row r="1433" ht="15.75" customHeight="1">
      <c r="A1433" s="334"/>
      <c r="B1433" s="362"/>
      <c r="C1433" s="334"/>
      <c r="D1433" s="334"/>
      <c r="E1433" s="334"/>
      <c r="F1433" s="334"/>
      <c r="G1433" s="334"/>
      <c r="I1433" s="334"/>
      <c r="M1433" s="344"/>
      <c r="N1433" s="376"/>
    </row>
    <row r="1434" ht="15.75" customHeight="1">
      <c r="A1434" s="334"/>
      <c r="B1434" s="362"/>
      <c r="C1434" s="334"/>
      <c r="D1434" s="334"/>
      <c r="E1434" s="334"/>
      <c r="F1434" s="334"/>
      <c r="G1434" s="334"/>
      <c r="I1434" s="334"/>
      <c r="M1434" s="344"/>
      <c r="N1434" s="376"/>
    </row>
    <row r="1435" ht="15.75" customHeight="1">
      <c r="A1435" s="334"/>
      <c r="B1435" s="362"/>
      <c r="C1435" s="334"/>
      <c r="D1435" s="334"/>
      <c r="E1435" s="334"/>
      <c r="F1435" s="334"/>
      <c r="G1435" s="334"/>
      <c r="I1435" s="334"/>
      <c r="M1435" s="344"/>
      <c r="N1435" s="376"/>
    </row>
    <row r="1436" ht="15.75" customHeight="1">
      <c r="A1436" s="334"/>
      <c r="B1436" s="362"/>
      <c r="C1436" s="334"/>
      <c r="D1436" s="334"/>
      <c r="E1436" s="334"/>
      <c r="F1436" s="334"/>
      <c r="G1436" s="334"/>
      <c r="I1436" s="334"/>
      <c r="M1436" s="344"/>
      <c r="N1436" s="376"/>
    </row>
    <row r="1437" ht="15.75" customHeight="1">
      <c r="A1437" s="334"/>
      <c r="B1437" s="362"/>
      <c r="C1437" s="334"/>
      <c r="D1437" s="334"/>
      <c r="E1437" s="334"/>
      <c r="F1437" s="334"/>
      <c r="G1437" s="334"/>
      <c r="I1437" s="334"/>
      <c r="M1437" s="344"/>
      <c r="N1437" s="376"/>
    </row>
    <row r="1438" ht="15.75" customHeight="1">
      <c r="A1438" s="334"/>
      <c r="B1438" s="362"/>
      <c r="C1438" s="334"/>
      <c r="D1438" s="334"/>
      <c r="E1438" s="334"/>
      <c r="F1438" s="334"/>
      <c r="G1438" s="334"/>
      <c r="I1438" s="334"/>
      <c r="M1438" s="344"/>
      <c r="N1438" s="376"/>
    </row>
    <row r="1439" ht="15.75" customHeight="1">
      <c r="A1439" s="334"/>
      <c r="B1439" s="362"/>
      <c r="C1439" s="334"/>
      <c r="D1439" s="334"/>
      <c r="E1439" s="334"/>
      <c r="F1439" s="334"/>
      <c r="G1439" s="334"/>
      <c r="I1439" s="334"/>
      <c r="M1439" s="344"/>
      <c r="N1439" s="376"/>
    </row>
    <row r="1440" ht="15.75" customHeight="1">
      <c r="A1440" s="334"/>
      <c r="B1440" s="362"/>
      <c r="C1440" s="334"/>
      <c r="D1440" s="334"/>
      <c r="E1440" s="334"/>
      <c r="F1440" s="334"/>
      <c r="G1440" s="334"/>
      <c r="I1440" s="334"/>
      <c r="M1440" s="344"/>
      <c r="N1440" s="376"/>
    </row>
    <row r="1441" ht="15.75" customHeight="1">
      <c r="A1441" s="334"/>
      <c r="B1441" s="362"/>
      <c r="C1441" s="334"/>
      <c r="D1441" s="334"/>
      <c r="E1441" s="334"/>
      <c r="F1441" s="334"/>
      <c r="G1441" s="334"/>
      <c r="I1441" s="334"/>
      <c r="M1441" s="344"/>
      <c r="N1441" s="376"/>
    </row>
    <row r="1442" ht="15.75" customHeight="1">
      <c r="A1442" s="334"/>
      <c r="B1442" s="362"/>
      <c r="C1442" s="334"/>
      <c r="D1442" s="334"/>
      <c r="E1442" s="334"/>
      <c r="F1442" s="334"/>
      <c r="G1442" s="334"/>
      <c r="I1442" s="334"/>
      <c r="M1442" s="344"/>
      <c r="N1442" s="376"/>
    </row>
    <row r="1443" ht="15.75" customHeight="1">
      <c r="A1443" s="334"/>
      <c r="B1443" s="362"/>
      <c r="C1443" s="334"/>
      <c r="D1443" s="334"/>
      <c r="E1443" s="334"/>
      <c r="F1443" s="334"/>
      <c r="G1443" s="334"/>
      <c r="I1443" s="334"/>
      <c r="M1443" s="344"/>
      <c r="N1443" s="376"/>
    </row>
    <row r="1444" ht="15.75" customHeight="1">
      <c r="A1444" s="334"/>
      <c r="B1444" s="362"/>
      <c r="C1444" s="334"/>
      <c r="D1444" s="334"/>
      <c r="E1444" s="334"/>
      <c r="F1444" s="334"/>
      <c r="G1444" s="334"/>
      <c r="I1444" s="334"/>
      <c r="M1444" s="344"/>
      <c r="N1444" s="376"/>
    </row>
    <row r="1445" ht="15.75" customHeight="1">
      <c r="A1445" s="334"/>
      <c r="B1445" s="362"/>
      <c r="C1445" s="334"/>
      <c r="D1445" s="334"/>
      <c r="E1445" s="334"/>
      <c r="F1445" s="334"/>
      <c r="G1445" s="334"/>
      <c r="I1445" s="334"/>
      <c r="M1445" s="344"/>
      <c r="N1445" s="376"/>
    </row>
    <row r="1446" ht="15.75" customHeight="1">
      <c r="A1446" s="334"/>
      <c r="B1446" s="362"/>
      <c r="C1446" s="334"/>
      <c r="D1446" s="334"/>
      <c r="E1446" s="334"/>
      <c r="F1446" s="334"/>
      <c r="G1446" s="334"/>
      <c r="I1446" s="334"/>
      <c r="M1446" s="344"/>
      <c r="N1446" s="376"/>
    </row>
    <row r="1447" ht="15.75" customHeight="1">
      <c r="A1447" s="334"/>
      <c r="B1447" s="362"/>
      <c r="C1447" s="334"/>
      <c r="D1447" s="334"/>
      <c r="E1447" s="334"/>
      <c r="F1447" s="334"/>
      <c r="G1447" s="334"/>
      <c r="I1447" s="334"/>
      <c r="M1447" s="344"/>
      <c r="N1447" s="376"/>
    </row>
    <row r="1448" ht="15.75" customHeight="1">
      <c r="A1448" s="334"/>
      <c r="B1448" s="362"/>
      <c r="C1448" s="334"/>
      <c r="D1448" s="334"/>
      <c r="E1448" s="334"/>
      <c r="F1448" s="334"/>
      <c r="G1448" s="334"/>
      <c r="I1448" s="334"/>
      <c r="M1448" s="344"/>
      <c r="N1448" s="376"/>
    </row>
    <row r="1449" ht="15.75" customHeight="1">
      <c r="A1449" s="334"/>
      <c r="B1449" s="362"/>
      <c r="C1449" s="334"/>
      <c r="D1449" s="334"/>
      <c r="E1449" s="334"/>
      <c r="F1449" s="334"/>
      <c r="G1449" s="334"/>
      <c r="I1449" s="334"/>
      <c r="M1449" s="344"/>
      <c r="N1449" s="376"/>
    </row>
    <row r="1450" ht="15.75" customHeight="1">
      <c r="A1450" s="334"/>
      <c r="B1450" s="362"/>
      <c r="C1450" s="334"/>
      <c r="D1450" s="334"/>
      <c r="E1450" s="334"/>
      <c r="F1450" s="334"/>
      <c r="G1450" s="334"/>
      <c r="I1450" s="334"/>
      <c r="M1450" s="344"/>
      <c r="N1450" s="376"/>
    </row>
    <row r="1451" ht="15.75" customHeight="1">
      <c r="A1451" s="334"/>
      <c r="B1451" s="362"/>
      <c r="C1451" s="334"/>
      <c r="D1451" s="334"/>
      <c r="E1451" s="334"/>
      <c r="F1451" s="334"/>
      <c r="G1451" s="334"/>
      <c r="I1451" s="334"/>
      <c r="M1451" s="344"/>
      <c r="N1451" s="376"/>
    </row>
    <row r="1452" ht="15.75" customHeight="1">
      <c r="A1452" s="334"/>
      <c r="B1452" s="362"/>
      <c r="C1452" s="334"/>
      <c r="D1452" s="334"/>
      <c r="E1452" s="334"/>
      <c r="F1452" s="334"/>
      <c r="G1452" s="334"/>
      <c r="I1452" s="334"/>
      <c r="M1452" s="344"/>
      <c r="N1452" s="376"/>
    </row>
    <row r="1453" ht="15.75" customHeight="1">
      <c r="A1453" s="334"/>
      <c r="B1453" s="362"/>
      <c r="C1453" s="334"/>
      <c r="D1453" s="334"/>
      <c r="E1453" s="334"/>
      <c r="F1453" s="334"/>
      <c r="G1453" s="334"/>
      <c r="I1453" s="334"/>
      <c r="M1453" s="344"/>
      <c r="N1453" s="376"/>
    </row>
    <row r="1454" ht="15.75" customHeight="1">
      <c r="A1454" s="334"/>
      <c r="B1454" s="362"/>
      <c r="C1454" s="334"/>
      <c r="D1454" s="334"/>
      <c r="E1454" s="334"/>
      <c r="F1454" s="334"/>
      <c r="G1454" s="334"/>
      <c r="I1454" s="334"/>
      <c r="M1454" s="344"/>
      <c r="N1454" s="376"/>
    </row>
    <row r="1455" ht="15.75" customHeight="1">
      <c r="A1455" s="334"/>
      <c r="B1455" s="362"/>
      <c r="C1455" s="334"/>
      <c r="D1455" s="334"/>
      <c r="E1455" s="334"/>
      <c r="F1455" s="334"/>
      <c r="G1455" s="334"/>
      <c r="I1455" s="334"/>
      <c r="M1455" s="344"/>
      <c r="N1455" s="376"/>
    </row>
    <row r="1456" ht="15.75" customHeight="1">
      <c r="A1456" s="334"/>
      <c r="B1456" s="362"/>
      <c r="C1456" s="334"/>
      <c r="D1456" s="334"/>
      <c r="E1456" s="334"/>
      <c r="F1456" s="334"/>
      <c r="G1456" s="334"/>
      <c r="I1456" s="334"/>
      <c r="M1456" s="344"/>
      <c r="N1456" s="376"/>
    </row>
    <row r="1457" ht="15.75" customHeight="1">
      <c r="A1457" s="334"/>
      <c r="B1457" s="362"/>
      <c r="C1457" s="334"/>
      <c r="D1457" s="334"/>
      <c r="E1457" s="334"/>
      <c r="F1457" s="334"/>
      <c r="G1457" s="334"/>
      <c r="I1457" s="334"/>
      <c r="M1457" s="344"/>
      <c r="N1457" s="376"/>
    </row>
    <row r="1458" ht="15.75" customHeight="1">
      <c r="A1458" s="334"/>
      <c r="B1458" s="362"/>
      <c r="C1458" s="334"/>
      <c r="D1458" s="334"/>
      <c r="E1458" s="334"/>
      <c r="F1458" s="334"/>
      <c r="G1458" s="334"/>
      <c r="I1458" s="334"/>
      <c r="M1458" s="344"/>
      <c r="N1458" s="376"/>
    </row>
    <row r="1459" ht="15.75" customHeight="1">
      <c r="A1459" s="334"/>
      <c r="B1459" s="362"/>
      <c r="C1459" s="334"/>
      <c r="D1459" s="334"/>
      <c r="E1459" s="334"/>
      <c r="F1459" s="334"/>
      <c r="G1459" s="334"/>
      <c r="I1459" s="334"/>
      <c r="M1459" s="344"/>
      <c r="N1459" s="376"/>
    </row>
    <row r="1460" ht="15.75" customHeight="1">
      <c r="A1460" s="334"/>
      <c r="B1460" s="362"/>
      <c r="C1460" s="334"/>
      <c r="D1460" s="334"/>
      <c r="E1460" s="334"/>
      <c r="F1460" s="334"/>
      <c r="G1460" s="334"/>
      <c r="I1460" s="334"/>
      <c r="M1460" s="344"/>
      <c r="N1460" s="376"/>
    </row>
    <row r="1461" ht="15.75" customHeight="1">
      <c r="A1461" s="334"/>
      <c r="B1461" s="362"/>
      <c r="C1461" s="334"/>
      <c r="D1461" s="334"/>
      <c r="E1461" s="334"/>
      <c r="F1461" s="334"/>
      <c r="G1461" s="334"/>
      <c r="I1461" s="334"/>
      <c r="M1461" s="344"/>
      <c r="N1461" s="376"/>
    </row>
    <row r="1462" ht="15.75" customHeight="1">
      <c r="A1462" s="334"/>
      <c r="B1462" s="362"/>
      <c r="C1462" s="334"/>
      <c r="D1462" s="334"/>
      <c r="E1462" s="334"/>
      <c r="F1462" s="334"/>
      <c r="G1462" s="334"/>
      <c r="I1462" s="334"/>
      <c r="M1462" s="344"/>
      <c r="N1462" s="376"/>
    </row>
    <row r="1463" ht="15.75" customHeight="1">
      <c r="A1463" s="334"/>
      <c r="B1463" s="362"/>
      <c r="C1463" s="334"/>
      <c r="D1463" s="334"/>
      <c r="E1463" s="334"/>
      <c r="F1463" s="334"/>
      <c r="G1463" s="334"/>
      <c r="I1463" s="334"/>
      <c r="M1463" s="344"/>
      <c r="N1463" s="376"/>
    </row>
    <row r="1464" ht="15.75" customHeight="1">
      <c r="A1464" s="334"/>
      <c r="B1464" s="362"/>
      <c r="C1464" s="334"/>
      <c r="D1464" s="334"/>
      <c r="E1464" s="334"/>
      <c r="F1464" s="334"/>
      <c r="G1464" s="334"/>
      <c r="I1464" s="334"/>
      <c r="M1464" s="344"/>
      <c r="N1464" s="376"/>
    </row>
    <row r="1465" ht="15.75" customHeight="1">
      <c r="A1465" s="334"/>
      <c r="B1465" s="362"/>
      <c r="C1465" s="334"/>
      <c r="D1465" s="334"/>
      <c r="E1465" s="334"/>
      <c r="F1465" s="334"/>
      <c r="G1465" s="334"/>
      <c r="I1465" s="334"/>
      <c r="M1465" s="344"/>
      <c r="N1465" s="376"/>
    </row>
    <row r="1466" ht="15.75" customHeight="1">
      <c r="A1466" s="334"/>
      <c r="B1466" s="362"/>
      <c r="C1466" s="334"/>
      <c r="D1466" s="334"/>
      <c r="E1466" s="334"/>
      <c r="F1466" s="334"/>
      <c r="G1466" s="334"/>
      <c r="I1466" s="334"/>
      <c r="M1466" s="344"/>
      <c r="N1466" s="376"/>
    </row>
    <row r="1467" ht="15.75" customHeight="1">
      <c r="A1467" s="334"/>
      <c r="B1467" s="362"/>
      <c r="C1467" s="334"/>
      <c r="D1467" s="334"/>
      <c r="E1467" s="334"/>
      <c r="F1467" s="334"/>
      <c r="G1467" s="334"/>
      <c r="I1467" s="334"/>
      <c r="M1467" s="344"/>
      <c r="N1467" s="376"/>
    </row>
    <row r="1468" ht="15.75" customHeight="1">
      <c r="A1468" s="334"/>
      <c r="B1468" s="362"/>
      <c r="C1468" s="334"/>
      <c r="D1468" s="334"/>
      <c r="E1468" s="334"/>
      <c r="F1468" s="334"/>
      <c r="G1468" s="334"/>
      <c r="I1468" s="334"/>
      <c r="M1468" s="344"/>
      <c r="N1468" s="376"/>
    </row>
    <row r="1469" ht="15.75" customHeight="1">
      <c r="A1469" s="334"/>
      <c r="B1469" s="362"/>
      <c r="C1469" s="334"/>
      <c r="D1469" s="334"/>
      <c r="E1469" s="334"/>
      <c r="F1469" s="334"/>
      <c r="G1469" s="334"/>
      <c r="I1469" s="334"/>
      <c r="M1469" s="344"/>
      <c r="N1469" s="376"/>
    </row>
    <row r="1470" ht="15.75" customHeight="1">
      <c r="A1470" s="334"/>
      <c r="B1470" s="362"/>
      <c r="C1470" s="334"/>
      <c r="D1470" s="334"/>
      <c r="E1470" s="334"/>
      <c r="F1470" s="334"/>
      <c r="G1470" s="334"/>
      <c r="I1470" s="334"/>
      <c r="M1470" s="344"/>
      <c r="N1470" s="376"/>
    </row>
    <row r="1471" ht="15.75" customHeight="1">
      <c r="A1471" s="334"/>
      <c r="B1471" s="362"/>
      <c r="C1471" s="334"/>
      <c r="D1471" s="334"/>
      <c r="E1471" s="334"/>
      <c r="F1471" s="334"/>
      <c r="G1471" s="334"/>
      <c r="I1471" s="334"/>
      <c r="M1471" s="344"/>
      <c r="N1471" s="376"/>
    </row>
    <row r="1472" ht="15.75" customHeight="1">
      <c r="A1472" s="334"/>
      <c r="B1472" s="362"/>
      <c r="C1472" s="334"/>
      <c r="D1472" s="334"/>
      <c r="E1472" s="334"/>
      <c r="F1472" s="334"/>
      <c r="G1472" s="334"/>
      <c r="I1472" s="334"/>
      <c r="M1472" s="344"/>
      <c r="N1472" s="376"/>
    </row>
    <row r="1473" ht="15.75" customHeight="1">
      <c r="A1473" s="334"/>
      <c r="B1473" s="362"/>
      <c r="C1473" s="334"/>
      <c r="D1473" s="334"/>
      <c r="E1473" s="334"/>
      <c r="F1473" s="334"/>
      <c r="G1473" s="334"/>
      <c r="I1473" s="334"/>
      <c r="M1473" s="344"/>
      <c r="N1473" s="376"/>
    </row>
    <row r="1474" ht="15.75" customHeight="1">
      <c r="A1474" s="334"/>
      <c r="B1474" s="362"/>
      <c r="C1474" s="334"/>
      <c r="D1474" s="334"/>
      <c r="E1474" s="334"/>
      <c r="F1474" s="334"/>
      <c r="G1474" s="334"/>
      <c r="I1474" s="334"/>
      <c r="M1474" s="344"/>
      <c r="N1474" s="376"/>
    </row>
    <row r="1475" ht="15.75" customHeight="1">
      <c r="A1475" s="334"/>
      <c r="B1475" s="362"/>
      <c r="C1475" s="334"/>
      <c r="D1475" s="334"/>
      <c r="E1475" s="334"/>
      <c r="F1475" s="334"/>
      <c r="G1475" s="334"/>
      <c r="I1475" s="334"/>
      <c r="M1475" s="344"/>
      <c r="N1475" s="376"/>
    </row>
    <row r="1476" ht="15.75" customHeight="1">
      <c r="A1476" s="334"/>
      <c r="B1476" s="362"/>
      <c r="C1476" s="334"/>
      <c r="D1476" s="334"/>
      <c r="E1476" s="334"/>
      <c r="F1476" s="334"/>
      <c r="G1476" s="334"/>
      <c r="I1476" s="334"/>
      <c r="M1476" s="344"/>
      <c r="N1476" s="376"/>
    </row>
    <row r="1477" ht="15.75" customHeight="1">
      <c r="A1477" s="334"/>
      <c r="B1477" s="362"/>
      <c r="C1477" s="334"/>
      <c r="D1477" s="334"/>
      <c r="E1477" s="334"/>
      <c r="F1477" s="334"/>
      <c r="G1477" s="334"/>
      <c r="I1477" s="334"/>
      <c r="M1477" s="344"/>
      <c r="N1477" s="376"/>
    </row>
    <row r="1478" ht="15.75" customHeight="1">
      <c r="A1478" s="334"/>
      <c r="B1478" s="362"/>
      <c r="C1478" s="334"/>
      <c r="D1478" s="334"/>
      <c r="E1478" s="334"/>
      <c r="F1478" s="334"/>
      <c r="G1478" s="334"/>
      <c r="I1478" s="334"/>
      <c r="M1478" s="344"/>
      <c r="N1478" s="376"/>
    </row>
    <row r="1479" ht="15.75" customHeight="1">
      <c r="A1479" s="334"/>
      <c r="B1479" s="362"/>
      <c r="C1479" s="334"/>
      <c r="D1479" s="334"/>
      <c r="E1479" s="334"/>
      <c r="F1479" s="334"/>
      <c r="G1479" s="334"/>
      <c r="I1479" s="334"/>
      <c r="M1479" s="344"/>
      <c r="N1479" s="376"/>
    </row>
    <row r="1480" ht="15.75" customHeight="1">
      <c r="A1480" s="334"/>
      <c r="B1480" s="362"/>
      <c r="C1480" s="334"/>
      <c r="D1480" s="334"/>
      <c r="E1480" s="334"/>
      <c r="F1480" s="334"/>
      <c r="G1480" s="334"/>
      <c r="I1480" s="334"/>
      <c r="M1480" s="344"/>
      <c r="N1480" s="376"/>
    </row>
    <row r="1481" ht="15.75" customHeight="1">
      <c r="A1481" s="334"/>
      <c r="B1481" s="362"/>
      <c r="C1481" s="334"/>
      <c r="D1481" s="334"/>
      <c r="E1481" s="334"/>
      <c r="F1481" s="334"/>
      <c r="G1481" s="334"/>
      <c r="I1481" s="334"/>
      <c r="M1481" s="344"/>
      <c r="N1481" s="376"/>
    </row>
    <row r="1482" ht="15.75" customHeight="1">
      <c r="A1482" s="334"/>
      <c r="B1482" s="362"/>
      <c r="C1482" s="334"/>
      <c r="D1482" s="334"/>
      <c r="E1482" s="334"/>
      <c r="F1482" s="334"/>
      <c r="G1482" s="334"/>
      <c r="I1482" s="334"/>
      <c r="M1482" s="344"/>
      <c r="N1482" s="376"/>
    </row>
    <row r="1483" ht="15.75" customHeight="1">
      <c r="A1483" s="334"/>
      <c r="B1483" s="362"/>
      <c r="C1483" s="334"/>
      <c r="D1483" s="334"/>
      <c r="E1483" s="334"/>
      <c r="F1483" s="334"/>
      <c r="G1483" s="334"/>
      <c r="I1483" s="334"/>
      <c r="M1483" s="344"/>
      <c r="N1483" s="376"/>
    </row>
    <row r="1484" ht="15.75" customHeight="1">
      <c r="A1484" s="334"/>
      <c r="B1484" s="362"/>
      <c r="C1484" s="334"/>
      <c r="D1484" s="334"/>
      <c r="E1484" s="334"/>
      <c r="F1484" s="334"/>
      <c r="G1484" s="334"/>
      <c r="I1484" s="334"/>
      <c r="M1484" s="344"/>
      <c r="N1484" s="376"/>
    </row>
    <row r="1485" ht="15.75" customHeight="1">
      <c r="A1485" s="334"/>
      <c r="B1485" s="362"/>
      <c r="C1485" s="334"/>
      <c r="D1485" s="334"/>
      <c r="E1485" s="334"/>
      <c r="F1485" s="334"/>
      <c r="G1485" s="334"/>
      <c r="I1485" s="334"/>
      <c r="M1485" s="344"/>
      <c r="N1485" s="376"/>
    </row>
    <row r="1486" ht="15.75" customHeight="1">
      <c r="A1486" s="334"/>
      <c r="B1486" s="362"/>
      <c r="C1486" s="334"/>
      <c r="D1486" s="334"/>
      <c r="E1486" s="334"/>
      <c r="F1486" s="334"/>
      <c r="G1486" s="334"/>
      <c r="I1486" s="334"/>
      <c r="M1486" s="344"/>
      <c r="N1486" s="376"/>
    </row>
    <row r="1487" ht="15.75" customHeight="1">
      <c r="A1487" s="334"/>
      <c r="B1487" s="362"/>
      <c r="C1487" s="334"/>
      <c r="D1487" s="334"/>
      <c r="E1487" s="334"/>
      <c r="F1487" s="334"/>
      <c r="G1487" s="334"/>
      <c r="I1487" s="334"/>
      <c r="M1487" s="344"/>
      <c r="N1487" s="376"/>
    </row>
    <row r="1488" ht="15.75" customHeight="1">
      <c r="A1488" s="334"/>
      <c r="B1488" s="362"/>
      <c r="C1488" s="334"/>
      <c r="D1488" s="334"/>
      <c r="E1488" s="334"/>
      <c r="F1488" s="334"/>
      <c r="G1488" s="334"/>
      <c r="I1488" s="334"/>
      <c r="M1488" s="344"/>
      <c r="N1488" s="376"/>
    </row>
    <row r="1489" ht="15.75" customHeight="1">
      <c r="A1489" s="334"/>
      <c r="B1489" s="362"/>
      <c r="C1489" s="334"/>
      <c r="D1489" s="334"/>
      <c r="E1489" s="334"/>
      <c r="F1489" s="334"/>
      <c r="G1489" s="334"/>
      <c r="I1489" s="334"/>
      <c r="M1489" s="344"/>
      <c r="N1489" s="376"/>
    </row>
    <row r="1490" ht="15.75" customHeight="1">
      <c r="A1490" s="334"/>
      <c r="B1490" s="362"/>
      <c r="C1490" s="334"/>
      <c r="D1490" s="334"/>
      <c r="E1490" s="334"/>
      <c r="F1490" s="334"/>
      <c r="G1490" s="334"/>
      <c r="I1490" s="334"/>
      <c r="M1490" s="344"/>
      <c r="N1490" s="376"/>
    </row>
    <row r="1491" ht="15.75" customHeight="1">
      <c r="A1491" s="334"/>
      <c r="B1491" s="362"/>
      <c r="C1491" s="334"/>
      <c r="D1491" s="334"/>
      <c r="E1491" s="334"/>
      <c r="F1491" s="334"/>
      <c r="G1491" s="334"/>
      <c r="I1491" s="334"/>
      <c r="M1491" s="344"/>
      <c r="N1491" s="376"/>
    </row>
    <row r="1492" ht="15.75" customHeight="1">
      <c r="A1492" s="334"/>
      <c r="B1492" s="362"/>
      <c r="C1492" s="334"/>
      <c r="D1492" s="334"/>
      <c r="E1492" s="334"/>
      <c r="F1492" s="334"/>
      <c r="G1492" s="334"/>
      <c r="I1492" s="334"/>
      <c r="M1492" s="344"/>
      <c r="N1492" s="376"/>
    </row>
    <row r="1493" ht="15.75" customHeight="1">
      <c r="A1493" s="334"/>
      <c r="B1493" s="362"/>
      <c r="C1493" s="334"/>
      <c r="D1493" s="334"/>
      <c r="E1493" s="334"/>
      <c r="F1493" s="334"/>
      <c r="G1493" s="334"/>
      <c r="I1493" s="334"/>
      <c r="M1493" s="344"/>
      <c r="N1493" s="376"/>
    </row>
    <row r="1494" ht="15.75" customHeight="1">
      <c r="A1494" s="334"/>
      <c r="B1494" s="362"/>
      <c r="C1494" s="334"/>
      <c r="D1494" s="334"/>
      <c r="E1494" s="334"/>
      <c r="F1494" s="334"/>
      <c r="G1494" s="334"/>
      <c r="I1494" s="334"/>
      <c r="M1494" s="344"/>
      <c r="N1494" s="376"/>
    </row>
    <row r="1495" ht="15.75" customHeight="1">
      <c r="A1495" s="334"/>
      <c r="B1495" s="362"/>
      <c r="C1495" s="334"/>
      <c r="D1495" s="334"/>
      <c r="E1495" s="334"/>
      <c r="F1495" s="334"/>
      <c r="G1495" s="334"/>
      <c r="I1495" s="334"/>
      <c r="M1495" s="344"/>
      <c r="N1495" s="376"/>
    </row>
    <row r="1496" ht="15.75" customHeight="1">
      <c r="A1496" s="334"/>
      <c r="B1496" s="362"/>
      <c r="C1496" s="334"/>
      <c r="D1496" s="334"/>
      <c r="E1496" s="334"/>
      <c r="F1496" s="334"/>
      <c r="G1496" s="334"/>
      <c r="I1496" s="334"/>
      <c r="M1496" s="344"/>
      <c r="N1496" s="376"/>
    </row>
    <row r="1497" ht="15.75" customHeight="1">
      <c r="A1497" s="334"/>
      <c r="B1497" s="362"/>
      <c r="C1497" s="334"/>
      <c r="D1497" s="334"/>
      <c r="E1497" s="334"/>
      <c r="F1497" s="334"/>
      <c r="G1497" s="334"/>
      <c r="I1497" s="334"/>
      <c r="M1497" s="344"/>
      <c r="N1497" s="376"/>
    </row>
    <row r="1498" ht="15.75" customHeight="1">
      <c r="A1498" s="334"/>
      <c r="B1498" s="362"/>
      <c r="C1498" s="334"/>
      <c r="D1498" s="334"/>
      <c r="E1498" s="334"/>
      <c r="F1498" s="334"/>
      <c r="G1498" s="334"/>
      <c r="I1498" s="334"/>
      <c r="M1498" s="344"/>
      <c r="N1498" s="376"/>
    </row>
    <row r="1499" ht="15.75" customHeight="1">
      <c r="A1499" s="334"/>
      <c r="B1499" s="362"/>
      <c r="C1499" s="334"/>
      <c r="D1499" s="334"/>
      <c r="E1499" s="334"/>
      <c r="F1499" s="334"/>
      <c r="G1499" s="334"/>
      <c r="I1499" s="334"/>
      <c r="M1499" s="344"/>
      <c r="N1499" s="376"/>
    </row>
    <row r="1500" ht="15.75" customHeight="1">
      <c r="A1500" s="334"/>
      <c r="B1500" s="362"/>
      <c r="C1500" s="334"/>
      <c r="D1500" s="334"/>
      <c r="E1500" s="334"/>
      <c r="F1500" s="334"/>
      <c r="G1500" s="334"/>
      <c r="I1500" s="334"/>
      <c r="M1500" s="344"/>
      <c r="N1500" s="376"/>
    </row>
    <row r="1501" ht="15.75" customHeight="1">
      <c r="A1501" s="334"/>
      <c r="B1501" s="362"/>
      <c r="C1501" s="334"/>
      <c r="D1501" s="334"/>
      <c r="E1501" s="334"/>
      <c r="F1501" s="334"/>
      <c r="G1501" s="334"/>
      <c r="I1501" s="334"/>
      <c r="M1501" s="344"/>
      <c r="N1501" s="376"/>
    </row>
    <row r="1502" ht="15.75" customHeight="1">
      <c r="A1502" s="334"/>
      <c r="B1502" s="362"/>
      <c r="C1502" s="334"/>
      <c r="D1502" s="334"/>
      <c r="E1502" s="334"/>
      <c r="F1502" s="334"/>
      <c r="G1502" s="334"/>
      <c r="I1502" s="334"/>
      <c r="M1502" s="344"/>
      <c r="N1502" s="376"/>
    </row>
    <row r="1503" ht="15.75" customHeight="1">
      <c r="A1503" s="334"/>
      <c r="B1503" s="362"/>
      <c r="C1503" s="334"/>
      <c r="D1503" s="334"/>
      <c r="E1503" s="334"/>
      <c r="F1503" s="334"/>
      <c r="G1503" s="334"/>
      <c r="I1503" s="334"/>
      <c r="M1503" s="344"/>
      <c r="N1503" s="376"/>
    </row>
    <row r="1504" ht="15.75" customHeight="1">
      <c r="A1504" s="334"/>
      <c r="B1504" s="362"/>
      <c r="C1504" s="334"/>
      <c r="D1504" s="334"/>
      <c r="E1504" s="334"/>
      <c r="F1504" s="334"/>
      <c r="G1504" s="334"/>
      <c r="I1504" s="334"/>
      <c r="M1504" s="344"/>
      <c r="N1504" s="376"/>
    </row>
    <row r="1505" ht="15.75" customHeight="1">
      <c r="A1505" s="334"/>
      <c r="B1505" s="362"/>
      <c r="C1505" s="334"/>
      <c r="D1505" s="334"/>
      <c r="E1505" s="334"/>
      <c r="F1505" s="334"/>
      <c r="G1505" s="334"/>
      <c r="I1505" s="334"/>
      <c r="M1505" s="344"/>
      <c r="N1505" s="376"/>
    </row>
    <row r="1506" ht="15.75" customHeight="1">
      <c r="A1506" s="334"/>
      <c r="B1506" s="362"/>
      <c r="C1506" s="334"/>
      <c r="D1506" s="334"/>
      <c r="E1506" s="334"/>
      <c r="F1506" s="334"/>
      <c r="G1506" s="334"/>
      <c r="I1506" s="334"/>
      <c r="M1506" s="344"/>
      <c r="N1506" s="376"/>
    </row>
    <row r="1507" ht="15.75" customHeight="1">
      <c r="A1507" s="334"/>
      <c r="B1507" s="362"/>
      <c r="C1507" s="334"/>
      <c r="D1507" s="334"/>
      <c r="E1507" s="334"/>
      <c r="F1507" s="334"/>
      <c r="G1507" s="334"/>
      <c r="I1507" s="334"/>
      <c r="M1507" s="344"/>
      <c r="N1507" s="376"/>
    </row>
    <row r="1508" ht="15.75" customHeight="1">
      <c r="A1508" s="334"/>
      <c r="B1508" s="362"/>
      <c r="C1508" s="334"/>
      <c r="D1508" s="334"/>
      <c r="E1508" s="334"/>
      <c r="F1508" s="334"/>
      <c r="G1508" s="334"/>
      <c r="I1508" s="334"/>
      <c r="M1508" s="344"/>
      <c r="N1508" s="376"/>
    </row>
    <row r="1509" ht="15.75" customHeight="1">
      <c r="A1509" s="334"/>
      <c r="B1509" s="362"/>
      <c r="C1509" s="334"/>
      <c r="D1509" s="334"/>
      <c r="E1509" s="334"/>
      <c r="F1509" s="334"/>
      <c r="G1509" s="334"/>
      <c r="I1509" s="334"/>
      <c r="M1509" s="344"/>
      <c r="N1509" s="376"/>
    </row>
    <row r="1510" ht="15.75" customHeight="1">
      <c r="A1510" s="334"/>
      <c r="B1510" s="362"/>
      <c r="C1510" s="334"/>
      <c r="D1510" s="334"/>
      <c r="E1510" s="334"/>
      <c r="F1510" s="334"/>
      <c r="G1510" s="334"/>
      <c r="I1510" s="334"/>
      <c r="M1510" s="344"/>
      <c r="N1510" s="376"/>
    </row>
    <row r="1511" ht="15.75" customHeight="1">
      <c r="A1511" s="334"/>
      <c r="B1511" s="362"/>
      <c r="C1511" s="334"/>
      <c r="D1511" s="334"/>
      <c r="E1511" s="334"/>
      <c r="F1511" s="334"/>
      <c r="G1511" s="334"/>
      <c r="I1511" s="334"/>
      <c r="M1511" s="344"/>
      <c r="N1511" s="376"/>
    </row>
    <row r="1512" ht="15.75" customHeight="1">
      <c r="A1512" s="334"/>
      <c r="B1512" s="362"/>
      <c r="C1512" s="334"/>
      <c r="D1512" s="334"/>
      <c r="E1512" s="334"/>
      <c r="F1512" s="334"/>
      <c r="G1512" s="334"/>
      <c r="I1512" s="334"/>
      <c r="M1512" s="344"/>
      <c r="N1512" s="376"/>
    </row>
    <row r="1513" ht="15.75" customHeight="1">
      <c r="A1513" s="334"/>
      <c r="B1513" s="362"/>
      <c r="C1513" s="334"/>
      <c r="D1513" s="334"/>
      <c r="E1513" s="334"/>
      <c r="F1513" s="334"/>
      <c r="G1513" s="334"/>
      <c r="I1513" s="334"/>
      <c r="M1513" s="344"/>
      <c r="N1513" s="376"/>
    </row>
    <row r="1514" ht="15.75" customHeight="1">
      <c r="A1514" s="334"/>
      <c r="B1514" s="362"/>
      <c r="C1514" s="334"/>
      <c r="D1514" s="334"/>
      <c r="E1514" s="334"/>
      <c r="F1514" s="334"/>
      <c r="G1514" s="334"/>
      <c r="I1514" s="334"/>
      <c r="M1514" s="344"/>
      <c r="N1514" s="376"/>
    </row>
    <row r="1515" ht="15.75" customHeight="1">
      <c r="A1515" s="334"/>
      <c r="B1515" s="362"/>
      <c r="C1515" s="334"/>
      <c r="D1515" s="334"/>
      <c r="E1515" s="334"/>
      <c r="F1515" s="334"/>
      <c r="G1515" s="334"/>
      <c r="I1515" s="334"/>
      <c r="M1515" s="344"/>
      <c r="N1515" s="376"/>
    </row>
    <row r="1516" ht="15.75" customHeight="1">
      <c r="A1516" s="334"/>
      <c r="B1516" s="362"/>
      <c r="C1516" s="334"/>
      <c r="D1516" s="334"/>
      <c r="E1516" s="334"/>
      <c r="F1516" s="334"/>
      <c r="G1516" s="334"/>
      <c r="I1516" s="334"/>
      <c r="M1516" s="344"/>
      <c r="N1516" s="376"/>
    </row>
    <row r="1517" ht="15.75" customHeight="1">
      <c r="A1517" s="334"/>
      <c r="B1517" s="362"/>
      <c r="C1517" s="334"/>
      <c r="D1517" s="334"/>
      <c r="E1517" s="334"/>
      <c r="F1517" s="334"/>
      <c r="G1517" s="334"/>
      <c r="I1517" s="334"/>
      <c r="M1517" s="344"/>
      <c r="N1517" s="376"/>
    </row>
    <row r="1518" ht="15.75" customHeight="1">
      <c r="A1518" s="334"/>
      <c r="B1518" s="362"/>
      <c r="C1518" s="334"/>
      <c r="D1518" s="334"/>
      <c r="E1518" s="334"/>
      <c r="F1518" s="334"/>
      <c r="G1518" s="334"/>
      <c r="I1518" s="334"/>
      <c r="M1518" s="344"/>
      <c r="N1518" s="376"/>
    </row>
    <row r="1519" ht="15.75" customHeight="1">
      <c r="A1519" s="334"/>
      <c r="B1519" s="362"/>
      <c r="C1519" s="334"/>
      <c r="D1519" s="334"/>
      <c r="E1519" s="334"/>
      <c r="F1519" s="334"/>
      <c r="G1519" s="334"/>
      <c r="I1519" s="334"/>
      <c r="M1519" s="344"/>
      <c r="N1519" s="376"/>
    </row>
    <row r="1520" ht="15.75" customHeight="1">
      <c r="A1520" s="334"/>
      <c r="B1520" s="362"/>
      <c r="C1520" s="334"/>
      <c r="D1520" s="334"/>
      <c r="E1520" s="334"/>
      <c r="F1520" s="334"/>
      <c r="G1520" s="334"/>
      <c r="I1520" s="334"/>
      <c r="M1520" s="344"/>
      <c r="N1520" s="376"/>
    </row>
    <row r="1521" ht="15.75" customHeight="1">
      <c r="A1521" s="334"/>
      <c r="B1521" s="362"/>
      <c r="C1521" s="334"/>
      <c r="D1521" s="334"/>
      <c r="E1521" s="334"/>
      <c r="F1521" s="334"/>
      <c r="G1521" s="334"/>
      <c r="I1521" s="334"/>
      <c r="M1521" s="344"/>
      <c r="N1521" s="376"/>
    </row>
    <row r="1522" ht="15.75" customHeight="1">
      <c r="A1522" s="334"/>
      <c r="B1522" s="362"/>
      <c r="C1522" s="334"/>
      <c r="D1522" s="334"/>
      <c r="E1522" s="334"/>
      <c r="F1522" s="334"/>
      <c r="G1522" s="334"/>
      <c r="I1522" s="334"/>
      <c r="M1522" s="344"/>
      <c r="N1522" s="376"/>
    </row>
    <row r="1523" ht="15.75" customHeight="1">
      <c r="A1523" s="334"/>
      <c r="B1523" s="362"/>
      <c r="C1523" s="334"/>
      <c r="D1523" s="334"/>
      <c r="E1523" s="334"/>
      <c r="F1523" s="334"/>
      <c r="G1523" s="334"/>
      <c r="I1523" s="334"/>
      <c r="M1523" s="344"/>
      <c r="N1523" s="376"/>
    </row>
    <row r="1524" ht="15.75" customHeight="1">
      <c r="A1524" s="334"/>
      <c r="B1524" s="362"/>
      <c r="C1524" s="334"/>
      <c r="D1524" s="334"/>
      <c r="E1524" s="334"/>
      <c r="F1524" s="334"/>
      <c r="G1524" s="334"/>
      <c r="I1524" s="334"/>
      <c r="M1524" s="344"/>
      <c r="N1524" s="376"/>
    </row>
    <row r="1525" ht="15.75" customHeight="1">
      <c r="A1525" s="334"/>
      <c r="B1525" s="362"/>
      <c r="C1525" s="334"/>
      <c r="D1525" s="334"/>
      <c r="E1525" s="334"/>
      <c r="F1525" s="334"/>
      <c r="G1525" s="334"/>
      <c r="I1525" s="334"/>
      <c r="M1525" s="344"/>
      <c r="N1525" s="376"/>
    </row>
    <row r="1526" ht="15.75" customHeight="1">
      <c r="A1526" s="334"/>
      <c r="B1526" s="362"/>
      <c r="C1526" s="334"/>
      <c r="D1526" s="334"/>
      <c r="E1526" s="334"/>
      <c r="F1526" s="334"/>
      <c r="G1526" s="334"/>
      <c r="I1526" s="334"/>
      <c r="M1526" s="344"/>
      <c r="N1526" s="376"/>
    </row>
    <row r="1527" ht="15.75" customHeight="1">
      <c r="A1527" s="334"/>
      <c r="B1527" s="362"/>
      <c r="C1527" s="334"/>
      <c r="D1527" s="334"/>
      <c r="E1527" s="334"/>
      <c r="F1527" s="334"/>
      <c r="G1527" s="334"/>
      <c r="I1527" s="334"/>
      <c r="M1527" s="344"/>
      <c r="N1527" s="376"/>
    </row>
    <row r="1528" ht="15.75" customHeight="1">
      <c r="A1528" s="334"/>
      <c r="B1528" s="362"/>
      <c r="C1528" s="334"/>
      <c r="D1528" s="334"/>
      <c r="E1528" s="334"/>
      <c r="F1528" s="334"/>
      <c r="G1528" s="334"/>
      <c r="I1528" s="334"/>
      <c r="M1528" s="344"/>
      <c r="N1528" s="376"/>
    </row>
    <row r="1529" ht="15.75" customHeight="1">
      <c r="A1529" s="334"/>
      <c r="B1529" s="362"/>
      <c r="C1529" s="334"/>
      <c r="D1529" s="334"/>
      <c r="E1529" s="334"/>
      <c r="F1529" s="334"/>
      <c r="G1529" s="334"/>
      <c r="I1529" s="334"/>
      <c r="M1529" s="344"/>
      <c r="N1529" s="376"/>
    </row>
    <row r="1530" ht="15.75" customHeight="1">
      <c r="A1530" s="334"/>
      <c r="B1530" s="362"/>
      <c r="C1530" s="334"/>
      <c r="D1530" s="334"/>
      <c r="E1530" s="334"/>
      <c r="F1530" s="334"/>
      <c r="G1530" s="334"/>
      <c r="I1530" s="334"/>
      <c r="M1530" s="344"/>
      <c r="N1530" s="376"/>
    </row>
    <row r="1531" ht="15.75" customHeight="1">
      <c r="A1531" s="334"/>
      <c r="B1531" s="362"/>
      <c r="C1531" s="334"/>
      <c r="D1531" s="334"/>
      <c r="E1531" s="334"/>
      <c r="F1531" s="334"/>
      <c r="G1531" s="334"/>
      <c r="I1531" s="334"/>
      <c r="M1531" s="344"/>
      <c r="N1531" s="376"/>
    </row>
    <row r="1532" ht="15.75" customHeight="1">
      <c r="A1532" s="334"/>
      <c r="B1532" s="362"/>
      <c r="C1532" s="334"/>
      <c r="D1532" s="334"/>
      <c r="E1532" s="334"/>
      <c r="F1532" s="334"/>
      <c r="G1532" s="334"/>
      <c r="I1532" s="334"/>
      <c r="M1532" s="344"/>
      <c r="N1532" s="376"/>
    </row>
    <row r="1533" ht="15.75" customHeight="1">
      <c r="A1533" s="334"/>
      <c r="B1533" s="362"/>
      <c r="C1533" s="334"/>
      <c r="D1533" s="334"/>
      <c r="E1533" s="334"/>
      <c r="F1533" s="334"/>
      <c r="G1533" s="334"/>
      <c r="I1533" s="334"/>
      <c r="M1533" s="344"/>
      <c r="N1533" s="376"/>
    </row>
    <row r="1534" ht="15.75" customHeight="1">
      <c r="A1534" s="334"/>
      <c r="B1534" s="362"/>
      <c r="C1534" s="334"/>
      <c r="D1534" s="334"/>
      <c r="E1534" s="334"/>
      <c r="F1534" s="334"/>
      <c r="G1534" s="334"/>
      <c r="I1534" s="334"/>
      <c r="M1534" s="344"/>
      <c r="N1534" s="376"/>
    </row>
    <row r="1535" ht="15.75" customHeight="1">
      <c r="A1535" s="334"/>
      <c r="B1535" s="362"/>
      <c r="C1535" s="334"/>
      <c r="D1535" s="334"/>
      <c r="E1535" s="334"/>
      <c r="F1535" s="334"/>
      <c r="G1535" s="334"/>
      <c r="I1535" s="334"/>
      <c r="M1535" s="344"/>
      <c r="N1535" s="376"/>
    </row>
    <row r="1536" ht="15.75" customHeight="1">
      <c r="A1536" s="334"/>
      <c r="B1536" s="362"/>
      <c r="C1536" s="334"/>
      <c r="D1536" s="334"/>
      <c r="E1536" s="334"/>
      <c r="F1536" s="334"/>
      <c r="G1536" s="334"/>
      <c r="I1536" s="334"/>
      <c r="M1536" s="344"/>
      <c r="N1536" s="376"/>
    </row>
    <row r="1537" ht="15.75" customHeight="1">
      <c r="A1537" s="334"/>
      <c r="B1537" s="362"/>
      <c r="C1537" s="334"/>
      <c r="D1537" s="334"/>
      <c r="E1537" s="334"/>
      <c r="F1537" s="334"/>
      <c r="G1537" s="334"/>
      <c r="I1537" s="334"/>
      <c r="M1537" s="344"/>
      <c r="N1537" s="376"/>
    </row>
    <row r="1538" ht="15.75" customHeight="1">
      <c r="A1538" s="334"/>
      <c r="B1538" s="362"/>
      <c r="C1538" s="334"/>
      <c r="D1538" s="334"/>
      <c r="E1538" s="334"/>
      <c r="F1538" s="334"/>
      <c r="G1538" s="334"/>
      <c r="I1538" s="334"/>
      <c r="M1538" s="344"/>
      <c r="N1538" s="376"/>
    </row>
    <row r="1539" ht="15.75" customHeight="1">
      <c r="A1539" s="334"/>
      <c r="B1539" s="362"/>
      <c r="C1539" s="334"/>
      <c r="D1539" s="334"/>
      <c r="E1539" s="334"/>
      <c r="F1539" s="334"/>
      <c r="G1539" s="334"/>
      <c r="I1539" s="334"/>
      <c r="M1539" s="344"/>
      <c r="N1539" s="376"/>
    </row>
    <row r="1540" ht="15.75" customHeight="1">
      <c r="A1540" s="334"/>
      <c r="B1540" s="362"/>
      <c r="C1540" s="334"/>
      <c r="D1540" s="334"/>
      <c r="E1540" s="334"/>
      <c r="F1540" s="334"/>
      <c r="G1540" s="334"/>
      <c r="I1540" s="334"/>
      <c r="M1540" s="344"/>
      <c r="N1540" s="376"/>
    </row>
    <row r="1541" ht="15.75" customHeight="1">
      <c r="A1541" s="334"/>
      <c r="B1541" s="362"/>
      <c r="C1541" s="334"/>
      <c r="D1541" s="334"/>
      <c r="E1541" s="334"/>
      <c r="F1541" s="334"/>
      <c r="G1541" s="334"/>
      <c r="I1541" s="334"/>
      <c r="M1541" s="344"/>
      <c r="N1541" s="376"/>
    </row>
    <row r="1542" ht="15.75" customHeight="1">
      <c r="A1542" s="334"/>
      <c r="B1542" s="362"/>
      <c r="C1542" s="334"/>
      <c r="D1542" s="334"/>
      <c r="E1542" s="334"/>
      <c r="F1542" s="334"/>
      <c r="G1542" s="334"/>
      <c r="I1542" s="334"/>
      <c r="M1542" s="344"/>
      <c r="N1542" s="376"/>
    </row>
    <row r="1543" ht="15.75" customHeight="1">
      <c r="A1543" s="334"/>
      <c r="B1543" s="362"/>
      <c r="C1543" s="334"/>
      <c r="D1543" s="334"/>
      <c r="E1543" s="334"/>
      <c r="F1543" s="334"/>
      <c r="G1543" s="334"/>
      <c r="I1543" s="334"/>
      <c r="M1543" s="344"/>
      <c r="N1543" s="376"/>
    </row>
    <row r="1544" ht="15.75" customHeight="1">
      <c r="A1544" s="334"/>
      <c r="B1544" s="362"/>
      <c r="C1544" s="334"/>
      <c r="D1544" s="334"/>
      <c r="E1544" s="334"/>
      <c r="F1544" s="334"/>
      <c r="G1544" s="334"/>
      <c r="I1544" s="334"/>
      <c r="M1544" s="344"/>
      <c r="N1544" s="376"/>
    </row>
    <row r="1545" ht="15.75" customHeight="1">
      <c r="A1545" s="334"/>
      <c r="B1545" s="362"/>
      <c r="C1545" s="334"/>
      <c r="D1545" s="334"/>
      <c r="E1545" s="334"/>
      <c r="F1545" s="334"/>
      <c r="G1545" s="334"/>
      <c r="I1545" s="334"/>
      <c r="M1545" s="344"/>
      <c r="N1545" s="376"/>
    </row>
    <row r="1546" ht="15.75" customHeight="1">
      <c r="A1546" s="334"/>
      <c r="B1546" s="362"/>
      <c r="C1546" s="334"/>
      <c r="D1546" s="334"/>
      <c r="E1546" s="334"/>
      <c r="F1546" s="334"/>
      <c r="G1546" s="334"/>
      <c r="I1546" s="334"/>
      <c r="M1546" s="344"/>
      <c r="N1546" s="376"/>
    </row>
    <row r="1547" ht="15.75" customHeight="1">
      <c r="A1547" s="334"/>
      <c r="B1547" s="362"/>
      <c r="C1547" s="334"/>
      <c r="D1547" s="334"/>
      <c r="E1547" s="334"/>
      <c r="F1547" s="334"/>
      <c r="G1547" s="334"/>
      <c r="I1547" s="334"/>
      <c r="M1547" s="344"/>
      <c r="N1547" s="376"/>
    </row>
    <row r="1548" ht="15.75" customHeight="1">
      <c r="A1548" s="334"/>
      <c r="B1548" s="362"/>
      <c r="C1548" s="334"/>
      <c r="D1548" s="334"/>
      <c r="E1548" s="334"/>
      <c r="F1548" s="334"/>
      <c r="G1548" s="334"/>
      <c r="I1548" s="334"/>
      <c r="M1548" s="344"/>
      <c r="N1548" s="376"/>
    </row>
    <row r="1549" ht="15.75" customHeight="1">
      <c r="A1549" s="334"/>
      <c r="B1549" s="362"/>
      <c r="C1549" s="334"/>
      <c r="D1549" s="334"/>
      <c r="E1549" s="334"/>
      <c r="F1549" s="334"/>
      <c r="G1549" s="334"/>
      <c r="I1549" s="334"/>
      <c r="M1549" s="344"/>
      <c r="N1549" s="376"/>
    </row>
    <row r="1550" ht="15.75" customHeight="1">
      <c r="A1550" s="334"/>
      <c r="B1550" s="362"/>
      <c r="C1550" s="334"/>
      <c r="D1550" s="334"/>
      <c r="E1550" s="334"/>
      <c r="F1550" s="334"/>
      <c r="G1550" s="334"/>
      <c r="I1550" s="334"/>
      <c r="M1550" s="344"/>
      <c r="N1550" s="376"/>
    </row>
    <row r="1551" ht="15.75" customHeight="1">
      <c r="A1551" s="334"/>
      <c r="B1551" s="362"/>
      <c r="C1551" s="334"/>
      <c r="D1551" s="334"/>
      <c r="E1551" s="334"/>
      <c r="F1551" s="334"/>
      <c r="G1551" s="334"/>
      <c r="I1551" s="334"/>
      <c r="M1551" s="344"/>
      <c r="N1551" s="376"/>
    </row>
    <row r="1552" ht="15.75" customHeight="1">
      <c r="A1552" s="334"/>
      <c r="B1552" s="362"/>
      <c r="C1552" s="334"/>
      <c r="D1552" s="334"/>
      <c r="E1552" s="334"/>
      <c r="F1552" s="334"/>
      <c r="G1552" s="334"/>
      <c r="I1552" s="334"/>
      <c r="M1552" s="344"/>
      <c r="N1552" s="376"/>
    </row>
    <row r="1553" ht="15.75" customHeight="1">
      <c r="A1553" s="334"/>
      <c r="B1553" s="362"/>
      <c r="C1553" s="334"/>
      <c r="D1553" s="334"/>
      <c r="E1553" s="334"/>
      <c r="F1553" s="334"/>
      <c r="G1553" s="334"/>
      <c r="I1553" s="334"/>
      <c r="M1553" s="344"/>
      <c r="N1553" s="376"/>
    </row>
    <row r="1554" ht="15.75" customHeight="1">
      <c r="A1554" s="334"/>
      <c r="B1554" s="362"/>
      <c r="C1554" s="334"/>
      <c r="D1554" s="334"/>
      <c r="E1554" s="334"/>
      <c r="F1554" s="334"/>
      <c r="G1554" s="334"/>
      <c r="I1554" s="334"/>
      <c r="M1554" s="344"/>
      <c r="N1554" s="376"/>
    </row>
    <row r="1555" ht="15.75" customHeight="1">
      <c r="A1555" s="334"/>
      <c r="B1555" s="362"/>
      <c r="C1555" s="334"/>
      <c r="D1555" s="334"/>
      <c r="E1555" s="334"/>
      <c r="F1555" s="334"/>
      <c r="G1555" s="334"/>
      <c r="I1555" s="334"/>
      <c r="M1555" s="344"/>
      <c r="N1555" s="376"/>
    </row>
    <row r="1556" ht="15.75" customHeight="1">
      <c r="A1556" s="334"/>
      <c r="B1556" s="362"/>
      <c r="C1556" s="334"/>
      <c r="D1556" s="334"/>
      <c r="E1556" s="334"/>
      <c r="F1556" s="334"/>
      <c r="G1556" s="334"/>
      <c r="I1556" s="334"/>
      <c r="M1556" s="344"/>
      <c r="N1556" s="376"/>
    </row>
    <row r="1557" ht="15.75" customHeight="1">
      <c r="A1557" s="334"/>
      <c r="B1557" s="362"/>
      <c r="C1557" s="334"/>
      <c r="D1557" s="334"/>
      <c r="E1557" s="334"/>
      <c r="F1557" s="334"/>
      <c r="G1557" s="334"/>
      <c r="I1557" s="334"/>
      <c r="M1557" s="344"/>
      <c r="N1557" s="376"/>
    </row>
    <row r="1558" ht="15.75" customHeight="1">
      <c r="A1558" s="334"/>
      <c r="B1558" s="362"/>
      <c r="C1558" s="334"/>
      <c r="D1558" s="334"/>
      <c r="E1558" s="334"/>
      <c r="F1558" s="334"/>
      <c r="G1558" s="334"/>
      <c r="I1558" s="334"/>
      <c r="M1558" s="344"/>
      <c r="N1558" s="376"/>
    </row>
    <row r="1559" ht="15.75" customHeight="1">
      <c r="A1559" s="334"/>
      <c r="B1559" s="362"/>
      <c r="C1559" s="334"/>
      <c r="D1559" s="334"/>
      <c r="E1559" s="334"/>
      <c r="F1559" s="334"/>
      <c r="G1559" s="334"/>
      <c r="I1559" s="334"/>
      <c r="M1559" s="344"/>
      <c r="N1559" s="376"/>
    </row>
    <row r="1560" ht="15.75" customHeight="1">
      <c r="A1560" s="334"/>
      <c r="B1560" s="362"/>
      <c r="C1560" s="334"/>
      <c r="D1560" s="334"/>
      <c r="E1560" s="334"/>
      <c r="F1560" s="334"/>
      <c r="G1560" s="334"/>
      <c r="I1560" s="334"/>
      <c r="M1560" s="344"/>
      <c r="N1560" s="376"/>
    </row>
    <row r="1561" ht="15.75" customHeight="1">
      <c r="A1561" s="334"/>
      <c r="B1561" s="362"/>
      <c r="C1561" s="334"/>
      <c r="D1561" s="334"/>
      <c r="E1561" s="334"/>
      <c r="F1561" s="334"/>
      <c r="G1561" s="334"/>
      <c r="I1561" s="334"/>
      <c r="M1561" s="344"/>
      <c r="N1561" s="376"/>
    </row>
    <row r="1562" ht="15.75" customHeight="1">
      <c r="A1562" s="334"/>
      <c r="B1562" s="362"/>
      <c r="C1562" s="334"/>
      <c r="D1562" s="334"/>
      <c r="E1562" s="334"/>
      <c r="F1562" s="334"/>
      <c r="G1562" s="334"/>
      <c r="I1562" s="334"/>
      <c r="M1562" s="344"/>
      <c r="N1562" s="376"/>
    </row>
    <row r="1563" ht="15.75" customHeight="1">
      <c r="A1563" s="334"/>
      <c r="B1563" s="362"/>
      <c r="C1563" s="334"/>
      <c r="D1563" s="334"/>
      <c r="E1563" s="334"/>
      <c r="F1563" s="334"/>
      <c r="G1563" s="334"/>
      <c r="I1563" s="334"/>
      <c r="M1563" s="344"/>
      <c r="N1563" s="376"/>
    </row>
    <row r="1564" ht="15.75" customHeight="1">
      <c r="A1564" s="334"/>
      <c r="B1564" s="362"/>
      <c r="C1564" s="334"/>
      <c r="D1564" s="334"/>
      <c r="E1564" s="334"/>
      <c r="F1564" s="334"/>
      <c r="G1564" s="334"/>
      <c r="I1564" s="334"/>
      <c r="M1564" s="344"/>
      <c r="N1564" s="376"/>
    </row>
    <row r="1565" ht="15.75" customHeight="1">
      <c r="A1565" s="334"/>
      <c r="B1565" s="362"/>
      <c r="C1565" s="334"/>
      <c r="D1565" s="334"/>
      <c r="E1565" s="334"/>
      <c r="F1565" s="334"/>
      <c r="G1565" s="334"/>
      <c r="I1565" s="334"/>
      <c r="M1565" s="344"/>
      <c r="N1565" s="376"/>
    </row>
    <row r="1566" ht="15.75" customHeight="1">
      <c r="A1566" s="334"/>
      <c r="B1566" s="362"/>
      <c r="C1566" s="334"/>
      <c r="D1566" s="334"/>
      <c r="E1566" s="334"/>
      <c r="F1566" s="334"/>
      <c r="G1566" s="334"/>
      <c r="I1566" s="334"/>
      <c r="M1566" s="344"/>
      <c r="N1566" s="376"/>
    </row>
    <row r="1567" ht="15.75" customHeight="1">
      <c r="A1567" s="334"/>
      <c r="B1567" s="362"/>
      <c r="C1567" s="334"/>
      <c r="D1567" s="334"/>
      <c r="E1567" s="334"/>
      <c r="F1567" s="334"/>
      <c r="G1567" s="334"/>
      <c r="I1567" s="334"/>
      <c r="M1567" s="344"/>
      <c r="N1567" s="376"/>
    </row>
    <row r="1568" ht="15.75" customHeight="1">
      <c r="A1568" s="334"/>
      <c r="B1568" s="362"/>
      <c r="C1568" s="334"/>
      <c r="D1568" s="334"/>
      <c r="E1568" s="334"/>
      <c r="F1568" s="334"/>
      <c r="G1568" s="334"/>
      <c r="I1568" s="334"/>
      <c r="M1568" s="344"/>
      <c r="N1568" s="376"/>
    </row>
    <row r="1569" ht="15.75" customHeight="1">
      <c r="A1569" s="334"/>
      <c r="B1569" s="362"/>
      <c r="C1569" s="334"/>
      <c r="D1569" s="334"/>
      <c r="E1569" s="334"/>
      <c r="F1569" s="334"/>
      <c r="G1569" s="334"/>
      <c r="I1569" s="334"/>
      <c r="M1569" s="344"/>
      <c r="N1569" s="376"/>
    </row>
    <row r="1570" ht="15.75" customHeight="1">
      <c r="A1570" s="334"/>
      <c r="B1570" s="362"/>
      <c r="C1570" s="334"/>
      <c r="D1570" s="334"/>
      <c r="E1570" s="334"/>
      <c r="F1570" s="334"/>
      <c r="G1570" s="334"/>
      <c r="I1570" s="334"/>
      <c r="M1570" s="344"/>
      <c r="N1570" s="376"/>
    </row>
    <row r="1571" ht="15.75" customHeight="1">
      <c r="A1571" s="334"/>
      <c r="B1571" s="362"/>
      <c r="C1571" s="334"/>
      <c r="D1571" s="334"/>
      <c r="E1571" s="334"/>
      <c r="F1571" s="334"/>
      <c r="G1571" s="334"/>
      <c r="I1571" s="334"/>
      <c r="M1571" s="344"/>
      <c r="N1571" s="376"/>
    </row>
    <row r="1572" ht="15.75" customHeight="1">
      <c r="A1572" s="334"/>
      <c r="B1572" s="362"/>
      <c r="C1572" s="334"/>
      <c r="D1572" s="334"/>
      <c r="E1572" s="334"/>
      <c r="F1572" s="334"/>
      <c r="G1572" s="334"/>
      <c r="I1572" s="334"/>
      <c r="M1572" s="344"/>
      <c r="N1572" s="376"/>
    </row>
    <row r="1573" ht="15.75" customHeight="1">
      <c r="A1573" s="334"/>
      <c r="B1573" s="362"/>
      <c r="C1573" s="334"/>
      <c r="D1573" s="334"/>
      <c r="E1573" s="334"/>
      <c r="F1573" s="334"/>
      <c r="G1573" s="334"/>
      <c r="I1573" s="334"/>
      <c r="M1573" s="344"/>
      <c r="N1573" s="376"/>
    </row>
    <row r="1574" ht="15.75" customHeight="1">
      <c r="A1574" s="334"/>
      <c r="B1574" s="362"/>
      <c r="C1574" s="334"/>
      <c r="D1574" s="334"/>
      <c r="E1574" s="334"/>
      <c r="F1574" s="334"/>
      <c r="G1574" s="334"/>
      <c r="I1574" s="334"/>
      <c r="M1574" s="344"/>
      <c r="N1574" s="376"/>
    </row>
    <row r="1575" ht="15.75" customHeight="1">
      <c r="A1575" s="334"/>
      <c r="B1575" s="362"/>
      <c r="C1575" s="334"/>
      <c r="D1575" s="334"/>
      <c r="E1575" s="334"/>
      <c r="F1575" s="334"/>
      <c r="G1575" s="334"/>
      <c r="I1575" s="334"/>
      <c r="M1575" s="344"/>
      <c r="N1575" s="376"/>
    </row>
    <row r="1576" ht="15.75" customHeight="1">
      <c r="A1576" s="334"/>
      <c r="B1576" s="362"/>
      <c r="C1576" s="334"/>
      <c r="D1576" s="334"/>
      <c r="E1576" s="334"/>
      <c r="F1576" s="334"/>
      <c r="G1576" s="334"/>
      <c r="I1576" s="334"/>
      <c r="M1576" s="344"/>
      <c r="N1576" s="376"/>
    </row>
    <row r="1577" ht="15.75" customHeight="1">
      <c r="A1577" s="334"/>
      <c r="B1577" s="362"/>
      <c r="C1577" s="334"/>
      <c r="D1577" s="334"/>
      <c r="E1577" s="334"/>
      <c r="F1577" s="334"/>
      <c r="G1577" s="334"/>
      <c r="I1577" s="334"/>
      <c r="M1577" s="344"/>
      <c r="N1577" s="376"/>
    </row>
    <row r="1578" ht="15.75" customHeight="1">
      <c r="A1578" s="334"/>
      <c r="B1578" s="362"/>
      <c r="C1578" s="334"/>
      <c r="D1578" s="334"/>
      <c r="E1578" s="334"/>
      <c r="F1578" s="334"/>
      <c r="G1578" s="334"/>
      <c r="I1578" s="334"/>
      <c r="M1578" s="344"/>
      <c r="N1578" s="376"/>
    </row>
    <row r="1579" ht="15.75" customHeight="1">
      <c r="A1579" s="334"/>
      <c r="B1579" s="362"/>
      <c r="C1579" s="334"/>
      <c r="D1579" s="334"/>
      <c r="E1579" s="334"/>
      <c r="F1579" s="334"/>
      <c r="G1579" s="334"/>
      <c r="I1579" s="334"/>
      <c r="M1579" s="344"/>
      <c r="N1579" s="376"/>
    </row>
    <row r="1580" ht="15.75" customHeight="1">
      <c r="A1580" s="334"/>
      <c r="B1580" s="362"/>
      <c r="C1580" s="334"/>
      <c r="D1580" s="334"/>
      <c r="E1580" s="334"/>
      <c r="F1580" s="334"/>
      <c r="G1580" s="334"/>
      <c r="I1580" s="334"/>
      <c r="M1580" s="344"/>
      <c r="N1580" s="376"/>
    </row>
    <row r="1581" ht="15.75" customHeight="1">
      <c r="A1581" s="334"/>
      <c r="B1581" s="362"/>
      <c r="C1581" s="334"/>
      <c r="D1581" s="334"/>
      <c r="E1581" s="334"/>
      <c r="F1581" s="334"/>
      <c r="G1581" s="334"/>
      <c r="I1581" s="334"/>
      <c r="M1581" s="344"/>
      <c r="N1581" s="376"/>
    </row>
    <row r="1582" ht="15.75" customHeight="1">
      <c r="A1582" s="334"/>
      <c r="B1582" s="362"/>
      <c r="C1582" s="334"/>
      <c r="D1582" s="334"/>
      <c r="E1582" s="334"/>
      <c r="F1582" s="334"/>
      <c r="G1582" s="334"/>
      <c r="I1582" s="334"/>
      <c r="M1582" s="344"/>
      <c r="N1582" s="376"/>
    </row>
    <row r="1583" ht="15.75" customHeight="1">
      <c r="A1583" s="334"/>
      <c r="B1583" s="362"/>
      <c r="C1583" s="334"/>
      <c r="D1583" s="334"/>
      <c r="E1583" s="334"/>
      <c r="F1583" s="334"/>
      <c r="G1583" s="334"/>
      <c r="I1583" s="334"/>
      <c r="M1583" s="344"/>
      <c r="N1583" s="376"/>
    </row>
    <row r="1584" ht="15.75" customHeight="1">
      <c r="A1584" s="334"/>
      <c r="B1584" s="362"/>
      <c r="C1584" s="334"/>
      <c r="D1584" s="334"/>
      <c r="E1584" s="334"/>
      <c r="F1584" s="334"/>
      <c r="G1584" s="334"/>
      <c r="I1584" s="334"/>
      <c r="M1584" s="344"/>
      <c r="N1584" s="376"/>
    </row>
    <row r="1585" ht="15.75" customHeight="1">
      <c r="A1585" s="334"/>
      <c r="B1585" s="362"/>
      <c r="C1585" s="334"/>
      <c r="D1585" s="334"/>
      <c r="E1585" s="334"/>
      <c r="F1585" s="334"/>
      <c r="G1585" s="334"/>
      <c r="I1585" s="334"/>
      <c r="M1585" s="344"/>
      <c r="N1585" s="376"/>
    </row>
    <row r="1586" ht="15.75" customHeight="1">
      <c r="A1586" s="334"/>
      <c r="B1586" s="362"/>
      <c r="C1586" s="334"/>
      <c r="D1586" s="334"/>
      <c r="E1586" s="334"/>
      <c r="F1586" s="334"/>
      <c r="G1586" s="334"/>
      <c r="I1586" s="334"/>
      <c r="M1586" s="344"/>
      <c r="N1586" s="376"/>
    </row>
    <row r="1587" ht="15.75" customHeight="1">
      <c r="A1587" s="334"/>
      <c r="B1587" s="362"/>
      <c r="C1587" s="334"/>
      <c r="D1587" s="334"/>
      <c r="E1587" s="334"/>
      <c r="F1587" s="334"/>
      <c r="G1587" s="334"/>
      <c r="I1587" s="334"/>
      <c r="M1587" s="344"/>
      <c r="N1587" s="376"/>
    </row>
    <row r="1588" ht="15.75" customHeight="1">
      <c r="A1588" s="334"/>
      <c r="B1588" s="362"/>
      <c r="C1588" s="334"/>
      <c r="D1588" s="334"/>
      <c r="E1588" s="334"/>
      <c r="F1588" s="334"/>
      <c r="G1588" s="334"/>
      <c r="I1588" s="334"/>
      <c r="M1588" s="344"/>
      <c r="N1588" s="376"/>
    </row>
    <row r="1589" ht="15.75" customHeight="1">
      <c r="A1589" s="334"/>
      <c r="B1589" s="362"/>
      <c r="C1589" s="334"/>
      <c r="D1589" s="334"/>
      <c r="E1589" s="334"/>
      <c r="F1589" s="334"/>
      <c r="G1589" s="334"/>
      <c r="I1589" s="334"/>
      <c r="M1589" s="344"/>
      <c r="N1589" s="376"/>
    </row>
    <row r="1590" ht="15.75" customHeight="1">
      <c r="A1590" s="334"/>
      <c r="B1590" s="362"/>
      <c r="C1590" s="334"/>
      <c r="D1590" s="334"/>
      <c r="E1590" s="334"/>
      <c r="F1590" s="334"/>
      <c r="G1590" s="334"/>
      <c r="I1590" s="334"/>
      <c r="M1590" s="344"/>
      <c r="N1590" s="376"/>
    </row>
    <row r="1591" ht="15.75" customHeight="1">
      <c r="A1591" s="334"/>
      <c r="B1591" s="362"/>
      <c r="C1591" s="334"/>
      <c r="D1591" s="334"/>
      <c r="E1591" s="334"/>
      <c r="F1591" s="334"/>
      <c r="G1591" s="334"/>
      <c r="I1591" s="334"/>
      <c r="M1591" s="344"/>
      <c r="N1591" s="376"/>
    </row>
    <row r="1592" ht="15.75" customHeight="1">
      <c r="A1592" s="334"/>
      <c r="B1592" s="362"/>
      <c r="C1592" s="334"/>
      <c r="D1592" s="334"/>
      <c r="E1592" s="334"/>
      <c r="F1592" s="334"/>
      <c r="G1592" s="334"/>
      <c r="I1592" s="334"/>
      <c r="M1592" s="344"/>
      <c r="N1592" s="376"/>
    </row>
    <row r="1593" ht="15.75" customHeight="1">
      <c r="A1593" s="334"/>
      <c r="B1593" s="362"/>
      <c r="C1593" s="334"/>
      <c r="D1593" s="334"/>
      <c r="E1593" s="334"/>
      <c r="F1593" s="334"/>
      <c r="G1593" s="334"/>
      <c r="I1593" s="334"/>
      <c r="M1593" s="344"/>
      <c r="N1593" s="376"/>
    </row>
    <row r="1594" ht="15.75" customHeight="1">
      <c r="A1594" s="334"/>
      <c r="B1594" s="362"/>
      <c r="C1594" s="334"/>
      <c r="D1594" s="334"/>
      <c r="E1594" s="334"/>
      <c r="F1594" s="334"/>
      <c r="G1594" s="334"/>
      <c r="I1594" s="334"/>
      <c r="M1594" s="344"/>
      <c r="N1594" s="376"/>
    </row>
    <row r="1595" ht="15.75" customHeight="1">
      <c r="A1595" s="334"/>
      <c r="B1595" s="362"/>
      <c r="C1595" s="334"/>
      <c r="D1595" s="334"/>
      <c r="E1595" s="334"/>
      <c r="F1595" s="334"/>
      <c r="G1595" s="334"/>
      <c r="I1595" s="334"/>
      <c r="M1595" s="344"/>
      <c r="N1595" s="376"/>
    </row>
    <row r="1596" ht="15.75" customHeight="1">
      <c r="A1596" s="334"/>
      <c r="B1596" s="362"/>
      <c r="C1596" s="334"/>
      <c r="D1596" s="334"/>
      <c r="E1596" s="334"/>
      <c r="F1596" s="334"/>
      <c r="G1596" s="334"/>
      <c r="I1596" s="334"/>
      <c r="M1596" s="344"/>
      <c r="N1596" s="376"/>
    </row>
    <row r="1597" ht="15.75" customHeight="1">
      <c r="A1597" s="334"/>
      <c r="B1597" s="362"/>
      <c r="C1597" s="334"/>
      <c r="D1597" s="334"/>
      <c r="E1597" s="334"/>
      <c r="F1597" s="334"/>
      <c r="G1597" s="334"/>
      <c r="I1597" s="334"/>
      <c r="M1597" s="344"/>
      <c r="N1597" s="376"/>
    </row>
    <row r="1598" ht="15.75" customHeight="1">
      <c r="A1598" s="334"/>
      <c r="B1598" s="362"/>
      <c r="C1598" s="334"/>
      <c r="D1598" s="334"/>
      <c r="E1598" s="334"/>
      <c r="F1598" s="334"/>
      <c r="G1598" s="334"/>
      <c r="I1598" s="334"/>
      <c r="M1598" s="344"/>
      <c r="N1598" s="376"/>
    </row>
    <row r="1599" ht="15.75" customHeight="1">
      <c r="A1599" s="334"/>
      <c r="B1599" s="362"/>
      <c r="C1599" s="334"/>
      <c r="D1599" s="334"/>
      <c r="E1599" s="334"/>
      <c r="F1599" s="334"/>
      <c r="G1599" s="334"/>
      <c r="I1599" s="334"/>
      <c r="M1599" s="344"/>
      <c r="N1599" s="376"/>
    </row>
    <row r="1600" ht="15.75" customHeight="1">
      <c r="A1600" s="334"/>
      <c r="B1600" s="362"/>
      <c r="C1600" s="334"/>
      <c r="D1600" s="334"/>
      <c r="E1600" s="334"/>
      <c r="F1600" s="334"/>
      <c r="G1600" s="334"/>
      <c r="I1600" s="334"/>
      <c r="M1600" s="344"/>
      <c r="N1600" s="376"/>
    </row>
    <row r="1601" ht="15.75" customHeight="1">
      <c r="A1601" s="334"/>
      <c r="B1601" s="362"/>
      <c r="C1601" s="334"/>
      <c r="D1601" s="334"/>
      <c r="E1601" s="334"/>
      <c r="F1601" s="334"/>
      <c r="G1601" s="334"/>
      <c r="I1601" s="334"/>
      <c r="M1601" s="344"/>
      <c r="N1601" s="376"/>
    </row>
    <row r="1602" ht="15.75" customHeight="1">
      <c r="A1602" s="334"/>
      <c r="B1602" s="362"/>
      <c r="C1602" s="334"/>
      <c r="D1602" s="334"/>
      <c r="E1602" s="334"/>
      <c r="F1602" s="334"/>
      <c r="G1602" s="334"/>
      <c r="I1602" s="334"/>
      <c r="M1602" s="344"/>
      <c r="N1602" s="376"/>
    </row>
    <row r="1603" ht="15.75" customHeight="1">
      <c r="A1603" s="334"/>
      <c r="B1603" s="362"/>
      <c r="C1603" s="334"/>
      <c r="D1603" s="334"/>
      <c r="E1603" s="334"/>
      <c r="F1603" s="334"/>
      <c r="G1603" s="334"/>
      <c r="I1603" s="334"/>
      <c r="M1603" s="344"/>
      <c r="N1603" s="376"/>
    </row>
    <row r="1604" ht="15.75" customHeight="1">
      <c r="A1604" s="334"/>
      <c r="B1604" s="362"/>
      <c r="C1604" s="334"/>
      <c r="D1604" s="334"/>
      <c r="E1604" s="334"/>
      <c r="F1604" s="334"/>
      <c r="G1604" s="334"/>
      <c r="I1604" s="334"/>
      <c r="M1604" s="344"/>
      <c r="N1604" s="376"/>
    </row>
    <row r="1605" ht="15.75" customHeight="1">
      <c r="A1605" s="334"/>
      <c r="B1605" s="362"/>
      <c r="C1605" s="334"/>
      <c r="D1605" s="334"/>
      <c r="E1605" s="334"/>
      <c r="F1605" s="334"/>
      <c r="G1605" s="334"/>
      <c r="I1605" s="334"/>
      <c r="M1605" s="344"/>
      <c r="N1605" s="376"/>
    </row>
    <row r="1606" ht="15.75" customHeight="1">
      <c r="A1606" s="334"/>
      <c r="B1606" s="362"/>
      <c r="C1606" s="334"/>
      <c r="D1606" s="334"/>
      <c r="E1606" s="334"/>
      <c r="F1606" s="334"/>
      <c r="G1606" s="334"/>
      <c r="I1606" s="334"/>
      <c r="M1606" s="344"/>
      <c r="N1606" s="376"/>
    </row>
    <row r="1607" ht="15.75" customHeight="1">
      <c r="A1607" s="334"/>
      <c r="B1607" s="362"/>
      <c r="C1607" s="334"/>
      <c r="D1607" s="334"/>
      <c r="E1607" s="334"/>
      <c r="F1607" s="334"/>
      <c r="G1607" s="334"/>
      <c r="I1607" s="334"/>
      <c r="M1607" s="344"/>
      <c r="N1607" s="376"/>
    </row>
    <row r="1608" ht="15.75" customHeight="1">
      <c r="A1608" s="334"/>
      <c r="B1608" s="362"/>
      <c r="C1608" s="334"/>
      <c r="D1608" s="334"/>
      <c r="E1608" s="334"/>
      <c r="F1608" s="334"/>
      <c r="G1608" s="334"/>
      <c r="I1608" s="334"/>
      <c r="M1608" s="344"/>
      <c r="N1608" s="376"/>
    </row>
    <row r="1609" ht="15.75" customHeight="1">
      <c r="A1609" s="334"/>
      <c r="B1609" s="362"/>
      <c r="C1609" s="334"/>
      <c r="D1609" s="334"/>
      <c r="E1609" s="334"/>
      <c r="F1609" s="334"/>
      <c r="G1609" s="334"/>
      <c r="I1609" s="334"/>
      <c r="M1609" s="344"/>
      <c r="N1609" s="376"/>
    </row>
    <row r="1610" ht="15.75" customHeight="1">
      <c r="A1610" s="334"/>
      <c r="B1610" s="362"/>
      <c r="C1610" s="334"/>
      <c r="D1610" s="334"/>
      <c r="E1610" s="334"/>
      <c r="F1610" s="334"/>
      <c r="G1610" s="334"/>
      <c r="I1610" s="334"/>
      <c r="M1610" s="344"/>
      <c r="N1610" s="376"/>
    </row>
    <row r="1611" ht="15.75" customHeight="1">
      <c r="A1611" s="334"/>
      <c r="B1611" s="362"/>
      <c r="C1611" s="334"/>
      <c r="D1611" s="334"/>
      <c r="E1611" s="334"/>
      <c r="F1611" s="334"/>
      <c r="G1611" s="334"/>
      <c r="I1611" s="334"/>
      <c r="M1611" s="344"/>
      <c r="N1611" s="376"/>
    </row>
    <row r="1612" ht="15.75" customHeight="1">
      <c r="A1612" s="334"/>
      <c r="B1612" s="362"/>
      <c r="C1612" s="334"/>
      <c r="D1612" s="334"/>
      <c r="E1612" s="334"/>
      <c r="F1612" s="334"/>
      <c r="G1612" s="334"/>
      <c r="I1612" s="334"/>
      <c r="M1612" s="344"/>
      <c r="N1612" s="376"/>
    </row>
    <row r="1613" ht="15.75" customHeight="1">
      <c r="A1613" s="334"/>
      <c r="B1613" s="362"/>
      <c r="C1613" s="334"/>
      <c r="D1613" s="334"/>
      <c r="E1613" s="334"/>
      <c r="F1613" s="334"/>
      <c r="G1613" s="334"/>
      <c r="I1613" s="334"/>
      <c r="M1613" s="344"/>
      <c r="N1613" s="376"/>
    </row>
    <row r="1614" ht="15.75" customHeight="1">
      <c r="A1614" s="334"/>
      <c r="B1614" s="362"/>
      <c r="C1614" s="334"/>
      <c r="D1614" s="334"/>
      <c r="E1614" s="334"/>
      <c r="F1614" s="334"/>
      <c r="G1614" s="334"/>
      <c r="I1614" s="334"/>
      <c r="M1614" s="344"/>
      <c r="N1614" s="376"/>
    </row>
    <row r="1615" ht="15.75" customHeight="1">
      <c r="A1615" s="334"/>
      <c r="B1615" s="362"/>
      <c r="C1615" s="334"/>
      <c r="D1615" s="334"/>
      <c r="E1615" s="334"/>
      <c r="F1615" s="334"/>
      <c r="G1615" s="334"/>
      <c r="I1615" s="334"/>
      <c r="M1615" s="344"/>
      <c r="N1615" s="376"/>
    </row>
    <row r="1616" ht="15.75" customHeight="1">
      <c r="A1616" s="334"/>
      <c r="B1616" s="362"/>
      <c r="C1616" s="334"/>
      <c r="D1616" s="334"/>
      <c r="E1616" s="334"/>
      <c r="F1616" s="334"/>
      <c r="G1616" s="334"/>
      <c r="I1616" s="334"/>
      <c r="M1616" s="344"/>
      <c r="N1616" s="376"/>
    </row>
    <row r="1617" ht="15.75" customHeight="1">
      <c r="A1617" s="334"/>
      <c r="B1617" s="362"/>
      <c r="C1617" s="334"/>
      <c r="D1617" s="334"/>
      <c r="E1617" s="334"/>
      <c r="F1617" s="334"/>
      <c r="G1617" s="334"/>
      <c r="I1617" s="334"/>
      <c r="M1617" s="344"/>
      <c r="N1617" s="376"/>
    </row>
    <row r="1618" ht="15.75" customHeight="1">
      <c r="A1618" s="334"/>
      <c r="B1618" s="362"/>
      <c r="C1618" s="334"/>
      <c r="D1618" s="334"/>
      <c r="E1618" s="334"/>
      <c r="F1618" s="334"/>
      <c r="G1618" s="334"/>
      <c r="I1618" s="334"/>
      <c r="M1618" s="344"/>
      <c r="N1618" s="376"/>
    </row>
    <row r="1619" ht="15.75" customHeight="1">
      <c r="A1619" s="334"/>
      <c r="B1619" s="362"/>
      <c r="C1619" s="334"/>
      <c r="D1619" s="334"/>
      <c r="E1619" s="334"/>
      <c r="F1619" s="334"/>
      <c r="G1619" s="334"/>
      <c r="I1619" s="334"/>
      <c r="M1619" s="344"/>
      <c r="N1619" s="376"/>
    </row>
    <row r="1620" ht="15.75" customHeight="1">
      <c r="A1620" s="334"/>
      <c r="B1620" s="362"/>
      <c r="C1620" s="334"/>
      <c r="D1620" s="334"/>
      <c r="E1620" s="334"/>
      <c r="F1620" s="334"/>
      <c r="G1620" s="334"/>
      <c r="I1620" s="334"/>
      <c r="M1620" s="344"/>
      <c r="N1620" s="376"/>
    </row>
    <row r="1621" ht="15.75" customHeight="1">
      <c r="A1621" s="334"/>
      <c r="B1621" s="362"/>
      <c r="C1621" s="334"/>
      <c r="D1621" s="334"/>
      <c r="E1621" s="334"/>
      <c r="F1621" s="334"/>
      <c r="G1621" s="334"/>
      <c r="I1621" s="334"/>
      <c r="M1621" s="344"/>
      <c r="N1621" s="376"/>
    </row>
    <row r="1622" ht="15.75" customHeight="1">
      <c r="A1622" s="334"/>
      <c r="B1622" s="362"/>
      <c r="C1622" s="334"/>
      <c r="D1622" s="334"/>
      <c r="E1622" s="334"/>
      <c r="F1622" s="334"/>
      <c r="G1622" s="334"/>
      <c r="I1622" s="334"/>
      <c r="M1622" s="344"/>
      <c r="N1622" s="376"/>
    </row>
    <row r="1623" ht="15.75" customHeight="1">
      <c r="A1623" s="334"/>
      <c r="B1623" s="362"/>
      <c r="C1623" s="334"/>
      <c r="D1623" s="334"/>
      <c r="E1623" s="334"/>
      <c r="F1623" s="334"/>
      <c r="G1623" s="334"/>
      <c r="I1623" s="334"/>
      <c r="M1623" s="344"/>
      <c r="N1623" s="376"/>
    </row>
    <row r="1624" ht="15.75" customHeight="1">
      <c r="A1624" s="334"/>
      <c r="B1624" s="362"/>
      <c r="C1624" s="334"/>
      <c r="D1624" s="334"/>
      <c r="E1624" s="334"/>
      <c r="F1624" s="334"/>
      <c r="G1624" s="334"/>
      <c r="I1624" s="334"/>
      <c r="M1624" s="344"/>
      <c r="N1624" s="376"/>
    </row>
    <row r="1625" ht="15.75" customHeight="1">
      <c r="A1625" s="334"/>
      <c r="B1625" s="362"/>
      <c r="C1625" s="334"/>
      <c r="D1625" s="334"/>
      <c r="E1625" s="334"/>
      <c r="F1625" s="334"/>
      <c r="G1625" s="334"/>
      <c r="I1625" s="334"/>
      <c r="M1625" s="344"/>
      <c r="N1625" s="376"/>
    </row>
    <row r="1626" ht="15.75" customHeight="1">
      <c r="A1626" s="334"/>
      <c r="B1626" s="362"/>
      <c r="C1626" s="334"/>
      <c r="D1626" s="334"/>
      <c r="E1626" s="334"/>
      <c r="F1626" s="334"/>
      <c r="G1626" s="334"/>
      <c r="I1626" s="334"/>
      <c r="M1626" s="344"/>
      <c r="N1626" s="376"/>
    </row>
    <row r="1627" ht="15.75" customHeight="1">
      <c r="A1627" s="334"/>
      <c r="B1627" s="362"/>
      <c r="C1627" s="334"/>
      <c r="D1627" s="334"/>
      <c r="E1627" s="334"/>
      <c r="F1627" s="334"/>
      <c r="G1627" s="334"/>
      <c r="I1627" s="334"/>
      <c r="M1627" s="344"/>
      <c r="N1627" s="376"/>
    </row>
    <row r="1628" ht="15.75" customHeight="1">
      <c r="A1628" s="334"/>
      <c r="B1628" s="362"/>
      <c r="C1628" s="334"/>
      <c r="D1628" s="334"/>
      <c r="E1628" s="334"/>
      <c r="F1628" s="334"/>
      <c r="G1628" s="334"/>
      <c r="I1628" s="334"/>
      <c r="M1628" s="344"/>
      <c r="N1628" s="376"/>
    </row>
    <row r="1629" ht="15.75" customHeight="1">
      <c r="A1629" s="334"/>
      <c r="B1629" s="362"/>
      <c r="C1629" s="334"/>
      <c r="D1629" s="334"/>
      <c r="E1629" s="334"/>
      <c r="F1629" s="334"/>
      <c r="G1629" s="334"/>
      <c r="I1629" s="334"/>
      <c r="M1629" s="344"/>
      <c r="N1629" s="376"/>
    </row>
    <row r="1630" ht="15.75" customHeight="1">
      <c r="A1630" s="334"/>
      <c r="B1630" s="362"/>
      <c r="C1630" s="334"/>
      <c r="D1630" s="334"/>
      <c r="E1630" s="334"/>
      <c r="F1630" s="334"/>
      <c r="G1630" s="334"/>
      <c r="I1630" s="334"/>
      <c r="M1630" s="344"/>
      <c r="N1630" s="376"/>
    </row>
    <row r="1631" ht="15.75" customHeight="1">
      <c r="A1631" s="334"/>
      <c r="B1631" s="362"/>
      <c r="C1631" s="334"/>
      <c r="D1631" s="334"/>
      <c r="E1631" s="334"/>
      <c r="F1631" s="334"/>
      <c r="G1631" s="334"/>
      <c r="I1631" s="334"/>
      <c r="M1631" s="344"/>
      <c r="N1631" s="376"/>
    </row>
    <row r="1632" ht="15.75" customHeight="1">
      <c r="A1632" s="334"/>
      <c r="B1632" s="362"/>
      <c r="C1632" s="334"/>
      <c r="D1632" s="334"/>
      <c r="E1632" s="334"/>
      <c r="F1632" s="334"/>
      <c r="G1632" s="334"/>
      <c r="I1632" s="334"/>
      <c r="M1632" s="344"/>
      <c r="N1632" s="376"/>
    </row>
    <row r="1633" ht="15.75" customHeight="1">
      <c r="A1633" s="334"/>
      <c r="B1633" s="362"/>
      <c r="C1633" s="334"/>
      <c r="D1633" s="334"/>
      <c r="E1633" s="334"/>
      <c r="F1633" s="334"/>
      <c r="G1633" s="334"/>
      <c r="I1633" s="334"/>
      <c r="M1633" s="344"/>
      <c r="N1633" s="376"/>
    </row>
    <row r="1634" ht="15.75" customHeight="1">
      <c r="A1634" s="334"/>
      <c r="B1634" s="362"/>
      <c r="C1634" s="334"/>
      <c r="D1634" s="334"/>
      <c r="E1634" s="334"/>
      <c r="F1634" s="334"/>
      <c r="G1634" s="334"/>
      <c r="I1634" s="334"/>
      <c r="M1634" s="344"/>
      <c r="N1634" s="376"/>
    </row>
    <row r="1635" ht="15.75" customHeight="1">
      <c r="A1635" s="334"/>
      <c r="B1635" s="362"/>
      <c r="C1635" s="334"/>
      <c r="D1635" s="334"/>
      <c r="E1635" s="334"/>
      <c r="F1635" s="334"/>
      <c r="G1635" s="334"/>
      <c r="I1635" s="334"/>
      <c r="M1635" s="344"/>
      <c r="N1635" s="376"/>
    </row>
    <row r="1636" ht="15.75" customHeight="1">
      <c r="A1636" s="334"/>
      <c r="B1636" s="362"/>
      <c r="C1636" s="334"/>
      <c r="D1636" s="334"/>
      <c r="E1636" s="334"/>
      <c r="F1636" s="334"/>
      <c r="G1636" s="334"/>
      <c r="I1636" s="334"/>
      <c r="M1636" s="344"/>
      <c r="N1636" s="376"/>
    </row>
    <row r="1637" ht="15.75" customHeight="1">
      <c r="A1637" s="334"/>
      <c r="B1637" s="362"/>
      <c r="C1637" s="334"/>
      <c r="D1637" s="334"/>
      <c r="E1637" s="334"/>
      <c r="F1637" s="334"/>
      <c r="G1637" s="334"/>
      <c r="I1637" s="334"/>
      <c r="M1637" s="344"/>
      <c r="N1637" s="376"/>
    </row>
    <row r="1638" ht="15.75" customHeight="1">
      <c r="A1638" s="334"/>
      <c r="B1638" s="362"/>
      <c r="C1638" s="334"/>
      <c r="D1638" s="334"/>
      <c r="E1638" s="334"/>
      <c r="F1638" s="334"/>
      <c r="G1638" s="334"/>
      <c r="I1638" s="334"/>
      <c r="M1638" s="344"/>
      <c r="N1638" s="376"/>
    </row>
    <row r="1639" ht="15.75" customHeight="1">
      <c r="A1639" s="334"/>
      <c r="B1639" s="362"/>
      <c r="C1639" s="334"/>
      <c r="D1639" s="334"/>
      <c r="E1639" s="334"/>
      <c r="F1639" s="334"/>
      <c r="G1639" s="334"/>
      <c r="I1639" s="334"/>
      <c r="M1639" s="344"/>
      <c r="N1639" s="376"/>
    </row>
    <row r="1640" ht="15.75" customHeight="1">
      <c r="A1640" s="334"/>
      <c r="B1640" s="362"/>
      <c r="C1640" s="334"/>
      <c r="D1640" s="334"/>
      <c r="E1640" s="334"/>
      <c r="F1640" s="334"/>
      <c r="G1640" s="334"/>
      <c r="I1640" s="334"/>
      <c r="M1640" s="344"/>
      <c r="N1640" s="376"/>
    </row>
    <row r="1641" ht="15.75" customHeight="1">
      <c r="A1641" s="334"/>
      <c r="B1641" s="362"/>
      <c r="C1641" s="334"/>
      <c r="D1641" s="334"/>
      <c r="E1641" s="334"/>
      <c r="F1641" s="334"/>
      <c r="G1641" s="334"/>
      <c r="I1641" s="334"/>
      <c r="M1641" s="344"/>
      <c r="N1641" s="376"/>
    </row>
    <row r="1642" ht="15.75" customHeight="1">
      <c r="A1642" s="334"/>
      <c r="B1642" s="362"/>
      <c r="C1642" s="334"/>
      <c r="D1642" s="334"/>
      <c r="E1642" s="334"/>
      <c r="F1642" s="334"/>
      <c r="G1642" s="334"/>
      <c r="I1642" s="334"/>
      <c r="M1642" s="344"/>
      <c r="N1642" s="376"/>
    </row>
    <row r="1643" ht="15.75" customHeight="1">
      <c r="A1643" s="334"/>
      <c r="B1643" s="362"/>
      <c r="C1643" s="334"/>
      <c r="D1643" s="334"/>
      <c r="E1643" s="334"/>
      <c r="F1643" s="334"/>
      <c r="G1643" s="334"/>
      <c r="I1643" s="334"/>
      <c r="M1643" s="344"/>
      <c r="N1643" s="376"/>
    </row>
    <row r="1644" ht="15.75" customHeight="1">
      <c r="A1644" s="334"/>
      <c r="B1644" s="362"/>
      <c r="C1644" s="334"/>
      <c r="D1644" s="334"/>
      <c r="E1644" s="334"/>
      <c r="F1644" s="334"/>
      <c r="G1644" s="334"/>
      <c r="I1644" s="334"/>
      <c r="M1644" s="344"/>
      <c r="N1644" s="376"/>
    </row>
    <row r="1645" ht="15.75" customHeight="1">
      <c r="A1645" s="334"/>
      <c r="B1645" s="362"/>
      <c r="C1645" s="334"/>
      <c r="D1645" s="334"/>
      <c r="E1645" s="334"/>
      <c r="F1645" s="334"/>
      <c r="G1645" s="334"/>
      <c r="I1645" s="334"/>
      <c r="M1645" s="344"/>
      <c r="N1645" s="376"/>
    </row>
    <row r="1646" ht="15.75" customHeight="1">
      <c r="A1646" s="334"/>
      <c r="B1646" s="362"/>
      <c r="C1646" s="334"/>
      <c r="D1646" s="334"/>
      <c r="E1646" s="334"/>
      <c r="F1646" s="334"/>
      <c r="G1646" s="334"/>
      <c r="I1646" s="334"/>
      <c r="M1646" s="344"/>
      <c r="N1646" s="376"/>
    </row>
    <row r="1647" ht="15.75" customHeight="1">
      <c r="A1647" s="334"/>
      <c r="B1647" s="362"/>
      <c r="C1647" s="334"/>
      <c r="D1647" s="334"/>
      <c r="E1647" s="334"/>
      <c r="F1647" s="334"/>
      <c r="G1647" s="334"/>
      <c r="I1647" s="334"/>
      <c r="M1647" s="344"/>
      <c r="N1647" s="376"/>
    </row>
    <row r="1648" ht="15.75" customHeight="1">
      <c r="A1648" s="334"/>
      <c r="B1648" s="362"/>
      <c r="C1648" s="334"/>
      <c r="D1648" s="334"/>
      <c r="E1648" s="334"/>
      <c r="F1648" s="334"/>
      <c r="G1648" s="334"/>
      <c r="I1648" s="334"/>
      <c r="M1648" s="344"/>
      <c r="N1648" s="376"/>
    </row>
    <row r="1649" ht="15.75" customHeight="1">
      <c r="A1649" s="334"/>
      <c r="B1649" s="362"/>
      <c r="C1649" s="334"/>
      <c r="D1649" s="334"/>
      <c r="E1649" s="334"/>
      <c r="F1649" s="334"/>
      <c r="G1649" s="334"/>
      <c r="I1649" s="334"/>
      <c r="M1649" s="344"/>
      <c r="N1649" s="376"/>
    </row>
    <row r="1650" ht="15.75" customHeight="1">
      <c r="A1650" s="334"/>
      <c r="B1650" s="362"/>
      <c r="C1650" s="334"/>
      <c r="D1650" s="334"/>
      <c r="E1650" s="334"/>
      <c r="F1650" s="334"/>
      <c r="G1650" s="334"/>
      <c r="I1650" s="334"/>
      <c r="M1650" s="344"/>
      <c r="N1650" s="376"/>
    </row>
    <row r="1651" ht="15.75" customHeight="1">
      <c r="A1651" s="334"/>
      <c r="B1651" s="362"/>
      <c r="C1651" s="334"/>
      <c r="D1651" s="334"/>
      <c r="E1651" s="334"/>
      <c r="F1651" s="334"/>
      <c r="G1651" s="334"/>
      <c r="I1651" s="334"/>
      <c r="M1651" s="344"/>
      <c r="N1651" s="376"/>
    </row>
    <row r="1652" ht="15.75" customHeight="1">
      <c r="A1652" s="334"/>
      <c r="B1652" s="362"/>
      <c r="C1652" s="334"/>
      <c r="D1652" s="334"/>
      <c r="E1652" s="334"/>
      <c r="F1652" s="334"/>
      <c r="G1652" s="334"/>
      <c r="I1652" s="334"/>
      <c r="M1652" s="344"/>
      <c r="N1652" s="376"/>
    </row>
    <row r="1653" ht="15.75" customHeight="1">
      <c r="A1653" s="334"/>
      <c r="B1653" s="362"/>
      <c r="C1653" s="334"/>
      <c r="D1653" s="334"/>
      <c r="E1653" s="334"/>
      <c r="F1653" s="334"/>
      <c r="G1653" s="334"/>
      <c r="I1653" s="334"/>
      <c r="M1653" s="344"/>
      <c r="N1653" s="376"/>
    </row>
    <row r="1654" ht="15.75" customHeight="1">
      <c r="A1654" s="334"/>
      <c r="B1654" s="362"/>
      <c r="C1654" s="334"/>
      <c r="D1654" s="334"/>
      <c r="E1654" s="334"/>
      <c r="F1654" s="334"/>
      <c r="G1654" s="334"/>
      <c r="I1654" s="334"/>
      <c r="M1654" s="344"/>
      <c r="N1654" s="376"/>
    </row>
    <row r="1655" ht="15.75" customHeight="1">
      <c r="A1655" s="334"/>
      <c r="B1655" s="362"/>
      <c r="C1655" s="334"/>
      <c r="D1655" s="334"/>
      <c r="E1655" s="334"/>
      <c r="F1655" s="334"/>
      <c r="G1655" s="334"/>
      <c r="I1655" s="334"/>
      <c r="M1655" s="344"/>
      <c r="N1655" s="376"/>
    </row>
    <row r="1656" ht="15.75" customHeight="1">
      <c r="A1656" s="334"/>
      <c r="B1656" s="362"/>
      <c r="C1656" s="334"/>
      <c r="D1656" s="334"/>
      <c r="E1656" s="334"/>
      <c r="F1656" s="334"/>
      <c r="G1656" s="334"/>
      <c r="I1656" s="334"/>
      <c r="M1656" s="344"/>
      <c r="N1656" s="376"/>
    </row>
    <row r="1657" ht="15.75" customHeight="1">
      <c r="A1657" s="334"/>
      <c r="B1657" s="362"/>
      <c r="C1657" s="334"/>
      <c r="D1657" s="334"/>
      <c r="E1657" s="334"/>
      <c r="F1657" s="334"/>
      <c r="G1657" s="334"/>
      <c r="I1657" s="334"/>
      <c r="M1657" s="344"/>
      <c r="N1657" s="376"/>
    </row>
    <row r="1658" ht="15.75" customHeight="1">
      <c r="A1658" s="334"/>
      <c r="B1658" s="362"/>
      <c r="C1658" s="334"/>
      <c r="D1658" s="334"/>
      <c r="E1658" s="334"/>
      <c r="F1658" s="334"/>
      <c r="G1658" s="334"/>
      <c r="I1658" s="334"/>
      <c r="M1658" s="344"/>
      <c r="N1658" s="376"/>
    </row>
    <row r="1659" ht="15.75" customHeight="1">
      <c r="A1659" s="334"/>
      <c r="B1659" s="362"/>
      <c r="C1659" s="334"/>
      <c r="D1659" s="334"/>
      <c r="E1659" s="334"/>
      <c r="F1659" s="334"/>
      <c r="G1659" s="334"/>
      <c r="I1659" s="334"/>
      <c r="M1659" s="344"/>
      <c r="N1659" s="376"/>
    </row>
    <row r="1660" ht="15.75" customHeight="1">
      <c r="A1660" s="334"/>
      <c r="B1660" s="362"/>
      <c r="C1660" s="334"/>
      <c r="D1660" s="334"/>
      <c r="E1660" s="334"/>
      <c r="F1660" s="334"/>
      <c r="G1660" s="334"/>
      <c r="I1660" s="334"/>
      <c r="M1660" s="344"/>
      <c r="N1660" s="376"/>
    </row>
    <row r="1661" ht="15.75" customHeight="1">
      <c r="A1661" s="334"/>
      <c r="B1661" s="362"/>
      <c r="C1661" s="334"/>
      <c r="D1661" s="334"/>
      <c r="E1661" s="334"/>
      <c r="F1661" s="334"/>
      <c r="G1661" s="334"/>
      <c r="I1661" s="334"/>
      <c r="M1661" s="344"/>
      <c r="N1661" s="376"/>
    </row>
    <row r="1662" ht="15.75" customHeight="1">
      <c r="A1662" s="334"/>
      <c r="B1662" s="362"/>
      <c r="C1662" s="334"/>
      <c r="D1662" s="334"/>
      <c r="E1662" s="334"/>
      <c r="F1662" s="334"/>
      <c r="G1662" s="334"/>
      <c r="I1662" s="334"/>
      <c r="M1662" s="344"/>
      <c r="N1662" s="376"/>
    </row>
    <row r="1663" ht="15.75" customHeight="1">
      <c r="A1663" s="334"/>
      <c r="B1663" s="362"/>
      <c r="C1663" s="334"/>
      <c r="D1663" s="334"/>
      <c r="E1663" s="334"/>
      <c r="F1663" s="334"/>
      <c r="G1663" s="334"/>
      <c r="I1663" s="334"/>
      <c r="M1663" s="344"/>
      <c r="N1663" s="376"/>
    </row>
    <row r="1664" ht="15.75" customHeight="1">
      <c r="A1664" s="334"/>
      <c r="B1664" s="362"/>
      <c r="C1664" s="334"/>
      <c r="D1664" s="334"/>
      <c r="E1664" s="334"/>
      <c r="F1664" s="334"/>
      <c r="G1664" s="334"/>
      <c r="I1664" s="334"/>
      <c r="M1664" s="344"/>
      <c r="N1664" s="376"/>
    </row>
    <row r="1665" ht="15.75" customHeight="1">
      <c r="A1665" s="334"/>
      <c r="B1665" s="362"/>
      <c r="C1665" s="334"/>
      <c r="D1665" s="334"/>
      <c r="E1665" s="334"/>
      <c r="F1665" s="334"/>
      <c r="G1665" s="334"/>
      <c r="I1665" s="334"/>
      <c r="M1665" s="344"/>
      <c r="N1665" s="376"/>
    </row>
    <row r="1666" ht="15.75" customHeight="1">
      <c r="A1666" s="334"/>
      <c r="B1666" s="362"/>
      <c r="C1666" s="334"/>
      <c r="D1666" s="334"/>
      <c r="E1666" s="334"/>
      <c r="F1666" s="334"/>
      <c r="G1666" s="334"/>
      <c r="I1666" s="334"/>
      <c r="M1666" s="344"/>
      <c r="N1666" s="376"/>
    </row>
    <row r="1667" ht="15.75" customHeight="1">
      <c r="A1667" s="334"/>
      <c r="B1667" s="362"/>
      <c r="C1667" s="334"/>
      <c r="D1667" s="334"/>
      <c r="E1667" s="334"/>
      <c r="F1667" s="334"/>
      <c r="G1667" s="334"/>
      <c r="I1667" s="334"/>
      <c r="M1667" s="344"/>
      <c r="N1667" s="376"/>
    </row>
    <row r="1668" ht="15.75" customHeight="1">
      <c r="A1668" s="334"/>
      <c r="B1668" s="362"/>
      <c r="C1668" s="334"/>
      <c r="D1668" s="334"/>
      <c r="E1668" s="334"/>
      <c r="F1668" s="334"/>
      <c r="G1668" s="334"/>
      <c r="I1668" s="334"/>
      <c r="M1668" s="344"/>
      <c r="N1668" s="376"/>
    </row>
    <row r="1669" ht="15.75" customHeight="1">
      <c r="A1669" s="334"/>
      <c r="B1669" s="362"/>
      <c r="C1669" s="334"/>
      <c r="D1669" s="334"/>
      <c r="E1669" s="334"/>
      <c r="F1669" s="334"/>
      <c r="G1669" s="334"/>
      <c r="I1669" s="334"/>
      <c r="M1669" s="344"/>
      <c r="N1669" s="376"/>
    </row>
    <row r="1670" ht="15.75" customHeight="1">
      <c r="A1670" s="334"/>
      <c r="B1670" s="362"/>
      <c r="C1670" s="334"/>
      <c r="D1670" s="334"/>
      <c r="E1670" s="334"/>
      <c r="F1670" s="334"/>
      <c r="G1670" s="334"/>
      <c r="I1670" s="334"/>
      <c r="M1670" s="344"/>
      <c r="N1670" s="376"/>
    </row>
    <row r="1671" ht="15.75" customHeight="1">
      <c r="A1671" s="334"/>
      <c r="B1671" s="362"/>
      <c r="C1671" s="334"/>
      <c r="D1671" s="334"/>
      <c r="E1671" s="334"/>
      <c r="F1671" s="334"/>
      <c r="G1671" s="334"/>
      <c r="I1671" s="334"/>
      <c r="M1671" s="344"/>
      <c r="N1671" s="376"/>
    </row>
    <row r="1672" ht="15.75" customHeight="1">
      <c r="A1672" s="334"/>
      <c r="B1672" s="362"/>
      <c r="C1672" s="334"/>
      <c r="D1672" s="334"/>
      <c r="E1672" s="334"/>
      <c r="F1672" s="334"/>
      <c r="G1672" s="334"/>
      <c r="I1672" s="334"/>
      <c r="M1672" s="344"/>
      <c r="N1672" s="376"/>
    </row>
    <row r="1673" ht="15.75" customHeight="1">
      <c r="A1673" s="334"/>
      <c r="B1673" s="362"/>
      <c r="C1673" s="334"/>
      <c r="D1673" s="334"/>
      <c r="E1673" s="334"/>
      <c r="F1673" s="334"/>
      <c r="G1673" s="334"/>
      <c r="I1673" s="334"/>
      <c r="M1673" s="344"/>
      <c r="N1673" s="376"/>
    </row>
    <row r="1674" ht="15.75" customHeight="1">
      <c r="A1674" s="334"/>
      <c r="B1674" s="362"/>
      <c r="C1674" s="334"/>
      <c r="D1674" s="334"/>
      <c r="E1674" s="334"/>
      <c r="F1674" s="334"/>
      <c r="G1674" s="334"/>
      <c r="I1674" s="334"/>
      <c r="M1674" s="344"/>
      <c r="N1674" s="376"/>
    </row>
    <row r="1675" ht="15.75" customHeight="1">
      <c r="A1675" s="334"/>
      <c r="B1675" s="362"/>
      <c r="C1675" s="334"/>
      <c r="D1675" s="334"/>
      <c r="E1675" s="334"/>
      <c r="F1675" s="334"/>
      <c r="G1675" s="334"/>
      <c r="I1675" s="334"/>
      <c r="M1675" s="344"/>
      <c r="N1675" s="376"/>
    </row>
    <row r="1676" ht="15.75" customHeight="1">
      <c r="A1676" s="334"/>
      <c r="B1676" s="362"/>
      <c r="C1676" s="334"/>
      <c r="D1676" s="334"/>
      <c r="E1676" s="334"/>
      <c r="F1676" s="334"/>
      <c r="G1676" s="334"/>
      <c r="I1676" s="334"/>
      <c r="M1676" s="344"/>
      <c r="N1676" s="376"/>
    </row>
    <row r="1677" ht="15.75" customHeight="1">
      <c r="A1677" s="334"/>
      <c r="B1677" s="362"/>
      <c r="C1677" s="334"/>
      <c r="D1677" s="334"/>
      <c r="E1677" s="334"/>
      <c r="F1677" s="334"/>
      <c r="G1677" s="334"/>
      <c r="I1677" s="334"/>
      <c r="M1677" s="344"/>
      <c r="N1677" s="376"/>
    </row>
    <row r="1678" ht="15.75" customHeight="1">
      <c r="A1678" s="334"/>
      <c r="B1678" s="362"/>
      <c r="C1678" s="334"/>
      <c r="D1678" s="334"/>
      <c r="E1678" s="334"/>
      <c r="F1678" s="334"/>
      <c r="G1678" s="334"/>
      <c r="I1678" s="334"/>
      <c r="M1678" s="344"/>
      <c r="N1678" s="376"/>
    </row>
    <row r="1679" ht="15.75" customHeight="1">
      <c r="A1679" s="334"/>
      <c r="B1679" s="362"/>
      <c r="C1679" s="334"/>
      <c r="D1679" s="334"/>
      <c r="E1679" s="334"/>
      <c r="F1679" s="334"/>
      <c r="G1679" s="334"/>
      <c r="I1679" s="334"/>
      <c r="M1679" s="344"/>
      <c r="N1679" s="376"/>
    </row>
    <row r="1680" ht="15.75" customHeight="1">
      <c r="A1680" s="334"/>
      <c r="B1680" s="362"/>
      <c r="C1680" s="334"/>
      <c r="D1680" s="334"/>
      <c r="E1680" s="334"/>
      <c r="F1680" s="334"/>
      <c r="G1680" s="334"/>
      <c r="I1680" s="334"/>
      <c r="M1680" s="344"/>
      <c r="N1680" s="376"/>
    </row>
    <row r="1681" ht="15.75" customHeight="1">
      <c r="A1681" s="334"/>
      <c r="B1681" s="362"/>
      <c r="C1681" s="334"/>
      <c r="D1681" s="334"/>
      <c r="E1681" s="334"/>
      <c r="F1681" s="334"/>
      <c r="G1681" s="334"/>
      <c r="I1681" s="334"/>
      <c r="M1681" s="344"/>
      <c r="N1681" s="376"/>
    </row>
    <row r="1682" ht="15.75" customHeight="1">
      <c r="A1682" s="334"/>
      <c r="B1682" s="362"/>
      <c r="C1682" s="334"/>
      <c r="D1682" s="334"/>
      <c r="E1682" s="334"/>
      <c r="F1682" s="334"/>
      <c r="G1682" s="334"/>
      <c r="I1682" s="334"/>
      <c r="M1682" s="344"/>
      <c r="N1682" s="376"/>
    </row>
    <row r="1683" ht="15.75" customHeight="1">
      <c r="A1683" s="334"/>
      <c r="B1683" s="362"/>
      <c r="C1683" s="334"/>
      <c r="D1683" s="334"/>
      <c r="E1683" s="334"/>
      <c r="F1683" s="334"/>
      <c r="G1683" s="334"/>
      <c r="I1683" s="334"/>
      <c r="M1683" s="344"/>
      <c r="N1683" s="376"/>
    </row>
    <row r="1684" ht="15.75" customHeight="1">
      <c r="A1684" s="334"/>
      <c r="B1684" s="362"/>
      <c r="C1684" s="334"/>
      <c r="D1684" s="334"/>
      <c r="E1684" s="334"/>
      <c r="F1684" s="334"/>
      <c r="G1684" s="334"/>
      <c r="I1684" s="334"/>
      <c r="M1684" s="344"/>
      <c r="N1684" s="376"/>
    </row>
    <row r="1685" ht="15.75" customHeight="1">
      <c r="A1685" s="334"/>
      <c r="B1685" s="362"/>
      <c r="C1685" s="334"/>
      <c r="D1685" s="334"/>
      <c r="E1685" s="334"/>
      <c r="F1685" s="334"/>
      <c r="G1685" s="334"/>
      <c r="I1685" s="334"/>
      <c r="M1685" s="344"/>
      <c r="N1685" s="376"/>
    </row>
    <row r="1686" ht="15.75" customHeight="1">
      <c r="A1686" s="334"/>
      <c r="B1686" s="362"/>
      <c r="C1686" s="334"/>
      <c r="D1686" s="334"/>
      <c r="E1686" s="334"/>
      <c r="F1686" s="334"/>
      <c r="G1686" s="334"/>
      <c r="I1686" s="334"/>
      <c r="M1686" s="344"/>
      <c r="N1686" s="376"/>
    </row>
    <row r="1687" ht="15.75" customHeight="1">
      <c r="A1687" s="334"/>
      <c r="B1687" s="362"/>
      <c r="C1687" s="334"/>
      <c r="D1687" s="334"/>
      <c r="E1687" s="334"/>
      <c r="F1687" s="334"/>
      <c r="G1687" s="334"/>
      <c r="I1687" s="334"/>
      <c r="M1687" s="344"/>
      <c r="N1687" s="376"/>
    </row>
    <row r="1688" ht="15.75" customHeight="1">
      <c r="A1688" s="334"/>
      <c r="B1688" s="362"/>
      <c r="C1688" s="334"/>
      <c r="D1688" s="334"/>
      <c r="E1688" s="334"/>
      <c r="F1688" s="334"/>
      <c r="G1688" s="334"/>
      <c r="I1688" s="334"/>
      <c r="M1688" s="344"/>
      <c r="N1688" s="376"/>
    </row>
    <row r="1689" ht="15.75" customHeight="1">
      <c r="A1689" s="334"/>
      <c r="B1689" s="362"/>
      <c r="C1689" s="334"/>
      <c r="D1689" s="334"/>
      <c r="E1689" s="334"/>
      <c r="F1689" s="334"/>
      <c r="G1689" s="334"/>
      <c r="I1689" s="334"/>
      <c r="M1689" s="344"/>
      <c r="N1689" s="376"/>
    </row>
    <row r="1690" ht="15.75" customHeight="1">
      <c r="A1690" s="334"/>
      <c r="B1690" s="362"/>
      <c r="C1690" s="334"/>
      <c r="D1690" s="334"/>
      <c r="E1690" s="334"/>
      <c r="F1690" s="334"/>
      <c r="G1690" s="334"/>
      <c r="I1690" s="334"/>
      <c r="M1690" s="344"/>
      <c r="N1690" s="376"/>
    </row>
    <row r="1691" ht="15.75" customHeight="1">
      <c r="A1691" s="334"/>
      <c r="B1691" s="362"/>
      <c r="C1691" s="334"/>
      <c r="D1691" s="334"/>
      <c r="E1691" s="334"/>
      <c r="F1691" s="334"/>
      <c r="G1691" s="334"/>
      <c r="I1691" s="334"/>
      <c r="M1691" s="344"/>
      <c r="N1691" s="376"/>
    </row>
    <row r="1692" ht="15.75" customHeight="1">
      <c r="A1692" s="334"/>
      <c r="B1692" s="362"/>
      <c r="C1692" s="334"/>
      <c r="D1692" s="334"/>
      <c r="E1692" s="334"/>
      <c r="F1692" s="334"/>
      <c r="G1692" s="334"/>
      <c r="I1692" s="334"/>
      <c r="M1692" s="344"/>
      <c r="N1692" s="376"/>
    </row>
    <row r="1693" ht="15.75" customHeight="1">
      <c r="A1693" s="334"/>
      <c r="B1693" s="362"/>
      <c r="C1693" s="334"/>
      <c r="D1693" s="334"/>
      <c r="E1693" s="334"/>
      <c r="F1693" s="334"/>
      <c r="G1693" s="334"/>
      <c r="I1693" s="334"/>
      <c r="M1693" s="344"/>
      <c r="N1693" s="376"/>
    </row>
    <row r="1694" ht="15.75" customHeight="1">
      <c r="A1694" s="334"/>
      <c r="B1694" s="362"/>
      <c r="C1694" s="334"/>
      <c r="D1694" s="334"/>
      <c r="E1694" s="334"/>
      <c r="F1694" s="334"/>
      <c r="G1694" s="334"/>
      <c r="I1694" s="334"/>
      <c r="M1694" s="344"/>
      <c r="N1694" s="376"/>
    </row>
    <row r="1695" ht="15.75" customHeight="1">
      <c r="A1695" s="334"/>
      <c r="B1695" s="362"/>
      <c r="C1695" s="334"/>
      <c r="D1695" s="334"/>
      <c r="E1695" s="334"/>
      <c r="F1695" s="334"/>
      <c r="G1695" s="334"/>
      <c r="I1695" s="334"/>
      <c r="M1695" s="344"/>
      <c r="N1695" s="376"/>
    </row>
    <row r="1696" ht="15.75" customHeight="1">
      <c r="A1696" s="334"/>
      <c r="B1696" s="362"/>
      <c r="C1696" s="334"/>
      <c r="D1696" s="334"/>
      <c r="E1696" s="334"/>
      <c r="F1696" s="334"/>
      <c r="G1696" s="334"/>
      <c r="I1696" s="334"/>
      <c r="M1696" s="344"/>
      <c r="N1696" s="376"/>
    </row>
    <row r="1697" ht="15.75" customHeight="1">
      <c r="A1697" s="334"/>
      <c r="B1697" s="362"/>
      <c r="C1697" s="334"/>
      <c r="D1697" s="334"/>
      <c r="E1697" s="334"/>
      <c r="F1697" s="334"/>
      <c r="G1697" s="334"/>
      <c r="I1697" s="334"/>
      <c r="M1697" s="344"/>
      <c r="N1697" s="376"/>
    </row>
    <row r="1698" ht="15.75" customHeight="1">
      <c r="A1698" s="334"/>
      <c r="B1698" s="362"/>
      <c r="C1698" s="334"/>
      <c r="D1698" s="334"/>
      <c r="E1698" s="334"/>
      <c r="F1698" s="334"/>
      <c r="G1698" s="334"/>
      <c r="I1698" s="334"/>
      <c r="M1698" s="344"/>
      <c r="N1698" s="376"/>
    </row>
    <row r="1699" ht="15.75" customHeight="1">
      <c r="A1699" s="334"/>
      <c r="B1699" s="362"/>
      <c r="C1699" s="334"/>
      <c r="D1699" s="334"/>
      <c r="E1699" s="334"/>
      <c r="F1699" s="334"/>
      <c r="G1699" s="334"/>
      <c r="I1699" s="334"/>
      <c r="M1699" s="344"/>
      <c r="N1699" s="376"/>
    </row>
    <row r="1700" ht="15.75" customHeight="1">
      <c r="A1700" s="334"/>
      <c r="B1700" s="362"/>
      <c r="C1700" s="334"/>
      <c r="D1700" s="334"/>
      <c r="E1700" s="334"/>
      <c r="F1700" s="334"/>
      <c r="G1700" s="334"/>
      <c r="I1700" s="334"/>
      <c r="M1700" s="344"/>
      <c r="N1700" s="376"/>
    </row>
    <row r="1701" ht="15.75" customHeight="1">
      <c r="A1701" s="334"/>
      <c r="B1701" s="362"/>
      <c r="C1701" s="334"/>
      <c r="D1701" s="334"/>
      <c r="E1701" s="334"/>
      <c r="F1701" s="334"/>
      <c r="G1701" s="334"/>
      <c r="I1701" s="334"/>
      <c r="M1701" s="344"/>
      <c r="N1701" s="376"/>
    </row>
    <row r="1702" ht="15.75" customHeight="1">
      <c r="A1702" s="334"/>
      <c r="B1702" s="362"/>
      <c r="C1702" s="334"/>
      <c r="D1702" s="334"/>
      <c r="E1702" s="334"/>
      <c r="F1702" s="334"/>
      <c r="G1702" s="334"/>
      <c r="I1702" s="334"/>
      <c r="M1702" s="344"/>
      <c r="N1702" s="376"/>
    </row>
    <row r="1703" ht="15.75" customHeight="1">
      <c r="A1703" s="334"/>
      <c r="B1703" s="362"/>
      <c r="C1703" s="334"/>
      <c r="D1703" s="334"/>
      <c r="E1703" s="334"/>
      <c r="F1703" s="334"/>
      <c r="G1703" s="334"/>
      <c r="I1703" s="334"/>
      <c r="M1703" s="344"/>
      <c r="N1703" s="376"/>
    </row>
    <row r="1704" ht="15.75" customHeight="1">
      <c r="A1704" s="334"/>
      <c r="B1704" s="362"/>
      <c r="C1704" s="334"/>
      <c r="D1704" s="334"/>
      <c r="E1704" s="334"/>
      <c r="F1704" s="334"/>
      <c r="G1704" s="334"/>
      <c r="I1704" s="334"/>
      <c r="M1704" s="344"/>
      <c r="N1704" s="376"/>
    </row>
    <row r="1705" ht="15.75" customHeight="1">
      <c r="A1705" s="334"/>
      <c r="B1705" s="362"/>
      <c r="C1705" s="334"/>
      <c r="D1705" s="334"/>
      <c r="E1705" s="334"/>
      <c r="F1705" s="334"/>
      <c r="G1705" s="334"/>
      <c r="I1705" s="334"/>
      <c r="M1705" s="344"/>
      <c r="N1705" s="376"/>
    </row>
    <row r="1706" ht="15.75" customHeight="1">
      <c r="A1706" s="334"/>
      <c r="B1706" s="362"/>
      <c r="C1706" s="334"/>
      <c r="D1706" s="334"/>
      <c r="E1706" s="334"/>
      <c r="F1706" s="334"/>
      <c r="G1706" s="334"/>
      <c r="I1706" s="334"/>
      <c r="M1706" s="344"/>
      <c r="N1706" s="376"/>
    </row>
    <row r="1707" ht="15.75" customHeight="1">
      <c r="A1707" s="334"/>
      <c r="B1707" s="362"/>
      <c r="C1707" s="334"/>
      <c r="D1707" s="334"/>
      <c r="E1707" s="334"/>
      <c r="F1707" s="334"/>
      <c r="G1707" s="334"/>
      <c r="I1707" s="334"/>
      <c r="M1707" s="344"/>
      <c r="N1707" s="376"/>
    </row>
    <row r="1708" ht="15.75" customHeight="1">
      <c r="A1708" s="334"/>
      <c r="B1708" s="362"/>
      <c r="C1708" s="334"/>
      <c r="D1708" s="334"/>
      <c r="E1708" s="334"/>
      <c r="F1708" s="334"/>
      <c r="G1708" s="334"/>
      <c r="I1708" s="334"/>
      <c r="M1708" s="344"/>
      <c r="N1708" s="376"/>
    </row>
    <row r="1709" ht="15.75" customHeight="1">
      <c r="A1709" s="334"/>
      <c r="B1709" s="362"/>
      <c r="C1709" s="334"/>
      <c r="D1709" s="334"/>
      <c r="E1709" s="334"/>
      <c r="F1709" s="334"/>
      <c r="G1709" s="334"/>
      <c r="I1709" s="334"/>
      <c r="M1709" s="344"/>
      <c r="N1709" s="376"/>
    </row>
    <row r="1710" ht="15.75" customHeight="1">
      <c r="A1710" s="334"/>
      <c r="B1710" s="362"/>
      <c r="C1710" s="334"/>
      <c r="D1710" s="334"/>
      <c r="E1710" s="334"/>
      <c r="F1710" s="334"/>
      <c r="G1710" s="334"/>
      <c r="I1710" s="334"/>
      <c r="M1710" s="344"/>
      <c r="N1710" s="376"/>
    </row>
    <row r="1711" ht="15.75" customHeight="1">
      <c r="A1711" s="334"/>
      <c r="B1711" s="362"/>
      <c r="C1711" s="334"/>
      <c r="D1711" s="334"/>
      <c r="E1711" s="334"/>
      <c r="F1711" s="334"/>
      <c r="G1711" s="334"/>
      <c r="I1711" s="334"/>
      <c r="M1711" s="344"/>
      <c r="N1711" s="376"/>
    </row>
    <row r="1712" ht="15.75" customHeight="1">
      <c r="A1712" s="334"/>
      <c r="B1712" s="362"/>
      <c r="C1712" s="334"/>
      <c r="D1712" s="334"/>
      <c r="E1712" s="334"/>
      <c r="F1712" s="334"/>
      <c r="G1712" s="334"/>
      <c r="I1712" s="334"/>
      <c r="M1712" s="344"/>
      <c r="N1712" s="376"/>
    </row>
    <row r="1713" ht="15.75" customHeight="1">
      <c r="A1713" s="334"/>
      <c r="B1713" s="362"/>
      <c r="C1713" s="334"/>
      <c r="D1713" s="334"/>
      <c r="E1713" s="334"/>
      <c r="F1713" s="334"/>
      <c r="G1713" s="334"/>
      <c r="I1713" s="334"/>
      <c r="M1713" s="344"/>
      <c r="N1713" s="376"/>
    </row>
    <row r="1714" ht="15.75" customHeight="1">
      <c r="A1714" s="334"/>
      <c r="B1714" s="362"/>
      <c r="C1714" s="334"/>
      <c r="D1714" s="334"/>
      <c r="E1714" s="334"/>
      <c r="F1714" s="334"/>
      <c r="G1714" s="334"/>
      <c r="I1714" s="334"/>
      <c r="M1714" s="344"/>
      <c r="N1714" s="376"/>
    </row>
    <row r="1715" ht="15.75" customHeight="1">
      <c r="A1715" s="334"/>
      <c r="B1715" s="362"/>
      <c r="C1715" s="334"/>
      <c r="D1715" s="334"/>
      <c r="E1715" s="334"/>
      <c r="F1715" s="334"/>
      <c r="G1715" s="334"/>
      <c r="I1715" s="334"/>
      <c r="M1715" s="344"/>
      <c r="N1715" s="376"/>
    </row>
    <row r="1716" ht="15.75" customHeight="1">
      <c r="A1716" s="334"/>
      <c r="B1716" s="362"/>
      <c r="C1716" s="334"/>
      <c r="D1716" s="334"/>
      <c r="E1716" s="334"/>
      <c r="F1716" s="334"/>
      <c r="G1716" s="334"/>
      <c r="I1716" s="334"/>
      <c r="M1716" s="344"/>
      <c r="N1716" s="376"/>
    </row>
    <row r="1717" ht="15.75" customHeight="1">
      <c r="A1717" s="334"/>
      <c r="B1717" s="362"/>
      <c r="C1717" s="334"/>
      <c r="D1717" s="334"/>
      <c r="E1717" s="334"/>
      <c r="F1717" s="334"/>
      <c r="G1717" s="334"/>
      <c r="I1717" s="334"/>
      <c r="M1717" s="344"/>
      <c r="N1717" s="376"/>
    </row>
    <row r="1718" ht="15.75" customHeight="1">
      <c r="A1718" s="334"/>
      <c r="B1718" s="362"/>
      <c r="C1718" s="334"/>
      <c r="D1718" s="334"/>
      <c r="E1718" s="334"/>
      <c r="F1718" s="334"/>
      <c r="G1718" s="334"/>
      <c r="I1718" s="334"/>
      <c r="M1718" s="344"/>
      <c r="N1718" s="376"/>
    </row>
    <row r="1719" ht="15.75" customHeight="1">
      <c r="A1719" s="334"/>
      <c r="B1719" s="362"/>
      <c r="C1719" s="334"/>
      <c r="D1719" s="334"/>
      <c r="E1719" s="334"/>
      <c r="F1719" s="334"/>
      <c r="G1719" s="334"/>
      <c r="I1719" s="334"/>
      <c r="M1719" s="344"/>
      <c r="N1719" s="376"/>
    </row>
    <row r="1720" ht="15.75" customHeight="1">
      <c r="A1720" s="334"/>
      <c r="B1720" s="362"/>
      <c r="C1720" s="334"/>
      <c r="D1720" s="334"/>
      <c r="E1720" s="334"/>
      <c r="F1720" s="334"/>
      <c r="G1720" s="334"/>
      <c r="I1720" s="334"/>
      <c r="M1720" s="344"/>
      <c r="N1720" s="376"/>
    </row>
    <row r="1721" ht="15.75" customHeight="1">
      <c r="A1721" s="334"/>
      <c r="B1721" s="362"/>
      <c r="C1721" s="334"/>
      <c r="D1721" s="334"/>
      <c r="E1721" s="334"/>
      <c r="F1721" s="334"/>
      <c r="G1721" s="334"/>
      <c r="I1721" s="334"/>
      <c r="M1721" s="344"/>
      <c r="N1721" s="376"/>
    </row>
    <row r="1722" ht="15.75" customHeight="1">
      <c r="A1722" s="334"/>
      <c r="B1722" s="362"/>
      <c r="C1722" s="334"/>
      <c r="D1722" s="334"/>
      <c r="E1722" s="334"/>
      <c r="F1722" s="334"/>
      <c r="G1722" s="334"/>
      <c r="I1722" s="334"/>
      <c r="M1722" s="344"/>
      <c r="N1722" s="376"/>
    </row>
    <row r="1723" ht="15.75" customHeight="1">
      <c r="A1723" s="334"/>
      <c r="B1723" s="362"/>
      <c r="C1723" s="334"/>
      <c r="D1723" s="334"/>
      <c r="E1723" s="334"/>
      <c r="F1723" s="334"/>
      <c r="G1723" s="334"/>
      <c r="I1723" s="334"/>
      <c r="M1723" s="344"/>
      <c r="N1723" s="376"/>
    </row>
    <row r="1724" ht="15.75" customHeight="1">
      <c r="A1724" s="334"/>
      <c r="B1724" s="362"/>
      <c r="C1724" s="334"/>
      <c r="D1724" s="334"/>
      <c r="E1724" s="334"/>
      <c r="F1724" s="334"/>
      <c r="G1724" s="334"/>
      <c r="I1724" s="334"/>
      <c r="M1724" s="344"/>
      <c r="N1724" s="376"/>
    </row>
    <row r="1725" ht="15.75" customHeight="1">
      <c r="A1725" s="334"/>
      <c r="B1725" s="362"/>
      <c r="C1725" s="334"/>
      <c r="D1725" s="334"/>
      <c r="E1725" s="334"/>
      <c r="F1725" s="334"/>
      <c r="G1725" s="334"/>
      <c r="I1725" s="334"/>
      <c r="M1725" s="344"/>
      <c r="N1725" s="376"/>
    </row>
    <row r="1726" ht="15.75" customHeight="1">
      <c r="A1726" s="334"/>
      <c r="B1726" s="362"/>
      <c r="C1726" s="334"/>
      <c r="D1726" s="334"/>
      <c r="E1726" s="334"/>
      <c r="F1726" s="334"/>
      <c r="G1726" s="334"/>
      <c r="I1726" s="334"/>
      <c r="M1726" s="344"/>
      <c r="N1726" s="376"/>
    </row>
    <row r="1727" ht="15.75" customHeight="1">
      <c r="A1727" s="334"/>
      <c r="B1727" s="362"/>
      <c r="C1727" s="334"/>
      <c r="D1727" s="334"/>
      <c r="E1727" s="334"/>
      <c r="F1727" s="334"/>
      <c r="G1727" s="334"/>
      <c r="I1727" s="334"/>
      <c r="M1727" s="344"/>
      <c r="N1727" s="376"/>
    </row>
    <row r="1728" ht="15.75" customHeight="1">
      <c r="A1728" s="334"/>
      <c r="B1728" s="362"/>
      <c r="C1728" s="334"/>
      <c r="D1728" s="334"/>
      <c r="E1728" s="334"/>
      <c r="F1728" s="334"/>
      <c r="G1728" s="334"/>
      <c r="I1728" s="334"/>
      <c r="M1728" s="344"/>
      <c r="N1728" s="376"/>
    </row>
    <row r="1729" ht="15.75" customHeight="1">
      <c r="A1729" s="334"/>
      <c r="B1729" s="362"/>
      <c r="C1729" s="334"/>
      <c r="D1729" s="334"/>
      <c r="E1729" s="334"/>
      <c r="F1729" s="334"/>
      <c r="G1729" s="334"/>
      <c r="I1729" s="334"/>
      <c r="M1729" s="344"/>
      <c r="N1729" s="376"/>
    </row>
    <row r="1730" ht="15.75" customHeight="1">
      <c r="A1730" s="334"/>
      <c r="B1730" s="362"/>
      <c r="C1730" s="334"/>
      <c r="D1730" s="334"/>
      <c r="E1730" s="334"/>
      <c r="F1730" s="334"/>
      <c r="G1730" s="334"/>
      <c r="I1730" s="334"/>
      <c r="M1730" s="344"/>
      <c r="N1730" s="376"/>
    </row>
    <row r="1731" ht="15.75" customHeight="1">
      <c r="A1731" s="334"/>
      <c r="B1731" s="362"/>
      <c r="C1731" s="334"/>
      <c r="D1731" s="334"/>
      <c r="E1731" s="334"/>
      <c r="F1731" s="334"/>
      <c r="G1731" s="334"/>
      <c r="I1731" s="334"/>
      <c r="M1731" s="344"/>
      <c r="N1731" s="376"/>
    </row>
    <row r="1732" ht="15.75" customHeight="1">
      <c r="A1732" s="334"/>
      <c r="B1732" s="362"/>
      <c r="C1732" s="334"/>
      <c r="D1732" s="334"/>
      <c r="E1732" s="334"/>
      <c r="F1732" s="334"/>
      <c r="G1732" s="334"/>
      <c r="I1732" s="334"/>
      <c r="M1732" s="344"/>
      <c r="N1732" s="376"/>
    </row>
    <row r="1733" ht="15.75" customHeight="1">
      <c r="A1733" s="334"/>
      <c r="B1733" s="362"/>
      <c r="C1733" s="334"/>
      <c r="D1733" s="334"/>
      <c r="E1733" s="334"/>
      <c r="F1733" s="334"/>
      <c r="G1733" s="334"/>
      <c r="I1733" s="334"/>
      <c r="M1733" s="344"/>
      <c r="N1733" s="376"/>
    </row>
    <row r="1734" ht="15.75" customHeight="1">
      <c r="A1734" s="334"/>
      <c r="B1734" s="362"/>
      <c r="C1734" s="334"/>
      <c r="D1734" s="334"/>
      <c r="E1734" s="334"/>
      <c r="F1734" s="334"/>
      <c r="G1734" s="334"/>
      <c r="I1734" s="334"/>
      <c r="M1734" s="344"/>
      <c r="N1734" s="376"/>
    </row>
    <row r="1735" ht="15.75" customHeight="1">
      <c r="A1735" s="334"/>
      <c r="B1735" s="362"/>
      <c r="C1735" s="334"/>
      <c r="D1735" s="334"/>
      <c r="E1735" s="334"/>
      <c r="F1735" s="334"/>
      <c r="G1735" s="334"/>
      <c r="I1735" s="334"/>
      <c r="M1735" s="344"/>
      <c r="N1735" s="376"/>
    </row>
    <row r="1736" ht="15.75" customHeight="1">
      <c r="A1736" s="334"/>
      <c r="B1736" s="362"/>
      <c r="C1736" s="334"/>
      <c r="D1736" s="334"/>
      <c r="E1736" s="334"/>
      <c r="F1736" s="334"/>
      <c r="G1736" s="334"/>
      <c r="I1736" s="334"/>
      <c r="M1736" s="344"/>
      <c r="N1736" s="376"/>
    </row>
    <row r="1737" ht="15.75" customHeight="1">
      <c r="A1737" s="334"/>
      <c r="B1737" s="362"/>
      <c r="C1737" s="334"/>
      <c r="D1737" s="334"/>
      <c r="E1737" s="334"/>
      <c r="F1737" s="334"/>
      <c r="G1737" s="334"/>
      <c r="I1737" s="334"/>
      <c r="M1737" s="344"/>
      <c r="N1737" s="376"/>
    </row>
    <row r="1738" ht="15.75" customHeight="1">
      <c r="A1738" s="334"/>
      <c r="B1738" s="362"/>
      <c r="C1738" s="334"/>
      <c r="D1738" s="334"/>
      <c r="E1738" s="334"/>
      <c r="F1738" s="334"/>
      <c r="G1738" s="334"/>
      <c r="I1738" s="334"/>
      <c r="M1738" s="344"/>
      <c r="N1738" s="376"/>
    </row>
    <row r="1739" ht="15.75" customHeight="1">
      <c r="A1739" s="334"/>
      <c r="B1739" s="362"/>
      <c r="C1739" s="334"/>
      <c r="D1739" s="334"/>
      <c r="E1739" s="334"/>
      <c r="F1739" s="334"/>
      <c r="G1739" s="334"/>
      <c r="I1739" s="334"/>
      <c r="M1739" s="344"/>
      <c r="N1739" s="376"/>
    </row>
    <row r="1740" ht="15.75" customHeight="1">
      <c r="A1740" s="334"/>
      <c r="B1740" s="362"/>
      <c r="C1740" s="334"/>
      <c r="D1740" s="334"/>
      <c r="E1740" s="334"/>
      <c r="F1740" s="334"/>
      <c r="G1740" s="334"/>
      <c r="I1740" s="334"/>
      <c r="M1740" s="344"/>
      <c r="N1740" s="376"/>
    </row>
    <row r="1741" ht="15.75" customHeight="1">
      <c r="A1741" s="334"/>
      <c r="B1741" s="362"/>
      <c r="C1741" s="334"/>
      <c r="D1741" s="334"/>
      <c r="E1741" s="334"/>
      <c r="F1741" s="334"/>
      <c r="G1741" s="334"/>
      <c r="I1741" s="334"/>
      <c r="M1741" s="344"/>
      <c r="N1741" s="376"/>
    </row>
    <row r="1742" ht="15.75" customHeight="1">
      <c r="A1742" s="334"/>
      <c r="B1742" s="362"/>
      <c r="C1742" s="334"/>
      <c r="D1742" s="334"/>
      <c r="E1742" s="334"/>
      <c r="F1742" s="334"/>
      <c r="G1742" s="334"/>
      <c r="I1742" s="334"/>
      <c r="M1742" s="344"/>
      <c r="N1742" s="376"/>
    </row>
    <row r="1743" ht="15.75" customHeight="1">
      <c r="A1743" s="334"/>
      <c r="B1743" s="362"/>
      <c r="C1743" s="334"/>
      <c r="D1743" s="334"/>
      <c r="E1743" s="334"/>
      <c r="F1743" s="334"/>
      <c r="G1743" s="334"/>
      <c r="I1743" s="334"/>
      <c r="M1743" s="344"/>
      <c r="N1743" s="376"/>
    </row>
    <row r="1744" ht="15.75" customHeight="1">
      <c r="A1744" s="334"/>
      <c r="B1744" s="362"/>
      <c r="C1744" s="334"/>
      <c r="D1744" s="334"/>
      <c r="E1744" s="334"/>
      <c r="F1744" s="334"/>
      <c r="G1744" s="334"/>
      <c r="I1744" s="334"/>
      <c r="M1744" s="344"/>
      <c r="N1744" s="376"/>
    </row>
    <row r="1745" ht="15.75" customHeight="1">
      <c r="A1745" s="334"/>
      <c r="B1745" s="362"/>
      <c r="C1745" s="334"/>
      <c r="D1745" s="334"/>
      <c r="E1745" s="334"/>
      <c r="F1745" s="334"/>
      <c r="G1745" s="334"/>
      <c r="I1745" s="334"/>
      <c r="M1745" s="344"/>
      <c r="N1745" s="376"/>
    </row>
    <row r="1746" ht="15.75" customHeight="1">
      <c r="A1746" s="334"/>
      <c r="B1746" s="362"/>
      <c r="C1746" s="334"/>
      <c r="D1746" s="334"/>
      <c r="E1746" s="334"/>
      <c r="F1746" s="334"/>
      <c r="G1746" s="334"/>
      <c r="I1746" s="334"/>
      <c r="M1746" s="344"/>
      <c r="N1746" s="376"/>
    </row>
    <row r="1747" ht="15.75" customHeight="1">
      <c r="A1747" s="334"/>
      <c r="B1747" s="362"/>
      <c r="C1747" s="334"/>
      <c r="D1747" s="334"/>
      <c r="E1747" s="334"/>
      <c r="F1747" s="334"/>
      <c r="G1747" s="334"/>
      <c r="I1747" s="334"/>
      <c r="M1747" s="344"/>
      <c r="N1747" s="376"/>
    </row>
    <row r="1748" ht="15.75" customHeight="1">
      <c r="A1748" s="334"/>
      <c r="B1748" s="362"/>
      <c r="C1748" s="334"/>
      <c r="D1748" s="334"/>
      <c r="E1748" s="334"/>
      <c r="F1748" s="334"/>
      <c r="G1748" s="334"/>
      <c r="I1748" s="334"/>
      <c r="M1748" s="344"/>
      <c r="N1748" s="376"/>
    </row>
    <row r="1749" ht="15.75" customHeight="1">
      <c r="A1749" s="334"/>
      <c r="B1749" s="362"/>
      <c r="C1749" s="334"/>
      <c r="D1749" s="334"/>
      <c r="E1749" s="334"/>
      <c r="F1749" s="334"/>
      <c r="G1749" s="334"/>
      <c r="I1749" s="334"/>
      <c r="M1749" s="344"/>
      <c r="N1749" s="376"/>
    </row>
    <row r="1750" ht="15.75" customHeight="1">
      <c r="A1750" s="334"/>
      <c r="B1750" s="362"/>
      <c r="C1750" s="334"/>
      <c r="D1750" s="334"/>
      <c r="E1750" s="334"/>
      <c r="F1750" s="334"/>
      <c r="G1750" s="334"/>
      <c r="I1750" s="334"/>
      <c r="M1750" s="344"/>
      <c r="N1750" s="376"/>
    </row>
    <row r="1751" ht="15.75" customHeight="1">
      <c r="A1751" s="334"/>
      <c r="B1751" s="362"/>
      <c r="C1751" s="334"/>
      <c r="D1751" s="334"/>
      <c r="E1751" s="334"/>
      <c r="F1751" s="334"/>
      <c r="G1751" s="334"/>
      <c r="I1751" s="334"/>
      <c r="M1751" s="344"/>
      <c r="N1751" s="376"/>
    </row>
    <row r="1752" ht="15.75" customHeight="1">
      <c r="A1752" s="334"/>
      <c r="B1752" s="362"/>
      <c r="C1752" s="334"/>
      <c r="D1752" s="334"/>
      <c r="E1752" s="334"/>
      <c r="F1752" s="334"/>
      <c r="G1752" s="334"/>
      <c r="I1752" s="334"/>
      <c r="M1752" s="344"/>
      <c r="N1752" s="376"/>
    </row>
    <row r="1753" ht="15.75" customHeight="1">
      <c r="A1753" s="334"/>
      <c r="B1753" s="362"/>
      <c r="C1753" s="334"/>
      <c r="D1753" s="334"/>
      <c r="E1753" s="334"/>
      <c r="F1753" s="334"/>
      <c r="G1753" s="334"/>
      <c r="I1753" s="334"/>
      <c r="M1753" s="344"/>
      <c r="N1753" s="376"/>
    </row>
    <row r="1754" ht="15.75" customHeight="1">
      <c r="A1754" s="334"/>
      <c r="B1754" s="362"/>
      <c r="C1754" s="334"/>
      <c r="D1754" s="334"/>
      <c r="E1754" s="334"/>
      <c r="F1754" s="334"/>
      <c r="G1754" s="334"/>
      <c r="I1754" s="334"/>
      <c r="M1754" s="344"/>
      <c r="N1754" s="376"/>
    </row>
    <row r="1755" ht="15.75" customHeight="1">
      <c r="A1755" s="334"/>
      <c r="B1755" s="362"/>
      <c r="C1755" s="334"/>
      <c r="D1755" s="334"/>
      <c r="E1755" s="334"/>
      <c r="F1755" s="334"/>
      <c r="G1755" s="334"/>
      <c r="I1755" s="334"/>
      <c r="M1755" s="344"/>
      <c r="N1755" s="376"/>
    </row>
    <row r="1756" ht="15.75" customHeight="1">
      <c r="A1756" s="334"/>
      <c r="B1756" s="362"/>
      <c r="C1756" s="334"/>
      <c r="D1756" s="334"/>
      <c r="E1756" s="334"/>
      <c r="F1756" s="334"/>
      <c r="G1756" s="334"/>
      <c r="I1756" s="334"/>
      <c r="M1756" s="344"/>
      <c r="N1756" s="376"/>
    </row>
    <row r="1757" ht="15.75" customHeight="1">
      <c r="A1757" s="334"/>
      <c r="B1757" s="362"/>
      <c r="C1757" s="334"/>
      <c r="D1757" s="334"/>
      <c r="E1757" s="334"/>
      <c r="F1757" s="334"/>
      <c r="G1757" s="334"/>
      <c r="I1757" s="334"/>
      <c r="M1757" s="344"/>
      <c r="N1757" s="376"/>
    </row>
    <row r="1758" ht="15.75" customHeight="1">
      <c r="A1758" s="334"/>
      <c r="B1758" s="362"/>
      <c r="C1758" s="334"/>
      <c r="D1758" s="334"/>
      <c r="E1758" s="334"/>
      <c r="F1758" s="334"/>
      <c r="G1758" s="334"/>
      <c r="I1758" s="334"/>
      <c r="M1758" s="344"/>
      <c r="N1758" s="376"/>
    </row>
    <row r="1759" ht="15.75" customHeight="1">
      <c r="A1759" s="334"/>
      <c r="B1759" s="362"/>
      <c r="C1759" s="334"/>
      <c r="D1759" s="334"/>
      <c r="E1759" s="334"/>
      <c r="F1759" s="334"/>
      <c r="G1759" s="334"/>
      <c r="I1759" s="334"/>
      <c r="M1759" s="344"/>
      <c r="N1759" s="376"/>
    </row>
    <row r="1760" ht="15.75" customHeight="1">
      <c r="A1760" s="334"/>
      <c r="B1760" s="362"/>
      <c r="C1760" s="334"/>
      <c r="D1760" s="334"/>
      <c r="E1760" s="334"/>
      <c r="F1760" s="334"/>
      <c r="G1760" s="334"/>
      <c r="I1760" s="334"/>
      <c r="M1760" s="344"/>
      <c r="N1760" s="376"/>
    </row>
    <row r="1761" ht="15.75" customHeight="1">
      <c r="A1761" s="334"/>
      <c r="B1761" s="362"/>
      <c r="C1761" s="334"/>
      <c r="D1761" s="334"/>
      <c r="E1761" s="334"/>
      <c r="F1761" s="334"/>
      <c r="G1761" s="334"/>
      <c r="I1761" s="334"/>
      <c r="M1761" s="344"/>
      <c r="N1761" s="376"/>
    </row>
    <row r="1762" ht="15.75" customHeight="1">
      <c r="A1762" s="334"/>
      <c r="B1762" s="362"/>
      <c r="C1762" s="334"/>
      <c r="D1762" s="334"/>
      <c r="E1762" s="334"/>
      <c r="F1762" s="334"/>
      <c r="G1762" s="334"/>
      <c r="I1762" s="334"/>
      <c r="M1762" s="344"/>
      <c r="N1762" s="376"/>
    </row>
    <row r="1763" ht="15.75" customHeight="1">
      <c r="A1763" s="334"/>
      <c r="B1763" s="362"/>
      <c r="C1763" s="334"/>
      <c r="D1763" s="334"/>
      <c r="E1763" s="334"/>
      <c r="F1763" s="334"/>
      <c r="G1763" s="334"/>
      <c r="I1763" s="334"/>
      <c r="M1763" s="344"/>
      <c r="N1763" s="376"/>
    </row>
    <row r="1764" ht="15.75" customHeight="1">
      <c r="A1764" s="334"/>
      <c r="B1764" s="362"/>
      <c r="C1764" s="334"/>
      <c r="D1764" s="334"/>
      <c r="E1764" s="334"/>
      <c r="F1764" s="334"/>
      <c r="G1764" s="334"/>
      <c r="I1764" s="334"/>
      <c r="M1764" s="344"/>
      <c r="N1764" s="376"/>
    </row>
    <row r="1765" ht="15.75" customHeight="1">
      <c r="A1765" s="334"/>
      <c r="B1765" s="362"/>
      <c r="C1765" s="334"/>
      <c r="D1765" s="334"/>
      <c r="E1765" s="334"/>
      <c r="F1765" s="334"/>
      <c r="G1765" s="334"/>
      <c r="I1765" s="334"/>
      <c r="M1765" s="344"/>
      <c r="N1765" s="376"/>
    </row>
    <row r="1766" ht="15.75" customHeight="1">
      <c r="A1766" s="334"/>
      <c r="B1766" s="362"/>
      <c r="C1766" s="334"/>
      <c r="D1766" s="334"/>
      <c r="E1766" s="334"/>
      <c r="F1766" s="334"/>
      <c r="G1766" s="334"/>
      <c r="I1766" s="334"/>
      <c r="M1766" s="344"/>
      <c r="N1766" s="376"/>
    </row>
    <row r="1767" ht="15.75" customHeight="1">
      <c r="A1767" s="334"/>
      <c r="B1767" s="362"/>
      <c r="C1767" s="334"/>
      <c r="D1767" s="334"/>
      <c r="E1767" s="334"/>
      <c r="F1767" s="334"/>
      <c r="G1767" s="334"/>
      <c r="I1767" s="334"/>
      <c r="M1767" s="344"/>
      <c r="N1767" s="376"/>
    </row>
    <row r="1768" ht="15.75" customHeight="1">
      <c r="A1768" s="334"/>
      <c r="B1768" s="362"/>
      <c r="C1768" s="334"/>
      <c r="D1768" s="334"/>
      <c r="E1768" s="334"/>
      <c r="F1768" s="334"/>
      <c r="G1768" s="334"/>
      <c r="I1768" s="334"/>
      <c r="M1768" s="344"/>
      <c r="N1768" s="376"/>
    </row>
    <row r="1769" ht="15.75" customHeight="1">
      <c r="A1769" s="334"/>
      <c r="B1769" s="362"/>
      <c r="C1769" s="334"/>
      <c r="D1769" s="334"/>
      <c r="E1769" s="334"/>
      <c r="F1769" s="334"/>
      <c r="G1769" s="334"/>
      <c r="I1769" s="334"/>
      <c r="M1769" s="344"/>
      <c r="N1769" s="376"/>
    </row>
    <row r="1770" ht="15.75" customHeight="1">
      <c r="A1770" s="334"/>
      <c r="B1770" s="362"/>
      <c r="C1770" s="334"/>
      <c r="D1770" s="334"/>
      <c r="E1770" s="334"/>
      <c r="F1770" s="334"/>
      <c r="G1770" s="334"/>
      <c r="I1770" s="334"/>
      <c r="M1770" s="344"/>
      <c r="N1770" s="376"/>
    </row>
    <row r="1771" ht="15.75" customHeight="1">
      <c r="A1771" s="334"/>
      <c r="B1771" s="362"/>
      <c r="C1771" s="334"/>
      <c r="D1771" s="334"/>
      <c r="E1771" s="334"/>
      <c r="F1771" s="334"/>
      <c r="G1771" s="334"/>
      <c r="I1771" s="334"/>
      <c r="M1771" s="344"/>
      <c r="N1771" s="376"/>
    </row>
    <row r="1772" ht="15.75" customHeight="1">
      <c r="A1772" s="334"/>
      <c r="B1772" s="362"/>
      <c r="C1772" s="334"/>
      <c r="D1772" s="334"/>
      <c r="E1772" s="334"/>
      <c r="F1772" s="334"/>
      <c r="G1772" s="334"/>
      <c r="I1772" s="334"/>
      <c r="M1772" s="344"/>
      <c r="N1772" s="376"/>
    </row>
    <row r="1773" ht="15.75" customHeight="1">
      <c r="A1773" s="334"/>
      <c r="B1773" s="362"/>
      <c r="C1773" s="334"/>
      <c r="D1773" s="334"/>
      <c r="E1773" s="334"/>
      <c r="F1773" s="334"/>
      <c r="G1773" s="334"/>
      <c r="I1773" s="334"/>
      <c r="M1773" s="344"/>
      <c r="N1773" s="376"/>
    </row>
    <row r="1774" ht="15.75" customHeight="1">
      <c r="A1774" s="334"/>
      <c r="B1774" s="362"/>
      <c r="C1774" s="334"/>
      <c r="D1774" s="334"/>
      <c r="E1774" s="334"/>
      <c r="F1774" s="334"/>
      <c r="G1774" s="334"/>
      <c r="I1774" s="334"/>
      <c r="M1774" s="344"/>
      <c r="N1774" s="376"/>
    </row>
    <row r="1775" ht="15.75" customHeight="1">
      <c r="A1775" s="334"/>
      <c r="B1775" s="362"/>
      <c r="C1775" s="334"/>
      <c r="D1775" s="334"/>
      <c r="E1775" s="334"/>
      <c r="F1775" s="334"/>
      <c r="G1775" s="334"/>
      <c r="I1775" s="334"/>
      <c r="M1775" s="344"/>
      <c r="N1775" s="376"/>
    </row>
    <row r="1776" ht="15.75" customHeight="1">
      <c r="A1776" s="334"/>
      <c r="B1776" s="362"/>
      <c r="C1776" s="334"/>
      <c r="D1776" s="334"/>
      <c r="E1776" s="334"/>
      <c r="F1776" s="334"/>
      <c r="G1776" s="334"/>
      <c r="I1776" s="334"/>
      <c r="M1776" s="344"/>
      <c r="N1776" s="376"/>
    </row>
    <row r="1777" ht="15.75" customHeight="1">
      <c r="A1777" s="334"/>
      <c r="B1777" s="362"/>
      <c r="C1777" s="334"/>
      <c r="D1777" s="334"/>
      <c r="E1777" s="334"/>
      <c r="F1777" s="334"/>
      <c r="G1777" s="334"/>
      <c r="I1777" s="334"/>
      <c r="M1777" s="344"/>
      <c r="N1777" s="376"/>
    </row>
    <row r="1778" ht="15.75" customHeight="1">
      <c r="A1778" s="334"/>
      <c r="B1778" s="362"/>
      <c r="C1778" s="334"/>
      <c r="D1778" s="334"/>
      <c r="E1778" s="334"/>
      <c r="F1778" s="334"/>
      <c r="G1778" s="334"/>
      <c r="I1778" s="334"/>
      <c r="M1778" s="344"/>
      <c r="N1778" s="376"/>
    </row>
    <row r="1779" ht="15.75" customHeight="1">
      <c r="A1779" s="334"/>
      <c r="B1779" s="362"/>
      <c r="C1779" s="334"/>
      <c r="D1779" s="334"/>
      <c r="E1779" s="334"/>
      <c r="F1779" s="334"/>
      <c r="G1779" s="334"/>
      <c r="I1779" s="334"/>
      <c r="M1779" s="344"/>
      <c r="N1779" s="376"/>
    </row>
    <row r="1780" ht="15.75" customHeight="1">
      <c r="A1780" s="334"/>
      <c r="B1780" s="362"/>
      <c r="C1780" s="334"/>
      <c r="D1780" s="334"/>
      <c r="E1780" s="334"/>
      <c r="F1780" s="334"/>
      <c r="G1780" s="334"/>
      <c r="I1780" s="334"/>
      <c r="M1780" s="344"/>
      <c r="N1780" s="376"/>
    </row>
    <row r="1781" ht="15.75" customHeight="1">
      <c r="A1781" s="334"/>
      <c r="B1781" s="362"/>
      <c r="C1781" s="334"/>
      <c r="D1781" s="334"/>
      <c r="E1781" s="334"/>
      <c r="F1781" s="334"/>
      <c r="G1781" s="334"/>
      <c r="I1781" s="334"/>
      <c r="M1781" s="344"/>
      <c r="N1781" s="376"/>
    </row>
    <row r="1782" ht="15.75" customHeight="1">
      <c r="A1782" s="334"/>
      <c r="B1782" s="362"/>
      <c r="C1782" s="334"/>
      <c r="D1782" s="334"/>
      <c r="E1782" s="334"/>
      <c r="F1782" s="334"/>
      <c r="G1782" s="334"/>
      <c r="I1782" s="334"/>
      <c r="M1782" s="344"/>
      <c r="N1782" s="376"/>
    </row>
    <row r="1783" ht="15.75" customHeight="1">
      <c r="A1783" s="334"/>
      <c r="B1783" s="362"/>
      <c r="C1783" s="334"/>
      <c r="D1783" s="334"/>
      <c r="E1783" s="334"/>
      <c r="F1783" s="334"/>
      <c r="G1783" s="334"/>
      <c r="I1783" s="334"/>
      <c r="M1783" s="344"/>
      <c r="N1783" s="376"/>
    </row>
    <row r="1784" ht="15.75" customHeight="1">
      <c r="A1784" s="334"/>
      <c r="B1784" s="362"/>
      <c r="C1784" s="334"/>
      <c r="D1784" s="334"/>
      <c r="E1784" s="334"/>
      <c r="F1784" s="334"/>
      <c r="G1784" s="334"/>
      <c r="I1784" s="334"/>
      <c r="M1784" s="344"/>
      <c r="N1784" s="376"/>
    </row>
    <row r="1785" ht="15.75" customHeight="1">
      <c r="A1785" s="334"/>
      <c r="B1785" s="362"/>
      <c r="C1785" s="334"/>
      <c r="D1785" s="334"/>
      <c r="E1785" s="334"/>
      <c r="F1785" s="334"/>
      <c r="G1785" s="334"/>
      <c r="I1785" s="334"/>
      <c r="M1785" s="344"/>
      <c r="N1785" s="376"/>
    </row>
    <row r="1786" ht="15.75" customHeight="1">
      <c r="A1786" s="334"/>
      <c r="B1786" s="362"/>
      <c r="C1786" s="334"/>
      <c r="D1786" s="334"/>
      <c r="E1786" s="334"/>
      <c r="F1786" s="334"/>
      <c r="G1786" s="334"/>
      <c r="I1786" s="334"/>
      <c r="M1786" s="344"/>
      <c r="N1786" s="376"/>
    </row>
    <row r="1787" ht="15.75" customHeight="1">
      <c r="A1787" s="334"/>
      <c r="B1787" s="362"/>
      <c r="C1787" s="334"/>
      <c r="D1787" s="334"/>
      <c r="E1787" s="334"/>
      <c r="F1787" s="334"/>
      <c r="G1787" s="334"/>
      <c r="I1787" s="334"/>
      <c r="M1787" s="344"/>
      <c r="N1787" s="376"/>
    </row>
    <row r="1788" ht="15.75" customHeight="1">
      <c r="A1788" s="334"/>
      <c r="B1788" s="362"/>
      <c r="C1788" s="334"/>
      <c r="D1788" s="334"/>
      <c r="E1788" s="334"/>
      <c r="F1788" s="334"/>
      <c r="G1788" s="334"/>
      <c r="I1788" s="334"/>
      <c r="M1788" s="344"/>
      <c r="N1788" s="376"/>
    </row>
    <row r="1789" ht="15.75" customHeight="1">
      <c r="A1789" s="334"/>
      <c r="B1789" s="362"/>
      <c r="C1789" s="334"/>
      <c r="D1789" s="334"/>
      <c r="E1789" s="334"/>
      <c r="F1789" s="334"/>
      <c r="G1789" s="334"/>
      <c r="I1789" s="334"/>
      <c r="M1789" s="344"/>
      <c r="N1789" s="376"/>
    </row>
    <row r="1790" ht="15.75" customHeight="1">
      <c r="A1790" s="334"/>
      <c r="B1790" s="362"/>
      <c r="C1790" s="334"/>
      <c r="D1790" s="334"/>
      <c r="E1790" s="334"/>
      <c r="F1790" s="334"/>
      <c r="G1790" s="334"/>
      <c r="I1790" s="334"/>
      <c r="M1790" s="344"/>
      <c r="N1790" s="376"/>
    </row>
    <row r="1791" ht="15.75" customHeight="1">
      <c r="A1791" s="334"/>
      <c r="B1791" s="362"/>
      <c r="C1791" s="334"/>
      <c r="D1791" s="334"/>
      <c r="E1791" s="334"/>
      <c r="F1791" s="334"/>
      <c r="G1791" s="334"/>
      <c r="I1791" s="334"/>
      <c r="M1791" s="344"/>
      <c r="N1791" s="376"/>
    </row>
    <row r="1792" ht="15.75" customHeight="1">
      <c r="A1792" s="334"/>
      <c r="B1792" s="362"/>
      <c r="C1792" s="334"/>
      <c r="D1792" s="334"/>
      <c r="E1792" s="334"/>
      <c r="F1792" s="334"/>
      <c r="G1792" s="334"/>
      <c r="I1792" s="334"/>
      <c r="M1792" s="344"/>
      <c r="N1792" s="376"/>
    </row>
    <row r="1793" ht="15.75" customHeight="1">
      <c r="A1793" s="334"/>
      <c r="B1793" s="362"/>
      <c r="C1793" s="334"/>
      <c r="D1793" s="334"/>
      <c r="E1793" s="334"/>
      <c r="F1793" s="334"/>
      <c r="G1793" s="334"/>
      <c r="I1793" s="334"/>
      <c r="M1793" s="344"/>
      <c r="N1793" s="376"/>
    </row>
    <row r="1794" ht="15.75" customHeight="1">
      <c r="A1794" s="334"/>
      <c r="B1794" s="362"/>
      <c r="C1794" s="334"/>
      <c r="D1794" s="334"/>
      <c r="E1794" s="334"/>
      <c r="F1794" s="334"/>
      <c r="G1794" s="334"/>
      <c r="I1794" s="334"/>
      <c r="M1794" s="344"/>
      <c r="N1794" s="376"/>
    </row>
    <row r="1795" ht="15.75" customHeight="1">
      <c r="A1795" s="334"/>
      <c r="B1795" s="362"/>
      <c r="C1795" s="334"/>
      <c r="D1795" s="334"/>
      <c r="E1795" s="334"/>
      <c r="F1795" s="334"/>
      <c r="G1795" s="334"/>
      <c r="I1795" s="334"/>
      <c r="M1795" s="344"/>
      <c r="N1795" s="376"/>
    </row>
    <row r="1796" ht="15.75" customHeight="1">
      <c r="A1796" s="334"/>
      <c r="B1796" s="362"/>
      <c r="C1796" s="334"/>
      <c r="D1796" s="334"/>
      <c r="E1796" s="334"/>
      <c r="F1796" s="334"/>
      <c r="G1796" s="334"/>
      <c r="I1796" s="334"/>
      <c r="M1796" s="344"/>
      <c r="N1796" s="376"/>
    </row>
    <row r="1797" ht="15.75" customHeight="1">
      <c r="A1797" s="334"/>
      <c r="B1797" s="362"/>
      <c r="C1797" s="334"/>
      <c r="D1797" s="334"/>
      <c r="E1797" s="334"/>
      <c r="F1797" s="334"/>
      <c r="G1797" s="334"/>
      <c r="I1797" s="334"/>
      <c r="M1797" s="344"/>
      <c r="N1797" s="376"/>
    </row>
    <row r="1798" ht="15.75" customHeight="1">
      <c r="A1798" s="334"/>
      <c r="B1798" s="362"/>
      <c r="C1798" s="334"/>
      <c r="D1798" s="334"/>
      <c r="E1798" s="334"/>
      <c r="F1798" s="334"/>
      <c r="G1798" s="334"/>
      <c r="I1798" s="334"/>
      <c r="M1798" s="344"/>
      <c r="N1798" s="376"/>
    </row>
    <row r="1799" ht="15.75" customHeight="1">
      <c r="A1799" s="334"/>
      <c r="B1799" s="362"/>
      <c r="C1799" s="334"/>
      <c r="D1799" s="334"/>
      <c r="E1799" s="334"/>
      <c r="F1799" s="334"/>
      <c r="G1799" s="334"/>
      <c r="I1799" s="334"/>
      <c r="M1799" s="344"/>
      <c r="N1799" s="376"/>
    </row>
    <row r="1800" ht="15.75" customHeight="1">
      <c r="A1800" s="334"/>
      <c r="B1800" s="362"/>
      <c r="C1800" s="334"/>
      <c r="D1800" s="334"/>
      <c r="E1800" s="334"/>
      <c r="F1800" s="334"/>
      <c r="G1800" s="334"/>
      <c r="I1800" s="334"/>
      <c r="M1800" s="344"/>
      <c r="N1800" s="376"/>
    </row>
    <row r="1801" ht="15.75" customHeight="1">
      <c r="A1801" s="334"/>
      <c r="B1801" s="362"/>
      <c r="C1801" s="334"/>
      <c r="D1801" s="334"/>
      <c r="E1801" s="334"/>
      <c r="F1801" s="334"/>
      <c r="G1801" s="334"/>
      <c r="I1801" s="334"/>
      <c r="M1801" s="344"/>
      <c r="N1801" s="376"/>
    </row>
    <row r="1802" ht="15.75" customHeight="1">
      <c r="A1802" s="334"/>
      <c r="B1802" s="362"/>
      <c r="C1802" s="334"/>
      <c r="D1802" s="334"/>
      <c r="E1802" s="334"/>
      <c r="F1802" s="334"/>
      <c r="G1802" s="334"/>
      <c r="I1802" s="334"/>
      <c r="M1802" s="344"/>
      <c r="N1802" s="376"/>
    </row>
    <row r="1803" ht="15.75" customHeight="1">
      <c r="A1803" s="334"/>
      <c r="B1803" s="362"/>
      <c r="C1803" s="334"/>
      <c r="D1803" s="334"/>
      <c r="E1803" s="334"/>
      <c r="F1803" s="334"/>
      <c r="G1803" s="334"/>
      <c r="I1803" s="334"/>
      <c r="M1803" s="344"/>
      <c r="N1803" s="376"/>
    </row>
    <row r="1804" ht="15.75" customHeight="1">
      <c r="A1804" s="334"/>
      <c r="B1804" s="362"/>
      <c r="C1804" s="334"/>
      <c r="D1804" s="334"/>
      <c r="E1804" s="334"/>
      <c r="F1804" s="334"/>
      <c r="G1804" s="334"/>
      <c r="I1804" s="334"/>
      <c r="M1804" s="344"/>
      <c r="N1804" s="376"/>
    </row>
    <row r="1805" ht="15.75" customHeight="1">
      <c r="A1805" s="334"/>
      <c r="B1805" s="362"/>
      <c r="C1805" s="334"/>
      <c r="D1805" s="334"/>
      <c r="E1805" s="334"/>
      <c r="F1805" s="334"/>
      <c r="G1805" s="334"/>
      <c r="I1805" s="334"/>
      <c r="M1805" s="344"/>
      <c r="N1805" s="376"/>
    </row>
    <row r="1806" ht="15.75" customHeight="1">
      <c r="A1806" s="334"/>
      <c r="B1806" s="362"/>
      <c r="C1806" s="334"/>
      <c r="D1806" s="334"/>
      <c r="E1806" s="334"/>
      <c r="F1806" s="334"/>
      <c r="G1806" s="334"/>
      <c r="I1806" s="334"/>
      <c r="M1806" s="344"/>
      <c r="N1806" s="376"/>
    </row>
    <row r="1807" ht="15.75" customHeight="1">
      <c r="A1807" s="334"/>
      <c r="B1807" s="362"/>
      <c r="C1807" s="334"/>
      <c r="D1807" s="334"/>
      <c r="E1807" s="334"/>
      <c r="F1807" s="334"/>
      <c r="G1807" s="334"/>
      <c r="I1807" s="334"/>
      <c r="M1807" s="344"/>
      <c r="N1807" s="376"/>
    </row>
    <row r="1808" ht="15.75" customHeight="1">
      <c r="A1808" s="334"/>
      <c r="B1808" s="362"/>
      <c r="C1808" s="334"/>
      <c r="D1808" s="334"/>
      <c r="E1808" s="334"/>
      <c r="F1808" s="334"/>
      <c r="G1808" s="334"/>
      <c r="I1808" s="334"/>
      <c r="M1808" s="344"/>
      <c r="N1808" s="376"/>
    </row>
    <row r="1809" ht="15.75" customHeight="1">
      <c r="A1809" s="334"/>
      <c r="B1809" s="362"/>
      <c r="C1809" s="334"/>
      <c r="D1809" s="334"/>
      <c r="E1809" s="334"/>
      <c r="F1809" s="334"/>
      <c r="G1809" s="334"/>
      <c r="I1809" s="334"/>
      <c r="M1809" s="344"/>
      <c r="N1809" s="376"/>
    </row>
    <row r="1810" ht="15.75" customHeight="1">
      <c r="A1810" s="334"/>
      <c r="B1810" s="362"/>
      <c r="C1810" s="334"/>
      <c r="D1810" s="334"/>
      <c r="E1810" s="334"/>
      <c r="F1810" s="334"/>
      <c r="G1810" s="334"/>
      <c r="I1810" s="334"/>
      <c r="M1810" s="344"/>
      <c r="N1810" s="376"/>
    </row>
    <row r="1811" ht="15.75" customHeight="1">
      <c r="A1811" s="334"/>
      <c r="B1811" s="362"/>
      <c r="C1811" s="334"/>
      <c r="D1811" s="334"/>
      <c r="E1811" s="334"/>
      <c r="F1811" s="334"/>
      <c r="G1811" s="334"/>
      <c r="I1811" s="334"/>
      <c r="M1811" s="344"/>
      <c r="N1811" s="376"/>
    </row>
    <row r="1812" ht="15.75" customHeight="1">
      <c r="A1812" s="334"/>
      <c r="B1812" s="362"/>
      <c r="C1812" s="334"/>
      <c r="D1812" s="334"/>
      <c r="E1812" s="334"/>
      <c r="F1812" s="334"/>
      <c r="G1812" s="334"/>
      <c r="I1812" s="334"/>
      <c r="M1812" s="344"/>
      <c r="N1812" s="376"/>
    </row>
    <row r="1813" ht="15.75" customHeight="1">
      <c r="A1813" s="334"/>
      <c r="B1813" s="362"/>
      <c r="C1813" s="334"/>
      <c r="D1813" s="334"/>
      <c r="E1813" s="334"/>
      <c r="F1813" s="334"/>
      <c r="G1813" s="334"/>
      <c r="I1813" s="334"/>
      <c r="M1813" s="344"/>
      <c r="N1813" s="376"/>
    </row>
    <row r="1814" ht="15.75" customHeight="1">
      <c r="A1814" s="334"/>
      <c r="B1814" s="362"/>
      <c r="C1814" s="334"/>
      <c r="D1814" s="334"/>
      <c r="E1814" s="334"/>
      <c r="F1814" s="334"/>
      <c r="G1814" s="334"/>
      <c r="I1814" s="334"/>
      <c r="M1814" s="344"/>
      <c r="N1814" s="376"/>
    </row>
    <row r="1815" ht="15.75" customHeight="1">
      <c r="A1815" s="334"/>
      <c r="B1815" s="362"/>
      <c r="C1815" s="334"/>
      <c r="D1815" s="334"/>
      <c r="E1815" s="334"/>
      <c r="F1815" s="334"/>
      <c r="G1815" s="334"/>
      <c r="I1815" s="334"/>
      <c r="M1815" s="344"/>
      <c r="N1815" s="376"/>
    </row>
    <row r="1816" ht="15.75" customHeight="1">
      <c r="A1816" s="334"/>
      <c r="B1816" s="362"/>
      <c r="C1816" s="334"/>
      <c r="D1816" s="334"/>
      <c r="E1816" s="334"/>
      <c r="F1816" s="334"/>
      <c r="G1816" s="334"/>
      <c r="I1816" s="334"/>
      <c r="M1816" s="344"/>
      <c r="N1816" s="376"/>
    </row>
    <row r="1817" ht="15.75" customHeight="1">
      <c r="A1817" s="334"/>
      <c r="B1817" s="362"/>
      <c r="C1817" s="334"/>
      <c r="D1817" s="334"/>
      <c r="E1817" s="334"/>
      <c r="F1817" s="334"/>
      <c r="G1817" s="334"/>
      <c r="I1817" s="334"/>
      <c r="M1817" s="344"/>
      <c r="N1817" s="376"/>
    </row>
    <row r="1818" ht="15.75" customHeight="1">
      <c r="A1818" s="334"/>
      <c r="B1818" s="362"/>
      <c r="C1818" s="334"/>
      <c r="D1818" s="334"/>
      <c r="E1818" s="334"/>
      <c r="F1818" s="334"/>
      <c r="G1818" s="334"/>
      <c r="I1818" s="334"/>
      <c r="M1818" s="344"/>
      <c r="N1818" s="376"/>
    </row>
    <row r="1819" ht="15.75" customHeight="1">
      <c r="A1819" s="334"/>
      <c r="B1819" s="362"/>
      <c r="C1819" s="334"/>
      <c r="D1819" s="334"/>
      <c r="E1819" s="334"/>
      <c r="F1819" s="334"/>
      <c r="G1819" s="334"/>
      <c r="I1819" s="334"/>
      <c r="M1819" s="344"/>
      <c r="N1819" s="376"/>
    </row>
    <row r="1820" ht="15.75" customHeight="1">
      <c r="A1820" s="334"/>
      <c r="B1820" s="362"/>
      <c r="C1820" s="334"/>
      <c r="D1820" s="334"/>
      <c r="E1820" s="334"/>
      <c r="F1820" s="334"/>
      <c r="G1820" s="334"/>
      <c r="I1820" s="334"/>
      <c r="M1820" s="344"/>
      <c r="N1820" s="376"/>
    </row>
    <row r="1821" ht="15.75" customHeight="1">
      <c r="A1821" s="334"/>
      <c r="B1821" s="362"/>
      <c r="C1821" s="334"/>
      <c r="D1821" s="334"/>
      <c r="E1821" s="334"/>
      <c r="F1821" s="334"/>
      <c r="G1821" s="334"/>
      <c r="I1821" s="334"/>
      <c r="M1821" s="344"/>
      <c r="N1821" s="376"/>
    </row>
    <row r="1822" ht="15.75" customHeight="1">
      <c r="A1822" s="334"/>
      <c r="B1822" s="362"/>
      <c r="C1822" s="334"/>
      <c r="D1822" s="334"/>
      <c r="E1822" s="334"/>
      <c r="F1822" s="334"/>
      <c r="G1822" s="334"/>
      <c r="I1822" s="334"/>
      <c r="M1822" s="344"/>
      <c r="N1822" s="376"/>
    </row>
    <row r="1823" ht="15.75" customHeight="1">
      <c r="A1823" s="334"/>
      <c r="B1823" s="362"/>
      <c r="C1823" s="334"/>
      <c r="D1823" s="334"/>
      <c r="E1823" s="334"/>
      <c r="F1823" s="334"/>
      <c r="G1823" s="334"/>
      <c r="I1823" s="334"/>
      <c r="M1823" s="344"/>
      <c r="N1823" s="376"/>
    </row>
    <row r="1824" ht="15.75" customHeight="1">
      <c r="A1824" s="334"/>
      <c r="B1824" s="362"/>
      <c r="C1824" s="334"/>
      <c r="D1824" s="334"/>
      <c r="E1824" s="334"/>
      <c r="F1824" s="334"/>
      <c r="G1824" s="334"/>
      <c r="I1824" s="334"/>
      <c r="M1824" s="344"/>
      <c r="N1824" s="376"/>
    </row>
    <row r="1825" ht="15.75" customHeight="1">
      <c r="A1825" s="334"/>
      <c r="B1825" s="362"/>
      <c r="C1825" s="334"/>
      <c r="D1825" s="334"/>
      <c r="E1825" s="334"/>
      <c r="F1825" s="334"/>
      <c r="G1825" s="334"/>
      <c r="I1825" s="334"/>
      <c r="M1825" s="344"/>
      <c r="N1825" s="376"/>
    </row>
    <row r="1826" ht="15.75" customHeight="1">
      <c r="A1826" s="334"/>
      <c r="B1826" s="362"/>
      <c r="C1826" s="334"/>
      <c r="D1826" s="334"/>
      <c r="E1826" s="334"/>
      <c r="F1826" s="334"/>
      <c r="G1826" s="334"/>
      <c r="I1826" s="334"/>
      <c r="M1826" s="344"/>
      <c r="N1826" s="376"/>
    </row>
    <row r="1827" ht="15.75" customHeight="1">
      <c r="A1827" s="334"/>
      <c r="B1827" s="362"/>
      <c r="C1827" s="334"/>
      <c r="D1827" s="334"/>
      <c r="E1827" s="334"/>
      <c r="F1827" s="334"/>
      <c r="G1827" s="334"/>
      <c r="I1827" s="334"/>
      <c r="M1827" s="344"/>
      <c r="N1827" s="376"/>
    </row>
    <row r="1828" ht="15.75" customHeight="1">
      <c r="A1828" s="334"/>
      <c r="B1828" s="362"/>
      <c r="C1828" s="334"/>
      <c r="D1828" s="334"/>
      <c r="E1828" s="334"/>
      <c r="F1828" s="334"/>
      <c r="G1828" s="334"/>
      <c r="I1828" s="334"/>
      <c r="M1828" s="344"/>
      <c r="N1828" s="376"/>
    </row>
    <row r="1829" ht="15.75" customHeight="1">
      <c r="A1829" s="334"/>
      <c r="B1829" s="362"/>
      <c r="C1829" s="334"/>
      <c r="D1829" s="334"/>
      <c r="E1829" s="334"/>
      <c r="F1829" s="334"/>
      <c r="G1829" s="334"/>
      <c r="I1829" s="334"/>
      <c r="M1829" s="344"/>
      <c r="N1829" s="376"/>
    </row>
    <row r="1830" ht="15.75" customHeight="1">
      <c r="A1830" s="334"/>
      <c r="B1830" s="362"/>
      <c r="C1830" s="334"/>
      <c r="D1830" s="334"/>
      <c r="E1830" s="334"/>
      <c r="F1830" s="334"/>
      <c r="G1830" s="334"/>
      <c r="I1830" s="334"/>
      <c r="M1830" s="344"/>
      <c r="N1830" s="376"/>
    </row>
    <row r="1831" ht="15.75" customHeight="1">
      <c r="A1831" s="334"/>
      <c r="B1831" s="362"/>
      <c r="C1831" s="334"/>
      <c r="D1831" s="334"/>
      <c r="E1831" s="334"/>
      <c r="F1831" s="334"/>
      <c r="G1831" s="334"/>
      <c r="I1831" s="334"/>
      <c r="M1831" s="344"/>
      <c r="N1831" s="376"/>
    </row>
    <row r="1832" ht="15.75" customHeight="1">
      <c r="A1832" s="334"/>
      <c r="B1832" s="362"/>
      <c r="C1832" s="334"/>
      <c r="D1832" s="334"/>
      <c r="E1832" s="334"/>
      <c r="F1832" s="334"/>
      <c r="G1832" s="334"/>
      <c r="I1832" s="334"/>
      <c r="M1832" s="344"/>
      <c r="N1832" s="376"/>
    </row>
    <row r="1833" ht="15.75" customHeight="1">
      <c r="A1833" s="334"/>
      <c r="B1833" s="362"/>
      <c r="C1833" s="334"/>
      <c r="D1833" s="334"/>
      <c r="E1833" s="334"/>
      <c r="F1833" s="334"/>
      <c r="G1833" s="334"/>
      <c r="I1833" s="334"/>
      <c r="M1833" s="344"/>
      <c r="N1833" s="376"/>
    </row>
    <row r="1834" ht="15.75" customHeight="1">
      <c r="A1834" s="334"/>
      <c r="B1834" s="362"/>
      <c r="C1834" s="334"/>
      <c r="D1834" s="334"/>
      <c r="E1834" s="334"/>
      <c r="F1834" s="334"/>
      <c r="G1834" s="334"/>
      <c r="I1834" s="334"/>
      <c r="M1834" s="344"/>
      <c r="N1834" s="376"/>
    </row>
    <row r="1835" ht="15.75" customHeight="1">
      <c r="A1835" s="334"/>
      <c r="B1835" s="362"/>
      <c r="C1835" s="334"/>
      <c r="D1835" s="334"/>
      <c r="E1835" s="334"/>
      <c r="F1835" s="334"/>
      <c r="G1835" s="334"/>
      <c r="I1835" s="334"/>
      <c r="M1835" s="344"/>
      <c r="N1835" s="376"/>
    </row>
    <row r="1836" ht="15.75" customHeight="1">
      <c r="A1836" s="334"/>
      <c r="B1836" s="362"/>
      <c r="C1836" s="334"/>
      <c r="D1836" s="334"/>
      <c r="E1836" s="334"/>
      <c r="F1836" s="334"/>
      <c r="G1836" s="334"/>
      <c r="I1836" s="334"/>
      <c r="M1836" s="344"/>
      <c r="N1836" s="376"/>
    </row>
    <row r="1837" ht="15.75" customHeight="1">
      <c r="A1837" s="334"/>
      <c r="B1837" s="362"/>
      <c r="C1837" s="334"/>
      <c r="D1837" s="334"/>
      <c r="E1837" s="334"/>
      <c r="F1837" s="334"/>
      <c r="G1837" s="334"/>
      <c r="I1837" s="334"/>
      <c r="M1837" s="344"/>
      <c r="N1837" s="376"/>
    </row>
    <row r="1838" ht="15.75" customHeight="1">
      <c r="A1838" s="334"/>
      <c r="B1838" s="362"/>
      <c r="C1838" s="334"/>
      <c r="D1838" s="334"/>
      <c r="E1838" s="334"/>
      <c r="F1838" s="334"/>
      <c r="G1838" s="334"/>
      <c r="I1838" s="334"/>
      <c r="M1838" s="344"/>
      <c r="N1838" s="376"/>
    </row>
    <row r="1839" ht="15.75" customHeight="1">
      <c r="A1839" s="334"/>
      <c r="B1839" s="362"/>
      <c r="C1839" s="334"/>
      <c r="D1839" s="334"/>
      <c r="E1839" s="334"/>
      <c r="F1839" s="334"/>
      <c r="G1839" s="334"/>
      <c r="I1839" s="334"/>
      <c r="M1839" s="344"/>
      <c r="N1839" s="376"/>
    </row>
    <row r="1840" ht="15.75" customHeight="1">
      <c r="A1840" s="334"/>
      <c r="B1840" s="362"/>
      <c r="C1840" s="334"/>
      <c r="D1840" s="334"/>
      <c r="E1840" s="334"/>
      <c r="F1840" s="334"/>
      <c r="G1840" s="334"/>
      <c r="I1840" s="334"/>
      <c r="M1840" s="344"/>
      <c r="N1840" s="376"/>
    </row>
    <row r="1841" ht="15.75" customHeight="1">
      <c r="A1841" s="334"/>
      <c r="B1841" s="362"/>
      <c r="C1841" s="334"/>
      <c r="D1841" s="334"/>
      <c r="E1841" s="334"/>
      <c r="F1841" s="334"/>
      <c r="G1841" s="334"/>
      <c r="I1841" s="334"/>
      <c r="M1841" s="344"/>
      <c r="N1841" s="376"/>
    </row>
    <row r="1842" ht="15.75" customHeight="1">
      <c r="A1842" s="334"/>
      <c r="B1842" s="362"/>
      <c r="C1842" s="334"/>
      <c r="D1842" s="334"/>
      <c r="E1842" s="334"/>
      <c r="F1842" s="334"/>
      <c r="G1842" s="334"/>
      <c r="I1842" s="334"/>
      <c r="M1842" s="344"/>
      <c r="N1842" s="376"/>
    </row>
    <row r="1843" ht="15.75" customHeight="1">
      <c r="A1843" s="334"/>
      <c r="B1843" s="362"/>
      <c r="C1843" s="334"/>
      <c r="D1843" s="334"/>
      <c r="E1843" s="334"/>
      <c r="F1843" s="334"/>
      <c r="G1843" s="334"/>
      <c r="I1843" s="334"/>
      <c r="M1843" s="344"/>
      <c r="N1843" s="376"/>
    </row>
    <row r="1844" ht="15.75" customHeight="1">
      <c r="A1844" s="334"/>
      <c r="B1844" s="362"/>
      <c r="C1844" s="334"/>
      <c r="D1844" s="334"/>
      <c r="E1844" s="334"/>
      <c r="F1844" s="334"/>
      <c r="G1844" s="334"/>
      <c r="I1844" s="334"/>
      <c r="M1844" s="344"/>
      <c r="N1844" s="376"/>
    </row>
    <row r="1845" ht="15.75" customHeight="1">
      <c r="A1845" s="334"/>
      <c r="B1845" s="362"/>
      <c r="C1845" s="334"/>
      <c r="D1845" s="334"/>
      <c r="E1845" s="334"/>
      <c r="F1845" s="334"/>
      <c r="G1845" s="334"/>
      <c r="I1845" s="334"/>
      <c r="M1845" s="344"/>
      <c r="N1845" s="376"/>
    </row>
    <row r="1846" ht="15.75" customHeight="1">
      <c r="A1846" s="334"/>
      <c r="B1846" s="362"/>
      <c r="C1846" s="334"/>
      <c r="D1846" s="334"/>
      <c r="E1846" s="334"/>
      <c r="F1846" s="334"/>
      <c r="G1846" s="334"/>
      <c r="I1846" s="334"/>
      <c r="M1846" s="344"/>
      <c r="N1846" s="376"/>
    </row>
    <row r="1847" ht="15.75" customHeight="1">
      <c r="A1847" s="334"/>
      <c r="B1847" s="362"/>
      <c r="C1847" s="334"/>
      <c r="D1847" s="334"/>
      <c r="E1847" s="334"/>
      <c r="F1847" s="334"/>
      <c r="G1847" s="334"/>
      <c r="I1847" s="334"/>
      <c r="M1847" s="344"/>
      <c r="N1847" s="376"/>
    </row>
    <row r="1848" ht="15.75" customHeight="1">
      <c r="A1848" s="334"/>
      <c r="B1848" s="362"/>
      <c r="C1848" s="334"/>
      <c r="D1848" s="334"/>
      <c r="E1848" s="334"/>
      <c r="F1848" s="334"/>
      <c r="G1848" s="334"/>
      <c r="I1848" s="334"/>
      <c r="M1848" s="344"/>
      <c r="N1848" s="376"/>
    </row>
    <row r="1849" ht="15.75" customHeight="1">
      <c r="A1849" s="334"/>
      <c r="B1849" s="362"/>
      <c r="C1849" s="334"/>
      <c r="D1849" s="334"/>
      <c r="E1849" s="334"/>
      <c r="F1849" s="334"/>
      <c r="G1849" s="334"/>
      <c r="I1849" s="334"/>
      <c r="M1849" s="344"/>
      <c r="N1849" s="376"/>
    </row>
    <row r="1850" ht="15.75" customHeight="1">
      <c r="A1850" s="334"/>
      <c r="B1850" s="362"/>
      <c r="C1850" s="334"/>
      <c r="D1850" s="334"/>
      <c r="E1850" s="334"/>
      <c r="F1850" s="334"/>
      <c r="G1850" s="334"/>
      <c r="I1850" s="334"/>
      <c r="M1850" s="344"/>
      <c r="N1850" s="376"/>
    </row>
    <row r="1851" ht="15.75" customHeight="1">
      <c r="A1851" s="334"/>
      <c r="B1851" s="362"/>
      <c r="C1851" s="334"/>
      <c r="D1851" s="334"/>
      <c r="E1851" s="334"/>
      <c r="F1851" s="334"/>
      <c r="G1851" s="334"/>
      <c r="I1851" s="334"/>
      <c r="M1851" s="344"/>
      <c r="N1851" s="376"/>
    </row>
    <row r="1852" ht="15.75" customHeight="1">
      <c r="A1852" s="334"/>
      <c r="B1852" s="362"/>
      <c r="C1852" s="334"/>
      <c r="D1852" s="334"/>
      <c r="E1852" s="334"/>
      <c r="F1852" s="334"/>
      <c r="G1852" s="334"/>
      <c r="I1852" s="334"/>
      <c r="M1852" s="344"/>
      <c r="N1852" s="376"/>
    </row>
    <row r="1853" ht="15.75" customHeight="1">
      <c r="A1853" s="334"/>
      <c r="B1853" s="362"/>
      <c r="C1853" s="334"/>
      <c r="D1853" s="334"/>
      <c r="E1853" s="334"/>
      <c r="F1853" s="334"/>
      <c r="G1853" s="334"/>
      <c r="I1853" s="334"/>
      <c r="M1853" s="344"/>
      <c r="N1853" s="376"/>
    </row>
    <row r="1854" ht="15.75" customHeight="1">
      <c r="A1854" s="334"/>
      <c r="B1854" s="362"/>
      <c r="C1854" s="334"/>
      <c r="D1854" s="334"/>
      <c r="E1854" s="334"/>
      <c r="F1854" s="334"/>
      <c r="G1854" s="334"/>
      <c r="I1854" s="334"/>
      <c r="M1854" s="344"/>
      <c r="N1854" s="376"/>
    </row>
    <row r="1855" ht="15.75" customHeight="1">
      <c r="A1855" s="334"/>
      <c r="B1855" s="362"/>
      <c r="C1855" s="334"/>
      <c r="D1855" s="334"/>
      <c r="E1855" s="334"/>
      <c r="F1855" s="334"/>
      <c r="G1855" s="334"/>
      <c r="I1855" s="334"/>
      <c r="M1855" s="344"/>
      <c r="N1855" s="376"/>
    </row>
    <row r="1856" ht="15.75" customHeight="1">
      <c r="A1856" s="334"/>
      <c r="B1856" s="362"/>
      <c r="C1856" s="334"/>
      <c r="D1856" s="334"/>
      <c r="E1856" s="334"/>
      <c r="F1856" s="334"/>
      <c r="G1856" s="334"/>
      <c r="I1856" s="334"/>
      <c r="M1856" s="344"/>
      <c r="N1856" s="376"/>
    </row>
    <row r="1857" ht="15.75" customHeight="1">
      <c r="A1857" s="334"/>
      <c r="B1857" s="362"/>
      <c r="C1857" s="334"/>
      <c r="D1857" s="334"/>
      <c r="E1857" s="334"/>
      <c r="F1857" s="334"/>
      <c r="G1857" s="334"/>
      <c r="I1857" s="334"/>
      <c r="M1857" s="344"/>
      <c r="N1857" s="376"/>
    </row>
    <row r="1858" ht="15.75" customHeight="1">
      <c r="A1858" s="334"/>
      <c r="B1858" s="362"/>
      <c r="C1858" s="334"/>
      <c r="D1858" s="334"/>
      <c r="E1858" s="334"/>
      <c r="F1858" s="334"/>
      <c r="G1858" s="334"/>
      <c r="I1858" s="334"/>
      <c r="M1858" s="344"/>
      <c r="N1858" s="376"/>
    </row>
    <row r="1859" ht="15.75" customHeight="1">
      <c r="A1859" s="334"/>
      <c r="B1859" s="362"/>
      <c r="C1859" s="334"/>
      <c r="D1859" s="334"/>
      <c r="E1859" s="334"/>
      <c r="F1859" s="334"/>
      <c r="G1859" s="334"/>
      <c r="I1859" s="334"/>
      <c r="M1859" s="344"/>
      <c r="N1859" s="376"/>
    </row>
    <row r="1860" ht="15.75" customHeight="1">
      <c r="A1860" s="334"/>
      <c r="B1860" s="362"/>
      <c r="C1860" s="334"/>
      <c r="D1860" s="334"/>
      <c r="E1860" s="334"/>
      <c r="F1860" s="334"/>
      <c r="G1860" s="334"/>
      <c r="I1860" s="334"/>
      <c r="M1860" s="344"/>
      <c r="N1860" s="376"/>
    </row>
    <row r="1861" ht="15.75" customHeight="1">
      <c r="A1861" s="334"/>
      <c r="B1861" s="362"/>
      <c r="C1861" s="334"/>
      <c r="D1861" s="334"/>
      <c r="E1861" s="334"/>
      <c r="F1861" s="334"/>
      <c r="G1861" s="334"/>
      <c r="I1861" s="334"/>
      <c r="M1861" s="344"/>
      <c r="N1861" s="376"/>
    </row>
    <row r="1862" ht="15.75" customHeight="1">
      <c r="A1862" s="334"/>
      <c r="B1862" s="362"/>
      <c r="C1862" s="334"/>
      <c r="D1862" s="334"/>
      <c r="E1862" s="334"/>
      <c r="F1862" s="334"/>
      <c r="G1862" s="334"/>
      <c r="I1862" s="334"/>
      <c r="M1862" s="344"/>
      <c r="N1862" s="376"/>
    </row>
    <row r="1863" ht="15.75" customHeight="1">
      <c r="A1863" s="334"/>
      <c r="B1863" s="362"/>
      <c r="C1863" s="334"/>
      <c r="D1863" s="334"/>
      <c r="E1863" s="334"/>
      <c r="F1863" s="334"/>
      <c r="G1863" s="334"/>
      <c r="I1863" s="334"/>
      <c r="M1863" s="344"/>
      <c r="N1863" s="376"/>
    </row>
    <row r="1864" ht="15.75" customHeight="1">
      <c r="A1864" s="334"/>
      <c r="B1864" s="362"/>
      <c r="C1864" s="334"/>
      <c r="D1864" s="334"/>
      <c r="E1864" s="334"/>
      <c r="F1864" s="334"/>
      <c r="G1864" s="334"/>
      <c r="I1864" s="334"/>
      <c r="M1864" s="344"/>
      <c r="N1864" s="376"/>
    </row>
    <row r="1865" ht="15.75" customHeight="1">
      <c r="A1865" s="334"/>
      <c r="B1865" s="362"/>
      <c r="C1865" s="334"/>
      <c r="D1865" s="334"/>
      <c r="E1865" s="334"/>
      <c r="F1865" s="334"/>
      <c r="G1865" s="334"/>
      <c r="I1865" s="334"/>
      <c r="M1865" s="344"/>
      <c r="N1865" s="376"/>
    </row>
    <row r="1866" ht="15.75" customHeight="1">
      <c r="A1866" s="334"/>
      <c r="B1866" s="362"/>
      <c r="C1866" s="334"/>
      <c r="D1866" s="334"/>
      <c r="E1866" s="334"/>
      <c r="F1866" s="334"/>
      <c r="G1866" s="334"/>
      <c r="I1866" s="334"/>
      <c r="M1866" s="344"/>
      <c r="N1866" s="376"/>
    </row>
    <row r="1867" ht="15.75" customHeight="1">
      <c r="A1867" s="334"/>
      <c r="B1867" s="362"/>
      <c r="C1867" s="334"/>
      <c r="D1867" s="334"/>
      <c r="E1867" s="334"/>
      <c r="F1867" s="334"/>
      <c r="G1867" s="334"/>
      <c r="I1867" s="334"/>
      <c r="M1867" s="344"/>
      <c r="N1867" s="376"/>
    </row>
    <row r="1868" ht="15.75" customHeight="1">
      <c r="A1868" s="334"/>
      <c r="B1868" s="362"/>
      <c r="C1868" s="334"/>
      <c r="D1868" s="334"/>
      <c r="E1868" s="334"/>
      <c r="F1868" s="334"/>
      <c r="G1868" s="334"/>
      <c r="I1868" s="334"/>
      <c r="M1868" s="344"/>
      <c r="N1868" s="376"/>
    </row>
    <row r="1869" ht="15.75" customHeight="1">
      <c r="A1869" s="334"/>
      <c r="B1869" s="362"/>
      <c r="C1869" s="334"/>
      <c r="D1869" s="334"/>
      <c r="E1869" s="334"/>
      <c r="F1869" s="334"/>
      <c r="G1869" s="334"/>
      <c r="I1869" s="334"/>
      <c r="M1869" s="344"/>
      <c r="N1869" s="376"/>
    </row>
    <row r="1870" ht="15.75" customHeight="1">
      <c r="A1870" s="334"/>
      <c r="B1870" s="362"/>
      <c r="C1870" s="334"/>
      <c r="D1870" s="334"/>
      <c r="E1870" s="334"/>
      <c r="F1870" s="334"/>
      <c r="G1870" s="334"/>
      <c r="I1870" s="334"/>
      <c r="M1870" s="344"/>
      <c r="N1870" s="376"/>
    </row>
    <row r="1871" ht="15.75" customHeight="1">
      <c r="A1871" s="334"/>
      <c r="B1871" s="362"/>
      <c r="C1871" s="334"/>
      <c r="D1871" s="334"/>
      <c r="E1871" s="334"/>
      <c r="F1871" s="334"/>
      <c r="G1871" s="334"/>
      <c r="I1871" s="334"/>
      <c r="M1871" s="344"/>
      <c r="N1871" s="376"/>
    </row>
    <row r="1872" ht="15.75" customHeight="1">
      <c r="A1872" s="334"/>
      <c r="B1872" s="362"/>
      <c r="C1872" s="334"/>
      <c r="D1872" s="334"/>
      <c r="E1872" s="334"/>
      <c r="F1872" s="334"/>
      <c r="G1872" s="334"/>
      <c r="I1872" s="334"/>
      <c r="M1872" s="344"/>
      <c r="N1872" s="376"/>
    </row>
    <row r="1873" ht="15.75" customHeight="1">
      <c r="A1873" s="334"/>
      <c r="B1873" s="362"/>
      <c r="C1873" s="334"/>
      <c r="D1873" s="334"/>
      <c r="E1873" s="334"/>
      <c r="F1873" s="334"/>
      <c r="G1873" s="334"/>
      <c r="I1873" s="334"/>
      <c r="M1873" s="344"/>
      <c r="N1873" s="376"/>
    </row>
    <row r="1874" ht="15.75" customHeight="1">
      <c r="A1874" s="334"/>
      <c r="B1874" s="362"/>
      <c r="C1874" s="334"/>
      <c r="D1874" s="334"/>
      <c r="E1874" s="334"/>
      <c r="F1874" s="334"/>
      <c r="G1874" s="334"/>
      <c r="I1874" s="334"/>
      <c r="M1874" s="344"/>
      <c r="N1874" s="376"/>
    </row>
    <row r="1875" ht="15.75" customHeight="1">
      <c r="A1875" s="334"/>
      <c r="B1875" s="362"/>
      <c r="C1875" s="334"/>
      <c r="D1875" s="334"/>
      <c r="E1875" s="334"/>
      <c r="F1875" s="334"/>
      <c r="G1875" s="334"/>
      <c r="I1875" s="334"/>
      <c r="M1875" s="344"/>
      <c r="N1875" s="376"/>
    </row>
    <row r="1876" ht="15.75" customHeight="1">
      <c r="A1876" s="334"/>
      <c r="B1876" s="362"/>
      <c r="C1876" s="334"/>
      <c r="D1876" s="334"/>
      <c r="E1876" s="334"/>
      <c r="F1876" s="334"/>
      <c r="G1876" s="334"/>
      <c r="I1876" s="334"/>
      <c r="M1876" s="344"/>
      <c r="N1876" s="376"/>
    </row>
    <row r="1877" ht="15.75" customHeight="1">
      <c r="A1877" s="334"/>
      <c r="B1877" s="362"/>
      <c r="C1877" s="334"/>
      <c r="D1877" s="334"/>
      <c r="E1877" s="334"/>
      <c r="F1877" s="334"/>
      <c r="G1877" s="334"/>
      <c r="I1877" s="334"/>
      <c r="M1877" s="344"/>
      <c r="N1877" s="376"/>
    </row>
    <row r="1878" ht="15.75" customHeight="1">
      <c r="A1878" s="334"/>
      <c r="B1878" s="362"/>
      <c r="C1878" s="334"/>
      <c r="D1878" s="334"/>
      <c r="E1878" s="334"/>
      <c r="F1878" s="334"/>
      <c r="G1878" s="334"/>
      <c r="I1878" s="334"/>
      <c r="M1878" s="344"/>
      <c r="N1878" s="376"/>
    </row>
    <row r="1879" ht="15.75" customHeight="1">
      <c r="A1879" s="334"/>
      <c r="B1879" s="362"/>
      <c r="C1879" s="334"/>
      <c r="D1879" s="334"/>
      <c r="E1879" s="334"/>
      <c r="F1879" s="334"/>
      <c r="G1879" s="334"/>
      <c r="I1879" s="334"/>
      <c r="M1879" s="344"/>
      <c r="N1879" s="376"/>
    </row>
    <row r="1880" ht="15.75" customHeight="1">
      <c r="A1880" s="334"/>
      <c r="B1880" s="362"/>
      <c r="C1880" s="334"/>
      <c r="D1880" s="334"/>
      <c r="E1880" s="334"/>
      <c r="F1880" s="334"/>
      <c r="G1880" s="334"/>
      <c r="I1880" s="334"/>
      <c r="M1880" s="344"/>
      <c r="N1880" s="376"/>
    </row>
    <row r="1881" ht="15.75" customHeight="1">
      <c r="A1881" s="334"/>
      <c r="B1881" s="362"/>
      <c r="C1881" s="334"/>
      <c r="D1881" s="334"/>
      <c r="E1881" s="334"/>
      <c r="F1881" s="334"/>
      <c r="G1881" s="334"/>
      <c r="I1881" s="334"/>
      <c r="M1881" s="344"/>
      <c r="N1881" s="376"/>
    </row>
    <row r="1882" ht="15.75" customHeight="1">
      <c r="A1882" s="334"/>
      <c r="B1882" s="362"/>
      <c r="C1882" s="334"/>
      <c r="D1882" s="334"/>
      <c r="E1882" s="334"/>
      <c r="F1882" s="334"/>
      <c r="G1882" s="334"/>
      <c r="I1882" s="334"/>
      <c r="M1882" s="344"/>
      <c r="N1882" s="376"/>
    </row>
    <row r="1883" ht="15.75" customHeight="1">
      <c r="A1883" s="334"/>
      <c r="B1883" s="362"/>
      <c r="C1883" s="334"/>
      <c r="D1883" s="334"/>
      <c r="E1883" s="334"/>
      <c r="F1883" s="334"/>
      <c r="G1883" s="334"/>
      <c r="I1883" s="334"/>
      <c r="M1883" s="344"/>
      <c r="N1883" s="376"/>
    </row>
    <row r="1884" ht="15.75" customHeight="1">
      <c r="A1884" s="334"/>
      <c r="B1884" s="362"/>
      <c r="C1884" s="334"/>
      <c r="D1884" s="334"/>
      <c r="E1884" s="334"/>
      <c r="F1884" s="334"/>
      <c r="G1884" s="334"/>
      <c r="I1884" s="334"/>
      <c r="M1884" s="344"/>
      <c r="N1884" s="376"/>
    </row>
    <row r="1885" ht="15.75" customHeight="1">
      <c r="A1885" s="334"/>
      <c r="B1885" s="362"/>
      <c r="C1885" s="334"/>
      <c r="D1885" s="334"/>
      <c r="E1885" s="334"/>
      <c r="F1885" s="334"/>
      <c r="G1885" s="334"/>
      <c r="I1885" s="334"/>
      <c r="M1885" s="344"/>
      <c r="N1885" s="376"/>
    </row>
    <row r="1886" ht="15.75" customHeight="1">
      <c r="A1886" s="334"/>
      <c r="B1886" s="362"/>
      <c r="C1886" s="334"/>
      <c r="D1886" s="334"/>
      <c r="E1886" s="334"/>
      <c r="F1886" s="334"/>
      <c r="G1886" s="334"/>
      <c r="I1886" s="334"/>
      <c r="M1886" s="344"/>
      <c r="N1886" s="376"/>
    </row>
    <row r="1887" ht="15.75" customHeight="1">
      <c r="A1887" s="334"/>
      <c r="B1887" s="362"/>
      <c r="C1887" s="334"/>
      <c r="D1887" s="334"/>
      <c r="E1887" s="334"/>
      <c r="F1887" s="334"/>
      <c r="G1887" s="334"/>
      <c r="I1887" s="334"/>
      <c r="M1887" s="344"/>
      <c r="N1887" s="376"/>
    </row>
    <row r="1888" ht="15.75" customHeight="1">
      <c r="A1888" s="334"/>
      <c r="B1888" s="362"/>
      <c r="C1888" s="334"/>
      <c r="D1888" s="334"/>
      <c r="E1888" s="334"/>
      <c r="F1888" s="334"/>
      <c r="G1888" s="334"/>
      <c r="I1888" s="334"/>
      <c r="M1888" s="344"/>
      <c r="N1888" s="376"/>
    </row>
    <row r="1889" ht="15.75" customHeight="1">
      <c r="A1889" s="334"/>
      <c r="B1889" s="362"/>
      <c r="C1889" s="334"/>
      <c r="D1889" s="334"/>
      <c r="E1889" s="334"/>
      <c r="F1889" s="334"/>
      <c r="G1889" s="334"/>
      <c r="I1889" s="334"/>
      <c r="M1889" s="344"/>
      <c r="N1889" s="376"/>
    </row>
    <row r="1890" ht="15.75" customHeight="1">
      <c r="A1890" s="334"/>
      <c r="B1890" s="362"/>
      <c r="C1890" s="334"/>
      <c r="D1890" s="334"/>
      <c r="E1890" s="334"/>
      <c r="F1890" s="334"/>
      <c r="G1890" s="334"/>
      <c r="I1890" s="334"/>
      <c r="M1890" s="344"/>
      <c r="N1890" s="376"/>
    </row>
    <row r="1891" ht="15.75" customHeight="1">
      <c r="A1891" s="334"/>
      <c r="B1891" s="362"/>
      <c r="C1891" s="334"/>
      <c r="D1891" s="334"/>
      <c r="E1891" s="334"/>
      <c r="F1891" s="334"/>
      <c r="G1891" s="334"/>
      <c r="I1891" s="334"/>
      <c r="M1891" s="344"/>
      <c r="N1891" s="376"/>
    </row>
    <row r="1892" ht="15.75" customHeight="1">
      <c r="A1892" s="334"/>
      <c r="B1892" s="362"/>
      <c r="C1892" s="334"/>
      <c r="D1892" s="334"/>
      <c r="E1892" s="334"/>
      <c r="F1892" s="334"/>
      <c r="G1892" s="334"/>
      <c r="I1892" s="334"/>
      <c r="M1892" s="344"/>
      <c r="N1892" s="376"/>
    </row>
    <row r="1893" ht="15.75" customHeight="1">
      <c r="A1893" s="334"/>
      <c r="B1893" s="362"/>
      <c r="C1893" s="334"/>
      <c r="D1893" s="334"/>
      <c r="E1893" s="334"/>
      <c r="F1893" s="334"/>
      <c r="G1893" s="334"/>
      <c r="I1893" s="334"/>
      <c r="M1893" s="344"/>
      <c r="N1893" s="376"/>
    </row>
    <row r="1894" ht="15.75" customHeight="1">
      <c r="A1894" s="334"/>
      <c r="B1894" s="362"/>
      <c r="C1894" s="334"/>
      <c r="D1894" s="334"/>
      <c r="E1894" s="334"/>
      <c r="F1894" s="334"/>
      <c r="G1894" s="334"/>
      <c r="I1894" s="334"/>
      <c r="M1894" s="344"/>
      <c r="N1894" s="376"/>
    </row>
    <row r="1895" ht="15.75" customHeight="1">
      <c r="A1895" s="334"/>
      <c r="B1895" s="362"/>
      <c r="C1895" s="334"/>
      <c r="D1895" s="334"/>
      <c r="E1895" s="334"/>
      <c r="F1895" s="334"/>
      <c r="G1895" s="334"/>
      <c r="I1895" s="334"/>
      <c r="M1895" s="344"/>
      <c r="N1895" s="376"/>
    </row>
    <row r="1896" ht="15.75" customHeight="1">
      <c r="A1896" s="334"/>
      <c r="B1896" s="362"/>
      <c r="C1896" s="334"/>
      <c r="D1896" s="334"/>
      <c r="E1896" s="334"/>
      <c r="F1896" s="334"/>
      <c r="G1896" s="334"/>
      <c r="I1896" s="334"/>
      <c r="M1896" s="344"/>
      <c r="N1896" s="376"/>
    </row>
    <row r="1897" ht="15.75" customHeight="1">
      <c r="A1897" s="334"/>
      <c r="B1897" s="362"/>
      <c r="C1897" s="334"/>
      <c r="D1897" s="334"/>
      <c r="E1897" s="334"/>
      <c r="F1897" s="334"/>
      <c r="G1897" s="334"/>
      <c r="I1897" s="334"/>
      <c r="M1897" s="344"/>
      <c r="N1897" s="376"/>
    </row>
    <row r="1898" ht="15.75" customHeight="1">
      <c r="A1898" s="334"/>
      <c r="B1898" s="362"/>
      <c r="C1898" s="334"/>
      <c r="D1898" s="334"/>
      <c r="E1898" s="334"/>
      <c r="F1898" s="334"/>
      <c r="G1898" s="334"/>
      <c r="I1898" s="334"/>
      <c r="M1898" s="344"/>
      <c r="N1898" s="376"/>
    </row>
    <row r="1899" ht="15.75" customHeight="1">
      <c r="A1899" s="334"/>
      <c r="B1899" s="362"/>
      <c r="C1899" s="334"/>
      <c r="D1899" s="334"/>
      <c r="E1899" s="334"/>
      <c r="F1899" s="334"/>
      <c r="G1899" s="334"/>
      <c r="I1899" s="334"/>
      <c r="M1899" s="344"/>
      <c r="N1899" s="376"/>
    </row>
    <row r="1900" ht="15.75" customHeight="1">
      <c r="A1900" s="334"/>
      <c r="B1900" s="362"/>
      <c r="C1900" s="334"/>
      <c r="D1900" s="334"/>
      <c r="E1900" s="334"/>
      <c r="F1900" s="334"/>
      <c r="G1900" s="334"/>
      <c r="I1900" s="334"/>
      <c r="M1900" s="344"/>
      <c r="N1900" s="376"/>
    </row>
    <row r="1901" ht="15.75" customHeight="1">
      <c r="A1901" s="334"/>
      <c r="B1901" s="362"/>
      <c r="C1901" s="334"/>
      <c r="D1901" s="334"/>
      <c r="E1901" s="334"/>
      <c r="F1901" s="334"/>
      <c r="G1901" s="334"/>
      <c r="I1901" s="334"/>
      <c r="M1901" s="344"/>
      <c r="N1901" s="376"/>
    </row>
    <row r="1902" ht="15.75" customHeight="1">
      <c r="A1902" s="334"/>
      <c r="B1902" s="362"/>
      <c r="C1902" s="334"/>
      <c r="D1902" s="334"/>
      <c r="E1902" s="334"/>
      <c r="F1902" s="334"/>
      <c r="G1902" s="334"/>
      <c r="I1902" s="334"/>
      <c r="M1902" s="344"/>
      <c r="N1902" s="376"/>
    </row>
    <row r="1903" ht="15.75" customHeight="1">
      <c r="A1903" s="334"/>
      <c r="B1903" s="362"/>
      <c r="C1903" s="334"/>
      <c r="D1903" s="334"/>
      <c r="E1903" s="334"/>
      <c r="F1903" s="334"/>
      <c r="G1903" s="334"/>
      <c r="I1903" s="334"/>
      <c r="M1903" s="344"/>
      <c r="N1903" s="376"/>
    </row>
    <row r="1904" ht="15.75" customHeight="1">
      <c r="A1904" s="334"/>
      <c r="B1904" s="362"/>
      <c r="C1904" s="334"/>
      <c r="D1904" s="334"/>
      <c r="E1904" s="334"/>
      <c r="F1904" s="334"/>
      <c r="G1904" s="334"/>
      <c r="I1904" s="334"/>
      <c r="M1904" s="344"/>
      <c r="N1904" s="376"/>
    </row>
    <row r="1905" ht="15.75" customHeight="1">
      <c r="A1905" s="334"/>
      <c r="B1905" s="362"/>
      <c r="C1905" s="334"/>
      <c r="D1905" s="334"/>
      <c r="E1905" s="334"/>
      <c r="F1905" s="334"/>
      <c r="G1905" s="334"/>
      <c r="I1905" s="334"/>
      <c r="M1905" s="344"/>
      <c r="N1905" s="376"/>
    </row>
    <row r="1906" ht="15.75" customHeight="1">
      <c r="A1906" s="334"/>
      <c r="B1906" s="362"/>
      <c r="C1906" s="334"/>
      <c r="D1906" s="334"/>
      <c r="E1906" s="334"/>
      <c r="F1906" s="334"/>
      <c r="G1906" s="334"/>
      <c r="I1906" s="334"/>
      <c r="M1906" s="344"/>
      <c r="N1906" s="376"/>
    </row>
    <row r="1907" ht="15.75" customHeight="1">
      <c r="A1907" s="334"/>
      <c r="B1907" s="362"/>
      <c r="C1907" s="334"/>
      <c r="D1907" s="334"/>
      <c r="E1907" s="334"/>
      <c r="F1907" s="334"/>
      <c r="G1907" s="334"/>
      <c r="I1907" s="334"/>
      <c r="M1907" s="344"/>
      <c r="N1907" s="376"/>
    </row>
    <row r="1908" ht="15.75" customHeight="1">
      <c r="A1908" s="334"/>
      <c r="B1908" s="362"/>
      <c r="C1908" s="334"/>
      <c r="D1908" s="334"/>
      <c r="E1908" s="334"/>
      <c r="F1908" s="334"/>
      <c r="G1908" s="334"/>
      <c r="I1908" s="334"/>
      <c r="M1908" s="344"/>
      <c r="N1908" s="376"/>
    </row>
    <row r="1909" ht="15.75" customHeight="1">
      <c r="A1909" s="334"/>
      <c r="B1909" s="362"/>
      <c r="C1909" s="334"/>
      <c r="D1909" s="334"/>
      <c r="E1909" s="334"/>
      <c r="F1909" s="334"/>
      <c r="G1909" s="334"/>
      <c r="I1909" s="334"/>
      <c r="M1909" s="344"/>
      <c r="N1909" s="376"/>
    </row>
    <row r="1910" ht="15.75" customHeight="1">
      <c r="A1910" s="334"/>
      <c r="B1910" s="362"/>
      <c r="C1910" s="334"/>
      <c r="D1910" s="334"/>
      <c r="E1910" s="334"/>
      <c r="F1910" s="334"/>
      <c r="G1910" s="334"/>
      <c r="I1910" s="334"/>
      <c r="M1910" s="344"/>
      <c r="N1910" s="376"/>
    </row>
    <row r="1911" ht="15.75" customHeight="1">
      <c r="A1911" s="334"/>
      <c r="B1911" s="362"/>
      <c r="C1911" s="334"/>
      <c r="D1911" s="334"/>
      <c r="E1911" s="334"/>
      <c r="F1911" s="334"/>
      <c r="G1911" s="334"/>
      <c r="I1911" s="334"/>
      <c r="M1911" s="344"/>
      <c r="N1911" s="376"/>
    </row>
    <row r="1912" ht="15.75" customHeight="1">
      <c r="A1912" s="334"/>
      <c r="B1912" s="362"/>
      <c r="C1912" s="334"/>
      <c r="D1912" s="334"/>
      <c r="E1912" s="334"/>
      <c r="F1912" s="334"/>
      <c r="G1912" s="334"/>
      <c r="I1912" s="334"/>
      <c r="M1912" s="344"/>
      <c r="N1912" s="376"/>
    </row>
    <row r="1913" ht="15.75" customHeight="1">
      <c r="A1913" s="334"/>
      <c r="B1913" s="362"/>
      <c r="C1913" s="334"/>
      <c r="D1913" s="334"/>
      <c r="E1913" s="334"/>
      <c r="F1913" s="334"/>
      <c r="G1913" s="334"/>
      <c r="I1913" s="334"/>
      <c r="M1913" s="344"/>
      <c r="N1913" s="376"/>
    </row>
    <row r="1914" ht="15.75" customHeight="1">
      <c r="A1914" s="334"/>
      <c r="B1914" s="362"/>
      <c r="C1914" s="334"/>
      <c r="D1914" s="334"/>
      <c r="E1914" s="334"/>
      <c r="F1914" s="334"/>
      <c r="G1914" s="334"/>
      <c r="I1914" s="334"/>
      <c r="M1914" s="344"/>
      <c r="N1914" s="376"/>
    </row>
    <row r="1915" ht="15.75" customHeight="1">
      <c r="A1915" s="334"/>
      <c r="B1915" s="362"/>
      <c r="C1915" s="334"/>
      <c r="D1915" s="334"/>
      <c r="E1915" s="334"/>
      <c r="F1915" s="334"/>
      <c r="G1915" s="334"/>
      <c r="I1915" s="334"/>
      <c r="M1915" s="344"/>
      <c r="N1915" s="376"/>
    </row>
    <row r="1916" ht="15.75" customHeight="1">
      <c r="A1916" s="334"/>
      <c r="B1916" s="362"/>
      <c r="C1916" s="334"/>
      <c r="D1916" s="334"/>
      <c r="E1916" s="334"/>
      <c r="F1916" s="334"/>
      <c r="G1916" s="334"/>
      <c r="I1916" s="334"/>
      <c r="M1916" s="344"/>
      <c r="N1916" s="376"/>
    </row>
    <row r="1917" ht="15.75" customHeight="1">
      <c r="A1917" s="334"/>
      <c r="B1917" s="362"/>
      <c r="C1917" s="334"/>
      <c r="D1917" s="334"/>
      <c r="E1917" s="334"/>
      <c r="F1917" s="334"/>
      <c r="G1917" s="334"/>
      <c r="I1917" s="334"/>
      <c r="M1917" s="344"/>
      <c r="N1917" s="376"/>
    </row>
    <row r="1918" ht="15.75" customHeight="1">
      <c r="A1918" s="334"/>
      <c r="B1918" s="362"/>
      <c r="C1918" s="334"/>
      <c r="D1918" s="334"/>
      <c r="E1918" s="334"/>
      <c r="F1918" s="334"/>
      <c r="G1918" s="334"/>
      <c r="I1918" s="334"/>
      <c r="M1918" s="344"/>
      <c r="N1918" s="376"/>
    </row>
    <row r="1919" ht="15.75" customHeight="1">
      <c r="A1919" s="334"/>
      <c r="B1919" s="362"/>
      <c r="C1919" s="334"/>
      <c r="D1919" s="334"/>
      <c r="E1919" s="334"/>
      <c r="F1919" s="334"/>
      <c r="G1919" s="334"/>
      <c r="I1919" s="334"/>
      <c r="M1919" s="344"/>
      <c r="N1919" s="376"/>
    </row>
    <row r="1920" ht="15.75" customHeight="1">
      <c r="A1920" s="334"/>
      <c r="B1920" s="362"/>
      <c r="C1920" s="334"/>
      <c r="D1920" s="334"/>
      <c r="E1920" s="334"/>
      <c r="F1920" s="334"/>
      <c r="G1920" s="334"/>
      <c r="I1920" s="334"/>
      <c r="M1920" s="344"/>
      <c r="N1920" s="376"/>
    </row>
    <row r="1921" ht="15.75" customHeight="1">
      <c r="A1921" s="334"/>
      <c r="B1921" s="362"/>
      <c r="C1921" s="334"/>
      <c r="D1921" s="334"/>
      <c r="E1921" s="334"/>
      <c r="F1921" s="334"/>
      <c r="G1921" s="334"/>
      <c r="I1921" s="334"/>
      <c r="M1921" s="344"/>
      <c r="N1921" s="376"/>
    </row>
    <row r="1922" ht="15.75" customHeight="1">
      <c r="A1922" s="334"/>
      <c r="B1922" s="362"/>
      <c r="C1922" s="334"/>
      <c r="D1922" s="334"/>
      <c r="E1922" s="334"/>
      <c r="F1922" s="334"/>
      <c r="G1922" s="334"/>
      <c r="I1922" s="334"/>
      <c r="M1922" s="344"/>
      <c r="N1922" s="376"/>
    </row>
    <row r="1923" ht="15.75" customHeight="1">
      <c r="A1923" s="334"/>
      <c r="B1923" s="362"/>
      <c r="C1923" s="334"/>
      <c r="D1923" s="334"/>
      <c r="E1923" s="334"/>
      <c r="F1923" s="334"/>
      <c r="G1923" s="334"/>
      <c r="I1923" s="334"/>
      <c r="M1923" s="344"/>
      <c r="N1923" s="376"/>
    </row>
    <row r="1924" ht="15.75" customHeight="1">
      <c r="A1924" s="334"/>
      <c r="B1924" s="362"/>
      <c r="C1924" s="334"/>
      <c r="D1924" s="334"/>
      <c r="E1924" s="334"/>
      <c r="F1924" s="334"/>
      <c r="G1924" s="334"/>
      <c r="I1924" s="334"/>
      <c r="M1924" s="344"/>
      <c r="N1924" s="376"/>
    </row>
    <row r="1925" ht="15.75" customHeight="1">
      <c r="A1925" s="334"/>
      <c r="B1925" s="362"/>
      <c r="C1925" s="334"/>
      <c r="D1925" s="334"/>
      <c r="E1925" s="334"/>
      <c r="F1925" s="334"/>
      <c r="G1925" s="334"/>
      <c r="I1925" s="334"/>
      <c r="M1925" s="344"/>
      <c r="N1925" s="376"/>
    </row>
    <row r="1926" ht="15.75" customHeight="1">
      <c r="A1926" s="334"/>
      <c r="B1926" s="362"/>
      <c r="C1926" s="334"/>
      <c r="D1926" s="334"/>
      <c r="E1926" s="334"/>
      <c r="F1926" s="334"/>
      <c r="G1926" s="334"/>
      <c r="I1926" s="334"/>
      <c r="M1926" s="344"/>
      <c r="N1926" s="376"/>
    </row>
    <row r="1927" ht="15.75" customHeight="1">
      <c r="A1927" s="334"/>
      <c r="B1927" s="362"/>
      <c r="C1927" s="334"/>
      <c r="D1927" s="334"/>
      <c r="E1927" s="334"/>
      <c r="F1927" s="334"/>
      <c r="G1927" s="334"/>
      <c r="I1927" s="334"/>
      <c r="M1927" s="344"/>
      <c r="N1927" s="376"/>
    </row>
    <row r="1928" ht="15.75" customHeight="1">
      <c r="A1928" s="334"/>
      <c r="B1928" s="362"/>
      <c r="C1928" s="334"/>
      <c r="D1928" s="334"/>
      <c r="E1928" s="334"/>
      <c r="F1928" s="334"/>
      <c r="G1928" s="334"/>
      <c r="I1928" s="334"/>
      <c r="M1928" s="344"/>
      <c r="N1928" s="376"/>
    </row>
    <row r="1929" ht="15.75" customHeight="1">
      <c r="A1929" s="334"/>
      <c r="B1929" s="362"/>
      <c r="C1929" s="334"/>
      <c r="D1929" s="334"/>
      <c r="E1929" s="334"/>
      <c r="F1929" s="334"/>
      <c r="G1929" s="334"/>
      <c r="I1929" s="334"/>
      <c r="M1929" s="344"/>
      <c r="N1929" s="376"/>
    </row>
    <row r="1930" ht="15.75" customHeight="1">
      <c r="A1930" s="334"/>
      <c r="B1930" s="362"/>
      <c r="C1930" s="334"/>
      <c r="D1930" s="334"/>
      <c r="E1930" s="334"/>
      <c r="F1930" s="334"/>
      <c r="G1930" s="334"/>
      <c r="I1930" s="334"/>
      <c r="M1930" s="344"/>
      <c r="N1930" s="376"/>
    </row>
    <row r="1931" ht="15.75" customHeight="1">
      <c r="A1931" s="334"/>
      <c r="B1931" s="362"/>
      <c r="C1931" s="334"/>
      <c r="D1931" s="334"/>
      <c r="E1931" s="334"/>
      <c r="F1931" s="334"/>
      <c r="G1931" s="334"/>
      <c r="I1931" s="334"/>
      <c r="M1931" s="344"/>
      <c r="N1931" s="376"/>
    </row>
    <row r="1932" ht="15.75" customHeight="1">
      <c r="A1932" s="334"/>
      <c r="B1932" s="362"/>
      <c r="C1932" s="334"/>
      <c r="D1932" s="334"/>
      <c r="E1932" s="334"/>
      <c r="F1932" s="334"/>
      <c r="G1932" s="334"/>
      <c r="I1932" s="334"/>
      <c r="M1932" s="344"/>
      <c r="N1932" s="376"/>
    </row>
    <row r="1933" ht="15.75" customHeight="1">
      <c r="A1933" s="334"/>
      <c r="B1933" s="362"/>
      <c r="C1933" s="334"/>
      <c r="D1933" s="334"/>
      <c r="E1933" s="334"/>
      <c r="F1933" s="334"/>
      <c r="G1933" s="334"/>
      <c r="I1933" s="334"/>
      <c r="M1933" s="344"/>
      <c r="N1933" s="376"/>
    </row>
    <row r="1934" ht="15.75" customHeight="1">
      <c r="A1934" s="334"/>
      <c r="B1934" s="362"/>
      <c r="C1934" s="334"/>
      <c r="D1934" s="334"/>
      <c r="E1934" s="334"/>
      <c r="F1934" s="334"/>
      <c r="G1934" s="334"/>
      <c r="I1934" s="334"/>
      <c r="M1934" s="344"/>
      <c r="N1934" s="376"/>
    </row>
    <row r="1935" ht="15.75" customHeight="1">
      <c r="A1935" s="334"/>
      <c r="B1935" s="362"/>
      <c r="C1935" s="334"/>
      <c r="D1935" s="334"/>
      <c r="E1935" s="334"/>
      <c r="F1935" s="334"/>
      <c r="G1935" s="334"/>
      <c r="I1935" s="334"/>
      <c r="M1935" s="344"/>
      <c r="N1935" s="376"/>
    </row>
    <row r="1936" ht="15.75" customHeight="1">
      <c r="A1936" s="334"/>
      <c r="B1936" s="362"/>
      <c r="C1936" s="334"/>
      <c r="D1936" s="334"/>
      <c r="E1936" s="334"/>
      <c r="F1936" s="334"/>
      <c r="G1936" s="334"/>
      <c r="I1936" s="334"/>
      <c r="M1936" s="344"/>
      <c r="N1936" s="376"/>
    </row>
    <row r="1937" ht="15.75" customHeight="1">
      <c r="A1937" s="334"/>
      <c r="B1937" s="362"/>
      <c r="C1937" s="334"/>
      <c r="D1937" s="334"/>
      <c r="E1937" s="334"/>
      <c r="F1937" s="334"/>
      <c r="G1937" s="334"/>
      <c r="I1937" s="334"/>
      <c r="M1937" s="344"/>
      <c r="N1937" s="376"/>
    </row>
    <row r="1938" ht="15.75" customHeight="1">
      <c r="A1938" s="334"/>
      <c r="B1938" s="362"/>
      <c r="C1938" s="334"/>
      <c r="D1938" s="334"/>
      <c r="E1938" s="334"/>
      <c r="F1938" s="334"/>
      <c r="G1938" s="334"/>
      <c r="I1938" s="334"/>
      <c r="M1938" s="344"/>
      <c r="N1938" s="376"/>
    </row>
    <row r="1939" ht="15.75" customHeight="1">
      <c r="A1939" s="334"/>
      <c r="B1939" s="362"/>
      <c r="C1939" s="334"/>
      <c r="D1939" s="334"/>
      <c r="E1939" s="334"/>
      <c r="F1939" s="334"/>
      <c r="G1939" s="334"/>
      <c r="I1939" s="334"/>
      <c r="M1939" s="344"/>
      <c r="N1939" s="376"/>
    </row>
    <row r="1940" ht="15.75" customHeight="1">
      <c r="A1940" s="334"/>
      <c r="B1940" s="362"/>
      <c r="C1940" s="334"/>
      <c r="D1940" s="334"/>
      <c r="E1940" s="334"/>
      <c r="F1940" s="334"/>
      <c r="G1940" s="334"/>
      <c r="I1940" s="334"/>
      <c r="M1940" s="344"/>
      <c r="N1940" s="376"/>
    </row>
    <row r="1941" ht="15.75" customHeight="1">
      <c r="A1941" s="334"/>
      <c r="B1941" s="362"/>
      <c r="C1941" s="334"/>
      <c r="D1941" s="334"/>
      <c r="E1941" s="334"/>
      <c r="F1941" s="334"/>
      <c r="G1941" s="334"/>
      <c r="I1941" s="334"/>
      <c r="M1941" s="344"/>
      <c r="N1941" s="376"/>
    </row>
    <row r="1942" ht="15.75" customHeight="1">
      <c r="A1942" s="334"/>
      <c r="B1942" s="362"/>
      <c r="C1942" s="334"/>
      <c r="D1942" s="334"/>
      <c r="E1942" s="334"/>
      <c r="F1942" s="334"/>
      <c r="G1942" s="334"/>
      <c r="I1942" s="334"/>
      <c r="M1942" s="344"/>
      <c r="N1942" s="376"/>
    </row>
    <row r="1943" ht="15.75" customHeight="1">
      <c r="A1943" s="334"/>
      <c r="B1943" s="362"/>
      <c r="C1943" s="334"/>
      <c r="D1943" s="334"/>
      <c r="E1943" s="334"/>
      <c r="F1943" s="334"/>
      <c r="G1943" s="334"/>
      <c r="I1943" s="334"/>
      <c r="M1943" s="344"/>
      <c r="N1943" s="376"/>
    </row>
    <row r="1944" ht="15.75" customHeight="1">
      <c r="A1944" s="334"/>
      <c r="B1944" s="362"/>
      <c r="C1944" s="334"/>
      <c r="D1944" s="334"/>
      <c r="E1944" s="334"/>
      <c r="F1944" s="334"/>
      <c r="G1944" s="334"/>
      <c r="I1944" s="334"/>
      <c r="M1944" s="344"/>
      <c r="N1944" s="376"/>
    </row>
    <row r="1945" ht="15.75" customHeight="1">
      <c r="A1945" s="334"/>
      <c r="B1945" s="362"/>
      <c r="C1945" s="334"/>
      <c r="D1945" s="334"/>
      <c r="E1945" s="334"/>
      <c r="F1945" s="334"/>
      <c r="G1945" s="334"/>
      <c r="I1945" s="334"/>
      <c r="M1945" s="344"/>
      <c r="N1945" s="376"/>
    </row>
    <row r="1946" ht="15.75" customHeight="1">
      <c r="A1946" s="334"/>
      <c r="B1946" s="362"/>
      <c r="C1946" s="334"/>
      <c r="D1946" s="334"/>
      <c r="E1946" s="334"/>
      <c r="F1946" s="334"/>
      <c r="G1946" s="334"/>
      <c r="I1946" s="334"/>
      <c r="M1946" s="344"/>
      <c r="N1946" s="376"/>
    </row>
    <row r="1947" ht="15.75" customHeight="1">
      <c r="A1947" s="334"/>
      <c r="B1947" s="362"/>
      <c r="C1947" s="334"/>
      <c r="D1947" s="334"/>
      <c r="E1947" s="334"/>
      <c r="F1947" s="334"/>
      <c r="G1947" s="334"/>
      <c r="I1947" s="334"/>
      <c r="M1947" s="344"/>
      <c r="N1947" s="376"/>
    </row>
    <row r="1948" ht="15.75" customHeight="1">
      <c r="A1948" s="334"/>
      <c r="B1948" s="362"/>
      <c r="C1948" s="334"/>
      <c r="D1948" s="334"/>
      <c r="E1948" s="334"/>
      <c r="F1948" s="334"/>
      <c r="G1948" s="334"/>
      <c r="I1948" s="334"/>
      <c r="M1948" s="344"/>
      <c r="N1948" s="376"/>
    </row>
    <row r="1949" ht="15.75" customHeight="1">
      <c r="A1949" s="334"/>
      <c r="B1949" s="362"/>
      <c r="C1949" s="334"/>
      <c r="D1949" s="334"/>
      <c r="E1949" s="334"/>
      <c r="F1949" s="334"/>
      <c r="G1949" s="334"/>
      <c r="I1949" s="334"/>
      <c r="M1949" s="344"/>
      <c r="N1949" s="376"/>
    </row>
    <row r="1950" ht="15.75" customHeight="1">
      <c r="A1950" s="334"/>
      <c r="B1950" s="362"/>
      <c r="C1950" s="334"/>
      <c r="D1950" s="334"/>
      <c r="E1950" s="334"/>
      <c r="F1950" s="334"/>
      <c r="G1950" s="334"/>
      <c r="I1950" s="334"/>
      <c r="M1950" s="344"/>
      <c r="N1950" s="376"/>
    </row>
    <row r="1951" ht="15.75" customHeight="1">
      <c r="A1951" s="334"/>
      <c r="B1951" s="362"/>
      <c r="C1951" s="334"/>
      <c r="D1951" s="334"/>
      <c r="E1951" s="334"/>
      <c r="F1951" s="334"/>
      <c r="G1951" s="334"/>
      <c r="I1951" s="334"/>
      <c r="M1951" s="344"/>
      <c r="N1951" s="376"/>
    </row>
    <row r="1952" ht="15.75" customHeight="1">
      <c r="A1952" s="334"/>
      <c r="B1952" s="362"/>
      <c r="C1952" s="334"/>
      <c r="D1952" s="334"/>
      <c r="E1952" s="334"/>
      <c r="F1952" s="334"/>
      <c r="G1952" s="334"/>
      <c r="I1952" s="334"/>
      <c r="M1952" s="344"/>
      <c r="N1952" s="376"/>
    </row>
    <row r="1953" ht="15.75" customHeight="1">
      <c r="A1953" s="334"/>
      <c r="B1953" s="362"/>
      <c r="C1953" s="334"/>
      <c r="D1953" s="334"/>
      <c r="E1953" s="334"/>
      <c r="F1953" s="334"/>
      <c r="G1953" s="334"/>
      <c r="I1953" s="334"/>
      <c r="M1953" s="344"/>
      <c r="N1953" s="376"/>
    </row>
    <row r="1954" ht="15.75" customHeight="1">
      <c r="A1954" s="334"/>
      <c r="B1954" s="362"/>
      <c r="C1954" s="334"/>
      <c r="D1954" s="334"/>
      <c r="E1954" s="334"/>
      <c r="F1954" s="334"/>
      <c r="G1954" s="334"/>
      <c r="I1954" s="334"/>
      <c r="M1954" s="344"/>
      <c r="N1954" s="376"/>
    </row>
    <row r="1955" ht="15.75" customHeight="1">
      <c r="A1955" s="334"/>
      <c r="B1955" s="362"/>
      <c r="C1955" s="334"/>
      <c r="D1955" s="334"/>
      <c r="E1955" s="334"/>
      <c r="F1955" s="334"/>
      <c r="G1955" s="334"/>
      <c r="I1955" s="334"/>
      <c r="M1955" s="344"/>
      <c r="N1955" s="376"/>
    </row>
    <row r="1956" ht="15.75" customHeight="1">
      <c r="A1956" s="334"/>
      <c r="B1956" s="362"/>
      <c r="C1956" s="334"/>
      <c r="D1956" s="334"/>
      <c r="E1956" s="334"/>
      <c r="F1956" s="334"/>
      <c r="G1956" s="334"/>
      <c r="I1956" s="334"/>
      <c r="M1956" s="344"/>
      <c r="N1956" s="376"/>
    </row>
    <row r="1957" ht="15.75" customHeight="1">
      <c r="A1957" s="334"/>
      <c r="B1957" s="362"/>
      <c r="C1957" s="334"/>
      <c r="D1957" s="334"/>
      <c r="E1957" s="334"/>
      <c r="F1957" s="334"/>
      <c r="G1957" s="334"/>
      <c r="I1957" s="334"/>
      <c r="M1957" s="344"/>
      <c r="N1957" s="376"/>
    </row>
    <row r="1958" ht="15.75" customHeight="1">
      <c r="A1958" s="334"/>
      <c r="B1958" s="362"/>
      <c r="C1958" s="334"/>
      <c r="D1958" s="334"/>
      <c r="E1958" s="334"/>
      <c r="F1958" s="334"/>
      <c r="G1958" s="334"/>
      <c r="I1958" s="334"/>
      <c r="M1958" s="344"/>
      <c r="N1958" s="376"/>
    </row>
    <row r="1959" ht="15.75" customHeight="1">
      <c r="A1959" s="334"/>
      <c r="B1959" s="362"/>
      <c r="C1959" s="334"/>
      <c r="D1959" s="334"/>
      <c r="E1959" s="334"/>
      <c r="F1959" s="334"/>
      <c r="G1959" s="334"/>
      <c r="I1959" s="334"/>
      <c r="M1959" s="344"/>
      <c r="N1959" s="376"/>
    </row>
    <row r="1960" ht="15.75" customHeight="1">
      <c r="A1960" s="334"/>
      <c r="B1960" s="362"/>
      <c r="C1960" s="334"/>
      <c r="D1960" s="334"/>
      <c r="E1960" s="334"/>
      <c r="F1960" s="334"/>
      <c r="G1960" s="334"/>
      <c r="I1960" s="334"/>
      <c r="M1960" s="344"/>
      <c r="N1960" s="376"/>
    </row>
    <row r="1961" ht="15.75" customHeight="1">
      <c r="A1961" s="334"/>
      <c r="B1961" s="362"/>
      <c r="C1961" s="334"/>
      <c r="D1961" s="334"/>
      <c r="E1961" s="334"/>
      <c r="F1961" s="334"/>
      <c r="G1961" s="334"/>
      <c r="I1961" s="334"/>
      <c r="M1961" s="344"/>
      <c r="N1961" s="376"/>
    </row>
    <row r="1962" ht="15.75" customHeight="1">
      <c r="A1962" s="334"/>
      <c r="B1962" s="362"/>
      <c r="C1962" s="334"/>
      <c r="D1962" s="334"/>
      <c r="E1962" s="334"/>
      <c r="F1962" s="334"/>
      <c r="G1962" s="334"/>
      <c r="I1962" s="334"/>
      <c r="M1962" s="344"/>
      <c r="N1962" s="376"/>
    </row>
    <row r="1963" ht="15.75" customHeight="1">
      <c r="A1963" s="334"/>
      <c r="B1963" s="362"/>
      <c r="C1963" s="334"/>
      <c r="D1963" s="334"/>
      <c r="E1963" s="334"/>
      <c r="F1963" s="334"/>
      <c r="G1963" s="334"/>
      <c r="I1963" s="334"/>
      <c r="M1963" s="344"/>
      <c r="N1963" s="376"/>
    </row>
    <row r="1964" ht="15.75" customHeight="1">
      <c r="A1964" s="334"/>
      <c r="B1964" s="362"/>
      <c r="C1964" s="334"/>
      <c r="D1964" s="334"/>
      <c r="E1964" s="334"/>
      <c r="F1964" s="334"/>
      <c r="G1964" s="334"/>
      <c r="I1964" s="334"/>
      <c r="M1964" s="344"/>
      <c r="N1964" s="376"/>
    </row>
    <row r="1965" ht="15.75" customHeight="1">
      <c r="A1965" s="334"/>
      <c r="B1965" s="362"/>
      <c r="C1965" s="334"/>
      <c r="D1965" s="334"/>
      <c r="E1965" s="334"/>
      <c r="F1965" s="334"/>
      <c r="G1965" s="334"/>
      <c r="I1965" s="334"/>
      <c r="M1965" s="344"/>
      <c r="N1965" s="376"/>
    </row>
    <row r="1966" ht="15.75" customHeight="1">
      <c r="A1966" s="334"/>
      <c r="B1966" s="362"/>
      <c r="C1966" s="334"/>
      <c r="D1966" s="334"/>
      <c r="E1966" s="334"/>
      <c r="F1966" s="334"/>
      <c r="G1966" s="334"/>
      <c r="I1966" s="334"/>
      <c r="M1966" s="344"/>
      <c r="N1966" s="376"/>
    </row>
    <row r="1967" ht="15.75" customHeight="1">
      <c r="A1967" s="334"/>
      <c r="B1967" s="362"/>
      <c r="C1967" s="334"/>
      <c r="D1967" s="334"/>
      <c r="E1967" s="334"/>
      <c r="F1967" s="334"/>
      <c r="G1967" s="334"/>
      <c r="I1967" s="334"/>
      <c r="M1967" s="344"/>
      <c r="N1967" s="376"/>
    </row>
  </sheetData>
  <autoFilter ref="$A$1:$Z$93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34" t="s">
        <v>8395</v>
      </c>
      <c r="B1" s="334" t="s">
        <v>8396</v>
      </c>
      <c r="C1" s="334" t="s">
        <v>8397</v>
      </c>
    </row>
    <row r="2">
      <c r="A2" s="334" t="s">
        <v>8398</v>
      </c>
      <c r="B2" s="418" t="s">
        <v>8399</v>
      </c>
      <c r="C2" s="334" t="s">
        <v>8400</v>
      </c>
    </row>
    <row r="3">
      <c r="A3" s="334" t="s">
        <v>8401</v>
      </c>
      <c r="B3" s="334" t="s">
        <v>8402</v>
      </c>
      <c r="C3" s="334" t="s">
        <v>8403</v>
      </c>
    </row>
    <row r="4">
      <c r="A4" s="334" t="s">
        <v>8404</v>
      </c>
      <c r="B4" s="334" t="s">
        <v>8404</v>
      </c>
      <c r="C4" s="334" t="s">
        <v>8405</v>
      </c>
    </row>
    <row r="5">
      <c r="A5" s="334" t="s">
        <v>8406</v>
      </c>
      <c r="B5" s="334" t="s">
        <v>8406</v>
      </c>
      <c r="C5" s="334" t="s">
        <v>8407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34" t="s">
        <v>8395</v>
      </c>
    </row>
    <row r="2">
      <c r="A2" s="419" t="s">
        <v>8408</v>
      </c>
    </row>
  </sheetData>
  <hyperlinks>
    <hyperlink display="https://docs.google.com/spreadsheets/d/1fVClsPMoUzeExsrkIne4_q5QSz4c_v1lGHTN_gqVbSE/edit?gid=927074825#gid=927074825" location="'最新単価表　確認用'!A1" ref="A2"/>
  </hyperlin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6" max="6" width="23.0"/>
  </cols>
  <sheetData>
    <row r="1">
      <c r="A1" s="420" t="s">
        <v>1182</v>
      </c>
      <c r="B1" s="334" t="s">
        <v>8409</v>
      </c>
      <c r="C1" s="420" t="s">
        <v>1184</v>
      </c>
      <c r="D1" s="420" t="s">
        <v>1185</v>
      </c>
      <c r="E1" s="334" t="s">
        <v>8410</v>
      </c>
      <c r="F1" s="334" t="s">
        <v>45</v>
      </c>
      <c r="G1" s="334" t="s">
        <v>8411</v>
      </c>
    </row>
    <row r="2">
      <c r="A2" s="334" t="s">
        <v>8412</v>
      </c>
      <c r="B2" s="334" t="s">
        <v>54</v>
      </c>
      <c r="C2" s="334" t="s">
        <v>531</v>
      </c>
      <c r="D2" s="334" t="s">
        <v>77</v>
      </c>
      <c r="E2" s="421" t="str">
        <f t="shared" ref="E2:E111" si="1">C2&amp;":"&amp;D2</f>
        <v>東鐵関西:直納</v>
      </c>
      <c r="F2" s="334" t="s">
        <v>1199</v>
      </c>
      <c r="G2" s="334">
        <v>1.0</v>
      </c>
    </row>
    <row r="3">
      <c r="A3" s="334" t="s">
        <v>8413</v>
      </c>
      <c r="B3" s="334" t="s">
        <v>54</v>
      </c>
      <c r="C3" s="334" t="s">
        <v>531</v>
      </c>
      <c r="D3" s="334" t="s">
        <v>77</v>
      </c>
      <c r="E3" s="421" t="str">
        <f t="shared" si="1"/>
        <v>東鐵関西:直納</v>
      </c>
      <c r="F3" s="334" t="s">
        <v>111</v>
      </c>
      <c r="G3" s="334">
        <v>2.0</v>
      </c>
    </row>
    <row r="4">
      <c r="A4" s="334" t="s">
        <v>8414</v>
      </c>
      <c r="B4" s="334" t="s">
        <v>54</v>
      </c>
      <c r="C4" s="334" t="s">
        <v>531</v>
      </c>
      <c r="D4" s="334" t="s">
        <v>77</v>
      </c>
      <c r="E4" s="421" t="str">
        <f t="shared" si="1"/>
        <v>東鐵関西:直納</v>
      </c>
      <c r="F4" s="334" t="s">
        <v>116</v>
      </c>
      <c r="G4" s="334">
        <v>3.0</v>
      </c>
    </row>
    <row r="5">
      <c r="A5" s="334" t="s">
        <v>8415</v>
      </c>
      <c r="B5" s="334" t="s">
        <v>54</v>
      </c>
      <c r="C5" s="334" t="s">
        <v>531</v>
      </c>
      <c r="D5" s="334" t="s">
        <v>77</v>
      </c>
      <c r="E5" s="421" t="str">
        <f t="shared" si="1"/>
        <v>東鐵関西:直納</v>
      </c>
      <c r="F5" s="334" t="s">
        <v>119</v>
      </c>
      <c r="G5" s="334">
        <v>4.0</v>
      </c>
    </row>
    <row r="6">
      <c r="A6" s="334" t="s">
        <v>8416</v>
      </c>
      <c r="B6" s="334" t="s">
        <v>54</v>
      </c>
      <c r="C6" s="334" t="s">
        <v>531</v>
      </c>
      <c r="D6" s="334" t="s">
        <v>77</v>
      </c>
      <c r="E6" s="421" t="str">
        <f t="shared" si="1"/>
        <v>東鐵関西:直納</v>
      </c>
      <c r="F6" s="334" t="s">
        <v>122</v>
      </c>
      <c r="G6" s="334">
        <v>5.0</v>
      </c>
    </row>
    <row r="7">
      <c r="A7" s="334" t="s">
        <v>8417</v>
      </c>
      <c r="B7" s="334" t="s">
        <v>54</v>
      </c>
      <c r="C7" s="334" t="s">
        <v>531</v>
      </c>
      <c r="D7" s="334" t="s">
        <v>77</v>
      </c>
      <c r="E7" s="421" t="str">
        <f t="shared" si="1"/>
        <v>東鐵関西:直納</v>
      </c>
      <c r="F7" s="334" t="s">
        <v>573</v>
      </c>
      <c r="G7" s="334">
        <v>6.0</v>
      </c>
    </row>
    <row r="8">
      <c r="A8" s="334" t="s">
        <v>8418</v>
      </c>
      <c r="B8" s="334" t="s">
        <v>54</v>
      </c>
      <c r="C8" s="334" t="s">
        <v>531</v>
      </c>
      <c r="D8" s="334" t="s">
        <v>77</v>
      </c>
      <c r="E8" s="421" t="str">
        <f t="shared" si="1"/>
        <v>東鐵関西:直納</v>
      </c>
      <c r="F8" s="334" t="s">
        <v>145</v>
      </c>
      <c r="G8" s="334">
        <v>7.0</v>
      </c>
    </row>
    <row r="9">
      <c r="A9" s="334" t="s">
        <v>8419</v>
      </c>
      <c r="B9" s="334" t="s">
        <v>54</v>
      </c>
      <c r="C9" s="334" t="s">
        <v>531</v>
      </c>
      <c r="D9" s="334" t="s">
        <v>77</v>
      </c>
      <c r="E9" s="421" t="str">
        <f t="shared" si="1"/>
        <v>東鐵関西:直納</v>
      </c>
      <c r="F9" s="334" t="s">
        <v>151</v>
      </c>
      <c r="G9" s="334">
        <v>8.0</v>
      </c>
    </row>
    <row r="10">
      <c r="A10" s="334" t="s">
        <v>8420</v>
      </c>
      <c r="B10" s="334" t="s">
        <v>54</v>
      </c>
      <c r="C10" s="421" t="s">
        <v>5</v>
      </c>
      <c r="D10" s="421" t="s">
        <v>46</v>
      </c>
      <c r="E10" s="421" t="str">
        <f t="shared" si="1"/>
        <v>中山製鋼:阪和</v>
      </c>
      <c r="F10" s="421" t="s">
        <v>101</v>
      </c>
      <c r="G10" s="334">
        <v>9.0</v>
      </c>
    </row>
    <row r="11">
      <c r="A11" s="334" t="s">
        <v>8421</v>
      </c>
      <c r="B11" s="334" t="s">
        <v>54</v>
      </c>
      <c r="C11" s="421" t="s">
        <v>5</v>
      </c>
      <c r="D11" s="421" t="s">
        <v>46</v>
      </c>
      <c r="E11" s="421" t="str">
        <f t="shared" si="1"/>
        <v>中山製鋼:阪和</v>
      </c>
      <c r="F11" s="421" t="s">
        <v>108</v>
      </c>
      <c r="G11" s="334">
        <v>10.0</v>
      </c>
    </row>
    <row r="12">
      <c r="A12" s="334" t="s">
        <v>8422</v>
      </c>
      <c r="B12" s="334" t="s">
        <v>54</v>
      </c>
      <c r="C12" s="421" t="s">
        <v>5</v>
      </c>
      <c r="D12" s="421" t="s">
        <v>46</v>
      </c>
      <c r="E12" s="421" t="str">
        <f t="shared" si="1"/>
        <v>中山製鋼:阪和</v>
      </c>
      <c r="F12" s="421" t="s">
        <v>111</v>
      </c>
      <c r="G12" s="334">
        <v>11.0</v>
      </c>
    </row>
    <row r="13">
      <c r="A13" s="334" t="s">
        <v>8423</v>
      </c>
      <c r="B13" s="334" t="s">
        <v>54</v>
      </c>
      <c r="C13" s="421" t="s">
        <v>5</v>
      </c>
      <c r="D13" s="421" t="s">
        <v>46</v>
      </c>
      <c r="E13" s="421" t="str">
        <f t="shared" si="1"/>
        <v>中山製鋼:阪和</v>
      </c>
      <c r="F13" s="421" t="s">
        <v>116</v>
      </c>
      <c r="G13" s="334">
        <v>12.0</v>
      </c>
    </row>
    <row r="14">
      <c r="A14" s="334" t="s">
        <v>8424</v>
      </c>
      <c r="B14" s="334" t="s">
        <v>54</v>
      </c>
      <c r="C14" s="421" t="s">
        <v>5</v>
      </c>
      <c r="D14" s="421" t="s">
        <v>46</v>
      </c>
      <c r="E14" s="421" t="str">
        <f t="shared" si="1"/>
        <v>中山製鋼:阪和</v>
      </c>
      <c r="F14" s="421" t="s">
        <v>119</v>
      </c>
      <c r="G14" s="334">
        <v>13.0</v>
      </c>
    </row>
    <row r="15">
      <c r="A15" s="334" t="s">
        <v>8425</v>
      </c>
      <c r="B15" s="334" t="s">
        <v>54</v>
      </c>
      <c r="C15" s="421" t="s">
        <v>5</v>
      </c>
      <c r="D15" s="421" t="s">
        <v>46</v>
      </c>
      <c r="E15" s="421" t="str">
        <f t="shared" si="1"/>
        <v>中山製鋼:阪和</v>
      </c>
      <c r="F15" s="421" t="s">
        <v>122</v>
      </c>
      <c r="G15" s="334">
        <v>14.0</v>
      </c>
    </row>
    <row r="16">
      <c r="A16" s="334" t="s">
        <v>8426</v>
      </c>
      <c r="B16" s="334" t="s">
        <v>54</v>
      </c>
      <c r="C16" s="421" t="s">
        <v>5</v>
      </c>
      <c r="D16" s="421" t="s">
        <v>46</v>
      </c>
      <c r="E16" s="421" t="str">
        <f t="shared" si="1"/>
        <v>中山製鋼:阪和</v>
      </c>
      <c r="F16" s="421" t="s">
        <v>130</v>
      </c>
      <c r="G16" s="334">
        <v>15.0</v>
      </c>
    </row>
    <row r="17">
      <c r="A17" s="334" t="s">
        <v>8427</v>
      </c>
      <c r="B17" s="334" t="s">
        <v>54</v>
      </c>
      <c r="C17" s="421" t="s">
        <v>5</v>
      </c>
      <c r="D17" s="421" t="s">
        <v>46</v>
      </c>
      <c r="E17" s="421" t="str">
        <f t="shared" si="1"/>
        <v>中山製鋼:阪和</v>
      </c>
      <c r="F17" s="421" t="s">
        <v>131</v>
      </c>
      <c r="G17" s="334">
        <v>16.0</v>
      </c>
    </row>
    <row r="18">
      <c r="A18" s="334" t="s">
        <v>8428</v>
      </c>
      <c r="B18" s="334" t="s">
        <v>54</v>
      </c>
      <c r="C18" s="421" t="s">
        <v>5</v>
      </c>
      <c r="D18" s="421" t="s">
        <v>46</v>
      </c>
      <c r="E18" s="421" t="str">
        <f t="shared" si="1"/>
        <v>中山製鋼:阪和</v>
      </c>
      <c r="F18" s="421" t="s">
        <v>574</v>
      </c>
      <c r="G18" s="334">
        <v>17.0</v>
      </c>
    </row>
    <row r="19">
      <c r="A19" s="334" t="s">
        <v>8429</v>
      </c>
      <c r="B19" s="334" t="s">
        <v>54</v>
      </c>
      <c r="C19" s="421" t="s">
        <v>5</v>
      </c>
      <c r="D19" s="421" t="s">
        <v>47</v>
      </c>
      <c r="E19" s="421" t="str">
        <f t="shared" si="1"/>
        <v>中山製鋼:豊通</v>
      </c>
      <c r="F19" s="334" t="s">
        <v>1199</v>
      </c>
      <c r="G19" s="334">
        <v>18.0</v>
      </c>
    </row>
    <row r="20">
      <c r="A20" s="334" t="s">
        <v>8430</v>
      </c>
      <c r="B20" s="334" t="s">
        <v>54</v>
      </c>
      <c r="C20" s="421" t="s">
        <v>5</v>
      </c>
      <c r="D20" s="421" t="s">
        <v>47</v>
      </c>
      <c r="E20" s="421" t="str">
        <f t="shared" si="1"/>
        <v>中山製鋼:豊通</v>
      </c>
      <c r="F20" s="421" t="s">
        <v>101</v>
      </c>
      <c r="G20" s="334">
        <v>19.0</v>
      </c>
    </row>
    <row r="21">
      <c r="A21" s="334" t="s">
        <v>8431</v>
      </c>
      <c r="B21" s="334" t="s">
        <v>54</v>
      </c>
      <c r="C21" s="421" t="s">
        <v>5</v>
      </c>
      <c r="D21" s="421" t="s">
        <v>47</v>
      </c>
      <c r="E21" s="421" t="str">
        <f t="shared" si="1"/>
        <v>中山製鋼:豊通</v>
      </c>
      <c r="F21" s="421" t="s">
        <v>108</v>
      </c>
      <c r="G21" s="334">
        <v>20.0</v>
      </c>
    </row>
    <row r="22">
      <c r="A22" s="334" t="s">
        <v>8432</v>
      </c>
      <c r="B22" s="334" t="s">
        <v>54</v>
      </c>
      <c r="C22" s="421" t="s">
        <v>5</v>
      </c>
      <c r="D22" s="421" t="s">
        <v>47</v>
      </c>
      <c r="E22" s="421" t="str">
        <f t="shared" si="1"/>
        <v>中山製鋼:豊通</v>
      </c>
      <c r="F22" s="421" t="s">
        <v>111</v>
      </c>
      <c r="G22" s="334">
        <v>21.0</v>
      </c>
    </row>
    <row r="23">
      <c r="A23" s="334" t="s">
        <v>8433</v>
      </c>
      <c r="B23" s="334" t="s">
        <v>54</v>
      </c>
      <c r="C23" s="421" t="s">
        <v>5</v>
      </c>
      <c r="D23" s="421" t="s">
        <v>47</v>
      </c>
      <c r="E23" s="421" t="str">
        <f t="shared" si="1"/>
        <v>中山製鋼:豊通</v>
      </c>
      <c r="F23" s="421" t="s">
        <v>116</v>
      </c>
      <c r="G23" s="334">
        <v>22.0</v>
      </c>
    </row>
    <row r="24">
      <c r="A24" s="334" t="s">
        <v>8434</v>
      </c>
      <c r="B24" s="334" t="s">
        <v>54</v>
      </c>
      <c r="C24" s="421" t="s">
        <v>5</v>
      </c>
      <c r="D24" s="421" t="s">
        <v>47</v>
      </c>
      <c r="E24" s="421" t="str">
        <f t="shared" si="1"/>
        <v>中山製鋼:豊通</v>
      </c>
      <c r="F24" s="421" t="s">
        <v>119</v>
      </c>
      <c r="G24" s="334">
        <v>23.0</v>
      </c>
    </row>
    <row r="25">
      <c r="A25" s="334" t="s">
        <v>8435</v>
      </c>
      <c r="B25" s="334" t="s">
        <v>54</v>
      </c>
      <c r="C25" s="421" t="s">
        <v>5</v>
      </c>
      <c r="D25" s="421" t="s">
        <v>47</v>
      </c>
      <c r="E25" s="421" t="str">
        <f t="shared" si="1"/>
        <v>中山製鋼:豊通</v>
      </c>
      <c r="F25" s="421" t="s">
        <v>122</v>
      </c>
      <c r="G25" s="334">
        <v>24.0</v>
      </c>
    </row>
    <row r="26">
      <c r="A26" s="334" t="s">
        <v>8436</v>
      </c>
      <c r="B26" s="334" t="s">
        <v>54</v>
      </c>
      <c r="C26" s="421" t="s">
        <v>5</v>
      </c>
      <c r="D26" s="421" t="s">
        <v>47</v>
      </c>
      <c r="E26" s="421" t="str">
        <f t="shared" si="1"/>
        <v>中山製鋼:豊通</v>
      </c>
      <c r="F26" s="421" t="s">
        <v>130</v>
      </c>
      <c r="G26" s="334">
        <v>25.0</v>
      </c>
    </row>
    <row r="27">
      <c r="A27" s="334" t="s">
        <v>8437</v>
      </c>
      <c r="B27" s="334" t="s">
        <v>54</v>
      </c>
      <c r="C27" s="421" t="s">
        <v>5</v>
      </c>
      <c r="D27" s="421" t="s">
        <v>47</v>
      </c>
      <c r="E27" s="421" t="str">
        <f t="shared" si="1"/>
        <v>中山製鋼:豊通</v>
      </c>
      <c r="F27" s="421" t="s">
        <v>131</v>
      </c>
      <c r="G27" s="334">
        <v>26.0</v>
      </c>
    </row>
    <row r="28">
      <c r="A28" s="334" t="s">
        <v>8438</v>
      </c>
      <c r="B28" s="334" t="s">
        <v>54</v>
      </c>
      <c r="C28" s="421" t="s">
        <v>5</v>
      </c>
      <c r="D28" s="421" t="s">
        <v>47</v>
      </c>
      <c r="E28" s="421" t="str">
        <f t="shared" si="1"/>
        <v>中山製鋼:豊通</v>
      </c>
      <c r="F28" s="421" t="s">
        <v>574</v>
      </c>
      <c r="G28" s="334">
        <v>27.0</v>
      </c>
    </row>
    <row r="29">
      <c r="A29" s="334" t="s">
        <v>8439</v>
      </c>
      <c r="B29" s="334" t="s">
        <v>54</v>
      </c>
      <c r="C29" s="421" t="s">
        <v>5</v>
      </c>
      <c r="D29" s="334" t="s">
        <v>1232</v>
      </c>
      <c r="E29" s="421" t="str">
        <f t="shared" si="1"/>
        <v>中山製鋼:豊通/出張商店</v>
      </c>
      <c r="F29" s="421" t="s">
        <v>130</v>
      </c>
      <c r="G29" s="334">
        <v>28.0</v>
      </c>
    </row>
    <row r="30">
      <c r="A30" s="334" t="s">
        <v>8440</v>
      </c>
      <c r="B30" s="334" t="s">
        <v>54</v>
      </c>
      <c r="C30" s="421" t="s">
        <v>5</v>
      </c>
      <c r="D30" s="334" t="s">
        <v>1234</v>
      </c>
      <c r="E30" s="421" t="str">
        <f t="shared" si="1"/>
        <v>中山製鋼:豊通/中川嘉弘商店</v>
      </c>
      <c r="F30" s="421" t="s">
        <v>130</v>
      </c>
      <c r="G30" s="334">
        <v>29.0</v>
      </c>
    </row>
    <row r="31">
      <c r="A31" s="334" t="s">
        <v>8441</v>
      </c>
      <c r="B31" s="334" t="s">
        <v>54</v>
      </c>
      <c r="C31" s="420" t="s">
        <v>6</v>
      </c>
      <c r="D31" s="420" t="s">
        <v>48</v>
      </c>
      <c r="E31" s="421" t="str">
        <f t="shared" si="1"/>
        <v>中山鋼業:ナベ</v>
      </c>
      <c r="F31" s="420" t="s">
        <v>111</v>
      </c>
      <c r="G31" s="334">
        <v>30.0</v>
      </c>
    </row>
    <row r="32">
      <c r="A32" s="334" t="s">
        <v>8442</v>
      </c>
      <c r="B32" s="334" t="s">
        <v>54</v>
      </c>
      <c r="C32" s="420" t="s">
        <v>6</v>
      </c>
      <c r="D32" s="420" t="s">
        <v>48</v>
      </c>
      <c r="E32" s="421" t="str">
        <f t="shared" si="1"/>
        <v>中山鋼業:ナベ</v>
      </c>
      <c r="F32" s="422" t="s">
        <v>1237</v>
      </c>
      <c r="G32" s="334">
        <v>31.0</v>
      </c>
    </row>
    <row r="33">
      <c r="A33" s="334" t="s">
        <v>8443</v>
      </c>
      <c r="B33" s="334" t="s">
        <v>54</v>
      </c>
      <c r="C33" s="420" t="s">
        <v>6</v>
      </c>
      <c r="D33" s="420" t="s">
        <v>48</v>
      </c>
      <c r="E33" s="421" t="str">
        <f t="shared" si="1"/>
        <v>中山鋼業:ナベ</v>
      </c>
      <c r="F33" s="420" t="s">
        <v>116</v>
      </c>
      <c r="G33" s="334">
        <v>32.0</v>
      </c>
    </row>
    <row r="34">
      <c r="A34" s="334" t="s">
        <v>8444</v>
      </c>
      <c r="B34" s="334" t="s">
        <v>54</v>
      </c>
      <c r="C34" s="420" t="s">
        <v>6</v>
      </c>
      <c r="D34" s="420" t="s">
        <v>48</v>
      </c>
      <c r="E34" s="421" t="str">
        <f t="shared" si="1"/>
        <v>中山鋼業:ナベ</v>
      </c>
      <c r="F34" s="420" t="s">
        <v>119</v>
      </c>
      <c r="G34" s="334">
        <v>33.0</v>
      </c>
    </row>
    <row r="35">
      <c r="A35" s="334" t="s">
        <v>8445</v>
      </c>
      <c r="B35" s="334" t="s">
        <v>54</v>
      </c>
      <c r="C35" s="420" t="s">
        <v>6</v>
      </c>
      <c r="D35" s="420" t="s">
        <v>48</v>
      </c>
      <c r="E35" s="421" t="str">
        <f t="shared" si="1"/>
        <v>中山鋼業:ナベ</v>
      </c>
      <c r="F35" s="420" t="s">
        <v>122</v>
      </c>
      <c r="G35" s="334">
        <v>34.0</v>
      </c>
    </row>
    <row r="36">
      <c r="A36" s="334" t="s">
        <v>8446</v>
      </c>
      <c r="B36" s="334" t="s">
        <v>54</v>
      </c>
      <c r="C36" s="420" t="s">
        <v>6</v>
      </c>
      <c r="D36" s="420" t="s">
        <v>48</v>
      </c>
      <c r="E36" s="421" t="str">
        <f t="shared" si="1"/>
        <v>中山鋼業:ナベ</v>
      </c>
      <c r="F36" s="422" t="s">
        <v>573</v>
      </c>
      <c r="G36" s="334">
        <v>35.0</v>
      </c>
    </row>
    <row r="37">
      <c r="A37" s="334" t="s">
        <v>8447</v>
      </c>
      <c r="B37" s="334" t="s">
        <v>54</v>
      </c>
      <c r="C37" s="420" t="s">
        <v>6</v>
      </c>
      <c r="D37" s="420" t="s">
        <v>48</v>
      </c>
      <c r="E37" s="421" t="str">
        <f t="shared" si="1"/>
        <v>中山鋼業:ナベ</v>
      </c>
      <c r="F37" s="420" t="s">
        <v>130</v>
      </c>
      <c r="G37" s="334">
        <v>36.0</v>
      </c>
    </row>
    <row r="38">
      <c r="A38" s="334" t="s">
        <v>8448</v>
      </c>
      <c r="B38" s="334" t="s">
        <v>54</v>
      </c>
      <c r="C38" s="420" t="s">
        <v>6</v>
      </c>
      <c r="D38" s="420" t="s">
        <v>48</v>
      </c>
      <c r="E38" s="421" t="str">
        <f t="shared" si="1"/>
        <v>中山鋼業:ナベ</v>
      </c>
      <c r="F38" s="334" t="s">
        <v>575</v>
      </c>
      <c r="G38" s="334">
        <v>37.0</v>
      </c>
    </row>
    <row r="39">
      <c r="A39" s="334" t="s">
        <v>8449</v>
      </c>
      <c r="B39" s="334" t="s">
        <v>54</v>
      </c>
      <c r="C39" s="421" t="s">
        <v>7</v>
      </c>
      <c r="D39" s="421" t="s">
        <v>49</v>
      </c>
      <c r="E39" s="421" t="str">
        <f t="shared" si="1"/>
        <v>合同大阪:伊藤忠</v>
      </c>
      <c r="F39" s="334" t="s">
        <v>1199</v>
      </c>
      <c r="G39" s="334">
        <v>38.0</v>
      </c>
    </row>
    <row r="40">
      <c r="A40" s="334" t="s">
        <v>8450</v>
      </c>
      <c r="B40" s="334" t="s">
        <v>54</v>
      </c>
      <c r="C40" s="421" t="s">
        <v>7</v>
      </c>
      <c r="D40" s="421" t="s">
        <v>49</v>
      </c>
      <c r="E40" s="421" t="str">
        <f t="shared" si="1"/>
        <v>合同大阪:伊藤忠</v>
      </c>
      <c r="F40" s="421" t="s">
        <v>101</v>
      </c>
      <c r="G40" s="334">
        <v>39.0</v>
      </c>
    </row>
    <row r="41">
      <c r="A41" s="334" t="s">
        <v>8451</v>
      </c>
      <c r="B41" s="334" t="s">
        <v>54</v>
      </c>
      <c r="C41" s="421" t="s">
        <v>7</v>
      </c>
      <c r="D41" s="421" t="s">
        <v>49</v>
      </c>
      <c r="E41" s="421" t="str">
        <f t="shared" si="1"/>
        <v>合同大阪:伊藤忠</v>
      </c>
      <c r="F41" s="421" t="s">
        <v>111</v>
      </c>
      <c r="G41" s="334">
        <v>40.0</v>
      </c>
    </row>
    <row r="42">
      <c r="A42" s="334" t="s">
        <v>8452</v>
      </c>
      <c r="B42" s="334" t="s">
        <v>54</v>
      </c>
      <c r="C42" s="421" t="s">
        <v>7</v>
      </c>
      <c r="D42" s="421" t="s">
        <v>49</v>
      </c>
      <c r="E42" s="421" t="str">
        <f t="shared" si="1"/>
        <v>合同大阪:伊藤忠</v>
      </c>
      <c r="F42" s="421" t="s">
        <v>116</v>
      </c>
      <c r="G42" s="334">
        <v>41.0</v>
      </c>
    </row>
    <row r="43">
      <c r="A43" s="334" t="s">
        <v>8453</v>
      </c>
      <c r="B43" s="334" t="s">
        <v>54</v>
      </c>
      <c r="C43" s="421" t="s">
        <v>7</v>
      </c>
      <c r="D43" s="421" t="s">
        <v>49</v>
      </c>
      <c r="E43" s="421" t="str">
        <f t="shared" si="1"/>
        <v>合同大阪:伊藤忠</v>
      </c>
      <c r="F43" s="421" t="s">
        <v>119</v>
      </c>
      <c r="G43" s="334">
        <v>42.0</v>
      </c>
    </row>
    <row r="44">
      <c r="A44" s="334" t="s">
        <v>8454</v>
      </c>
      <c r="B44" s="334" t="s">
        <v>54</v>
      </c>
      <c r="C44" s="421" t="s">
        <v>7</v>
      </c>
      <c r="D44" s="421" t="s">
        <v>49</v>
      </c>
      <c r="E44" s="421" t="str">
        <f t="shared" si="1"/>
        <v>合同大阪:伊藤忠</v>
      </c>
      <c r="F44" s="421" t="s">
        <v>122</v>
      </c>
      <c r="G44" s="334">
        <v>43.0</v>
      </c>
    </row>
    <row r="45">
      <c r="A45" s="334" t="s">
        <v>8455</v>
      </c>
      <c r="B45" s="334" t="s">
        <v>54</v>
      </c>
      <c r="C45" s="421" t="s">
        <v>7</v>
      </c>
      <c r="D45" s="421" t="s">
        <v>49</v>
      </c>
      <c r="E45" s="421" t="str">
        <f t="shared" si="1"/>
        <v>合同大阪:伊藤忠</v>
      </c>
      <c r="F45" s="421" t="s">
        <v>130</v>
      </c>
      <c r="G45" s="334">
        <v>44.0</v>
      </c>
    </row>
    <row r="46">
      <c r="A46" s="334" t="s">
        <v>8456</v>
      </c>
      <c r="B46" s="334" t="s">
        <v>54</v>
      </c>
      <c r="C46" s="421" t="s">
        <v>7</v>
      </c>
      <c r="D46" s="421" t="s">
        <v>49</v>
      </c>
      <c r="E46" s="421" t="str">
        <f t="shared" si="1"/>
        <v>合同大阪:伊藤忠</v>
      </c>
      <c r="F46" s="421" t="s">
        <v>131</v>
      </c>
      <c r="G46" s="334">
        <v>45.0</v>
      </c>
    </row>
    <row r="47">
      <c r="A47" s="334" t="s">
        <v>8457</v>
      </c>
      <c r="B47" s="334" t="s">
        <v>54</v>
      </c>
      <c r="C47" s="421" t="s">
        <v>7</v>
      </c>
      <c r="D47" s="421" t="s">
        <v>49</v>
      </c>
      <c r="E47" s="421" t="str">
        <f t="shared" si="1"/>
        <v>合同大阪:伊藤忠</v>
      </c>
      <c r="F47" s="334" t="s">
        <v>575</v>
      </c>
      <c r="G47" s="334">
        <v>46.0</v>
      </c>
    </row>
    <row r="48">
      <c r="A48" s="334" t="s">
        <v>8458</v>
      </c>
      <c r="B48" s="334" t="s">
        <v>54</v>
      </c>
      <c r="C48" s="421" t="s">
        <v>7</v>
      </c>
      <c r="D48" s="421" t="s">
        <v>49</v>
      </c>
      <c r="E48" s="421" t="str">
        <f t="shared" si="1"/>
        <v>合同大阪:伊藤忠</v>
      </c>
      <c r="F48" s="334" t="s">
        <v>576</v>
      </c>
      <c r="G48" s="334">
        <v>47.0</v>
      </c>
    </row>
    <row r="49">
      <c r="A49" s="334" t="s">
        <v>8459</v>
      </c>
      <c r="B49" s="334" t="s">
        <v>54</v>
      </c>
      <c r="C49" s="334" t="s">
        <v>7</v>
      </c>
      <c r="D49" s="334" t="s">
        <v>46</v>
      </c>
      <c r="E49" s="421" t="str">
        <f t="shared" si="1"/>
        <v>合同大阪:阪和</v>
      </c>
      <c r="F49" s="334" t="s">
        <v>1199</v>
      </c>
      <c r="G49" s="334">
        <v>48.0</v>
      </c>
    </row>
    <row r="50">
      <c r="A50" s="334" t="s">
        <v>8460</v>
      </c>
      <c r="B50" s="334" t="s">
        <v>54</v>
      </c>
      <c r="C50" s="334" t="s">
        <v>7</v>
      </c>
      <c r="D50" s="334" t="s">
        <v>46</v>
      </c>
      <c r="E50" s="421" t="str">
        <f t="shared" si="1"/>
        <v>合同大阪:阪和</v>
      </c>
      <c r="F50" s="334" t="s">
        <v>101</v>
      </c>
      <c r="G50" s="334">
        <v>49.0</v>
      </c>
    </row>
    <row r="51">
      <c r="A51" s="334" t="s">
        <v>8461</v>
      </c>
      <c r="B51" s="334" t="s">
        <v>54</v>
      </c>
      <c r="C51" s="334" t="s">
        <v>7</v>
      </c>
      <c r="D51" s="334" t="s">
        <v>46</v>
      </c>
      <c r="E51" s="421" t="str">
        <f t="shared" si="1"/>
        <v>合同大阪:阪和</v>
      </c>
      <c r="F51" s="334" t="s">
        <v>111</v>
      </c>
      <c r="G51" s="334">
        <v>50.0</v>
      </c>
    </row>
    <row r="52">
      <c r="A52" s="334" t="s">
        <v>8462</v>
      </c>
      <c r="B52" s="334" t="s">
        <v>54</v>
      </c>
      <c r="C52" s="334" t="s">
        <v>7</v>
      </c>
      <c r="D52" s="334" t="s">
        <v>46</v>
      </c>
      <c r="E52" s="421" t="str">
        <f t="shared" si="1"/>
        <v>合同大阪:阪和</v>
      </c>
      <c r="F52" s="334" t="s">
        <v>116</v>
      </c>
      <c r="G52" s="334">
        <v>51.0</v>
      </c>
    </row>
    <row r="53">
      <c r="A53" s="334" t="s">
        <v>8463</v>
      </c>
      <c r="B53" s="334" t="s">
        <v>54</v>
      </c>
      <c r="C53" s="334" t="s">
        <v>7</v>
      </c>
      <c r="D53" s="334" t="s">
        <v>46</v>
      </c>
      <c r="E53" s="421" t="str">
        <f t="shared" si="1"/>
        <v>合同大阪:阪和</v>
      </c>
      <c r="F53" s="334" t="s">
        <v>119</v>
      </c>
      <c r="G53" s="334">
        <v>52.0</v>
      </c>
    </row>
    <row r="54">
      <c r="A54" s="334" t="s">
        <v>8464</v>
      </c>
      <c r="B54" s="334" t="s">
        <v>54</v>
      </c>
      <c r="C54" s="334" t="s">
        <v>7</v>
      </c>
      <c r="D54" s="334" t="s">
        <v>46</v>
      </c>
      <c r="E54" s="421" t="str">
        <f t="shared" si="1"/>
        <v>合同大阪:阪和</v>
      </c>
      <c r="F54" s="334" t="s">
        <v>122</v>
      </c>
      <c r="G54" s="334">
        <v>53.0</v>
      </c>
    </row>
    <row r="55">
      <c r="A55" s="334" t="s">
        <v>8465</v>
      </c>
      <c r="B55" s="334" t="s">
        <v>54</v>
      </c>
      <c r="C55" s="334" t="s">
        <v>7</v>
      </c>
      <c r="D55" s="334" t="s">
        <v>46</v>
      </c>
      <c r="E55" s="421" t="str">
        <f t="shared" si="1"/>
        <v>合同大阪:阪和</v>
      </c>
      <c r="F55" s="334" t="s">
        <v>130</v>
      </c>
      <c r="G55" s="334">
        <v>54.0</v>
      </c>
    </row>
    <row r="56">
      <c r="A56" s="334" t="s">
        <v>8466</v>
      </c>
      <c r="B56" s="334" t="s">
        <v>54</v>
      </c>
      <c r="C56" s="334" t="s">
        <v>7</v>
      </c>
      <c r="D56" s="334" t="s">
        <v>46</v>
      </c>
      <c r="E56" s="421" t="str">
        <f t="shared" si="1"/>
        <v>合同大阪:阪和</v>
      </c>
      <c r="F56" s="334" t="s">
        <v>131</v>
      </c>
      <c r="G56" s="334">
        <v>55.0</v>
      </c>
    </row>
    <row r="57">
      <c r="A57" s="334" t="s">
        <v>8467</v>
      </c>
      <c r="B57" s="334" t="s">
        <v>54</v>
      </c>
      <c r="C57" s="334" t="s">
        <v>7</v>
      </c>
      <c r="D57" s="334" t="s">
        <v>46</v>
      </c>
      <c r="E57" s="421" t="str">
        <f t="shared" si="1"/>
        <v>合同大阪:阪和</v>
      </c>
      <c r="F57" s="334" t="s">
        <v>575</v>
      </c>
      <c r="G57" s="334">
        <v>56.0</v>
      </c>
    </row>
    <row r="58">
      <c r="A58" s="334" t="s">
        <v>8468</v>
      </c>
      <c r="B58" s="334" t="s">
        <v>54</v>
      </c>
      <c r="C58" s="334" t="s">
        <v>7</v>
      </c>
      <c r="D58" s="334" t="s">
        <v>46</v>
      </c>
      <c r="E58" s="421" t="str">
        <f t="shared" si="1"/>
        <v>合同大阪:阪和</v>
      </c>
      <c r="F58" s="334" t="s">
        <v>576</v>
      </c>
      <c r="G58" s="334">
        <v>57.0</v>
      </c>
    </row>
    <row r="59">
      <c r="A59" s="334" t="s">
        <v>8469</v>
      </c>
      <c r="B59" s="334" t="s">
        <v>54</v>
      </c>
      <c r="C59" s="334" t="s">
        <v>8</v>
      </c>
      <c r="D59" s="334" t="s">
        <v>50</v>
      </c>
      <c r="E59" s="421" t="str">
        <f t="shared" si="1"/>
        <v>産振ﾔｰﾄﾞ:産振</v>
      </c>
      <c r="F59" s="334" t="s">
        <v>1199</v>
      </c>
      <c r="G59" s="334">
        <v>58.0</v>
      </c>
    </row>
    <row r="60">
      <c r="A60" s="334" t="s">
        <v>8470</v>
      </c>
      <c r="B60" s="334" t="s">
        <v>54</v>
      </c>
      <c r="C60" s="334" t="s">
        <v>8</v>
      </c>
      <c r="D60" s="334" t="s">
        <v>50</v>
      </c>
      <c r="E60" s="421" t="str">
        <f t="shared" si="1"/>
        <v>産振ﾔｰﾄﾞ:産振</v>
      </c>
      <c r="F60" s="334" t="s">
        <v>101</v>
      </c>
      <c r="G60" s="334">
        <v>59.0</v>
      </c>
    </row>
    <row r="61">
      <c r="A61" s="334" t="s">
        <v>8471</v>
      </c>
      <c r="B61" s="334" t="s">
        <v>54</v>
      </c>
      <c r="C61" s="334" t="s">
        <v>8</v>
      </c>
      <c r="D61" s="334" t="s">
        <v>50</v>
      </c>
      <c r="E61" s="421" t="str">
        <f t="shared" si="1"/>
        <v>産振ﾔｰﾄﾞ:産振</v>
      </c>
      <c r="F61" s="334" t="s">
        <v>105</v>
      </c>
      <c r="G61" s="334">
        <v>60.0</v>
      </c>
    </row>
    <row r="62">
      <c r="A62" s="334" t="s">
        <v>8472</v>
      </c>
      <c r="B62" s="334" t="s">
        <v>54</v>
      </c>
      <c r="C62" s="334" t="s">
        <v>8</v>
      </c>
      <c r="D62" s="334" t="s">
        <v>50</v>
      </c>
      <c r="E62" s="421" t="str">
        <f t="shared" si="1"/>
        <v>産振ﾔｰﾄﾞ:産振</v>
      </c>
      <c r="F62" s="334" t="s">
        <v>108</v>
      </c>
      <c r="G62" s="334">
        <v>61.0</v>
      </c>
    </row>
    <row r="63">
      <c r="A63" s="334" t="s">
        <v>8473</v>
      </c>
      <c r="B63" s="334" t="s">
        <v>54</v>
      </c>
      <c r="C63" s="334" t="s">
        <v>8</v>
      </c>
      <c r="D63" s="334" t="s">
        <v>50</v>
      </c>
      <c r="E63" s="421" t="str">
        <f t="shared" si="1"/>
        <v>産振ﾔｰﾄﾞ:産振</v>
      </c>
      <c r="F63" s="334" t="s">
        <v>111</v>
      </c>
      <c r="G63" s="334">
        <v>62.0</v>
      </c>
    </row>
    <row r="64">
      <c r="A64" s="334" t="s">
        <v>8474</v>
      </c>
      <c r="B64" s="334" t="s">
        <v>54</v>
      </c>
      <c r="C64" s="334" t="s">
        <v>8</v>
      </c>
      <c r="D64" s="334" t="s">
        <v>50</v>
      </c>
      <c r="E64" s="421" t="str">
        <f t="shared" si="1"/>
        <v>産振ﾔｰﾄﾞ:産振</v>
      </c>
      <c r="F64" s="334" t="s">
        <v>116</v>
      </c>
      <c r="G64" s="334">
        <v>63.0</v>
      </c>
    </row>
    <row r="65">
      <c r="A65" s="334" t="s">
        <v>8475</v>
      </c>
      <c r="B65" s="334" t="s">
        <v>54</v>
      </c>
      <c r="C65" s="334" t="s">
        <v>8</v>
      </c>
      <c r="D65" s="334" t="s">
        <v>50</v>
      </c>
      <c r="E65" s="421" t="str">
        <f t="shared" si="1"/>
        <v>産振ﾔｰﾄﾞ:産振</v>
      </c>
      <c r="F65" s="334" t="s">
        <v>119</v>
      </c>
      <c r="G65" s="334">
        <v>64.0</v>
      </c>
    </row>
    <row r="66">
      <c r="A66" s="334" t="s">
        <v>8476</v>
      </c>
      <c r="B66" s="334" t="s">
        <v>54</v>
      </c>
      <c r="C66" s="334" t="s">
        <v>8</v>
      </c>
      <c r="D66" s="334" t="s">
        <v>50</v>
      </c>
      <c r="E66" s="421" t="str">
        <f t="shared" si="1"/>
        <v>産振ﾔｰﾄﾞ:産振</v>
      </c>
      <c r="F66" s="334" t="s">
        <v>122</v>
      </c>
      <c r="G66" s="334">
        <v>65.0</v>
      </c>
    </row>
    <row r="67">
      <c r="A67" s="334" t="s">
        <v>8477</v>
      </c>
      <c r="B67" s="334" t="s">
        <v>54</v>
      </c>
      <c r="C67" s="334" t="s">
        <v>8</v>
      </c>
      <c r="D67" s="334" t="s">
        <v>50</v>
      </c>
      <c r="E67" s="421" t="str">
        <f t="shared" si="1"/>
        <v>産振ﾔｰﾄﾞ:産振</v>
      </c>
      <c r="F67" s="334" t="s">
        <v>573</v>
      </c>
      <c r="G67" s="334">
        <v>66.0</v>
      </c>
    </row>
    <row r="68">
      <c r="A68" s="334" t="s">
        <v>8478</v>
      </c>
      <c r="B68" s="334" t="s">
        <v>54</v>
      </c>
      <c r="C68" s="334" t="s">
        <v>8</v>
      </c>
      <c r="D68" s="334" t="s">
        <v>50</v>
      </c>
      <c r="E68" s="421" t="str">
        <f t="shared" si="1"/>
        <v>産振ﾔｰﾄﾞ:産振</v>
      </c>
      <c r="F68" s="334" t="s">
        <v>130</v>
      </c>
      <c r="G68" s="334">
        <v>67.0</v>
      </c>
    </row>
    <row r="69">
      <c r="A69" s="334" t="s">
        <v>8479</v>
      </c>
      <c r="B69" s="334" t="s">
        <v>54</v>
      </c>
      <c r="C69" s="334" t="s">
        <v>8</v>
      </c>
      <c r="D69" s="334" t="s">
        <v>50</v>
      </c>
      <c r="E69" s="421" t="str">
        <f t="shared" si="1"/>
        <v>産振ﾔｰﾄﾞ:産振</v>
      </c>
      <c r="F69" s="334" t="s">
        <v>131</v>
      </c>
      <c r="G69" s="334">
        <v>68.0</v>
      </c>
    </row>
    <row r="70">
      <c r="A70" s="334" t="s">
        <v>8480</v>
      </c>
      <c r="B70" s="334" t="s">
        <v>54</v>
      </c>
      <c r="C70" s="334" t="s">
        <v>8</v>
      </c>
      <c r="D70" s="334" t="s">
        <v>50</v>
      </c>
      <c r="E70" s="421" t="str">
        <f t="shared" si="1"/>
        <v>産振ﾔｰﾄﾞ:産振</v>
      </c>
      <c r="F70" s="334" t="s">
        <v>574</v>
      </c>
      <c r="G70" s="334">
        <v>69.0</v>
      </c>
    </row>
    <row r="71">
      <c r="A71" s="334" t="s">
        <v>8481</v>
      </c>
      <c r="B71" s="334" t="s">
        <v>54</v>
      </c>
      <c r="C71" s="334" t="s">
        <v>8</v>
      </c>
      <c r="D71" s="334" t="s">
        <v>50</v>
      </c>
      <c r="E71" s="421" t="str">
        <f t="shared" si="1"/>
        <v>産振ﾔｰﾄﾞ:産振</v>
      </c>
      <c r="F71" s="334" t="s">
        <v>575</v>
      </c>
      <c r="G71" s="334">
        <v>70.0</v>
      </c>
    </row>
    <row r="72">
      <c r="A72" s="334" t="s">
        <v>8482</v>
      </c>
      <c r="B72" s="334" t="s">
        <v>54</v>
      </c>
      <c r="C72" s="334" t="s">
        <v>8</v>
      </c>
      <c r="D72" s="334" t="s">
        <v>50</v>
      </c>
      <c r="E72" s="421" t="str">
        <f t="shared" si="1"/>
        <v>産振ﾔｰﾄﾞ:産振</v>
      </c>
      <c r="F72" s="334" t="s">
        <v>576</v>
      </c>
      <c r="G72" s="334">
        <v>71.0</v>
      </c>
    </row>
    <row r="73">
      <c r="A73" s="334" t="s">
        <v>8483</v>
      </c>
      <c r="B73" s="334" t="s">
        <v>54</v>
      </c>
      <c r="C73" s="334" t="s">
        <v>8</v>
      </c>
      <c r="D73" s="334" t="s">
        <v>50</v>
      </c>
      <c r="E73" s="421" t="str">
        <f t="shared" si="1"/>
        <v>産振ﾔｰﾄﾞ:産振</v>
      </c>
      <c r="F73" s="334" t="s">
        <v>25</v>
      </c>
      <c r="G73" s="334">
        <v>72.0</v>
      </c>
    </row>
    <row r="74">
      <c r="A74" s="334" t="s">
        <v>8484</v>
      </c>
      <c r="B74" s="334" t="s">
        <v>54</v>
      </c>
      <c r="C74" s="334" t="s">
        <v>8</v>
      </c>
      <c r="D74" s="334" t="s">
        <v>50</v>
      </c>
      <c r="E74" s="421" t="str">
        <f t="shared" si="1"/>
        <v>産振ﾔｰﾄﾞ:産振</v>
      </c>
      <c r="F74" s="334" t="s">
        <v>145</v>
      </c>
      <c r="G74" s="334">
        <v>73.0</v>
      </c>
    </row>
    <row r="75">
      <c r="A75" s="334" t="s">
        <v>8485</v>
      </c>
      <c r="B75" s="334" t="s">
        <v>54</v>
      </c>
      <c r="C75" s="334" t="s">
        <v>8</v>
      </c>
      <c r="D75" s="334" t="s">
        <v>50</v>
      </c>
      <c r="E75" s="421" t="str">
        <f t="shared" si="1"/>
        <v>産振ﾔｰﾄﾞ:産振</v>
      </c>
      <c r="F75" s="334" t="s">
        <v>149</v>
      </c>
      <c r="G75" s="334">
        <v>74.0</v>
      </c>
    </row>
    <row r="76">
      <c r="A76" s="334" t="s">
        <v>8486</v>
      </c>
      <c r="B76" s="334" t="s">
        <v>54</v>
      </c>
      <c r="C76" s="334" t="s">
        <v>8</v>
      </c>
      <c r="D76" s="334" t="s">
        <v>50</v>
      </c>
      <c r="E76" s="421" t="str">
        <f t="shared" si="1"/>
        <v>産振ﾔｰﾄﾞ:産振</v>
      </c>
      <c r="F76" s="334" t="s">
        <v>151</v>
      </c>
      <c r="G76" s="334">
        <v>75.0</v>
      </c>
    </row>
    <row r="77">
      <c r="A77" s="334" t="s">
        <v>8487</v>
      </c>
      <c r="B77" s="334" t="s">
        <v>54</v>
      </c>
      <c r="C77" s="334" t="s">
        <v>8</v>
      </c>
      <c r="D77" s="334" t="s">
        <v>50</v>
      </c>
      <c r="E77" s="421" t="str">
        <f t="shared" si="1"/>
        <v>産振ﾔｰﾄﾞ:産振</v>
      </c>
      <c r="F77" s="334" t="s">
        <v>154</v>
      </c>
      <c r="G77" s="334">
        <v>76.0</v>
      </c>
    </row>
    <row r="78">
      <c r="A78" s="334" t="s">
        <v>8488</v>
      </c>
      <c r="B78" s="334" t="s">
        <v>54</v>
      </c>
      <c r="C78" s="334" t="s">
        <v>8</v>
      </c>
      <c r="D78" s="334" t="s">
        <v>50</v>
      </c>
      <c r="E78" s="421" t="str">
        <f t="shared" si="1"/>
        <v>産振ﾔｰﾄﾞ:産振</v>
      </c>
      <c r="F78" s="334" t="s">
        <v>156</v>
      </c>
      <c r="G78" s="334">
        <v>77.0</v>
      </c>
    </row>
    <row r="79">
      <c r="A79" s="334" t="s">
        <v>8489</v>
      </c>
      <c r="B79" s="334" t="s">
        <v>54</v>
      </c>
      <c r="C79" s="334" t="s">
        <v>8</v>
      </c>
      <c r="D79" s="334" t="s">
        <v>50</v>
      </c>
      <c r="E79" s="421" t="str">
        <f t="shared" si="1"/>
        <v>産振ﾔｰﾄﾞ:産振</v>
      </c>
      <c r="F79" s="334" t="s">
        <v>577</v>
      </c>
      <c r="G79" s="334">
        <v>78.0</v>
      </c>
    </row>
    <row r="80">
      <c r="A80" s="334" t="s">
        <v>8490</v>
      </c>
      <c r="B80" s="334" t="s">
        <v>54</v>
      </c>
      <c r="C80" s="334" t="s">
        <v>8</v>
      </c>
      <c r="D80" s="334" t="s">
        <v>50</v>
      </c>
      <c r="E80" s="421" t="str">
        <f t="shared" si="1"/>
        <v>産振ﾔｰﾄﾞ:産振</v>
      </c>
      <c r="F80" s="334" t="s">
        <v>157</v>
      </c>
      <c r="G80" s="334">
        <v>79.0</v>
      </c>
    </row>
    <row r="81">
      <c r="A81" s="334" t="s">
        <v>8491</v>
      </c>
      <c r="B81" s="334" t="s">
        <v>54</v>
      </c>
      <c r="C81" s="334" t="s">
        <v>8</v>
      </c>
      <c r="D81" s="334" t="s">
        <v>50</v>
      </c>
      <c r="E81" s="421" t="str">
        <f t="shared" si="1"/>
        <v>産振ﾔｰﾄﾞ:産振</v>
      </c>
      <c r="F81" s="334" t="s">
        <v>158</v>
      </c>
      <c r="G81" s="334">
        <v>80.0</v>
      </c>
    </row>
    <row r="82">
      <c r="A82" s="334" t="s">
        <v>8492</v>
      </c>
      <c r="B82" s="334" t="s">
        <v>54</v>
      </c>
      <c r="C82" s="421" t="s">
        <v>9</v>
      </c>
      <c r="D82" s="421" t="s">
        <v>51</v>
      </c>
      <c r="E82" s="421" t="str">
        <f t="shared" si="1"/>
        <v>大鉄　堺:大鉄堺</v>
      </c>
      <c r="F82" s="421" t="s">
        <v>111</v>
      </c>
      <c r="G82" s="334">
        <v>81.0</v>
      </c>
    </row>
    <row r="83">
      <c r="A83" s="334" t="s">
        <v>8493</v>
      </c>
      <c r="B83" s="334" t="s">
        <v>54</v>
      </c>
      <c r="C83" s="421" t="s">
        <v>9</v>
      </c>
      <c r="D83" s="421" t="s">
        <v>51</v>
      </c>
      <c r="E83" s="421" t="str">
        <f t="shared" si="1"/>
        <v>大鉄　堺:大鉄堺</v>
      </c>
      <c r="F83" s="421" t="s">
        <v>116</v>
      </c>
      <c r="G83" s="334">
        <v>82.0</v>
      </c>
    </row>
    <row r="84">
      <c r="A84" s="334" t="s">
        <v>8494</v>
      </c>
      <c r="B84" s="334" t="s">
        <v>54</v>
      </c>
      <c r="C84" s="421" t="s">
        <v>9</v>
      </c>
      <c r="D84" s="421" t="s">
        <v>51</v>
      </c>
      <c r="E84" s="421" t="str">
        <f t="shared" si="1"/>
        <v>大鉄　堺:大鉄堺</v>
      </c>
      <c r="F84" s="422" t="s">
        <v>1237</v>
      </c>
      <c r="G84" s="334">
        <v>83.0</v>
      </c>
    </row>
    <row r="85">
      <c r="A85" s="334" t="s">
        <v>8495</v>
      </c>
      <c r="B85" s="334" t="s">
        <v>54</v>
      </c>
      <c r="C85" s="421" t="s">
        <v>9</v>
      </c>
      <c r="D85" s="421" t="s">
        <v>51</v>
      </c>
      <c r="E85" s="421" t="str">
        <f t="shared" si="1"/>
        <v>大鉄　堺:大鉄堺</v>
      </c>
      <c r="F85" s="421" t="s">
        <v>119</v>
      </c>
      <c r="G85" s="334">
        <v>84.0</v>
      </c>
    </row>
    <row r="86">
      <c r="A86" s="334" t="s">
        <v>8496</v>
      </c>
      <c r="B86" s="334" t="s">
        <v>54</v>
      </c>
      <c r="C86" s="421" t="s">
        <v>9</v>
      </c>
      <c r="D86" s="421" t="s">
        <v>51</v>
      </c>
      <c r="E86" s="421" t="str">
        <f t="shared" si="1"/>
        <v>大鉄　堺:大鉄堺</v>
      </c>
      <c r="F86" s="421" t="s">
        <v>122</v>
      </c>
      <c r="G86" s="334">
        <v>85.0</v>
      </c>
    </row>
    <row r="87">
      <c r="A87" s="334" t="s">
        <v>8497</v>
      </c>
      <c r="B87" s="334" t="s">
        <v>54</v>
      </c>
      <c r="C87" s="421" t="s">
        <v>9</v>
      </c>
      <c r="D87" s="421" t="s">
        <v>51</v>
      </c>
      <c r="E87" s="421" t="str">
        <f t="shared" si="1"/>
        <v>大鉄　堺:大鉄堺</v>
      </c>
      <c r="F87" s="421" t="s">
        <v>130</v>
      </c>
      <c r="G87" s="334">
        <v>86.0</v>
      </c>
    </row>
    <row r="88">
      <c r="A88" s="334" t="s">
        <v>8498</v>
      </c>
      <c r="B88" s="334" t="s">
        <v>54</v>
      </c>
      <c r="C88" s="421" t="s">
        <v>9</v>
      </c>
      <c r="D88" s="421" t="s">
        <v>51</v>
      </c>
      <c r="E88" s="421" t="str">
        <f t="shared" si="1"/>
        <v>大鉄　堺:大鉄堺</v>
      </c>
      <c r="F88" s="421" t="s">
        <v>131</v>
      </c>
      <c r="G88" s="334">
        <v>87.0</v>
      </c>
    </row>
    <row r="89">
      <c r="A89" s="334" t="s">
        <v>8499</v>
      </c>
      <c r="B89" s="334" t="s">
        <v>54</v>
      </c>
      <c r="C89" s="421" t="s">
        <v>9</v>
      </c>
      <c r="D89" s="421" t="s">
        <v>51</v>
      </c>
      <c r="E89" s="421" t="str">
        <f t="shared" si="1"/>
        <v>大鉄　堺:大鉄堺</v>
      </c>
      <c r="F89" s="334" t="s">
        <v>575</v>
      </c>
      <c r="G89" s="334">
        <v>88.0</v>
      </c>
    </row>
    <row r="90">
      <c r="A90" s="334" t="s">
        <v>8500</v>
      </c>
      <c r="B90" s="334" t="s">
        <v>54</v>
      </c>
      <c r="C90" s="421" t="s">
        <v>9</v>
      </c>
      <c r="D90" s="421" t="s">
        <v>51</v>
      </c>
      <c r="E90" s="421" t="str">
        <f t="shared" si="1"/>
        <v>大鉄　堺:大鉄堺</v>
      </c>
      <c r="F90" s="334" t="s">
        <v>576</v>
      </c>
      <c r="G90" s="334">
        <v>89.0</v>
      </c>
    </row>
    <row r="91">
      <c r="A91" s="334" t="s">
        <v>8501</v>
      </c>
      <c r="B91" s="334" t="s">
        <v>54</v>
      </c>
      <c r="C91" s="421" t="s">
        <v>9</v>
      </c>
      <c r="D91" s="421" t="s">
        <v>51</v>
      </c>
      <c r="E91" s="421" t="str">
        <f t="shared" si="1"/>
        <v>大鉄　堺:大鉄堺</v>
      </c>
      <c r="F91" s="421" t="s">
        <v>145</v>
      </c>
      <c r="G91" s="334">
        <v>90.0</v>
      </c>
    </row>
    <row r="92">
      <c r="A92" s="334" t="s">
        <v>8502</v>
      </c>
      <c r="B92" s="334" t="s">
        <v>54</v>
      </c>
      <c r="C92" s="421" t="s">
        <v>9</v>
      </c>
      <c r="D92" s="421" t="s">
        <v>51</v>
      </c>
      <c r="E92" s="421" t="str">
        <f t="shared" si="1"/>
        <v>大鉄　堺:大鉄堺</v>
      </c>
      <c r="F92" s="421" t="s">
        <v>149</v>
      </c>
      <c r="G92" s="334">
        <v>91.0</v>
      </c>
    </row>
    <row r="93">
      <c r="A93" s="334" t="s">
        <v>8503</v>
      </c>
      <c r="B93" s="334" t="s">
        <v>54</v>
      </c>
      <c r="C93" s="421" t="s">
        <v>9</v>
      </c>
      <c r="D93" s="421" t="s">
        <v>51</v>
      </c>
      <c r="E93" s="421" t="str">
        <f t="shared" si="1"/>
        <v>大鉄　堺:大鉄堺</v>
      </c>
      <c r="F93" s="421" t="s">
        <v>151</v>
      </c>
      <c r="G93" s="334">
        <v>92.0</v>
      </c>
    </row>
    <row r="94">
      <c r="A94" s="334" t="s">
        <v>8504</v>
      </c>
      <c r="B94" s="334" t="s">
        <v>54</v>
      </c>
      <c r="C94" s="421" t="s">
        <v>9</v>
      </c>
      <c r="D94" s="421" t="s">
        <v>51</v>
      </c>
      <c r="E94" s="421" t="str">
        <f t="shared" si="1"/>
        <v>大鉄　堺:大鉄堺</v>
      </c>
      <c r="F94" s="421" t="s">
        <v>154</v>
      </c>
      <c r="G94" s="334">
        <v>93.0</v>
      </c>
    </row>
    <row r="95">
      <c r="A95" s="334" t="s">
        <v>8505</v>
      </c>
      <c r="B95" s="334" t="s">
        <v>54</v>
      </c>
      <c r="C95" s="421" t="s">
        <v>9</v>
      </c>
      <c r="D95" s="421" t="s">
        <v>51</v>
      </c>
      <c r="E95" s="421" t="str">
        <f t="shared" si="1"/>
        <v>大鉄　堺:大鉄堺</v>
      </c>
      <c r="F95" s="421" t="s">
        <v>156</v>
      </c>
      <c r="G95" s="334">
        <v>94.0</v>
      </c>
    </row>
    <row r="96">
      <c r="A96" s="334" t="s">
        <v>8506</v>
      </c>
      <c r="B96" s="334" t="s">
        <v>54</v>
      </c>
      <c r="C96" s="421" t="s">
        <v>9</v>
      </c>
      <c r="D96" s="421" t="s">
        <v>47</v>
      </c>
      <c r="E96" s="421" t="str">
        <f t="shared" si="1"/>
        <v>大鉄　堺:豊通</v>
      </c>
      <c r="F96" s="421" t="s">
        <v>111</v>
      </c>
      <c r="G96" s="334">
        <v>95.0</v>
      </c>
    </row>
    <row r="97">
      <c r="A97" s="334" t="s">
        <v>8507</v>
      </c>
      <c r="B97" s="334" t="s">
        <v>54</v>
      </c>
      <c r="C97" s="421" t="s">
        <v>9</v>
      </c>
      <c r="D97" s="421" t="s">
        <v>47</v>
      </c>
      <c r="E97" s="421" t="str">
        <f t="shared" si="1"/>
        <v>大鉄　堺:豊通</v>
      </c>
      <c r="F97" s="422" t="s">
        <v>1237</v>
      </c>
      <c r="G97" s="334">
        <v>96.0</v>
      </c>
    </row>
    <row r="98">
      <c r="A98" s="334" t="s">
        <v>8508</v>
      </c>
      <c r="B98" s="334" t="s">
        <v>54</v>
      </c>
      <c r="C98" s="421" t="s">
        <v>9</v>
      </c>
      <c r="D98" s="421" t="s">
        <v>47</v>
      </c>
      <c r="E98" s="421" t="str">
        <f t="shared" si="1"/>
        <v>大鉄　堺:豊通</v>
      </c>
      <c r="F98" s="421" t="s">
        <v>116</v>
      </c>
      <c r="G98" s="334">
        <v>97.0</v>
      </c>
    </row>
    <row r="99">
      <c r="A99" s="334" t="s">
        <v>8509</v>
      </c>
      <c r="B99" s="334" t="s">
        <v>54</v>
      </c>
      <c r="C99" s="421" t="s">
        <v>9</v>
      </c>
      <c r="D99" s="421" t="s">
        <v>47</v>
      </c>
      <c r="E99" s="421" t="str">
        <f t="shared" si="1"/>
        <v>大鉄　堺:豊通</v>
      </c>
      <c r="F99" s="421" t="s">
        <v>119</v>
      </c>
      <c r="G99" s="334">
        <v>98.0</v>
      </c>
    </row>
    <row r="100">
      <c r="A100" s="334" t="s">
        <v>8510</v>
      </c>
      <c r="B100" s="334" t="s">
        <v>54</v>
      </c>
      <c r="C100" s="421" t="s">
        <v>9</v>
      </c>
      <c r="D100" s="421" t="s">
        <v>47</v>
      </c>
      <c r="E100" s="421" t="str">
        <f t="shared" si="1"/>
        <v>大鉄　堺:豊通</v>
      </c>
      <c r="F100" s="421" t="s">
        <v>122</v>
      </c>
      <c r="G100" s="334">
        <v>99.0</v>
      </c>
    </row>
    <row r="101">
      <c r="A101" s="334" t="s">
        <v>8511</v>
      </c>
      <c r="B101" s="334" t="s">
        <v>54</v>
      </c>
      <c r="C101" s="421" t="s">
        <v>9</v>
      </c>
      <c r="D101" s="421" t="s">
        <v>47</v>
      </c>
      <c r="E101" s="421" t="str">
        <f t="shared" si="1"/>
        <v>大鉄　堺:豊通</v>
      </c>
      <c r="F101" s="421" t="s">
        <v>130</v>
      </c>
      <c r="G101" s="334">
        <v>100.0</v>
      </c>
    </row>
    <row r="102">
      <c r="A102" s="334" t="s">
        <v>8512</v>
      </c>
      <c r="B102" s="334" t="s">
        <v>54</v>
      </c>
      <c r="C102" s="421" t="s">
        <v>9</v>
      </c>
      <c r="D102" s="421" t="s">
        <v>47</v>
      </c>
      <c r="E102" s="421" t="str">
        <f t="shared" si="1"/>
        <v>大鉄　堺:豊通</v>
      </c>
      <c r="F102" s="421" t="s">
        <v>131</v>
      </c>
      <c r="G102" s="334">
        <v>101.0</v>
      </c>
    </row>
    <row r="103">
      <c r="A103" s="334" t="s">
        <v>8513</v>
      </c>
      <c r="B103" s="334" t="s">
        <v>54</v>
      </c>
      <c r="C103" s="421" t="s">
        <v>9</v>
      </c>
      <c r="D103" s="421" t="s">
        <v>47</v>
      </c>
      <c r="E103" s="421" t="str">
        <f t="shared" si="1"/>
        <v>大鉄　堺:豊通</v>
      </c>
      <c r="F103" s="334" t="s">
        <v>575</v>
      </c>
      <c r="G103" s="334">
        <v>102.0</v>
      </c>
    </row>
    <row r="104">
      <c r="A104" s="334" t="s">
        <v>8514</v>
      </c>
      <c r="B104" s="334" t="s">
        <v>54</v>
      </c>
      <c r="C104" s="421" t="s">
        <v>9</v>
      </c>
      <c r="D104" s="421" t="s">
        <v>47</v>
      </c>
      <c r="E104" s="421" t="str">
        <f t="shared" si="1"/>
        <v>大鉄　堺:豊通</v>
      </c>
      <c r="F104" s="334" t="s">
        <v>576</v>
      </c>
      <c r="G104" s="334">
        <v>103.0</v>
      </c>
    </row>
    <row r="105">
      <c r="A105" s="334" t="s">
        <v>8515</v>
      </c>
      <c r="B105" s="334" t="s">
        <v>54</v>
      </c>
      <c r="C105" s="421" t="s">
        <v>9</v>
      </c>
      <c r="D105" s="421" t="s">
        <v>47</v>
      </c>
      <c r="E105" s="421" t="str">
        <f t="shared" si="1"/>
        <v>大鉄　堺:豊通</v>
      </c>
      <c r="F105" s="421" t="s">
        <v>145</v>
      </c>
      <c r="G105" s="334">
        <v>104.0</v>
      </c>
    </row>
    <row r="106">
      <c r="A106" s="334" t="s">
        <v>8516</v>
      </c>
      <c r="B106" s="334" t="s">
        <v>54</v>
      </c>
      <c r="C106" s="421" t="s">
        <v>9</v>
      </c>
      <c r="D106" s="421" t="s">
        <v>47</v>
      </c>
      <c r="E106" s="421" t="str">
        <f t="shared" si="1"/>
        <v>大鉄　堺:豊通</v>
      </c>
      <c r="F106" s="421" t="s">
        <v>149</v>
      </c>
      <c r="G106" s="334">
        <v>105.0</v>
      </c>
    </row>
    <row r="107">
      <c r="A107" s="334" t="s">
        <v>8517</v>
      </c>
      <c r="B107" s="334" t="s">
        <v>54</v>
      </c>
      <c r="C107" s="421" t="s">
        <v>9</v>
      </c>
      <c r="D107" s="421" t="s">
        <v>47</v>
      </c>
      <c r="E107" s="421" t="str">
        <f t="shared" si="1"/>
        <v>大鉄　堺:豊通</v>
      </c>
      <c r="F107" s="421" t="s">
        <v>151</v>
      </c>
      <c r="G107" s="334">
        <v>106.0</v>
      </c>
    </row>
    <row r="108">
      <c r="A108" s="334" t="s">
        <v>8518</v>
      </c>
      <c r="B108" s="334" t="s">
        <v>54</v>
      </c>
      <c r="C108" s="421" t="s">
        <v>9</v>
      </c>
      <c r="D108" s="421" t="s">
        <v>47</v>
      </c>
      <c r="E108" s="421" t="str">
        <f t="shared" si="1"/>
        <v>大鉄　堺:豊通</v>
      </c>
      <c r="F108" s="421" t="s">
        <v>154</v>
      </c>
      <c r="G108" s="334">
        <v>107.0</v>
      </c>
    </row>
    <row r="109">
      <c r="A109" s="334" t="s">
        <v>8519</v>
      </c>
      <c r="B109" s="334" t="s">
        <v>54</v>
      </c>
      <c r="C109" s="421" t="s">
        <v>9</v>
      </c>
      <c r="D109" s="421" t="s">
        <v>47</v>
      </c>
      <c r="E109" s="421" t="str">
        <f t="shared" si="1"/>
        <v>大鉄　堺:豊通</v>
      </c>
      <c r="F109" s="421" t="s">
        <v>156</v>
      </c>
      <c r="G109" s="334">
        <v>108.0</v>
      </c>
    </row>
    <row r="110">
      <c r="A110" s="334" t="s">
        <v>8520</v>
      </c>
      <c r="B110" s="334" t="s">
        <v>54</v>
      </c>
      <c r="C110" s="421" t="s">
        <v>9</v>
      </c>
      <c r="D110" s="334" t="s">
        <v>8521</v>
      </c>
      <c r="E110" s="421" t="str">
        <f t="shared" si="1"/>
        <v>大鉄　堺:産振	</v>
      </c>
      <c r="F110" s="334" t="s">
        <v>111</v>
      </c>
      <c r="G110" s="334">
        <v>109.0</v>
      </c>
    </row>
    <row r="111">
      <c r="A111" s="334" t="s">
        <v>8522</v>
      </c>
      <c r="B111" s="334" t="s">
        <v>54</v>
      </c>
      <c r="C111" s="421" t="s">
        <v>9</v>
      </c>
      <c r="D111" s="334" t="s">
        <v>8521</v>
      </c>
      <c r="E111" s="421" t="str">
        <f t="shared" si="1"/>
        <v>大鉄　堺:産振	</v>
      </c>
      <c r="F111" s="334" t="s">
        <v>116</v>
      </c>
      <c r="G111" s="334">
        <v>110.0</v>
      </c>
    </row>
    <row r="112">
      <c r="A112" s="334" t="s">
        <v>8523</v>
      </c>
      <c r="B112" s="334" t="s">
        <v>54</v>
      </c>
      <c r="C112" s="421" t="s">
        <v>9</v>
      </c>
      <c r="D112" s="334" t="s">
        <v>8521</v>
      </c>
      <c r="E112" s="421" t="s">
        <v>8524</v>
      </c>
      <c r="F112" s="334" t="s">
        <v>119</v>
      </c>
      <c r="G112" s="334">
        <v>111.0</v>
      </c>
    </row>
    <row r="113">
      <c r="A113" s="334" t="s">
        <v>8525</v>
      </c>
      <c r="B113" s="334" t="s">
        <v>54</v>
      </c>
      <c r="C113" s="421" t="s">
        <v>9</v>
      </c>
      <c r="D113" s="334" t="s">
        <v>8521</v>
      </c>
      <c r="E113" s="421" t="str">
        <f t="shared" ref="E113:E114" si="2">C113&amp;":"&amp;D113</f>
        <v>大鉄　堺:産振	</v>
      </c>
      <c r="F113" s="334" t="s">
        <v>154</v>
      </c>
      <c r="G113" s="334">
        <v>112.0</v>
      </c>
    </row>
    <row r="114">
      <c r="A114" s="334" t="s">
        <v>8526</v>
      </c>
      <c r="B114" s="334" t="s">
        <v>54</v>
      </c>
      <c r="C114" s="421" t="s">
        <v>9</v>
      </c>
      <c r="D114" s="334" t="s">
        <v>8521</v>
      </c>
      <c r="E114" s="421" t="str">
        <f t="shared" si="2"/>
        <v>大鉄　堺:産振	</v>
      </c>
      <c r="F114" s="334" t="s">
        <v>156</v>
      </c>
      <c r="G114" s="334">
        <v>113.0</v>
      </c>
    </row>
    <row r="115">
      <c r="A115" s="334" t="s">
        <v>8527</v>
      </c>
      <c r="B115" s="334" t="s">
        <v>54</v>
      </c>
      <c r="C115" s="421" t="s">
        <v>9</v>
      </c>
      <c r="D115" s="334" t="s">
        <v>8521</v>
      </c>
      <c r="E115" s="421" t="s">
        <v>8524</v>
      </c>
      <c r="F115" s="334" t="s">
        <v>122</v>
      </c>
      <c r="G115" s="334">
        <v>114.0</v>
      </c>
    </row>
    <row r="116">
      <c r="A116" s="334" t="s">
        <v>8528</v>
      </c>
      <c r="B116" s="334" t="s">
        <v>54</v>
      </c>
      <c r="C116" s="421" t="s">
        <v>9</v>
      </c>
      <c r="D116" s="334" t="s">
        <v>8521</v>
      </c>
      <c r="E116" s="421" t="s">
        <v>8524</v>
      </c>
      <c r="F116" s="334" t="s">
        <v>130</v>
      </c>
      <c r="G116" s="334">
        <v>115.0</v>
      </c>
    </row>
    <row r="117">
      <c r="A117" s="334" t="s">
        <v>8529</v>
      </c>
      <c r="B117" s="334" t="s">
        <v>54</v>
      </c>
      <c r="C117" s="421" t="s">
        <v>9</v>
      </c>
      <c r="D117" s="334" t="s">
        <v>8521</v>
      </c>
      <c r="E117" s="421" t="s">
        <v>8524</v>
      </c>
      <c r="F117" s="334" t="s">
        <v>131</v>
      </c>
      <c r="G117" s="334">
        <v>116.0</v>
      </c>
    </row>
    <row r="118">
      <c r="A118" s="334" t="s">
        <v>8530</v>
      </c>
      <c r="B118" s="334" t="s">
        <v>54</v>
      </c>
      <c r="C118" s="421" t="s">
        <v>9</v>
      </c>
      <c r="D118" s="334" t="s">
        <v>8521</v>
      </c>
      <c r="E118" s="421" t="s">
        <v>8524</v>
      </c>
      <c r="F118" s="334" t="s">
        <v>575</v>
      </c>
      <c r="G118" s="334">
        <v>117.0</v>
      </c>
    </row>
    <row r="119">
      <c r="A119" s="334" t="s">
        <v>8531</v>
      </c>
      <c r="B119" s="334" t="s">
        <v>54</v>
      </c>
      <c r="C119" s="421" t="s">
        <v>9</v>
      </c>
      <c r="D119" s="334" t="s">
        <v>8532</v>
      </c>
      <c r="E119" s="421" t="str">
        <f t="shared" ref="E119:E329" si="3">C119&amp;":"&amp;D119</f>
        <v>大鉄　堺:伊藤忠	</v>
      </c>
      <c r="F119" s="334" t="s">
        <v>111</v>
      </c>
      <c r="G119" s="334">
        <v>118.0</v>
      </c>
    </row>
    <row r="120">
      <c r="A120" s="334" t="s">
        <v>8533</v>
      </c>
      <c r="B120" s="334" t="s">
        <v>54</v>
      </c>
      <c r="C120" s="421" t="s">
        <v>9</v>
      </c>
      <c r="D120" s="334" t="s">
        <v>8532</v>
      </c>
      <c r="E120" s="421" t="str">
        <f t="shared" si="3"/>
        <v>大鉄　堺:伊藤忠	</v>
      </c>
      <c r="F120" s="422" t="s">
        <v>1237</v>
      </c>
      <c r="G120" s="334">
        <v>119.0</v>
      </c>
    </row>
    <row r="121">
      <c r="A121" s="334" t="s">
        <v>8534</v>
      </c>
      <c r="B121" s="334" t="s">
        <v>54</v>
      </c>
      <c r="C121" s="421" t="s">
        <v>9</v>
      </c>
      <c r="D121" s="334" t="s">
        <v>8532</v>
      </c>
      <c r="E121" s="421" t="str">
        <f t="shared" si="3"/>
        <v>大鉄　堺:伊藤忠	</v>
      </c>
      <c r="F121" s="334" t="s">
        <v>116</v>
      </c>
      <c r="G121" s="334">
        <v>120.0</v>
      </c>
    </row>
    <row r="122">
      <c r="A122" s="334" t="s">
        <v>8535</v>
      </c>
      <c r="B122" s="334" t="s">
        <v>54</v>
      </c>
      <c r="C122" s="421" t="s">
        <v>9</v>
      </c>
      <c r="D122" s="334" t="s">
        <v>8532</v>
      </c>
      <c r="E122" s="421" t="str">
        <f t="shared" si="3"/>
        <v>大鉄　堺:伊藤忠	</v>
      </c>
      <c r="F122" s="334" t="s">
        <v>119</v>
      </c>
      <c r="G122" s="334">
        <v>121.0</v>
      </c>
    </row>
    <row r="123">
      <c r="A123" s="334" t="s">
        <v>8536</v>
      </c>
      <c r="B123" s="334" t="s">
        <v>54</v>
      </c>
      <c r="C123" s="421" t="s">
        <v>9</v>
      </c>
      <c r="D123" s="334" t="s">
        <v>8532</v>
      </c>
      <c r="E123" s="421" t="str">
        <f t="shared" si="3"/>
        <v>大鉄　堺:伊藤忠	</v>
      </c>
      <c r="F123" s="334" t="s">
        <v>122</v>
      </c>
      <c r="G123" s="334">
        <v>122.0</v>
      </c>
    </row>
    <row r="124">
      <c r="A124" s="334" t="s">
        <v>8537</v>
      </c>
      <c r="B124" s="334" t="s">
        <v>54</v>
      </c>
      <c r="C124" s="421" t="s">
        <v>9</v>
      </c>
      <c r="D124" s="334" t="s">
        <v>8532</v>
      </c>
      <c r="E124" s="421" t="str">
        <f t="shared" si="3"/>
        <v>大鉄　堺:伊藤忠	</v>
      </c>
      <c r="F124" s="334" t="s">
        <v>130</v>
      </c>
      <c r="G124" s="334">
        <v>123.0</v>
      </c>
    </row>
    <row r="125">
      <c r="A125" s="334" t="s">
        <v>8538</v>
      </c>
      <c r="B125" s="334" t="s">
        <v>54</v>
      </c>
      <c r="C125" s="421" t="s">
        <v>9</v>
      </c>
      <c r="D125" s="334" t="s">
        <v>8532</v>
      </c>
      <c r="E125" s="421" t="str">
        <f t="shared" si="3"/>
        <v>大鉄　堺:伊藤忠	</v>
      </c>
      <c r="F125" s="334" t="s">
        <v>131</v>
      </c>
      <c r="G125" s="334">
        <v>124.0</v>
      </c>
    </row>
    <row r="126">
      <c r="A126" s="334" t="s">
        <v>8539</v>
      </c>
      <c r="B126" s="414" t="s">
        <v>54</v>
      </c>
      <c r="C126" s="352" t="s">
        <v>9</v>
      </c>
      <c r="D126" s="414" t="s">
        <v>48</v>
      </c>
      <c r="E126" s="352" t="str">
        <f t="shared" si="3"/>
        <v>大鉄　堺:ナベ</v>
      </c>
      <c r="F126" s="414" t="s">
        <v>111</v>
      </c>
      <c r="G126" s="334">
        <v>125.0</v>
      </c>
    </row>
    <row r="127">
      <c r="A127" s="334" t="s">
        <v>8540</v>
      </c>
      <c r="B127" s="414" t="s">
        <v>54</v>
      </c>
      <c r="C127" s="352" t="s">
        <v>9</v>
      </c>
      <c r="D127" s="414" t="s">
        <v>48</v>
      </c>
      <c r="E127" s="352" t="str">
        <f t="shared" si="3"/>
        <v>大鉄　堺:ナベ</v>
      </c>
      <c r="F127" s="414" t="s">
        <v>116</v>
      </c>
      <c r="G127" s="334">
        <v>126.0</v>
      </c>
    </row>
    <row r="128">
      <c r="A128" s="334" t="s">
        <v>8541</v>
      </c>
      <c r="B128" s="414" t="s">
        <v>54</v>
      </c>
      <c r="C128" s="352" t="s">
        <v>9</v>
      </c>
      <c r="D128" s="414" t="s">
        <v>48</v>
      </c>
      <c r="E128" s="352" t="str">
        <f t="shared" si="3"/>
        <v>大鉄　堺:ナベ</v>
      </c>
      <c r="F128" s="414" t="s">
        <v>119</v>
      </c>
      <c r="G128" s="334">
        <v>127.0</v>
      </c>
    </row>
    <row r="129">
      <c r="A129" s="334" t="s">
        <v>8542</v>
      </c>
      <c r="B129" s="414" t="s">
        <v>54</v>
      </c>
      <c r="C129" s="352" t="s">
        <v>9</v>
      </c>
      <c r="D129" s="414" t="s">
        <v>48</v>
      </c>
      <c r="E129" s="352" t="str">
        <f t="shared" si="3"/>
        <v>大鉄　堺:ナベ</v>
      </c>
      <c r="F129" s="414" t="s">
        <v>122</v>
      </c>
      <c r="G129" s="334">
        <v>128.0</v>
      </c>
    </row>
    <row r="130">
      <c r="A130" s="334" t="s">
        <v>8543</v>
      </c>
      <c r="B130" s="334" t="s">
        <v>54</v>
      </c>
      <c r="C130" s="334" t="s">
        <v>10</v>
      </c>
      <c r="D130" s="334" t="s">
        <v>47</v>
      </c>
      <c r="E130" s="421" t="str">
        <f t="shared" si="3"/>
        <v>岸和田:豊通</v>
      </c>
      <c r="F130" s="334" t="s">
        <v>111</v>
      </c>
      <c r="G130" s="334">
        <v>129.0</v>
      </c>
    </row>
    <row r="131">
      <c r="A131" s="334" t="s">
        <v>8544</v>
      </c>
      <c r="B131" s="334" t="s">
        <v>54</v>
      </c>
      <c r="C131" s="334" t="s">
        <v>10</v>
      </c>
      <c r="D131" s="334" t="s">
        <v>47</v>
      </c>
      <c r="E131" s="421" t="str">
        <f t="shared" si="3"/>
        <v>岸和田:豊通</v>
      </c>
      <c r="F131" s="334" t="s">
        <v>116</v>
      </c>
      <c r="G131" s="334">
        <v>130.0</v>
      </c>
    </row>
    <row r="132">
      <c r="A132" s="334" t="s">
        <v>8545</v>
      </c>
      <c r="B132" s="334" t="s">
        <v>54</v>
      </c>
      <c r="C132" s="334" t="s">
        <v>10</v>
      </c>
      <c r="D132" s="334" t="s">
        <v>47</v>
      </c>
      <c r="E132" s="421" t="str">
        <f t="shared" si="3"/>
        <v>岸和田:豊通</v>
      </c>
      <c r="F132" s="334" t="s">
        <v>119</v>
      </c>
      <c r="G132" s="334">
        <v>131.0</v>
      </c>
    </row>
    <row r="133">
      <c r="A133" s="334" t="s">
        <v>8546</v>
      </c>
      <c r="B133" s="334" t="s">
        <v>54</v>
      </c>
      <c r="C133" s="334" t="s">
        <v>10</v>
      </c>
      <c r="D133" s="334" t="s">
        <v>47</v>
      </c>
      <c r="E133" s="421" t="str">
        <f t="shared" si="3"/>
        <v>岸和田:豊通</v>
      </c>
      <c r="F133" s="334" t="s">
        <v>122</v>
      </c>
      <c r="G133" s="334">
        <v>132.0</v>
      </c>
    </row>
    <row r="134">
      <c r="A134" s="334" t="s">
        <v>8547</v>
      </c>
      <c r="B134" s="334" t="s">
        <v>54</v>
      </c>
      <c r="C134" s="334" t="s">
        <v>10</v>
      </c>
      <c r="D134" s="334" t="s">
        <v>47</v>
      </c>
      <c r="E134" s="421" t="str">
        <f t="shared" si="3"/>
        <v>岸和田:豊通</v>
      </c>
      <c r="F134" s="334" t="s">
        <v>154</v>
      </c>
      <c r="G134" s="334">
        <v>133.0</v>
      </c>
    </row>
    <row r="135">
      <c r="A135" s="334" t="s">
        <v>8548</v>
      </c>
      <c r="B135" s="414" t="s">
        <v>54</v>
      </c>
      <c r="C135" s="414" t="s">
        <v>10</v>
      </c>
      <c r="D135" s="414" t="s">
        <v>46</v>
      </c>
      <c r="E135" s="352" t="str">
        <f t="shared" si="3"/>
        <v>岸和田:阪和</v>
      </c>
      <c r="F135" s="352" t="s">
        <v>145</v>
      </c>
      <c r="G135" s="334">
        <v>134.0</v>
      </c>
    </row>
    <row r="136">
      <c r="A136" s="334" t="s">
        <v>8549</v>
      </c>
      <c r="B136" s="414" t="s">
        <v>54</v>
      </c>
      <c r="C136" s="414" t="s">
        <v>10</v>
      </c>
      <c r="D136" s="414" t="s">
        <v>46</v>
      </c>
      <c r="E136" s="352" t="str">
        <f t="shared" si="3"/>
        <v>岸和田:阪和</v>
      </c>
      <c r="F136" s="352" t="s">
        <v>149</v>
      </c>
      <c r="G136" s="334">
        <v>135.0</v>
      </c>
    </row>
    <row r="137">
      <c r="A137" s="334" t="s">
        <v>8550</v>
      </c>
      <c r="B137" s="414" t="s">
        <v>54</v>
      </c>
      <c r="C137" s="414" t="s">
        <v>10</v>
      </c>
      <c r="D137" s="414" t="s">
        <v>46</v>
      </c>
      <c r="E137" s="352" t="str">
        <f t="shared" si="3"/>
        <v>岸和田:阪和</v>
      </c>
      <c r="F137" s="352" t="s">
        <v>151</v>
      </c>
      <c r="G137" s="334">
        <v>136.0</v>
      </c>
    </row>
    <row r="138">
      <c r="A138" s="334" t="s">
        <v>8551</v>
      </c>
      <c r="B138" s="414" t="s">
        <v>54</v>
      </c>
      <c r="C138" s="414" t="s">
        <v>10</v>
      </c>
      <c r="D138" s="414" t="s">
        <v>539</v>
      </c>
      <c r="E138" s="352" t="str">
        <f t="shared" si="3"/>
        <v>岸和田:岡谷鋼機</v>
      </c>
      <c r="F138" s="414" t="s">
        <v>111</v>
      </c>
      <c r="G138" s="334">
        <v>137.0</v>
      </c>
    </row>
    <row r="139">
      <c r="A139" s="334" t="s">
        <v>8552</v>
      </c>
      <c r="B139" s="414" t="s">
        <v>54</v>
      </c>
      <c r="C139" s="414" t="s">
        <v>10</v>
      </c>
      <c r="D139" s="414" t="s">
        <v>539</v>
      </c>
      <c r="E139" s="352" t="str">
        <f t="shared" si="3"/>
        <v>岸和田:岡谷鋼機</v>
      </c>
      <c r="F139" s="414" t="s">
        <v>116</v>
      </c>
      <c r="G139" s="334">
        <v>138.0</v>
      </c>
    </row>
    <row r="140">
      <c r="A140" s="334" t="s">
        <v>8553</v>
      </c>
      <c r="B140" s="414" t="s">
        <v>54</v>
      </c>
      <c r="C140" s="414" t="s">
        <v>10</v>
      </c>
      <c r="D140" s="414" t="s">
        <v>539</v>
      </c>
      <c r="E140" s="352" t="str">
        <f t="shared" si="3"/>
        <v>岸和田:岡谷鋼機</v>
      </c>
      <c r="F140" s="414" t="s">
        <v>119</v>
      </c>
      <c r="G140" s="334">
        <v>139.0</v>
      </c>
    </row>
    <row r="141">
      <c r="A141" s="334" t="s">
        <v>8554</v>
      </c>
      <c r="B141" s="334" t="s">
        <v>54</v>
      </c>
      <c r="C141" s="334" t="s">
        <v>10</v>
      </c>
      <c r="D141" s="334" t="s">
        <v>52</v>
      </c>
      <c r="E141" s="421" t="str">
        <f t="shared" si="3"/>
        <v>岸和田:リバイブ</v>
      </c>
      <c r="F141" s="334" t="s">
        <v>111</v>
      </c>
      <c r="G141" s="334">
        <v>140.0</v>
      </c>
    </row>
    <row r="142">
      <c r="A142" s="334" t="s">
        <v>8555</v>
      </c>
      <c r="B142" s="334" t="s">
        <v>54</v>
      </c>
      <c r="C142" s="334" t="s">
        <v>10</v>
      </c>
      <c r="D142" s="334" t="s">
        <v>52</v>
      </c>
      <c r="E142" s="421" t="str">
        <f t="shared" si="3"/>
        <v>岸和田:リバイブ</v>
      </c>
      <c r="F142" s="334" t="s">
        <v>116</v>
      </c>
      <c r="G142" s="334">
        <v>141.0</v>
      </c>
    </row>
    <row r="143">
      <c r="A143" s="334" t="s">
        <v>8556</v>
      </c>
      <c r="B143" s="334" t="s">
        <v>54</v>
      </c>
      <c r="C143" s="334" t="s">
        <v>10</v>
      </c>
      <c r="D143" s="334" t="s">
        <v>52</v>
      </c>
      <c r="E143" s="421" t="str">
        <f t="shared" si="3"/>
        <v>岸和田:リバイブ</v>
      </c>
      <c r="F143" s="334" t="s">
        <v>119</v>
      </c>
      <c r="G143" s="334">
        <v>142.0</v>
      </c>
    </row>
    <row r="144">
      <c r="A144" s="334" t="s">
        <v>8557</v>
      </c>
      <c r="B144" s="334" t="s">
        <v>54</v>
      </c>
      <c r="C144" s="334" t="s">
        <v>10</v>
      </c>
      <c r="D144" s="334" t="s">
        <v>52</v>
      </c>
      <c r="E144" s="421" t="str">
        <f t="shared" si="3"/>
        <v>岸和田:リバイブ</v>
      </c>
      <c r="F144" s="334" t="s">
        <v>122</v>
      </c>
      <c r="G144" s="334">
        <v>143.0</v>
      </c>
    </row>
    <row r="145">
      <c r="A145" s="334" t="s">
        <v>8558</v>
      </c>
      <c r="B145" s="334" t="s">
        <v>54</v>
      </c>
      <c r="C145" s="334" t="s">
        <v>10</v>
      </c>
      <c r="D145" s="334" t="s">
        <v>52</v>
      </c>
      <c r="E145" s="421" t="str">
        <f t="shared" si="3"/>
        <v>岸和田:リバイブ</v>
      </c>
      <c r="F145" s="334" t="s">
        <v>154</v>
      </c>
      <c r="G145" s="334">
        <v>144.0</v>
      </c>
    </row>
    <row r="146">
      <c r="A146" s="334" t="s">
        <v>8559</v>
      </c>
      <c r="B146" s="334" t="s">
        <v>54</v>
      </c>
      <c r="C146" s="334" t="s">
        <v>13</v>
      </c>
      <c r="D146" s="334" t="s">
        <v>49</v>
      </c>
      <c r="E146" s="421" t="str">
        <f t="shared" si="3"/>
        <v>ｸﾎﾞﾀ:伊藤忠</v>
      </c>
      <c r="F146" s="334" t="s">
        <v>130</v>
      </c>
      <c r="G146" s="334">
        <v>145.0</v>
      </c>
    </row>
    <row r="147">
      <c r="A147" s="334" t="s">
        <v>8560</v>
      </c>
      <c r="B147" s="334" t="s">
        <v>54</v>
      </c>
      <c r="C147" s="334" t="s">
        <v>22</v>
      </c>
      <c r="D147" s="334" t="s">
        <v>47</v>
      </c>
      <c r="E147" s="421" t="str">
        <f t="shared" si="3"/>
        <v>栗本鐵工:豊通</v>
      </c>
      <c r="F147" s="334" t="s">
        <v>1199</v>
      </c>
      <c r="G147" s="334">
        <v>146.0</v>
      </c>
    </row>
    <row r="148">
      <c r="A148" s="334" t="s">
        <v>8561</v>
      </c>
      <c r="B148" s="334" t="s">
        <v>54</v>
      </c>
      <c r="C148" s="334" t="s">
        <v>22</v>
      </c>
      <c r="D148" s="334" t="s">
        <v>47</v>
      </c>
      <c r="E148" s="421" t="str">
        <f t="shared" si="3"/>
        <v>栗本鐵工:豊通</v>
      </c>
      <c r="F148" s="334" t="s">
        <v>101</v>
      </c>
      <c r="G148" s="334">
        <v>147.0</v>
      </c>
    </row>
    <row r="149">
      <c r="A149" s="334" t="s">
        <v>8562</v>
      </c>
      <c r="B149" s="334" t="s">
        <v>54</v>
      </c>
      <c r="C149" s="334" t="s">
        <v>22</v>
      </c>
      <c r="D149" s="334" t="s">
        <v>47</v>
      </c>
      <c r="E149" s="421" t="str">
        <f t="shared" si="3"/>
        <v>栗本鐵工:豊通</v>
      </c>
      <c r="F149" s="334" t="s">
        <v>105</v>
      </c>
      <c r="G149" s="334">
        <v>148.0</v>
      </c>
    </row>
    <row r="150">
      <c r="A150" s="334" t="s">
        <v>8563</v>
      </c>
      <c r="B150" s="334" t="s">
        <v>54</v>
      </c>
      <c r="C150" s="334" t="s">
        <v>22</v>
      </c>
      <c r="D150" s="334" t="s">
        <v>47</v>
      </c>
      <c r="E150" s="421" t="str">
        <f t="shared" si="3"/>
        <v>栗本鐵工:豊通</v>
      </c>
      <c r="F150" s="334" t="s">
        <v>577</v>
      </c>
      <c r="G150" s="334">
        <v>149.0</v>
      </c>
    </row>
    <row r="151">
      <c r="A151" s="334" t="s">
        <v>8564</v>
      </c>
      <c r="B151" s="334" t="s">
        <v>54</v>
      </c>
      <c r="C151" s="334" t="s">
        <v>36</v>
      </c>
      <c r="D151" s="334" t="s">
        <v>1303</v>
      </c>
      <c r="E151" s="421" t="str">
        <f t="shared" si="3"/>
        <v>共英枚方:ナベ/置場単価</v>
      </c>
      <c r="F151" s="334" t="s">
        <v>111</v>
      </c>
      <c r="G151" s="334">
        <v>150.0</v>
      </c>
    </row>
    <row r="152">
      <c r="A152" s="334" t="s">
        <v>8565</v>
      </c>
      <c r="B152" s="334" t="s">
        <v>54</v>
      </c>
      <c r="C152" s="334" t="s">
        <v>36</v>
      </c>
      <c r="D152" s="334" t="s">
        <v>1303</v>
      </c>
      <c r="E152" s="421" t="str">
        <f t="shared" si="3"/>
        <v>共英枚方:ナベ/置場単価</v>
      </c>
      <c r="F152" s="334" t="s">
        <v>116</v>
      </c>
      <c r="G152" s="334">
        <v>151.0</v>
      </c>
    </row>
    <row r="153">
      <c r="A153" s="334" t="s">
        <v>8566</v>
      </c>
      <c r="B153" s="334" t="s">
        <v>54</v>
      </c>
      <c r="C153" s="334" t="s">
        <v>36</v>
      </c>
      <c r="D153" s="334" t="s">
        <v>1303</v>
      </c>
      <c r="E153" s="421" t="str">
        <f t="shared" si="3"/>
        <v>共英枚方:ナベ/置場単価</v>
      </c>
      <c r="F153" s="334" t="s">
        <v>119</v>
      </c>
      <c r="G153" s="334">
        <v>152.0</v>
      </c>
    </row>
    <row r="154">
      <c r="A154" s="334" t="s">
        <v>8567</v>
      </c>
      <c r="B154" s="334" t="s">
        <v>54</v>
      </c>
      <c r="C154" s="334" t="s">
        <v>36</v>
      </c>
      <c r="D154" s="334" t="s">
        <v>1303</v>
      </c>
      <c r="E154" s="421" t="str">
        <f t="shared" si="3"/>
        <v>共英枚方:ナベ/置場単価</v>
      </c>
      <c r="F154" s="334" t="s">
        <v>122</v>
      </c>
      <c r="G154" s="334">
        <v>153.0</v>
      </c>
    </row>
    <row r="155">
      <c r="A155" s="334" t="s">
        <v>8568</v>
      </c>
      <c r="B155" s="334" t="s">
        <v>54</v>
      </c>
      <c r="C155" s="334" t="s">
        <v>36</v>
      </c>
      <c r="D155" s="334" t="s">
        <v>1303</v>
      </c>
      <c r="E155" s="421" t="str">
        <f t="shared" si="3"/>
        <v>共英枚方:ナベ/置場単価</v>
      </c>
      <c r="F155" s="334" t="s">
        <v>154</v>
      </c>
      <c r="G155" s="334">
        <v>154.0</v>
      </c>
    </row>
    <row r="156">
      <c r="A156" s="334" t="s">
        <v>8569</v>
      </c>
      <c r="B156" s="334" t="s">
        <v>54</v>
      </c>
      <c r="C156" s="334" t="s">
        <v>36</v>
      </c>
      <c r="D156" s="334" t="s">
        <v>8570</v>
      </c>
      <c r="E156" s="421" t="str">
        <f t="shared" si="3"/>
        <v>共英枚方:ナベ/5/7～京都置場</v>
      </c>
      <c r="F156" s="334" t="s">
        <v>111</v>
      </c>
      <c r="G156" s="334">
        <v>155.0</v>
      </c>
    </row>
    <row r="157">
      <c r="A157" s="334" t="s">
        <v>8571</v>
      </c>
      <c r="B157" s="334" t="s">
        <v>54</v>
      </c>
      <c r="C157" s="334" t="s">
        <v>36</v>
      </c>
      <c r="D157" s="334" t="s">
        <v>8570</v>
      </c>
      <c r="E157" s="421" t="str">
        <f t="shared" si="3"/>
        <v>共英枚方:ナベ/5/7～京都置場</v>
      </c>
      <c r="F157" s="334" t="s">
        <v>116</v>
      </c>
      <c r="G157" s="334">
        <v>156.0</v>
      </c>
    </row>
    <row r="158">
      <c r="A158" s="334" t="s">
        <v>8572</v>
      </c>
      <c r="B158" s="334" t="s">
        <v>54</v>
      </c>
      <c r="C158" s="334" t="s">
        <v>36</v>
      </c>
      <c r="D158" s="334" t="s">
        <v>8570</v>
      </c>
      <c r="E158" s="421" t="str">
        <f t="shared" si="3"/>
        <v>共英枚方:ナベ/5/7～京都置場</v>
      </c>
      <c r="F158" s="334" t="s">
        <v>119</v>
      </c>
      <c r="G158" s="334">
        <v>157.0</v>
      </c>
    </row>
    <row r="159">
      <c r="A159" s="334" t="s">
        <v>8573</v>
      </c>
      <c r="B159" s="334" t="s">
        <v>54</v>
      </c>
      <c r="C159" s="334" t="s">
        <v>36</v>
      </c>
      <c r="D159" s="334" t="s">
        <v>8570</v>
      </c>
      <c r="E159" s="421" t="str">
        <f t="shared" si="3"/>
        <v>共英枚方:ナベ/5/7～京都置場</v>
      </c>
      <c r="F159" s="334" t="s">
        <v>122</v>
      </c>
      <c r="G159" s="334">
        <v>158.0</v>
      </c>
    </row>
    <row r="160">
      <c r="A160" s="334" t="s">
        <v>8574</v>
      </c>
      <c r="B160" s="334" t="s">
        <v>54</v>
      </c>
      <c r="C160" s="334" t="s">
        <v>36</v>
      </c>
      <c r="D160" s="334" t="s">
        <v>88</v>
      </c>
      <c r="E160" s="421" t="str">
        <f t="shared" si="3"/>
        <v>共英枚方:リバイブ京都置場</v>
      </c>
      <c r="F160" s="334" t="s">
        <v>111</v>
      </c>
      <c r="G160" s="334">
        <v>159.0</v>
      </c>
    </row>
    <row r="161">
      <c r="A161" s="334" t="s">
        <v>8575</v>
      </c>
      <c r="B161" s="334" t="s">
        <v>54</v>
      </c>
      <c r="C161" s="334" t="s">
        <v>36</v>
      </c>
      <c r="D161" s="334" t="s">
        <v>88</v>
      </c>
      <c r="E161" s="421" t="str">
        <f t="shared" si="3"/>
        <v>共英枚方:リバイブ京都置場</v>
      </c>
      <c r="F161" s="334" t="s">
        <v>116</v>
      </c>
      <c r="G161" s="334">
        <v>160.0</v>
      </c>
    </row>
    <row r="162">
      <c r="A162" s="334" t="s">
        <v>8576</v>
      </c>
      <c r="B162" s="334" t="s">
        <v>54</v>
      </c>
      <c r="C162" s="334" t="s">
        <v>36</v>
      </c>
      <c r="D162" s="334" t="s">
        <v>88</v>
      </c>
      <c r="E162" s="421" t="str">
        <f t="shared" si="3"/>
        <v>共英枚方:リバイブ京都置場</v>
      </c>
      <c r="F162" s="334" t="s">
        <v>119</v>
      </c>
      <c r="G162" s="334">
        <v>161.0</v>
      </c>
    </row>
    <row r="163">
      <c r="A163" s="334" t="s">
        <v>8577</v>
      </c>
      <c r="B163" s="334" t="s">
        <v>54</v>
      </c>
      <c r="C163" s="334" t="s">
        <v>36</v>
      </c>
      <c r="D163" s="334" t="s">
        <v>88</v>
      </c>
      <c r="E163" s="421" t="str">
        <f t="shared" si="3"/>
        <v>共英枚方:リバイブ京都置場</v>
      </c>
      <c r="F163" s="334" t="s">
        <v>122</v>
      </c>
      <c r="G163" s="334">
        <v>162.0</v>
      </c>
    </row>
    <row r="164">
      <c r="A164" s="334" t="s">
        <v>8578</v>
      </c>
      <c r="B164" s="334" t="s">
        <v>54</v>
      </c>
      <c r="C164" s="334" t="s">
        <v>36</v>
      </c>
      <c r="D164" s="334" t="s">
        <v>88</v>
      </c>
      <c r="E164" s="421" t="str">
        <f t="shared" si="3"/>
        <v>共英枚方:リバイブ京都置場</v>
      </c>
      <c r="F164" s="334" t="s">
        <v>154</v>
      </c>
      <c r="G164" s="334">
        <v>163.0</v>
      </c>
    </row>
    <row r="165">
      <c r="A165" s="334" t="s">
        <v>8579</v>
      </c>
      <c r="B165" s="334" t="s">
        <v>54</v>
      </c>
      <c r="C165" s="334" t="s">
        <v>29</v>
      </c>
      <c r="D165" s="334" t="s">
        <v>63</v>
      </c>
      <c r="E165" s="421" t="str">
        <f t="shared" si="3"/>
        <v>南港:ﾅﾝｾｲ</v>
      </c>
      <c r="F165" s="334" t="s">
        <v>1199</v>
      </c>
      <c r="G165" s="334">
        <v>164.0</v>
      </c>
    </row>
    <row r="166">
      <c r="A166" s="334" t="s">
        <v>8580</v>
      </c>
      <c r="B166" s="414" t="s">
        <v>54</v>
      </c>
      <c r="C166" s="414" t="s">
        <v>29</v>
      </c>
      <c r="D166" s="414" t="s">
        <v>63</v>
      </c>
      <c r="E166" s="352" t="str">
        <f t="shared" si="3"/>
        <v>南港:ﾅﾝｾｲ</v>
      </c>
      <c r="F166" s="414" t="s">
        <v>111</v>
      </c>
      <c r="G166" s="334">
        <v>165.0</v>
      </c>
    </row>
    <row r="167">
      <c r="A167" s="334" t="s">
        <v>8581</v>
      </c>
      <c r="B167" s="334" t="s">
        <v>54</v>
      </c>
      <c r="C167" s="334" t="s">
        <v>29</v>
      </c>
      <c r="D167" s="334" t="s">
        <v>63</v>
      </c>
      <c r="E167" s="421" t="str">
        <f t="shared" si="3"/>
        <v>南港:ﾅﾝｾｲ</v>
      </c>
      <c r="F167" s="334" t="s">
        <v>116</v>
      </c>
      <c r="G167" s="334">
        <v>166.0</v>
      </c>
    </row>
    <row r="168">
      <c r="A168" s="334" t="s">
        <v>8582</v>
      </c>
      <c r="B168" s="414" t="s">
        <v>54</v>
      </c>
      <c r="C168" s="414" t="s">
        <v>29</v>
      </c>
      <c r="D168" s="414" t="s">
        <v>63</v>
      </c>
      <c r="E168" s="352" t="str">
        <f t="shared" si="3"/>
        <v>南港:ﾅﾝｾｲ</v>
      </c>
      <c r="F168" s="414" t="s">
        <v>119</v>
      </c>
      <c r="G168" s="334">
        <v>167.0</v>
      </c>
    </row>
    <row r="169">
      <c r="A169" s="334" t="s">
        <v>8583</v>
      </c>
      <c r="B169" s="414" t="s">
        <v>54</v>
      </c>
      <c r="C169" s="414" t="s">
        <v>29</v>
      </c>
      <c r="D169" s="414" t="s">
        <v>63</v>
      </c>
      <c r="E169" s="352" t="str">
        <f t="shared" si="3"/>
        <v>南港:ﾅﾝｾｲ</v>
      </c>
      <c r="F169" s="414" t="s">
        <v>122</v>
      </c>
      <c r="G169" s="334">
        <v>168.0</v>
      </c>
    </row>
    <row r="170">
      <c r="A170" s="334" t="s">
        <v>8584</v>
      </c>
      <c r="B170" s="334" t="s">
        <v>54</v>
      </c>
      <c r="C170" s="334" t="s">
        <v>29</v>
      </c>
      <c r="D170" s="334" t="s">
        <v>63</v>
      </c>
      <c r="E170" s="421" t="str">
        <f t="shared" si="3"/>
        <v>南港:ﾅﾝｾｲ</v>
      </c>
      <c r="F170" s="334" t="s">
        <v>130</v>
      </c>
      <c r="G170" s="334">
        <v>169.0</v>
      </c>
    </row>
    <row r="171">
      <c r="A171" s="334" t="s">
        <v>8585</v>
      </c>
      <c r="B171" s="334" t="s">
        <v>54</v>
      </c>
      <c r="C171" s="334" t="s">
        <v>29</v>
      </c>
      <c r="D171" s="334" t="s">
        <v>63</v>
      </c>
      <c r="E171" s="421" t="str">
        <f t="shared" si="3"/>
        <v>南港:ﾅﾝｾｲ</v>
      </c>
      <c r="F171" s="334" t="s">
        <v>131</v>
      </c>
      <c r="G171" s="334">
        <v>170.0</v>
      </c>
    </row>
    <row r="172">
      <c r="A172" s="334" t="s">
        <v>8586</v>
      </c>
      <c r="B172" s="334" t="s">
        <v>54</v>
      </c>
      <c r="C172" s="334" t="s">
        <v>29</v>
      </c>
      <c r="D172" s="334" t="s">
        <v>50</v>
      </c>
      <c r="E172" s="421" t="str">
        <f t="shared" si="3"/>
        <v>南港:産振</v>
      </c>
      <c r="F172" s="334" t="s">
        <v>130</v>
      </c>
      <c r="G172" s="334">
        <v>171.0</v>
      </c>
    </row>
    <row r="173">
      <c r="A173" s="334" t="s">
        <v>8587</v>
      </c>
      <c r="B173" s="334" t="s">
        <v>54</v>
      </c>
      <c r="C173" s="334" t="s">
        <v>29</v>
      </c>
      <c r="D173" s="334" t="s">
        <v>50</v>
      </c>
      <c r="E173" s="421" t="str">
        <f t="shared" si="3"/>
        <v>南港:産振</v>
      </c>
      <c r="F173" s="334" t="s">
        <v>145</v>
      </c>
      <c r="G173" s="334">
        <v>172.0</v>
      </c>
    </row>
    <row r="174">
      <c r="A174" s="334" t="s">
        <v>8588</v>
      </c>
      <c r="B174" s="414" t="s">
        <v>54</v>
      </c>
      <c r="C174" s="414" t="s">
        <v>30</v>
      </c>
      <c r="D174" s="414" t="s">
        <v>52</v>
      </c>
      <c r="E174" s="352" t="str">
        <f t="shared" si="3"/>
        <v>北港:リバイブ</v>
      </c>
      <c r="F174" s="414" t="s">
        <v>1199</v>
      </c>
      <c r="G174" s="334">
        <v>173.0</v>
      </c>
    </row>
    <row r="175">
      <c r="A175" s="334" t="s">
        <v>8589</v>
      </c>
      <c r="B175" s="334" t="s">
        <v>54</v>
      </c>
      <c r="C175" s="334" t="s">
        <v>30</v>
      </c>
      <c r="D175" s="334" t="s">
        <v>48</v>
      </c>
      <c r="E175" s="421" t="str">
        <f t="shared" si="3"/>
        <v>北港:ナベ</v>
      </c>
      <c r="F175" s="334" t="s">
        <v>8590</v>
      </c>
      <c r="G175" s="334">
        <v>174.0</v>
      </c>
    </row>
    <row r="176">
      <c r="A176" s="334" t="s">
        <v>8591</v>
      </c>
      <c r="B176" s="334" t="s">
        <v>54</v>
      </c>
      <c r="C176" s="334" t="s">
        <v>31</v>
      </c>
      <c r="D176" s="334" t="s">
        <v>50</v>
      </c>
      <c r="E176" s="421" t="str">
        <f t="shared" si="3"/>
        <v>泉北中谷:産振</v>
      </c>
      <c r="F176" s="334" t="s">
        <v>145</v>
      </c>
      <c r="G176" s="334">
        <v>175.0</v>
      </c>
    </row>
    <row r="177">
      <c r="A177" s="334" t="s">
        <v>8592</v>
      </c>
      <c r="B177" s="414" t="s">
        <v>54</v>
      </c>
      <c r="C177" s="414" t="s">
        <v>31</v>
      </c>
      <c r="D177" s="414" t="s">
        <v>47</v>
      </c>
      <c r="E177" s="352" t="str">
        <f t="shared" si="3"/>
        <v>泉北中谷:豊通</v>
      </c>
      <c r="F177" s="414" t="s">
        <v>130</v>
      </c>
      <c r="G177" s="334">
        <v>176.0</v>
      </c>
    </row>
    <row r="178">
      <c r="A178" s="334" t="s">
        <v>8593</v>
      </c>
      <c r="B178" s="414" t="s">
        <v>54</v>
      </c>
      <c r="C178" s="414" t="s">
        <v>31</v>
      </c>
      <c r="D178" s="414" t="s">
        <v>47</v>
      </c>
      <c r="E178" s="352" t="str">
        <f t="shared" si="3"/>
        <v>泉北中谷:豊通</v>
      </c>
      <c r="F178" s="414" t="s">
        <v>131</v>
      </c>
      <c r="G178" s="334">
        <v>177.0</v>
      </c>
    </row>
    <row r="179">
      <c r="A179" s="334" t="s">
        <v>8594</v>
      </c>
      <c r="B179" s="414" t="s">
        <v>54</v>
      </c>
      <c r="C179" s="414" t="s">
        <v>31</v>
      </c>
      <c r="D179" s="414" t="s">
        <v>47</v>
      </c>
      <c r="E179" s="352" t="str">
        <f t="shared" si="3"/>
        <v>泉北中谷:豊通</v>
      </c>
      <c r="F179" s="414" t="s">
        <v>574</v>
      </c>
      <c r="G179" s="334">
        <v>178.0</v>
      </c>
    </row>
    <row r="180">
      <c r="A180" s="334" t="s">
        <v>8595</v>
      </c>
      <c r="B180" s="334" t="s">
        <v>54</v>
      </c>
      <c r="C180" s="334" t="s">
        <v>31</v>
      </c>
      <c r="D180" s="334" t="s">
        <v>64</v>
      </c>
      <c r="E180" s="421" t="str">
        <f t="shared" si="3"/>
        <v>泉北中谷:ナベ双葉</v>
      </c>
      <c r="F180" s="334" t="s">
        <v>1199</v>
      </c>
      <c r="G180" s="334">
        <v>179.0</v>
      </c>
    </row>
    <row r="181">
      <c r="A181" s="334" t="s">
        <v>8596</v>
      </c>
      <c r="B181" s="334" t="s">
        <v>54</v>
      </c>
      <c r="C181" s="334" t="s">
        <v>31</v>
      </c>
      <c r="D181" s="334" t="s">
        <v>64</v>
      </c>
      <c r="E181" s="421" t="str">
        <f t="shared" si="3"/>
        <v>泉北中谷:ナベ双葉</v>
      </c>
      <c r="F181" s="334" t="s">
        <v>116</v>
      </c>
      <c r="G181" s="334">
        <v>180.0</v>
      </c>
    </row>
    <row r="182">
      <c r="A182" s="334" t="s">
        <v>8597</v>
      </c>
      <c r="B182" s="334" t="s">
        <v>54</v>
      </c>
      <c r="C182" s="334" t="s">
        <v>31</v>
      </c>
      <c r="D182" s="334" t="s">
        <v>64</v>
      </c>
      <c r="E182" s="421" t="str">
        <f t="shared" si="3"/>
        <v>泉北中谷:ナベ双葉</v>
      </c>
      <c r="F182" s="334" t="s">
        <v>130</v>
      </c>
      <c r="G182" s="334">
        <v>181.0</v>
      </c>
    </row>
    <row r="183">
      <c r="A183" s="334" t="s">
        <v>8598</v>
      </c>
      <c r="B183" s="334" t="s">
        <v>54</v>
      </c>
      <c r="C183" s="334" t="s">
        <v>32</v>
      </c>
      <c r="D183" s="334" t="s">
        <v>50</v>
      </c>
      <c r="E183" s="421" t="str">
        <f t="shared" si="3"/>
        <v>泉北大都:産振</v>
      </c>
      <c r="F183" s="334" t="s">
        <v>1199</v>
      </c>
      <c r="G183" s="334">
        <v>182.0</v>
      </c>
    </row>
    <row r="184">
      <c r="A184" s="334" t="s">
        <v>8599</v>
      </c>
      <c r="B184" s="414" t="s">
        <v>54</v>
      </c>
      <c r="C184" s="414" t="s">
        <v>32</v>
      </c>
      <c r="D184" s="414" t="s">
        <v>52</v>
      </c>
      <c r="E184" s="352" t="str">
        <f t="shared" si="3"/>
        <v>泉北大都:リバイブ</v>
      </c>
      <c r="F184" s="414" t="s">
        <v>116</v>
      </c>
      <c r="G184" s="334">
        <v>183.0</v>
      </c>
    </row>
    <row r="185">
      <c r="A185" s="334" t="s">
        <v>8600</v>
      </c>
      <c r="B185" s="334" t="s">
        <v>54</v>
      </c>
      <c r="C185" s="334" t="s">
        <v>32</v>
      </c>
      <c r="D185" s="334" t="s">
        <v>540</v>
      </c>
      <c r="E185" s="421" t="str">
        <f t="shared" si="3"/>
        <v>泉北大都:GRM</v>
      </c>
      <c r="F185" s="334" t="s">
        <v>1199</v>
      </c>
      <c r="G185" s="334">
        <v>184.0</v>
      </c>
    </row>
    <row r="186">
      <c r="A186" s="334" t="s">
        <v>8601</v>
      </c>
      <c r="B186" s="334" t="s">
        <v>54</v>
      </c>
      <c r="C186" s="334" t="s">
        <v>34</v>
      </c>
      <c r="D186" s="334" t="s">
        <v>48</v>
      </c>
      <c r="E186" s="421" t="str">
        <f t="shared" si="3"/>
        <v>ﾆｭｰｽｺﾝ尼崎:ナベ</v>
      </c>
      <c r="F186" s="334" t="s">
        <v>130</v>
      </c>
      <c r="G186" s="334">
        <v>185.0</v>
      </c>
    </row>
    <row r="187">
      <c r="A187" s="334" t="s">
        <v>8602</v>
      </c>
      <c r="B187" s="334" t="s">
        <v>54</v>
      </c>
      <c r="C187" s="334" t="s">
        <v>26</v>
      </c>
      <c r="D187" s="334" t="s">
        <v>48</v>
      </c>
      <c r="E187" s="421" t="str">
        <f t="shared" si="3"/>
        <v>大阪鋼業:ナベ</v>
      </c>
      <c r="F187" s="334" t="s">
        <v>575</v>
      </c>
      <c r="G187" s="334">
        <v>186.0</v>
      </c>
    </row>
    <row r="188">
      <c r="A188" s="334" t="s">
        <v>8603</v>
      </c>
      <c r="B188" s="334" t="s">
        <v>54</v>
      </c>
      <c r="C188" s="334" t="s">
        <v>26</v>
      </c>
      <c r="D188" s="334" t="s">
        <v>52</v>
      </c>
      <c r="E188" s="421" t="str">
        <f t="shared" si="3"/>
        <v>大阪鋼業:リバイブ</v>
      </c>
      <c r="F188" s="334" t="s">
        <v>575</v>
      </c>
      <c r="G188" s="334">
        <v>187.0</v>
      </c>
    </row>
    <row r="189">
      <c r="A189" s="334" t="s">
        <v>8604</v>
      </c>
      <c r="B189" s="334" t="s">
        <v>54</v>
      </c>
      <c r="C189" s="334" t="s">
        <v>33</v>
      </c>
      <c r="D189" s="334" t="s">
        <v>66</v>
      </c>
      <c r="E189" s="421" t="str">
        <f t="shared" si="3"/>
        <v>大阪港埠頭:日鉄物産</v>
      </c>
      <c r="F189" s="334" t="s">
        <v>8590</v>
      </c>
      <c r="G189" s="334">
        <v>188.0</v>
      </c>
    </row>
    <row r="190">
      <c r="A190" s="334" t="s">
        <v>8605</v>
      </c>
      <c r="B190" s="334" t="s">
        <v>8606</v>
      </c>
      <c r="C190" s="334" t="s">
        <v>532</v>
      </c>
      <c r="D190" s="334" t="s">
        <v>77</v>
      </c>
      <c r="E190" s="421" t="str">
        <f t="shared" si="3"/>
        <v>東鐵岡山:直納</v>
      </c>
      <c r="F190" s="334" t="s">
        <v>1199</v>
      </c>
      <c r="G190" s="334">
        <v>189.0</v>
      </c>
    </row>
    <row r="191">
      <c r="A191" s="334" t="s">
        <v>8607</v>
      </c>
      <c r="B191" s="334" t="s">
        <v>8606</v>
      </c>
      <c r="C191" s="334" t="s">
        <v>532</v>
      </c>
      <c r="D191" s="334" t="s">
        <v>77</v>
      </c>
      <c r="E191" s="421" t="str">
        <f t="shared" si="3"/>
        <v>東鐵岡山:直納</v>
      </c>
      <c r="F191" s="334" t="s">
        <v>111</v>
      </c>
      <c r="G191" s="334">
        <v>190.0</v>
      </c>
    </row>
    <row r="192">
      <c r="A192" s="334" t="s">
        <v>8608</v>
      </c>
      <c r="B192" s="334" t="s">
        <v>8606</v>
      </c>
      <c r="C192" s="334" t="s">
        <v>532</v>
      </c>
      <c r="D192" s="334" t="s">
        <v>77</v>
      </c>
      <c r="E192" s="421" t="str">
        <f t="shared" si="3"/>
        <v>東鐵岡山:直納</v>
      </c>
      <c r="F192" s="334" t="s">
        <v>116</v>
      </c>
      <c r="G192" s="334">
        <v>191.0</v>
      </c>
    </row>
    <row r="193">
      <c r="A193" s="334" t="s">
        <v>8609</v>
      </c>
      <c r="B193" s="334" t="s">
        <v>8606</v>
      </c>
      <c r="C193" s="334" t="s">
        <v>532</v>
      </c>
      <c r="D193" s="334" t="s">
        <v>77</v>
      </c>
      <c r="E193" s="421" t="str">
        <f t="shared" si="3"/>
        <v>東鐵岡山:直納</v>
      </c>
      <c r="F193" s="334" t="s">
        <v>119</v>
      </c>
      <c r="G193" s="334">
        <v>192.0</v>
      </c>
    </row>
    <row r="194">
      <c r="A194" s="334" t="s">
        <v>8610</v>
      </c>
      <c r="B194" s="334" t="s">
        <v>8606</v>
      </c>
      <c r="C194" s="334" t="s">
        <v>532</v>
      </c>
      <c r="D194" s="334" t="s">
        <v>77</v>
      </c>
      <c r="E194" s="421" t="str">
        <f t="shared" si="3"/>
        <v>東鐵岡山:直納</v>
      </c>
      <c r="F194" s="334" t="s">
        <v>122</v>
      </c>
      <c r="G194" s="334">
        <v>193.0</v>
      </c>
    </row>
    <row r="195">
      <c r="A195" s="334" t="s">
        <v>8611</v>
      </c>
      <c r="B195" s="334" t="s">
        <v>8606</v>
      </c>
      <c r="C195" s="334" t="s">
        <v>532</v>
      </c>
      <c r="D195" s="334" t="s">
        <v>77</v>
      </c>
      <c r="E195" s="421" t="str">
        <f t="shared" si="3"/>
        <v>東鐵岡山:直納</v>
      </c>
      <c r="F195" s="334" t="s">
        <v>573</v>
      </c>
      <c r="G195" s="334">
        <v>194.0</v>
      </c>
    </row>
    <row r="196">
      <c r="A196" s="334" t="s">
        <v>8612</v>
      </c>
      <c r="B196" s="334" t="s">
        <v>8606</v>
      </c>
      <c r="C196" s="334" t="s">
        <v>532</v>
      </c>
      <c r="D196" s="334" t="s">
        <v>77</v>
      </c>
      <c r="E196" s="421" t="str">
        <f t="shared" si="3"/>
        <v>東鐵岡山:直納</v>
      </c>
      <c r="F196" s="334" t="s">
        <v>145</v>
      </c>
      <c r="G196" s="334">
        <v>195.0</v>
      </c>
    </row>
    <row r="197">
      <c r="A197" s="334" t="s">
        <v>8613</v>
      </c>
      <c r="B197" s="334" t="s">
        <v>8606</v>
      </c>
      <c r="C197" s="334" t="s">
        <v>532</v>
      </c>
      <c r="D197" s="334" t="s">
        <v>77</v>
      </c>
      <c r="E197" s="421" t="str">
        <f t="shared" si="3"/>
        <v>東鐵岡山:直納</v>
      </c>
      <c r="F197" s="334" t="s">
        <v>151</v>
      </c>
      <c r="G197" s="334">
        <v>196.0</v>
      </c>
    </row>
    <row r="198">
      <c r="A198" s="334" t="s">
        <v>8614</v>
      </c>
      <c r="B198" s="334" t="s">
        <v>8606</v>
      </c>
      <c r="C198" s="334" t="s">
        <v>532</v>
      </c>
      <c r="D198" s="334" t="s">
        <v>77</v>
      </c>
      <c r="E198" s="421" t="str">
        <f t="shared" si="3"/>
        <v>東鐵岡山:直納</v>
      </c>
      <c r="F198" s="334" t="s">
        <v>130</v>
      </c>
      <c r="G198" s="334">
        <v>197.0</v>
      </c>
    </row>
    <row r="199">
      <c r="A199" s="334" t="s">
        <v>8615</v>
      </c>
      <c r="B199" s="334" t="s">
        <v>8606</v>
      </c>
      <c r="C199" s="334" t="s">
        <v>532</v>
      </c>
      <c r="D199" s="334" t="s">
        <v>77</v>
      </c>
      <c r="E199" s="421" t="str">
        <f t="shared" si="3"/>
        <v>東鐵岡山:直納</v>
      </c>
      <c r="F199" s="334" t="s">
        <v>131</v>
      </c>
      <c r="G199" s="334">
        <v>198.0</v>
      </c>
    </row>
    <row r="200">
      <c r="A200" s="334" t="s">
        <v>8616</v>
      </c>
      <c r="B200" s="334" t="s">
        <v>8606</v>
      </c>
      <c r="C200" s="334" t="s">
        <v>532</v>
      </c>
      <c r="D200" s="334" t="s">
        <v>77</v>
      </c>
      <c r="E200" s="421" t="str">
        <f t="shared" si="3"/>
        <v>東鐵岡山:直納</v>
      </c>
      <c r="F200" s="334" t="s">
        <v>575</v>
      </c>
      <c r="G200" s="334">
        <v>199.0</v>
      </c>
    </row>
    <row r="201">
      <c r="A201" s="334" t="s">
        <v>8617</v>
      </c>
      <c r="B201" s="334" t="s">
        <v>8606</v>
      </c>
      <c r="C201" s="334" t="s">
        <v>532</v>
      </c>
      <c r="D201" s="334" t="s">
        <v>77</v>
      </c>
      <c r="E201" s="421" t="str">
        <f t="shared" si="3"/>
        <v>東鐵岡山:直納</v>
      </c>
      <c r="F201" s="334" t="s">
        <v>25</v>
      </c>
      <c r="G201" s="334">
        <v>200.0</v>
      </c>
    </row>
    <row r="202">
      <c r="A202" s="334" t="s">
        <v>8618</v>
      </c>
      <c r="B202" s="334" t="s">
        <v>8606</v>
      </c>
      <c r="C202" s="334" t="s">
        <v>532</v>
      </c>
      <c r="D202" s="334" t="s">
        <v>77</v>
      </c>
      <c r="E202" s="421" t="str">
        <f t="shared" si="3"/>
        <v>東鐵岡山:直納</v>
      </c>
      <c r="F202" s="334" t="s">
        <v>154</v>
      </c>
      <c r="G202" s="334">
        <v>201.0</v>
      </c>
    </row>
    <row r="203">
      <c r="A203" s="334" t="s">
        <v>8619</v>
      </c>
      <c r="B203" s="414" t="s">
        <v>8606</v>
      </c>
      <c r="C203" s="414" t="s">
        <v>533</v>
      </c>
      <c r="D203" s="414" t="s">
        <v>77</v>
      </c>
      <c r="E203" s="352" t="str">
        <f t="shared" si="3"/>
        <v>ﾏｷｳﾗ鋼業:直納</v>
      </c>
      <c r="F203" s="352" t="s">
        <v>145</v>
      </c>
      <c r="G203" s="334">
        <v>202.0</v>
      </c>
    </row>
    <row r="204">
      <c r="A204" s="334" t="s">
        <v>8620</v>
      </c>
      <c r="B204" s="414" t="s">
        <v>8606</v>
      </c>
      <c r="C204" s="414" t="s">
        <v>533</v>
      </c>
      <c r="D204" s="414" t="s">
        <v>77</v>
      </c>
      <c r="E204" s="352" t="str">
        <f t="shared" si="3"/>
        <v>ﾏｷｳﾗ鋼業:直納</v>
      </c>
      <c r="F204" s="352" t="s">
        <v>149</v>
      </c>
      <c r="G204" s="334">
        <v>203.0</v>
      </c>
    </row>
    <row r="205">
      <c r="A205" s="334" t="s">
        <v>8621</v>
      </c>
      <c r="B205" s="414" t="s">
        <v>8606</v>
      </c>
      <c r="C205" s="414" t="s">
        <v>533</v>
      </c>
      <c r="D205" s="414" t="s">
        <v>77</v>
      </c>
      <c r="E205" s="352" t="str">
        <f t="shared" si="3"/>
        <v>ﾏｷｳﾗ鋼業:直納</v>
      </c>
      <c r="F205" s="352" t="s">
        <v>151</v>
      </c>
      <c r="G205" s="334">
        <v>204.0</v>
      </c>
    </row>
    <row r="206">
      <c r="A206" s="334" t="s">
        <v>8622</v>
      </c>
      <c r="B206" s="334" t="s">
        <v>8606</v>
      </c>
      <c r="C206" s="334" t="s">
        <v>11</v>
      </c>
      <c r="D206" s="334" t="s">
        <v>46</v>
      </c>
      <c r="E206" s="421" t="str">
        <f t="shared" si="3"/>
        <v>ﾔﾏﾄ:阪和</v>
      </c>
      <c r="F206" s="334" t="s">
        <v>116</v>
      </c>
      <c r="G206" s="334">
        <v>205.0</v>
      </c>
    </row>
    <row r="207">
      <c r="A207" s="334" t="s">
        <v>8623</v>
      </c>
      <c r="B207" s="334" t="s">
        <v>8606</v>
      </c>
      <c r="C207" s="334" t="s">
        <v>11</v>
      </c>
      <c r="D207" s="334" t="s">
        <v>46</v>
      </c>
      <c r="E207" s="421" t="str">
        <f t="shared" si="3"/>
        <v>ﾔﾏﾄ:阪和</v>
      </c>
      <c r="F207" s="334" t="s">
        <v>119</v>
      </c>
      <c r="G207" s="334">
        <v>206.0</v>
      </c>
    </row>
    <row r="208">
      <c r="A208" s="334" t="s">
        <v>8624</v>
      </c>
      <c r="B208" s="334" t="s">
        <v>8606</v>
      </c>
      <c r="C208" s="334" t="s">
        <v>11</v>
      </c>
      <c r="D208" s="334" t="s">
        <v>46</v>
      </c>
      <c r="E208" s="421" t="str">
        <f t="shared" si="3"/>
        <v>ﾔﾏﾄ:阪和</v>
      </c>
      <c r="F208" s="334" t="s">
        <v>122</v>
      </c>
      <c r="G208" s="334">
        <v>207.0</v>
      </c>
    </row>
    <row r="209">
      <c r="A209" s="334" t="s">
        <v>8625</v>
      </c>
      <c r="B209" s="334" t="s">
        <v>8606</v>
      </c>
      <c r="C209" s="334" t="s">
        <v>11</v>
      </c>
      <c r="D209" s="334" t="s">
        <v>46</v>
      </c>
      <c r="E209" s="421" t="str">
        <f t="shared" si="3"/>
        <v>ﾔﾏﾄ:阪和</v>
      </c>
      <c r="F209" s="334" t="s">
        <v>111</v>
      </c>
      <c r="G209" s="334">
        <v>208.0</v>
      </c>
    </row>
    <row r="210">
      <c r="A210" s="334" t="s">
        <v>8626</v>
      </c>
      <c r="B210" s="334" t="s">
        <v>8606</v>
      </c>
      <c r="C210" s="334" t="s">
        <v>11</v>
      </c>
      <c r="D210" s="334" t="s">
        <v>46</v>
      </c>
      <c r="E210" s="421" t="str">
        <f t="shared" si="3"/>
        <v>ﾔﾏﾄ:阪和</v>
      </c>
      <c r="F210" s="334" t="s">
        <v>573</v>
      </c>
      <c r="G210" s="334">
        <v>209.0</v>
      </c>
    </row>
    <row r="211">
      <c r="A211" s="334" t="s">
        <v>8627</v>
      </c>
      <c r="B211" s="414" t="s">
        <v>8606</v>
      </c>
      <c r="C211" s="414" t="s">
        <v>534</v>
      </c>
      <c r="D211" s="414" t="s">
        <v>46</v>
      </c>
      <c r="E211" s="352" t="str">
        <f t="shared" si="3"/>
        <v>合同姫路:阪和</v>
      </c>
      <c r="F211" s="414" t="s">
        <v>130</v>
      </c>
      <c r="G211" s="334">
        <v>210.0</v>
      </c>
    </row>
    <row r="212">
      <c r="A212" s="334" t="s">
        <v>8628</v>
      </c>
      <c r="B212" s="414" t="s">
        <v>8606</v>
      </c>
      <c r="C212" s="414" t="s">
        <v>534</v>
      </c>
      <c r="D212" s="414" t="s">
        <v>46</v>
      </c>
      <c r="E212" s="352" t="str">
        <f t="shared" si="3"/>
        <v>合同姫路:阪和</v>
      </c>
      <c r="F212" s="414" t="s">
        <v>131</v>
      </c>
      <c r="G212" s="334">
        <v>211.0</v>
      </c>
    </row>
    <row r="213">
      <c r="A213" s="334" t="s">
        <v>8629</v>
      </c>
      <c r="B213" s="414" t="s">
        <v>8606</v>
      </c>
      <c r="C213" s="414" t="s">
        <v>534</v>
      </c>
      <c r="D213" s="414" t="s">
        <v>46</v>
      </c>
      <c r="E213" s="352" t="str">
        <f t="shared" si="3"/>
        <v>合同姫路:阪和</v>
      </c>
      <c r="F213" s="414" t="s">
        <v>574</v>
      </c>
      <c r="G213" s="334">
        <v>212.0</v>
      </c>
    </row>
    <row r="214">
      <c r="A214" s="334" t="s">
        <v>8630</v>
      </c>
      <c r="B214" s="334" t="s">
        <v>8606</v>
      </c>
      <c r="C214" s="334" t="s">
        <v>12</v>
      </c>
      <c r="D214" s="334" t="s">
        <v>50</v>
      </c>
      <c r="E214" s="421" t="str">
        <f t="shared" si="3"/>
        <v>山陽特殊:産振</v>
      </c>
      <c r="F214" s="334" t="s">
        <v>1199</v>
      </c>
      <c r="G214" s="334">
        <v>213.0</v>
      </c>
    </row>
    <row r="215">
      <c r="A215" s="334" t="s">
        <v>8631</v>
      </c>
      <c r="B215" s="334" t="s">
        <v>8606</v>
      </c>
      <c r="C215" s="334" t="s">
        <v>12</v>
      </c>
      <c r="D215" s="334" t="s">
        <v>50</v>
      </c>
      <c r="E215" s="421" t="str">
        <f t="shared" si="3"/>
        <v>山陽特殊:産振</v>
      </c>
      <c r="F215" s="334" t="s">
        <v>101</v>
      </c>
      <c r="G215" s="334">
        <v>214.0</v>
      </c>
    </row>
    <row r="216">
      <c r="A216" s="334" t="s">
        <v>8632</v>
      </c>
      <c r="B216" s="334" t="s">
        <v>8606</v>
      </c>
      <c r="C216" s="334" t="s">
        <v>12</v>
      </c>
      <c r="D216" s="334" t="s">
        <v>50</v>
      </c>
      <c r="E216" s="421" t="str">
        <f t="shared" si="3"/>
        <v>山陽特殊:産振</v>
      </c>
      <c r="F216" s="334" t="s">
        <v>105</v>
      </c>
      <c r="G216" s="334">
        <v>215.0</v>
      </c>
    </row>
    <row r="217">
      <c r="A217" s="334" t="s">
        <v>8633</v>
      </c>
      <c r="B217" s="334" t="s">
        <v>8606</v>
      </c>
      <c r="C217" s="334" t="s">
        <v>12</v>
      </c>
      <c r="D217" s="334" t="s">
        <v>53</v>
      </c>
      <c r="E217" s="421" t="str">
        <f t="shared" si="3"/>
        <v>山陽特殊:MM</v>
      </c>
      <c r="F217" s="334" t="s">
        <v>1199</v>
      </c>
      <c r="G217" s="334">
        <v>216.0</v>
      </c>
    </row>
    <row r="218">
      <c r="A218" s="334" t="s">
        <v>8634</v>
      </c>
      <c r="B218" s="334" t="s">
        <v>8606</v>
      </c>
      <c r="C218" s="334" t="s">
        <v>12</v>
      </c>
      <c r="D218" s="334" t="s">
        <v>53</v>
      </c>
      <c r="E218" s="421" t="str">
        <f t="shared" si="3"/>
        <v>山陽特殊:MM</v>
      </c>
      <c r="F218" s="334" t="s">
        <v>101</v>
      </c>
      <c r="G218" s="334">
        <v>217.0</v>
      </c>
    </row>
    <row r="219">
      <c r="A219" s="334" t="s">
        <v>8635</v>
      </c>
      <c r="B219" s="334" t="s">
        <v>8606</v>
      </c>
      <c r="C219" s="334" t="s">
        <v>12</v>
      </c>
      <c r="D219" s="334" t="s">
        <v>53</v>
      </c>
      <c r="E219" s="421" t="str">
        <f t="shared" si="3"/>
        <v>山陽特殊:MM</v>
      </c>
      <c r="F219" s="334" t="s">
        <v>105</v>
      </c>
      <c r="G219" s="334">
        <v>218.0</v>
      </c>
    </row>
    <row r="220">
      <c r="A220" s="334" t="s">
        <v>8636</v>
      </c>
      <c r="B220" s="334" t="s">
        <v>8606</v>
      </c>
      <c r="C220" s="334" t="s">
        <v>12</v>
      </c>
      <c r="D220" s="334" t="s">
        <v>53</v>
      </c>
      <c r="E220" s="421" t="str">
        <f t="shared" si="3"/>
        <v>山陽特殊:MM</v>
      </c>
      <c r="F220" s="334" t="s">
        <v>122</v>
      </c>
      <c r="G220" s="334">
        <v>219.0</v>
      </c>
    </row>
    <row r="221">
      <c r="A221" s="334" t="s">
        <v>8637</v>
      </c>
      <c r="B221" s="334" t="s">
        <v>8606</v>
      </c>
      <c r="C221" s="334" t="s">
        <v>12</v>
      </c>
      <c r="D221" s="334" t="s">
        <v>53</v>
      </c>
      <c r="E221" s="421" t="str">
        <f t="shared" si="3"/>
        <v>山陽特殊:MM</v>
      </c>
      <c r="F221" s="334" t="s">
        <v>130</v>
      </c>
      <c r="G221" s="334">
        <v>220.0</v>
      </c>
    </row>
    <row r="222">
      <c r="A222" s="334" t="s">
        <v>8638</v>
      </c>
      <c r="B222" s="334" t="s">
        <v>8606</v>
      </c>
      <c r="C222" s="334" t="s">
        <v>12</v>
      </c>
      <c r="D222" s="334" t="s">
        <v>53</v>
      </c>
      <c r="E222" s="421" t="str">
        <f t="shared" si="3"/>
        <v>山陽特殊:MM</v>
      </c>
      <c r="F222" s="334" t="s">
        <v>131</v>
      </c>
      <c r="G222" s="334">
        <v>221.0</v>
      </c>
    </row>
    <row r="223">
      <c r="A223" s="334" t="s">
        <v>8639</v>
      </c>
      <c r="B223" s="334" t="s">
        <v>8606</v>
      </c>
      <c r="C223" s="334" t="s">
        <v>12</v>
      </c>
      <c r="D223" s="334" t="s">
        <v>53</v>
      </c>
      <c r="E223" s="421" t="str">
        <f t="shared" si="3"/>
        <v>山陽特殊:MM</v>
      </c>
      <c r="F223" s="334" t="s">
        <v>574</v>
      </c>
      <c r="G223" s="334">
        <v>222.0</v>
      </c>
    </row>
    <row r="224">
      <c r="A224" s="334" t="s">
        <v>8640</v>
      </c>
      <c r="B224" s="414" t="s">
        <v>8606</v>
      </c>
      <c r="C224" s="414" t="s">
        <v>12</v>
      </c>
      <c r="D224" s="414" t="s">
        <v>541</v>
      </c>
      <c r="E224" s="352" t="str">
        <f t="shared" si="3"/>
        <v>山陽特殊:大同</v>
      </c>
      <c r="F224" s="414" t="s">
        <v>1199</v>
      </c>
      <c r="G224" s="334">
        <v>223.0</v>
      </c>
    </row>
    <row r="225">
      <c r="A225" s="334" t="s">
        <v>8641</v>
      </c>
      <c r="B225" s="414" t="s">
        <v>8606</v>
      </c>
      <c r="C225" s="414" t="s">
        <v>12</v>
      </c>
      <c r="D225" s="414" t="s">
        <v>541</v>
      </c>
      <c r="E225" s="352" t="str">
        <f t="shared" si="3"/>
        <v>山陽特殊:大同</v>
      </c>
      <c r="F225" s="414" t="s">
        <v>101</v>
      </c>
      <c r="G225" s="334">
        <v>224.0</v>
      </c>
    </row>
    <row r="226">
      <c r="A226" s="334" t="s">
        <v>8642</v>
      </c>
      <c r="B226" s="414" t="s">
        <v>8606</v>
      </c>
      <c r="C226" s="414" t="s">
        <v>12</v>
      </c>
      <c r="D226" s="414" t="s">
        <v>541</v>
      </c>
      <c r="E226" s="352" t="str">
        <f t="shared" si="3"/>
        <v>山陽特殊:大同</v>
      </c>
      <c r="F226" s="414" t="s">
        <v>105</v>
      </c>
      <c r="G226" s="334">
        <v>225.0</v>
      </c>
    </row>
    <row r="227">
      <c r="A227" s="334" t="s">
        <v>8643</v>
      </c>
      <c r="B227" s="334" t="s">
        <v>8606</v>
      </c>
      <c r="C227" s="334" t="s">
        <v>28</v>
      </c>
      <c r="D227" s="334" t="s">
        <v>52</v>
      </c>
      <c r="E227" s="421" t="str">
        <f t="shared" si="3"/>
        <v>ＪＦＥ条鋼:リバイブ</v>
      </c>
      <c r="F227" s="334" t="s">
        <v>111</v>
      </c>
      <c r="G227" s="334">
        <v>226.0</v>
      </c>
    </row>
    <row r="228">
      <c r="A228" s="334" t="s">
        <v>8644</v>
      </c>
      <c r="B228" s="334" t="s">
        <v>8606</v>
      </c>
      <c r="C228" s="334" t="s">
        <v>28</v>
      </c>
      <c r="D228" s="334" t="s">
        <v>52</v>
      </c>
      <c r="E228" s="421" t="str">
        <f t="shared" si="3"/>
        <v>ＪＦＥ条鋼:リバイブ</v>
      </c>
      <c r="F228" s="334" t="s">
        <v>116</v>
      </c>
      <c r="G228" s="334">
        <v>227.0</v>
      </c>
    </row>
    <row r="229">
      <c r="A229" s="334" t="s">
        <v>8645</v>
      </c>
      <c r="B229" s="334" t="s">
        <v>8606</v>
      </c>
      <c r="C229" s="334" t="s">
        <v>28</v>
      </c>
      <c r="D229" s="334" t="s">
        <v>52</v>
      </c>
      <c r="E229" s="421" t="str">
        <f t="shared" si="3"/>
        <v>ＪＦＥ条鋼:リバイブ</v>
      </c>
      <c r="F229" s="334" t="s">
        <v>119</v>
      </c>
      <c r="G229" s="334">
        <v>228.0</v>
      </c>
    </row>
    <row r="230">
      <c r="A230" s="334" t="s">
        <v>8646</v>
      </c>
      <c r="B230" s="334" t="s">
        <v>8606</v>
      </c>
      <c r="C230" s="334" t="s">
        <v>28</v>
      </c>
      <c r="D230" s="334" t="s">
        <v>52</v>
      </c>
      <c r="E230" s="421" t="str">
        <f t="shared" si="3"/>
        <v>ＪＦＥ条鋼:リバイブ</v>
      </c>
      <c r="F230" s="334" t="s">
        <v>122</v>
      </c>
      <c r="G230" s="334">
        <v>229.0</v>
      </c>
    </row>
    <row r="231">
      <c r="A231" s="334" t="s">
        <v>8647</v>
      </c>
      <c r="B231" s="334" t="s">
        <v>8606</v>
      </c>
      <c r="C231" s="334" t="s">
        <v>28</v>
      </c>
      <c r="D231" s="334" t="s">
        <v>52</v>
      </c>
      <c r="E231" s="421" t="str">
        <f t="shared" si="3"/>
        <v>ＪＦＥ条鋼:リバイブ</v>
      </c>
      <c r="F231" s="334" t="s">
        <v>573</v>
      </c>
      <c r="G231" s="334">
        <v>230.0</v>
      </c>
    </row>
    <row r="232">
      <c r="A232" s="334" t="s">
        <v>8648</v>
      </c>
      <c r="B232" s="334" t="s">
        <v>8606</v>
      </c>
      <c r="C232" s="334" t="s">
        <v>28</v>
      </c>
      <c r="D232" s="334" t="s">
        <v>52</v>
      </c>
      <c r="E232" s="421" t="str">
        <f t="shared" si="3"/>
        <v>ＪＦＥ条鋼:リバイブ</v>
      </c>
      <c r="F232" s="334" t="s">
        <v>130</v>
      </c>
      <c r="G232" s="334">
        <v>231.0</v>
      </c>
    </row>
    <row r="233">
      <c r="A233" s="334" t="s">
        <v>8649</v>
      </c>
      <c r="B233" s="334" t="s">
        <v>8606</v>
      </c>
      <c r="C233" s="334" t="s">
        <v>28</v>
      </c>
      <c r="D233" s="334" t="s">
        <v>52</v>
      </c>
      <c r="E233" s="421" t="str">
        <f t="shared" si="3"/>
        <v>ＪＦＥ条鋼:リバイブ</v>
      </c>
      <c r="F233" s="334" t="s">
        <v>131</v>
      </c>
      <c r="G233" s="334">
        <v>232.0</v>
      </c>
    </row>
    <row r="234">
      <c r="A234" s="334" t="s">
        <v>8650</v>
      </c>
      <c r="B234" s="334" t="s">
        <v>8606</v>
      </c>
      <c r="C234" s="334" t="s">
        <v>28</v>
      </c>
      <c r="D234" s="334" t="s">
        <v>52</v>
      </c>
      <c r="E234" s="421" t="str">
        <f t="shared" si="3"/>
        <v>ＪＦＥ条鋼:リバイブ</v>
      </c>
      <c r="F234" s="334" t="s">
        <v>575</v>
      </c>
      <c r="G234" s="334">
        <v>233.0</v>
      </c>
    </row>
    <row r="235">
      <c r="A235" s="334" t="s">
        <v>8651</v>
      </c>
      <c r="B235" s="334" t="s">
        <v>8606</v>
      </c>
      <c r="C235" s="334" t="s">
        <v>28</v>
      </c>
      <c r="D235" s="334" t="s">
        <v>52</v>
      </c>
      <c r="E235" s="421" t="str">
        <f t="shared" si="3"/>
        <v>ＪＦＥ条鋼:リバイブ</v>
      </c>
      <c r="F235" s="334" t="s">
        <v>154</v>
      </c>
      <c r="G235" s="334">
        <v>234.0</v>
      </c>
    </row>
    <row r="236">
      <c r="A236" s="334" t="s">
        <v>8652</v>
      </c>
      <c r="B236" s="334" t="s">
        <v>8606</v>
      </c>
      <c r="C236" s="334" t="s">
        <v>28</v>
      </c>
      <c r="D236" s="334" t="s">
        <v>46</v>
      </c>
      <c r="E236" s="421" t="str">
        <f t="shared" si="3"/>
        <v>ＪＦＥ条鋼:阪和</v>
      </c>
      <c r="F236" s="334" t="s">
        <v>111</v>
      </c>
      <c r="G236" s="334">
        <v>235.0</v>
      </c>
    </row>
    <row r="237">
      <c r="A237" s="334" t="s">
        <v>8653</v>
      </c>
      <c r="B237" s="334" t="s">
        <v>8606</v>
      </c>
      <c r="C237" s="334" t="s">
        <v>28</v>
      </c>
      <c r="D237" s="334" t="s">
        <v>46</v>
      </c>
      <c r="E237" s="421" t="str">
        <f t="shared" si="3"/>
        <v>ＪＦＥ条鋼:阪和</v>
      </c>
      <c r="F237" s="334" t="s">
        <v>116</v>
      </c>
      <c r="G237" s="334">
        <v>236.0</v>
      </c>
    </row>
    <row r="238">
      <c r="A238" s="334" t="s">
        <v>8654</v>
      </c>
      <c r="B238" s="334" t="s">
        <v>8606</v>
      </c>
      <c r="C238" s="334" t="s">
        <v>28</v>
      </c>
      <c r="D238" s="334" t="s">
        <v>46</v>
      </c>
      <c r="E238" s="421" t="str">
        <f t="shared" si="3"/>
        <v>ＪＦＥ条鋼:阪和</v>
      </c>
      <c r="F238" s="334" t="s">
        <v>119</v>
      </c>
      <c r="G238" s="334">
        <v>237.0</v>
      </c>
    </row>
    <row r="239">
      <c r="A239" s="334" t="s">
        <v>8655</v>
      </c>
      <c r="B239" s="334" t="s">
        <v>8606</v>
      </c>
      <c r="C239" s="334" t="s">
        <v>28</v>
      </c>
      <c r="D239" s="334" t="s">
        <v>46</v>
      </c>
      <c r="E239" s="421" t="str">
        <f t="shared" si="3"/>
        <v>ＪＦＥ条鋼:阪和</v>
      </c>
      <c r="F239" s="334" t="s">
        <v>122</v>
      </c>
      <c r="G239" s="334">
        <v>238.0</v>
      </c>
    </row>
    <row r="240">
      <c r="A240" s="334" t="s">
        <v>8656</v>
      </c>
      <c r="B240" s="334" t="s">
        <v>8606</v>
      </c>
      <c r="C240" s="334" t="s">
        <v>28</v>
      </c>
      <c r="D240" s="334" t="s">
        <v>46</v>
      </c>
      <c r="E240" s="421" t="str">
        <f t="shared" si="3"/>
        <v>ＪＦＥ条鋼:阪和</v>
      </c>
      <c r="F240" s="334" t="s">
        <v>573</v>
      </c>
      <c r="G240" s="334">
        <v>239.0</v>
      </c>
    </row>
    <row r="241">
      <c r="A241" s="334" t="s">
        <v>8657</v>
      </c>
      <c r="B241" s="334" t="s">
        <v>8606</v>
      </c>
      <c r="C241" s="334" t="s">
        <v>28</v>
      </c>
      <c r="D241" s="334" t="s">
        <v>46</v>
      </c>
      <c r="E241" s="421" t="str">
        <f t="shared" si="3"/>
        <v>ＪＦＥ条鋼:阪和</v>
      </c>
      <c r="F241" s="334" t="s">
        <v>130</v>
      </c>
      <c r="G241" s="334">
        <v>240.0</v>
      </c>
    </row>
    <row r="242">
      <c r="A242" s="334" t="s">
        <v>8658</v>
      </c>
      <c r="B242" s="334" t="s">
        <v>8606</v>
      </c>
      <c r="C242" s="334" t="s">
        <v>28</v>
      </c>
      <c r="D242" s="334" t="s">
        <v>46</v>
      </c>
      <c r="E242" s="421" t="str">
        <f t="shared" si="3"/>
        <v>ＪＦＥ条鋼:阪和</v>
      </c>
      <c r="F242" s="334" t="s">
        <v>131</v>
      </c>
      <c r="G242" s="334">
        <v>241.0</v>
      </c>
    </row>
    <row r="243">
      <c r="A243" s="334" t="s">
        <v>8659</v>
      </c>
      <c r="B243" s="334" t="s">
        <v>8606</v>
      </c>
      <c r="C243" s="334" t="s">
        <v>28</v>
      </c>
      <c r="D243" s="334" t="s">
        <v>46</v>
      </c>
      <c r="E243" s="421" t="str">
        <f t="shared" si="3"/>
        <v>ＪＦＥ条鋼:阪和</v>
      </c>
      <c r="F243" s="334" t="s">
        <v>575</v>
      </c>
      <c r="G243" s="334">
        <v>242.0</v>
      </c>
    </row>
    <row r="244">
      <c r="A244" s="334" t="s">
        <v>8660</v>
      </c>
      <c r="B244" s="334" t="s">
        <v>8606</v>
      </c>
      <c r="C244" s="334" t="s">
        <v>28</v>
      </c>
      <c r="D244" s="334" t="s">
        <v>46</v>
      </c>
      <c r="E244" s="421" t="str">
        <f t="shared" si="3"/>
        <v>ＪＦＥ条鋼:阪和</v>
      </c>
      <c r="F244" s="334" t="s">
        <v>154</v>
      </c>
      <c r="G244" s="334">
        <v>243.0</v>
      </c>
    </row>
    <row r="245">
      <c r="A245" s="334" t="s">
        <v>8661</v>
      </c>
      <c r="B245" s="334" t="s">
        <v>14</v>
      </c>
      <c r="C245" s="334" t="s">
        <v>535</v>
      </c>
      <c r="D245" s="334" t="s">
        <v>77</v>
      </c>
      <c r="E245" s="421" t="str">
        <f t="shared" si="3"/>
        <v>東鐵名古屋:直納</v>
      </c>
      <c r="F245" s="334" t="s">
        <v>1199</v>
      </c>
      <c r="G245" s="334">
        <v>244.0</v>
      </c>
    </row>
    <row r="246">
      <c r="A246" s="334" t="s">
        <v>8662</v>
      </c>
      <c r="B246" s="334" t="s">
        <v>14</v>
      </c>
      <c r="C246" s="334" t="s">
        <v>535</v>
      </c>
      <c r="D246" s="334" t="s">
        <v>77</v>
      </c>
      <c r="E246" s="421" t="str">
        <f t="shared" si="3"/>
        <v>東鐵名古屋:直納</v>
      </c>
      <c r="F246" s="334" t="s">
        <v>111</v>
      </c>
      <c r="G246" s="334">
        <v>245.0</v>
      </c>
    </row>
    <row r="247">
      <c r="A247" s="334" t="s">
        <v>8663</v>
      </c>
      <c r="B247" s="334" t="s">
        <v>14</v>
      </c>
      <c r="C247" s="334" t="s">
        <v>535</v>
      </c>
      <c r="D247" s="334" t="s">
        <v>77</v>
      </c>
      <c r="E247" s="421" t="str">
        <f t="shared" si="3"/>
        <v>東鐵名古屋:直納</v>
      </c>
      <c r="F247" s="334" t="s">
        <v>116</v>
      </c>
      <c r="G247" s="334">
        <v>246.0</v>
      </c>
    </row>
    <row r="248">
      <c r="A248" s="334" t="s">
        <v>8664</v>
      </c>
      <c r="B248" s="334" t="s">
        <v>14</v>
      </c>
      <c r="C248" s="334" t="s">
        <v>535</v>
      </c>
      <c r="D248" s="334" t="s">
        <v>77</v>
      </c>
      <c r="E248" s="421" t="str">
        <f t="shared" si="3"/>
        <v>東鐵名古屋:直納</v>
      </c>
      <c r="F248" s="334" t="s">
        <v>119</v>
      </c>
      <c r="G248" s="334">
        <v>247.0</v>
      </c>
    </row>
    <row r="249">
      <c r="A249" s="334" t="s">
        <v>8665</v>
      </c>
      <c r="B249" s="334" t="s">
        <v>14</v>
      </c>
      <c r="C249" s="334" t="s">
        <v>535</v>
      </c>
      <c r="D249" s="334" t="s">
        <v>77</v>
      </c>
      <c r="E249" s="421" t="str">
        <f t="shared" si="3"/>
        <v>東鐵名古屋:直納</v>
      </c>
      <c r="F249" s="334" t="s">
        <v>122</v>
      </c>
      <c r="G249" s="334">
        <v>248.0</v>
      </c>
    </row>
    <row r="250">
      <c r="A250" s="334" t="s">
        <v>8666</v>
      </c>
      <c r="B250" s="334" t="s">
        <v>14</v>
      </c>
      <c r="C250" s="334" t="s">
        <v>535</v>
      </c>
      <c r="D250" s="334" t="s">
        <v>77</v>
      </c>
      <c r="E250" s="421" t="str">
        <f t="shared" si="3"/>
        <v>東鐵名古屋:直納</v>
      </c>
      <c r="F250" s="334" t="s">
        <v>573</v>
      </c>
      <c r="G250" s="334">
        <v>249.0</v>
      </c>
    </row>
    <row r="251">
      <c r="A251" s="334" t="s">
        <v>8667</v>
      </c>
      <c r="B251" s="334" t="s">
        <v>14</v>
      </c>
      <c r="C251" s="334" t="s">
        <v>535</v>
      </c>
      <c r="D251" s="334" t="s">
        <v>77</v>
      </c>
      <c r="E251" s="421" t="str">
        <f t="shared" si="3"/>
        <v>東鐵名古屋:直納</v>
      </c>
      <c r="F251" s="334" t="s">
        <v>145</v>
      </c>
      <c r="G251" s="334">
        <v>250.0</v>
      </c>
    </row>
    <row r="252">
      <c r="A252" s="334" t="s">
        <v>8668</v>
      </c>
      <c r="B252" s="334" t="s">
        <v>14</v>
      </c>
      <c r="C252" s="334" t="s">
        <v>535</v>
      </c>
      <c r="D252" s="334" t="s">
        <v>77</v>
      </c>
      <c r="E252" s="421" t="str">
        <f t="shared" si="3"/>
        <v>東鐵名古屋:直納</v>
      </c>
      <c r="F252" s="334" t="s">
        <v>151</v>
      </c>
      <c r="G252" s="334">
        <v>251.0</v>
      </c>
    </row>
    <row r="253">
      <c r="A253" s="334" t="s">
        <v>8669</v>
      </c>
      <c r="B253" s="334" t="s">
        <v>14</v>
      </c>
      <c r="C253" s="334" t="s">
        <v>536</v>
      </c>
      <c r="D253" s="334" t="s">
        <v>77</v>
      </c>
      <c r="E253" s="421" t="str">
        <f t="shared" si="3"/>
        <v>東鐵田原:直納</v>
      </c>
      <c r="F253" s="334" t="s">
        <v>1199</v>
      </c>
      <c r="G253" s="334">
        <v>252.0</v>
      </c>
    </row>
    <row r="254">
      <c r="A254" s="334" t="s">
        <v>8670</v>
      </c>
      <c r="B254" s="334" t="s">
        <v>14</v>
      </c>
      <c r="C254" s="334" t="s">
        <v>536</v>
      </c>
      <c r="D254" s="334" t="s">
        <v>77</v>
      </c>
      <c r="E254" s="421" t="str">
        <f t="shared" si="3"/>
        <v>東鐵田原:直納</v>
      </c>
      <c r="F254" s="334" t="s">
        <v>111</v>
      </c>
      <c r="G254" s="334">
        <v>253.0</v>
      </c>
    </row>
    <row r="255">
      <c r="A255" s="334" t="s">
        <v>8671</v>
      </c>
      <c r="B255" s="334" t="s">
        <v>14</v>
      </c>
      <c r="C255" s="334" t="s">
        <v>536</v>
      </c>
      <c r="D255" s="334" t="s">
        <v>77</v>
      </c>
      <c r="E255" s="421" t="str">
        <f t="shared" si="3"/>
        <v>東鐵田原:直納</v>
      </c>
      <c r="F255" s="334" t="s">
        <v>116</v>
      </c>
      <c r="G255" s="334">
        <v>254.0</v>
      </c>
    </row>
    <row r="256">
      <c r="A256" s="334" t="s">
        <v>8672</v>
      </c>
      <c r="B256" s="334" t="s">
        <v>14</v>
      </c>
      <c r="C256" s="334" t="s">
        <v>536</v>
      </c>
      <c r="D256" s="334" t="s">
        <v>77</v>
      </c>
      <c r="E256" s="421" t="str">
        <f t="shared" si="3"/>
        <v>東鐵田原:直納</v>
      </c>
      <c r="F256" s="334" t="s">
        <v>119</v>
      </c>
      <c r="G256" s="334">
        <v>255.0</v>
      </c>
    </row>
    <row r="257">
      <c r="A257" s="334" t="s">
        <v>8673</v>
      </c>
      <c r="B257" s="334" t="s">
        <v>14</v>
      </c>
      <c r="C257" s="334" t="s">
        <v>536</v>
      </c>
      <c r="D257" s="334" t="s">
        <v>77</v>
      </c>
      <c r="E257" s="421" t="str">
        <f t="shared" si="3"/>
        <v>東鐵田原:直納</v>
      </c>
      <c r="F257" s="334" t="s">
        <v>122</v>
      </c>
      <c r="G257" s="334">
        <v>256.0</v>
      </c>
    </row>
    <row r="258">
      <c r="A258" s="334" t="s">
        <v>8674</v>
      </c>
      <c r="B258" s="334" t="s">
        <v>14</v>
      </c>
      <c r="C258" s="334" t="s">
        <v>536</v>
      </c>
      <c r="D258" s="334" t="s">
        <v>77</v>
      </c>
      <c r="E258" s="421" t="str">
        <f t="shared" si="3"/>
        <v>東鐵田原:直納</v>
      </c>
      <c r="F258" s="334" t="s">
        <v>573</v>
      </c>
      <c r="G258" s="334">
        <v>257.0</v>
      </c>
    </row>
    <row r="259">
      <c r="A259" s="334" t="s">
        <v>8675</v>
      </c>
      <c r="B259" s="334" t="s">
        <v>14</v>
      </c>
      <c r="C259" s="334" t="s">
        <v>536</v>
      </c>
      <c r="D259" s="334" t="s">
        <v>77</v>
      </c>
      <c r="E259" s="421" t="str">
        <f t="shared" si="3"/>
        <v>東鐵田原:直納</v>
      </c>
      <c r="F259" s="334" t="s">
        <v>130</v>
      </c>
      <c r="G259" s="334">
        <v>258.0</v>
      </c>
    </row>
    <row r="260">
      <c r="A260" s="334" t="s">
        <v>8676</v>
      </c>
      <c r="B260" s="334" t="s">
        <v>14</v>
      </c>
      <c r="C260" s="334" t="s">
        <v>536</v>
      </c>
      <c r="D260" s="334" t="s">
        <v>77</v>
      </c>
      <c r="E260" s="421" t="str">
        <f t="shared" si="3"/>
        <v>東鐵田原:直納</v>
      </c>
      <c r="F260" s="334" t="s">
        <v>131</v>
      </c>
      <c r="G260" s="334">
        <v>259.0</v>
      </c>
    </row>
    <row r="261">
      <c r="A261" s="334" t="s">
        <v>8677</v>
      </c>
      <c r="B261" s="334" t="s">
        <v>14</v>
      </c>
      <c r="C261" s="334" t="s">
        <v>536</v>
      </c>
      <c r="D261" s="334" t="s">
        <v>77</v>
      </c>
      <c r="E261" s="421" t="str">
        <f t="shared" si="3"/>
        <v>東鐵田原:直納</v>
      </c>
      <c r="F261" s="334" t="s">
        <v>575</v>
      </c>
      <c r="G261" s="334">
        <v>260.0</v>
      </c>
    </row>
    <row r="262">
      <c r="A262" s="334" t="s">
        <v>8678</v>
      </c>
      <c r="B262" s="334" t="s">
        <v>14</v>
      </c>
      <c r="C262" s="334" t="s">
        <v>536</v>
      </c>
      <c r="D262" s="334" t="s">
        <v>77</v>
      </c>
      <c r="E262" s="421" t="str">
        <f t="shared" si="3"/>
        <v>東鐵田原:直納</v>
      </c>
      <c r="F262" s="334" t="s">
        <v>145</v>
      </c>
      <c r="G262" s="334">
        <v>261.0</v>
      </c>
    </row>
    <row r="263">
      <c r="A263" s="334" t="s">
        <v>8679</v>
      </c>
      <c r="B263" s="334" t="s">
        <v>14</v>
      </c>
      <c r="C263" s="334" t="s">
        <v>536</v>
      </c>
      <c r="D263" s="334" t="s">
        <v>77</v>
      </c>
      <c r="E263" s="421" t="str">
        <f t="shared" si="3"/>
        <v>東鐵田原:直納</v>
      </c>
      <c r="F263" s="334" t="s">
        <v>151</v>
      </c>
      <c r="G263" s="334">
        <v>262.0</v>
      </c>
    </row>
    <row r="264">
      <c r="A264" s="334" t="s">
        <v>8680</v>
      </c>
      <c r="B264" s="334" t="s">
        <v>14</v>
      </c>
      <c r="C264" s="334" t="s">
        <v>536</v>
      </c>
      <c r="D264" s="334" t="s">
        <v>77</v>
      </c>
      <c r="E264" s="421" t="str">
        <f t="shared" si="3"/>
        <v>東鐵田原:直納</v>
      </c>
      <c r="F264" s="334" t="s">
        <v>154</v>
      </c>
      <c r="G264" s="334">
        <v>263.0</v>
      </c>
    </row>
    <row r="265">
      <c r="A265" s="334" t="s">
        <v>8681</v>
      </c>
      <c r="B265" s="334" t="s">
        <v>14</v>
      </c>
      <c r="C265" s="334" t="s">
        <v>14</v>
      </c>
      <c r="D265" s="334" t="s">
        <v>46</v>
      </c>
      <c r="E265" s="421" t="str">
        <f t="shared" si="3"/>
        <v>愛知:阪和</v>
      </c>
      <c r="F265" s="334" t="s">
        <v>1199</v>
      </c>
      <c r="G265" s="334">
        <v>264.0</v>
      </c>
    </row>
    <row r="266">
      <c r="A266" s="334" t="s">
        <v>8682</v>
      </c>
      <c r="B266" s="334" t="s">
        <v>14</v>
      </c>
      <c r="C266" s="334" t="s">
        <v>14</v>
      </c>
      <c r="D266" s="334" t="s">
        <v>46</v>
      </c>
      <c r="E266" s="421" t="str">
        <f t="shared" si="3"/>
        <v>愛知:阪和</v>
      </c>
      <c r="F266" s="334" t="s">
        <v>101</v>
      </c>
      <c r="G266" s="334">
        <v>265.0</v>
      </c>
    </row>
    <row r="267">
      <c r="A267" s="334" t="s">
        <v>8683</v>
      </c>
      <c r="B267" s="334" t="s">
        <v>14</v>
      </c>
      <c r="C267" s="334" t="s">
        <v>14</v>
      </c>
      <c r="D267" s="334" t="s">
        <v>46</v>
      </c>
      <c r="E267" s="421" t="str">
        <f t="shared" si="3"/>
        <v>愛知:阪和</v>
      </c>
      <c r="F267" s="334" t="s">
        <v>111</v>
      </c>
      <c r="G267" s="334">
        <v>266.0</v>
      </c>
    </row>
    <row r="268">
      <c r="A268" s="334" t="s">
        <v>8684</v>
      </c>
      <c r="B268" s="334" t="s">
        <v>14</v>
      </c>
      <c r="C268" s="334" t="s">
        <v>14</v>
      </c>
      <c r="D268" s="334" t="s">
        <v>46</v>
      </c>
      <c r="E268" s="421" t="str">
        <f t="shared" si="3"/>
        <v>愛知:阪和</v>
      </c>
      <c r="F268" s="334" t="s">
        <v>116</v>
      </c>
      <c r="G268" s="334">
        <v>267.0</v>
      </c>
    </row>
    <row r="269">
      <c r="A269" s="334" t="s">
        <v>8685</v>
      </c>
      <c r="B269" s="334" t="s">
        <v>14</v>
      </c>
      <c r="C269" s="334" t="s">
        <v>14</v>
      </c>
      <c r="D269" s="334" t="s">
        <v>46</v>
      </c>
      <c r="E269" s="421" t="str">
        <f t="shared" si="3"/>
        <v>愛知:阪和</v>
      </c>
      <c r="F269" s="334" t="s">
        <v>119</v>
      </c>
      <c r="G269" s="334">
        <v>268.0</v>
      </c>
    </row>
    <row r="270">
      <c r="A270" s="334" t="s">
        <v>8686</v>
      </c>
      <c r="B270" s="334" t="s">
        <v>14</v>
      </c>
      <c r="C270" s="334" t="s">
        <v>14</v>
      </c>
      <c r="D270" s="334" t="s">
        <v>46</v>
      </c>
      <c r="E270" s="421" t="str">
        <f t="shared" si="3"/>
        <v>愛知:阪和</v>
      </c>
      <c r="F270" s="334" t="s">
        <v>573</v>
      </c>
      <c r="G270" s="334">
        <v>269.0</v>
      </c>
    </row>
    <row r="271">
      <c r="A271" s="334" t="s">
        <v>8687</v>
      </c>
      <c r="B271" s="334" t="s">
        <v>14</v>
      </c>
      <c r="C271" s="334" t="s">
        <v>14</v>
      </c>
      <c r="D271" s="334" t="s">
        <v>46</v>
      </c>
      <c r="E271" s="421" t="str">
        <f t="shared" si="3"/>
        <v>愛知:阪和</v>
      </c>
      <c r="F271" s="334" t="s">
        <v>130</v>
      </c>
      <c r="G271" s="334">
        <v>270.0</v>
      </c>
    </row>
    <row r="272">
      <c r="A272" s="334" t="s">
        <v>8688</v>
      </c>
      <c r="B272" s="334" t="s">
        <v>14</v>
      </c>
      <c r="C272" s="334" t="s">
        <v>14</v>
      </c>
      <c r="D272" s="334" t="s">
        <v>46</v>
      </c>
      <c r="E272" s="421" t="str">
        <f t="shared" si="3"/>
        <v>愛知:阪和</v>
      </c>
      <c r="F272" s="334" t="s">
        <v>131</v>
      </c>
      <c r="G272" s="334">
        <v>271.0</v>
      </c>
    </row>
    <row r="273">
      <c r="A273" s="334" t="s">
        <v>8689</v>
      </c>
      <c r="B273" s="334" t="s">
        <v>14</v>
      </c>
      <c r="C273" s="334" t="s">
        <v>14</v>
      </c>
      <c r="D273" s="334" t="s">
        <v>46</v>
      </c>
      <c r="E273" s="421" t="str">
        <f t="shared" si="3"/>
        <v>愛知:阪和</v>
      </c>
      <c r="F273" s="334" t="s">
        <v>145</v>
      </c>
      <c r="G273" s="334">
        <v>272.0</v>
      </c>
    </row>
    <row r="274">
      <c r="A274" s="334" t="s">
        <v>8690</v>
      </c>
      <c r="B274" s="334" t="s">
        <v>14</v>
      </c>
      <c r="C274" s="334" t="s">
        <v>14</v>
      </c>
      <c r="D274" s="334" t="s">
        <v>48</v>
      </c>
      <c r="E274" s="421" t="str">
        <f t="shared" si="3"/>
        <v>愛知:ナベ</v>
      </c>
      <c r="F274" s="334" t="s">
        <v>1199</v>
      </c>
      <c r="G274" s="334">
        <v>273.0</v>
      </c>
    </row>
    <row r="275">
      <c r="A275" s="334" t="s">
        <v>8691</v>
      </c>
      <c r="B275" s="334" t="s">
        <v>14</v>
      </c>
      <c r="C275" s="334" t="s">
        <v>14</v>
      </c>
      <c r="D275" s="334" t="s">
        <v>48</v>
      </c>
      <c r="E275" s="421" t="str">
        <f t="shared" si="3"/>
        <v>愛知:ナベ</v>
      </c>
      <c r="F275" s="334" t="s">
        <v>101</v>
      </c>
      <c r="G275" s="334">
        <v>274.0</v>
      </c>
    </row>
    <row r="276">
      <c r="A276" s="334" t="s">
        <v>8692</v>
      </c>
      <c r="B276" s="334" t="s">
        <v>14</v>
      </c>
      <c r="C276" s="334" t="s">
        <v>14</v>
      </c>
      <c r="D276" s="334" t="s">
        <v>48</v>
      </c>
      <c r="E276" s="421" t="str">
        <f t="shared" si="3"/>
        <v>愛知:ナベ</v>
      </c>
      <c r="F276" s="334" t="s">
        <v>111</v>
      </c>
      <c r="G276" s="334">
        <v>275.0</v>
      </c>
    </row>
    <row r="277">
      <c r="A277" s="334" t="s">
        <v>8693</v>
      </c>
      <c r="B277" s="334" t="s">
        <v>14</v>
      </c>
      <c r="C277" s="334" t="s">
        <v>14</v>
      </c>
      <c r="D277" s="334" t="s">
        <v>48</v>
      </c>
      <c r="E277" s="421" t="str">
        <f t="shared" si="3"/>
        <v>愛知:ナベ</v>
      </c>
      <c r="F277" s="334" t="s">
        <v>116</v>
      </c>
      <c r="G277" s="334">
        <v>276.0</v>
      </c>
    </row>
    <row r="278">
      <c r="A278" s="334" t="s">
        <v>8694</v>
      </c>
      <c r="B278" s="334" t="s">
        <v>14</v>
      </c>
      <c r="C278" s="334" t="s">
        <v>14</v>
      </c>
      <c r="D278" s="334" t="s">
        <v>48</v>
      </c>
      <c r="E278" s="421" t="str">
        <f t="shared" si="3"/>
        <v>愛知:ナベ</v>
      </c>
      <c r="F278" s="334" t="s">
        <v>119</v>
      </c>
      <c r="G278" s="334">
        <v>277.0</v>
      </c>
    </row>
    <row r="279">
      <c r="A279" s="334" t="s">
        <v>8695</v>
      </c>
      <c r="B279" s="334" t="s">
        <v>14</v>
      </c>
      <c r="C279" s="334" t="s">
        <v>14</v>
      </c>
      <c r="D279" s="334" t="s">
        <v>48</v>
      </c>
      <c r="E279" s="421" t="str">
        <f t="shared" si="3"/>
        <v>愛知:ナベ</v>
      </c>
      <c r="F279" s="334" t="s">
        <v>573</v>
      </c>
      <c r="G279" s="334">
        <v>278.0</v>
      </c>
    </row>
    <row r="280">
      <c r="A280" s="334" t="s">
        <v>8696</v>
      </c>
      <c r="B280" s="334" t="s">
        <v>14</v>
      </c>
      <c r="C280" s="334" t="s">
        <v>14</v>
      </c>
      <c r="D280" s="334" t="s">
        <v>48</v>
      </c>
      <c r="E280" s="421" t="str">
        <f t="shared" si="3"/>
        <v>愛知:ナベ</v>
      </c>
      <c r="F280" s="334" t="s">
        <v>575</v>
      </c>
      <c r="G280" s="334">
        <v>279.0</v>
      </c>
    </row>
    <row r="281">
      <c r="A281" s="334" t="s">
        <v>8697</v>
      </c>
      <c r="B281" s="334" t="s">
        <v>14</v>
      </c>
      <c r="C281" s="334" t="s">
        <v>15</v>
      </c>
      <c r="D281" s="334" t="s">
        <v>58</v>
      </c>
      <c r="E281" s="421" t="str">
        <f t="shared" si="3"/>
        <v>山口鋼業:MM建材</v>
      </c>
      <c r="F281" s="334" t="s">
        <v>1199</v>
      </c>
      <c r="G281" s="334">
        <v>280.0</v>
      </c>
    </row>
    <row r="282">
      <c r="A282" s="334" t="s">
        <v>8698</v>
      </c>
      <c r="B282" s="334" t="s">
        <v>14</v>
      </c>
      <c r="C282" s="334" t="s">
        <v>15</v>
      </c>
      <c r="D282" s="334" t="s">
        <v>58</v>
      </c>
      <c r="E282" s="421" t="str">
        <f t="shared" si="3"/>
        <v>山口鋼業:MM建材</v>
      </c>
      <c r="F282" s="422" t="s">
        <v>1237</v>
      </c>
      <c r="G282" s="334">
        <v>281.0</v>
      </c>
    </row>
    <row r="283">
      <c r="A283" s="334" t="s">
        <v>8699</v>
      </c>
      <c r="B283" s="334" t="s">
        <v>14</v>
      </c>
      <c r="C283" s="334" t="s">
        <v>15</v>
      </c>
      <c r="D283" s="334" t="s">
        <v>58</v>
      </c>
      <c r="E283" s="421" t="str">
        <f t="shared" si="3"/>
        <v>山口鋼業:MM建材</v>
      </c>
      <c r="F283" s="334" t="s">
        <v>116</v>
      </c>
      <c r="G283" s="334">
        <v>282.0</v>
      </c>
    </row>
    <row r="284">
      <c r="A284" s="334" t="s">
        <v>8700</v>
      </c>
      <c r="B284" s="334" t="s">
        <v>14</v>
      </c>
      <c r="C284" s="334" t="s">
        <v>15</v>
      </c>
      <c r="D284" s="334" t="s">
        <v>58</v>
      </c>
      <c r="E284" s="421" t="str">
        <f t="shared" si="3"/>
        <v>山口鋼業:MM建材</v>
      </c>
      <c r="F284" s="334" t="s">
        <v>119</v>
      </c>
      <c r="G284" s="334">
        <v>283.0</v>
      </c>
    </row>
    <row r="285">
      <c r="A285" s="334" t="s">
        <v>8701</v>
      </c>
      <c r="B285" s="334" t="s">
        <v>14</v>
      </c>
      <c r="C285" s="334" t="s">
        <v>15</v>
      </c>
      <c r="D285" s="334" t="s">
        <v>58</v>
      </c>
      <c r="E285" s="421" t="str">
        <f t="shared" si="3"/>
        <v>山口鋼業:MM建材</v>
      </c>
      <c r="F285" s="334" t="s">
        <v>573</v>
      </c>
      <c r="G285" s="334">
        <v>284.0</v>
      </c>
    </row>
    <row r="286">
      <c r="A286" s="334" t="s">
        <v>8702</v>
      </c>
      <c r="B286" s="334" t="s">
        <v>14</v>
      </c>
      <c r="C286" s="334" t="s">
        <v>15</v>
      </c>
      <c r="D286" s="334" t="s">
        <v>58</v>
      </c>
      <c r="E286" s="421" t="str">
        <f t="shared" si="3"/>
        <v>山口鋼業:MM建材</v>
      </c>
      <c r="F286" s="334" t="s">
        <v>575</v>
      </c>
      <c r="G286" s="334">
        <v>285.0</v>
      </c>
    </row>
    <row r="287">
      <c r="A287" s="334" t="s">
        <v>8703</v>
      </c>
      <c r="B287" s="334" t="s">
        <v>14</v>
      </c>
      <c r="C287" s="334" t="s">
        <v>15</v>
      </c>
      <c r="D287" s="334" t="s">
        <v>58</v>
      </c>
      <c r="E287" s="421" t="str">
        <f t="shared" si="3"/>
        <v>山口鋼業:MM建材</v>
      </c>
      <c r="F287" s="334" t="s">
        <v>577</v>
      </c>
      <c r="G287" s="334">
        <v>286.0</v>
      </c>
    </row>
    <row r="288">
      <c r="A288" s="334" t="s">
        <v>8704</v>
      </c>
      <c r="B288" s="334" t="s">
        <v>14</v>
      </c>
      <c r="C288" s="334" t="s">
        <v>15</v>
      </c>
      <c r="D288" s="334" t="s">
        <v>46</v>
      </c>
      <c r="E288" s="421" t="str">
        <f t="shared" si="3"/>
        <v>山口鋼業:阪和</v>
      </c>
      <c r="F288" s="334" t="s">
        <v>1199</v>
      </c>
      <c r="G288" s="334">
        <v>287.0</v>
      </c>
    </row>
    <row r="289">
      <c r="A289" s="334" t="s">
        <v>8705</v>
      </c>
      <c r="B289" s="334" t="s">
        <v>14</v>
      </c>
      <c r="C289" s="334" t="s">
        <v>15</v>
      </c>
      <c r="D289" s="334" t="s">
        <v>46</v>
      </c>
      <c r="E289" s="421" t="str">
        <f t="shared" si="3"/>
        <v>山口鋼業:阪和</v>
      </c>
      <c r="F289" s="334" t="s">
        <v>111</v>
      </c>
      <c r="G289" s="334">
        <v>288.0</v>
      </c>
    </row>
    <row r="290">
      <c r="A290" s="334" t="s">
        <v>8706</v>
      </c>
      <c r="B290" s="334" t="s">
        <v>14</v>
      </c>
      <c r="C290" s="334" t="s">
        <v>15</v>
      </c>
      <c r="D290" s="334" t="s">
        <v>46</v>
      </c>
      <c r="E290" s="421" t="str">
        <f t="shared" si="3"/>
        <v>山口鋼業:阪和</v>
      </c>
      <c r="F290" s="334" t="s">
        <v>116</v>
      </c>
      <c r="G290" s="334">
        <v>289.0</v>
      </c>
    </row>
    <row r="291">
      <c r="A291" s="334" t="s">
        <v>8707</v>
      </c>
      <c r="B291" s="334" t="s">
        <v>14</v>
      </c>
      <c r="C291" s="334" t="s">
        <v>15</v>
      </c>
      <c r="D291" s="334" t="s">
        <v>46</v>
      </c>
      <c r="E291" s="421" t="str">
        <f t="shared" si="3"/>
        <v>山口鋼業:阪和</v>
      </c>
      <c r="F291" s="334" t="s">
        <v>119</v>
      </c>
      <c r="G291" s="334">
        <v>290.0</v>
      </c>
    </row>
    <row r="292">
      <c r="A292" s="334" t="s">
        <v>8708</v>
      </c>
      <c r="B292" s="334" t="s">
        <v>14</v>
      </c>
      <c r="C292" s="334" t="s">
        <v>15</v>
      </c>
      <c r="D292" s="334" t="s">
        <v>46</v>
      </c>
      <c r="E292" s="421" t="str">
        <f t="shared" si="3"/>
        <v>山口鋼業:阪和</v>
      </c>
      <c r="F292" s="334" t="s">
        <v>573</v>
      </c>
      <c r="G292" s="334">
        <v>291.0</v>
      </c>
    </row>
    <row r="293">
      <c r="A293" s="334" t="s">
        <v>8709</v>
      </c>
      <c r="B293" s="334" t="s">
        <v>14</v>
      </c>
      <c r="C293" s="334" t="s">
        <v>537</v>
      </c>
      <c r="D293" s="334" t="s">
        <v>59</v>
      </c>
      <c r="E293" s="421" t="str">
        <f t="shared" si="3"/>
        <v>大同特殊鋼:大同興業</v>
      </c>
      <c r="F293" s="334" t="s">
        <v>1199</v>
      </c>
      <c r="G293" s="334">
        <v>292.0</v>
      </c>
    </row>
    <row r="294">
      <c r="A294" s="334" t="s">
        <v>8710</v>
      </c>
      <c r="B294" s="334" t="s">
        <v>14</v>
      </c>
      <c r="C294" s="334" t="s">
        <v>537</v>
      </c>
      <c r="D294" s="334" t="s">
        <v>59</v>
      </c>
      <c r="E294" s="421" t="str">
        <f t="shared" si="3"/>
        <v>大同特殊鋼:大同興業</v>
      </c>
      <c r="F294" s="334" t="s">
        <v>575</v>
      </c>
      <c r="G294" s="334">
        <v>293.0</v>
      </c>
    </row>
    <row r="295">
      <c r="A295" s="334" t="s">
        <v>8711</v>
      </c>
      <c r="B295" s="334" t="s">
        <v>14</v>
      </c>
      <c r="C295" s="334" t="s">
        <v>537</v>
      </c>
      <c r="D295" s="334" t="s">
        <v>1404</v>
      </c>
      <c r="E295" s="421" t="str">
        <f t="shared" si="3"/>
        <v>大同特殊鋼:JSE/大和ﾘﾃｯｸ</v>
      </c>
      <c r="F295" s="334" t="s">
        <v>1199</v>
      </c>
      <c r="G295" s="334">
        <v>294.0</v>
      </c>
    </row>
    <row r="296">
      <c r="A296" s="334" t="s">
        <v>8712</v>
      </c>
      <c r="B296" s="334" t="s">
        <v>14</v>
      </c>
      <c r="C296" s="334" t="s">
        <v>537</v>
      </c>
      <c r="D296" s="334" t="s">
        <v>1404</v>
      </c>
      <c r="E296" s="421" t="str">
        <f t="shared" si="3"/>
        <v>大同特殊鋼:JSE/大和ﾘﾃｯｸ</v>
      </c>
      <c r="F296" s="334" t="s">
        <v>116</v>
      </c>
      <c r="G296" s="334">
        <v>295.0</v>
      </c>
    </row>
    <row r="297">
      <c r="A297" s="334" t="s">
        <v>8713</v>
      </c>
      <c r="B297" s="334" t="s">
        <v>14</v>
      </c>
      <c r="C297" s="334" t="s">
        <v>537</v>
      </c>
      <c r="D297" s="334" t="s">
        <v>1404</v>
      </c>
      <c r="E297" s="421" t="str">
        <f t="shared" si="3"/>
        <v>大同特殊鋼:JSE/大和ﾘﾃｯｸ</v>
      </c>
      <c r="F297" s="334" t="s">
        <v>575</v>
      </c>
      <c r="G297" s="334">
        <v>296.0</v>
      </c>
    </row>
    <row r="298">
      <c r="A298" s="334" t="s">
        <v>8714</v>
      </c>
      <c r="B298" s="334" t="s">
        <v>14</v>
      </c>
      <c r="C298" s="334" t="s">
        <v>537</v>
      </c>
      <c r="D298" s="334" t="s">
        <v>1407</v>
      </c>
      <c r="E298" s="421" t="str">
        <f t="shared" si="3"/>
        <v>大同特殊鋼:JSE/第二＠2.3</v>
      </c>
      <c r="F298" s="334" t="s">
        <v>1199</v>
      </c>
      <c r="G298" s="334">
        <v>297.0</v>
      </c>
    </row>
    <row r="299">
      <c r="A299" s="334" t="s">
        <v>8715</v>
      </c>
      <c r="B299" s="334" t="s">
        <v>14</v>
      </c>
      <c r="C299" s="334" t="s">
        <v>537</v>
      </c>
      <c r="D299" s="334" t="s">
        <v>1407</v>
      </c>
      <c r="E299" s="421" t="str">
        <f t="shared" si="3"/>
        <v>大同特殊鋼:JSE/第二＠2.3</v>
      </c>
      <c r="F299" s="334" t="s">
        <v>116</v>
      </c>
      <c r="G299" s="334">
        <v>298.0</v>
      </c>
    </row>
    <row r="300">
      <c r="A300" s="334" t="s">
        <v>8716</v>
      </c>
      <c r="B300" s="334" t="s">
        <v>14</v>
      </c>
      <c r="C300" s="334" t="s">
        <v>537</v>
      </c>
      <c r="D300" s="334" t="s">
        <v>1407</v>
      </c>
      <c r="E300" s="421" t="str">
        <f t="shared" si="3"/>
        <v>大同特殊鋼:JSE/第二＠2.3</v>
      </c>
      <c r="F300" s="334" t="s">
        <v>575</v>
      </c>
      <c r="G300" s="334">
        <v>299.0</v>
      </c>
    </row>
    <row r="301">
      <c r="A301" s="334" t="s">
        <v>8717</v>
      </c>
      <c r="B301" s="334" t="s">
        <v>14</v>
      </c>
      <c r="C301" s="334" t="s">
        <v>537</v>
      </c>
      <c r="D301" s="334" t="s">
        <v>1410</v>
      </c>
      <c r="E301" s="421" t="str">
        <f t="shared" si="3"/>
        <v>大同特殊鋼:JSE/岐阜＠1.5</v>
      </c>
      <c r="F301" s="334" t="s">
        <v>1199</v>
      </c>
      <c r="G301" s="334">
        <v>300.0</v>
      </c>
    </row>
    <row r="302">
      <c r="A302" s="334" t="s">
        <v>8718</v>
      </c>
      <c r="B302" s="334" t="s">
        <v>14</v>
      </c>
      <c r="C302" s="334" t="s">
        <v>537</v>
      </c>
      <c r="D302" s="334" t="s">
        <v>1410</v>
      </c>
      <c r="E302" s="421" t="str">
        <f t="shared" si="3"/>
        <v>大同特殊鋼:JSE/岐阜＠1.5</v>
      </c>
      <c r="F302" s="334" t="s">
        <v>116</v>
      </c>
      <c r="G302" s="334">
        <v>301.0</v>
      </c>
    </row>
    <row r="303">
      <c r="A303" s="334" t="s">
        <v>8719</v>
      </c>
      <c r="B303" s="334" t="s">
        <v>14</v>
      </c>
      <c r="C303" s="334" t="s">
        <v>537</v>
      </c>
      <c r="D303" s="334" t="s">
        <v>1410</v>
      </c>
      <c r="E303" s="421" t="str">
        <f t="shared" si="3"/>
        <v>大同特殊鋼:JSE/岐阜＠1.5</v>
      </c>
      <c r="F303" s="334" t="s">
        <v>575</v>
      </c>
      <c r="G303" s="334">
        <v>302.0</v>
      </c>
    </row>
    <row r="304">
      <c r="A304" s="334" t="s">
        <v>8720</v>
      </c>
      <c r="B304" s="334" t="s">
        <v>14</v>
      </c>
      <c r="C304" s="334" t="s">
        <v>20</v>
      </c>
      <c r="D304" s="334" t="s">
        <v>50</v>
      </c>
      <c r="E304" s="421" t="str">
        <f t="shared" si="3"/>
        <v>衣浦:産振</v>
      </c>
      <c r="F304" s="334" t="s">
        <v>1199</v>
      </c>
      <c r="G304" s="334">
        <v>303.0</v>
      </c>
    </row>
    <row r="305">
      <c r="A305" s="334" t="s">
        <v>8721</v>
      </c>
      <c r="B305" s="334" t="s">
        <v>14</v>
      </c>
      <c r="C305" s="334" t="s">
        <v>19</v>
      </c>
      <c r="D305" s="334" t="s">
        <v>61</v>
      </c>
      <c r="E305" s="421" t="str">
        <f t="shared" si="3"/>
        <v>トピー工業:ＭＭ</v>
      </c>
      <c r="F305" s="334" t="s">
        <v>116</v>
      </c>
      <c r="G305" s="334">
        <v>304.0</v>
      </c>
    </row>
    <row r="306">
      <c r="A306" s="334" t="s">
        <v>8722</v>
      </c>
      <c r="B306" s="334" t="s">
        <v>14</v>
      </c>
      <c r="C306" s="334" t="s">
        <v>17</v>
      </c>
      <c r="D306" s="334" t="s">
        <v>562</v>
      </c>
      <c r="E306" s="421" t="str">
        <f t="shared" si="3"/>
        <v>RTA:栗東置場単価</v>
      </c>
      <c r="F306" s="334" t="s">
        <v>575</v>
      </c>
      <c r="G306" s="334">
        <v>305.0</v>
      </c>
    </row>
    <row r="307">
      <c r="A307" s="334" t="s">
        <v>8723</v>
      </c>
      <c r="B307" s="334" t="s">
        <v>14</v>
      </c>
      <c r="C307" s="334" t="s">
        <v>17</v>
      </c>
      <c r="D307" s="334" t="s">
        <v>563</v>
      </c>
      <c r="E307" s="421" t="str">
        <f t="shared" si="3"/>
        <v>RTA:第二置場単価</v>
      </c>
      <c r="F307" s="334" t="s">
        <v>575</v>
      </c>
      <c r="G307" s="334">
        <v>306.0</v>
      </c>
    </row>
    <row r="308">
      <c r="A308" s="334" t="s">
        <v>8724</v>
      </c>
      <c r="B308" s="334" t="s">
        <v>14</v>
      </c>
      <c r="C308" s="334" t="s">
        <v>35</v>
      </c>
      <c r="D308" s="334" t="s">
        <v>48</v>
      </c>
      <c r="E308" s="421" t="str">
        <f t="shared" si="3"/>
        <v>ﾆｭｰｽｺﾝ稲永:ナベ</v>
      </c>
      <c r="F308" s="334" t="s">
        <v>130</v>
      </c>
      <c r="G308" s="334">
        <v>307.0</v>
      </c>
    </row>
    <row r="309">
      <c r="A309" s="334" t="s">
        <v>8725</v>
      </c>
      <c r="B309" s="334" t="s">
        <v>14</v>
      </c>
      <c r="C309" s="334" t="s">
        <v>37</v>
      </c>
      <c r="D309" s="334" t="s">
        <v>48</v>
      </c>
      <c r="E309" s="421" t="str">
        <f t="shared" si="3"/>
        <v>共英名古屋:ナベ</v>
      </c>
      <c r="F309" s="334" t="s">
        <v>111</v>
      </c>
      <c r="G309" s="334">
        <v>308.0</v>
      </c>
    </row>
    <row r="310">
      <c r="A310" s="334" t="s">
        <v>8726</v>
      </c>
      <c r="B310" s="334" t="s">
        <v>14</v>
      </c>
      <c r="C310" s="334" t="s">
        <v>37</v>
      </c>
      <c r="D310" s="334" t="s">
        <v>48</v>
      </c>
      <c r="E310" s="421" t="str">
        <f t="shared" si="3"/>
        <v>共英名古屋:ナベ</v>
      </c>
      <c r="F310" s="334" t="s">
        <v>116</v>
      </c>
      <c r="G310" s="334">
        <v>309.0</v>
      </c>
    </row>
    <row r="311">
      <c r="A311" s="334" t="s">
        <v>8727</v>
      </c>
      <c r="B311" s="334" t="s">
        <v>14</v>
      </c>
      <c r="C311" s="334" t="s">
        <v>37</v>
      </c>
      <c r="D311" s="334" t="s">
        <v>48</v>
      </c>
      <c r="E311" s="421" t="str">
        <f t="shared" si="3"/>
        <v>共英名古屋:ナベ</v>
      </c>
      <c r="F311" s="334" t="s">
        <v>119</v>
      </c>
      <c r="G311" s="334">
        <v>310.0</v>
      </c>
    </row>
    <row r="312">
      <c r="A312" s="334" t="s">
        <v>8728</v>
      </c>
      <c r="B312" s="334" t="s">
        <v>14</v>
      </c>
      <c r="C312" s="334" t="s">
        <v>37</v>
      </c>
      <c r="D312" s="334" t="s">
        <v>48</v>
      </c>
      <c r="E312" s="421" t="str">
        <f t="shared" si="3"/>
        <v>共英名古屋:ナベ</v>
      </c>
      <c r="F312" s="334" t="s">
        <v>122</v>
      </c>
      <c r="G312" s="334">
        <v>311.0</v>
      </c>
    </row>
    <row r="313">
      <c r="A313" s="334" t="s">
        <v>8729</v>
      </c>
      <c r="B313" s="334" t="s">
        <v>8730</v>
      </c>
      <c r="C313" s="334" t="s">
        <v>24</v>
      </c>
      <c r="D313" s="334" t="s">
        <v>48</v>
      </c>
      <c r="E313" s="421" t="str">
        <f t="shared" si="3"/>
        <v>大谷製鉄:ナベ</v>
      </c>
      <c r="F313" s="334" t="s">
        <v>1199</v>
      </c>
      <c r="G313" s="334">
        <v>312.0</v>
      </c>
    </row>
    <row r="314">
      <c r="A314" s="334" t="s">
        <v>8731</v>
      </c>
      <c r="B314" s="334" t="s">
        <v>8730</v>
      </c>
      <c r="C314" s="334" t="s">
        <v>25</v>
      </c>
      <c r="D314" s="334" t="s">
        <v>48</v>
      </c>
      <c r="E314" s="421" t="str">
        <f t="shared" si="3"/>
        <v>銑ダライ:ナベ</v>
      </c>
      <c r="F314" s="334" t="s">
        <v>25</v>
      </c>
      <c r="G314" s="334">
        <v>313.0</v>
      </c>
    </row>
    <row r="315">
      <c r="A315" s="334" t="s">
        <v>8732</v>
      </c>
      <c r="B315" s="334" t="s">
        <v>8730</v>
      </c>
      <c r="C315" s="334" t="s">
        <v>18</v>
      </c>
      <c r="D315" s="334" t="s">
        <v>48</v>
      </c>
      <c r="E315" s="421" t="str">
        <f t="shared" si="3"/>
        <v>大一産業:ナベ</v>
      </c>
      <c r="F315" s="334" t="s">
        <v>577</v>
      </c>
      <c r="G315" s="334">
        <v>314.0</v>
      </c>
    </row>
    <row r="316">
      <c r="A316" s="334" t="s">
        <v>8733</v>
      </c>
      <c r="B316" s="334" t="s">
        <v>8730</v>
      </c>
      <c r="C316" s="334" t="s">
        <v>8734</v>
      </c>
      <c r="D316" s="334" t="s">
        <v>50</v>
      </c>
      <c r="E316" s="421" t="str">
        <f t="shared" si="3"/>
        <v>日鉄ｽﾁｰﾙ:産振</v>
      </c>
      <c r="F316" s="334" t="s">
        <v>8590</v>
      </c>
      <c r="G316" s="334">
        <v>315.0</v>
      </c>
    </row>
    <row r="317">
      <c r="A317" s="334" t="s">
        <v>8735</v>
      </c>
      <c r="B317" s="334" t="s">
        <v>8730</v>
      </c>
      <c r="C317" s="334" t="s">
        <v>38</v>
      </c>
      <c r="D317" s="334" t="s">
        <v>49</v>
      </c>
      <c r="E317" s="421" t="str">
        <f t="shared" si="3"/>
        <v>新日鉄住金和歌山:伊藤忠</v>
      </c>
      <c r="F317" s="334" t="s">
        <v>111</v>
      </c>
      <c r="G317" s="334">
        <v>316.0</v>
      </c>
    </row>
    <row r="318">
      <c r="A318" s="334" t="s">
        <v>8736</v>
      </c>
      <c r="B318" s="334" t="s">
        <v>8730</v>
      </c>
      <c r="C318" s="334" t="s">
        <v>38</v>
      </c>
      <c r="D318" s="334" t="s">
        <v>49</v>
      </c>
      <c r="E318" s="421" t="str">
        <f t="shared" si="3"/>
        <v>新日鉄住金和歌山:伊藤忠</v>
      </c>
      <c r="F318" s="334" t="s">
        <v>116</v>
      </c>
      <c r="G318" s="334">
        <v>317.0</v>
      </c>
    </row>
    <row r="319">
      <c r="A319" s="334" t="s">
        <v>8737</v>
      </c>
      <c r="B319" s="334" t="s">
        <v>8730</v>
      </c>
      <c r="C319" s="334" t="s">
        <v>38</v>
      </c>
      <c r="D319" s="334" t="s">
        <v>61</v>
      </c>
      <c r="E319" s="421" t="str">
        <f t="shared" si="3"/>
        <v>新日鉄住金和歌山:ＭＭ</v>
      </c>
      <c r="F319" s="334" t="s">
        <v>8590</v>
      </c>
      <c r="G319" s="334">
        <v>318.0</v>
      </c>
    </row>
    <row r="320">
      <c r="A320" s="334" t="s">
        <v>8738</v>
      </c>
      <c r="B320" s="334" t="s">
        <v>8730</v>
      </c>
      <c r="C320" s="334" t="s">
        <v>38</v>
      </c>
      <c r="D320" s="334" t="s">
        <v>50</v>
      </c>
      <c r="E320" s="421" t="str">
        <f t="shared" si="3"/>
        <v>新日鉄住金和歌山:産振</v>
      </c>
      <c r="F320" s="334" t="s">
        <v>8590</v>
      </c>
      <c r="G320" s="334">
        <v>319.0</v>
      </c>
    </row>
    <row r="321">
      <c r="A321" s="334" t="s">
        <v>8739</v>
      </c>
      <c r="B321" s="334" t="s">
        <v>8730</v>
      </c>
      <c r="C321" s="334" t="s">
        <v>23</v>
      </c>
      <c r="D321" s="334" t="s">
        <v>62</v>
      </c>
      <c r="E321" s="421" t="str">
        <f t="shared" si="3"/>
        <v>韓国輸出:豊通大都</v>
      </c>
      <c r="F321" s="334" t="s">
        <v>1199</v>
      </c>
      <c r="G321" s="334">
        <v>320.0</v>
      </c>
    </row>
    <row r="322">
      <c r="A322" s="334" t="s">
        <v>8740</v>
      </c>
      <c r="B322" s="334" t="s">
        <v>8730</v>
      </c>
      <c r="C322" s="334" t="s">
        <v>23</v>
      </c>
      <c r="D322" s="334" t="s">
        <v>62</v>
      </c>
      <c r="E322" s="421" t="str">
        <f t="shared" si="3"/>
        <v>韓国輸出:豊通大都</v>
      </c>
      <c r="F322" s="334" t="s">
        <v>111</v>
      </c>
      <c r="G322" s="334">
        <v>321.0</v>
      </c>
    </row>
    <row r="323">
      <c r="A323" s="334" t="s">
        <v>8741</v>
      </c>
      <c r="B323" s="334" t="s">
        <v>8730</v>
      </c>
      <c r="C323" s="334" t="s">
        <v>23</v>
      </c>
      <c r="D323" s="334" t="s">
        <v>62</v>
      </c>
      <c r="E323" s="421" t="str">
        <f t="shared" si="3"/>
        <v>韓国輸出:豊通大都</v>
      </c>
      <c r="F323" s="334" t="s">
        <v>116</v>
      </c>
      <c r="G323" s="334">
        <v>322.0</v>
      </c>
    </row>
    <row r="324">
      <c r="A324" s="334" t="s">
        <v>8742</v>
      </c>
      <c r="B324" s="334" t="s">
        <v>8730</v>
      </c>
      <c r="C324" s="334" t="s">
        <v>39</v>
      </c>
      <c r="D324" s="334" t="s">
        <v>48</v>
      </c>
      <c r="E324" s="421" t="str">
        <f t="shared" si="3"/>
        <v>オオハラ尼崎:ナベ</v>
      </c>
      <c r="F324" s="334" t="s">
        <v>8590</v>
      </c>
      <c r="G324" s="334">
        <v>323.0</v>
      </c>
    </row>
    <row r="325">
      <c r="A325" s="334" t="s">
        <v>8743</v>
      </c>
      <c r="B325" s="334" t="s">
        <v>8730</v>
      </c>
      <c r="C325" s="334" t="s">
        <v>42</v>
      </c>
      <c r="D325" s="334" t="s">
        <v>67</v>
      </c>
      <c r="E325" s="421" t="str">
        <f t="shared" si="3"/>
        <v>名古屋港:水野産業</v>
      </c>
      <c r="F325" s="334" t="s">
        <v>8590</v>
      </c>
      <c r="G325" s="334">
        <v>324.0</v>
      </c>
    </row>
    <row r="326">
      <c r="A326" s="334" t="s">
        <v>8744</v>
      </c>
      <c r="B326" s="334" t="s">
        <v>8730</v>
      </c>
      <c r="C326" s="334" t="s">
        <v>42</v>
      </c>
      <c r="D326" s="334" t="s">
        <v>68</v>
      </c>
      <c r="E326" s="421" t="str">
        <f t="shared" si="3"/>
        <v>名古屋港:阪和西三区</v>
      </c>
      <c r="F326" s="334" t="s">
        <v>8590</v>
      </c>
      <c r="G326" s="334">
        <v>325.0</v>
      </c>
    </row>
    <row r="327">
      <c r="A327" s="334" t="s">
        <v>8745</v>
      </c>
      <c r="B327" s="334" t="s">
        <v>8730</v>
      </c>
      <c r="C327" s="334" t="s">
        <v>42</v>
      </c>
      <c r="D327" s="334" t="s">
        <v>61</v>
      </c>
      <c r="E327" s="421" t="str">
        <f t="shared" si="3"/>
        <v>名古屋港:ＭＭ</v>
      </c>
      <c r="F327" s="334" t="s">
        <v>8590</v>
      </c>
      <c r="G327" s="334">
        <v>326.0</v>
      </c>
    </row>
    <row r="328">
      <c r="A328" s="334" t="s">
        <v>8746</v>
      </c>
      <c r="B328" s="334" t="s">
        <v>8730</v>
      </c>
      <c r="C328" s="334" t="s">
        <v>43</v>
      </c>
      <c r="D328" s="334" t="s">
        <v>8747</v>
      </c>
      <c r="E328" s="421" t="str">
        <f t="shared" si="3"/>
        <v>トヨキン:ナベ・大同特殊・H2ｽﾗｲﾄﾞ	</v>
      </c>
      <c r="F328" s="334" t="s">
        <v>8590</v>
      </c>
      <c r="G328" s="334">
        <v>327.0</v>
      </c>
    </row>
    <row r="329">
      <c r="A329" s="334" t="s">
        <v>8748</v>
      </c>
      <c r="B329" s="334" t="s">
        <v>8730</v>
      </c>
      <c r="C329" s="334" t="s">
        <v>44</v>
      </c>
      <c r="D329" s="334" t="s">
        <v>8747</v>
      </c>
      <c r="E329" s="421" t="str">
        <f t="shared" si="3"/>
        <v>寺田:ナベ・大同特殊・H2ｽﾗｲﾄﾞ	</v>
      </c>
      <c r="F329" s="334" t="s">
        <v>8590</v>
      </c>
      <c r="G329" s="334">
        <v>328.0</v>
      </c>
    </row>
  </sheetData>
  <autoFilter ref="$A$1:$G$329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73763"/>
    <outlinePr summaryBelow="0" summaryRight="0"/>
  </sheetPr>
  <sheetViews>
    <sheetView showGridLines="0" workbookViewId="0"/>
  </sheetViews>
  <sheetFormatPr customHeight="1" defaultColWidth="14.43" defaultRowHeight="15.0"/>
  <sheetData>
    <row r="1">
      <c r="A1" s="423" t="s">
        <v>8749</v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4"/>
      <c r="R1" s="424"/>
      <c r="S1" s="424"/>
      <c r="T1" s="424"/>
      <c r="U1" s="424"/>
      <c r="V1" s="424"/>
      <c r="W1" s="424"/>
      <c r="X1" s="424"/>
      <c r="Y1" s="424"/>
      <c r="Z1" s="424"/>
    </row>
    <row r="2">
      <c r="A2" s="334" t="s">
        <v>8750</v>
      </c>
    </row>
    <row r="3">
      <c r="A3" s="425" t="s">
        <v>8751</v>
      </c>
    </row>
    <row r="5">
      <c r="A5" s="334" t="s">
        <v>8752</v>
      </c>
    </row>
    <row r="6">
      <c r="A6" s="419" t="s">
        <v>8753</v>
      </c>
    </row>
    <row r="7">
      <c r="A7" s="334" t="s">
        <v>8754</v>
      </c>
    </row>
    <row r="9">
      <c r="A9" s="423" t="s">
        <v>8755</v>
      </c>
      <c r="B9" s="424"/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  <c r="P9" s="424"/>
      <c r="Q9" s="424"/>
      <c r="R9" s="424"/>
      <c r="S9" s="424"/>
      <c r="T9" s="424"/>
      <c r="U9" s="424"/>
      <c r="V9" s="424"/>
      <c r="W9" s="424"/>
      <c r="X9" s="424"/>
      <c r="Y9" s="424"/>
      <c r="Z9" s="424"/>
    </row>
    <row r="10">
      <c r="A10" s="334" t="s">
        <v>8756</v>
      </c>
    </row>
    <row r="11">
      <c r="A11" s="426" t="s">
        <v>8757</v>
      </c>
    </row>
    <row r="12">
      <c r="A12" s="426" t="s">
        <v>8758</v>
      </c>
    </row>
    <row r="13">
      <c r="A13" s="426" t="s">
        <v>8759</v>
      </c>
    </row>
    <row r="14">
      <c r="A14" s="426" t="s">
        <v>8760</v>
      </c>
    </row>
    <row r="15">
      <c r="A15" s="426" t="s">
        <v>8761</v>
      </c>
    </row>
    <row r="16">
      <c r="A16" s="334"/>
    </row>
    <row r="17">
      <c r="A17" s="334" t="s">
        <v>8757</v>
      </c>
    </row>
    <row r="19">
      <c r="A19" s="427" t="s">
        <v>8762</v>
      </c>
      <c r="B19" s="428"/>
      <c r="C19" s="427" t="s">
        <v>8763</v>
      </c>
      <c r="D19" s="428"/>
      <c r="E19" s="428"/>
      <c r="F19" s="428"/>
      <c r="G19" s="428"/>
    </row>
    <row r="20">
      <c r="A20" s="428"/>
      <c r="B20" s="428"/>
      <c r="C20" s="428"/>
      <c r="D20" s="428"/>
      <c r="E20" s="428"/>
      <c r="F20" s="428"/>
      <c r="G20" s="428"/>
    </row>
    <row r="21">
      <c r="A21" s="427" t="s">
        <v>8764</v>
      </c>
      <c r="B21" s="428"/>
      <c r="C21" s="428"/>
      <c r="D21" s="428"/>
      <c r="E21" s="428"/>
      <c r="F21" s="428"/>
      <c r="G21" s="428"/>
    </row>
    <row r="22">
      <c r="A22" s="428"/>
      <c r="B22" s="428"/>
      <c r="C22" s="428"/>
      <c r="D22" s="428"/>
      <c r="E22" s="428"/>
      <c r="F22" s="428"/>
      <c r="G22" s="428"/>
    </row>
    <row r="23">
      <c r="A23" s="428"/>
      <c r="B23" s="428"/>
      <c r="C23" s="428"/>
      <c r="D23" s="428"/>
      <c r="E23" s="428"/>
      <c r="F23" s="428"/>
      <c r="G23" s="428"/>
    </row>
    <row r="24">
      <c r="A24" s="428"/>
      <c r="B24" s="428"/>
      <c r="C24" s="428"/>
      <c r="D24" s="428"/>
      <c r="E24" s="428"/>
      <c r="F24" s="428"/>
      <c r="G24" s="428"/>
    </row>
    <row r="25">
      <c r="A25" s="428"/>
      <c r="B25" s="428"/>
      <c r="C25" s="428"/>
      <c r="D25" s="428"/>
      <c r="E25" s="428"/>
      <c r="F25" s="428"/>
      <c r="G25" s="428"/>
    </row>
    <row r="26">
      <c r="A26" s="428"/>
      <c r="B26" s="428"/>
      <c r="C26" s="428"/>
      <c r="D26" s="428"/>
      <c r="E26" s="428"/>
      <c r="F26" s="428"/>
      <c r="G26" s="428"/>
    </row>
    <row r="27">
      <c r="A27" s="428"/>
      <c r="B27" s="428"/>
      <c r="C27" s="428"/>
      <c r="D27" s="428"/>
      <c r="E27" s="428"/>
      <c r="F27" s="428"/>
      <c r="G27" s="428"/>
    </row>
    <row r="28">
      <c r="A28" s="428"/>
      <c r="B28" s="428"/>
      <c r="C28" s="428"/>
      <c r="D28" s="428"/>
      <c r="E28" s="428"/>
      <c r="F28" s="428"/>
      <c r="G28" s="428"/>
    </row>
    <row r="29">
      <c r="A29" s="428"/>
      <c r="B29" s="428"/>
      <c r="C29" s="428"/>
      <c r="D29" s="428"/>
      <c r="E29" s="428"/>
      <c r="F29" s="428"/>
      <c r="G29" s="428"/>
    </row>
    <row r="30">
      <c r="A30" s="428"/>
      <c r="B30" s="428"/>
      <c r="C30" s="428"/>
      <c r="D30" s="428"/>
      <c r="E30" s="428"/>
      <c r="F30" s="428"/>
      <c r="G30" s="428"/>
    </row>
    <row r="31">
      <c r="A31" s="428"/>
      <c r="B31" s="428"/>
      <c r="C31" s="428"/>
      <c r="D31" s="428"/>
      <c r="E31" s="428"/>
      <c r="F31" s="428"/>
      <c r="G31" s="428"/>
    </row>
    <row r="32">
      <c r="A32" s="428"/>
      <c r="B32" s="428"/>
      <c r="C32" s="428"/>
      <c r="D32" s="428"/>
      <c r="E32" s="428"/>
      <c r="F32" s="428"/>
      <c r="G32" s="428"/>
    </row>
    <row r="33">
      <c r="A33" s="428"/>
      <c r="B33" s="428"/>
      <c r="C33" s="428"/>
      <c r="D33" s="428"/>
      <c r="E33" s="428"/>
      <c r="F33" s="428"/>
      <c r="G33" s="428"/>
    </row>
    <row r="34">
      <c r="A34" s="428"/>
      <c r="B34" s="428"/>
      <c r="C34" s="428"/>
      <c r="D34" s="428"/>
      <c r="E34" s="428"/>
      <c r="F34" s="428"/>
      <c r="G34" s="428"/>
    </row>
    <row r="35">
      <c r="A35" s="428"/>
      <c r="B35" s="428"/>
      <c r="C35" s="428"/>
      <c r="D35" s="428"/>
      <c r="E35" s="428"/>
      <c r="F35" s="428"/>
      <c r="G35" s="428"/>
    </row>
    <row r="36">
      <c r="A36" s="428"/>
      <c r="B36" s="428"/>
      <c r="C36" s="428"/>
      <c r="D36" s="428"/>
      <c r="E36" s="428"/>
      <c r="F36" s="428"/>
      <c r="G36" s="428"/>
    </row>
    <row r="37">
      <c r="A37" s="428"/>
      <c r="B37" s="428"/>
      <c r="C37" s="428"/>
      <c r="D37" s="428"/>
      <c r="E37" s="428"/>
      <c r="F37" s="428"/>
      <c r="G37" s="428"/>
    </row>
    <row r="38">
      <c r="A38" s="428"/>
      <c r="B38" s="428"/>
      <c r="C38" s="428"/>
      <c r="D38" s="428"/>
      <c r="E38" s="428"/>
      <c r="F38" s="428"/>
      <c r="G38" s="428"/>
    </row>
    <row r="39">
      <c r="A39" s="428"/>
      <c r="B39" s="428"/>
      <c r="C39" s="428"/>
      <c r="D39" s="428"/>
      <c r="E39" s="428"/>
      <c r="F39" s="428"/>
      <c r="G39" s="428"/>
    </row>
    <row r="40">
      <c r="A40" s="427" t="s">
        <v>8765</v>
      </c>
      <c r="B40" s="428"/>
      <c r="C40" s="428"/>
      <c r="D40" s="428"/>
      <c r="E40" s="428"/>
      <c r="F40" s="428"/>
      <c r="G40" s="428"/>
    </row>
    <row r="41">
      <c r="A41" s="428"/>
      <c r="B41" s="428"/>
      <c r="C41" s="428"/>
      <c r="D41" s="428"/>
      <c r="E41" s="428"/>
      <c r="F41" s="428"/>
      <c r="G41" s="428"/>
    </row>
    <row r="42">
      <c r="A42" s="428"/>
      <c r="B42" s="428"/>
      <c r="C42" s="428"/>
      <c r="D42" s="428"/>
      <c r="E42" s="428"/>
      <c r="F42" s="428"/>
      <c r="G42" s="428"/>
    </row>
    <row r="43">
      <c r="A43" s="428"/>
      <c r="B43" s="428"/>
      <c r="C43" s="428"/>
      <c r="D43" s="428"/>
      <c r="E43" s="428"/>
      <c r="F43" s="428"/>
      <c r="G43" s="428"/>
    </row>
    <row r="44">
      <c r="A44" s="428"/>
      <c r="B44" s="428"/>
      <c r="C44" s="428"/>
      <c r="D44" s="428"/>
      <c r="E44" s="428"/>
      <c r="F44" s="428"/>
      <c r="G44" s="428"/>
    </row>
    <row r="45">
      <c r="A45" s="428"/>
      <c r="B45" s="428"/>
      <c r="C45" s="428"/>
      <c r="D45" s="428"/>
      <c r="E45" s="428"/>
      <c r="F45" s="428"/>
      <c r="G45" s="428"/>
    </row>
    <row r="46">
      <c r="A46" s="428"/>
      <c r="B46" s="428"/>
      <c r="C46" s="428"/>
      <c r="D46" s="428"/>
      <c r="E46" s="428"/>
      <c r="F46" s="428"/>
      <c r="G46" s="428"/>
    </row>
    <row r="47">
      <c r="A47" s="428"/>
      <c r="B47" s="428"/>
      <c r="C47" s="428"/>
      <c r="D47" s="428"/>
      <c r="E47" s="428"/>
      <c r="F47" s="428"/>
      <c r="G47" s="428"/>
    </row>
    <row r="48">
      <c r="A48" s="428"/>
      <c r="B48" s="428"/>
      <c r="C48" s="428"/>
      <c r="D48" s="428"/>
      <c r="E48" s="428"/>
      <c r="F48" s="428"/>
      <c r="G48" s="428"/>
    </row>
    <row r="49">
      <c r="A49" s="428"/>
      <c r="B49" s="428"/>
      <c r="C49" s="428"/>
      <c r="D49" s="428"/>
      <c r="E49" s="428"/>
      <c r="F49" s="428"/>
      <c r="G49" s="428"/>
    </row>
    <row r="50">
      <c r="A50" s="428"/>
      <c r="B50" s="428"/>
      <c r="C50" s="428"/>
      <c r="D50" s="428"/>
      <c r="E50" s="428"/>
      <c r="F50" s="428"/>
      <c r="G50" s="428"/>
    </row>
    <row r="51">
      <c r="A51" s="428"/>
      <c r="B51" s="428"/>
      <c r="C51" s="428"/>
      <c r="D51" s="428"/>
      <c r="E51" s="428"/>
      <c r="F51" s="428"/>
      <c r="G51" s="428"/>
    </row>
    <row r="52">
      <c r="A52" s="428"/>
      <c r="B52" s="428"/>
      <c r="C52" s="428"/>
      <c r="D52" s="428"/>
      <c r="E52" s="428"/>
      <c r="F52" s="428"/>
      <c r="G52" s="428"/>
    </row>
    <row r="53">
      <c r="A53" s="428"/>
      <c r="B53" s="428"/>
      <c r="C53" s="428"/>
      <c r="D53" s="428"/>
      <c r="E53" s="428"/>
      <c r="F53" s="428"/>
      <c r="G53" s="428"/>
    </row>
    <row r="54">
      <c r="A54" s="428"/>
      <c r="B54" s="428"/>
      <c r="C54" s="428"/>
      <c r="D54" s="428"/>
      <c r="E54" s="428"/>
      <c r="F54" s="428"/>
      <c r="G54" s="428"/>
    </row>
    <row r="55">
      <c r="A55" s="428"/>
      <c r="B55" s="428"/>
      <c r="C55" s="428"/>
      <c r="D55" s="428"/>
      <c r="E55" s="428"/>
      <c r="F55" s="428"/>
      <c r="G55" s="428"/>
    </row>
    <row r="56">
      <c r="A56" s="428"/>
      <c r="B56" s="428"/>
      <c r="C56" s="428"/>
      <c r="D56" s="428"/>
      <c r="E56" s="428"/>
      <c r="F56" s="428"/>
      <c r="G56" s="428"/>
    </row>
    <row r="57">
      <c r="A57" s="428"/>
      <c r="B57" s="428"/>
      <c r="C57" s="428"/>
      <c r="D57" s="428"/>
      <c r="E57" s="428"/>
      <c r="F57" s="428"/>
      <c r="G57" s="428"/>
    </row>
    <row r="58">
      <c r="A58" s="428"/>
      <c r="B58" s="428"/>
      <c r="C58" s="428"/>
      <c r="D58" s="428"/>
      <c r="E58" s="428"/>
      <c r="F58" s="428"/>
      <c r="G58" s="428"/>
    </row>
    <row r="59">
      <c r="A59" s="427" t="s">
        <v>8766</v>
      </c>
      <c r="B59" s="428"/>
      <c r="C59" s="428"/>
      <c r="D59" s="428"/>
      <c r="E59" s="428"/>
      <c r="F59" s="428"/>
      <c r="G59" s="428"/>
    </row>
    <row r="60">
      <c r="A60" s="428"/>
      <c r="B60" s="428"/>
      <c r="C60" s="428"/>
      <c r="D60" s="428"/>
      <c r="E60" s="428"/>
      <c r="F60" s="428"/>
      <c r="G60" s="428"/>
    </row>
    <row r="61">
      <c r="A61" s="428"/>
      <c r="B61" s="428"/>
      <c r="C61" s="428"/>
      <c r="D61" s="428"/>
      <c r="E61" s="428"/>
      <c r="F61" s="428"/>
      <c r="G61" s="428"/>
    </row>
    <row r="62">
      <c r="A62" s="428"/>
      <c r="B62" s="428"/>
      <c r="C62" s="428"/>
      <c r="D62" s="428"/>
      <c r="E62" s="428"/>
      <c r="F62" s="428"/>
      <c r="G62" s="428"/>
    </row>
    <row r="63">
      <c r="A63" s="428"/>
      <c r="B63" s="428"/>
      <c r="C63" s="428"/>
      <c r="D63" s="428"/>
      <c r="E63" s="428"/>
      <c r="F63" s="428"/>
      <c r="G63" s="428"/>
    </row>
    <row r="64">
      <c r="A64" s="428"/>
      <c r="B64" s="428"/>
      <c r="C64" s="428"/>
      <c r="D64" s="428"/>
      <c r="E64" s="428"/>
      <c r="F64" s="428"/>
      <c r="G64" s="428"/>
    </row>
    <row r="65">
      <c r="A65" s="428"/>
      <c r="B65" s="428"/>
      <c r="C65" s="428"/>
      <c r="D65" s="428"/>
      <c r="E65" s="428"/>
      <c r="F65" s="428"/>
      <c r="G65" s="428"/>
    </row>
    <row r="66">
      <c r="A66" s="428"/>
      <c r="B66" s="428"/>
      <c r="C66" s="428"/>
      <c r="D66" s="428"/>
      <c r="E66" s="428"/>
      <c r="F66" s="428"/>
      <c r="G66" s="428"/>
    </row>
    <row r="67">
      <c r="A67" s="428"/>
      <c r="B67" s="428"/>
      <c r="C67" s="428"/>
      <c r="D67" s="428"/>
      <c r="E67" s="428"/>
      <c r="F67" s="428"/>
      <c r="G67" s="428"/>
    </row>
    <row r="68">
      <c r="A68" s="428"/>
      <c r="B68" s="428"/>
      <c r="C68" s="428"/>
      <c r="D68" s="428"/>
      <c r="E68" s="428"/>
      <c r="F68" s="428"/>
      <c r="G68" s="428"/>
    </row>
    <row r="69">
      <c r="A69" s="428"/>
      <c r="B69" s="428"/>
      <c r="C69" s="428"/>
      <c r="D69" s="428"/>
      <c r="E69" s="428"/>
      <c r="F69" s="428"/>
      <c r="G69" s="428"/>
    </row>
    <row r="70">
      <c r="A70" s="428"/>
      <c r="B70" s="428"/>
      <c r="C70" s="428"/>
      <c r="D70" s="428"/>
      <c r="E70" s="428"/>
      <c r="F70" s="428"/>
      <c r="G70" s="428"/>
    </row>
    <row r="71">
      <c r="A71" s="428"/>
      <c r="B71" s="428"/>
      <c r="C71" s="428"/>
      <c r="D71" s="428"/>
      <c r="E71" s="428"/>
      <c r="F71" s="428"/>
      <c r="G71" s="428"/>
    </row>
    <row r="72">
      <c r="A72" s="428"/>
      <c r="B72" s="428"/>
      <c r="C72" s="428"/>
      <c r="D72" s="428"/>
      <c r="E72" s="428"/>
      <c r="F72" s="428"/>
      <c r="G72" s="428"/>
    </row>
    <row r="73">
      <c r="A73" s="428"/>
      <c r="B73" s="428"/>
      <c r="C73" s="428"/>
      <c r="D73" s="428"/>
      <c r="E73" s="428"/>
      <c r="F73" s="428"/>
      <c r="G73" s="428"/>
    </row>
    <row r="74">
      <c r="A74" s="428"/>
      <c r="B74" s="428"/>
      <c r="C74" s="428"/>
      <c r="D74" s="428"/>
      <c r="E74" s="428"/>
      <c r="F74" s="428"/>
      <c r="G74" s="428"/>
    </row>
    <row r="75">
      <c r="A75" s="428"/>
      <c r="B75" s="428"/>
      <c r="C75" s="428"/>
      <c r="D75" s="428"/>
      <c r="E75" s="428"/>
      <c r="F75" s="428"/>
      <c r="G75" s="428"/>
    </row>
    <row r="76">
      <c r="A76" s="428"/>
      <c r="B76" s="428"/>
      <c r="C76" s="428"/>
      <c r="D76" s="428"/>
      <c r="E76" s="428"/>
      <c r="F76" s="428"/>
      <c r="G76" s="428"/>
    </row>
    <row r="77">
      <c r="A77" s="428"/>
      <c r="B77" s="428"/>
      <c r="C77" s="428"/>
      <c r="D77" s="428"/>
      <c r="E77" s="428"/>
      <c r="F77" s="428"/>
      <c r="G77" s="428"/>
    </row>
    <row r="78">
      <c r="A78" s="428"/>
      <c r="B78" s="428"/>
      <c r="C78" s="428"/>
      <c r="D78" s="428"/>
      <c r="E78" s="428"/>
      <c r="F78" s="428"/>
      <c r="G78" s="428"/>
    </row>
    <row r="80">
      <c r="A80" s="334" t="s">
        <v>8758</v>
      </c>
    </row>
    <row r="81">
      <c r="A81" s="428"/>
      <c r="B81" s="428"/>
      <c r="C81" s="428"/>
      <c r="D81" s="428"/>
      <c r="E81" s="428"/>
      <c r="F81" s="428"/>
      <c r="G81" s="428"/>
    </row>
    <row r="82">
      <c r="A82" s="428"/>
      <c r="B82" s="428"/>
      <c r="C82" s="428"/>
      <c r="D82" s="428"/>
      <c r="E82" s="428"/>
      <c r="F82" s="428"/>
      <c r="G82" s="428"/>
    </row>
    <row r="83">
      <c r="A83" s="428"/>
      <c r="B83" s="428"/>
      <c r="C83" s="428"/>
      <c r="D83" s="428"/>
      <c r="E83" s="428"/>
      <c r="F83" s="428"/>
      <c r="G83" s="428"/>
    </row>
    <row r="84">
      <c r="A84" s="428"/>
      <c r="B84" s="428"/>
      <c r="C84" s="428"/>
      <c r="D84" s="428"/>
      <c r="E84" s="428"/>
      <c r="F84" s="428"/>
      <c r="G84" s="428"/>
    </row>
    <row r="85">
      <c r="A85" s="428"/>
      <c r="B85" s="428"/>
      <c r="C85" s="428"/>
      <c r="D85" s="428"/>
      <c r="E85" s="428"/>
      <c r="F85" s="428"/>
      <c r="G85" s="428"/>
    </row>
    <row r="86">
      <c r="A86" s="428"/>
      <c r="B86" s="428"/>
      <c r="C86" s="428"/>
      <c r="D86" s="428"/>
      <c r="E86" s="428"/>
      <c r="F86" s="428"/>
      <c r="G86" s="428"/>
    </row>
    <row r="87">
      <c r="A87" s="428"/>
      <c r="B87" s="428"/>
      <c r="C87" s="428"/>
      <c r="D87" s="428"/>
      <c r="E87" s="428"/>
      <c r="F87" s="428"/>
      <c r="G87" s="428"/>
    </row>
    <row r="88">
      <c r="A88" s="428"/>
      <c r="B88" s="428"/>
      <c r="C88" s="428"/>
      <c r="D88" s="428"/>
      <c r="E88" s="428"/>
      <c r="F88" s="428"/>
      <c r="G88" s="428"/>
    </row>
    <row r="89">
      <c r="A89" s="428"/>
      <c r="B89" s="428"/>
      <c r="C89" s="428"/>
      <c r="D89" s="428"/>
      <c r="E89" s="428"/>
      <c r="F89" s="428"/>
      <c r="G89" s="428"/>
    </row>
    <row r="90">
      <c r="A90" s="428"/>
      <c r="B90" s="428"/>
      <c r="C90" s="428"/>
      <c r="D90" s="428"/>
      <c r="E90" s="428"/>
      <c r="F90" s="428"/>
      <c r="G90" s="428"/>
    </row>
    <row r="91">
      <c r="A91" s="428"/>
      <c r="B91" s="428"/>
      <c r="C91" s="428"/>
      <c r="D91" s="428"/>
      <c r="E91" s="428"/>
      <c r="F91" s="428"/>
      <c r="G91" s="428"/>
    </row>
    <row r="92">
      <c r="A92" s="428"/>
      <c r="B92" s="428"/>
      <c r="C92" s="428"/>
      <c r="D92" s="428"/>
      <c r="E92" s="428"/>
      <c r="F92" s="428"/>
      <c r="G92" s="428"/>
    </row>
    <row r="93">
      <c r="A93" s="428"/>
      <c r="B93" s="428"/>
      <c r="C93" s="428"/>
      <c r="D93" s="428"/>
      <c r="E93" s="428"/>
      <c r="F93" s="428"/>
      <c r="G93" s="428"/>
    </row>
    <row r="94">
      <c r="A94" s="428"/>
      <c r="B94" s="428"/>
      <c r="C94" s="428"/>
      <c r="D94" s="428"/>
      <c r="E94" s="428"/>
      <c r="F94" s="428"/>
      <c r="G94" s="428"/>
    </row>
    <row r="95">
      <c r="A95" s="428"/>
      <c r="B95" s="428"/>
      <c r="C95" s="428"/>
      <c r="D95" s="428"/>
      <c r="E95" s="428"/>
      <c r="F95" s="428"/>
      <c r="G95" s="428"/>
    </row>
    <row r="96">
      <c r="A96" s="428"/>
      <c r="B96" s="428"/>
      <c r="C96" s="428"/>
      <c r="D96" s="428"/>
      <c r="E96" s="428"/>
      <c r="F96" s="428"/>
      <c r="G96" s="428"/>
    </row>
    <row r="98">
      <c r="A98" s="334" t="s">
        <v>8759</v>
      </c>
    </row>
    <row r="99">
      <c r="A99" s="428"/>
      <c r="B99" s="428"/>
      <c r="C99" s="428"/>
      <c r="D99" s="428"/>
      <c r="E99" s="428"/>
      <c r="F99" s="428"/>
      <c r="G99" s="428"/>
      <c r="H99" s="428"/>
      <c r="I99" s="428"/>
      <c r="J99" s="428"/>
    </row>
    <row r="100">
      <c r="A100" s="428"/>
      <c r="B100" s="428"/>
      <c r="C100" s="428"/>
      <c r="D100" s="428"/>
      <c r="E100" s="428"/>
      <c r="F100" s="428"/>
      <c r="G100" s="428"/>
      <c r="H100" s="428"/>
      <c r="I100" s="428"/>
      <c r="J100" s="428"/>
    </row>
    <row r="101">
      <c r="A101" s="428"/>
      <c r="B101" s="428"/>
      <c r="C101" s="428"/>
      <c r="D101" s="428"/>
      <c r="E101" s="428"/>
      <c r="F101" s="428"/>
      <c r="G101" s="428"/>
      <c r="H101" s="428"/>
      <c r="I101" s="428"/>
      <c r="J101" s="428"/>
    </row>
    <row r="102">
      <c r="A102" s="428"/>
      <c r="B102" s="428"/>
      <c r="C102" s="428"/>
      <c r="D102" s="428"/>
      <c r="E102" s="428"/>
      <c r="F102" s="428"/>
      <c r="G102" s="428"/>
      <c r="H102" s="428"/>
      <c r="I102" s="428"/>
      <c r="J102" s="428"/>
    </row>
    <row r="103">
      <c r="A103" s="428"/>
      <c r="B103" s="428"/>
      <c r="C103" s="428"/>
      <c r="D103" s="428"/>
      <c r="E103" s="428"/>
      <c r="F103" s="428"/>
      <c r="G103" s="428"/>
      <c r="H103" s="428"/>
      <c r="I103" s="428"/>
      <c r="J103" s="428"/>
    </row>
    <row r="104">
      <c r="A104" s="428"/>
      <c r="B104" s="428"/>
      <c r="C104" s="428"/>
      <c r="D104" s="428"/>
      <c r="E104" s="428"/>
      <c r="F104" s="428"/>
      <c r="G104" s="428"/>
      <c r="H104" s="428"/>
      <c r="I104" s="428"/>
      <c r="J104" s="428"/>
    </row>
    <row r="105">
      <c r="A105" s="428"/>
      <c r="B105" s="428"/>
      <c r="C105" s="428"/>
      <c r="D105" s="428"/>
      <c r="E105" s="428"/>
      <c r="F105" s="428"/>
      <c r="G105" s="428"/>
      <c r="H105" s="428"/>
      <c r="I105" s="428"/>
      <c r="J105" s="428"/>
    </row>
    <row r="106">
      <c r="A106" s="428"/>
      <c r="B106" s="428"/>
      <c r="C106" s="428"/>
      <c r="D106" s="428"/>
      <c r="E106" s="428"/>
      <c r="F106" s="428"/>
      <c r="G106" s="428"/>
      <c r="H106" s="428"/>
      <c r="I106" s="428"/>
      <c r="J106" s="428"/>
    </row>
    <row r="107">
      <c r="A107" s="428"/>
      <c r="B107" s="428"/>
      <c r="C107" s="428"/>
      <c r="D107" s="428"/>
      <c r="E107" s="428"/>
      <c r="F107" s="428"/>
      <c r="G107" s="428"/>
      <c r="H107" s="428"/>
      <c r="I107" s="428"/>
      <c r="J107" s="428"/>
    </row>
    <row r="108">
      <c r="A108" s="428"/>
      <c r="B108" s="428"/>
      <c r="C108" s="428"/>
      <c r="D108" s="428"/>
      <c r="E108" s="428"/>
      <c r="F108" s="428"/>
      <c r="G108" s="428"/>
      <c r="H108" s="428"/>
      <c r="I108" s="428"/>
      <c r="J108" s="428"/>
    </row>
    <row r="109">
      <c r="A109" s="428"/>
      <c r="B109" s="428"/>
      <c r="C109" s="428"/>
      <c r="D109" s="428"/>
      <c r="E109" s="428"/>
      <c r="F109" s="428"/>
      <c r="G109" s="428"/>
      <c r="H109" s="428"/>
      <c r="I109" s="428"/>
      <c r="J109" s="428"/>
    </row>
    <row r="110">
      <c r="A110" s="428"/>
      <c r="B110" s="428"/>
      <c r="C110" s="428"/>
      <c r="D110" s="428"/>
      <c r="E110" s="428"/>
      <c r="F110" s="428"/>
      <c r="G110" s="428"/>
      <c r="H110" s="428"/>
      <c r="I110" s="428"/>
      <c r="J110" s="428"/>
    </row>
    <row r="111">
      <c r="A111" s="428"/>
      <c r="B111" s="428"/>
      <c r="C111" s="428"/>
      <c r="D111" s="428"/>
      <c r="E111" s="428"/>
      <c r="F111" s="428"/>
      <c r="G111" s="428"/>
      <c r="H111" s="428"/>
      <c r="I111" s="428"/>
      <c r="J111" s="428"/>
    </row>
    <row r="112">
      <c r="A112" s="428"/>
      <c r="B112" s="428"/>
      <c r="C112" s="428"/>
      <c r="D112" s="428"/>
      <c r="E112" s="428"/>
      <c r="F112" s="428"/>
      <c r="G112" s="428"/>
      <c r="H112" s="428"/>
      <c r="I112" s="428"/>
      <c r="J112" s="428"/>
    </row>
    <row r="113">
      <c r="A113" s="428"/>
      <c r="B113" s="428"/>
      <c r="C113" s="428"/>
      <c r="D113" s="428"/>
      <c r="E113" s="428"/>
      <c r="F113" s="428"/>
      <c r="G113" s="428"/>
      <c r="H113" s="428"/>
      <c r="I113" s="428"/>
      <c r="J113" s="428"/>
    </row>
    <row r="114">
      <c r="A114" s="428"/>
      <c r="B114" s="428"/>
      <c r="C114" s="428"/>
      <c r="D114" s="428"/>
      <c r="E114" s="428"/>
      <c r="F114" s="428"/>
      <c r="G114" s="428"/>
      <c r="H114" s="428"/>
      <c r="I114" s="428"/>
      <c r="J114" s="428"/>
    </row>
    <row r="115">
      <c r="A115" s="428"/>
      <c r="B115" s="428"/>
      <c r="C115" s="428"/>
      <c r="D115" s="428"/>
      <c r="E115" s="428"/>
      <c r="F115" s="428"/>
      <c r="G115" s="428"/>
      <c r="H115" s="428"/>
      <c r="I115" s="428"/>
      <c r="J115" s="428"/>
    </row>
    <row r="117">
      <c r="A117" s="334" t="s">
        <v>8760</v>
      </c>
    </row>
    <row r="118">
      <c r="A118" s="428"/>
      <c r="B118" s="428"/>
      <c r="C118" s="428"/>
      <c r="D118" s="428"/>
      <c r="E118" s="428"/>
      <c r="F118" s="428"/>
      <c r="G118" s="428"/>
      <c r="H118" s="428"/>
      <c r="I118" s="428"/>
      <c r="J118" s="428"/>
      <c r="K118" s="428"/>
    </row>
    <row r="119">
      <c r="A119" s="428"/>
      <c r="B119" s="428"/>
      <c r="C119" s="428"/>
      <c r="D119" s="428"/>
      <c r="E119" s="428"/>
      <c r="F119" s="428"/>
      <c r="G119" s="428"/>
      <c r="H119" s="428"/>
      <c r="I119" s="428"/>
      <c r="J119" s="428"/>
      <c r="K119" s="428"/>
    </row>
    <row r="120">
      <c r="A120" s="428"/>
      <c r="B120" s="428"/>
      <c r="C120" s="428"/>
      <c r="D120" s="428"/>
      <c r="E120" s="428"/>
      <c r="F120" s="428"/>
      <c r="G120" s="428"/>
      <c r="H120" s="428"/>
      <c r="I120" s="428"/>
      <c r="J120" s="428"/>
      <c r="K120" s="428"/>
    </row>
    <row r="121">
      <c r="A121" s="428"/>
      <c r="B121" s="428"/>
      <c r="C121" s="428"/>
      <c r="D121" s="428"/>
      <c r="E121" s="428"/>
      <c r="F121" s="428"/>
      <c r="G121" s="428"/>
      <c r="H121" s="428"/>
      <c r="I121" s="428"/>
      <c r="J121" s="428"/>
      <c r="K121" s="428"/>
    </row>
    <row r="122">
      <c r="A122" s="428"/>
      <c r="B122" s="428"/>
      <c r="C122" s="428"/>
      <c r="D122" s="428"/>
      <c r="E122" s="428"/>
      <c r="F122" s="428"/>
      <c r="G122" s="428"/>
      <c r="H122" s="428"/>
      <c r="I122" s="428"/>
      <c r="J122" s="428"/>
      <c r="K122" s="428"/>
    </row>
    <row r="123">
      <c r="A123" s="428"/>
      <c r="B123" s="428"/>
      <c r="C123" s="428"/>
      <c r="D123" s="428"/>
      <c r="E123" s="428"/>
      <c r="F123" s="428"/>
      <c r="G123" s="428"/>
      <c r="H123" s="428"/>
      <c r="I123" s="428"/>
      <c r="J123" s="428"/>
      <c r="K123" s="428"/>
    </row>
    <row r="124">
      <c r="A124" s="428"/>
      <c r="B124" s="428"/>
      <c r="C124" s="428"/>
      <c r="D124" s="428"/>
      <c r="E124" s="428"/>
      <c r="F124" s="428"/>
      <c r="G124" s="428"/>
      <c r="H124" s="428"/>
      <c r="I124" s="428"/>
      <c r="J124" s="428"/>
      <c r="K124" s="428"/>
    </row>
    <row r="125">
      <c r="A125" s="428"/>
      <c r="B125" s="428"/>
      <c r="C125" s="428"/>
      <c r="D125" s="428"/>
      <c r="E125" s="428"/>
      <c r="F125" s="428"/>
      <c r="G125" s="428"/>
      <c r="H125" s="428"/>
      <c r="I125" s="428"/>
      <c r="J125" s="428"/>
      <c r="K125" s="428"/>
    </row>
    <row r="126">
      <c r="A126" s="428"/>
      <c r="B126" s="428"/>
      <c r="C126" s="428"/>
      <c r="D126" s="428"/>
      <c r="E126" s="428"/>
      <c r="F126" s="428"/>
      <c r="G126" s="428"/>
      <c r="H126" s="428"/>
      <c r="I126" s="428"/>
      <c r="J126" s="428"/>
      <c r="K126" s="428"/>
    </row>
    <row r="127">
      <c r="A127" s="428"/>
      <c r="B127" s="428"/>
      <c r="C127" s="428"/>
      <c r="D127" s="428"/>
      <c r="E127" s="428"/>
      <c r="F127" s="428"/>
      <c r="G127" s="428"/>
      <c r="H127" s="428"/>
      <c r="I127" s="428"/>
      <c r="J127" s="428"/>
      <c r="K127" s="428"/>
    </row>
    <row r="128">
      <c r="A128" s="428"/>
      <c r="B128" s="428"/>
      <c r="C128" s="428"/>
      <c r="D128" s="428"/>
      <c r="E128" s="428"/>
      <c r="F128" s="428"/>
      <c r="G128" s="428"/>
      <c r="H128" s="428"/>
      <c r="I128" s="428"/>
      <c r="J128" s="428"/>
      <c r="K128" s="428"/>
    </row>
    <row r="129">
      <c r="A129" s="428"/>
      <c r="B129" s="428"/>
      <c r="C129" s="428"/>
      <c r="D129" s="428"/>
      <c r="E129" s="428"/>
      <c r="F129" s="428"/>
      <c r="G129" s="428"/>
      <c r="H129" s="428"/>
      <c r="I129" s="428"/>
      <c r="J129" s="428"/>
      <c r="K129" s="428"/>
    </row>
    <row r="130">
      <c r="A130" s="428"/>
      <c r="B130" s="428"/>
      <c r="C130" s="428"/>
      <c r="D130" s="428"/>
      <c r="E130" s="428"/>
      <c r="F130" s="428"/>
      <c r="G130" s="428"/>
      <c r="H130" s="428"/>
      <c r="I130" s="428"/>
      <c r="J130" s="428"/>
      <c r="K130" s="428"/>
    </row>
    <row r="131">
      <c r="A131" s="428"/>
      <c r="B131" s="428"/>
      <c r="C131" s="428"/>
      <c r="D131" s="428"/>
      <c r="E131" s="428"/>
      <c r="F131" s="428"/>
      <c r="G131" s="428"/>
      <c r="H131" s="428"/>
      <c r="I131" s="428"/>
      <c r="J131" s="428"/>
      <c r="K131" s="428"/>
    </row>
    <row r="132">
      <c r="A132" s="428"/>
      <c r="B132" s="428"/>
      <c r="C132" s="428"/>
      <c r="D132" s="428"/>
      <c r="E132" s="428"/>
      <c r="F132" s="428"/>
      <c r="G132" s="428"/>
      <c r="H132" s="428"/>
      <c r="I132" s="428"/>
      <c r="J132" s="428"/>
      <c r="K132" s="428"/>
    </row>
    <row r="133">
      <c r="A133" s="428"/>
      <c r="B133" s="428"/>
      <c r="C133" s="428"/>
      <c r="D133" s="428"/>
      <c r="E133" s="428"/>
      <c r="F133" s="428"/>
      <c r="G133" s="428"/>
      <c r="H133" s="428"/>
      <c r="I133" s="428"/>
      <c r="J133" s="428"/>
      <c r="K133" s="428"/>
    </row>
    <row r="134">
      <c r="A134" s="428"/>
      <c r="B134" s="428"/>
      <c r="C134" s="428"/>
      <c r="D134" s="428"/>
      <c r="E134" s="428"/>
      <c r="F134" s="428"/>
      <c r="G134" s="428"/>
      <c r="H134" s="428"/>
      <c r="I134" s="428"/>
      <c r="J134" s="428"/>
      <c r="K134" s="428"/>
    </row>
    <row r="135">
      <c r="A135" s="428"/>
      <c r="B135" s="428"/>
      <c r="C135" s="428"/>
      <c r="D135" s="428"/>
      <c r="E135" s="428"/>
      <c r="F135" s="428"/>
      <c r="G135" s="428"/>
      <c r="H135" s="428"/>
      <c r="I135" s="428"/>
      <c r="J135" s="428"/>
      <c r="K135" s="428"/>
    </row>
    <row r="136">
      <c r="A136" s="428"/>
      <c r="B136" s="428"/>
      <c r="C136" s="428"/>
      <c r="D136" s="428"/>
      <c r="E136" s="428"/>
      <c r="F136" s="428"/>
      <c r="G136" s="428"/>
      <c r="H136" s="428"/>
      <c r="I136" s="428"/>
      <c r="J136" s="428"/>
      <c r="K136" s="428"/>
    </row>
    <row r="137">
      <c r="A137" s="428"/>
      <c r="B137" s="428"/>
      <c r="C137" s="428"/>
      <c r="D137" s="428"/>
      <c r="E137" s="428"/>
      <c r="F137" s="428"/>
      <c r="G137" s="428"/>
      <c r="H137" s="428"/>
      <c r="I137" s="428"/>
      <c r="J137" s="428"/>
      <c r="K137" s="428"/>
    </row>
    <row r="138">
      <c r="A138" s="428"/>
      <c r="B138" s="428"/>
      <c r="C138" s="428"/>
      <c r="D138" s="428"/>
      <c r="E138" s="428"/>
      <c r="F138" s="428"/>
      <c r="G138" s="428"/>
      <c r="H138" s="428"/>
      <c r="I138" s="428"/>
      <c r="J138" s="428"/>
      <c r="K138" s="428"/>
    </row>
    <row r="139">
      <c r="A139" s="428"/>
      <c r="B139" s="428"/>
      <c r="C139" s="428"/>
      <c r="D139" s="428"/>
      <c r="E139" s="428"/>
      <c r="F139" s="428"/>
      <c r="G139" s="428"/>
      <c r="H139" s="428"/>
      <c r="I139" s="428"/>
      <c r="J139" s="428"/>
      <c r="K139" s="428"/>
    </row>
    <row r="140">
      <c r="A140" s="428"/>
      <c r="B140" s="428"/>
      <c r="C140" s="428"/>
      <c r="D140" s="428"/>
      <c r="E140" s="428"/>
      <c r="F140" s="428"/>
      <c r="G140" s="428"/>
      <c r="H140" s="428"/>
      <c r="I140" s="428"/>
      <c r="J140" s="428"/>
      <c r="K140" s="428"/>
    </row>
    <row r="141">
      <c r="A141" s="428"/>
      <c r="B141" s="428"/>
      <c r="C141" s="428"/>
      <c r="D141" s="428"/>
      <c r="E141" s="428"/>
      <c r="F141" s="428"/>
      <c r="G141" s="428"/>
      <c r="H141" s="428"/>
      <c r="I141" s="428"/>
      <c r="J141" s="428"/>
      <c r="K141" s="428"/>
    </row>
    <row r="142">
      <c r="A142" s="428"/>
      <c r="B142" s="428"/>
      <c r="C142" s="428"/>
      <c r="D142" s="428"/>
      <c r="E142" s="428"/>
      <c r="F142" s="428"/>
      <c r="G142" s="428"/>
      <c r="H142" s="428"/>
      <c r="I142" s="428"/>
      <c r="J142" s="428"/>
      <c r="K142" s="428"/>
    </row>
    <row r="143">
      <c r="A143" s="428"/>
      <c r="B143" s="428"/>
      <c r="C143" s="428"/>
      <c r="D143" s="428"/>
      <c r="E143" s="428"/>
      <c r="F143" s="428"/>
      <c r="G143" s="428"/>
      <c r="H143" s="428"/>
      <c r="I143" s="428"/>
      <c r="J143" s="428"/>
      <c r="K143" s="428"/>
    </row>
    <row r="144">
      <c r="A144" s="428"/>
      <c r="B144" s="428"/>
      <c r="C144" s="428"/>
      <c r="D144" s="428"/>
      <c r="E144" s="428"/>
      <c r="F144" s="428"/>
      <c r="G144" s="428"/>
      <c r="H144" s="428"/>
      <c r="I144" s="428"/>
      <c r="J144" s="428"/>
      <c r="K144" s="428"/>
    </row>
    <row r="145">
      <c r="A145" s="428"/>
      <c r="B145" s="428"/>
      <c r="C145" s="428"/>
      <c r="D145" s="428"/>
      <c r="E145" s="428"/>
      <c r="F145" s="428"/>
      <c r="G145" s="427" t="s">
        <v>8767</v>
      </c>
      <c r="H145" s="428"/>
      <c r="I145" s="428"/>
      <c r="J145" s="428"/>
      <c r="K145" s="428"/>
    </row>
    <row r="148">
      <c r="A148" s="334" t="s">
        <v>8761</v>
      </c>
    </row>
    <row r="149">
      <c r="A149" s="428"/>
      <c r="B149" s="428"/>
      <c r="C149" s="428"/>
      <c r="D149" s="428"/>
      <c r="E149" s="428"/>
      <c r="F149" s="428"/>
      <c r="G149" s="428"/>
      <c r="H149" s="428"/>
      <c r="I149" s="428"/>
      <c r="J149" s="428"/>
      <c r="K149" s="428"/>
      <c r="L149" s="428"/>
      <c r="M149" s="428"/>
      <c r="N149" s="428"/>
      <c r="O149" s="428"/>
      <c r="P149" s="428"/>
      <c r="Q149" s="428"/>
      <c r="R149" s="428"/>
      <c r="S149" s="428"/>
      <c r="T149" s="428"/>
    </row>
    <row r="150">
      <c r="A150" s="428"/>
      <c r="B150" s="428"/>
      <c r="C150" s="428"/>
      <c r="D150" s="428"/>
      <c r="E150" s="428"/>
      <c r="F150" s="428"/>
      <c r="G150" s="428"/>
      <c r="H150" s="428"/>
      <c r="I150" s="428"/>
      <c r="J150" s="428"/>
      <c r="K150" s="428"/>
      <c r="L150" s="428"/>
      <c r="M150" s="428"/>
      <c r="N150" s="428"/>
      <c r="O150" s="428"/>
      <c r="P150" s="428"/>
      <c r="Q150" s="428"/>
      <c r="R150" s="428"/>
      <c r="S150" s="428"/>
      <c r="T150" s="428"/>
    </row>
    <row r="151">
      <c r="A151" s="428"/>
      <c r="B151" s="428"/>
      <c r="C151" s="428"/>
      <c r="D151" s="428"/>
      <c r="E151" s="428"/>
      <c r="F151" s="428"/>
      <c r="G151" s="428"/>
      <c r="H151" s="428"/>
      <c r="I151" s="428"/>
      <c r="J151" s="428"/>
      <c r="K151" s="428"/>
      <c r="L151" s="428"/>
      <c r="M151" s="428"/>
      <c r="N151" s="428"/>
      <c r="O151" s="428"/>
      <c r="P151" s="428"/>
      <c r="Q151" s="428"/>
      <c r="R151" s="428"/>
      <c r="S151" s="428"/>
      <c r="T151" s="428"/>
    </row>
    <row r="152">
      <c r="A152" s="428"/>
      <c r="B152" s="428"/>
      <c r="C152" s="428"/>
      <c r="D152" s="428"/>
      <c r="E152" s="428"/>
      <c r="F152" s="428"/>
      <c r="G152" s="428"/>
      <c r="H152" s="428"/>
      <c r="I152" s="428"/>
      <c r="J152" s="428"/>
      <c r="K152" s="428"/>
      <c r="L152" s="428"/>
      <c r="M152" s="428"/>
      <c r="N152" s="428"/>
      <c r="O152" s="428"/>
      <c r="P152" s="428"/>
      <c r="Q152" s="428"/>
      <c r="R152" s="428"/>
      <c r="S152" s="428"/>
      <c r="T152" s="428"/>
    </row>
    <row r="153">
      <c r="A153" s="428"/>
      <c r="B153" s="428"/>
      <c r="C153" s="428"/>
      <c r="D153" s="428"/>
      <c r="E153" s="428"/>
      <c r="F153" s="428"/>
      <c r="G153" s="428"/>
      <c r="H153" s="428"/>
      <c r="I153" s="428"/>
      <c r="J153" s="428"/>
      <c r="K153" s="428"/>
      <c r="L153" s="428"/>
      <c r="M153" s="428"/>
      <c r="N153" s="428"/>
      <c r="O153" s="428"/>
      <c r="P153" s="428"/>
      <c r="Q153" s="428"/>
      <c r="R153" s="428"/>
      <c r="S153" s="428"/>
      <c r="T153" s="428"/>
    </row>
    <row r="154">
      <c r="A154" s="428"/>
      <c r="B154" s="428"/>
      <c r="C154" s="428"/>
      <c r="D154" s="428"/>
      <c r="E154" s="428"/>
      <c r="F154" s="428"/>
      <c r="G154" s="428"/>
      <c r="H154" s="428"/>
      <c r="I154" s="428"/>
      <c r="J154" s="428"/>
      <c r="K154" s="428"/>
      <c r="L154" s="428"/>
      <c r="M154" s="428"/>
      <c r="N154" s="428"/>
      <c r="O154" s="428"/>
      <c r="P154" s="428"/>
      <c r="Q154" s="428"/>
      <c r="R154" s="428"/>
      <c r="S154" s="428"/>
      <c r="T154" s="428"/>
    </row>
    <row r="155">
      <c r="A155" s="428"/>
      <c r="B155" s="428"/>
      <c r="C155" s="428"/>
      <c r="D155" s="428"/>
      <c r="E155" s="428"/>
      <c r="F155" s="428"/>
      <c r="G155" s="428"/>
      <c r="H155" s="428"/>
      <c r="I155" s="428"/>
      <c r="J155" s="428"/>
      <c r="K155" s="428"/>
      <c r="L155" s="428"/>
      <c r="M155" s="428"/>
      <c r="N155" s="428"/>
      <c r="O155" s="428"/>
      <c r="P155" s="428"/>
      <c r="Q155" s="428"/>
      <c r="R155" s="428"/>
      <c r="S155" s="428"/>
      <c r="T155" s="428"/>
    </row>
    <row r="156">
      <c r="A156" s="428"/>
      <c r="B156" s="428"/>
      <c r="C156" s="428"/>
      <c r="D156" s="428"/>
      <c r="E156" s="428"/>
      <c r="F156" s="428"/>
      <c r="G156" s="428"/>
      <c r="H156" s="428"/>
      <c r="I156" s="428"/>
      <c r="J156" s="428"/>
      <c r="K156" s="428"/>
      <c r="L156" s="428"/>
      <c r="M156" s="428"/>
      <c r="N156" s="428"/>
      <c r="O156" s="428"/>
      <c r="P156" s="428"/>
      <c r="Q156" s="428"/>
      <c r="R156" s="428"/>
      <c r="S156" s="428"/>
      <c r="T156" s="428"/>
    </row>
    <row r="157">
      <c r="A157" s="428"/>
      <c r="B157" s="428"/>
      <c r="C157" s="428"/>
      <c r="D157" s="428"/>
      <c r="E157" s="428"/>
      <c r="F157" s="428"/>
      <c r="G157" s="428"/>
      <c r="H157" s="428"/>
      <c r="I157" s="428"/>
      <c r="J157" s="428"/>
      <c r="K157" s="428"/>
      <c r="L157" s="428"/>
      <c r="M157" s="428"/>
      <c r="N157" s="428"/>
      <c r="O157" s="428"/>
      <c r="P157" s="428"/>
      <c r="Q157" s="428"/>
      <c r="R157" s="428"/>
      <c r="S157" s="428"/>
      <c r="T157" s="428"/>
    </row>
    <row r="158">
      <c r="A158" s="428"/>
      <c r="B158" s="428"/>
      <c r="C158" s="428"/>
      <c r="D158" s="428"/>
      <c r="E158" s="428"/>
      <c r="F158" s="428"/>
      <c r="G158" s="428"/>
      <c r="H158" s="428"/>
      <c r="I158" s="428"/>
      <c r="J158" s="428"/>
      <c r="K158" s="428"/>
      <c r="L158" s="428"/>
      <c r="M158" s="428"/>
      <c r="N158" s="428"/>
      <c r="O158" s="428"/>
      <c r="P158" s="428"/>
      <c r="Q158" s="428"/>
      <c r="R158" s="428"/>
      <c r="S158" s="428"/>
      <c r="T158" s="428"/>
    </row>
    <row r="159">
      <c r="A159" s="428"/>
      <c r="B159" s="428"/>
      <c r="C159" s="428"/>
      <c r="D159" s="428"/>
      <c r="E159" s="428"/>
      <c r="F159" s="428"/>
      <c r="G159" s="428"/>
      <c r="H159" s="428"/>
      <c r="I159" s="428"/>
      <c r="J159" s="428"/>
      <c r="K159" s="428"/>
      <c r="L159" s="428"/>
      <c r="M159" s="428"/>
      <c r="N159" s="428"/>
      <c r="O159" s="428"/>
      <c r="P159" s="428"/>
      <c r="Q159" s="428"/>
      <c r="R159" s="428"/>
      <c r="S159" s="428"/>
      <c r="T159" s="428"/>
    </row>
    <row r="160">
      <c r="A160" s="428"/>
      <c r="B160" s="428"/>
      <c r="C160" s="428"/>
      <c r="D160" s="428"/>
      <c r="E160" s="428"/>
      <c r="F160" s="428"/>
      <c r="G160" s="428"/>
      <c r="H160" s="428"/>
      <c r="I160" s="428"/>
      <c r="J160" s="428"/>
      <c r="K160" s="428"/>
      <c r="L160" s="428"/>
      <c r="M160" s="428"/>
      <c r="N160" s="428"/>
      <c r="O160" s="428"/>
      <c r="P160" s="428"/>
      <c r="Q160" s="428"/>
      <c r="R160" s="428"/>
      <c r="S160" s="428"/>
      <c r="T160" s="428"/>
    </row>
    <row r="161">
      <c r="A161" s="428"/>
      <c r="B161" s="428"/>
      <c r="C161" s="428"/>
      <c r="D161" s="428"/>
      <c r="E161" s="428"/>
      <c r="F161" s="428"/>
      <c r="G161" s="428"/>
      <c r="H161" s="428"/>
      <c r="I161" s="428"/>
      <c r="J161" s="428"/>
      <c r="K161" s="428"/>
      <c r="L161" s="428"/>
      <c r="M161" s="428"/>
      <c r="N161" s="428"/>
      <c r="O161" s="428"/>
      <c r="P161" s="428"/>
      <c r="Q161" s="428"/>
      <c r="R161" s="428"/>
      <c r="S161" s="428"/>
      <c r="T161" s="428"/>
    </row>
    <row r="162">
      <c r="A162" s="428"/>
      <c r="B162" s="428"/>
      <c r="C162" s="428"/>
      <c r="D162" s="428"/>
      <c r="E162" s="428"/>
      <c r="F162" s="428"/>
      <c r="G162" s="428"/>
      <c r="H162" s="428"/>
      <c r="I162" s="428"/>
      <c r="J162" s="428"/>
      <c r="K162" s="428"/>
      <c r="L162" s="428"/>
      <c r="M162" s="428"/>
      <c r="N162" s="428"/>
      <c r="O162" s="428"/>
      <c r="P162" s="428"/>
      <c r="Q162" s="428"/>
      <c r="R162" s="428"/>
      <c r="S162" s="428"/>
      <c r="T162" s="428"/>
    </row>
    <row r="163">
      <c r="A163" s="428"/>
      <c r="B163" s="428"/>
      <c r="C163" s="428"/>
      <c r="D163" s="428"/>
      <c r="E163" s="428"/>
      <c r="F163" s="428"/>
      <c r="G163" s="428"/>
      <c r="H163" s="428"/>
      <c r="I163" s="428"/>
      <c r="J163" s="428"/>
      <c r="K163" s="428"/>
      <c r="L163" s="428"/>
      <c r="M163" s="428"/>
      <c r="N163" s="428"/>
      <c r="O163" s="428"/>
      <c r="P163" s="428"/>
      <c r="Q163" s="428"/>
      <c r="R163" s="428"/>
      <c r="S163" s="428"/>
      <c r="T163" s="428"/>
    </row>
    <row r="164">
      <c r="A164" s="428"/>
      <c r="B164" s="428"/>
      <c r="C164" s="428"/>
      <c r="D164" s="428"/>
      <c r="E164" s="428"/>
      <c r="F164" s="428"/>
      <c r="G164" s="428"/>
      <c r="H164" s="428"/>
      <c r="I164" s="428"/>
      <c r="J164" s="428"/>
      <c r="K164" s="428"/>
      <c r="L164" s="428"/>
      <c r="M164" s="428"/>
      <c r="N164" s="428"/>
      <c r="O164" s="428"/>
      <c r="P164" s="428"/>
      <c r="Q164" s="428"/>
      <c r="R164" s="428"/>
      <c r="S164" s="428"/>
      <c r="T164" s="428"/>
    </row>
    <row r="165">
      <c r="A165" s="428"/>
      <c r="B165" s="428"/>
      <c r="C165" s="428"/>
      <c r="D165" s="428"/>
      <c r="E165" s="428"/>
      <c r="F165" s="428"/>
      <c r="G165" s="428"/>
      <c r="H165" s="428"/>
      <c r="I165" s="428"/>
      <c r="J165" s="428"/>
      <c r="K165" s="428"/>
      <c r="L165" s="428"/>
      <c r="M165" s="428"/>
      <c r="N165" s="428"/>
      <c r="O165" s="428"/>
      <c r="P165" s="428"/>
      <c r="Q165" s="428"/>
      <c r="R165" s="428"/>
      <c r="S165" s="428"/>
      <c r="T165" s="428"/>
    </row>
    <row r="166">
      <c r="A166" s="428"/>
      <c r="B166" s="428"/>
      <c r="C166" s="428"/>
      <c r="D166" s="428"/>
      <c r="E166" s="428"/>
      <c r="F166" s="428"/>
      <c r="G166" s="428"/>
      <c r="H166" s="428"/>
      <c r="I166" s="428"/>
      <c r="J166" s="428"/>
      <c r="K166" s="428"/>
      <c r="L166" s="428"/>
      <c r="M166" s="428"/>
      <c r="N166" s="428"/>
      <c r="O166" s="428"/>
      <c r="P166" s="428"/>
      <c r="Q166" s="428"/>
      <c r="R166" s="428"/>
      <c r="S166" s="428"/>
      <c r="T166" s="428"/>
    </row>
    <row r="167">
      <c r="A167" s="428"/>
      <c r="B167" s="428"/>
      <c r="C167" s="428"/>
      <c r="D167" s="428"/>
      <c r="E167" s="428"/>
      <c r="F167" s="428"/>
      <c r="G167" s="428"/>
      <c r="H167" s="428"/>
      <c r="I167" s="428"/>
      <c r="J167" s="428"/>
      <c r="K167" s="428"/>
      <c r="L167" s="428"/>
      <c r="M167" s="428"/>
      <c r="N167" s="428"/>
      <c r="O167" s="428"/>
      <c r="P167" s="428"/>
      <c r="Q167" s="428"/>
      <c r="R167" s="428"/>
      <c r="S167" s="428"/>
      <c r="T167" s="428"/>
    </row>
    <row r="168">
      <c r="A168" s="428"/>
      <c r="B168" s="428"/>
      <c r="C168" s="428"/>
      <c r="D168" s="428"/>
      <c r="E168" s="428"/>
      <c r="F168" s="428"/>
      <c r="G168" s="428"/>
      <c r="H168" s="428"/>
      <c r="I168" s="428"/>
      <c r="J168" s="428"/>
      <c r="K168" s="428"/>
      <c r="L168" s="428"/>
      <c r="M168" s="428"/>
      <c r="N168" s="428"/>
      <c r="O168" s="428"/>
      <c r="P168" s="428"/>
      <c r="Q168" s="428"/>
      <c r="R168" s="428"/>
      <c r="S168" s="428"/>
      <c r="T168" s="428"/>
    </row>
    <row r="169">
      <c r="A169" s="428"/>
      <c r="B169" s="428"/>
      <c r="C169" s="428"/>
      <c r="D169" s="428"/>
      <c r="E169" s="428"/>
      <c r="F169" s="428"/>
      <c r="G169" s="428"/>
      <c r="H169" s="428"/>
      <c r="I169" s="428"/>
      <c r="J169" s="428"/>
      <c r="K169" s="428"/>
      <c r="L169" s="428"/>
      <c r="M169" s="428"/>
      <c r="N169" s="428"/>
      <c r="O169" s="428"/>
      <c r="P169" s="428"/>
      <c r="Q169" s="428"/>
      <c r="R169" s="428"/>
      <c r="S169" s="428"/>
      <c r="T169" s="428"/>
    </row>
    <row r="170">
      <c r="A170" s="428"/>
      <c r="B170" s="428"/>
      <c r="C170" s="428"/>
      <c r="D170" s="428"/>
      <c r="E170" s="428"/>
      <c r="F170" s="428"/>
      <c r="G170" s="428"/>
      <c r="H170" s="428"/>
      <c r="I170" s="428"/>
      <c r="J170" s="428"/>
      <c r="K170" s="428"/>
      <c r="L170" s="428"/>
      <c r="M170" s="428"/>
      <c r="N170" s="428"/>
      <c r="O170" s="428"/>
      <c r="P170" s="428"/>
      <c r="Q170" s="428"/>
      <c r="R170" s="428"/>
      <c r="S170" s="428"/>
      <c r="T170" s="428"/>
    </row>
    <row r="171">
      <c r="A171" s="428"/>
      <c r="B171" s="428"/>
      <c r="C171" s="428"/>
      <c r="D171" s="428"/>
      <c r="E171" s="428"/>
      <c r="F171" s="428"/>
      <c r="G171" s="428"/>
      <c r="H171" s="428"/>
      <c r="I171" s="428"/>
      <c r="J171" s="428"/>
      <c r="K171" s="428"/>
      <c r="L171" s="428"/>
      <c r="M171" s="428"/>
      <c r="N171" s="428"/>
      <c r="O171" s="428"/>
      <c r="P171" s="428"/>
      <c r="Q171" s="428"/>
      <c r="R171" s="428"/>
      <c r="S171" s="428"/>
      <c r="T171" s="428"/>
    </row>
    <row r="172">
      <c r="A172" s="428"/>
      <c r="B172" s="428"/>
      <c r="C172" s="428"/>
      <c r="D172" s="428"/>
      <c r="E172" s="428"/>
      <c r="F172" s="428"/>
      <c r="G172" s="428"/>
      <c r="H172" s="428"/>
      <c r="I172" s="428"/>
      <c r="J172" s="428"/>
      <c r="K172" s="428"/>
      <c r="L172" s="428"/>
      <c r="M172" s="428"/>
      <c r="N172" s="428"/>
      <c r="O172" s="428"/>
      <c r="P172" s="428"/>
      <c r="Q172" s="428"/>
      <c r="R172" s="428"/>
      <c r="S172" s="428"/>
      <c r="T172" s="428"/>
    </row>
    <row r="173">
      <c r="A173" s="428"/>
      <c r="B173" s="428"/>
      <c r="C173" s="428"/>
      <c r="D173" s="428"/>
      <c r="E173" s="428"/>
      <c r="F173" s="428"/>
      <c r="G173" s="428"/>
      <c r="H173" s="428"/>
      <c r="I173" s="428"/>
      <c r="J173" s="428"/>
      <c r="K173" s="428"/>
      <c r="L173" s="428"/>
      <c r="M173" s="428"/>
      <c r="N173" s="428"/>
      <c r="O173" s="428"/>
      <c r="P173" s="428"/>
      <c r="Q173" s="428"/>
      <c r="R173" s="428"/>
      <c r="S173" s="428"/>
      <c r="T173" s="428"/>
    </row>
  </sheetData>
  <hyperlinks>
    <hyperlink r:id="rId1" ref="A3"/>
    <hyperlink r:id="rId2" ref="A6"/>
    <hyperlink display="1.上記の「▼PCで使うとき用」のURLをクリックする" location="'アプリの使い方'!A16" ref="A11"/>
    <hyperlink display="2.ログイン後のアプリ画面" location="'アプリの使い方'!A79" ref="A12"/>
    <hyperlink display="3.単価表を確認する場合" location="'アプリの使い方'!A97" ref="A13"/>
    <hyperlink display="4.単価を登録する場合" location="'アプリの使い方'!A116" ref="A14"/>
    <hyperlink display="5.単価推移の確認方法" location="'アプリの使い方'!A148" ref="A15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332" t="s">
        <v>1182</v>
      </c>
      <c r="B1" s="332" t="s">
        <v>1184</v>
      </c>
      <c r="C1" s="332" t="s">
        <v>1185</v>
      </c>
      <c r="D1" s="332" t="s">
        <v>45</v>
      </c>
    </row>
    <row r="2" ht="15.75" customHeight="1">
      <c r="A2" s="335" t="s">
        <v>8768</v>
      </c>
      <c r="B2" s="338" t="s">
        <v>13</v>
      </c>
      <c r="C2" s="338" t="s">
        <v>49</v>
      </c>
      <c r="D2" s="338" t="s">
        <v>130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332" t="s">
        <v>1182</v>
      </c>
      <c r="B1" s="332" t="s">
        <v>1183</v>
      </c>
      <c r="C1" s="332" t="s">
        <v>1184</v>
      </c>
      <c r="D1" s="332" t="s">
        <v>1185</v>
      </c>
      <c r="E1" s="429" t="s">
        <v>1186</v>
      </c>
      <c r="F1" s="332" t="s">
        <v>1187</v>
      </c>
      <c r="G1" s="429" t="s">
        <v>1188</v>
      </c>
      <c r="H1" s="332" t="s">
        <v>110</v>
      </c>
      <c r="I1" s="335" t="s">
        <v>8769</v>
      </c>
      <c r="J1" s="332" t="s">
        <v>70</v>
      </c>
      <c r="K1" s="332" t="s">
        <v>1192</v>
      </c>
    </row>
    <row r="2" ht="15.75" customHeight="1">
      <c r="A2" s="332" t="str">
        <f>IFERROR(__xludf.DUMMYFUNCTION("FILTER('単価履歴'!A:M,'単価履歴'!C:C='単価検索'!$B$2,'単価履歴'!D:D='単価検索'!$C$2,'単価履歴'!F:F='単価検索'!$D$2)"),"d8212b131")</f>
        <v>d8212b131</v>
      </c>
      <c r="B2" s="430">
        <f>IFERROR(__xludf.DUMMYFUNCTION("""COMPUTED_VALUE"""),45580.0)</f>
        <v>45580</v>
      </c>
      <c r="C2" s="332" t="str">
        <f>IFERROR(__xludf.DUMMYFUNCTION("""COMPUTED_VALUE"""),"ｸﾎﾞﾀ")</f>
        <v>ｸﾎﾞﾀ</v>
      </c>
      <c r="D2" s="332" t="str">
        <f>IFERROR(__xludf.DUMMYFUNCTION("""COMPUTED_VALUE"""),"伊藤忠")</f>
        <v>伊藤忠</v>
      </c>
      <c r="E2" s="332" t="str">
        <f>IFERROR(__xludf.DUMMYFUNCTION("""COMPUTED_VALUE"""),"ｸﾎﾞﾀ:伊藤忠")</f>
        <v>ｸﾎﾞﾀ:伊藤忠</v>
      </c>
      <c r="F2" s="332" t="str">
        <f>IFERROR(__xludf.DUMMYFUNCTION("""COMPUTED_VALUE"""),"新断Ａ")</f>
        <v>新断Ａ</v>
      </c>
      <c r="G2" s="332" t="str">
        <f>IFERROR(__xludf.DUMMYFUNCTION("""COMPUTED_VALUE"""),"ｸﾎﾞﾀ:伊藤忠新断Ａ")</f>
        <v>ｸﾎﾞﾀ:伊藤忠新断Ａ</v>
      </c>
      <c r="H2" s="332">
        <f>IFERROR(__xludf.DUMMYFUNCTION("""COMPUTED_VALUE"""),47.7)</f>
        <v>47.7</v>
      </c>
      <c r="I2" s="332">
        <f>IFERROR(__xludf.DUMMYFUNCTION("""COMPUTED_VALUE"""),47.7)</f>
        <v>47.7</v>
      </c>
      <c r="J2" s="332" t="str">
        <f>IFERROR(__xludf.DUMMYFUNCTION("""COMPUTED_VALUE"""),"")</f>
        <v/>
      </c>
      <c r="K2" s="332"/>
      <c r="L2" s="332"/>
      <c r="M2" s="332"/>
    </row>
    <row r="3" ht="15.75" customHeight="1">
      <c r="A3" s="332" t="str">
        <f>IFERROR(__xludf.DUMMYFUNCTION("""COMPUTED_VALUE"""),"36c76b69-6c4a-468f-a76b-71564f8d6c57")</f>
        <v>36c76b69-6c4a-468f-a76b-71564f8d6c57</v>
      </c>
      <c r="B3" s="430">
        <f>IFERROR(__xludf.DUMMYFUNCTION("""COMPUTED_VALUE"""),45703.0)</f>
        <v>45703</v>
      </c>
      <c r="C3" s="332" t="str">
        <f>IFERROR(__xludf.DUMMYFUNCTION("""COMPUTED_VALUE"""),"ｸﾎﾞﾀ")</f>
        <v>ｸﾎﾞﾀ</v>
      </c>
      <c r="D3" s="332" t="str">
        <f>IFERROR(__xludf.DUMMYFUNCTION("""COMPUTED_VALUE"""),"伊藤忠")</f>
        <v>伊藤忠</v>
      </c>
      <c r="E3" s="332" t="str">
        <f>IFERROR(__xludf.DUMMYFUNCTION("""COMPUTED_VALUE"""),"ｸﾎﾞﾀ:伊藤忠")</f>
        <v>ｸﾎﾞﾀ:伊藤忠</v>
      </c>
      <c r="F3" s="332" t="str">
        <f>IFERROR(__xludf.DUMMYFUNCTION("""COMPUTED_VALUE"""),"新断Ａ")</f>
        <v>新断Ａ</v>
      </c>
      <c r="G3" s="332" t="str">
        <f>IFERROR(__xludf.DUMMYFUNCTION("""COMPUTED_VALUE"""),"ｸﾎﾞﾀ:伊藤忠新断Ａ")</f>
        <v>ｸﾎﾞﾀ:伊藤忠新断Ａ</v>
      </c>
      <c r="H3" s="332">
        <f>IFERROR(__xludf.DUMMYFUNCTION("""COMPUTED_VALUE"""),48.7)</f>
        <v>48.7</v>
      </c>
      <c r="I3" s="332">
        <f>IFERROR(__xludf.DUMMYFUNCTION("""COMPUTED_VALUE"""),1.0)</f>
        <v>1</v>
      </c>
      <c r="J3" s="332">
        <f>IFERROR(__xludf.DUMMYFUNCTION("""COMPUTED_VALUE"""),47.7)</f>
        <v>47.7</v>
      </c>
      <c r="K3" s="332"/>
      <c r="L3" s="332"/>
      <c r="M3" s="332"/>
    </row>
    <row r="4" ht="15.75" customHeight="1">
      <c r="A4" s="421" t="str">
        <f>IFERROR(__xludf.DUMMYFUNCTION("""COMPUTED_VALUE"""),"5676afc3-731e-4a18-a92b-9e518ca5f1ac")</f>
        <v>5676afc3-731e-4a18-a92b-9e518ca5f1ac</v>
      </c>
      <c r="B4" s="431">
        <f>IFERROR(__xludf.DUMMYFUNCTION("""COMPUTED_VALUE"""),45731.0)</f>
        <v>45731</v>
      </c>
      <c r="C4" s="421" t="str">
        <f>IFERROR(__xludf.DUMMYFUNCTION("""COMPUTED_VALUE"""),"ｸﾎﾞﾀ")</f>
        <v>ｸﾎﾞﾀ</v>
      </c>
      <c r="D4" s="421" t="str">
        <f>IFERROR(__xludf.DUMMYFUNCTION("""COMPUTED_VALUE"""),"伊藤忠")</f>
        <v>伊藤忠</v>
      </c>
      <c r="E4" s="421" t="str">
        <f>IFERROR(__xludf.DUMMYFUNCTION("""COMPUTED_VALUE"""),"ｸﾎﾞﾀ:伊藤忠")</f>
        <v>ｸﾎﾞﾀ:伊藤忠</v>
      </c>
      <c r="F4" s="421" t="str">
        <f>IFERROR(__xludf.DUMMYFUNCTION("""COMPUTED_VALUE"""),"新断Ａ")</f>
        <v>新断Ａ</v>
      </c>
      <c r="G4" s="421" t="str">
        <f>IFERROR(__xludf.DUMMYFUNCTION("""COMPUTED_VALUE"""),"ｸﾎﾞﾀ:伊藤忠新断Ａ")</f>
        <v>ｸﾎﾞﾀ:伊藤忠新断Ａ</v>
      </c>
      <c r="H4" s="421">
        <f>IFERROR(__xludf.DUMMYFUNCTION("""COMPUTED_VALUE"""),49.2)</f>
        <v>49.2</v>
      </c>
      <c r="I4" s="421">
        <f>IFERROR(__xludf.DUMMYFUNCTION("""COMPUTED_VALUE"""),0.5)</f>
        <v>0.5</v>
      </c>
      <c r="J4" s="421">
        <f>IFERROR(__xludf.DUMMYFUNCTION("""COMPUTED_VALUE"""),48.7)</f>
        <v>48.7</v>
      </c>
      <c r="K4" s="421"/>
      <c r="L4" s="421"/>
      <c r="M4" s="421"/>
    </row>
    <row r="5" ht="15.75" customHeight="1">
      <c r="A5" s="421" t="str">
        <f>IFERROR(__xludf.DUMMYFUNCTION("""COMPUTED_VALUE"""),"1dff4db8-370d-4e0c-8d31-4307a10ffa6b")</f>
        <v>1dff4db8-370d-4e0c-8d31-4307a10ffa6b</v>
      </c>
      <c r="B5" s="431">
        <f>IFERROR(__xludf.DUMMYFUNCTION("""COMPUTED_VALUE"""),45773.0)</f>
        <v>45773</v>
      </c>
      <c r="C5" s="421" t="str">
        <f>IFERROR(__xludf.DUMMYFUNCTION("""COMPUTED_VALUE"""),"ｸﾎﾞﾀ")</f>
        <v>ｸﾎﾞﾀ</v>
      </c>
      <c r="D5" s="421" t="str">
        <f>IFERROR(__xludf.DUMMYFUNCTION("""COMPUTED_VALUE"""),"伊藤忠")</f>
        <v>伊藤忠</v>
      </c>
      <c r="E5" s="421" t="str">
        <f>IFERROR(__xludf.DUMMYFUNCTION("""COMPUTED_VALUE"""),"ｸﾎﾞﾀ:伊藤忠")</f>
        <v>ｸﾎﾞﾀ:伊藤忠</v>
      </c>
      <c r="F5" s="421" t="str">
        <f>IFERROR(__xludf.DUMMYFUNCTION("""COMPUTED_VALUE"""),"新断Ａ")</f>
        <v>新断Ａ</v>
      </c>
      <c r="G5" s="421" t="str">
        <f>IFERROR(__xludf.DUMMYFUNCTION("""COMPUTED_VALUE"""),"ｸﾎﾞﾀ:伊藤忠新断Ａ")</f>
        <v>ｸﾎﾞﾀ:伊藤忠新断Ａ</v>
      </c>
      <c r="H5" s="421">
        <f>IFERROR(__xludf.DUMMYFUNCTION("""COMPUTED_VALUE"""),48.2)</f>
        <v>48.2</v>
      </c>
      <c r="I5" s="421">
        <f>IFERROR(__xludf.DUMMYFUNCTION("""COMPUTED_VALUE"""),-1.0)</f>
        <v>-1</v>
      </c>
      <c r="J5" s="421">
        <f>IFERROR(__xludf.DUMMYFUNCTION("""COMPUTED_VALUE"""),49.2)</f>
        <v>49.2</v>
      </c>
      <c r="K5" s="421"/>
      <c r="L5" s="421"/>
      <c r="M5" s="421"/>
    </row>
    <row r="6" ht="15.75" customHeight="1">
      <c r="A6" s="421" t="str">
        <f>IFERROR(__xludf.DUMMYFUNCTION("""COMPUTED_VALUE"""),"fb0689a7-8ae2-4794-8344-6dfbb87d2c35")</f>
        <v>fb0689a7-8ae2-4794-8344-6dfbb87d2c35</v>
      </c>
      <c r="B6" s="431">
        <f>IFERROR(__xludf.DUMMYFUNCTION("""COMPUTED_VALUE"""),45815.0)</f>
        <v>45815</v>
      </c>
      <c r="C6" s="421" t="str">
        <f>IFERROR(__xludf.DUMMYFUNCTION("""COMPUTED_VALUE"""),"ｸﾎﾞﾀ")</f>
        <v>ｸﾎﾞﾀ</v>
      </c>
      <c r="D6" s="421" t="str">
        <f>IFERROR(__xludf.DUMMYFUNCTION("""COMPUTED_VALUE"""),"伊藤忠")</f>
        <v>伊藤忠</v>
      </c>
      <c r="E6" s="421" t="str">
        <f>IFERROR(__xludf.DUMMYFUNCTION("""COMPUTED_VALUE"""),"ｸﾎﾞﾀ:伊藤忠")</f>
        <v>ｸﾎﾞﾀ:伊藤忠</v>
      </c>
      <c r="F6" s="421" t="str">
        <f>IFERROR(__xludf.DUMMYFUNCTION("""COMPUTED_VALUE"""),"新断Ａ")</f>
        <v>新断Ａ</v>
      </c>
      <c r="G6" s="421" t="str">
        <f>IFERROR(__xludf.DUMMYFUNCTION("""COMPUTED_VALUE"""),"ｸﾎﾞﾀ:伊藤忠新断Ａ")</f>
        <v>ｸﾎﾞﾀ:伊藤忠新断Ａ</v>
      </c>
      <c r="H6" s="421">
        <f>IFERROR(__xludf.DUMMYFUNCTION("""COMPUTED_VALUE"""),47.7)</f>
        <v>47.7</v>
      </c>
      <c r="I6" s="421">
        <f>IFERROR(__xludf.DUMMYFUNCTION("""COMPUTED_VALUE"""),-0.5)</f>
        <v>-0.5</v>
      </c>
      <c r="J6" s="421">
        <f>IFERROR(__xludf.DUMMYFUNCTION("""COMPUTED_VALUE"""),48.2)</f>
        <v>48.2</v>
      </c>
      <c r="K6" s="421"/>
      <c r="L6" s="421"/>
      <c r="M6" s="421"/>
    </row>
    <row r="7" ht="15.75" customHeight="1">
      <c r="A7" s="421" t="str">
        <f>IFERROR(__xludf.DUMMYFUNCTION("""COMPUTED_VALUE"""),"5b2f3567-c5aa-458a-baca-057d9f7bb5e7")</f>
        <v>5b2f3567-c5aa-458a-baca-057d9f7bb5e7</v>
      </c>
      <c r="B7" s="431">
        <f>IFERROR(__xludf.DUMMYFUNCTION("""COMPUTED_VALUE"""),45836.0)</f>
        <v>45836</v>
      </c>
      <c r="C7" s="421" t="str">
        <f>IFERROR(__xludf.DUMMYFUNCTION("""COMPUTED_VALUE"""),"ｸﾎﾞﾀ")</f>
        <v>ｸﾎﾞﾀ</v>
      </c>
      <c r="D7" s="421" t="str">
        <f>IFERROR(__xludf.DUMMYFUNCTION("""COMPUTED_VALUE"""),"伊藤忠")</f>
        <v>伊藤忠</v>
      </c>
      <c r="E7" s="421" t="str">
        <f>IFERROR(__xludf.DUMMYFUNCTION("""COMPUTED_VALUE"""),"ｸﾎﾞﾀ:伊藤忠")</f>
        <v>ｸﾎﾞﾀ:伊藤忠</v>
      </c>
      <c r="F7" s="421" t="str">
        <f>IFERROR(__xludf.DUMMYFUNCTION("""COMPUTED_VALUE"""),"新断Ａ")</f>
        <v>新断Ａ</v>
      </c>
      <c r="G7" s="421" t="str">
        <f>IFERROR(__xludf.DUMMYFUNCTION("""COMPUTED_VALUE"""),"ｸﾎﾞﾀ:伊藤忠新断Ａ")</f>
        <v>ｸﾎﾞﾀ:伊藤忠新断Ａ</v>
      </c>
      <c r="H7" s="421">
        <f>IFERROR(__xludf.DUMMYFUNCTION("""COMPUTED_VALUE"""),47.2)</f>
        <v>47.2</v>
      </c>
      <c r="I7" s="421">
        <f>IFERROR(__xludf.DUMMYFUNCTION("""COMPUTED_VALUE"""),-0.5)</f>
        <v>-0.5</v>
      </c>
      <c r="J7" s="421">
        <f>IFERROR(__xludf.DUMMYFUNCTION("""COMPUTED_VALUE"""),47.7)</f>
        <v>47.7</v>
      </c>
      <c r="K7" s="421"/>
      <c r="L7" s="421"/>
      <c r="M7" s="421"/>
    </row>
    <row r="8" ht="15.75" customHeight="1">
      <c r="A8" s="421" t="str">
        <f>IFERROR(__xludf.DUMMYFUNCTION("""COMPUTED_VALUE"""),"23ee1f59-d84c-41af-a188-bd89d0a92047")</f>
        <v>23ee1f59-d84c-41af-a188-bd89d0a92047</v>
      </c>
      <c r="B8" s="431">
        <f>IFERROR(__xludf.DUMMYFUNCTION("""COMPUTED_VALUE"""),45899.0)</f>
        <v>45899</v>
      </c>
      <c r="C8" s="421" t="str">
        <f>IFERROR(__xludf.DUMMYFUNCTION("""COMPUTED_VALUE"""),"ｸﾎﾞﾀ")</f>
        <v>ｸﾎﾞﾀ</v>
      </c>
      <c r="D8" s="421" t="str">
        <f>IFERROR(__xludf.DUMMYFUNCTION("""COMPUTED_VALUE"""),"伊藤忠")</f>
        <v>伊藤忠</v>
      </c>
      <c r="E8" s="421" t="str">
        <f>IFERROR(__xludf.DUMMYFUNCTION("""COMPUTED_VALUE"""),"ｸﾎﾞﾀ:伊藤忠")</f>
        <v>ｸﾎﾞﾀ:伊藤忠</v>
      </c>
      <c r="F8" s="421" t="str">
        <f>IFERROR(__xludf.DUMMYFUNCTION("""COMPUTED_VALUE"""),"新断Ａ")</f>
        <v>新断Ａ</v>
      </c>
      <c r="G8" s="421" t="str">
        <f>IFERROR(__xludf.DUMMYFUNCTION("""COMPUTED_VALUE"""),"ｸﾎﾞﾀ:伊藤忠新断Ａ")</f>
        <v>ｸﾎﾞﾀ:伊藤忠新断Ａ</v>
      </c>
      <c r="H8" s="421">
        <f>IFERROR(__xludf.DUMMYFUNCTION("""COMPUTED_VALUE"""),46.7)</f>
        <v>46.7</v>
      </c>
      <c r="I8" s="421">
        <f>IFERROR(__xludf.DUMMYFUNCTION("""COMPUTED_VALUE"""),-0.5)</f>
        <v>-0.5</v>
      </c>
      <c r="J8" s="421">
        <f>IFERROR(__xludf.DUMMYFUNCTION("""COMPUTED_VALUE"""),47.2)</f>
        <v>47.2</v>
      </c>
      <c r="K8" s="421"/>
      <c r="L8" s="421"/>
      <c r="M8" s="421"/>
    </row>
    <row r="9" ht="15.75" customHeight="1">
      <c r="A9" s="421" t="str">
        <f>IFERROR(__xludf.DUMMYFUNCTION("""COMPUTED_VALUE"""),"8f4d62bc-4809-4581-9040-20bd1a5cbdcb")</f>
        <v>8f4d62bc-4809-4581-9040-20bd1a5cbdcb</v>
      </c>
      <c r="B9" s="431">
        <f>IFERROR(__xludf.DUMMYFUNCTION("""COMPUTED_VALUE"""),45948.0)</f>
        <v>45948</v>
      </c>
      <c r="C9" s="421" t="str">
        <f>IFERROR(__xludf.DUMMYFUNCTION("""COMPUTED_VALUE"""),"ｸﾎﾞﾀ")</f>
        <v>ｸﾎﾞﾀ</v>
      </c>
      <c r="D9" s="421" t="str">
        <f>IFERROR(__xludf.DUMMYFUNCTION("""COMPUTED_VALUE"""),"伊藤忠")</f>
        <v>伊藤忠</v>
      </c>
      <c r="E9" s="421" t="str">
        <f>IFERROR(__xludf.DUMMYFUNCTION("""COMPUTED_VALUE"""),"ｸﾎﾞﾀ:伊藤忠")</f>
        <v>ｸﾎﾞﾀ:伊藤忠</v>
      </c>
      <c r="F9" s="421" t="str">
        <f>IFERROR(__xludf.DUMMYFUNCTION("""COMPUTED_VALUE"""),"新断Ａ")</f>
        <v>新断Ａ</v>
      </c>
      <c r="G9" s="421" t="str">
        <f>IFERROR(__xludf.DUMMYFUNCTION("""COMPUTED_VALUE"""),"ｸﾎﾞﾀ:伊藤忠新断Ａ")</f>
        <v>ｸﾎﾞﾀ:伊藤忠新断Ａ</v>
      </c>
      <c r="H9" s="421">
        <f>IFERROR(__xludf.DUMMYFUNCTION("""COMPUTED_VALUE"""),47.2)</f>
        <v>47.2</v>
      </c>
      <c r="I9" s="421">
        <f>IFERROR(__xludf.DUMMYFUNCTION("""COMPUTED_VALUE"""),0.5)</f>
        <v>0.5</v>
      </c>
      <c r="J9" s="421">
        <f>IFERROR(__xludf.DUMMYFUNCTION("""COMPUTED_VALUE"""),46.7)</f>
        <v>46.7</v>
      </c>
      <c r="K9" s="421"/>
      <c r="L9" s="421"/>
      <c r="M9" s="421"/>
    </row>
    <row r="10" ht="15.75" customHeight="1">
      <c r="A10" s="421" t="str">
        <f>IFERROR(__xludf.DUMMYFUNCTION("""COMPUTED_VALUE"""),"f0192d58-de33-4e15-96fa-1d4c56afa3c0")</f>
        <v>f0192d58-de33-4e15-96fa-1d4c56afa3c0</v>
      </c>
      <c r="B10" s="431">
        <f>IFERROR(__xludf.DUMMYFUNCTION("""COMPUTED_VALUE"""),45941.0)</f>
        <v>45941</v>
      </c>
      <c r="C10" s="421" t="str">
        <f>IFERROR(__xludf.DUMMYFUNCTION("""COMPUTED_VALUE"""),"ｸﾎﾞﾀ")</f>
        <v>ｸﾎﾞﾀ</v>
      </c>
      <c r="D10" s="421" t="str">
        <f>IFERROR(__xludf.DUMMYFUNCTION("""COMPUTED_VALUE"""),"伊藤忠")</f>
        <v>伊藤忠</v>
      </c>
      <c r="E10" s="421" t="str">
        <f>IFERROR(__xludf.DUMMYFUNCTION("""COMPUTED_VALUE"""),"ｸﾎﾞﾀ:伊藤忠")</f>
        <v>ｸﾎﾞﾀ:伊藤忠</v>
      </c>
      <c r="F10" s="421" t="str">
        <f>IFERROR(__xludf.DUMMYFUNCTION("""COMPUTED_VALUE"""),"新断Ａ")</f>
        <v>新断Ａ</v>
      </c>
      <c r="G10" s="421" t="str">
        <f>IFERROR(__xludf.DUMMYFUNCTION("""COMPUTED_VALUE"""),"ｸﾎﾞﾀ:伊藤忠新断Ａ")</f>
        <v>ｸﾎﾞﾀ:伊藤忠新断Ａ</v>
      </c>
      <c r="H10" s="421">
        <f>IFERROR(__xludf.DUMMYFUNCTION("""COMPUTED_VALUE"""),48.2)</f>
        <v>48.2</v>
      </c>
      <c r="I10" s="421">
        <f>IFERROR(__xludf.DUMMYFUNCTION("""COMPUTED_VALUE"""),1.0)</f>
        <v>1</v>
      </c>
      <c r="J10" s="421">
        <f>IFERROR(__xludf.DUMMYFUNCTION("""COMPUTED_VALUE"""),47.2)</f>
        <v>47.2</v>
      </c>
      <c r="K10" s="421"/>
      <c r="L10" s="421"/>
      <c r="M10" s="421"/>
    </row>
    <row r="11" ht="15.75" customHeight="1">
      <c r="A11" s="421" t="str">
        <f>IFERROR(__xludf.DUMMYFUNCTION("""COMPUTED_VALUE"""),"914d417e-7103-44b7-92ac-85027f13d1f5")</f>
        <v>914d417e-7103-44b7-92ac-85027f13d1f5</v>
      </c>
      <c r="B11" s="431">
        <f>IFERROR(__xludf.DUMMYFUNCTION("""COMPUTED_VALUE"""),45955.0)</f>
        <v>45955</v>
      </c>
      <c r="C11" s="421" t="str">
        <f>IFERROR(__xludf.DUMMYFUNCTION("""COMPUTED_VALUE"""),"ｸﾎﾞﾀ")</f>
        <v>ｸﾎﾞﾀ</v>
      </c>
      <c r="D11" s="421" t="str">
        <f>IFERROR(__xludf.DUMMYFUNCTION("""COMPUTED_VALUE"""),"伊藤忠")</f>
        <v>伊藤忠</v>
      </c>
      <c r="E11" s="421" t="str">
        <f>IFERROR(__xludf.DUMMYFUNCTION("""COMPUTED_VALUE"""),"ｸﾎﾞﾀ:伊藤忠")</f>
        <v>ｸﾎﾞﾀ:伊藤忠</v>
      </c>
      <c r="F11" s="421" t="str">
        <f>IFERROR(__xludf.DUMMYFUNCTION("""COMPUTED_VALUE"""),"新断Ａ")</f>
        <v>新断Ａ</v>
      </c>
      <c r="G11" s="421" t="str">
        <f>IFERROR(__xludf.DUMMYFUNCTION("""COMPUTED_VALUE"""),"ｸﾎﾞﾀ:伊藤忠新断Ａ")</f>
        <v>ｸﾎﾞﾀ:伊藤忠新断Ａ</v>
      </c>
      <c r="H11" s="421">
        <f>IFERROR(__xludf.DUMMYFUNCTION("""COMPUTED_VALUE"""),48.7)</f>
        <v>48.7</v>
      </c>
      <c r="I11" s="421">
        <f>IFERROR(__xludf.DUMMYFUNCTION("""COMPUTED_VALUE"""),0.5)</f>
        <v>0.5</v>
      </c>
      <c r="J11" s="421">
        <f>IFERROR(__xludf.DUMMYFUNCTION("""COMPUTED_VALUE"""),48.2)</f>
        <v>48.2</v>
      </c>
      <c r="K11" s="421"/>
      <c r="L11" s="421"/>
      <c r="M11" s="421"/>
    </row>
    <row r="12" ht="15.75" customHeight="1">
      <c r="A12" s="421" t="str">
        <f>IFERROR(__xludf.DUMMYFUNCTION("""COMPUTED_VALUE"""),"d86d63a9-c924-497f-ae21-47ab2d87cb00")</f>
        <v>d86d63a9-c924-497f-ae21-47ab2d87cb00</v>
      </c>
      <c r="B12" s="431">
        <f>IFERROR(__xludf.DUMMYFUNCTION("""COMPUTED_VALUE"""),45962.0)</f>
        <v>45962</v>
      </c>
      <c r="C12" s="421" t="str">
        <f>IFERROR(__xludf.DUMMYFUNCTION("""COMPUTED_VALUE"""),"ｸﾎﾞﾀ")</f>
        <v>ｸﾎﾞﾀ</v>
      </c>
      <c r="D12" s="421" t="str">
        <f>IFERROR(__xludf.DUMMYFUNCTION("""COMPUTED_VALUE"""),"伊藤忠")</f>
        <v>伊藤忠</v>
      </c>
      <c r="E12" s="421" t="str">
        <f>IFERROR(__xludf.DUMMYFUNCTION("""COMPUTED_VALUE"""),"ｸﾎﾞﾀ:伊藤忠")</f>
        <v>ｸﾎﾞﾀ:伊藤忠</v>
      </c>
      <c r="F12" s="421" t="str">
        <f>IFERROR(__xludf.DUMMYFUNCTION("""COMPUTED_VALUE"""),"新断Ａ")</f>
        <v>新断Ａ</v>
      </c>
      <c r="G12" s="421" t="str">
        <f>IFERROR(__xludf.DUMMYFUNCTION("""COMPUTED_VALUE"""),"ｸﾎﾞﾀ:伊藤忠新断Ａ")</f>
        <v>ｸﾎﾞﾀ:伊藤忠新断Ａ</v>
      </c>
      <c r="H12" s="421">
        <f>IFERROR(__xludf.DUMMYFUNCTION("""COMPUTED_VALUE"""),49.2)</f>
        <v>49.2</v>
      </c>
      <c r="I12" s="421">
        <f>IFERROR(__xludf.DUMMYFUNCTION("""COMPUTED_VALUE"""),0.5)</f>
        <v>0.5</v>
      </c>
      <c r="J12" s="421">
        <f>IFERROR(__xludf.DUMMYFUNCTION("""COMPUTED_VALUE"""),48.7)</f>
        <v>48.7</v>
      </c>
      <c r="K12" s="421"/>
      <c r="L12" s="421"/>
      <c r="M12" s="421"/>
    </row>
    <row r="13" ht="15.75" customHeight="1">
      <c r="A13" s="421" t="str">
        <f>IFERROR(__xludf.DUMMYFUNCTION("""COMPUTED_VALUE"""),"c121a31f-3f55-4dd9-b3f8-eb8972e51d81")</f>
        <v>c121a31f-3f55-4dd9-b3f8-eb8972e51d81</v>
      </c>
      <c r="B13" s="431">
        <f>IFERROR(__xludf.DUMMYFUNCTION("""COMPUTED_VALUE"""),45976.0)</f>
        <v>45976</v>
      </c>
      <c r="C13" s="421" t="str">
        <f>IFERROR(__xludf.DUMMYFUNCTION("""COMPUTED_VALUE"""),"ｸﾎﾞﾀ")</f>
        <v>ｸﾎﾞﾀ</v>
      </c>
      <c r="D13" s="421" t="str">
        <f>IFERROR(__xludf.DUMMYFUNCTION("""COMPUTED_VALUE"""),"伊藤忠")</f>
        <v>伊藤忠</v>
      </c>
      <c r="E13" s="421" t="str">
        <f>IFERROR(__xludf.DUMMYFUNCTION("""COMPUTED_VALUE"""),"ｸﾎﾞﾀ:伊藤忠")</f>
        <v>ｸﾎﾞﾀ:伊藤忠</v>
      </c>
      <c r="F13" s="421" t="str">
        <f>IFERROR(__xludf.DUMMYFUNCTION("""COMPUTED_VALUE"""),"新断Ａ")</f>
        <v>新断Ａ</v>
      </c>
      <c r="G13" s="421" t="str">
        <f>IFERROR(__xludf.DUMMYFUNCTION("""COMPUTED_VALUE"""),"ｸﾎﾞﾀ:伊藤忠新断Ａ")</f>
        <v>ｸﾎﾞﾀ:伊藤忠新断Ａ</v>
      </c>
      <c r="H13" s="421">
        <f>IFERROR(__xludf.DUMMYFUNCTION("""COMPUTED_VALUE"""),49.7)</f>
        <v>49.7</v>
      </c>
      <c r="I13" s="421">
        <f>IFERROR(__xludf.DUMMYFUNCTION("""COMPUTED_VALUE"""),0.5)</f>
        <v>0.5</v>
      </c>
      <c r="J13" s="421">
        <f>IFERROR(__xludf.DUMMYFUNCTION("""COMPUTED_VALUE"""),49.2)</f>
        <v>49.2</v>
      </c>
      <c r="K13" s="421"/>
      <c r="L13" s="421"/>
      <c r="M13" s="421"/>
    </row>
    <row r="14" ht="15.75" customHeight="1">
      <c r="A14" s="421" t="str">
        <f>IFERROR(__xludf.DUMMYFUNCTION("""COMPUTED_VALUE"""),"ff1549e7-da0f-4f12-9db6-8295d65f7230")</f>
        <v>ff1549e7-da0f-4f12-9db6-8295d65f7230</v>
      </c>
      <c r="B14" s="431">
        <f>IFERROR(__xludf.DUMMYFUNCTION("""COMPUTED_VALUE"""),46074.0)</f>
        <v>46074</v>
      </c>
      <c r="C14" s="421" t="str">
        <f>IFERROR(__xludf.DUMMYFUNCTION("""COMPUTED_VALUE"""),"ｸﾎﾞﾀ")</f>
        <v>ｸﾎﾞﾀ</v>
      </c>
      <c r="D14" s="421" t="str">
        <f>IFERROR(__xludf.DUMMYFUNCTION("""COMPUTED_VALUE"""),"伊藤忠")</f>
        <v>伊藤忠</v>
      </c>
      <c r="E14" s="421" t="str">
        <f>IFERROR(__xludf.DUMMYFUNCTION("""COMPUTED_VALUE"""),"ｸﾎﾞﾀ:伊藤忠")</f>
        <v>ｸﾎﾞﾀ:伊藤忠</v>
      </c>
      <c r="F14" s="421" t="str">
        <f>IFERROR(__xludf.DUMMYFUNCTION("""COMPUTED_VALUE"""),"新断Ａ")</f>
        <v>新断Ａ</v>
      </c>
      <c r="G14" s="421" t="str">
        <f>IFERROR(__xludf.DUMMYFUNCTION("""COMPUTED_VALUE"""),"ｸﾎﾞﾀ:伊藤忠新断Ａ")</f>
        <v>ｸﾎﾞﾀ:伊藤忠新断Ａ</v>
      </c>
      <c r="H14" s="421">
        <f>IFERROR(__xludf.DUMMYFUNCTION("""COMPUTED_VALUE"""),50.7)</f>
        <v>50.7</v>
      </c>
      <c r="I14" s="421">
        <f>IFERROR(__xludf.DUMMYFUNCTION("""COMPUTED_VALUE"""),1.0)</f>
        <v>1</v>
      </c>
      <c r="J14" s="421">
        <f>IFERROR(__xludf.DUMMYFUNCTION("""COMPUTED_VALUE"""),49.7)</f>
        <v>49.7</v>
      </c>
      <c r="K14" s="421"/>
      <c r="L14" s="421"/>
      <c r="M14" s="421"/>
    </row>
    <row r="15" ht="15.75" customHeight="1">
      <c r="A15" s="421" t="str">
        <f>IFERROR(__xludf.DUMMYFUNCTION("""COMPUTED_VALUE"""),"7c7036c5-7503-46e6-8b02-7e56fb24325f")</f>
        <v>7c7036c5-7503-46e6-8b02-7e56fb24325f</v>
      </c>
      <c r="B15" s="431">
        <f>IFERROR(__xludf.DUMMYFUNCTION("""COMPUTED_VALUE"""),46081.0)</f>
        <v>46081</v>
      </c>
      <c r="C15" s="421" t="str">
        <f>IFERROR(__xludf.DUMMYFUNCTION("""COMPUTED_VALUE"""),"ｸﾎﾞﾀ")</f>
        <v>ｸﾎﾞﾀ</v>
      </c>
      <c r="D15" s="421" t="str">
        <f>IFERROR(__xludf.DUMMYFUNCTION("""COMPUTED_VALUE"""),"伊藤忠")</f>
        <v>伊藤忠</v>
      </c>
      <c r="E15" s="421" t="str">
        <f>IFERROR(__xludf.DUMMYFUNCTION("""COMPUTED_VALUE"""),"ｸﾎﾞﾀ:伊藤忠")</f>
        <v>ｸﾎﾞﾀ:伊藤忠</v>
      </c>
      <c r="F15" s="421" t="str">
        <f>IFERROR(__xludf.DUMMYFUNCTION("""COMPUTED_VALUE"""),"新断Ａ")</f>
        <v>新断Ａ</v>
      </c>
      <c r="G15" s="421" t="str">
        <f>IFERROR(__xludf.DUMMYFUNCTION("""COMPUTED_VALUE"""),"ｸﾎﾞﾀ:伊藤忠新断Ａ")</f>
        <v>ｸﾎﾞﾀ:伊藤忠新断Ａ</v>
      </c>
      <c r="H15" s="421">
        <f>IFERROR(__xludf.DUMMYFUNCTION("""COMPUTED_VALUE"""),51.2)</f>
        <v>51.2</v>
      </c>
      <c r="I15" s="421">
        <f>IFERROR(__xludf.DUMMYFUNCTION("""COMPUTED_VALUE"""),0.5)</f>
        <v>0.5</v>
      </c>
      <c r="J15" s="421">
        <f>IFERROR(__xludf.DUMMYFUNCTION("""COMPUTED_VALUE"""),50.7)</f>
        <v>50.7</v>
      </c>
      <c r="K15" s="421"/>
      <c r="L15" s="421"/>
      <c r="M15" s="421"/>
    </row>
    <row r="16" ht="15.75" customHeight="1">
      <c r="A16" s="421" t="str">
        <f>IFERROR(__xludf.DUMMYFUNCTION("""COMPUTED_VALUE"""),"7431dbf0-3b07-4ea1-b78e-67819d0697b7")</f>
        <v>7431dbf0-3b07-4ea1-b78e-67819d0697b7</v>
      </c>
      <c r="B16" s="431">
        <f>IFERROR(__xludf.DUMMYFUNCTION("""COMPUTED_VALUE"""),46088.0)</f>
        <v>46088</v>
      </c>
      <c r="C16" s="421" t="str">
        <f>IFERROR(__xludf.DUMMYFUNCTION("""COMPUTED_VALUE"""),"ｸﾎﾞﾀ")</f>
        <v>ｸﾎﾞﾀ</v>
      </c>
      <c r="D16" s="421" t="str">
        <f>IFERROR(__xludf.DUMMYFUNCTION("""COMPUTED_VALUE"""),"伊藤忠")</f>
        <v>伊藤忠</v>
      </c>
      <c r="E16" s="421" t="str">
        <f>IFERROR(__xludf.DUMMYFUNCTION("""COMPUTED_VALUE"""),"ｸﾎﾞﾀ:伊藤忠")</f>
        <v>ｸﾎﾞﾀ:伊藤忠</v>
      </c>
      <c r="F16" s="421" t="str">
        <f>IFERROR(__xludf.DUMMYFUNCTION("""COMPUTED_VALUE"""),"新断Ａ")</f>
        <v>新断Ａ</v>
      </c>
      <c r="G16" s="421" t="str">
        <f>IFERROR(__xludf.DUMMYFUNCTION("""COMPUTED_VALUE"""),"ｸﾎﾞﾀ:伊藤忠新断Ａ")</f>
        <v>ｸﾎﾞﾀ:伊藤忠新断Ａ</v>
      </c>
      <c r="H16" s="421">
        <f>IFERROR(__xludf.DUMMYFUNCTION("""COMPUTED_VALUE"""),51.7)</f>
        <v>51.7</v>
      </c>
      <c r="I16" s="421">
        <f>IFERROR(__xludf.DUMMYFUNCTION("""COMPUTED_VALUE"""),0.5)</f>
        <v>0.5</v>
      </c>
      <c r="J16" s="421">
        <f>IFERROR(__xludf.DUMMYFUNCTION("""COMPUTED_VALUE"""),51.2)</f>
        <v>51.2</v>
      </c>
      <c r="K16" s="421"/>
      <c r="L16" s="421"/>
      <c r="M16" s="421"/>
    </row>
    <row r="17" ht="15.75" customHeight="1">
      <c r="A17" s="421" t="str">
        <f>IFERROR(__xludf.DUMMYFUNCTION("""COMPUTED_VALUE"""),"2d3fdad2-ffe1-4926-8c3c-787a07673233")</f>
        <v>2d3fdad2-ffe1-4926-8c3c-787a07673233</v>
      </c>
      <c r="B17" s="431">
        <f>IFERROR(__xludf.DUMMYFUNCTION("""COMPUTED_VALUE"""),46095.0)</f>
        <v>46095</v>
      </c>
      <c r="C17" s="421" t="str">
        <f>IFERROR(__xludf.DUMMYFUNCTION("""COMPUTED_VALUE"""),"ｸﾎﾞﾀ")</f>
        <v>ｸﾎﾞﾀ</v>
      </c>
      <c r="D17" s="421" t="str">
        <f>IFERROR(__xludf.DUMMYFUNCTION("""COMPUTED_VALUE"""),"伊藤忠")</f>
        <v>伊藤忠</v>
      </c>
      <c r="E17" s="421" t="str">
        <f>IFERROR(__xludf.DUMMYFUNCTION("""COMPUTED_VALUE"""),"ｸﾎﾞﾀ:伊藤忠")</f>
        <v>ｸﾎﾞﾀ:伊藤忠</v>
      </c>
      <c r="F17" s="421" t="str">
        <f>IFERROR(__xludf.DUMMYFUNCTION("""COMPUTED_VALUE"""),"新断Ａ")</f>
        <v>新断Ａ</v>
      </c>
      <c r="G17" s="421" t="str">
        <f>IFERROR(__xludf.DUMMYFUNCTION("""COMPUTED_VALUE"""),"ｸﾎﾞﾀ:伊藤忠新断Ａ")</f>
        <v>ｸﾎﾞﾀ:伊藤忠新断Ａ</v>
      </c>
      <c r="H17" s="421">
        <f>IFERROR(__xludf.DUMMYFUNCTION("""COMPUTED_VALUE"""),54.2)</f>
        <v>54.2</v>
      </c>
      <c r="I17" s="421">
        <f>IFERROR(__xludf.DUMMYFUNCTION("""COMPUTED_VALUE"""),2.5)</f>
        <v>2.5</v>
      </c>
      <c r="J17" s="421">
        <f>IFERROR(__xludf.DUMMYFUNCTION("""COMPUTED_VALUE"""),51.7)</f>
        <v>51.7</v>
      </c>
      <c r="K17" s="421"/>
      <c r="L17" s="421"/>
      <c r="M17" s="421"/>
    </row>
    <row r="18" ht="15.75" customHeight="1">
      <c r="A18" s="421" t="str">
        <f>IFERROR(__xludf.DUMMYFUNCTION("""COMPUTED_VALUE"""),"08a9e455-e255-4544-b32e-87c302ac6541")</f>
        <v>08a9e455-e255-4544-b32e-87c302ac6541</v>
      </c>
      <c r="B18" s="431">
        <f>IFERROR(__xludf.DUMMYFUNCTION("""COMPUTED_VALUE"""),46101.0)</f>
        <v>46101</v>
      </c>
      <c r="C18" s="421" t="str">
        <f>IFERROR(__xludf.DUMMYFUNCTION("""COMPUTED_VALUE"""),"ｸﾎﾞﾀ")</f>
        <v>ｸﾎﾞﾀ</v>
      </c>
      <c r="D18" s="421" t="str">
        <f>IFERROR(__xludf.DUMMYFUNCTION("""COMPUTED_VALUE"""),"伊藤忠")</f>
        <v>伊藤忠</v>
      </c>
      <c r="E18" s="421" t="str">
        <f>IFERROR(__xludf.DUMMYFUNCTION("""COMPUTED_VALUE"""),"ｸﾎﾞﾀ:伊藤忠")</f>
        <v>ｸﾎﾞﾀ:伊藤忠</v>
      </c>
      <c r="F18" s="421" t="str">
        <f>IFERROR(__xludf.DUMMYFUNCTION("""COMPUTED_VALUE"""),"新断Ａ")</f>
        <v>新断Ａ</v>
      </c>
      <c r="G18" s="421" t="str">
        <f>IFERROR(__xludf.DUMMYFUNCTION("""COMPUTED_VALUE"""),"ｸﾎﾞﾀ:伊藤忠新断Ａ")</f>
        <v>ｸﾎﾞﾀ:伊藤忠新断Ａ</v>
      </c>
      <c r="H18" s="421">
        <f>IFERROR(__xludf.DUMMYFUNCTION("""COMPUTED_VALUE"""),55.2)</f>
        <v>55.2</v>
      </c>
      <c r="I18" s="421">
        <f>IFERROR(__xludf.DUMMYFUNCTION("""COMPUTED_VALUE"""),1.0)</f>
        <v>1</v>
      </c>
      <c r="J18" s="421">
        <f>IFERROR(__xludf.DUMMYFUNCTION("""COMPUTED_VALUE"""),54.2)</f>
        <v>54.2</v>
      </c>
      <c r="K18" s="421"/>
      <c r="L18" s="421"/>
      <c r="M18" s="421"/>
    </row>
    <row r="19" ht="15.75" customHeight="1">
      <c r="A19" s="421" t="str">
        <f>IFERROR(__xludf.DUMMYFUNCTION("""COMPUTED_VALUE"""),"c4a14442-84b9-416c-aa6a-edcbd2b5f45a")</f>
        <v>c4a14442-84b9-416c-aa6a-edcbd2b5f45a</v>
      </c>
      <c r="B19" s="431">
        <f>IFERROR(__xludf.DUMMYFUNCTION("""COMPUTED_VALUE"""),46115.0)</f>
        <v>46115</v>
      </c>
      <c r="C19" s="421" t="str">
        <f>IFERROR(__xludf.DUMMYFUNCTION("""COMPUTED_VALUE"""),"ｸﾎﾞﾀ")</f>
        <v>ｸﾎﾞﾀ</v>
      </c>
      <c r="D19" s="421" t="str">
        <f>IFERROR(__xludf.DUMMYFUNCTION("""COMPUTED_VALUE"""),"伊藤忠")</f>
        <v>伊藤忠</v>
      </c>
      <c r="E19" s="421" t="str">
        <f>IFERROR(__xludf.DUMMYFUNCTION("""COMPUTED_VALUE"""),"ｸﾎﾞﾀ:伊藤忠")</f>
        <v>ｸﾎﾞﾀ:伊藤忠</v>
      </c>
      <c r="F19" s="421" t="str">
        <f>IFERROR(__xludf.DUMMYFUNCTION("""COMPUTED_VALUE"""),"新断Ａ")</f>
        <v>新断Ａ</v>
      </c>
      <c r="G19" s="421" t="str">
        <f>IFERROR(__xludf.DUMMYFUNCTION("""COMPUTED_VALUE"""),"ｸﾎﾞﾀ:伊藤忠新断Ａ")</f>
        <v>ｸﾎﾞﾀ:伊藤忠新断Ａ</v>
      </c>
      <c r="H19" s="421">
        <f>IFERROR(__xludf.DUMMYFUNCTION("""COMPUTED_VALUE"""),56.2)</f>
        <v>56.2</v>
      </c>
      <c r="I19" s="421">
        <f>IFERROR(__xludf.DUMMYFUNCTION("""COMPUTED_VALUE"""),1.0)</f>
        <v>1</v>
      </c>
      <c r="J19" s="421">
        <f>IFERROR(__xludf.DUMMYFUNCTION("""COMPUTED_VALUE"""),55.2)</f>
        <v>55.2</v>
      </c>
      <c r="K19" s="421"/>
      <c r="L19" s="421"/>
      <c r="M19" s="421"/>
    </row>
    <row r="20" ht="15.75" customHeight="1">
      <c r="A20" s="421" t="str">
        <f>IFERROR(__xludf.DUMMYFUNCTION("""COMPUTED_VALUE"""),"4f16638b-6498-4c15-a2e0-50735d5082cd")</f>
        <v>4f16638b-6498-4c15-a2e0-50735d5082cd</v>
      </c>
      <c r="B20" s="431">
        <f>IFERROR(__xludf.DUMMYFUNCTION("""COMPUTED_VALUE"""),46123.0)</f>
        <v>46123</v>
      </c>
      <c r="C20" s="421" t="str">
        <f>IFERROR(__xludf.DUMMYFUNCTION("""COMPUTED_VALUE"""),"ｸﾎﾞﾀ")</f>
        <v>ｸﾎﾞﾀ</v>
      </c>
      <c r="D20" s="421" t="str">
        <f>IFERROR(__xludf.DUMMYFUNCTION("""COMPUTED_VALUE"""),"伊藤忠")</f>
        <v>伊藤忠</v>
      </c>
      <c r="E20" s="421" t="str">
        <f>IFERROR(__xludf.DUMMYFUNCTION("""COMPUTED_VALUE"""),"ｸﾎﾞﾀ:伊藤忠")</f>
        <v>ｸﾎﾞﾀ:伊藤忠</v>
      </c>
      <c r="F20" s="421" t="str">
        <f>IFERROR(__xludf.DUMMYFUNCTION("""COMPUTED_VALUE"""),"新断Ａ")</f>
        <v>新断Ａ</v>
      </c>
      <c r="G20" s="421" t="str">
        <f>IFERROR(__xludf.DUMMYFUNCTION("""COMPUTED_VALUE"""),"ｸﾎﾞﾀ:伊藤忠新断Ａ")</f>
        <v>ｸﾎﾞﾀ:伊藤忠新断Ａ</v>
      </c>
      <c r="H20" s="421">
        <f>IFERROR(__xludf.DUMMYFUNCTION("""COMPUTED_VALUE"""),58.7)</f>
        <v>58.7</v>
      </c>
      <c r="I20" s="421">
        <f>IFERROR(__xludf.DUMMYFUNCTION("""COMPUTED_VALUE"""),2.5)</f>
        <v>2.5</v>
      </c>
      <c r="J20" s="421">
        <f>IFERROR(__xludf.DUMMYFUNCTION("""COMPUTED_VALUE"""),56.2)</f>
        <v>56.2</v>
      </c>
      <c r="K20" s="421"/>
      <c r="L20" s="421"/>
      <c r="M20" s="4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2" width="14.43"/>
    <col customWidth="1" min="3" max="4" width="13.14"/>
    <col customWidth="1" min="5" max="6" width="14.43"/>
  </cols>
  <sheetData>
    <row r="1" ht="58.5" customHeight="1">
      <c r="A1" s="332" t="s">
        <v>1187</v>
      </c>
      <c r="B1" s="335" t="s">
        <v>8770</v>
      </c>
      <c r="C1" s="432" t="s">
        <v>449</v>
      </c>
      <c r="D1" s="432" t="s">
        <v>450</v>
      </c>
      <c r="E1" s="432" t="s">
        <v>451</v>
      </c>
      <c r="F1" s="432" t="s">
        <v>452</v>
      </c>
      <c r="G1" s="432" t="s">
        <v>453</v>
      </c>
      <c r="H1" s="432" t="s">
        <v>454</v>
      </c>
      <c r="I1" s="432" t="s">
        <v>455</v>
      </c>
      <c r="J1" s="432" t="s">
        <v>456</v>
      </c>
      <c r="K1" s="432" t="s">
        <v>457</v>
      </c>
      <c r="L1" s="432" t="s">
        <v>458</v>
      </c>
      <c r="M1" s="432" t="s">
        <v>459</v>
      </c>
      <c r="N1" s="335" t="s">
        <v>460</v>
      </c>
      <c r="O1" s="335" t="s">
        <v>461</v>
      </c>
      <c r="P1" s="335" t="s">
        <v>462</v>
      </c>
      <c r="Q1" s="432" t="s">
        <v>463</v>
      </c>
      <c r="R1" s="432" t="s">
        <v>464</v>
      </c>
      <c r="S1" s="432" t="s">
        <v>465</v>
      </c>
      <c r="T1" s="432" t="s">
        <v>466</v>
      </c>
      <c r="U1" s="432" t="s">
        <v>467</v>
      </c>
      <c r="V1" s="432" t="s">
        <v>468</v>
      </c>
      <c r="W1" s="432" t="s">
        <v>469</v>
      </c>
      <c r="X1" s="432" t="s">
        <v>470</v>
      </c>
      <c r="Y1" s="432" t="s">
        <v>471</v>
      </c>
      <c r="Z1" s="432" t="s">
        <v>472</v>
      </c>
      <c r="AA1" s="432" t="s">
        <v>473</v>
      </c>
      <c r="AB1" s="432" t="s">
        <v>474</v>
      </c>
      <c r="AC1" s="432" t="s">
        <v>475</v>
      </c>
      <c r="AD1" s="432" t="s">
        <v>476</v>
      </c>
      <c r="AE1" s="432" t="s">
        <v>477</v>
      </c>
      <c r="AF1" s="432" t="s">
        <v>478</v>
      </c>
      <c r="AG1" s="432" t="s">
        <v>479</v>
      </c>
      <c r="AH1" s="432" t="s">
        <v>480</v>
      </c>
      <c r="AI1" s="432" t="s">
        <v>481</v>
      </c>
      <c r="AJ1" s="432" t="s">
        <v>482</v>
      </c>
      <c r="AK1" s="432" t="s">
        <v>483</v>
      </c>
      <c r="AL1" s="432" t="s">
        <v>484</v>
      </c>
      <c r="AM1" s="432" t="s">
        <v>485</v>
      </c>
      <c r="AN1" s="432" t="s">
        <v>486</v>
      </c>
      <c r="AO1" s="432" t="s">
        <v>487</v>
      </c>
      <c r="AP1" s="432" t="s">
        <v>488</v>
      </c>
      <c r="AQ1" s="432" t="s">
        <v>489</v>
      </c>
      <c r="AR1" s="432" t="s">
        <v>490</v>
      </c>
      <c r="AS1" s="432" t="s">
        <v>491</v>
      </c>
      <c r="AT1" s="432" t="s">
        <v>492</v>
      </c>
      <c r="AU1" s="432" t="s">
        <v>493</v>
      </c>
      <c r="AV1" s="432" t="s">
        <v>494</v>
      </c>
      <c r="AW1" s="432" t="s">
        <v>495</v>
      </c>
      <c r="AX1" s="432" t="s">
        <v>496</v>
      </c>
      <c r="AY1" s="432" t="s">
        <v>497</v>
      </c>
      <c r="AZ1" s="432" t="s">
        <v>498</v>
      </c>
      <c r="BA1" s="432" t="s">
        <v>499</v>
      </c>
      <c r="BB1" s="432" t="s">
        <v>500</v>
      </c>
      <c r="BC1" s="432" t="s">
        <v>501</v>
      </c>
      <c r="BD1" s="432" t="s">
        <v>502</v>
      </c>
      <c r="BE1" s="432" t="s">
        <v>503</v>
      </c>
      <c r="BF1" s="432" t="s">
        <v>504</v>
      </c>
      <c r="BG1" s="432" t="s">
        <v>505</v>
      </c>
      <c r="BH1" s="432" t="s">
        <v>506</v>
      </c>
      <c r="BI1" s="432" t="s">
        <v>507</v>
      </c>
      <c r="BJ1" s="432" t="s">
        <v>508</v>
      </c>
      <c r="BK1" s="432" t="s">
        <v>509</v>
      </c>
      <c r="BL1" s="432" t="s">
        <v>510</v>
      </c>
      <c r="BM1" s="432" t="s">
        <v>511</v>
      </c>
      <c r="BN1" s="432" t="s">
        <v>512</v>
      </c>
      <c r="BO1" s="432" t="s">
        <v>513</v>
      </c>
      <c r="BP1" s="432" t="s">
        <v>514</v>
      </c>
      <c r="BQ1" s="432" t="s">
        <v>515</v>
      </c>
      <c r="BR1" s="432" t="s">
        <v>516</v>
      </c>
      <c r="BS1" s="432" t="s">
        <v>517</v>
      </c>
      <c r="BT1" s="432" t="s">
        <v>518</v>
      </c>
      <c r="BU1" s="432" t="s">
        <v>519</v>
      </c>
      <c r="BV1" s="432" t="s">
        <v>520</v>
      </c>
      <c r="BW1" s="432" t="s">
        <v>521</v>
      </c>
      <c r="BX1" s="432" t="s">
        <v>522</v>
      </c>
      <c r="BY1" s="432" t="s">
        <v>523</v>
      </c>
      <c r="BZ1" s="432" t="s">
        <v>524</v>
      </c>
      <c r="CA1" s="332" t="s">
        <v>519</v>
      </c>
      <c r="CB1" s="332" t="s">
        <v>8771</v>
      </c>
      <c r="CC1" s="332" t="s">
        <v>8772</v>
      </c>
      <c r="CD1" s="332" t="s">
        <v>8773</v>
      </c>
      <c r="CE1" s="332" t="s">
        <v>521</v>
      </c>
      <c r="CF1" s="332" t="s">
        <v>522</v>
      </c>
      <c r="CG1" s="332" t="s">
        <v>8774</v>
      </c>
      <c r="CH1" s="332" t="s">
        <v>8775</v>
      </c>
    </row>
    <row r="2" ht="15.75" customHeight="1">
      <c r="A2" s="432" t="s">
        <v>1199</v>
      </c>
      <c r="B2" s="332">
        <f>MAXIFS('単価履歴'!H:H,'単価履歴'!F:F,A2,'単価履歴'!N:N,"●")</f>
        <v>59.2</v>
      </c>
      <c r="C2" s="332">
        <f>IF(MAXIFS('単価履歴'!$H:$H,'単価履歴'!$E:$E,C$1,'単価履歴'!$F:$F,$A2,'単価履歴'!$B:$B,MAXIFS('単価履歴'!$B:$B,'単価履歴'!$E:$E,C$1,'単価履歴'!$F:$F,$A2))=0,"",MAXIFS('単価履歴'!$H:$H,'単価履歴'!$E:$E,C$1,'単価履歴'!$F:$F,$A2,'単価履歴'!$B:$B,MAXIFS('単価履歴'!$B:$B,'単価履歴'!$E:$E,C$1,'単価履歴'!$F:$F,$A2)))</f>
        <v>55.5</v>
      </c>
      <c r="D2" s="332">
        <f>IF(MAXIFS('単価履歴'!$H:$H,'単価履歴'!$E:$E,D$1,'単価履歴'!$F:$F,$A2,'単価履歴'!$B:$B,MAXIFS('単価履歴'!$B:$B,'単価履歴'!$E:$E,D$1,'単価履歴'!$F:$F,$A2))=0,"",MAXIFS('単価履歴'!$H:$H,'単価履歴'!$E:$E,D$1,'単価履歴'!$F:$F,$A2,'単価履歴'!$B:$B,MAXIFS('単価履歴'!$B:$B,'単価履歴'!$E:$E,D$1,'単価履歴'!$F:$F,$A2)))</f>
        <v>-1</v>
      </c>
      <c r="E2" s="332">
        <f>IF(MAXIFS('単価履歴'!$H:$H,'単価履歴'!$E:$E,E$1,'単価履歴'!$F:$F,$A2,'単価履歴'!$B:$B,MAXIFS('単価履歴'!$B:$B,'単価履歴'!$E:$E,E$1,'単価履歴'!$F:$F,$A2))=0,"",MAXIFS('単価履歴'!$H:$H,'単価履歴'!$E:$E,E$1,'単価履歴'!$F:$F,$A2,'単価履歴'!$B:$B,MAXIFS('単価履歴'!$B:$B,'単価履歴'!$E:$E,E$1,'単価履歴'!$F:$F,$A2)))</f>
        <v>57.3</v>
      </c>
      <c r="F2" s="332">
        <f>IF(MAXIFS('単価履歴'!$H:$H,'単価履歴'!$E:$E,F$1,'単価履歴'!$F:$F,$A2,'単価履歴'!$B:$B,MAXIFS('単価履歴'!$B:$B,'単価履歴'!$E:$E,F$1,'単価履歴'!$F:$F,$A2))=0,"",MAXIFS('単価履歴'!$H:$H,'単価履歴'!$E:$E,F$1,'単価履歴'!$F:$F,$A2,'単価履歴'!$B:$B,MAXIFS('単価履歴'!$B:$B,'単価履歴'!$E:$E,F$1,'単価履歴'!$F:$F,$A2)))</f>
        <v>0.5</v>
      </c>
      <c r="G2" s="332">
        <f>IF(MAXIFS('単価履歴'!$H:$H,'単価履歴'!$E:$E,G$1,'単価履歴'!$F:$F,$A2,'単価履歴'!$B:$B,MAXIFS('単価履歴'!$B:$B,'単価履歴'!$E:$E,G$1,'単価履歴'!$F:$F,$A2))=0,"",MAXIFS('単価履歴'!$H:$H,'単価履歴'!$E:$E,G$1,'単価履歴'!$F:$F,$A2,'単価履歴'!$B:$B,MAXIFS('単価履歴'!$B:$B,'単価履歴'!$E:$E,G$1,'単価履歴'!$F:$F,$A2)))</f>
        <v>-0.5</v>
      </c>
      <c r="H2" s="332" t="str">
        <f>IF(MAXIFS('単価履歴'!$H:$H,'単価履歴'!$E:$E,H$1,'単価履歴'!$F:$F,$A2,'単価履歴'!$B:$B,MAXIFS('単価履歴'!$B:$B,'単価履歴'!$E:$E,H$1,'単価履歴'!$F:$F,$A2))=0,"",MAXIFS('単価履歴'!$H:$H,'単価履歴'!$E:$E,H$1,'単価履歴'!$F:$F,$A2,'単価履歴'!$B:$B,MAXIFS('単価履歴'!$B:$B,'単価履歴'!$E:$E,H$1,'単価履歴'!$F:$F,$A2)))</f>
        <v/>
      </c>
      <c r="I2" s="332">
        <f>IF(MAXIFS('単価履歴'!$H:$H,'単価履歴'!$E:$E,I$1,'単価履歴'!$F:$F,$A2,'単価履歴'!$B:$B,MAXIFS('単価履歴'!$B:$B,'単価履歴'!$E:$E,I$1,'単価履歴'!$F:$F,$A2))=0,"",MAXIFS('単価履歴'!$H:$H,'単価履歴'!$E:$E,I$1,'単価履歴'!$F:$F,$A2,'単価履歴'!$B:$B,MAXIFS('単価履歴'!$B:$B,'単価履歴'!$E:$E,I$1,'単価履歴'!$F:$F,$A2)))</f>
        <v>55.8</v>
      </c>
      <c r="J2" s="332">
        <f>IF(MAXIFS('単価履歴'!$H:$H,'単価履歴'!$E:$E,J$1,'単価履歴'!$F:$F,$A2,'単価履歴'!$B:$B,MAXIFS('単価履歴'!$B:$B,'単価履歴'!$E:$E,J$1,'単価履歴'!$F:$F,$A2))=0,"",MAXIFS('単価履歴'!$H:$H,'単価履歴'!$E:$E,J$1,'単価履歴'!$F:$F,$A2,'単価履歴'!$B:$B,MAXIFS('単価履歴'!$B:$B,'単価履歴'!$E:$E,J$1,'単価履歴'!$F:$F,$A2)))</f>
        <v>2</v>
      </c>
      <c r="K2" s="332" t="str">
        <f>IF(MAXIFS('単価履歴'!$H:$H,'単価履歴'!$E:$E,K$1,'単価履歴'!$F:$F,$A2,'単価履歴'!$B:$B,MAXIFS('単価履歴'!$B:$B,'単価履歴'!$E:$E,K$1,'単価履歴'!$F:$F,$A2))=0,"",MAXIFS('単価履歴'!$H:$H,'単価履歴'!$E:$E,K$1,'単価履歴'!$F:$F,$A2,'単価履歴'!$B:$B,MAXIFS('単価履歴'!$B:$B,'単価履歴'!$E:$E,K$1,'単価履歴'!$F:$F,$A2)))</f>
        <v/>
      </c>
      <c r="L2" s="332" t="str">
        <f>IF(MAXIFS('単価履歴'!$H:$H,'単価履歴'!$E:$E,L$1,'単価履歴'!$F:$F,$A2,'単価履歴'!$B:$B,MAXIFS('単価履歴'!$B:$B,'単価履歴'!$E:$E,L$1,'単価履歴'!$F:$F,$A2))=0,"",MAXIFS('単価履歴'!$H:$H,'単価履歴'!$E:$E,L$1,'単価履歴'!$F:$F,$A2,'単価履歴'!$B:$B,MAXIFS('単価履歴'!$B:$B,'単価履歴'!$E:$E,L$1,'単価履歴'!$F:$F,$A2)))</f>
        <v/>
      </c>
      <c r="M2" s="332" t="str">
        <f>IF(MAXIFS('単価履歴'!$H:$H,'単価履歴'!$E:$E,M$1,'単価履歴'!$F:$F,$A2,'単価履歴'!$B:$B,MAXIFS('単価履歴'!$B:$B,'単価履歴'!$E:$E,M$1,'単価履歴'!$F:$F,$A2))=0,"",MAXIFS('単価履歴'!$H:$H,'単価履歴'!$E:$E,M$1,'単価履歴'!$F:$F,$A2,'単価履歴'!$B:$B,MAXIFS('単価履歴'!$B:$B,'単価履歴'!$E:$E,M$1,'単価履歴'!$F:$F,$A2)))</f>
        <v/>
      </c>
      <c r="N2" s="332" t="str">
        <f>IF(MAXIFS('単価履歴'!$H:$H,'単価履歴'!$E:$E,N$1,'単価履歴'!$F:$F,$A2,'単価履歴'!$B:$B,MAXIFS('単価履歴'!$B:$B,'単価履歴'!$E:$E,N$1,'単価履歴'!$F:$F,$A2))=0,"",MAXIFS('単価履歴'!$H:$H,'単価履歴'!$E:$E,N$1,'単価履歴'!$F:$F,$A2,'単価履歴'!$B:$B,MAXIFS('単価履歴'!$B:$B,'単価履歴'!$E:$E,N$1,'単価履歴'!$F:$F,$A2)))</f>
        <v/>
      </c>
      <c r="O2" s="332" t="str">
        <f>IF(MAXIFS('単価履歴'!$H:$H,'単価履歴'!$E:$E,O$1,'単価履歴'!$F:$F,$A2,'単価履歴'!$B:$B,MAXIFS('単価履歴'!$B:$B,'単価履歴'!$E:$E,O$1,'単価履歴'!$F:$F,$A2))=0,"",MAXIFS('単価履歴'!$H:$H,'単価履歴'!$E:$E,O$1,'単価履歴'!$F:$F,$A2,'単価履歴'!$B:$B,MAXIFS('単価履歴'!$B:$B,'単価履歴'!$E:$E,O$1,'単価履歴'!$F:$F,$A2)))</f>
        <v/>
      </c>
      <c r="P2" s="332" t="str">
        <f>IF(MAXIFS('単価履歴'!$H:$H,'単価履歴'!$E:$E,P$1,'単価履歴'!$F:$F,$A2,'単価履歴'!$B:$B,MAXIFS('単価履歴'!$B:$B,'単価履歴'!$E:$E,P$1,'単価履歴'!$F:$F,$A2))=0,"",MAXIFS('単価履歴'!$H:$H,'単価履歴'!$E:$E,P$1,'単価履歴'!$F:$F,$A2,'単価履歴'!$B:$B,MAXIFS('単価履歴'!$B:$B,'単価履歴'!$E:$E,P$1,'単価履歴'!$F:$F,$A2)))</f>
        <v/>
      </c>
      <c r="Q2" s="332" t="str">
        <f>IF(MAXIFS('単価履歴'!$H:$H,'単価履歴'!$E:$E,Q$1,'単価履歴'!$F:$F,$A2,'単価履歴'!$B:$B,MAXIFS('単価履歴'!$B:$B,'単価履歴'!$E:$E,Q$1,'単価履歴'!$F:$F,$A2))=0,"",MAXIFS('単価履歴'!$H:$H,'単価履歴'!$E:$E,Q$1,'単価履歴'!$F:$F,$A2,'単価履歴'!$B:$B,MAXIFS('単価履歴'!$B:$B,'単価履歴'!$E:$E,Q$1,'単価履歴'!$F:$F,$A2)))</f>
        <v/>
      </c>
      <c r="R2" s="332" t="str">
        <f>IF(MAXIFS('単価履歴'!$H:$H,'単価履歴'!$E:$E,R$1,'単価履歴'!$F:$F,$A2,'単価履歴'!$B:$B,MAXIFS('単価履歴'!$B:$B,'単価履歴'!$E:$E,R$1,'単価履歴'!$F:$F,$A2))=0,"",MAXIFS('単価履歴'!$H:$H,'単価履歴'!$E:$E,R$1,'単価履歴'!$F:$F,$A2,'単価履歴'!$B:$B,MAXIFS('単価履歴'!$B:$B,'単価履歴'!$E:$E,R$1,'単価履歴'!$F:$F,$A2)))</f>
        <v/>
      </c>
      <c r="S2" s="332" t="str">
        <f>IF(MAXIFS('単価履歴'!$H:$H,'単価履歴'!$E:$E,S$1,'単価履歴'!$F:$F,$A2,'単価履歴'!$B:$B,MAXIFS('単価履歴'!$B:$B,'単価履歴'!$E:$E,S$1,'単価履歴'!$F:$F,$A2))=0,"",MAXIFS('単価履歴'!$H:$H,'単価履歴'!$E:$E,S$1,'単価履歴'!$F:$F,$A2,'単価履歴'!$B:$B,MAXIFS('単価履歴'!$B:$B,'単価履歴'!$E:$E,S$1,'単価履歴'!$F:$F,$A2)))</f>
        <v/>
      </c>
      <c r="T2" s="332" t="str">
        <f>IF(MAXIFS('単価履歴'!$H:$H,'単価履歴'!$E:$E,T$1,'単価履歴'!$F:$F,$A2,'単価履歴'!$B:$B,MAXIFS('単価履歴'!$B:$B,'単価履歴'!$E:$E,T$1,'単価履歴'!$F:$F,$A2))=0,"",MAXIFS('単価履歴'!$H:$H,'単価履歴'!$E:$E,T$1,'単価履歴'!$F:$F,$A2,'単価履歴'!$B:$B,MAXIFS('単価履歴'!$B:$B,'単価履歴'!$E:$E,T$1,'単価履歴'!$F:$F,$A2)))</f>
        <v/>
      </c>
      <c r="U2" s="332" t="str">
        <f>IF(MAXIFS('単価履歴'!$H:$H,'単価履歴'!$E:$E,U$1,'単価履歴'!$F:$F,$A2,'単価履歴'!$B:$B,MAXIFS('単価履歴'!$B:$B,'単価履歴'!$E:$E,U$1,'単価履歴'!$F:$F,$A2))=0,"",MAXIFS('単価履歴'!$H:$H,'単価履歴'!$E:$E,U$1,'単価履歴'!$F:$F,$A2,'単価履歴'!$B:$B,MAXIFS('単価履歴'!$B:$B,'単価履歴'!$E:$E,U$1,'単価履歴'!$F:$F,$A2)))</f>
        <v/>
      </c>
      <c r="V2" s="332">
        <f>IF(MAXIFS('単価履歴'!$H:$H,'単価履歴'!$E:$E,V$1,'単価履歴'!$F:$F,$A2,'単価履歴'!$B:$B,MAXIFS('単価履歴'!$B:$B,'単価履歴'!$E:$E,V$1,'単価履歴'!$F:$F,$A2))=0,"",MAXIFS('単価履歴'!$H:$H,'単価履歴'!$E:$E,V$1,'単価履歴'!$F:$F,$A2,'単価履歴'!$B:$B,MAXIFS('単価履歴'!$B:$B,'単価履歴'!$E:$E,V$1,'単価履歴'!$F:$F,$A2)))</f>
        <v>58.8</v>
      </c>
      <c r="W2" s="332" t="str">
        <f>IF(MAXIFS('単価履歴'!$H:$H,'単価履歴'!$E:$E,W$1,'単価履歴'!$F:$F,$A2,'単価履歴'!$B:$B,MAXIFS('単価履歴'!$B:$B,'単価履歴'!$E:$E,W$1,'単価履歴'!$F:$F,$A2))=0,"",MAXIFS('単価履歴'!$H:$H,'単価履歴'!$E:$E,W$1,'単価履歴'!$F:$F,$A2,'単価履歴'!$B:$B,MAXIFS('単価履歴'!$B:$B,'単価履歴'!$E:$E,W$1,'単価履歴'!$F:$F,$A2)))</f>
        <v/>
      </c>
      <c r="X2" s="332" t="str">
        <f>IF(MAXIFS('単価履歴'!$H:$H,'単価履歴'!$E:$E,X$1,'単価履歴'!$F:$F,$A2,'単価履歴'!$B:$B,MAXIFS('単価履歴'!$B:$B,'単価履歴'!$E:$E,X$1,'単価履歴'!$F:$F,$A2))=0,"",MAXIFS('単価履歴'!$H:$H,'単価履歴'!$E:$E,X$1,'単価履歴'!$F:$F,$A2,'単価履歴'!$B:$B,MAXIFS('単価履歴'!$B:$B,'単価履歴'!$E:$E,X$1,'単価履歴'!$F:$F,$A2)))</f>
        <v/>
      </c>
      <c r="Y2" s="332" t="str">
        <f>IF(MAXIFS('単価履歴'!$H:$H,'単価履歴'!$E:$E,Y$1,'単価履歴'!$F:$F,$A2,'単価履歴'!$B:$B,MAXIFS('単価履歴'!$B:$B,'単価履歴'!$E:$E,Y$1,'単価履歴'!$F:$F,$A2))=0,"",MAXIFS('単価履歴'!$H:$H,'単価履歴'!$E:$E,Y$1,'単価履歴'!$F:$F,$A2,'単価履歴'!$B:$B,MAXIFS('単価履歴'!$B:$B,'単価履歴'!$E:$E,Y$1,'単価履歴'!$F:$F,$A2)))</f>
        <v/>
      </c>
      <c r="Z2" s="332">
        <f>IF(MAXIFS('単価履歴'!$H:$H,'単価履歴'!$E:$E,Z$1,'単価履歴'!$F:$F,$A2,'単価履歴'!$B:$B,MAXIFS('単価履歴'!$B:$B,'単価履歴'!$E:$E,Z$1,'単価履歴'!$F:$F,$A2))=0,"",MAXIFS('単価履歴'!$H:$H,'単価履歴'!$E:$E,Z$1,'単価履歴'!$F:$F,$A2,'単価履歴'!$B:$B,MAXIFS('単価履歴'!$B:$B,'単価履歴'!$E:$E,Z$1,'単価履歴'!$F:$F,$A2)))</f>
        <v>48.5</v>
      </c>
      <c r="AA2" s="332" t="str">
        <f>IF(MAXIFS('単価履歴'!$H:$H,'単価履歴'!$E:$E,AA$1,'単価履歴'!$F:$F,$A2,'単価履歴'!$B:$B,MAXIFS('単価履歴'!$B:$B,'単価履歴'!$E:$E,AA$1,'単価履歴'!$F:$F,$A2))=0,"",MAXIFS('単価履歴'!$H:$H,'単価履歴'!$E:$E,AA$1,'単価履歴'!$F:$F,$A2,'単価履歴'!$B:$B,MAXIFS('単価履歴'!$B:$B,'単価履歴'!$E:$E,AA$1,'単価履歴'!$F:$F,$A2)))</f>
        <v/>
      </c>
      <c r="AB2" s="332">
        <f>IF(MAXIFS('単価履歴'!$H:$H,'単価履歴'!$E:$E,AB$1,'単価履歴'!$F:$F,$A2,'単価履歴'!$B:$B,MAXIFS('単価履歴'!$B:$B,'単価履歴'!$E:$E,AB$1,'単価履歴'!$F:$F,$A2))=0,"",MAXIFS('単価履歴'!$H:$H,'単価履歴'!$E:$E,AB$1,'単価履歴'!$F:$F,$A2,'単価履歴'!$B:$B,MAXIFS('単価履歴'!$B:$B,'単価履歴'!$E:$E,AB$1,'単価履歴'!$F:$F,$A2)))</f>
        <v>53</v>
      </c>
      <c r="AC2" s="332" t="str">
        <f>IF(MAXIFS('単価履歴'!$H:$H,'単価履歴'!$E:$E,AC$1,'単価履歴'!$F:$F,$A2,'単価履歴'!$B:$B,MAXIFS('単価履歴'!$B:$B,'単価履歴'!$E:$E,AC$1,'単価履歴'!$F:$F,$A2))=0,"",MAXIFS('単価履歴'!$H:$H,'単価履歴'!$E:$E,AC$1,'単価履歴'!$F:$F,$A2,'単価履歴'!$B:$B,MAXIFS('単価履歴'!$B:$B,'単価履歴'!$E:$E,AC$1,'単価履歴'!$F:$F,$A2)))</f>
        <v/>
      </c>
      <c r="AD2" s="332" t="str">
        <f>IF(MAXIFS('単価履歴'!$H:$H,'単価履歴'!$E:$E,AD$1,'単価履歴'!$F:$F,$A2,'単価履歴'!$B:$B,MAXIFS('単価履歴'!$B:$B,'単価履歴'!$E:$E,AD$1,'単価履歴'!$F:$F,$A2))=0,"",MAXIFS('単価履歴'!$H:$H,'単価履歴'!$E:$E,AD$1,'単価履歴'!$F:$F,$A2,'単価履歴'!$B:$B,MAXIFS('単価履歴'!$B:$B,'単価履歴'!$E:$E,AD$1,'単価履歴'!$F:$F,$A2)))</f>
        <v/>
      </c>
      <c r="AE2" s="332" t="str">
        <f>IF(MAXIFS('単価履歴'!$H:$H,'単価履歴'!$E:$E,AE$1,'単価履歴'!$F:$F,$A2,'単価履歴'!$B:$B,MAXIFS('単価履歴'!$B:$B,'単価履歴'!$E:$E,AE$1,'単価履歴'!$F:$F,$A2))=0,"",MAXIFS('単価履歴'!$H:$H,'単価履歴'!$E:$E,AE$1,'単価履歴'!$F:$F,$A2,'単価履歴'!$B:$B,MAXIFS('単価履歴'!$B:$B,'単価履歴'!$E:$E,AE$1,'単価履歴'!$F:$F,$A2)))</f>
        <v/>
      </c>
      <c r="AF2" s="332">
        <f>IF(MAXIFS('単価履歴'!$H:$H,'単価履歴'!$E:$E,AF$1,'単価履歴'!$F:$F,$A2,'単価履歴'!$B:$B,MAXIFS('単価履歴'!$B:$B,'単価履歴'!$E:$E,AF$1,'単価履歴'!$F:$F,$A2))=0,"",MAXIFS('単価履歴'!$H:$H,'単価履歴'!$E:$E,AF$1,'単価履歴'!$F:$F,$A2,'単価履歴'!$B:$B,MAXIFS('単価履歴'!$B:$B,'単価履歴'!$E:$E,AF$1,'単価履歴'!$F:$F,$A2)))</f>
        <v>47</v>
      </c>
      <c r="AG2" s="332">
        <f>IF(MAXIFS('単価履歴'!$H:$H,'単価履歴'!$E:$E,AG$1,'単価履歴'!$F:$F,$A2,'単価履歴'!$B:$B,MAXIFS('単価履歴'!$B:$B,'単価履歴'!$E:$E,AG$1,'単価履歴'!$F:$F,$A2))=0,"",MAXIFS('単価履歴'!$H:$H,'単価履歴'!$E:$E,AG$1,'単価履歴'!$F:$F,$A2,'単価履歴'!$B:$B,MAXIFS('単価履歴'!$B:$B,'単価履歴'!$E:$E,AG$1,'単価履歴'!$F:$F,$A2)))</f>
        <v>45</v>
      </c>
      <c r="AH2" s="332" t="str">
        <f>IF(MAXIFS('単価履歴'!$H:$H,'単価履歴'!$E:$E,AH$1,'単価履歴'!$F:$F,$A2,'単価履歴'!$B:$B,MAXIFS('単価履歴'!$B:$B,'単価履歴'!$E:$E,AH$1,'単価履歴'!$F:$F,$A2))=0,"",MAXIFS('単価履歴'!$H:$H,'単価履歴'!$E:$E,AH$1,'単価履歴'!$F:$F,$A2,'単価履歴'!$B:$B,MAXIFS('単価履歴'!$B:$B,'単価履歴'!$E:$E,AH$1,'単価履歴'!$F:$F,$A2)))</f>
        <v/>
      </c>
      <c r="AI2" s="332" t="str">
        <f>IF(MAXIFS('単価履歴'!$H:$H,'単価履歴'!$E:$E,AI$1,'単価履歴'!$F:$F,$A2,'単価履歴'!$B:$B,MAXIFS('単価履歴'!$B:$B,'単価履歴'!$E:$E,AI$1,'単価履歴'!$F:$F,$A2))=0,"",MAXIFS('単価履歴'!$H:$H,'単価履歴'!$E:$E,AI$1,'単価履歴'!$F:$F,$A2,'単価履歴'!$B:$B,MAXIFS('単価履歴'!$B:$B,'単価履歴'!$E:$E,AI$1,'単価履歴'!$F:$F,$A2)))</f>
        <v/>
      </c>
      <c r="AJ2" s="332" t="str">
        <f>IF(MAXIFS('単価履歴'!$H:$H,'単価履歴'!$E:$E,AJ$1,'単価履歴'!$F:$F,$A2,'単価履歴'!$B:$B,MAXIFS('単価履歴'!$B:$B,'単価履歴'!$E:$E,AJ$1,'単価履歴'!$F:$F,$A2))=0,"",MAXIFS('単価履歴'!$H:$H,'単価履歴'!$E:$E,AJ$1,'単価履歴'!$F:$F,$A2,'単価履歴'!$B:$B,MAXIFS('単価履歴'!$B:$B,'単価履歴'!$E:$E,AJ$1,'単価履歴'!$F:$F,$A2)))</f>
        <v/>
      </c>
      <c r="AK2" s="332" t="str">
        <f>IF(MAXIFS('単価履歴'!$H:$H,'単価履歴'!$E:$E,AK$1,'単価履歴'!$F:$F,$A2,'単価履歴'!$B:$B,MAXIFS('単価履歴'!$B:$B,'単価履歴'!$E:$E,AK$1,'単価履歴'!$F:$F,$A2))=0,"",MAXIFS('単価履歴'!$H:$H,'単価履歴'!$E:$E,AK$1,'単価履歴'!$F:$F,$A2,'単価履歴'!$B:$B,MAXIFS('単価履歴'!$B:$B,'単価履歴'!$E:$E,AK$1,'単価履歴'!$F:$F,$A2)))</f>
        <v/>
      </c>
      <c r="AL2" s="332" t="str">
        <f>IF(MAXIFS('単価履歴'!$H:$H,'単価履歴'!$E:$E,AL$1,'単価履歴'!$F:$F,$A2,'単価履歴'!$B:$B,MAXIFS('単価履歴'!$B:$B,'単価履歴'!$E:$E,AL$1,'単価履歴'!$F:$F,$A2))=0,"",MAXIFS('単価履歴'!$H:$H,'単価履歴'!$E:$E,AL$1,'単価履歴'!$F:$F,$A2,'単価履歴'!$B:$B,MAXIFS('単価履歴'!$B:$B,'単価履歴'!$E:$E,AL$1,'単価履歴'!$F:$F,$A2)))</f>
        <v/>
      </c>
      <c r="AM2" s="332" t="str">
        <f>IF(MAXIFS('単価履歴'!$H:$H,'単価履歴'!$E:$E,AM$1,'単価履歴'!$F:$F,$A2,'単価履歴'!$B:$B,MAXIFS('単価履歴'!$B:$B,'単価履歴'!$E:$E,AM$1,'単価履歴'!$F:$F,$A2))=0,"",MAXIFS('単価履歴'!$H:$H,'単価履歴'!$E:$E,AM$1,'単価履歴'!$F:$F,$A2,'単価履歴'!$B:$B,MAXIFS('単価履歴'!$B:$B,'単価履歴'!$E:$E,AM$1,'単価履歴'!$F:$F,$A2)))</f>
        <v/>
      </c>
      <c r="AN2" s="332">
        <f>IF(MAXIFS('単価履歴'!$H:$H,'単価履歴'!$E:$E,AN$1,'単価履歴'!$F:$F,$A2,'単価履歴'!$B:$B,MAXIFS('単価履歴'!$B:$B,'単価履歴'!$E:$E,AN$1,'単価履歴'!$F:$F,$A2))=0,"",MAXIFS('単価履歴'!$H:$H,'単価履歴'!$E:$E,AN$1,'単価履歴'!$F:$F,$A2,'単価履歴'!$B:$B,MAXIFS('単価履歴'!$B:$B,'単価履歴'!$E:$E,AN$1,'単価履歴'!$F:$F,$A2)))</f>
        <v>55</v>
      </c>
      <c r="AO2" s="332" t="str">
        <f>IF(MAXIFS('単価履歴'!$H:$H,'単価履歴'!$E:$E,AO$1,'単価履歴'!$F:$F,$A2,'単価履歴'!$B:$B,MAXIFS('単価履歴'!$B:$B,'単価履歴'!$E:$E,AO$1,'単価履歴'!$F:$F,$A2))=0,"",MAXIFS('単価履歴'!$H:$H,'単価履歴'!$E:$E,AO$1,'単価履歴'!$F:$F,$A2,'単価履歴'!$B:$B,MAXIFS('単価履歴'!$B:$B,'単価履歴'!$E:$E,AO$1,'単価履歴'!$F:$F,$A2)))</f>
        <v/>
      </c>
      <c r="AP2" s="332" t="str">
        <f>IF(MAXIFS('単価履歴'!$H:$H,'単価履歴'!$E:$E,AP$1,'単価履歴'!$F:$F,$A2,'単価履歴'!$B:$B,MAXIFS('単価履歴'!$B:$B,'単価履歴'!$E:$E,AP$1,'単価履歴'!$F:$F,$A2))=0,"",MAXIFS('単価履歴'!$H:$H,'単価履歴'!$E:$E,AP$1,'単価履歴'!$F:$F,$A2,'単価履歴'!$B:$B,MAXIFS('単価履歴'!$B:$B,'単価履歴'!$E:$E,AP$1,'単価履歴'!$F:$F,$A2)))</f>
        <v/>
      </c>
      <c r="AQ2" s="332" t="str">
        <f>IF(MAXIFS('単価履歴'!$H:$H,'単価履歴'!$E:$E,AQ$1,'単価履歴'!$F:$F,$A2,'単価履歴'!$B:$B,MAXIFS('単価履歴'!$B:$B,'単価履歴'!$E:$E,AQ$1,'単価履歴'!$F:$F,$A2))=0,"",MAXIFS('単価履歴'!$H:$H,'単価履歴'!$E:$E,AQ$1,'単価履歴'!$F:$F,$A2,'単価履歴'!$B:$B,MAXIFS('単価履歴'!$B:$B,'単価履歴'!$E:$E,AQ$1,'単価履歴'!$F:$F,$A2)))</f>
        <v/>
      </c>
      <c r="AR2" s="332">
        <f>IF(MAXIFS('単価履歴'!$H:$H,'単価履歴'!$E:$E,AR$1,'単価履歴'!$F:$F,$A2,'単価履歴'!$B:$B,MAXIFS('単価履歴'!$B:$B,'単価履歴'!$E:$E,AR$1,'単価履歴'!$F:$F,$A2))=0,"",MAXIFS('単価履歴'!$H:$H,'単価履歴'!$E:$E,AR$1,'単価履歴'!$F:$F,$A2,'単価履歴'!$B:$B,MAXIFS('単価履歴'!$B:$B,'単価履歴'!$E:$E,AR$1,'単価履歴'!$F:$F,$A2)))</f>
        <v>56.1</v>
      </c>
      <c r="AS2" s="332">
        <f>IF(MAXIFS('単価履歴'!$H:$H,'単価履歴'!$E:$E,AS$1,'単価履歴'!$F:$F,$A2,'単価履歴'!$B:$B,MAXIFS('単価履歴'!$B:$B,'単価履歴'!$E:$E,AS$1,'単価履歴'!$F:$F,$A2))=0,"",MAXIFS('単価履歴'!$H:$H,'単価履歴'!$E:$E,AS$1,'単価履歴'!$F:$F,$A2,'単価履歴'!$B:$B,MAXIFS('単価履歴'!$B:$B,'単価履歴'!$E:$E,AS$1,'単価履歴'!$F:$F,$A2)))</f>
        <v>59</v>
      </c>
      <c r="AT2" s="332">
        <f>IF(MAXIFS('単価履歴'!$H:$H,'単価履歴'!$E:$E,AT$1,'単価履歴'!$F:$F,$A2,'単価履歴'!$B:$B,MAXIFS('単価履歴'!$B:$B,'単価履歴'!$E:$E,AT$1,'単価履歴'!$F:$F,$A2))=0,"",MAXIFS('単価履歴'!$H:$H,'単価履歴'!$E:$E,AT$1,'単価履歴'!$F:$F,$A2,'単価履歴'!$B:$B,MAXIFS('単価履歴'!$B:$B,'単価履歴'!$E:$E,AT$1,'単価履歴'!$F:$F,$A2)))</f>
        <v>59.2</v>
      </c>
      <c r="AU2" s="332" t="str">
        <f>IF(MAXIFS('単価履歴'!$H:$H,'単価履歴'!$E:$E,AU$1,'単価履歴'!$F:$F,$A2,'単価履歴'!$B:$B,MAXIFS('単価履歴'!$B:$B,'単価履歴'!$E:$E,AU$1,'単価履歴'!$F:$F,$A2))=0,"",MAXIFS('単価履歴'!$H:$H,'単価履歴'!$E:$E,AU$1,'単価履歴'!$F:$F,$A2,'単価履歴'!$B:$B,MAXIFS('単価履歴'!$B:$B,'単価履歴'!$E:$E,AU$1,'単価履歴'!$F:$F,$A2)))</f>
        <v/>
      </c>
      <c r="AV2" s="332" t="str">
        <f>IF(MAXIFS('単価履歴'!$H:$H,'単価履歴'!$E:$E,AV$1,'単価履歴'!$F:$F,$A2,'単価履歴'!$B:$B,MAXIFS('単価履歴'!$B:$B,'単価履歴'!$E:$E,AV$1,'単価履歴'!$F:$F,$A2))=0,"",MAXIFS('単価履歴'!$H:$H,'単価履歴'!$E:$E,AV$1,'単価履歴'!$F:$F,$A2,'単価履歴'!$B:$B,MAXIFS('単価履歴'!$B:$B,'単価履歴'!$E:$E,AV$1,'単価履歴'!$F:$F,$A2)))</f>
        <v/>
      </c>
      <c r="AW2" s="332">
        <f>IF(MAXIFS('単価履歴'!$H:$H,'単価履歴'!$E:$E,AW$1,'単価履歴'!$F:$F,$A2,'単価履歴'!$B:$B,MAXIFS('単価履歴'!$B:$B,'単価履歴'!$E:$E,AW$1,'単価履歴'!$F:$F,$A2))=0,"",MAXIFS('単価履歴'!$H:$H,'単価履歴'!$E:$E,AW$1,'単価履歴'!$F:$F,$A2,'単価履歴'!$B:$B,MAXIFS('単価履歴'!$B:$B,'単価履歴'!$E:$E,AW$1,'単価履歴'!$F:$F,$A2)))</f>
        <v>55.5</v>
      </c>
      <c r="AX2" s="332">
        <f>IF(MAXIFS('単価履歴'!$H:$H,'単価履歴'!$E:$E,AX$1,'単価履歴'!$F:$F,$A2,'単価履歴'!$B:$B,MAXIFS('単価履歴'!$B:$B,'単価履歴'!$E:$E,AX$1,'単価履歴'!$F:$F,$A2))=0,"",MAXIFS('単価履歴'!$H:$H,'単価履歴'!$E:$E,AX$1,'単価履歴'!$F:$F,$A2,'単価履歴'!$B:$B,MAXIFS('単価履歴'!$B:$B,'単価履歴'!$E:$E,AX$1,'単価履歴'!$F:$F,$A2)))</f>
        <v>56.5</v>
      </c>
      <c r="AY2" s="332">
        <f>IF(MAXIFS('単価履歴'!$H:$H,'単価履歴'!$E:$E,AY$1,'単価履歴'!$F:$F,$A2,'単価履歴'!$B:$B,MAXIFS('単価履歴'!$B:$B,'単価履歴'!$E:$E,AY$1,'単価履歴'!$F:$F,$A2))=0,"",MAXIFS('単価履歴'!$H:$H,'単価履歴'!$E:$E,AY$1,'単価履歴'!$F:$F,$A2,'単価履歴'!$B:$B,MAXIFS('単価履歴'!$B:$B,'単価履歴'!$E:$E,AY$1,'単価履歴'!$F:$F,$A2)))</f>
        <v>55.7</v>
      </c>
      <c r="AZ2" s="332">
        <f>IF(MAXIFS('単価履歴'!$H:$H,'単価履歴'!$E:$E,AZ$1,'単価履歴'!$F:$F,$A2,'単価履歴'!$B:$B,MAXIFS('単価履歴'!$B:$B,'単価履歴'!$E:$E,AZ$1,'単価履歴'!$F:$F,$A2))=0,"",MAXIFS('単価履歴'!$H:$H,'単価履歴'!$E:$E,AZ$1,'単価履歴'!$F:$F,$A2,'単価履歴'!$B:$B,MAXIFS('単価履歴'!$B:$B,'単価履歴'!$E:$E,AZ$1,'単価履歴'!$F:$F,$A2)))</f>
        <v>53</v>
      </c>
      <c r="BA2" s="332">
        <f>IF(MAXIFS('単価履歴'!$H:$H,'単価履歴'!$E:$E,BA$1,'単価履歴'!$F:$F,$A2,'単価履歴'!$B:$B,MAXIFS('単価履歴'!$B:$B,'単価履歴'!$E:$E,BA$1,'単価履歴'!$F:$F,$A2))=0,"",MAXIFS('単価履歴'!$H:$H,'単価履歴'!$E:$E,BA$1,'単価履歴'!$F:$F,$A2,'単価履歴'!$B:$B,MAXIFS('単価履歴'!$B:$B,'単価履歴'!$E:$E,BA$1,'単価履歴'!$F:$F,$A2)))</f>
        <v>53</v>
      </c>
      <c r="BB2" s="332">
        <f>IF(MAXIFS('単価履歴'!$H:$H,'単価履歴'!$E:$E,BB$1,'単価履歴'!$F:$F,$A2,'単価履歴'!$B:$B,MAXIFS('単価履歴'!$B:$B,'単価履歴'!$E:$E,BB$1,'単価履歴'!$F:$F,$A2))=0,"",MAXIFS('単価履歴'!$H:$H,'単価履歴'!$E:$E,BB$1,'単価履歴'!$F:$F,$A2,'単価履歴'!$B:$B,MAXIFS('単価履歴'!$B:$B,'単価履歴'!$E:$E,BB$1,'単価履歴'!$F:$F,$A2)))</f>
        <v>53</v>
      </c>
      <c r="BC2" s="332">
        <f>IF(MAXIFS('単価履歴'!$H:$H,'単価履歴'!$E:$E,BC$1,'単価履歴'!$F:$F,$A2,'単価履歴'!$B:$B,MAXIFS('単価履歴'!$B:$B,'単価履歴'!$E:$E,BC$1,'単価履歴'!$F:$F,$A2))=0,"",MAXIFS('単価履歴'!$H:$H,'単価履歴'!$E:$E,BC$1,'単価履歴'!$F:$F,$A2,'単価履歴'!$B:$B,MAXIFS('単価履歴'!$B:$B,'単価履歴'!$E:$E,BC$1,'単価履歴'!$F:$F,$A2)))</f>
        <v>56</v>
      </c>
      <c r="BD2" s="332">
        <f>IF(MAXIFS('単価履歴'!$H:$H,'単価履歴'!$E:$E,BD$1,'単価履歴'!$F:$F,$A2,'単価履歴'!$B:$B,MAXIFS('単価履歴'!$B:$B,'単価履歴'!$E:$E,BD$1,'単価履歴'!$F:$F,$A2))=0,"",MAXIFS('単価履歴'!$H:$H,'単価履歴'!$E:$E,BD$1,'単価履歴'!$F:$F,$A2,'単価履歴'!$B:$B,MAXIFS('単価履歴'!$B:$B,'単価履歴'!$E:$E,BD$1,'単価履歴'!$F:$F,$A2)))</f>
        <v>55.3</v>
      </c>
      <c r="BE2" s="332">
        <f>IF(MAXIFS('単価履歴'!$H:$H,'単価履歴'!$E:$E,BE$1,'単価履歴'!$F:$F,$A2,'単価履歴'!$B:$B,MAXIFS('単価履歴'!$B:$B,'単価履歴'!$E:$E,BE$1,'単価履歴'!$F:$F,$A2))=0,"",MAXIFS('単価履歴'!$H:$H,'単価履歴'!$E:$E,BE$1,'単価履歴'!$F:$F,$A2,'単価履歴'!$B:$B,MAXIFS('単価履歴'!$B:$B,'単価履歴'!$E:$E,BE$1,'単価履歴'!$F:$F,$A2)))</f>
        <v>53</v>
      </c>
      <c r="BF2" s="332">
        <f>IF(MAXIFS('単価履歴'!$H:$H,'単価履歴'!$E:$E,BF$1,'単価履歴'!$F:$F,$A2,'単価履歴'!$B:$B,MAXIFS('単価履歴'!$B:$B,'単価履歴'!$E:$E,BF$1,'単価履歴'!$F:$F,$A2))=0,"",MAXIFS('単価履歴'!$H:$H,'単価履歴'!$E:$E,BF$1,'単価履歴'!$F:$F,$A2,'単価履歴'!$B:$B,MAXIFS('単価履歴'!$B:$B,'単価履歴'!$E:$E,BF$1,'単価履歴'!$F:$F,$A2)))</f>
        <v>53.8</v>
      </c>
      <c r="BG2" s="332" t="str">
        <f>IF(MAXIFS('単価履歴'!$H:$H,'単価履歴'!$E:$E,BG$1,'単価履歴'!$F:$F,$A2,'単価履歴'!$B:$B,MAXIFS('単価履歴'!$B:$B,'単価履歴'!$E:$E,BG$1,'単価履歴'!$F:$F,$A2))=0,"",MAXIFS('単価履歴'!$H:$H,'単価履歴'!$E:$E,BG$1,'単価履歴'!$F:$F,$A2,'単価履歴'!$B:$B,MAXIFS('単価履歴'!$B:$B,'単価履歴'!$E:$E,BG$1,'単価履歴'!$F:$F,$A2)))</f>
        <v/>
      </c>
      <c r="BH2" s="332" t="str">
        <f>IF(MAXIFS('単価履歴'!$H:$H,'単価履歴'!$E:$E,BH$1,'単価履歴'!$F:$F,$A2,'単価履歴'!$B:$B,MAXIFS('単価履歴'!$B:$B,'単価履歴'!$E:$E,BH$1,'単価履歴'!$F:$F,$A2))=0,"",MAXIFS('単価履歴'!$H:$H,'単価履歴'!$E:$E,BH$1,'単価履歴'!$F:$F,$A2,'単価履歴'!$B:$B,MAXIFS('単価履歴'!$B:$B,'単価履歴'!$E:$E,BH$1,'単価履歴'!$F:$F,$A2)))</f>
        <v/>
      </c>
      <c r="BI2" s="332" t="str">
        <f>IF(MAXIFS('単価履歴'!$H:$H,'単価履歴'!$E:$E,BI$1,'単価履歴'!$F:$F,$A2,'単価履歴'!$B:$B,MAXIFS('単価履歴'!$B:$B,'単価履歴'!$E:$E,BI$1,'単価履歴'!$F:$F,$A2))=0,"",MAXIFS('単価履歴'!$H:$H,'単価履歴'!$E:$E,BI$1,'単価履歴'!$F:$F,$A2,'単価履歴'!$B:$B,MAXIFS('単価履歴'!$B:$B,'単価履歴'!$E:$E,BI$1,'単価履歴'!$F:$F,$A2)))</f>
        <v/>
      </c>
      <c r="BJ2" s="332" t="str">
        <f>IF(MAXIFS('単価履歴'!$H:$H,'単価履歴'!$E:$E,BJ$1,'単価履歴'!$F:$F,$A2,'単価履歴'!$B:$B,MAXIFS('単価履歴'!$B:$B,'単価履歴'!$E:$E,BJ$1,'単価履歴'!$F:$F,$A2))=0,"",MAXIFS('単価履歴'!$H:$H,'単価履歴'!$E:$E,BJ$1,'単価履歴'!$F:$F,$A2,'単価履歴'!$B:$B,MAXIFS('単価履歴'!$B:$B,'単価履歴'!$E:$E,BJ$1,'単価履歴'!$F:$F,$A2)))</f>
        <v/>
      </c>
      <c r="BK2" s="332" t="str">
        <f>IF(MAXIFS('単価履歴'!$H:$H,'単価履歴'!$E:$E,BK$1,'単価履歴'!$F:$F,$A2,'単価履歴'!$B:$B,MAXIFS('単価履歴'!$B:$B,'単価履歴'!$E:$E,BK$1,'単価履歴'!$F:$F,$A2))=0,"",MAXIFS('単価履歴'!$H:$H,'単価履歴'!$E:$E,BK$1,'単価履歴'!$F:$F,$A2,'単価履歴'!$B:$B,MAXIFS('単価履歴'!$B:$B,'単価履歴'!$E:$E,BK$1,'単価履歴'!$F:$F,$A2)))</f>
        <v/>
      </c>
      <c r="BL2" s="332" t="str">
        <f>IF(MAXIFS('単価履歴'!$H:$H,'単価履歴'!$E:$E,BL$1,'単価履歴'!$F:$F,$A2,'単価履歴'!$B:$B,MAXIFS('単価履歴'!$B:$B,'単価履歴'!$E:$E,BL$1,'単価履歴'!$F:$F,$A2))=0,"",MAXIFS('単価履歴'!$H:$H,'単価履歴'!$E:$E,BL$1,'単価履歴'!$F:$F,$A2,'単価履歴'!$B:$B,MAXIFS('単価履歴'!$B:$B,'単価履歴'!$E:$E,BL$1,'単価履歴'!$F:$F,$A2)))</f>
        <v/>
      </c>
      <c r="BM2" s="332">
        <f>IF(MAXIFS('単価履歴'!$H:$H,'単価履歴'!$E:$E,BM$1,'単価履歴'!$F:$F,$A2,'単価履歴'!$B:$B,MAXIFS('単価履歴'!$B:$B,'単価履歴'!$E:$E,BM$1,'単価履歴'!$F:$F,$A2))=0,"",MAXIFS('単価履歴'!$H:$H,'単価履歴'!$E:$E,BM$1,'単価履歴'!$F:$F,$A2,'単価履歴'!$B:$B,MAXIFS('単価履歴'!$B:$B,'単価履歴'!$E:$E,BM$1,'単価履歴'!$F:$F,$A2)))</f>
        <v>39</v>
      </c>
      <c r="BN2" s="332" t="str">
        <f>IF(MAXIFS('単価履歴'!$H:$H,'単価履歴'!$E:$E,BN$1,'単価履歴'!$F:$F,$A2,'単価履歴'!$B:$B,MAXIFS('単価履歴'!$B:$B,'単価履歴'!$E:$E,BN$1,'単価履歴'!$F:$F,$A2))=0,"",MAXIFS('単価履歴'!$H:$H,'単価履歴'!$E:$E,BN$1,'単価履歴'!$F:$F,$A2,'単価履歴'!$B:$B,MAXIFS('単価履歴'!$B:$B,'単価履歴'!$E:$E,BN$1,'単価履歴'!$F:$F,$A2)))</f>
        <v/>
      </c>
      <c r="BO2" s="332" t="str">
        <f>IF(MAXIFS('単価履歴'!$H:$H,'単価履歴'!$E:$E,BO$1,'単価履歴'!$F:$F,$A2,'単価履歴'!$B:$B,MAXIFS('単価履歴'!$B:$B,'単価履歴'!$E:$E,BO$1,'単価履歴'!$F:$F,$A2))=0,"",MAXIFS('単価履歴'!$H:$H,'単価履歴'!$E:$E,BO$1,'単価履歴'!$F:$F,$A2,'単価履歴'!$B:$B,MAXIFS('単価履歴'!$B:$B,'単価履歴'!$E:$E,BO$1,'単価履歴'!$F:$F,$A2)))</f>
        <v/>
      </c>
      <c r="BP2" s="332" t="str">
        <f>IF(MAXIFS('単価履歴'!$H:$H,'単価履歴'!$E:$E,BP$1,'単価履歴'!$F:$F,$A2,'単価履歴'!$B:$B,MAXIFS('単価履歴'!$B:$B,'単価履歴'!$E:$E,BP$1,'単価履歴'!$F:$F,$A2))=0,"",MAXIFS('単価履歴'!$H:$H,'単価履歴'!$E:$E,BP$1,'単価履歴'!$F:$F,$A2,'単価履歴'!$B:$B,MAXIFS('単価履歴'!$B:$B,'単価履歴'!$E:$E,BP$1,'単価履歴'!$F:$F,$A2)))</f>
        <v/>
      </c>
      <c r="BQ2" s="332" t="str">
        <f>IF(MAXIFS('単価履歴'!$H:$H,'単価履歴'!$E:$E,BQ$1,'単価履歴'!$F:$F,$A2,'単価履歴'!$B:$B,MAXIFS('単価履歴'!$B:$B,'単価履歴'!$E:$E,BQ$1,'単価履歴'!$F:$F,$A2))=0,"",MAXIFS('単価履歴'!$H:$H,'単価履歴'!$E:$E,BQ$1,'単価履歴'!$F:$F,$A2,'単価履歴'!$B:$B,MAXIFS('単価履歴'!$B:$B,'単価履歴'!$E:$E,BQ$1,'単価履歴'!$F:$F,$A2)))</f>
        <v/>
      </c>
      <c r="BR2" s="332" t="str">
        <f>IF(MAXIFS('単価履歴'!$H:$H,'単価履歴'!$E:$E,BR$1,'単価履歴'!$F:$F,$A2,'単価履歴'!$B:$B,MAXIFS('単価履歴'!$B:$B,'単価履歴'!$E:$E,BR$1,'単価履歴'!$F:$F,$A2))=0,"",MAXIFS('単価履歴'!$H:$H,'単価履歴'!$E:$E,BR$1,'単価履歴'!$F:$F,$A2,'単価履歴'!$B:$B,MAXIFS('単価履歴'!$B:$B,'単価履歴'!$E:$E,BR$1,'単価履歴'!$F:$F,$A2)))</f>
        <v/>
      </c>
      <c r="BS2" s="332" t="str">
        <f>IF(MAXIFS('単価履歴'!$H:$H,'単価履歴'!$E:$E,BS$1,'単価履歴'!$F:$F,$A2,'単価履歴'!$B:$B,MAXIFS('単価履歴'!$B:$B,'単価履歴'!$E:$E,BS$1,'単価履歴'!$F:$F,$A2))=0,"",MAXIFS('単価履歴'!$H:$H,'単価履歴'!$E:$E,BS$1,'単価履歴'!$F:$F,$A2,'単価履歴'!$B:$B,MAXIFS('単価履歴'!$B:$B,'単価履歴'!$E:$E,BS$1,'単価履歴'!$F:$F,$A2)))</f>
        <v/>
      </c>
      <c r="BT2" s="332">
        <f>IF(MAXIFS('単価履歴'!$H:$H,'単価履歴'!$E:$E,BT$1,'単価履歴'!$F:$F,$A2,'単価履歴'!$B:$B,MAXIFS('単価履歴'!$B:$B,'単価履歴'!$E:$E,BT$1,'単価履歴'!$F:$F,$A2))=0,"",MAXIFS('単価履歴'!$H:$H,'単価履歴'!$E:$E,BT$1,'単価履歴'!$F:$F,$A2,'単価履歴'!$B:$B,MAXIFS('単価履歴'!$B:$B,'単価履歴'!$E:$E,BT$1,'単価履歴'!$F:$F,$A2)))</f>
        <v>28.8</v>
      </c>
      <c r="BU2" s="332" t="str">
        <f>IF(MAXIFS('単価履歴'!$H:$H,'単価履歴'!$E:$E,BU$1,'単価履歴'!$F:$F,$A2,'単価履歴'!$B:$B,MAXIFS('単価履歴'!$B:$B,'単価履歴'!$E:$E,BU$1,'単価履歴'!$F:$F,$A2))=0,"",MAXIFS('単価履歴'!$H:$H,'単価履歴'!$E:$E,BU$1,'単価履歴'!$F:$F,$A2,'単価履歴'!$B:$B,MAXIFS('単価履歴'!$B:$B,'単価履歴'!$E:$E,BU$1,'単価履歴'!$F:$F,$A2)))</f>
        <v/>
      </c>
      <c r="BV2" s="332" t="str">
        <f>IF(MAXIFS('単価履歴'!$H:$H,'単価履歴'!$E:$E,BV$1,'単価履歴'!$F:$F,$A2,'単価履歴'!$B:$B,MAXIFS('単価履歴'!$B:$B,'単価履歴'!$E:$E,BV$1,'単価履歴'!$F:$F,$A2))=0,"",MAXIFS('単価履歴'!$H:$H,'単価履歴'!$E:$E,BV$1,'単価履歴'!$F:$F,$A2,'単価履歴'!$B:$B,MAXIFS('単価履歴'!$B:$B,'単価履歴'!$E:$E,BV$1,'単価履歴'!$F:$F,$A2)))</f>
        <v/>
      </c>
      <c r="BW2" s="332" t="str">
        <f>IF(MAXIFS('単価履歴'!$H:$H,'単価履歴'!$E:$E,BW$1,'単価履歴'!$F:$F,$A2,'単価履歴'!$B:$B,MAXIFS('単価履歴'!$B:$B,'単価履歴'!$E:$E,BW$1,'単価履歴'!$F:$F,$A2))=0,"",MAXIFS('単価履歴'!$H:$H,'単価履歴'!$E:$E,BW$1,'単価履歴'!$F:$F,$A2,'単価履歴'!$B:$B,MAXIFS('単価履歴'!$B:$B,'単価履歴'!$E:$E,BW$1,'単価履歴'!$F:$F,$A2)))</f>
        <v/>
      </c>
      <c r="BX2" s="332" t="str">
        <f>IF(MAXIFS('単価履歴'!$H:$H,'単価履歴'!$E:$E,BX$1,'単価履歴'!$F:$F,$A2,'単価履歴'!$B:$B,MAXIFS('単価履歴'!$B:$B,'単価履歴'!$E:$E,BX$1,'単価履歴'!$F:$F,$A2))=0,"",MAXIFS('単価履歴'!$H:$H,'単価履歴'!$E:$E,BX$1,'単価履歴'!$F:$F,$A2,'単価履歴'!$B:$B,MAXIFS('単価履歴'!$B:$B,'単価履歴'!$E:$E,BX$1,'単価履歴'!$F:$F,$A2)))</f>
        <v/>
      </c>
      <c r="BY2" s="332" t="str">
        <f>IF(MAXIFS('単価履歴'!$H:$H,'単価履歴'!$E:$E,BY$1,'単価履歴'!$F:$F,$A2,'単価履歴'!$B:$B,MAXIFS('単価履歴'!$B:$B,'単価履歴'!$E:$E,BY$1,'単価履歴'!$F:$F,$A2))=0,"",MAXIFS('単価履歴'!$H:$H,'単価履歴'!$E:$E,BY$1,'単価履歴'!$F:$F,$A2,'単価履歴'!$B:$B,MAXIFS('単価履歴'!$B:$B,'単価履歴'!$E:$E,BY$1,'単価履歴'!$F:$F,$A2)))</f>
        <v/>
      </c>
      <c r="BZ2" s="332" t="str">
        <f>IF(MAXIFS('単価履歴'!$H:$H,'単価履歴'!$E:$E,BZ$1,'単価履歴'!$F:$F,$A2,'単価履歴'!$B:$B,MAXIFS('単価履歴'!$B:$B,'単価履歴'!$E:$E,BZ$1,'単価履歴'!$F:$F,$A2))=0,"",MAXIFS('単価履歴'!$H:$H,'単価履歴'!$E:$E,BZ$1,'単価履歴'!$F:$F,$A2,'単価履歴'!$B:$B,MAXIFS('単価履歴'!$B:$B,'単価履歴'!$E:$E,BZ$1,'単価履歴'!$F:$F,$A2)))</f>
        <v/>
      </c>
      <c r="CA2" s="332" t="str">
        <f>IF(MAXIFS('単価履歴'!$H:$H,'単価履歴'!$E:$E,CA$1,'単価履歴'!$F:$F,$A2,'単価履歴'!$B:$B,MAXIFS('単価履歴'!$B:$B,'単価履歴'!$E:$E,CA$1,'単価履歴'!$F:$F,$A2))=0,"",MAXIFS('単価履歴'!$H:$H,'単価履歴'!$E:$E,CA$1,'単価履歴'!$F:$F,$A2,'単価履歴'!$B:$B,MAXIFS('単価履歴'!$B:$B,'単価履歴'!$E:$E,CA$1,'単価履歴'!$F:$F,$A2)))</f>
        <v/>
      </c>
      <c r="CB2" s="332" t="str">
        <f>IF(MAXIFS('単価履歴'!$H:$H,'単価履歴'!$E:$E,CB$1,'単価履歴'!$F:$F,$A2,'単価履歴'!$B:$B,MAXIFS('単価履歴'!$B:$B,'単価履歴'!$E:$E,CB$1,'単価履歴'!$F:$F,$A2))=0,"",MAXIFS('単価履歴'!$H:$H,'単価履歴'!$E:$E,CB$1,'単価履歴'!$F:$F,$A2,'単価履歴'!$B:$B,MAXIFS('単価履歴'!$B:$B,'単価履歴'!$E:$E,CB$1,'単価履歴'!$F:$F,$A2)))</f>
        <v/>
      </c>
      <c r="CC2" s="332" t="str">
        <f>IF(MAXIFS('単価履歴'!$H:$H,'単価履歴'!$E:$E,CC$1,'単価履歴'!$F:$F,$A2,'単価履歴'!$B:$B,MAXIFS('単価履歴'!$B:$B,'単価履歴'!$E:$E,CC$1,'単価履歴'!$F:$F,$A2))=0,"",MAXIFS('単価履歴'!$H:$H,'単価履歴'!$E:$E,CC$1,'単価履歴'!$F:$F,$A2,'単価履歴'!$B:$B,MAXIFS('単価履歴'!$B:$B,'単価履歴'!$E:$E,CC$1,'単価履歴'!$F:$F,$A2)))</f>
        <v/>
      </c>
      <c r="CD2" s="332" t="str">
        <f>IF(MAXIFS('単価履歴'!$H:$H,'単価履歴'!$E:$E,CD$1,'単価履歴'!$F:$F,$A2,'単価履歴'!$B:$B,MAXIFS('単価履歴'!$B:$B,'単価履歴'!$E:$E,CD$1,'単価履歴'!$F:$F,$A2))=0,"",MAXIFS('単価履歴'!$H:$H,'単価履歴'!$E:$E,CD$1,'単価履歴'!$F:$F,$A2,'単価履歴'!$B:$B,MAXIFS('単価履歴'!$B:$B,'単価履歴'!$E:$E,CD$1,'単価履歴'!$F:$F,$A2)))</f>
        <v/>
      </c>
      <c r="CE2" s="332" t="str">
        <f>IF(MAXIFS('単価履歴'!$H:$H,'単価履歴'!$E:$E,CE$1,'単価履歴'!$F:$F,$A2,'単価履歴'!$B:$B,MAXIFS('単価履歴'!$B:$B,'単価履歴'!$E:$E,CE$1,'単価履歴'!$F:$F,$A2))=0,"",MAXIFS('単価履歴'!$H:$H,'単価履歴'!$E:$E,CE$1,'単価履歴'!$F:$F,$A2,'単価履歴'!$B:$B,MAXIFS('単価履歴'!$B:$B,'単価履歴'!$E:$E,CE$1,'単価履歴'!$F:$F,$A2)))</f>
        <v/>
      </c>
      <c r="CF2" s="332" t="str">
        <f>IF(MAXIFS('単価履歴'!$H:$H,'単価履歴'!$E:$E,CF$1,'単価履歴'!$F:$F,$A2,'単価履歴'!$B:$B,MAXIFS('単価履歴'!$B:$B,'単価履歴'!$E:$E,CF$1,'単価履歴'!$F:$F,$A2))=0,"",MAXIFS('単価履歴'!$H:$H,'単価履歴'!$E:$E,CF$1,'単価履歴'!$F:$F,$A2,'単価履歴'!$B:$B,MAXIFS('単価履歴'!$B:$B,'単価履歴'!$E:$E,CF$1,'単価履歴'!$F:$F,$A2)))</f>
        <v/>
      </c>
      <c r="CG2" s="332" t="str">
        <f>IF(MAXIFS('単価履歴'!$H:$H,'単価履歴'!$E:$E,CG$1,'単価履歴'!$F:$F,$A2,'単価履歴'!$B:$B,MAXIFS('単価履歴'!$B:$B,'単価履歴'!$E:$E,CG$1,'単価履歴'!$F:$F,$A2))=0,"",MAXIFS('単価履歴'!$H:$H,'単価履歴'!$E:$E,CG$1,'単価履歴'!$F:$F,$A2,'単価履歴'!$B:$B,MAXIFS('単価履歴'!$B:$B,'単価履歴'!$E:$E,CG$1,'単価履歴'!$F:$F,$A2)))</f>
        <v/>
      </c>
      <c r="CH2" s="332" t="str">
        <f>IF(MAXIFS('単価履歴'!$H:$H,'単価履歴'!$E:$E,CH$1,'単価履歴'!$F:$F,$A2,'単価履歴'!$B:$B,MAXIFS('単価履歴'!$B:$B,'単価履歴'!$E:$E,CH$1,'単価履歴'!$F:$F,$A2))=0,"",MAXIFS('単価履歴'!$H:$H,'単価履歴'!$E:$E,CH$1,'単価履歴'!$F:$F,$A2,'単価履歴'!$B:$B,MAXIFS('単価履歴'!$B:$B,'単価履歴'!$E:$E,CH$1,'単価履歴'!$F:$F,$A2)))</f>
        <v/>
      </c>
    </row>
    <row r="3" ht="15.75" customHeight="1">
      <c r="A3" s="432" t="s">
        <v>101</v>
      </c>
      <c r="B3" s="332">
        <f>MAXIFS('単価履歴'!H:H,'単価履歴'!F:F,A3,'単価履歴'!N:N,"●")</f>
        <v>59</v>
      </c>
      <c r="C3" s="332" t="str">
        <f>IF(MAXIFS('単価履歴'!$H:$H,'単価履歴'!$E:$E,C$1,'単価履歴'!$F:$F,$A3,'単価履歴'!$B:$B,MAXIFS('単価履歴'!$B:$B,'単価履歴'!$E:$E,C$1,'単価履歴'!$F:$F,$A3))=0,"",MAXIFS('単価履歴'!$H:$H,'単価履歴'!$E:$E,C$1,'単価履歴'!$F:$F,$A3,'単価履歴'!$B:$B,MAXIFS('単価履歴'!$B:$B,'単価履歴'!$E:$E,C$1,'単価履歴'!$F:$F,$A3)))</f>
        <v/>
      </c>
      <c r="D3" s="332">
        <f>IF(MAXIFS('単価履歴'!$H:$H,'単価履歴'!$E:$E,D$1,'単価履歴'!$F:$F,$A3,'単価履歴'!$B:$B,MAXIFS('単価履歴'!$B:$B,'単価履歴'!$E:$E,D$1,'単価履歴'!$F:$F,$A3))=0,"",MAXIFS('単価履歴'!$H:$H,'単価履歴'!$E:$E,D$1,'単価履歴'!$F:$F,$A3,'単価履歴'!$B:$B,MAXIFS('単価履歴'!$B:$B,'単価履歴'!$E:$E,D$1,'単価履歴'!$F:$F,$A3)))</f>
        <v>57.4</v>
      </c>
      <c r="E3" s="332">
        <f>IF(MAXIFS('単価履歴'!$H:$H,'単価履歴'!$E:$E,E$1,'単価履歴'!$F:$F,$A3,'単価履歴'!$B:$B,MAXIFS('単価履歴'!$B:$B,'単価履歴'!$E:$E,E$1,'単価履歴'!$F:$F,$A3))=0,"",MAXIFS('単価履歴'!$H:$H,'単価履歴'!$E:$E,E$1,'単価履歴'!$F:$F,$A3,'単価履歴'!$B:$B,MAXIFS('単価履歴'!$B:$B,'単価履歴'!$E:$E,E$1,'単価履歴'!$F:$F,$A3)))</f>
        <v>57.3</v>
      </c>
      <c r="F3" s="332">
        <f>IF(MAXIFS('単価履歴'!$H:$H,'単価履歴'!$E:$E,F$1,'単価履歴'!$F:$F,$A3,'単価履歴'!$B:$B,MAXIFS('単価履歴'!$B:$B,'単価履歴'!$E:$E,F$1,'単価履歴'!$F:$F,$A3))=0,"",MAXIFS('単価履歴'!$H:$H,'単価履歴'!$E:$E,F$1,'単価履歴'!$F:$F,$A3,'単価履歴'!$B:$B,MAXIFS('単価履歴'!$B:$B,'単価履歴'!$E:$E,F$1,'単価履歴'!$F:$F,$A3)))</f>
        <v>0.5</v>
      </c>
      <c r="G3" s="332">
        <f>IF(MAXIFS('単価履歴'!$H:$H,'単価履歴'!$E:$E,G$1,'単価履歴'!$F:$F,$A3,'単価履歴'!$B:$B,MAXIFS('単価履歴'!$B:$B,'単価履歴'!$E:$E,G$1,'単価履歴'!$F:$F,$A3))=0,"",MAXIFS('単価履歴'!$H:$H,'単価履歴'!$E:$E,G$1,'単価履歴'!$F:$F,$A3,'単価履歴'!$B:$B,MAXIFS('単価履歴'!$B:$B,'単価履歴'!$E:$E,G$1,'単価履歴'!$F:$F,$A3)))</f>
        <v>-0.5</v>
      </c>
      <c r="H3" s="332" t="str">
        <f>IF(MAXIFS('単価履歴'!$H:$H,'単価履歴'!$E:$E,H$1,'単価履歴'!$F:$F,$A3,'単価履歴'!$B:$B,MAXIFS('単価履歴'!$B:$B,'単価履歴'!$E:$E,H$1,'単価履歴'!$F:$F,$A3))=0,"",MAXIFS('単価履歴'!$H:$H,'単価履歴'!$E:$E,H$1,'単価履歴'!$F:$F,$A3,'単価履歴'!$B:$B,MAXIFS('単価履歴'!$B:$B,'単価履歴'!$E:$E,H$1,'単価履歴'!$F:$F,$A3)))</f>
        <v/>
      </c>
      <c r="I3" s="332">
        <f>IF(MAXIFS('単価履歴'!$H:$H,'単価履歴'!$E:$E,I$1,'単価履歴'!$F:$F,$A3,'単価履歴'!$B:$B,MAXIFS('単価履歴'!$B:$B,'単価履歴'!$E:$E,I$1,'単価履歴'!$F:$F,$A3))=0,"",MAXIFS('単価履歴'!$H:$H,'単価履歴'!$E:$E,I$1,'単価履歴'!$F:$F,$A3,'単価履歴'!$B:$B,MAXIFS('単価履歴'!$B:$B,'単価履歴'!$E:$E,I$1,'単価履歴'!$F:$F,$A3)))</f>
        <v>55.3</v>
      </c>
      <c r="J3" s="332">
        <f>IF(MAXIFS('単価履歴'!$H:$H,'単価履歴'!$E:$E,J$1,'単価履歴'!$F:$F,$A3,'単価履歴'!$B:$B,MAXIFS('単価履歴'!$B:$B,'単価履歴'!$E:$E,J$1,'単価履歴'!$F:$F,$A3))=0,"",MAXIFS('単価履歴'!$H:$H,'単価履歴'!$E:$E,J$1,'単価履歴'!$F:$F,$A3,'単価履歴'!$B:$B,MAXIFS('単価履歴'!$B:$B,'単価履歴'!$E:$E,J$1,'単価履歴'!$F:$F,$A3)))</f>
        <v>2</v>
      </c>
      <c r="K3" s="332" t="str">
        <f>IF(MAXIFS('単価履歴'!$H:$H,'単価履歴'!$E:$E,K$1,'単価履歴'!$F:$F,$A3,'単価履歴'!$B:$B,MAXIFS('単価履歴'!$B:$B,'単価履歴'!$E:$E,K$1,'単価履歴'!$F:$F,$A3))=0,"",MAXIFS('単価履歴'!$H:$H,'単価履歴'!$E:$E,K$1,'単価履歴'!$F:$F,$A3,'単価履歴'!$B:$B,MAXIFS('単価履歴'!$B:$B,'単価履歴'!$E:$E,K$1,'単価履歴'!$F:$F,$A3)))</f>
        <v/>
      </c>
      <c r="L3" s="332" t="str">
        <f>IF(MAXIFS('単価履歴'!$H:$H,'単価履歴'!$E:$E,L$1,'単価履歴'!$F:$F,$A3,'単価履歴'!$B:$B,MAXIFS('単価履歴'!$B:$B,'単価履歴'!$E:$E,L$1,'単価履歴'!$F:$F,$A3))=0,"",MAXIFS('単価履歴'!$H:$H,'単価履歴'!$E:$E,L$1,'単価履歴'!$F:$F,$A3,'単価履歴'!$B:$B,MAXIFS('単価履歴'!$B:$B,'単価履歴'!$E:$E,L$1,'単価履歴'!$F:$F,$A3)))</f>
        <v/>
      </c>
      <c r="M3" s="332" t="str">
        <f>IF(MAXIFS('単価履歴'!$H:$H,'単価履歴'!$E:$E,M$1,'単価履歴'!$F:$F,$A3,'単価履歴'!$B:$B,MAXIFS('単価履歴'!$B:$B,'単価履歴'!$E:$E,M$1,'単価履歴'!$F:$F,$A3))=0,"",MAXIFS('単価履歴'!$H:$H,'単価履歴'!$E:$E,M$1,'単価履歴'!$F:$F,$A3,'単価履歴'!$B:$B,MAXIFS('単価履歴'!$B:$B,'単価履歴'!$E:$E,M$1,'単価履歴'!$F:$F,$A3)))</f>
        <v/>
      </c>
      <c r="N3" s="332" t="str">
        <f>IF(MAXIFS('単価履歴'!$H:$H,'単価履歴'!$E:$E,N$1,'単価履歴'!$F:$F,$A3,'単価履歴'!$B:$B,MAXIFS('単価履歴'!$B:$B,'単価履歴'!$E:$E,N$1,'単価履歴'!$F:$F,$A3))=0,"",MAXIFS('単価履歴'!$H:$H,'単価履歴'!$E:$E,N$1,'単価履歴'!$F:$F,$A3,'単価履歴'!$B:$B,MAXIFS('単価履歴'!$B:$B,'単価履歴'!$E:$E,N$1,'単価履歴'!$F:$F,$A3)))</f>
        <v/>
      </c>
      <c r="O3" s="332" t="str">
        <f>IF(MAXIFS('単価履歴'!$H:$H,'単価履歴'!$E:$E,O$1,'単価履歴'!$F:$F,$A3,'単価履歴'!$B:$B,MAXIFS('単価履歴'!$B:$B,'単価履歴'!$E:$E,O$1,'単価履歴'!$F:$F,$A3))=0,"",MAXIFS('単価履歴'!$H:$H,'単価履歴'!$E:$E,O$1,'単価履歴'!$F:$F,$A3,'単価履歴'!$B:$B,MAXIFS('単価履歴'!$B:$B,'単価履歴'!$E:$E,O$1,'単価履歴'!$F:$F,$A3)))</f>
        <v/>
      </c>
      <c r="P3" s="332" t="str">
        <f>IF(MAXIFS('単価履歴'!$H:$H,'単価履歴'!$E:$E,P$1,'単価履歴'!$F:$F,$A3,'単価履歴'!$B:$B,MAXIFS('単価履歴'!$B:$B,'単価履歴'!$E:$E,P$1,'単価履歴'!$F:$F,$A3))=0,"",MAXIFS('単価履歴'!$H:$H,'単価履歴'!$E:$E,P$1,'単価履歴'!$F:$F,$A3,'単価履歴'!$B:$B,MAXIFS('単価履歴'!$B:$B,'単価履歴'!$E:$E,P$1,'単価履歴'!$F:$F,$A3)))</f>
        <v/>
      </c>
      <c r="Q3" s="332" t="str">
        <f>IF(MAXIFS('単価履歴'!$H:$H,'単価履歴'!$E:$E,Q$1,'単価履歴'!$F:$F,$A3,'単価履歴'!$B:$B,MAXIFS('単価履歴'!$B:$B,'単価履歴'!$E:$E,Q$1,'単価履歴'!$F:$F,$A3))=0,"",MAXIFS('単価履歴'!$H:$H,'単価履歴'!$E:$E,Q$1,'単価履歴'!$F:$F,$A3,'単価履歴'!$B:$B,MAXIFS('単価履歴'!$B:$B,'単価履歴'!$E:$E,Q$1,'単価履歴'!$F:$F,$A3)))</f>
        <v/>
      </c>
      <c r="R3" s="332" t="str">
        <f>IF(MAXIFS('単価履歴'!$H:$H,'単価履歴'!$E:$E,R$1,'単価履歴'!$F:$F,$A3,'単価履歴'!$B:$B,MAXIFS('単価履歴'!$B:$B,'単価履歴'!$E:$E,R$1,'単価履歴'!$F:$F,$A3))=0,"",MAXIFS('単価履歴'!$H:$H,'単価履歴'!$E:$E,R$1,'単価履歴'!$F:$F,$A3,'単価履歴'!$B:$B,MAXIFS('単価履歴'!$B:$B,'単価履歴'!$E:$E,R$1,'単価履歴'!$F:$F,$A3)))</f>
        <v/>
      </c>
      <c r="S3" s="332" t="str">
        <f>IF(MAXIFS('単価履歴'!$H:$H,'単価履歴'!$E:$E,S$1,'単価履歴'!$F:$F,$A3,'単価履歴'!$B:$B,MAXIFS('単価履歴'!$B:$B,'単価履歴'!$E:$E,S$1,'単価履歴'!$F:$F,$A3))=0,"",MAXIFS('単価履歴'!$H:$H,'単価履歴'!$E:$E,S$1,'単価履歴'!$F:$F,$A3,'単価履歴'!$B:$B,MAXIFS('単価履歴'!$B:$B,'単価履歴'!$E:$E,S$1,'単価履歴'!$F:$F,$A3)))</f>
        <v/>
      </c>
      <c r="T3" s="332" t="str">
        <f>IF(MAXIFS('単価履歴'!$H:$H,'単価履歴'!$E:$E,T$1,'単価履歴'!$F:$F,$A3,'単価履歴'!$B:$B,MAXIFS('単価履歴'!$B:$B,'単価履歴'!$E:$E,T$1,'単価履歴'!$F:$F,$A3))=0,"",MAXIFS('単価履歴'!$H:$H,'単価履歴'!$E:$E,T$1,'単価履歴'!$F:$F,$A3,'単価履歴'!$B:$B,MAXIFS('単価履歴'!$B:$B,'単価履歴'!$E:$E,T$1,'単価履歴'!$F:$F,$A3)))</f>
        <v/>
      </c>
      <c r="U3" s="332" t="str">
        <f>IF(MAXIFS('単価履歴'!$H:$H,'単価履歴'!$E:$E,U$1,'単価履歴'!$F:$F,$A3,'単価履歴'!$B:$B,MAXIFS('単価履歴'!$B:$B,'単価履歴'!$E:$E,U$1,'単価履歴'!$F:$F,$A3))=0,"",MAXIFS('単価履歴'!$H:$H,'単価履歴'!$E:$E,U$1,'単価履歴'!$F:$F,$A3,'単価履歴'!$B:$B,MAXIFS('単価履歴'!$B:$B,'単価履歴'!$E:$E,U$1,'単価履歴'!$F:$F,$A3)))</f>
        <v/>
      </c>
      <c r="V3" s="332">
        <f>IF(MAXIFS('単価履歴'!$H:$H,'単価履歴'!$E:$E,V$1,'単価履歴'!$F:$F,$A3,'単価履歴'!$B:$B,MAXIFS('単価履歴'!$B:$B,'単価履歴'!$E:$E,V$1,'単価履歴'!$F:$F,$A3))=0,"",MAXIFS('単価履歴'!$H:$H,'単価履歴'!$E:$E,V$1,'単価履歴'!$F:$F,$A3,'単価履歴'!$B:$B,MAXIFS('単価履歴'!$B:$B,'単価履歴'!$E:$E,V$1,'単価履歴'!$F:$F,$A3)))</f>
        <v>58.5</v>
      </c>
      <c r="W3" s="332" t="str">
        <f>IF(MAXIFS('単価履歴'!$H:$H,'単価履歴'!$E:$E,W$1,'単価履歴'!$F:$F,$A3,'単価履歴'!$B:$B,MAXIFS('単価履歴'!$B:$B,'単価履歴'!$E:$E,W$1,'単価履歴'!$F:$F,$A3))=0,"",MAXIFS('単価履歴'!$H:$H,'単価履歴'!$E:$E,W$1,'単価履歴'!$F:$F,$A3,'単価履歴'!$B:$B,MAXIFS('単価履歴'!$B:$B,'単価履歴'!$E:$E,W$1,'単価履歴'!$F:$F,$A3)))</f>
        <v/>
      </c>
      <c r="X3" s="332" t="str">
        <f>IF(MAXIFS('単価履歴'!$H:$H,'単価履歴'!$E:$E,X$1,'単価履歴'!$F:$F,$A3,'単価履歴'!$B:$B,MAXIFS('単価履歴'!$B:$B,'単価履歴'!$E:$E,X$1,'単価履歴'!$F:$F,$A3))=0,"",MAXIFS('単価履歴'!$H:$H,'単価履歴'!$E:$E,X$1,'単価履歴'!$F:$F,$A3,'単価履歴'!$B:$B,MAXIFS('単価履歴'!$B:$B,'単価履歴'!$E:$E,X$1,'単価履歴'!$F:$F,$A3)))</f>
        <v/>
      </c>
      <c r="Y3" s="332" t="str">
        <f>IF(MAXIFS('単価履歴'!$H:$H,'単価履歴'!$E:$E,Y$1,'単価履歴'!$F:$F,$A3,'単価履歴'!$B:$B,MAXIFS('単価履歴'!$B:$B,'単価履歴'!$E:$E,Y$1,'単価履歴'!$F:$F,$A3))=0,"",MAXIFS('単価履歴'!$H:$H,'単価履歴'!$E:$E,Y$1,'単価履歴'!$F:$F,$A3,'単価履歴'!$B:$B,MAXIFS('単価履歴'!$B:$B,'単価履歴'!$E:$E,Y$1,'単価履歴'!$F:$F,$A3)))</f>
        <v/>
      </c>
      <c r="Z3" s="332" t="str">
        <f>IF(MAXIFS('単価履歴'!$H:$H,'単価履歴'!$E:$E,Z$1,'単価履歴'!$F:$F,$A3,'単価履歴'!$B:$B,MAXIFS('単価履歴'!$B:$B,'単価履歴'!$E:$E,Z$1,'単価履歴'!$F:$F,$A3))=0,"",MAXIFS('単価履歴'!$H:$H,'単価履歴'!$E:$E,Z$1,'単価履歴'!$F:$F,$A3,'単価履歴'!$B:$B,MAXIFS('単価履歴'!$B:$B,'単価履歴'!$E:$E,Z$1,'単価履歴'!$F:$F,$A3)))</f>
        <v/>
      </c>
      <c r="AA3" s="332" t="str">
        <f>IF(MAXIFS('単価履歴'!$H:$H,'単価履歴'!$E:$E,AA$1,'単価履歴'!$F:$F,$A3,'単価履歴'!$B:$B,MAXIFS('単価履歴'!$B:$B,'単価履歴'!$E:$E,AA$1,'単価履歴'!$F:$F,$A3))=0,"",MAXIFS('単価履歴'!$H:$H,'単価履歴'!$E:$E,AA$1,'単価履歴'!$F:$F,$A3,'単価履歴'!$B:$B,MAXIFS('単価履歴'!$B:$B,'単価履歴'!$E:$E,AA$1,'単価履歴'!$F:$F,$A3)))</f>
        <v/>
      </c>
      <c r="AB3" s="332" t="str">
        <f>IF(MAXIFS('単価履歴'!$H:$H,'単価履歴'!$E:$E,AB$1,'単価履歴'!$F:$F,$A3,'単価履歴'!$B:$B,MAXIFS('単価履歴'!$B:$B,'単価履歴'!$E:$E,AB$1,'単価履歴'!$F:$F,$A3))=0,"",MAXIFS('単価履歴'!$H:$H,'単価履歴'!$E:$E,AB$1,'単価履歴'!$F:$F,$A3,'単価履歴'!$B:$B,MAXIFS('単価履歴'!$B:$B,'単価履歴'!$E:$E,AB$1,'単価履歴'!$F:$F,$A3)))</f>
        <v/>
      </c>
      <c r="AC3" s="332" t="str">
        <f>IF(MAXIFS('単価履歴'!$H:$H,'単価履歴'!$E:$E,AC$1,'単価履歴'!$F:$F,$A3,'単価履歴'!$B:$B,MAXIFS('単価履歴'!$B:$B,'単価履歴'!$E:$E,AC$1,'単価履歴'!$F:$F,$A3))=0,"",MAXIFS('単価履歴'!$H:$H,'単価履歴'!$E:$E,AC$1,'単価履歴'!$F:$F,$A3,'単価履歴'!$B:$B,MAXIFS('単価履歴'!$B:$B,'単価履歴'!$E:$E,AC$1,'単価履歴'!$F:$F,$A3)))</f>
        <v/>
      </c>
      <c r="AD3" s="332" t="str">
        <f>IF(MAXIFS('単価履歴'!$H:$H,'単価履歴'!$E:$E,AD$1,'単価履歴'!$F:$F,$A3,'単価履歴'!$B:$B,MAXIFS('単価履歴'!$B:$B,'単価履歴'!$E:$E,AD$1,'単価履歴'!$F:$F,$A3))=0,"",MAXIFS('単価履歴'!$H:$H,'単価履歴'!$E:$E,AD$1,'単価履歴'!$F:$F,$A3,'単価履歴'!$B:$B,MAXIFS('単価履歴'!$B:$B,'単価履歴'!$E:$E,AD$1,'単価履歴'!$F:$F,$A3)))</f>
        <v/>
      </c>
      <c r="AE3" s="332" t="str">
        <f>IF(MAXIFS('単価履歴'!$H:$H,'単価履歴'!$E:$E,AE$1,'単価履歴'!$F:$F,$A3,'単価履歴'!$B:$B,MAXIFS('単価履歴'!$B:$B,'単価履歴'!$E:$E,AE$1,'単価履歴'!$F:$F,$A3))=0,"",MAXIFS('単価履歴'!$H:$H,'単価履歴'!$E:$E,AE$1,'単価履歴'!$F:$F,$A3,'単価履歴'!$B:$B,MAXIFS('単価履歴'!$B:$B,'単価履歴'!$E:$E,AE$1,'単価履歴'!$F:$F,$A3)))</f>
        <v/>
      </c>
      <c r="AF3" s="332" t="str">
        <f>IF(MAXIFS('単価履歴'!$H:$H,'単価履歴'!$E:$E,AF$1,'単価履歴'!$F:$F,$A3,'単価履歴'!$B:$B,MAXIFS('単価履歴'!$B:$B,'単価履歴'!$E:$E,AF$1,'単価履歴'!$F:$F,$A3))=0,"",MAXIFS('単価履歴'!$H:$H,'単価履歴'!$E:$E,AF$1,'単価履歴'!$F:$F,$A3,'単価履歴'!$B:$B,MAXIFS('単価履歴'!$B:$B,'単価履歴'!$E:$E,AF$1,'単価履歴'!$F:$F,$A3)))</f>
        <v/>
      </c>
      <c r="AG3" s="332" t="str">
        <f>IF(MAXIFS('単価履歴'!$H:$H,'単価履歴'!$E:$E,AG$1,'単価履歴'!$F:$F,$A3,'単価履歴'!$B:$B,MAXIFS('単価履歴'!$B:$B,'単価履歴'!$E:$E,AG$1,'単価履歴'!$F:$F,$A3))=0,"",MAXIFS('単価履歴'!$H:$H,'単価履歴'!$E:$E,AG$1,'単価履歴'!$F:$F,$A3,'単価履歴'!$B:$B,MAXIFS('単価履歴'!$B:$B,'単価履歴'!$E:$E,AG$1,'単価履歴'!$F:$F,$A3)))</f>
        <v/>
      </c>
      <c r="AH3" s="332" t="str">
        <f>IF(MAXIFS('単価履歴'!$H:$H,'単価履歴'!$E:$E,AH$1,'単価履歴'!$F:$F,$A3,'単価履歴'!$B:$B,MAXIFS('単価履歴'!$B:$B,'単価履歴'!$E:$E,AH$1,'単価履歴'!$F:$F,$A3))=0,"",MAXIFS('単価履歴'!$H:$H,'単価履歴'!$E:$E,AH$1,'単価履歴'!$F:$F,$A3,'単価履歴'!$B:$B,MAXIFS('単価履歴'!$B:$B,'単価履歴'!$E:$E,AH$1,'単価履歴'!$F:$F,$A3)))</f>
        <v/>
      </c>
      <c r="AI3" s="332" t="str">
        <f>IF(MAXIFS('単価履歴'!$H:$H,'単価履歴'!$E:$E,AI$1,'単価履歴'!$F:$F,$A3,'単価履歴'!$B:$B,MAXIFS('単価履歴'!$B:$B,'単価履歴'!$E:$E,AI$1,'単価履歴'!$F:$F,$A3))=0,"",MAXIFS('単価履歴'!$H:$H,'単価履歴'!$E:$E,AI$1,'単価履歴'!$F:$F,$A3,'単価履歴'!$B:$B,MAXIFS('単価履歴'!$B:$B,'単価履歴'!$E:$E,AI$1,'単価履歴'!$F:$F,$A3)))</f>
        <v/>
      </c>
      <c r="AJ3" s="332" t="str">
        <f>IF(MAXIFS('単価履歴'!$H:$H,'単価履歴'!$E:$E,AJ$1,'単価履歴'!$F:$F,$A3,'単価履歴'!$B:$B,MAXIFS('単価履歴'!$B:$B,'単価履歴'!$E:$E,AJ$1,'単価履歴'!$F:$F,$A3))=0,"",MAXIFS('単価履歴'!$H:$H,'単価履歴'!$E:$E,AJ$1,'単価履歴'!$F:$F,$A3,'単価履歴'!$B:$B,MAXIFS('単価履歴'!$B:$B,'単価履歴'!$E:$E,AJ$1,'単価履歴'!$F:$F,$A3)))</f>
        <v/>
      </c>
      <c r="AK3" s="332" t="str">
        <f>IF(MAXIFS('単価履歴'!$H:$H,'単価履歴'!$E:$E,AK$1,'単価履歴'!$F:$F,$A3,'単価履歴'!$B:$B,MAXIFS('単価履歴'!$B:$B,'単価履歴'!$E:$E,AK$1,'単価履歴'!$F:$F,$A3))=0,"",MAXIFS('単価履歴'!$H:$H,'単価履歴'!$E:$E,AK$1,'単価履歴'!$F:$F,$A3,'単価履歴'!$B:$B,MAXIFS('単価履歴'!$B:$B,'単価履歴'!$E:$E,AK$1,'単価履歴'!$F:$F,$A3)))</f>
        <v/>
      </c>
      <c r="AL3" s="332" t="str">
        <f>IF(MAXIFS('単価履歴'!$H:$H,'単価履歴'!$E:$E,AL$1,'単価履歴'!$F:$F,$A3,'単価履歴'!$B:$B,MAXIFS('単価履歴'!$B:$B,'単価履歴'!$E:$E,AL$1,'単価履歴'!$F:$F,$A3))=0,"",MAXIFS('単価履歴'!$H:$H,'単価履歴'!$E:$E,AL$1,'単価履歴'!$F:$F,$A3,'単価履歴'!$B:$B,MAXIFS('単価履歴'!$B:$B,'単価履歴'!$E:$E,AL$1,'単価履歴'!$F:$F,$A3)))</f>
        <v/>
      </c>
      <c r="AM3" s="332" t="str">
        <f>IF(MAXIFS('単価履歴'!$H:$H,'単価履歴'!$E:$E,AM$1,'単価履歴'!$F:$F,$A3,'単価履歴'!$B:$B,MAXIFS('単価履歴'!$B:$B,'単価履歴'!$E:$E,AM$1,'単価履歴'!$F:$F,$A3))=0,"",MAXIFS('単価履歴'!$H:$H,'単価履歴'!$E:$E,AM$1,'単価履歴'!$F:$F,$A3,'単価履歴'!$B:$B,MAXIFS('単価履歴'!$B:$B,'単価履歴'!$E:$E,AM$1,'単価履歴'!$F:$F,$A3)))</f>
        <v/>
      </c>
      <c r="AN3" s="332" t="str">
        <f>IF(MAXIFS('単価履歴'!$H:$H,'単価履歴'!$E:$E,AN$1,'単価履歴'!$F:$F,$A3,'単価履歴'!$B:$B,MAXIFS('単価履歴'!$B:$B,'単価履歴'!$E:$E,AN$1,'単価履歴'!$F:$F,$A3))=0,"",MAXIFS('単価履歴'!$H:$H,'単価履歴'!$E:$E,AN$1,'単価履歴'!$F:$F,$A3,'単価履歴'!$B:$B,MAXIFS('単価履歴'!$B:$B,'単価履歴'!$E:$E,AN$1,'単価履歴'!$F:$F,$A3)))</f>
        <v/>
      </c>
      <c r="AO3" s="332" t="str">
        <f>IF(MAXIFS('単価履歴'!$H:$H,'単価履歴'!$E:$E,AO$1,'単価履歴'!$F:$F,$A3,'単価履歴'!$B:$B,MAXIFS('単価履歴'!$B:$B,'単価履歴'!$E:$E,AO$1,'単価履歴'!$F:$F,$A3))=0,"",MAXIFS('単価履歴'!$H:$H,'単価履歴'!$E:$E,AO$1,'単価履歴'!$F:$F,$A3,'単価履歴'!$B:$B,MAXIFS('単価履歴'!$B:$B,'単価履歴'!$E:$E,AO$1,'単価履歴'!$F:$F,$A3)))</f>
        <v/>
      </c>
      <c r="AP3" s="332" t="str">
        <f>IF(MAXIFS('単価履歴'!$H:$H,'単価履歴'!$E:$E,AP$1,'単価履歴'!$F:$F,$A3,'単価履歴'!$B:$B,MAXIFS('単価履歴'!$B:$B,'単価履歴'!$E:$E,AP$1,'単価履歴'!$F:$F,$A3))=0,"",MAXIFS('単価履歴'!$H:$H,'単価履歴'!$E:$E,AP$1,'単価履歴'!$F:$F,$A3,'単価履歴'!$B:$B,MAXIFS('単価履歴'!$B:$B,'単価履歴'!$E:$E,AP$1,'単価履歴'!$F:$F,$A3)))</f>
        <v/>
      </c>
      <c r="AQ3" s="332" t="str">
        <f>IF(MAXIFS('単価履歴'!$H:$H,'単価履歴'!$E:$E,AQ$1,'単価履歴'!$F:$F,$A3,'単価履歴'!$B:$B,MAXIFS('単価履歴'!$B:$B,'単価履歴'!$E:$E,AQ$1,'単価履歴'!$F:$F,$A3))=0,"",MAXIFS('単価履歴'!$H:$H,'単価履歴'!$E:$E,AQ$1,'単価履歴'!$F:$F,$A3,'単価履歴'!$B:$B,MAXIFS('単価履歴'!$B:$B,'単価履歴'!$E:$E,AQ$1,'単価履歴'!$F:$F,$A3)))</f>
        <v/>
      </c>
      <c r="AR3" s="332">
        <f>IF(MAXIFS('単価履歴'!$H:$H,'単価履歴'!$E:$E,AR$1,'単価履歴'!$F:$F,$A3,'単価履歴'!$B:$B,MAXIFS('単価履歴'!$B:$B,'単価履歴'!$E:$E,AR$1,'単価履歴'!$F:$F,$A3))=0,"",MAXIFS('単価履歴'!$H:$H,'単価履歴'!$E:$E,AR$1,'単価履歴'!$F:$F,$A3,'単価履歴'!$B:$B,MAXIFS('単価履歴'!$B:$B,'単価履歴'!$E:$E,AR$1,'単価履歴'!$F:$F,$A3)))</f>
        <v>55.9</v>
      </c>
      <c r="AS3" s="332">
        <f>IF(MAXIFS('単価履歴'!$H:$H,'単価履歴'!$E:$E,AS$1,'単価履歴'!$F:$F,$A3,'単価履歴'!$B:$B,MAXIFS('単価履歴'!$B:$B,'単価履歴'!$E:$E,AS$1,'単価履歴'!$F:$F,$A3))=0,"",MAXIFS('単価履歴'!$H:$H,'単価履歴'!$E:$E,AS$1,'単価履歴'!$F:$F,$A3,'単価履歴'!$B:$B,MAXIFS('単価履歴'!$B:$B,'単価履歴'!$E:$E,AS$1,'単価履歴'!$F:$F,$A3)))</f>
        <v>58.8</v>
      </c>
      <c r="AT3" s="332">
        <f>IF(MAXIFS('単価履歴'!$H:$H,'単価履歴'!$E:$E,AT$1,'単価履歴'!$F:$F,$A3,'単価履歴'!$B:$B,MAXIFS('単価履歴'!$B:$B,'単価履歴'!$E:$E,AT$1,'単価履歴'!$F:$F,$A3))=0,"",MAXIFS('単価履歴'!$H:$H,'単価履歴'!$E:$E,AT$1,'単価履歴'!$F:$F,$A3,'単価履歴'!$B:$B,MAXIFS('単価履歴'!$B:$B,'単価履歴'!$E:$E,AT$1,'単価履歴'!$F:$F,$A3)))</f>
        <v>59</v>
      </c>
      <c r="AU3" s="332" t="str">
        <f>IF(MAXIFS('単価履歴'!$H:$H,'単価履歴'!$E:$E,AU$1,'単価履歴'!$F:$F,$A3,'単価履歴'!$B:$B,MAXIFS('単価履歴'!$B:$B,'単価履歴'!$E:$E,AU$1,'単価履歴'!$F:$F,$A3))=0,"",MAXIFS('単価履歴'!$H:$H,'単価履歴'!$E:$E,AU$1,'単価履歴'!$F:$F,$A3,'単価履歴'!$B:$B,MAXIFS('単価履歴'!$B:$B,'単価履歴'!$E:$E,AU$1,'単価履歴'!$F:$F,$A3)))</f>
        <v/>
      </c>
      <c r="AV3" s="332" t="str">
        <f>IF(MAXIFS('単価履歴'!$H:$H,'単価履歴'!$E:$E,AV$1,'単価履歴'!$F:$F,$A3,'単価履歴'!$B:$B,MAXIFS('単価履歴'!$B:$B,'単価履歴'!$E:$E,AV$1,'単価履歴'!$F:$F,$A3))=0,"",MAXIFS('単価履歴'!$H:$H,'単価履歴'!$E:$E,AV$1,'単価履歴'!$F:$F,$A3,'単価履歴'!$B:$B,MAXIFS('単価履歴'!$B:$B,'単価履歴'!$E:$E,AV$1,'単価履歴'!$F:$F,$A3)))</f>
        <v/>
      </c>
      <c r="AW3" s="332" t="str">
        <f>IF(MAXIFS('単価履歴'!$H:$H,'単価履歴'!$E:$E,AW$1,'単価履歴'!$F:$F,$A3,'単価履歴'!$B:$B,MAXIFS('単価履歴'!$B:$B,'単価履歴'!$E:$E,AW$1,'単価履歴'!$F:$F,$A3))=0,"",MAXIFS('単価履歴'!$H:$H,'単価履歴'!$E:$E,AW$1,'単価履歴'!$F:$F,$A3,'単価履歴'!$B:$B,MAXIFS('単価履歴'!$B:$B,'単価履歴'!$E:$E,AW$1,'単価履歴'!$F:$F,$A3)))</f>
        <v/>
      </c>
      <c r="AX3" s="332" t="str">
        <f>IF(MAXIFS('単価履歴'!$H:$H,'単価履歴'!$E:$E,AX$1,'単価履歴'!$F:$F,$A3,'単価履歴'!$B:$B,MAXIFS('単価履歴'!$B:$B,'単価履歴'!$E:$E,AX$1,'単価履歴'!$F:$F,$A3))=0,"",MAXIFS('単価履歴'!$H:$H,'単価履歴'!$E:$E,AX$1,'単価履歴'!$F:$F,$A3,'単価履歴'!$B:$B,MAXIFS('単価履歴'!$B:$B,'単価履歴'!$E:$E,AX$1,'単価履歴'!$F:$F,$A3)))</f>
        <v/>
      </c>
      <c r="AY3" s="332">
        <f>IF(MAXIFS('単価履歴'!$H:$H,'単価履歴'!$E:$E,AY$1,'単価履歴'!$F:$F,$A3,'単価履歴'!$B:$B,MAXIFS('単価履歴'!$B:$B,'単価履歴'!$E:$E,AY$1,'単価履歴'!$F:$F,$A3))=0,"",MAXIFS('単価履歴'!$H:$H,'単価履歴'!$E:$E,AY$1,'単価履歴'!$F:$F,$A3,'単価履歴'!$B:$B,MAXIFS('単価履歴'!$B:$B,'単価履歴'!$E:$E,AY$1,'単価履歴'!$F:$F,$A3)))</f>
        <v>55.2</v>
      </c>
      <c r="AZ3" s="332">
        <f>IF(MAXIFS('単価履歴'!$H:$H,'単価履歴'!$E:$E,AZ$1,'単価履歴'!$F:$F,$A3,'単価履歴'!$B:$B,MAXIFS('単価履歴'!$B:$B,'単価履歴'!$E:$E,AZ$1,'単価履歴'!$F:$F,$A3))=0,"",MAXIFS('単価履歴'!$H:$H,'単価履歴'!$E:$E,AZ$1,'単価履歴'!$F:$F,$A3,'単価履歴'!$B:$B,MAXIFS('単価履歴'!$B:$B,'単価履歴'!$E:$E,AZ$1,'単価履歴'!$F:$F,$A3)))</f>
        <v>52.5</v>
      </c>
      <c r="BA3" s="332" t="str">
        <f>IF(MAXIFS('単価履歴'!$H:$H,'単価履歴'!$E:$E,BA$1,'単価履歴'!$F:$F,$A3,'単価履歴'!$B:$B,MAXIFS('単価履歴'!$B:$B,'単価履歴'!$E:$E,BA$1,'単価履歴'!$F:$F,$A3))=0,"",MAXIFS('単価履歴'!$H:$H,'単価履歴'!$E:$E,BA$1,'単価履歴'!$F:$F,$A3,'単価履歴'!$B:$B,MAXIFS('単価履歴'!$B:$B,'単価履歴'!$E:$E,BA$1,'単価履歴'!$F:$F,$A3)))</f>
        <v/>
      </c>
      <c r="BB3" s="332" t="str">
        <f>IF(MAXIFS('単価履歴'!$H:$H,'単価履歴'!$E:$E,BB$1,'単価履歴'!$F:$F,$A3,'単価履歴'!$B:$B,MAXIFS('単価履歴'!$B:$B,'単価履歴'!$E:$E,BB$1,'単価履歴'!$F:$F,$A3))=0,"",MAXIFS('単価履歴'!$H:$H,'単価履歴'!$E:$E,BB$1,'単価履歴'!$F:$F,$A3,'単価履歴'!$B:$B,MAXIFS('単価履歴'!$B:$B,'単価履歴'!$E:$E,BB$1,'単価履歴'!$F:$F,$A3)))</f>
        <v/>
      </c>
      <c r="BC3" s="332" t="str">
        <f>IF(MAXIFS('単価履歴'!$H:$H,'単価履歴'!$E:$E,BC$1,'単価履歴'!$F:$F,$A3,'単価履歴'!$B:$B,MAXIFS('単価履歴'!$B:$B,'単価履歴'!$E:$E,BC$1,'単価履歴'!$F:$F,$A3))=0,"",MAXIFS('単価履歴'!$H:$H,'単価履歴'!$E:$E,BC$1,'単価履歴'!$F:$F,$A3,'単価履歴'!$B:$B,MAXIFS('単価履歴'!$B:$B,'単価履歴'!$E:$E,BC$1,'単価履歴'!$F:$F,$A3)))</f>
        <v/>
      </c>
      <c r="BD3" s="332" t="str">
        <f>IF(MAXIFS('単価履歴'!$H:$H,'単価履歴'!$E:$E,BD$1,'単価履歴'!$F:$F,$A3,'単価履歴'!$B:$B,MAXIFS('単価履歴'!$B:$B,'単価履歴'!$E:$E,BD$1,'単価履歴'!$F:$F,$A3))=0,"",MAXIFS('単価履歴'!$H:$H,'単価履歴'!$E:$E,BD$1,'単価履歴'!$F:$F,$A3,'単価履歴'!$B:$B,MAXIFS('単価履歴'!$B:$B,'単価履歴'!$E:$E,BD$1,'単価履歴'!$F:$F,$A3)))</f>
        <v/>
      </c>
      <c r="BE3" s="332" t="str">
        <f>IF(MAXIFS('単価履歴'!$H:$H,'単価履歴'!$E:$E,BE$1,'単価履歴'!$F:$F,$A3,'単価履歴'!$B:$B,MAXIFS('単価履歴'!$B:$B,'単価履歴'!$E:$E,BE$1,'単価履歴'!$F:$F,$A3))=0,"",MAXIFS('単価履歴'!$H:$H,'単価履歴'!$E:$E,BE$1,'単価履歴'!$F:$F,$A3,'単価履歴'!$B:$B,MAXIFS('単価履歴'!$B:$B,'単価履歴'!$E:$E,BE$1,'単価履歴'!$F:$F,$A3)))</f>
        <v/>
      </c>
      <c r="BF3" s="332" t="str">
        <f>IF(MAXIFS('単価履歴'!$H:$H,'単価履歴'!$E:$E,BF$1,'単価履歴'!$F:$F,$A3,'単価履歴'!$B:$B,MAXIFS('単価履歴'!$B:$B,'単価履歴'!$E:$E,BF$1,'単価履歴'!$F:$F,$A3))=0,"",MAXIFS('単価履歴'!$H:$H,'単価履歴'!$E:$E,BF$1,'単価履歴'!$F:$F,$A3,'単価履歴'!$B:$B,MAXIFS('単価履歴'!$B:$B,'単価履歴'!$E:$E,BF$1,'単価履歴'!$F:$F,$A3)))</f>
        <v/>
      </c>
      <c r="BG3" s="332" t="str">
        <f>IF(MAXIFS('単価履歴'!$H:$H,'単価履歴'!$E:$E,BG$1,'単価履歴'!$F:$F,$A3,'単価履歴'!$B:$B,MAXIFS('単価履歴'!$B:$B,'単価履歴'!$E:$E,BG$1,'単価履歴'!$F:$F,$A3))=0,"",MAXIFS('単価履歴'!$H:$H,'単価履歴'!$E:$E,BG$1,'単価履歴'!$F:$F,$A3,'単価履歴'!$B:$B,MAXIFS('単価履歴'!$B:$B,'単価履歴'!$E:$E,BG$1,'単価履歴'!$F:$F,$A3)))</f>
        <v/>
      </c>
      <c r="BH3" s="332" t="str">
        <f>IF(MAXIFS('単価履歴'!$H:$H,'単価履歴'!$E:$E,BH$1,'単価履歴'!$F:$F,$A3,'単価履歴'!$B:$B,MAXIFS('単価履歴'!$B:$B,'単価履歴'!$E:$E,BH$1,'単価履歴'!$F:$F,$A3))=0,"",MAXIFS('単価履歴'!$H:$H,'単価履歴'!$E:$E,BH$1,'単価履歴'!$F:$F,$A3,'単価履歴'!$B:$B,MAXIFS('単価履歴'!$B:$B,'単価履歴'!$E:$E,BH$1,'単価履歴'!$F:$F,$A3)))</f>
        <v/>
      </c>
      <c r="BI3" s="332" t="str">
        <f>IF(MAXIFS('単価履歴'!$H:$H,'単価履歴'!$E:$E,BI$1,'単価履歴'!$F:$F,$A3,'単価履歴'!$B:$B,MAXIFS('単価履歴'!$B:$B,'単価履歴'!$E:$E,BI$1,'単価履歴'!$F:$F,$A3))=0,"",MAXIFS('単価履歴'!$H:$H,'単価履歴'!$E:$E,BI$1,'単価履歴'!$F:$F,$A3,'単価履歴'!$B:$B,MAXIFS('単価履歴'!$B:$B,'単価履歴'!$E:$E,BI$1,'単価履歴'!$F:$F,$A3)))</f>
        <v/>
      </c>
      <c r="BJ3" s="332" t="str">
        <f>IF(MAXIFS('単価履歴'!$H:$H,'単価履歴'!$E:$E,BJ$1,'単価履歴'!$F:$F,$A3,'単価履歴'!$B:$B,MAXIFS('単価履歴'!$B:$B,'単価履歴'!$E:$E,BJ$1,'単価履歴'!$F:$F,$A3))=0,"",MAXIFS('単価履歴'!$H:$H,'単価履歴'!$E:$E,BJ$1,'単価履歴'!$F:$F,$A3,'単価履歴'!$B:$B,MAXIFS('単価履歴'!$B:$B,'単価履歴'!$E:$E,BJ$1,'単価履歴'!$F:$F,$A3)))</f>
        <v/>
      </c>
      <c r="BK3" s="332" t="str">
        <f>IF(MAXIFS('単価履歴'!$H:$H,'単価履歴'!$E:$E,BK$1,'単価履歴'!$F:$F,$A3,'単価履歴'!$B:$B,MAXIFS('単価履歴'!$B:$B,'単価履歴'!$E:$E,BK$1,'単価履歴'!$F:$F,$A3))=0,"",MAXIFS('単価履歴'!$H:$H,'単価履歴'!$E:$E,BK$1,'単価履歴'!$F:$F,$A3,'単価履歴'!$B:$B,MAXIFS('単価履歴'!$B:$B,'単価履歴'!$E:$E,BK$1,'単価履歴'!$F:$F,$A3)))</f>
        <v/>
      </c>
      <c r="BL3" s="332" t="str">
        <f>IF(MAXIFS('単価履歴'!$H:$H,'単価履歴'!$E:$E,BL$1,'単価履歴'!$F:$F,$A3,'単価履歴'!$B:$B,MAXIFS('単価履歴'!$B:$B,'単価履歴'!$E:$E,BL$1,'単価履歴'!$F:$F,$A3))=0,"",MAXIFS('単価履歴'!$H:$H,'単価履歴'!$E:$E,BL$1,'単価履歴'!$F:$F,$A3,'単価履歴'!$B:$B,MAXIFS('単価履歴'!$B:$B,'単価履歴'!$E:$E,BL$1,'単価履歴'!$F:$F,$A3)))</f>
        <v/>
      </c>
      <c r="BM3" s="332" t="str">
        <f>IF(MAXIFS('単価履歴'!$H:$H,'単価履歴'!$E:$E,BM$1,'単価履歴'!$F:$F,$A3,'単価履歴'!$B:$B,MAXIFS('単価履歴'!$B:$B,'単価履歴'!$E:$E,BM$1,'単価履歴'!$F:$F,$A3))=0,"",MAXIFS('単価履歴'!$H:$H,'単価履歴'!$E:$E,BM$1,'単価履歴'!$F:$F,$A3,'単価履歴'!$B:$B,MAXIFS('単価履歴'!$B:$B,'単価履歴'!$E:$E,BM$1,'単価履歴'!$F:$F,$A3)))</f>
        <v/>
      </c>
      <c r="BN3" s="332" t="str">
        <f>IF(MAXIFS('単価履歴'!$H:$H,'単価履歴'!$E:$E,BN$1,'単価履歴'!$F:$F,$A3,'単価履歴'!$B:$B,MAXIFS('単価履歴'!$B:$B,'単価履歴'!$E:$E,BN$1,'単価履歴'!$F:$F,$A3))=0,"",MAXIFS('単価履歴'!$H:$H,'単価履歴'!$E:$E,BN$1,'単価履歴'!$F:$F,$A3,'単価履歴'!$B:$B,MAXIFS('単価履歴'!$B:$B,'単価履歴'!$E:$E,BN$1,'単価履歴'!$F:$F,$A3)))</f>
        <v/>
      </c>
      <c r="BO3" s="332" t="str">
        <f>IF(MAXIFS('単価履歴'!$H:$H,'単価履歴'!$E:$E,BO$1,'単価履歴'!$F:$F,$A3,'単価履歴'!$B:$B,MAXIFS('単価履歴'!$B:$B,'単価履歴'!$E:$E,BO$1,'単価履歴'!$F:$F,$A3))=0,"",MAXIFS('単価履歴'!$H:$H,'単価履歴'!$E:$E,BO$1,'単価履歴'!$F:$F,$A3,'単価履歴'!$B:$B,MAXIFS('単価履歴'!$B:$B,'単価履歴'!$E:$E,BO$1,'単価履歴'!$F:$F,$A3)))</f>
        <v/>
      </c>
      <c r="BP3" s="332" t="str">
        <f>IF(MAXIFS('単価履歴'!$H:$H,'単価履歴'!$E:$E,BP$1,'単価履歴'!$F:$F,$A3,'単価履歴'!$B:$B,MAXIFS('単価履歴'!$B:$B,'単価履歴'!$E:$E,BP$1,'単価履歴'!$F:$F,$A3))=0,"",MAXIFS('単価履歴'!$H:$H,'単価履歴'!$E:$E,BP$1,'単価履歴'!$F:$F,$A3,'単価履歴'!$B:$B,MAXIFS('単価履歴'!$B:$B,'単価履歴'!$E:$E,BP$1,'単価履歴'!$F:$F,$A3)))</f>
        <v/>
      </c>
      <c r="BQ3" s="332" t="str">
        <f>IF(MAXIFS('単価履歴'!$H:$H,'単価履歴'!$E:$E,BQ$1,'単価履歴'!$F:$F,$A3,'単価履歴'!$B:$B,MAXIFS('単価履歴'!$B:$B,'単価履歴'!$E:$E,BQ$1,'単価履歴'!$F:$F,$A3))=0,"",MAXIFS('単価履歴'!$H:$H,'単価履歴'!$E:$E,BQ$1,'単価履歴'!$F:$F,$A3,'単価履歴'!$B:$B,MAXIFS('単価履歴'!$B:$B,'単価履歴'!$E:$E,BQ$1,'単価履歴'!$F:$F,$A3)))</f>
        <v/>
      </c>
      <c r="BR3" s="332" t="str">
        <f>IF(MAXIFS('単価履歴'!$H:$H,'単価履歴'!$E:$E,BR$1,'単価履歴'!$F:$F,$A3,'単価履歴'!$B:$B,MAXIFS('単価履歴'!$B:$B,'単価履歴'!$E:$E,BR$1,'単価履歴'!$F:$F,$A3))=0,"",MAXIFS('単価履歴'!$H:$H,'単価履歴'!$E:$E,BR$1,'単価履歴'!$F:$F,$A3,'単価履歴'!$B:$B,MAXIFS('単価履歴'!$B:$B,'単価履歴'!$E:$E,BR$1,'単価履歴'!$F:$F,$A3)))</f>
        <v/>
      </c>
      <c r="BS3" s="332" t="str">
        <f>IF(MAXIFS('単価履歴'!$H:$H,'単価履歴'!$E:$E,BS$1,'単価履歴'!$F:$F,$A3,'単価履歴'!$B:$B,MAXIFS('単価履歴'!$B:$B,'単価履歴'!$E:$E,BS$1,'単価履歴'!$F:$F,$A3))=0,"",MAXIFS('単価履歴'!$H:$H,'単価履歴'!$E:$E,BS$1,'単価履歴'!$F:$F,$A3,'単価履歴'!$B:$B,MAXIFS('単価履歴'!$B:$B,'単価履歴'!$E:$E,BS$1,'単価履歴'!$F:$F,$A3)))</f>
        <v/>
      </c>
      <c r="BT3" s="332" t="str">
        <f>IF(MAXIFS('単価履歴'!$H:$H,'単価履歴'!$E:$E,BT$1,'単価履歴'!$F:$F,$A3,'単価履歴'!$B:$B,MAXIFS('単価履歴'!$B:$B,'単価履歴'!$E:$E,BT$1,'単価履歴'!$F:$F,$A3))=0,"",MAXIFS('単価履歴'!$H:$H,'単価履歴'!$E:$E,BT$1,'単価履歴'!$F:$F,$A3,'単価履歴'!$B:$B,MAXIFS('単価履歴'!$B:$B,'単価履歴'!$E:$E,BT$1,'単価履歴'!$F:$F,$A3)))</f>
        <v/>
      </c>
      <c r="BU3" s="332" t="str">
        <f>IF(MAXIFS('単価履歴'!$H:$H,'単価履歴'!$E:$E,BU$1,'単価履歴'!$F:$F,$A3,'単価履歴'!$B:$B,MAXIFS('単価履歴'!$B:$B,'単価履歴'!$E:$E,BU$1,'単価履歴'!$F:$F,$A3))=0,"",MAXIFS('単価履歴'!$H:$H,'単価履歴'!$E:$E,BU$1,'単価履歴'!$F:$F,$A3,'単価履歴'!$B:$B,MAXIFS('単価履歴'!$B:$B,'単価履歴'!$E:$E,BU$1,'単価履歴'!$F:$F,$A3)))</f>
        <v/>
      </c>
      <c r="BV3" s="332" t="str">
        <f>IF(MAXIFS('単価履歴'!$H:$H,'単価履歴'!$E:$E,BV$1,'単価履歴'!$F:$F,$A3,'単価履歴'!$B:$B,MAXIFS('単価履歴'!$B:$B,'単価履歴'!$E:$E,BV$1,'単価履歴'!$F:$F,$A3))=0,"",MAXIFS('単価履歴'!$H:$H,'単価履歴'!$E:$E,BV$1,'単価履歴'!$F:$F,$A3,'単価履歴'!$B:$B,MAXIFS('単価履歴'!$B:$B,'単価履歴'!$E:$E,BV$1,'単価履歴'!$F:$F,$A3)))</f>
        <v/>
      </c>
      <c r="BW3" s="332" t="str">
        <f>IF(MAXIFS('単価履歴'!$H:$H,'単価履歴'!$E:$E,BW$1,'単価履歴'!$F:$F,$A3,'単価履歴'!$B:$B,MAXIFS('単価履歴'!$B:$B,'単価履歴'!$E:$E,BW$1,'単価履歴'!$F:$F,$A3))=0,"",MAXIFS('単価履歴'!$H:$H,'単価履歴'!$E:$E,BW$1,'単価履歴'!$F:$F,$A3,'単価履歴'!$B:$B,MAXIFS('単価履歴'!$B:$B,'単価履歴'!$E:$E,BW$1,'単価履歴'!$F:$F,$A3)))</f>
        <v/>
      </c>
      <c r="BX3" s="332" t="str">
        <f>IF(MAXIFS('単価履歴'!$H:$H,'単価履歴'!$E:$E,BX$1,'単価履歴'!$F:$F,$A3,'単価履歴'!$B:$B,MAXIFS('単価履歴'!$B:$B,'単価履歴'!$E:$E,BX$1,'単価履歴'!$F:$F,$A3))=0,"",MAXIFS('単価履歴'!$H:$H,'単価履歴'!$E:$E,BX$1,'単価履歴'!$F:$F,$A3,'単価履歴'!$B:$B,MAXIFS('単価履歴'!$B:$B,'単価履歴'!$E:$E,BX$1,'単価履歴'!$F:$F,$A3)))</f>
        <v/>
      </c>
      <c r="BY3" s="332" t="str">
        <f>IF(MAXIFS('単価履歴'!$H:$H,'単価履歴'!$E:$E,BY$1,'単価履歴'!$F:$F,$A3,'単価履歴'!$B:$B,MAXIFS('単価履歴'!$B:$B,'単価履歴'!$E:$E,BY$1,'単価履歴'!$F:$F,$A3))=0,"",MAXIFS('単価履歴'!$H:$H,'単価履歴'!$E:$E,BY$1,'単価履歴'!$F:$F,$A3,'単価履歴'!$B:$B,MAXIFS('単価履歴'!$B:$B,'単価履歴'!$E:$E,BY$1,'単価履歴'!$F:$F,$A3)))</f>
        <v/>
      </c>
      <c r="BZ3" s="332" t="str">
        <f>IF(MAXIFS('単価履歴'!$H:$H,'単価履歴'!$E:$E,BZ$1,'単価履歴'!$F:$F,$A3,'単価履歴'!$B:$B,MAXIFS('単価履歴'!$B:$B,'単価履歴'!$E:$E,BZ$1,'単価履歴'!$F:$F,$A3))=0,"",MAXIFS('単価履歴'!$H:$H,'単価履歴'!$E:$E,BZ$1,'単価履歴'!$F:$F,$A3,'単価履歴'!$B:$B,MAXIFS('単価履歴'!$B:$B,'単価履歴'!$E:$E,BZ$1,'単価履歴'!$F:$F,$A3)))</f>
        <v/>
      </c>
      <c r="CA3" s="332" t="str">
        <f>IF(MAXIFS('単価履歴'!$H:$H,'単価履歴'!$E:$E,CA$1,'単価履歴'!$F:$F,$A3,'単価履歴'!$B:$B,MAXIFS('単価履歴'!$B:$B,'単価履歴'!$E:$E,CA$1,'単価履歴'!$F:$F,$A3))=0,"",MAXIFS('単価履歴'!$H:$H,'単価履歴'!$E:$E,CA$1,'単価履歴'!$F:$F,$A3,'単価履歴'!$B:$B,MAXIFS('単価履歴'!$B:$B,'単価履歴'!$E:$E,CA$1,'単価履歴'!$F:$F,$A3)))</f>
        <v/>
      </c>
      <c r="CB3" s="332" t="str">
        <f>IF(MAXIFS('単価履歴'!$H:$H,'単価履歴'!$E:$E,CB$1,'単価履歴'!$F:$F,$A3,'単価履歴'!$B:$B,MAXIFS('単価履歴'!$B:$B,'単価履歴'!$E:$E,CB$1,'単価履歴'!$F:$F,$A3))=0,"",MAXIFS('単価履歴'!$H:$H,'単価履歴'!$E:$E,CB$1,'単価履歴'!$F:$F,$A3,'単価履歴'!$B:$B,MAXIFS('単価履歴'!$B:$B,'単価履歴'!$E:$E,CB$1,'単価履歴'!$F:$F,$A3)))</f>
        <v/>
      </c>
      <c r="CC3" s="332" t="str">
        <f>IF(MAXIFS('単価履歴'!$H:$H,'単価履歴'!$E:$E,CC$1,'単価履歴'!$F:$F,$A3,'単価履歴'!$B:$B,MAXIFS('単価履歴'!$B:$B,'単価履歴'!$E:$E,CC$1,'単価履歴'!$F:$F,$A3))=0,"",MAXIFS('単価履歴'!$H:$H,'単価履歴'!$E:$E,CC$1,'単価履歴'!$F:$F,$A3,'単価履歴'!$B:$B,MAXIFS('単価履歴'!$B:$B,'単価履歴'!$E:$E,CC$1,'単価履歴'!$F:$F,$A3)))</f>
        <v/>
      </c>
      <c r="CD3" s="332" t="str">
        <f>IF(MAXIFS('単価履歴'!$H:$H,'単価履歴'!$E:$E,CD$1,'単価履歴'!$F:$F,$A3,'単価履歴'!$B:$B,MAXIFS('単価履歴'!$B:$B,'単価履歴'!$E:$E,CD$1,'単価履歴'!$F:$F,$A3))=0,"",MAXIFS('単価履歴'!$H:$H,'単価履歴'!$E:$E,CD$1,'単価履歴'!$F:$F,$A3,'単価履歴'!$B:$B,MAXIFS('単価履歴'!$B:$B,'単価履歴'!$E:$E,CD$1,'単価履歴'!$F:$F,$A3)))</f>
        <v/>
      </c>
      <c r="CE3" s="332" t="str">
        <f>IF(MAXIFS('単価履歴'!$H:$H,'単価履歴'!$E:$E,CE$1,'単価履歴'!$F:$F,$A3,'単価履歴'!$B:$B,MAXIFS('単価履歴'!$B:$B,'単価履歴'!$E:$E,CE$1,'単価履歴'!$F:$F,$A3))=0,"",MAXIFS('単価履歴'!$H:$H,'単価履歴'!$E:$E,CE$1,'単価履歴'!$F:$F,$A3,'単価履歴'!$B:$B,MAXIFS('単価履歴'!$B:$B,'単価履歴'!$E:$E,CE$1,'単価履歴'!$F:$F,$A3)))</f>
        <v/>
      </c>
      <c r="CF3" s="332" t="str">
        <f>IF(MAXIFS('単価履歴'!$H:$H,'単価履歴'!$E:$E,CF$1,'単価履歴'!$F:$F,$A3,'単価履歴'!$B:$B,MAXIFS('単価履歴'!$B:$B,'単価履歴'!$E:$E,CF$1,'単価履歴'!$F:$F,$A3))=0,"",MAXIFS('単価履歴'!$H:$H,'単価履歴'!$E:$E,CF$1,'単価履歴'!$F:$F,$A3,'単価履歴'!$B:$B,MAXIFS('単価履歴'!$B:$B,'単価履歴'!$E:$E,CF$1,'単価履歴'!$F:$F,$A3)))</f>
        <v/>
      </c>
      <c r="CG3" s="332" t="str">
        <f>IF(MAXIFS('単価履歴'!$H:$H,'単価履歴'!$E:$E,CG$1,'単価履歴'!$F:$F,$A3,'単価履歴'!$B:$B,MAXIFS('単価履歴'!$B:$B,'単価履歴'!$E:$E,CG$1,'単価履歴'!$F:$F,$A3))=0,"",MAXIFS('単価履歴'!$H:$H,'単価履歴'!$E:$E,CG$1,'単価履歴'!$F:$F,$A3,'単価履歴'!$B:$B,MAXIFS('単価履歴'!$B:$B,'単価履歴'!$E:$E,CG$1,'単価履歴'!$F:$F,$A3)))</f>
        <v/>
      </c>
      <c r="CH3" s="332" t="str">
        <f>IF(MAXIFS('単価履歴'!$H:$H,'単価履歴'!$E:$E,CH$1,'単価履歴'!$F:$F,$A3,'単価履歴'!$B:$B,MAXIFS('単価履歴'!$B:$B,'単価履歴'!$E:$E,CH$1,'単価履歴'!$F:$F,$A3))=0,"",MAXIFS('単価履歴'!$H:$H,'単価履歴'!$E:$E,CH$1,'単価履歴'!$F:$F,$A3,'単価履歴'!$B:$B,MAXIFS('単価履歴'!$B:$B,'単価履歴'!$E:$E,CH$1,'単価履歴'!$F:$F,$A3)))</f>
        <v/>
      </c>
    </row>
    <row r="4" ht="15.75" customHeight="1">
      <c r="A4" s="432" t="s">
        <v>105</v>
      </c>
      <c r="B4" s="332">
        <f>MAXIFS('単価履歴'!H:H,'単価履歴'!F:F,A4,'単価履歴'!N:N,"●")</f>
        <v>57.6</v>
      </c>
      <c r="C4" s="332" t="str">
        <f>IF(MAXIFS('単価履歴'!$H:$H,'単価履歴'!$E:$E,C$1,'単価履歴'!$F:$F,$A4,'単価履歴'!$B:$B,MAXIFS('単価履歴'!$B:$B,'単価履歴'!$E:$E,C$1,'単価履歴'!$F:$F,$A4))=0,"",MAXIFS('単価履歴'!$H:$H,'単価履歴'!$E:$E,C$1,'単価履歴'!$F:$F,$A4,'単価履歴'!$B:$B,MAXIFS('単価履歴'!$B:$B,'単価履歴'!$E:$E,C$1,'単価履歴'!$F:$F,$A4)))</f>
        <v/>
      </c>
      <c r="D4" s="332" t="str">
        <f>IF(MAXIFS('単価履歴'!$H:$H,'単価履歴'!$E:$E,D$1,'単価履歴'!$F:$F,$A4,'単価履歴'!$B:$B,MAXIFS('単価履歴'!$B:$B,'単価履歴'!$E:$E,D$1,'単価履歴'!$F:$F,$A4))=0,"",MAXIFS('単価履歴'!$H:$H,'単価履歴'!$E:$E,D$1,'単価履歴'!$F:$F,$A4,'単価履歴'!$B:$B,MAXIFS('単価履歴'!$B:$B,'単価履歴'!$E:$E,D$1,'単価履歴'!$F:$F,$A4)))</f>
        <v/>
      </c>
      <c r="E4" s="332" t="str">
        <f>IF(MAXIFS('単価履歴'!$H:$H,'単価履歴'!$E:$E,E$1,'単価履歴'!$F:$F,$A4,'単価履歴'!$B:$B,MAXIFS('単価履歴'!$B:$B,'単価履歴'!$E:$E,E$1,'単価履歴'!$F:$F,$A4))=0,"",MAXIFS('単価履歴'!$H:$H,'単価履歴'!$E:$E,E$1,'単価履歴'!$F:$F,$A4,'単価履歴'!$B:$B,MAXIFS('単価履歴'!$B:$B,'単価履歴'!$E:$E,E$1,'単価履歴'!$F:$F,$A4)))</f>
        <v/>
      </c>
      <c r="F4" s="332" t="str">
        <f>IF(MAXIFS('単価履歴'!$H:$H,'単価履歴'!$E:$E,F$1,'単価履歴'!$F:$F,$A4,'単価履歴'!$B:$B,MAXIFS('単価履歴'!$B:$B,'単価履歴'!$E:$E,F$1,'単価履歴'!$F:$F,$A4))=0,"",MAXIFS('単価履歴'!$H:$H,'単価履歴'!$E:$E,F$1,'単価履歴'!$F:$F,$A4,'単価履歴'!$B:$B,MAXIFS('単価履歴'!$B:$B,'単価履歴'!$E:$E,F$1,'単価履歴'!$F:$F,$A4)))</f>
        <v/>
      </c>
      <c r="G4" s="332" t="str">
        <f>IF(MAXIFS('単価履歴'!$H:$H,'単価履歴'!$E:$E,G$1,'単価履歴'!$F:$F,$A4,'単価履歴'!$B:$B,MAXIFS('単価履歴'!$B:$B,'単価履歴'!$E:$E,G$1,'単価履歴'!$F:$F,$A4))=0,"",MAXIFS('単価履歴'!$H:$H,'単価履歴'!$E:$E,G$1,'単価履歴'!$F:$F,$A4,'単価履歴'!$B:$B,MAXIFS('単価履歴'!$B:$B,'単価履歴'!$E:$E,G$1,'単価履歴'!$F:$F,$A4)))</f>
        <v/>
      </c>
      <c r="H4" s="332" t="str">
        <f>IF(MAXIFS('単価履歴'!$H:$H,'単価履歴'!$E:$E,H$1,'単価履歴'!$F:$F,$A4,'単価履歴'!$B:$B,MAXIFS('単価履歴'!$B:$B,'単価履歴'!$E:$E,H$1,'単価履歴'!$F:$F,$A4))=0,"",MAXIFS('単価履歴'!$H:$H,'単価履歴'!$E:$E,H$1,'単価履歴'!$F:$F,$A4,'単価履歴'!$B:$B,MAXIFS('単価履歴'!$B:$B,'単価履歴'!$E:$E,H$1,'単価履歴'!$F:$F,$A4)))</f>
        <v/>
      </c>
      <c r="I4" s="332" t="str">
        <f>IF(MAXIFS('単価履歴'!$H:$H,'単価履歴'!$E:$E,I$1,'単価履歴'!$F:$F,$A4,'単価履歴'!$B:$B,MAXIFS('単価履歴'!$B:$B,'単価履歴'!$E:$E,I$1,'単価履歴'!$F:$F,$A4))=0,"",MAXIFS('単価履歴'!$H:$H,'単価履歴'!$E:$E,I$1,'単価履歴'!$F:$F,$A4,'単価履歴'!$B:$B,MAXIFS('単価履歴'!$B:$B,'単価履歴'!$E:$E,I$1,'単価履歴'!$F:$F,$A4)))</f>
        <v/>
      </c>
      <c r="J4" s="332" t="str">
        <f>IF(MAXIFS('単価履歴'!$H:$H,'単価履歴'!$E:$E,J$1,'単価履歴'!$F:$F,$A4,'単価履歴'!$B:$B,MAXIFS('単価履歴'!$B:$B,'単価履歴'!$E:$E,J$1,'単価履歴'!$F:$F,$A4))=0,"",MAXIFS('単価履歴'!$H:$H,'単価履歴'!$E:$E,J$1,'単価履歴'!$F:$F,$A4,'単価履歴'!$B:$B,MAXIFS('単価履歴'!$B:$B,'単価履歴'!$E:$E,J$1,'単価履歴'!$F:$F,$A4)))</f>
        <v/>
      </c>
      <c r="K4" s="332" t="str">
        <f>IF(MAXIFS('単価履歴'!$H:$H,'単価履歴'!$E:$E,K$1,'単価履歴'!$F:$F,$A4,'単価履歴'!$B:$B,MAXIFS('単価履歴'!$B:$B,'単価履歴'!$E:$E,K$1,'単価履歴'!$F:$F,$A4))=0,"",MAXIFS('単価履歴'!$H:$H,'単価履歴'!$E:$E,K$1,'単価履歴'!$F:$F,$A4,'単価履歴'!$B:$B,MAXIFS('単価履歴'!$B:$B,'単価履歴'!$E:$E,K$1,'単価履歴'!$F:$F,$A4)))</f>
        <v/>
      </c>
      <c r="L4" s="332" t="str">
        <f>IF(MAXIFS('単価履歴'!$H:$H,'単価履歴'!$E:$E,L$1,'単価履歴'!$F:$F,$A4,'単価履歴'!$B:$B,MAXIFS('単価履歴'!$B:$B,'単価履歴'!$E:$E,L$1,'単価履歴'!$F:$F,$A4))=0,"",MAXIFS('単価履歴'!$H:$H,'単価履歴'!$E:$E,L$1,'単価履歴'!$F:$F,$A4,'単価履歴'!$B:$B,MAXIFS('単価履歴'!$B:$B,'単価履歴'!$E:$E,L$1,'単価履歴'!$F:$F,$A4)))</f>
        <v/>
      </c>
      <c r="M4" s="332" t="str">
        <f>IF(MAXIFS('単価履歴'!$H:$H,'単価履歴'!$E:$E,M$1,'単価履歴'!$F:$F,$A4,'単価履歴'!$B:$B,MAXIFS('単価履歴'!$B:$B,'単価履歴'!$E:$E,M$1,'単価履歴'!$F:$F,$A4))=0,"",MAXIFS('単価履歴'!$H:$H,'単価履歴'!$E:$E,M$1,'単価履歴'!$F:$F,$A4,'単価履歴'!$B:$B,MAXIFS('単価履歴'!$B:$B,'単価履歴'!$E:$E,M$1,'単価履歴'!$F:$F,$A4)))</f>
        <v/>
      </c>
      <c r="N4" s="332" t="str">
        <f>IF(MAXIFS('単価履歴'!$H:$H,'単価履歴'!$E:$E,N$1,'単価履歴'!$F:$F,$A4,'単価履歴'!$B:$B,MAXIFS('単価履歴'!$B:$B,'単価履歴'!$E:$E,N$1,'単価履歴'!$F:$F,$A4))=0,"",MAXIFS('単価履歴'!$H:$H,'単価履歴'!$E:$E,N$1,'単価履歴'!$F:$F,$A4,'単価履歴'!$B:$B,MAXIFS('単価履歴'!$B:$B,'単価履歴'!$E:$E,N$1,'単価履歴'!$F:$F,$A4)))</f>
        <v/>
      </c>
      <c r="O4" s="332" t="str">
        <f>IF(MAXIFS('単価履歴'!$H:$H,'単価履歴'!$E:$E,O$1,'単価履歴'!$F:$F,$A4,'単価履歴'!$B:$B,MAXIFS('単価履歴'!$B:$B,'単価履歴'!$E:$E,O$1,'単価履歴'!$F:$F,$A4))=0,"",MAXIFS('単価履歴'!$H:$H,'単価履歴'!$E:$E,O$1,'単価履歴'!$F:$F,$A4,'単価履歴'!$B:$B,MAXIFS('単価履歴'!$B:$B,'単価履歴'!$E:$E,O$1,'単価履歴'!$F:$F,$A4)))</f>
        <v/>
      </c>
      <c r="P4" s="332" t="str">
        <f>IF(MAXIFS('単価履歴'!$H:$H,'単価履歴'!$E:$E,P$1,'単価履歴'!$F:$F,$A4,'単価履歴'!$B:$B,MAXIFS('単価履歴'!$B:$B,'単価履歴'!$E:$E,P$1,'単価履歴'!$F:$F,$A4))=0,"",MAXIFS('単価履歴'!$H:$H,'単価履歴'!$E:$E,P$1,'単価履歴'!$F:$F,$A4,'単価履歴'!$B:$B,MAXIFS('単価履歴'!$B:$B,'単価履歴'!$E:$E,P$1,'単価履歴'!$F:$F,$A4)))</f>
        <v/>
      </c>
      <c r="Q4" s="332" t="str">
        <f>IF(MAXIFS('単価履歴'!$H:$H,'単価履歴'!$E:$E,Q$1,'単価履歴'!$F:$F,$A4,'単価履歴'!$B:$B,MAXIFS('単価履歴'!$B:$B,'単価履歴'!$E:$E,Q$1,'単価履歴'!$F:$F,$A4))=0,"",MAXIFS('単価履歴'!$H:$H,'単価履歴'!$E:$E,Q$1,'単価履歴'!$F:$F,$A4,'単価履歴'!$B:$B,MAXIFS('単価履歴'!$B:$B,'単価履歴'!$E:$E,Q$1,'単価履歴'!$F:$F,$A4)))</f>
        <v/>
      </c>
      <c r="R4" s="332" t="str">
        <f>IF(MAXIFS('単価履歴'!$H:$H,'単価履歴'!$E:$E,R$1,'単価履歴'!$F:$F,$A4,'単価履歴'!$B:$B,MAXIFS('単価履歴'!$B:$B,'単価履歴'!$E:$E,R$1,'単価履歴'!$F:$F,$A4))=0,"",MAXIFS('単価履歴'!$H:$H,'単価履歴'!$E:$E,R$1,'単価履歴'!$F:$F,$A4,'単価履歴'!$B:$B,MAXIFS('単価履歴'!$B:$B,'単価履歴'!$E:$E,R$1,'単価履歴'!$F:$F,$A4)))</f>
        <v/>
      </c>
      <c r="S4" s="332" t="str">
        <f>IF(MAXIFS('単価履歴'!$H:$H,'単価履歴'!$E:$E,S$1,'単価履歴'!$F:$F,$A4,'単価履歴'!$B:$B,MAXIFS('単価履歴'!$B:$B,'単価履歴'!$E:$E,S$1,'単価履歴'!$F:$F,$A4))=0,"",MAXIFS('単価履歴'!$H:$H,'単価履歴'!$E:$E,S$1,'単価履歴'!$F:$F,$A4,'単価履歴'!$B:$B,MAXIFS('単価履歴'!$B:$B,'単価履歴'!$E:$E,S$1,'単価履歴'!$F:$F,$A4)))</f>
        <v/>
      </c>
      <c r="T4" s="332" t="str">
        <f>IF(MAXIFS('単価履歴'!$H:$H,'単価履歴'!$E:$E,T$1,'単価履歴'!$F:$F,$A4,'単価履歴'!$B:$B,MAXIFS('単価履歴'!$B:$B,'単価履歴'!$E:$E,T$1,'単価履歴'!$F:$F,$A4))=0,"",MAXIFS('単価履歴'!$H:$H,'単価履歴'!$E:$E,T$1,'単価履歴'!$F:$F,$A4,'単価履歴'!$B:$B,MAXIFS('単価履歴'!$B:$B,'単価履歴'!$E:$E,T$1,'単価履歴'!$F:$F,$A4)))</f>
        <v/>
      </c>
      <c r="U4" s="332" t="str">
        <f>IF(MAXIFS('単価履歴'!$H:$H,'単価履歴'!$E:$E,U$1,'単価履歴'!$F:$F,$A4,'単価履歴'!$B:$B,MAXIFS('単価履歴'!$B:$B,'単価履歴'!$E:$E,U$1,'単価履歴'!$F:$F,$A4))=0,"",MAXIFS('単価履歴'!$H:$H,'単価履歴'!$E:$E,U$1,'単価履歴'!$F:$F,$A4,'単価履歴'!$B:$B,MAXIFS('単価履歴'!$B:$B,'単価履歴'!$E:$E,U$1,'単価履歴'!$F:$F,$A4)))</f>
        <v/>
      </c>
      <c r="V4" s="332">
        <f>IF(MAXIFS('単価履歴'!$H:$H,'単価履歴'!$E:$E,V$1,'単価履歴'!$F:$F,$A4,'単価履歴'!$B:$B,MAXIFS('単価履歴'!$B:$B,'単価履歴'!$E:$E,V$1,'単価履歴'!$F:$F,$A4))=0,"",MAXIFS('単価履歴'!$H:$H,'単価履歴'!$E:$E,V$1,'単価履歴'!$F:$F,$A4,'単価履歴'!$B:$B,MAXIFS('単価履歴'!$B:$B,'単価履歴'!$E:$E,V$1,'単価履歴'!$F:$F,$A4)))</f>
        <v>57.6</v>
      </c>
      <c r="W4" s="332" t="str">
        <f>IF(MAXIFS('単価履歴'!$H:$H,'単価履歴'!$E:$E,W$1,'単価履歴'!$F:$F,$A4,'単価履歴'!$B:$B,MAXIFS('単価履歴'!$B:$B,'単価履歴'!$E:$E,W$1,'単価履歴'!$F:$F,$A4))=0,"",MAXIFS('単価履歴'!$H:$H,'単価履歴'!$E:$E,W$1,'単価履歴'!$F:$F,$A4,'単価履歴'!$B:$B,MAXIFS('単価履歴'!$B:$B,'単価履歴'!$E:$E,W$1,'単価履歴'!$F:$F,$A4)))</f>
        <v/>
      </c>
      <c r="X4" s="332" t="str">
        <f>IF(MAXIFS('単価履歴'!$H:$H,'単価履歴'!$E:$E,X$1,'単価履歴'!$F:$F,$A4,'単価履歴'!$B:$B,MAXIFS('単価履歴'!$B:$B,'単価履歴'!$E:$E,X$1,'単価履歴'!$F:$F,$A4))=0,"",MAXIFS('単価履歴'!$H:$H,'単価履歴'!$E:$E,X$1,'単価履歴'!$F:$F,$A4,'単価履歴'!$B:$B,MAXIFS('単価履歴'!$B:$B,'単価履歴'!$E:$E,X$1,'単価履歴'!$F:$F,$A4)))</f>
        <v/>
      </c>
      <c r="Y4" s="332" t="str">
        <f>IF(MAXIFS('単価履歴'!$H:$H,'単価履歴'!$E:$E,Y$1,'単価履歴'!$F:$F,$A4,'単価履歴'!$B:$B,MAXIFS('単価履歴'!$B:$B,'単価履歴'!$E:$E,Y$1,'単価履歴'!$F:$F,$A4))=0,"",MAXIFS('単価履歴'!$H:$H,'単価履歴'!$E:$E,Y$1,'単価履歴'!$F:$F,$A4,'単価履歴'!$B:$B,MAXIFS('単価履歴'!$B:$B,'単価履歴'!$E:$E,Y$1,'単価履歴'!$F:$F,$A4)))</f>
        <v/>
      </c>
      <c r="Z4" s="332" t="str">
        <f>IF(MAXIFS('単価履歴'!$H:$H,'単価履歴'!$E:$E,Z$1,'単価履歴'!$F:$F,$A4,'単価履歴'!$B:$B,MAXIFS('単価履歴'!$B:$B,'単価履歴'!$E:$E,Z$1,'単価履歴'!$F:$F,$A4))=0,"",MAXIFS('単価履歴'!$H:$H,'単価履歴'!$E:$E,Z$1,'単価履歴'!$F:$F,$A4,'単価履歴'!$B:$B,MAXIFS('単価履歴'!$B:$B,'単価履歴'!$E:$E,Z$1,'単価履歴'!$F:$F,$A4)))</f>
        <v/>
      </c>
      <c r="AA4" s="332" t="str">
        <f>IF(MAXIFS('単価履歴'!$H:$H,'単価履歴'!$E:$E,AA$1,'単価履歴'!$F:$F,$A4,'単価履歴'!$B:$B,MAXIFS('単価履歴'!$B:$B,'単価履歴'!$E:$E,AA$1,'単価履歴'!$F:$F,$A4))=0,"",MAXIFS('単価履歴'!$H:$H,'単価履歴'!$E:$E,AA$1,'単価履歴'!$F:$F,$A4,'単価履歴'!$B:$B,MAXIFS('単価履歴'!$B:$B,'単価履歴'!$E:$E,AA$1,'単価履歴'!$F:$F,$A4)))</f>
        <v/>
      </c>
      <c r="AB4" s="332" t="str">
        <f>IF(MAXIFS('単価履歴'!$H:$H,'単価履歴'!$E:$E,AB$1,'単価履歴'!$F:$F,$A4,'単価履歴'!$B:$B,MAXIFS('単価履歴'!$B:$B,'単価履歴'!$E:$E,AB$1,'単価履歴'!$F:$F,$A4))=0,"",MAXIFS('単価履歴'!$H:$H,'単価履歴'!$E:$E,AB$1,'単価履歴'!$F:$F,$A4,'単価履歴'!$B:$B,MAXIFS('単価履歴'!$B:$B,'単価履歴'!$E:$E,AB$1,'単価履歴'!$F:$F,$A4)))</f>
        <v/>
      </c>
      <c r="AC4" s="332" t="str">
        <f>IF(MAXIFS('単価履歴'!$H:$H,'単価履歴'!$E:$E,AC$1,'単価履歴'!$F:$F,$A4,'単価履歴'!$B:$B,MAXIFS('単価履歴'!$B:$B,'単価履歴'!$E:$E,AC$1,'単価履歴'!$F:$F,$A4))=0,"",MAXIFS('単価履歴'!$H:$H,'単価履歴'!$E:$E,AC$1,'単価履歴'!$F:$F,$A4,'単価履歴'!$B:$B,MAXIFS('単価履歴'!$B:$B,'単価履歴'!$E:$E,AC$1,'単価履歴'!$F:$F,$A4)))</f>
        <v/>
      </c>
      <c r="AD4" s="332" t="str">
        <f>IF(MAXIFS('単価履歴'!$H:$H,'単価履歴'!$E:$E,AD$1,'単価履歴'!$F:$F,$A4,'単価履歴'!$B:$B,MAXIFS('単価履歴'!$B:$B,'単価履歴'!$E:$E,AD$1,'単価履歴'!$F:$F,$A4))=0,"",MAXIFS('単価履歴'!$H:$H,'単価履歴'!$E:$E,AD$1,'単価履歴'!$F:$F,$A4,'単価履歴'!$B:$B,MAXIFS('単価履歴'!$B:$B,'単価履歴'!$E:$E,AD$1,'単価履歴'!$F:$F,$A4)))</f>
        <v/>
      </c>
      <c r="AE4" s="332" t="str">
        <f>IF(MAXIFS('単価履歴'!$H:$H,'単価履歴'!$E:$E,AE$1,'単価履歴'!$F:$F,$A4,'単価履歴'!$B:$B,MAXIFS('単価履歴'!$B:$B,'単価履歴'!$E:$E,AE$1,'単価履歴'!$F:$F,$A4))=0,"",MAXIFS('単価履歴'!$H:$H,'単価履歴'!$E:$E,AE$1,'単価履歴'!$F:$F,$A4,'単価履歴'!$B:$B,MAXIFS('単価履歴'!$B:$B,'単価履歴'!$E:$E,AE$1,'単価履歴'!$F:$F,$A4)))</f>
        <v/>
      </c>
      <c r="AF4" s="332" t="str">
        <f>IF(MAXIFS('単価履歴'!$H:$H,'単価履歴'!$E:$E,AF$1,'単価履歴'!$F:$F,$A4,'単価履歴'!$B:$B,MAXIFS('単価履歴'!$B:$B,'単価履歴'!$E:$E,AF$1,'単価履歴'!$F:$F,$A4))=0,"",MAXIFS('単価履歴'!$H:$H,'単価履歴'!$E:$E,AF$1,'単価履歴'!$F:$F,$A4,'単価履歴'!$B:$B,MAXIFS('単価履歴'!$B:$B,'単価履歴'!$E:$E,AF$1,'単価履歴'!$F:$F,$A4)))</f>
        <v/>
      </c>
      <c r="AG4" s="332" t="str">
        <f>IF(MAXIFS('単価履歴'!$H:$H,'単価履歴'!$E:$E,AG$1,'単価履歴'!$F:$F,$A4,'単価履歴'!$B:$B,MAXIFS('単価履歴'!$B:$B,'単価履歴'!$E:$E,AG$1,'単価履歴'!$F:$F,$A4))=0,"",MAXIFS('単価履歴'!$H:$H,'単価履歴'!$E:$E,AG$1,'単価履歴'!$F:$F,$A4,'単価履歴'!$B:$B,MAXIFS('単価履歴'!$B:$B,'単価履歴'!$E:$E,AG$1,'単価履歴'!$F:$F,$A4)))</f>
        <v/>
      </c>
      <c r="AH4" s="332" t="str">
        <f>IF(MAXIFS('単価履歴'!$H:$H,'単価履歴'!$E:$E,AH$1,'単価履歴'!$F:$F,$A4,'単価履歴'!$B:$B,MAXIFS('単価履歴'!$B:$B,'単価履歴'!$E:$E,AH$1,'単価履歴'!$F:$F,$A4))=0,"",MAXIFS('単価履歴'!$H:$H,'単価履歴'!$E:$E,AH$1,'単価履歴'!$F:$F,$A4,'単価履歴'!$B:$B,MAXIFS('単価履歴'!$B:$B,'単価履歴'!$E:$E,AH$1,'単価履歴'!$F:$F,$A4)))</f>
        <v/>
      </c>
      <c r="AI4" s="332" t="str">
        <f>IF(MAXIFS('単価履歴'!$H:$H,'単価履歴'!$E:$E,AI$1,'単価履歴'!$F:$F,$A4,'単価履歴'!$B:$B,MAXIFS('単価履歴'!$B:$B,'単価履歴'!$E:$E,AI$1,'単価履歴'!$F:$F,$A4))=0,"",MAXIFS('単価履歴'!$H:$H,'単価履歴'!$E:$E,AI$1,'単価履歴'!$F:$F,$A4,'単価履歴'!$B:$B,MAXIFS('単価履歴'!$B:$B,'単価履歴'!$E:$E,AI$1,'単価履歴'!$F:$F,$A4)))</f>
        <v/>
      </c>
      <c r="AJ4" s="332" t="str">
        <f>IF(MAXIFS('単価履歴'!$H:$H,'単価履歴'!$E:$E,AJ$1,'単価履歴'!$F:$F,$A4,'単価履歴'!$B:$B,MAXIFS('単価履歴'!$B:$B,'単価履歴'!$E:$E,AJ$1,'単価履歴'!$F:$F,$A4))=0,"",MAXIFS('単価履歴'!$H:$H,'単価履歴'!$E:$E,AJ$1,'単価履歴'!$F:$F,$A4,'単価履歴'!$B:$B,MAXIFS('単価履歴'!$B:$B,'単価履歴'!$E:$E,AJ$1,'単価履歴'!$F:$F,$A4)))</f>
        <v/>
      </c>
      <c r="AK4" s="332" t="str">
        <f>IF(MAXIFS('単価履歴'!$H:$H,'単価履歴'!$E:$E,AK$1,'単価履歴'!$F:$F,$A4,'単価履歴'!$B:$B,MAXIFS('単価履歴'!$B:$B,'単価履歴'!$E:$E,AK$1,'単価履歴'!$F:$F,$A4))=0,"",MAXIFS('単価履歴'!$H:$H,'単価履歴'!$E:$E,AK$1,'単価履歴'!$F:$F,$A4,'単価履歴'!$B:$B,MAXIFS('単価履歴'!$B:$B,'単価履歴'!$E:$E,AK$1,'単価履歴'!$F:$F,$A4)))</f>
        <v/>
      </c>
      <c r="AL4" s="332" t="str">
        <f>IF(MAXIFS('単価履歴'!$H:$H,'単価履歴'!$E:$E,AL$1,'単価履歴'!$F:$F,$A4,'単価履歴'!$B:$B,MAXIFS('単価履歴'!$B:$B,'単価履歴'!$E:$E,AL$1,'単価履歴'!$F:$F,$A4))=0,"",MAXIFS('単価履歴'!$H:$H,'単価履歴'!$E:$E,AL$1,'単価履歴'!$F:$F,$A4,'単価履歴'!$B:$B,MAXIFS('単価履歴'!$B:$B,'単価履歴'!$E:$E,AL$1,'単価履歴'!$F:$F,$A4)))</f>
        <v/>
      </c>
      <c r="AM4" s="332" t="str">
        <f>IF(MAXIFS('単価履歴'!$H:$H,'単価履歴'!$E:$E,AM$1,'単価履歴'!$F:$F,$A4,'単価履歴'!$B:$B,MAXIFS('単価履歴'!$B:$B,'単価履歴'!$E:$E,AM$1,'単価履歴'!$F:$F,$A4))=0,"",MAXIFS('単価履歴'!$H:$H,'単価履歴'!$E:$E,AM$1,'単価履歴'!$F:$F,$A4,'単価履歴'!$B:$B,MAXIFS('単価履歴'!$B:$B,'単価履歴'!$E:$E,AM$1,'単価履歴'!$F:$F,$A4)))</f>
        <v/>
      </c>
      <c r="AN4" s="332" t="str">
        <f>IF(MAXIFS('単価履歴'!$H:$H,'単価履歴'!$E:$E,AN$1,'単価履歴'!$F:$F,$A4,'単価履歴'!$B:$B,MAXIFS('単価履歴'!$B:$B,'単価履歴'!$E:$E,AN$1,'単価履歴'!$F:$F,$A4))=0,"",MAXIFS('単価履歴'!$H:$H,'単価履歴'!$E:$E,AN$1,'単価履歴'!$F:$F,$A4,'単価履歴'!$B:$B,MAXIFS('単価履歴'!$B:$B,'単価履歴'!$E:$E,AN$1,'単価履歴'!$F:$F,$A4)))</f>
        <v/>
      </c>
      <c r="AO4" s="332" t="str">
        <f>IF(MAXIFS('単価履歴'!$H:$H,'単価履歴'!$E:$E,AO$1,'単価履歴'!$F:$F,$A4,'単価履歴'!$B:$B,MAXIFS('単価履歴'!$B:$B,'単価履歴'!$E:$E,AO$1,'単価履歴'!$F:$F,$A4))=0,"",MAXIFS('単価履歴'!$H:$H,'単価履歴'!$E:$E,AO$1,'単価履歴'!$F:$F,$A4,'単価履歴'!$B:$B,MAXIFS('単価履歴'!$B:$B,'単価履歴'!$E:$E,AO$1,'単価履歴'!$F:$F,$A4)))</f>
        <v/>
      </c>
      <c r="AP4" s="332" t="str">
        <f>IF(MAXIFS('単価履歴'!$H:$H,'単価履歴'!$E:$E,AP$1,'単価履歴'!$F:$F,$A4,'単価履歴'!$B:$B,MAXIFS('単価履歴'!$B:$B,'単価履歴'!$E:$E,AP$1,'単価履歴'!$F:$F,$A4))=0,"",MAXIFS('単価履歴'!$H:$H,'単価履歴'!$E:$E,AP$1,'単価履歴'!$F:$F,$A4,'単価履歴'!$B:$B,MAXIFS('単価履歴'!$B:$B,'単価履歴'!$E:$E,AP$1,'単価履歴'!$F:$F,$A4)))</f>
        <v/>
      </c>
      <c r="AQ4" s="332" t="str">
        <f>IF(MAXIFS('単価履歴'!$H:$H,'単価履歴'!$E:$E,AQ$1,'単価履歴'!$F:$F,$A4,'単価履歴'!$B:$B,MAXIFS('単価履歴'!$B:$B,'単価履歴'!$E:$E,AQ$1,'単価履歴'!$F:$F,$A4))=0,"",MAXIFS('単価履歴'!$H:$H,'単価履歴'!$E:$E,AQ$1,'単価履歴'!$F:$F,$A4,'単価履歴'!$B:$B,MAXIFS('単価履歴'!$B:$B,'単価履歴'!$E:$E,AQ$1,'単価履歴'!$F:$F,$A4)))</f>
        <v/>
      </c>
      <c r="AR4" s="332">
        <f>IF(MAXIFS('単価履歴'!$H:$H,'単価履歴'!$E:$E,AR$1,'単価履歴'!$F:$F,$A4,'単価履歴'!$B:$B,MAXIFS('単価履歴'!$B:$B,'単価履歴'!$E:$E,AR$1,'単価履歴'!$F:$F,$A4))=0,"",MAXIFS('単価履歴'!$H:$H,'単価履歴'!$E:$E,AR$1,'単価履歴'!$F:$F,$A4,'単価履歴'!$B:$B,MAXIFS('単価履歴'!$B:$B,'単価履歴'!$E:$E,AR$1,'単価履歴'!$F:$F,$A4)))</f>
        <v>53.9</v>
      </c>
      <c r="AS4" s="332">
        <f>IF(MAXIFS('単価履歴'!$H:$H,'単価履歴'!$E:$E,AS$1,'単価履歴'!$F:$F,$A4,'単価履歴'!$B:$B,MAXIFS('単価履歴'!$B:$B,'単価履歴'!$E:$E,AS$1,'単価履歴'!$F:$F,$A4))=0,"",MAXIFS('単価履歴'!$H:$H,'単価履歴'!$E:$E,AS$1,'単価履歴'!$F:$F,$A4,'単価履歴'!$B:$B,MAXIFS('単価履歴'!$B:$B,'単価履歴'!$E:$E,AS$1,'単価履歴'!$F:$F,$A4)))</f>
        <v>56.8</v>
      </c>
      <c r="AT4" s="332">
        <f>IF(MAXIFS('単価履歴'!$H:$H,'単価履歴'!$E:$E,AT$1,'単価履歴'!$F:$F,$A4,'単価履歴'!$B:$B,MAXIFS('単価履歴'!$B:$B,'単価履歴'!$E:$E,AT$1,'単価履歴'!$F:$F,$A4))=0,"",MAXIFS('単価履歴'!$H:$H,'単価履歴'!$E:$E,AT$1,'単価履歴'!$F:$F,$A4,'単価履歴'!$B:$B,MAXIFS('単価履歴'!$B:$B,'単価履歴'!$E:$E,AT$1,'単価履歴'!$F:$F,$A4)))</f>
        <v>57</v>
      </c>
      <c r="AU4" s="332" t="str">
        <f>IF(MAXIFS('単価履歴'!$H:$H,'単価履歴'!$E:$E,AU$1,'単価履歴'!$F:$F,$A4,'単価履歴'!$B:$B,MAXIFS('単価履歴'!$B:$B,'単価履歴'!$E:$E,AU$1,'単価履歴'!$F:$F,$A4))=0,"",MAXIFS('単価履歴'!$H:$H,'単価履歴'!$E:$E,AU$1,'単価履歴'!$F:$F,$A4,'単価履歴'!$B:$B,MAXIFS('単価履歴'!$B:$B,'単価履歴'!$E:$E,AU$1,'単価履歴'!$F:$F,$A4)))</f>
        <v/>
      </c>
      <c r="AV4" s="332" t="str">
        <f>IF(MAXIFS('単価履歴'!$H:$H,'単価履歴'!$E:$E,AV$1,'単価履歴'!$F:$F,$A4,'単価履歴'!$B:$B,MAXIFS('単価履歴'!$B:$B,'単価履歴'!$E:$E,AV$1,'単価履歴'!$F:$F,$A4))=0,"",MAXIFS('単価履歴'!$H:$H,'単価履歴'!$E:$E,AV$1,'単価履歴'!$F:$F,$A4,'単価履歴'!$B:$B,MAXIFS('単価履歴'!$B:$B,'単価履歴'!$E:$E,AV$1,'単価履歴'!$F:$F,$A4)))</f>
        <v/>
      </c>
      <c r="AW4" s="332" t="str">
        <f>IF(MAXIFS('単価履歴'!$H:$H,'単価履歴'!$E:$E,AW$1,'単価履歴'!$F:$F,$A4,'単価履歴'!$B:$B,MAXIFS('単価履歴'!$B:$B,'単価履歴'!$E:$E,AW$1,'単価履歴'!$F:$F,$A4))=0,"",MAXIFS('単価履歴'!$H:$H,'単価履歴'!$E:$E,AW$1,'単価履歴'!$F:$F,$A4,'単価履歴'!$B:$B,MAXIFS('単価履歴'!$B:$B,'単価履歴'!$E:$E,AW$1,'単価履歴'!$F:$F,$A4)))</f>
        <v/>
      </c>
      <c r="AX4" s="332" t="str">
        <f>IF(MAXIFS('単価履歴'!$H:$H,'単価履歴'!$E:$E,AX$1,'単価履歴'!$F:$F,$A4,'単価履歴'!$B:$B,MAXIFS('単価履歴'!$B:$B,'単価履歴'!$E:$E,AX$1,'単価履歴'!$F:$F,$A4))=0,"",MAXIFS('単価履歴'!$H:$H,'単価履歴'!$E:$E,AX$1,'単価履歴'!$F:$F,$A4,'単価履歴'!$B:$B,MAXIFS('単価履歴'!$B:$B,'単価履歴'!$E:$E,AX$1,'単価履歴'!$F:$F,$A4)))</f>
        <v/>
      </c>
      <c r="AY4" s="332" t="str">
        <f>IF(MAXIFS('単価履歴'!$H:$H,'単価履歴'!$E:$E,AY$1,'単価履歴'!$F:$F,$A4,'単価履歴'!$B:$B,MAXIFS('単価履歴'!$B:$B,'単価履歴'!$E:$E,AY$1,'単価履歴'!$F:$F,$A4))=0,"",MAXIFS('単価履歴'!$H:$H,'単価履歴'!$E:$E,AY$1,'単価履歴'!$F:$F,$A4,'単価履歴'!$B:$B,MAXIFS('単価履歴'!$B:$B,'単価履歴'!$E:$E,AY$1,'単価履歴'!$F:$F,$A4)))</f>
        <v/>
      </c>
      <c r="AZ4" s="332" t="str">
        <f>IF(MAXIFS('単価履歴'!$H:$H,'単価履歴'!$E:$E,AZ$1,'単価履歴'!$F:$F,$A4,'単価履歴'!$B:$B,MAXIFS('単価履歴'!$B:$B,'単価履歴'!$E:$E,AZ$1,'単価履歴'!$F:$F,$A4))=0,"",MAXIFS('単価履歴'!$H:$H,'単価履歴'!$E:$E,AZ$1,'単価履歴'!$F:$F,$A4,'単価履歴'!$B:$B,MAXIFS('単価履歴'!$B:$B,'単価履歴'!$E:$E,AZ$1,'単価履歴'!$F:$F,$A4)))</f>
        <v/>
      </c>
      <c r="BA4" s="332" t="str">
        <f>IF(MAXIFS('単価履歴'!$H:$H,'単価履歴'!$E:$E,BA$1,'単価履歴'!$F:$F,$A4,'単価履歴'!$B:$B,MAXIFS('単価履歴'!$B:$B,'単価履歴'!$E:$E,BA$1,'単価履歴'!$F:$F,$A4))=0,"",MAXIFS('単価履歴'!$H:$H,'単価履歴'!$E:$E,BA$1,'単価履歴'!$F:$F,$A4,'単価履歴'!$B:$B,MAXIFS('単価履歴'!$B:$B,'単価履歴'!$E:$E,BA$1,'単価履歴'!$F:$F,$A4)))</f>
        <v/>
      </c>
      <c r="BB4" s="332" t="str">
        <f>IF(MAXIFS('単価履歴'!$H:$H,'単価履歴'!$E:$E,BB$1,'単価履歴'!$F:$F,$A4,'単価履歴'!$B:$B,MAXIFS('単価履歴'!$B:$B,'単価履歴'!$E:$E,BB$1,'単価履歴'!$F:$F,$A4))=0,"",MAXIFS('単価履歴'!$H:$H,'単価履歴'!$E:$E,BB$1,'単価履歴'!$F:$F,$A4,'単価履歴'!$B:$B,MAXIFS('単価履歴'!$B:$B,'単価履歴'!$E:$E,BB$1,'単価履歴'!$F:$F,$A4)))</f>
        <v/>
      </c>
      <c r="BC4" s="332" t="str">
        <f>IF(MAXIFS('単価履歴'!$H:$H,'単価履歴'!$E:$E,BC$1,'単価履歴'!$F:$F,$A4,'単価履歴'!$B:$B,MAXIFS('単価履歴'!$B:$B,'単価履歴'!$E:$E,BC$1,'単価履歴'!$F:$F,$A4))=0,"",MAXIFS('単価履歴'!$H:$H,'単価履歴'!$E:$E,BC$1,'単価履歴'!$F:$F,$A4,'単価履歴'!$B:$B,MAXIFS('単価履歴'!$B:$B,'単価履歴'!$E:$E,BC$1,'単価履歴'!$F:$F,$A4)))</f>
        <v/>
      </c>
      <c r="BD4" s="332" t="str">
        <f>IF(MAXIFS('単価履歴'!$H:$H,'単価履歴'!$E:$E,BD$1,'単価履歴'!$F:$F,$A4,'単価履歴'!$B:$B,MAXIFS('単価履歴'!$B:$B,'単価履歴'!$E:$E,BD$1,'単価履歴'!$F:$F,$A4))=0,"",MAXIFS('単価履歴'!$H:$H,'単価履歴'!$E:$E,BD$1,'単価履歴'!$F:$F,$A4,'単価履歴'!$B:$B,MAXIFS('単価履歴'!$B:$B,'単価履歴'!$E:$E,BD$1,'単価履歴'!$F:$F,$A4)))</f>
        <v/>
      </c>
      <c r="BE4" s="332" t="str">
        <f>IF(MAXIFS('単価履歴'!$H:$H,'単価履歴'!$E:$E,BE$1,'単価履歴'!$F:$F,$A4,'単価履歴'!$B:$B,MAXIFS('単価履歴'!$B:$B,'単価履歴'!$E:$E,BE$1,'単価履歴'!$F:$F,$A4))=0,"",MAXIFS('単価履歴'!$H:$H,'単価履歴'!$E:$E,BE$1,'単価履歴'!$F:$F,$A4,'単価履歴'!$B:$B,MAXIFS('単価履歴'!$B:$B,'単価履歴'!$E:$E,BE$1,'単価履歴'!$F:$F,$A4)))</f>
        <v/>
      </c>
      <c r="BF4" s="332" t="str">
        <f>IF(MAXIFS('単価履歴'!$H:$H,'単価履歴'!$E:$E,BF$1,'単価履歴'!$F:$F,$A4,'単価履歴'!$B:$B,MAXIFS('単価履歴'!$B:$B,'単価履歴'!$E:$E,BF$1,'単価履歴'!$F:$F,$A4))=0,"",MAXIFS('単価履歴'!$H:$H,'単価履歴'!$E:$E,BF$1,'単価履歴'!$F:$F,$A4,'単価履歴'!$B:$B,MAXIFS('単価履歴'!$B:$B,'単価履歴'!$E:$E,BF$1,'単価履歴'!$F:$F,$A4)))</f>
        <v/>
      </c>
      <c r="BG4" s="332" t="str">
        <f>IF(MAXIFS('単価履歴'!$H:$H,'単価履歴'!$E:$E,BG$1,'単価履歴'!$F:$F,$A4,'単価履歴'!$B:$B,MAXIFS('単価履歴'!$B:$B,'単価履歴'!$E:$E,BG$1,'単価履歴'!$F:$F,$A4))=0,"",MAXIFS('単価履歴'!$H:$H,'単価履歴'!$E:$E,BG$1,'単価履歴'!$F:$F,$A4,'単価履歴'!$B:$B,MAXIFS('単価履歴'!$B:$B,'単価履歴'!$E:$E,BG$1,'単価履歴'!$F:$F,$A4)))</f>
        <v/>
      </c>
      <c r="BH4" s="332" t="str">
        <f>IF(MAXIFS('単価履歴'!$H:$H,'単価履歴'!$E:$E,BH$1,'単価履歴'!$F:$F,$A4,'単価履歴'!$B:$B,MAXIFS('単価履歴'!$B:$B,'単価履歴'!$E:$E,BH$1,'単価履歴'!$F:$F,$A4))=0,"",MAXIFS('単価履歴'!$H:$H,'単価履歴'!$E:$E,BH$1,'単価履歴'!$F:$F,$A4,'単価履歴'!$B:$B,MAXIFS('単価履歴'!$B:$B,'単価履歴'!$E:$E,BH$1,'単価履歴'!$F:$F,$A4)))</f>
        <v/>
      </c>
      <c r="BI4" s="332" t="str">
        <f>IF(MAXIFS('単価履歴'!$H:$H,'単価履歴'!$E:$E,BI$1,'単価履歴'!$F:$F,$A4,'単価履歴'!$B:$B,MAXIFS('単価履歴'!$B:$B,'単価履歴'!$E:$E,BI$1,'単価履歴'!$F:$F,$A4))=0,"",MAXIFS('単価履歴'!$H:$H,'単価履歴'!$E:$E,BI$1,'単価履歴'!$F:$F,$A4,'単価履歴'!$B:$B,MAXIFS('単価履歴'!$B:$B,'単価履歴'!$E:$E,BI$1,'単価履歴'!$F:$F,$A4)))</f>
        <v/>
      </c>
      <c r="BJ4" s="332" t="str">
        <f>IF(MAXIFS('単価履歴'!$H:$H,'単価履歴'!$E:$E,BJ$1,'単価履歴'!$F:$F,$A4,'単価履歴'!$B:$B,MAXIFS('単価履歴'!$B:$B,'単価履歴'!$E:$E,BJ$1,'単価履歴'!$F:$F,$A4))=0,"",MAXIFS('単価履歴'!$H:$H,'単価履歴'!$E:$E,BJ$1,'単価履歴'!$F:$F,$A4,'単価履歴'!$B:$B,MAXIFS('単価履歴'!$B:$B,'単価履歴'!$E:$E,BJ$1,'単価履歴'!$F:$F,$A4)))</f>
        <v/>
      </c>
      <c r="BK4" s="332" t="str">
        <f>IF(MAXIFS('単価履歴'!$H:$H,'単価履歴'!$E:$E,BK$1,'単価履歴'!$F:$F,$A4,'単価履歴'!$B:$B,MAXIFS('単価履歴'!$B:$B,'単価履歴'!$E:$E,BK$1,'単価履歴'!$F:$F,$A4))=0,"",MAXIFS('単価履歴'!$H:$H,'単価履歴'!$E:$E,BK$1,'単価履歴'!$F:$F,$A4,'単価履歴'!$B:$B,MAXIFS('単価履歴'!$B:$B,'単価履歴'!$E:$E,BK$1,'単価履歴'!$F:$F,$A4)))</f>
        <v/>
      </c>
      <c r="BL4" s="332" t="str">
        <f>IF(MAXIFS('単価履歴'!$H:$H,'単価履歴'!$E:$E,BL$1,'単価履歴'!$F:$F,$A4,'単価履歴'!$B:$B,MAXIFS('単価履歴'!$B:$B,'単価履歴'!$E:$E,BL$1,'単価履歴'!$F:$F,$A4))=0,"",MAXIFS('単価履歴'!$H:$H,'単価履歴'!$E:$E,BL$1,'単価履歴'!$F:$F,$A4,'単価履歴'!$B:$B,MAXIFS('単価履歴'!$B:$B,'単価履歴'!$E:$E,BL$1,'単価履歴'!$F:$F,$A4)))</f>
        <v/>
      </c>
      <c r="BM4" s="332" t="str">
        <f>IF(MAXIFS('単価履歴'!$H:$H,'単価履歴'!$E:$E,BM$1,'単価履歴'!$F:$F,$A4,'単価履歴'!$B:$B,MAXIFS('単価履歴'!$B:$B,'単価履歴'!$E:$E,BM$1,'単価履歴'!$F:$F,$A4))=0,"",MAXIFS('単価履歴'!$H:$H,'単価履歴'!$E:$E,BM$1,'単価履歴'!$F:$F,$A4,'単価履歴'!$B:$B,MAXIFS('単価履歴'!$B:$B,'単価履歴'!$E:$E,BM$1,'単価履歴'!$F:$F,$A4)))</f>
        <v/>
      </c>
      <c r="BN4" s="332" t="str">
        <f>IF(MAXIFS('単価履歴'!$H:$H,'単価履歴'!$E:$E,BN$1,'単価履歴'!$F:$F,$A4,'単価履歴'!$B:$B,MAXIFS('単価履歴'!$B:$B,'単価履歴'!$E:$E,BN$1,'単価履歴'!$F:$F,$A4))=0,"",MAXIFS('単価履歴'!$H:$H,'単価履歴'!$E:$E,BN$1,'単価履歴'!$F:$F,$A4,'単価履歴'!$B:$B,MAXIFS('単価履歴'!$B:$B,'単価履歴'!$E:$E,BN$1,'単価履歴'!$F:$F,$A4)))</f>
        <v/>
      </c>
      <c r="BO4" s="332" t="str">
        <f>IF(MAXIFS('単価履歴'!$H:$H,'単価履歴'!$E:$E,BO$1,'単価履歴'!$F:$F,$A4,'単価履歴'!$B:$B,MAXIFS('単価履歴'!$B:$B,'単価履歴'!$E:$E,BO$1,'単価履歴'!$F:$F,$A4))=0,"",MAXIFS('単価履歴'!$H:$H,'単価履歴'!$E:$E,BO$1,'単価履歴'!$F:$F,$A4,'単価履歴'!$B:$B,MAXIFS('単価履歴'!$B:$B,'単価履歴'!$E:$E,BO$1,'単価履歴'!$F:$F,$A4)))</f>
        <v/>
      </c>
      <c r="BP4" s="332" t="str">
        <f>IF(MAXIFS('単価履歴'!$H:$H,'単価履歴'!$E:$E,BP$1,'単価履歴'!$F:$F,$A4,'単価履歴'!$B:$B,MAXIFS('単価履歴'!$B:$B,'単価履歴'!$E:$E,BP$1,'単価履歴'!$F:$F,$A4))=0,"",MAXIFS('単価履歴'!$H:$H,'単価履歴'!$E:$E,BP$1,'単価履歴'!$F:$F,$A4,'単価履歴'!$B:$B,MAXIFS('単価履歴'!$B:$B,'単価履歴'!$E:$E,BP$1,'単価履歴'!$F:$F,$A4)))</f>
        <v/>
      </c>
      <c r="BQ4" s="332" t="str">
        <f>IF(MAXIFS('単価履歴'!$H:$H,'単価履歴'!$E:$E,BQ$1,'単価履歴'!$F:$F,$A4,'単価履歴'!$B:$B,MAXIFS('単価履歴'!$B:$B,'単価履歴'!$E:$E,BQ$1,'単価履歴'!$F:$F,$A4))=0,"",MAXIFS('単価履歴'!$H:$H,'単価履歴'!$E:$E,BQ$1,'単価履歴'!$F:$F,$A4,'単価履歴'!$B:$B,MAXIFS('単価履歴'!$B:$B,'単価履歴'!$E:$E,BQ$1,'単価履歴'!$F:$F,$A4)))</f>
        <v/>
      </c>
      <c r="BR4" s="332" t="str">
        <f>IF(MAXIFS('単価履歴'!$H:$H,'単価履歴'!$E:$E,BR$1,'単価履歴'!$F:$F,$A4,'単価履歴'!$B:$B,MAXIFS('単価履歴'!$B:$B,'単価履歴'!$E:$E,BR$1,'単価履歴'!$F:$F,$A4))=0,"",MAXIFS('単価履歴'!$H:$H,'単価履歴'!$E:$E,BR$1,'単価履歴'!$F:$F,$A4,'単価履歴'!$B:$B,MAXIFS('単価履歴'!$B:$B,'単価履歴'!$E:$E,BR$1,'単価履歴'!$F:$F,$A4)))</f>
        <v/>
      </c>
      <c r="BS4" s="332" t="str">
        <f>IF(MAXIFS('単価履歴'!$H:$H,'単価履歴'!$E:$E,BS$1,'単価履歴'!$F:$F,$A4,'単価履歴'!$B:$B,MAXIFS('単価履歴'!$B:$B,'単価履歴'!$E:$E,BS$1,'単価履歴'!$F:$F,$A4))=0,"",MAXIFS('単価履歴'!$H:$H,'単価履歴'!$E:$E,BS$1,'単価履歴'!$F:$F,$A4,'単価履歴'!$B:$B,MAXIFS('単価履歴'!$B:$B,'単価履歴'!$E:$E,BS$1,'単価履歴'!$F:$F,$A4)))</f>
        <v/>
      </c>
      <c r="BT4" s="332" t="str">
        <f>IF(MAXIFS('単価履歴'!$H:$H,'単価履歴'!$E:$E,BT$1,'単価履歴'!$F:$F,$A4,'単価履歴'!$B:$B,MAXIFS('単価履歴'!$B:$B,'単価履歴'!$E:$E,BT$1,'単価履歴'!$F:$F,$A4))=0,"",MAXIFS('単価履歴'!$H:$H,'単価履歴'!$E:$E,BT$1,'単価履歴'!$F:$F,$A4,'単価履歴'!$B:$B,MAXIFS('単価履歴'!$B:$B,'単価履歴'!$E:$E,BT$1,'単価履歴'!$F:$F,$A4)))</f>
        <v/>
      </c>
      <c r="BU4" s="332" t="str">
        <f>IF(MAXIFS('単価履歴'!$H:$H,'単価履歴'!$E:$E,BU$1,'単価履歴'!$F:$F,$A4,'単価履歴'!$B:$B,MAXIFS('単価履歴'!$B:$B,'単価履歴'!$E:$E,BU$1,'単価履歴'!$F:$F,$A4))=0,"",MAXIFS('単価履歴'!$H:$H,'単価履歴'!$E:$E,BU$1,'単価履歴'!$F:$F,$A4,'単価履歴'!$B:$B,MAXIFS('単価履歴'!$B:$B,'単価履歴'!$E:$E,BU$1,'単価履歴'!$F:$F,$A4)))</f>
        <v/>
      </c>
      <c r="BV4" s="332" t="str">
        <f>IF(MAXIFS('単価履歴'!$H:$H,'単価履歴'!$E:$E,BV$1,'単価履歴'!$F:$F,$A4,'単価履歴'!$B:$B,MAXIFS('単価履歴'!$B:$B,'単価履歴'!$E:$E,BV$1,'単価履歴'!$F:$F,$A4))=0,"",MAXIFS('単価履歴'!$H:$H,'単価履歴'!$E:$E,BV$1,'単価履歴'!$F:$F,$A4,'単価履歴'!$B:$B,MAXIFS('単価履歴'!$B:$B,'単価履歴'!$E:$E,BV$1,'単価履歴'!$F:$F,$A4)))</f>
        <v/>
      </c>
      <c r="BW4" s="332" t="str">
        <f>IF(MAXIFS('単価履歴'!$H:$H,'単価履歴'!$E:$E,BW$1,'単価履歴'!$F:$F,$A4,'単価履歴'!$B:$B,MAXIFS('単価履歴'!$B:$B,'単価履歴'!$E:$E,BW$1,'単価履歴'!$F:$F,$A4))=0,"",MAXIFS('単価履歴'!$H:$H,'単価履歴'!$E:$E,BW$1,'単価履歴'!$F:$F,$A4,'単価履歴'!$B:$B,MAXIFS('単価履歴'!$B:$B,'単価履歴'!$E:$E,BW$1,'単価履歴'!$F:$F,$A4)))</f>
        <v/>
      </c>
      <c r="BX4" s="332" t="str">
        <f>IF(MAXIFS('単価履歴'!$H:$H,'単価履歴'!$E:$E,BX$1,'単価履歴'!$F:$F,$A4,'単価履歴'!$B:$B,MAXIFS('単価履歴'!$B:$B,'単価履歴'!$E:$E,BX$1,'単価履歴'!$F:$F,$A4))=0,"",MAXIFS('単価履歴'!$H:$H,'単価履歴'!$E:$E,BX$1,'単価履歴'!$F:$F,$A4,'単価履歴'!$B:$B,MAXIFS('単価履歴'!$B:$B,'単価履歴'!$E:$E,BX$1,'単価履歴'!$F:$F,$A4)))</f>
        <v/>
      </c>
      <c r="BY4" s="332" t="str">
        <f>IF(MAXIFS('単価履歴'!$H:$H,'単価履歴'!$E:$E,BY$1,'単価履歴'!$F:$F,$A4,'単価履歴'!$B:$B,MAXIFS('単価履歴'!$B:$B,'単価履歴'!$E:$E,BY$1,'単価履歴'!$F:$F,$A4))=0,"",MAXIFS('単価履歴'!$H:$H,'単価履歴'!$E:$E,BY$1,'単価履歴'!$F:$F,$A4,'単価履歴'!$B:$B,MAXIFS('単価履歴'!$B:$B,'単価履歴'!$E:$E,BY$1,'単価履歴'!$F:$F,$A4)))</f>
        <v/>
      </c>
      <c r="BZ4" s="332" t="str">
        <f>IF(MAXIFS('単価履歴'!$H:$H,'単価履歴'!$E:$E,BZ$1,'単価履歴'!$F:$F,$A4,'単価履歴'!$B:$B,MAXIFS('単価履歴'!$B:$B,'単価履歴'!$E:$E,BZ$1,'単価履歴'!$F:$F,$A4))=0,"",MAXIFS('単価履歴'!$H:$H,'単価履歴'!$E:$E,BZ$1,'単価履歴'!$F:$F,$A4,'単価履歴'!$B:$B,MAXIFS('単価履歴'!$B:$B,'単価履歴'!$E:$E,BZ$1,'単価履歴'!$F:$F,$A4)))</f>
        <v/>
      </c>
      <c r="CA4" s="332" t="str">
        <f>IF(MAXIFS('単価履歴'!$H:$H,'単価履歴'!$E:$E,CA$1,'単価履歴'!$F:$F,$A4,'単価履歴'!$B:$B,MAXIFS('単価履歴'!$B:$B,'単価履歴'!$E:$E,CA$1,'単価履歴'!$F:$F,$A4))=0,"",MAXIFS('単価履歴'!$H:$H,'単価履歴'!$E:$E,CA$1,'単価履歴'!$F:$F,$A4,'単価履歴'!$B:$B,MAXIFS('単価履歴'!$B:$B,'単価履歴'!$E:$E,CA$1,'単価履歴'!$F:$F,$A4)))</f>
        <v/>
      </c>
      <c r="CB4" s="332" t="str">
        <f>IF(MAXIFS('単価履歴'!$H:$H,'単価履歴'!$E:$E,CB$1,'単価履歴'!$F:$F,$A4,'単価履歴'!$B:$B,MAXIFS('単価履歴'!$B:$B,'単価履歴'!$E:$E,CB$1,'単価履歴'!$F:$F,$A4))=0,"",MAXIFS('単価履歴'!$H:$H,'単価履歴'!$E:$E,CB$1,'単価履歴'!$F:$F,$A4,'単価履歴'!$B:$B,MAXIFS('単価履歴'!$B:$B,'単価履歴'!$E:$E,CB$1,'単価履歴'!$F:$F,$A4)))</f>
        <v/>
      </c>
      <c r="CC4" s="332" t="str">
        <f>IF(MAXIFS('単価履歴'!$H:$H,'単価履歴'!$E:$E,CC$1,'単価履歴'!$F:$F,$A4,'単価履歴'!$B:$B,MAXIFS('単価履歴'!$B:$B,'単価履歴'!$E:$E,CC$1,'単価履歴'!$F:$F,$A4))=0,"",MAXIFS('単価履歴'!$H:$H,'単価履歴'!$E:$E,CC$1,'単価履歴'!$F:$F,$A4,'単価履歴'!$B:$B,MAXIFS('単価履歴'!$B:$B,'単価履歴'!$E:$E,CC$1,'単価履歴'!$F:$F,$A4)))</f>
        <v/>
      </c>
      <c r="CD4" s="332" t="str">
        <f>IF(MAXIFS('単価履歴'!$H:$H,'単価履歴'!$E:$E,CD$1,'単価履歴'!$F:$F,$A4,'単価履歴'!$B:$B,MAXIFS('単価履歴'!$B:$B,'単価履歴'!$E:$E,CD$1,'単価履歴'!$F:$F,$A4))=0,"",MAXIFS('単価履歴'!$H:$H,'単価履歴'!$E:$E,CD$1,'単価履歴'!$F:$F,$A4,'単価履歴'!$B:$B,MAXIFS('単価履歴'!$B:$B,'単価履歴'!$E:$E,CD$1,'単価履歴'!$F:$F,$A4)))</f>
        <v/>
      </c>
      <c r="CE4" s="332" t="str">
        <f>IF(MAXIFS('単価履歴'!$H:$H,'単価履歴'!$E:$E,CE$1,'単価履歴'!$F:$F,$A4,'単価履歴'!$B:$B,MAXIFS('単価履歴'!$B:$B,'単価履歴'!$E:$E,CE$1,'単価履歴'!$F:$F,$A4))=0,"",MAXIFS('単価履歴'!$H:$H,'単価履歴'!$E:$E,CE$1,'単価履歴'!$F:$F,$A4,'単価履歴'!$B:$B,MAXIFS('単価履歴'!$B:$B,'単価履歴'!$E:$E,CE$1,'単価履歴'!$F:$F,$A4)))</f>
        <v/>
      </c>
      <c r="CF4" s="332" t="str">
        <f>IF(MAXIFS('単価履歴'!$H:$H,'単価履歴'!$E:$E,CF$1,'単価履歴'!$F:$F,$A4,'単価履歴'!$B:$B,MAXIFS('単価履歴'!$B:$B,'単価履歴'!$E:$E,CF$1,'単価履歴'!$F:$F,$A4))=0,"",MAXIFS('単価履歴'!$H:$H,'単価履歴'!$E:$E,CF$1,'単価履歴'!$F:$F,$A4,'単価履歴'!$B:$B,MAXIFS('単価履歴'!$B:$B,'単価履歴'!$E:$E,CF$1,'単価履歴'!$F:$F,$A4)))</f>
        <v/>
      </c>
      <c r="CG4" s="332" t="str">
        <f>IF(MAXIFS('単価履歴'!$H:$H,'単価履歴'!$E:$E,CG$1,'単価履歴'!$F:$F,$A4,'単価履歴'!$B:$B,MAXIFS('単価履歴'!$B:$B,'単価履歴'!$E:$E,CG$1,'単価履歴'!$F:$F,$A4))=0,"",MAXIFS('単価履歴'!$H:$H,'単価履歴'!$E:$E,CG$1,'単価履歴'!$F:$F,$A4,'単価履歴'!$B:$B,MAXIFS('単価履歴'!$B:$B,'単価履歴'!$E:$E,CG$1,'単価履歴'!$F:$F,$A4)))</f>
        <v/>
      </c>
      <c r="CH4" s="332" t="str">
        <f>IF(MAXIFS('単価履歴'!$H:$H,'単価履歴'!$E:$E,CH$1,'単価履歴'!$F:$F,$A4,'単価履歴'!$B:$B,MAXIFS('単価履歴'!$B:$B,'単価履歴'!$E:$E,CH$1,'単価履歴'!$F:$F,$A4))=0,"",MAXIFS('単価履歴'!$H:$H,'単価履歴'!$E:$E,CH$1,'単価履歴'!$F:$F,$A4,'単価履歴'!$B:$B,MAXIFS('単価履歴'!$B:$B,'単価履歴'!$E:$E,CH$1,'単価履歴'!$F:$F,$A4)))</f>
        <v/>
      </c>
    </row>
    <row r="5" ht="15.75" customHeight="1">
      <c r="A5" s="432" t="s">
        <v>111</v>
      </c>
      <c r="B5" s="332">
        <f>MAXIFS('単価履歴'!H:H,'単価履歴'!F:F,A5,'単価履歴'!N:N,"●")</f>
        <v>58.5</v>
      </c>
      <c r="C5" s="332">
        <f>IF(MAXIFS('単価履歴'!$H:$H,'単価履歴'!$E:$E,C$1,'単価履歴'!$F:$F,$A5,'単価履歴'!$B:$B,MAXIFS('単価履歴'!$B:$B,'単価履歴'!$E:$E,C$1,'単価履歴'!$F:$F,$A5))=0,"",MAXIFS('単価履歴'!$H:$H,'単価履歴'!$E:$E,C$1,'単価履歴'!$F:$F,$A5,'単価履歴'!$B:$B,MAXIFS('単価履歴'!$B:$B,'単価履歴'!$E:$E,C$1,'単価履歴'!$F:$F,$A5)))</f>
        <v>55</v>
      </c>
      <c r="D5" s="332">
        <f>IF(MAXIFS('単価履歴'!$H:$H,'単価履歴'!$E:$E,D$1,'単価履歴'!$F:$F,$A5,'単価履歴'!$B:$B,MAXIFS('単価履歴'!$B:$B,'単価履歴'!$E:$E,D$1,'単価履歴'!$F:$F,$A5))=0,"",MAXIFS('単価履歴'!$H:$H,'単価履歴'!$E:$E,D$1,'単価履歴'!$F:$F,$A5,'単価履歴'!$B:$B,MAXIFS('単価履歴'!$B:$B,'単価履歴'!$E:$E,D$1,'単価履歴'!$F:$F,$A5)))</f>
        <v>55.3</v>
      </c>
      <c r="E5" s="332">
        <f>IF(MAXIFS('単価履歴'!$H:$H,'単価履歴'!$E:$E,E$1,'単価履歴'!$F:$F,$A5,'単価履歴'!$B:$B,MAXIFS('単価履歴'!$B:$B,'単価履歴'!$E:$E,E$1,'単価履歴'!$F:$F,$A5))=0,"",MAXIFS('単価履歴'!$H:$H,'単価履歴'!$E:$E,E$1,'単価履歴'!$F:$F,$A5,'単価履歴'!$B:$B,MAXIFS('単価履歴'!$B:$B,'単価履歴'!$E:$E,E$1,'単価履歴'!$F:$F,$A5)))</f>
        <v>55.3</v>
      </c>
      <c r="F5" s="332">
        <f>IF(MAXIFS('単価履歴'!$H:$H,'単価履歴'!$E:$E,F$1,'単価履歴'!$F:$F,$A5,'単価履歴'!$B:$B,MAXIFS('単価履歴'!$B:$B,'単価履歴'!$E:$E,F$1,'単価履歴'!$F:$F,$A5))=0,"",MAXIFS('単価履歴'!$H:$H,'単価履歴'!$E:$E,F$1,'単価履歴'!$F:$F,$A5,'単価履歴'!$B:$B,MAXIFS('単価履歴'!$B:$B,'単価履歴'!$E:$E,F$1,'単価履歴'!$F:$F,$A5)))</f>
        <v>0.5</v>
      </c>
      <c r="G5" s="332">
        <f>IF(MAXIFS('単価履歴'!$H:$H,'単価履歴'!$E:$E,G$1,'単価履歴'!$F:$F,$A5,'単価履歴'!$B:$B,MAXIFS('単価履歴'!$B:$B,'単価履歴'!$E:$E,G$1,'単価履歴'!$F:$F,$A5))=0,"",MAXIFS('単価履歴'!$H:$H,'単価履歴'!$E:$E,G$1,'単価履歴'!$F:$F,$A5,'単価履歴'!$B:$B,MAXIFS('単価履歴'!$B:$B,'単価履歴'!$E:$E,G$1,'単価履歴'!$F:$F,$A5)))</f>
        <v>-0.5</v>
      </c>
      <c r="H5" s="332">
        <f>IF(MAXIFS('単価履歴'!$H:$H,'単価履歴'!$E:$E,H$1,'単価履歴'!$F:$F,$A5,'単価履歴'!$B:$B,MAXIFS('単価履歴'!$B:$B,'単価履歴'!$E:$E,H$1,'単価履歴'!$F:$F,$A5))=0,"",MAXIFS('単価履歴'!$H:$H,'単価履歴'!$E:$E,H$1,'単価履歴'!$F:$F,$A5,'単価履歴'!$B:$B,MAXIFS('単価履歴'!$B:$B,'単価履歴'!$E:$E,H$1,'単価履歴'!$F:$F,$A5)))</f>
        <v>55.5</v>
      </c>
      <c r="I5" s="332">
        <f>IF(MAXIFS('単価履歴'!$H:$H,'単価履歴'!$E:$E,I$1,'単価履歴'!$F:$F,$A5,'単価履歴'!$B:$B,MAXIFS('単価履歴'!$B:$B,'単価履歴'!$E:$E,I$1,'単価履歴'!$F:$F,$A5))=0,"",MAXIFS('単価履歴'!$H:$H,'単価履歴'!$E:$E,I$1,'単価履歴'!$F:$F,$A5,'単価履歴'!$B:$B,MAXIFS('単価履歴'!$B:$B,'単価履歴'!$E:$E,I$1,'単価履歴'!$F:$F,$A5)))</f>
        <v>55.8</v>
      </c>
      <c r="J5" s="332">
        <f>IF(MAXIFS('単価履歴'!$H:$H,'単価履歴'!$E:$E,J$1,'単価履歴'!$F:$F,$A5,'単価履歴'!$B:$B,MAXIFS('単価履歴'!$B:$B,'単価履歴'!$E:$E,J$1,'単価履歴'!$F:$F,$A5))=0,"",MAXIFS('単価履歴'!$H:$H,'単価履歴'!$E:$E,J$1,'単価履歴'!$F:$F,$A5,'単価履歴'!$B:$B,MAXIFS('単価履歴'!$B:$B,'単価履歴'!$E:$E,J$1,'単価履歴'!$F:$F,$A5)))</f>
        <v>2</v>
      </c>
      <c r="K5" s="332" t="str">
        <f>IF(MAXIFS('単価履歴'!$H:$H,'単価履歴'!$E:$E,K$1,'単価履歴'!$F:$F,$A5,'単価履歴'!$B:$B,MAXIFS('単価履歴'!$B:$B,'単価履歴'!$E:$E,K$1,'単価履歴'!$F:$F,$A5))=0,"",MAXIFS('単価履歴'!$H:$H,'単価履歴'!$E:$E,K$1,'単価履歴'!$F:$F,$A5,'単価履歴'!$B:$B,MAXIFS('単価履歴'!$B:$B,'単価履歴'!$E:$E,K$1,'単価履歴'!$F:$F,$A5)))</f>
        <v/>
      </c>
      <c r="L5" s="332">
        <f>IF(MAXIFS('単価履歴'!$H:$H,'単価履歴'!$E:$E,L$1,'単価履歴'!$F:$F,$A5,'単価履歴'!$B:$B,MAXIFS('単価履歴'!$B:$B,'単価履歴'!$E:$E,L$1,'単価履歴'!$F:$F,$A5))=0,"",MAXIFS('単価履歴'!$H:$H,'単価履歴'!$E:$E,L$1,'単価履歴'!$F:$F,$A5,'単価履歴'!$B:$B,MAXIFS('単価履歴'!$B:$B,'単価履歴'!$E:$E,L$1,'単価履歴'!$F:$F,$A5)))</f>
        <v>54</v>
      </c>
      <c r="M5" s="332">
        <f>IF(MAXIFS('単価履歴'!$H:$H,'単価履歴'!$E:$E,M$1,'単価履歴'!$F:$F,$A5,'単価履歴'!$B:$B,MAXIFS('単価履歴'!$B:$B,'単価履歴'!$E:$E,M$1,'単価履歴'!$F:$F,$A5))=0,"",MAXIFS('単価履歴'!$H:$H,'単価履歴'!$E:$E,M$1,'単価履歴'!$F:$F,$A5,'単価履歴'!$B:$B,MAXIFS('単価履歴'!$B:$B,'単価履歴'!$E:$E,M$1,'単価履歴'!$F:$F,$A5)))</f>
        <v>39.4</v>
      </c>
      <c r="N5" s="332">
        <f>IF(MAXIFS('単価履歴'!$H:$H,'単価履歴'!$E:$E,N$1,'単価履歴'!$F:$F,$A5,'単価履歴'!$B:$B,MAXIFS('単価履歴'!$B:$B,'単価履歴'!$E:$E,N$1,'単価履歴'!$F:$F,$A5))=0,"",MAXIFS('単価履歴'!$H:$H,'単価履歴'!$E:$E,N$1,'単価履歴'!$F:$F,$A5,'単価履歴'!$B:$B,MAXIFS('単価履歴'!$B:$B,'単価履歴'!$E:$E,N$1,'単価履歴'!$F:$F,$A5)))</f>
        <v>56.2</v>
      </c>
      <c r="O5" s="332">
        <f>IF(MAXIFS('単価履歴'!$H:$H,'単価履歴'!$E:$E,O$1,'単価履歴'!$F:$F,$A5,'単価履歴'!$B:$B,MAXIFS('単価履歴'!$B:$B,'単価履歴'!$E:$E,O$1,'単価履歴'!$F:$F,$A5))=0,"",MAXIFS('単価履歴'!$H:$H,'単価履歴'!$E:$E,O$1,'単価履歴'!$F:$F,$A5,'単価履歴'!$B:$B,MAXIFS('単価履歴'!$B:$B,'単価履歴'!$E:$E,O$1,'単価履歴'!$F:$F,$A5)))</f>
        <v>38.3</v>
      </c>
      <c r="P5" s="332">
        <f>IF(MAXIFS('単価履歴'!$H:$H,'単価履歴'!$E:$E,P$1,'単価履歴'!$F:$F,$A5,'単価履歴'!$B:$B,MAXIFS('単価履歴'!$B:$B,'単価履歴'!$E:$E,P$1,'単価履歴'!$F:$F,$A5))=0,"",MAXIFS('単価履歴'!$H:$H,'単価履歴'!$E:$E,P$1,'単価履歴'!$F:$F,$A5,'単価履歴'!$B:$B,MAXIFS('単価履歴'!$B:$B,'単価履歴'!$E:$E,P$1,'単価履歴'!$F:$F,$A5)))</f>
        <v>2</v>
      </c>
      <c r="Q5" s="332">
        <f>IF(MAXIFS('単価履歴'!$H:$H,'単価履歴'!$E:$E,Q$1,'単価履歴'!$F:$F,$A5,'単価履歴'!$B:$B,MAXIFS('単価履歴'!$B:$B,'単価履歴'!$E:$E,Q$1,'単価履歴'!$F:$F,$A5))=0,"",MAXIFS('単価履歴'!$H:$H,'単価履歴'!$E:$E,Q$1,'単価履歴'!$F:$F,$A5,'単価履歴'!$B:$B,MAXIFS('単価履歴'!$B:$B,'単価履歴'!$E:$E,Q$1,'単価履歴'!$F:$F,$A5)))</f>
        <v>58.5</v>
      </c>
      <c r="R5" s="332" t="str">
        <f>IF(MAXIFS('単価履歴'!$H:$H,'単価履歴'!$E:$E,R$1,'単価履歴'!$F:$F,$A5,'単価履歴'!$B:$B,MAXIFS('単価履歴'!$B:$B,'単価履歴'!$E:$E,R$1,'単価履歴'!$F:$F,$A5))=0,"",MAXIFS('単価履歴'!$H:$H,'単価履歴'!$E:$E,R$1,'単価履歴'!$F:$F,$A5,'単価履歴'!$B:$B,MAXIFS('単価履歴'!$B:$B,'単価履歴'!$E:$E,R$1,'単価履歴'!$F:$F,$A5)))</f>
        <v/>
      </c>
      <c r="S5" s="332">
        <f>IF(MAXIFS('単価履歴'!$H:$H,'単価履歴'!$E:$E,S$1,'単価履歴'!$F:$F,$A5,'単価履歴'!$B:$B,MAXIFS('単価履歴'!$B:$B,'単価履歴'!$E:$E,S$1,'単価履歴'!$F:$F,$A5))=0,"",MAXIFS('単価履歴'!$H:$H,'単価履歴'!$E:$E,S$1,'単価履歴'!$F:$F,$A5,'単価履歴'!$B:$B,MAXIFS('単価履歴'!$B:$B,'単価履歴'!$E:$E,S$1,'単価履歴'!$F:$F,$A5)))</f>
        <v>58.2</v>
      </c>
      <c r="T5" s="332" t="str">
        <f>IF(MAXIFS('単価履歴'!$H:$H,'単価履歴'!$E:$E,T$1,'単価履歴'!$F:$F,$A5,'単価履歴'!$B:$B,MAXIFS('単価履歴'!$B:$B,'単価履歴'!$E:$E,T$1,'単価履歴'!$F:$F,$A5))=0,"",MAXIFS('単価履歴'!$H:$H,'単価履歴'!$E:$E,T$1,'単価履歴'!$F:$F,$A5,'単価履歴'!$B:$B,MAXIFS('単価履歴'!$B:$B,'単価履歴'!$E:$E,T$1,'単価履歴'!$F:$F,$A5)))</f>
        <v/>
      </c>
      <c r="U5" s="332" t="str">
        <f>IF(MAXIFS('単価履歴'!$H:$H,'単価履歴'!$E:$E,U$1,'単価履歴'!$F:$F,$A5,'単価履歴'!$B:$B,MAXIFS('単価履歴'!$B:$B,'単価履歴'!$E:$E,U$1,'単価履歴'!$F:$F,$A5))=0,"",MAXIFS('単価履歴'!$H:$H,'単価履歴'!$E:$E,U$1,'単価履歴'!$F:$F,$A5,'単価履歴'!$B:$B,MAXIFS('単価履歴'!$B:$B,'単価履歴'!$E:$E,U$1,'単価履歴'!$F:$F,$A5)))</f>
        <v/>
      </c>
      <c r="V5" s="332" t="str">
        <f>IF(MAXIFS('単価履歴'!$H:$H,'単価履歴'!$E:$E,V$1,'単価履歴'!$F:$F,$A5,'単価履歴'!$B:$B,MAXIFS('単価履歴'!$B:$B,'単価履歴'!$E:$E,V$1,'単価履歴'!$F:$F,$A5))=0,"",MAXIFS('単価履歴'!$H:$H,'単価履歴'!$E:$E,V$1,'単価履歴'!$F:$F,$A5,'単価履歴'!$B:$B,MAXIFS('単価履歴'!$B:$B,'単価履歴'!$E:$E,V$1,'単価履歴'!$F:$F,$A5)))</f>
        <v/>
      </c>
      <c r="W5" s="332">
        <f>IF(MAXIFS('単価履歴'!$H:$H,'単価履歴'!$E:$E,W$1,'単価履歴'!$F:$F,$A5,'単価履歴'!$B:$B,MAXIFS('単価履歴'!$B:$B,'単価履歴'!$E:$E,W$1,'単価履歴'!$F:$F,$A5))=0,"",MAXIFS('単価履歴'!$H:$H,'単価履歴'!$E:$E,W$1,'単価履歴'!$F:$F,$A5,'単価履歴'!$B:$B,MAXIFS('単価履歴'!$B:$B,'単価履歴'!$E:$E,W$1,'単価履歴'!$F:$F,$A5)))</f>
        <v>52.5</v>
      </c>
      <c r="X5" s="332" t="str">
        <f>IF(MAXIFS('単価履歴'!$H:$H,'単価履歴'!$E:$E,X$1,'単価履歴'!$F:$F,$A5,'単価履歴'!$B:$B,MAXIFS('単価履歴'!$B:$B,'単価履歴'!$E:$E,X$1,'単価履歴'!$F:$F,$A5))=0,"",MAXIFS('単価履歴'!$H:$H,'単価履歴'!$E:$E,X$1,'単価履歴'!$F:$F,$A5,'単価履歴'!$B:$B,MAXIFS('単価履歴'!$B:$B,'単価履歴'!$E:$E,X$1,'単価履歴'!$F:$F,$A5)))</f>
        <v/>
      </c>
      <c r="Y5" s="332" t="str">
        <f>IF(MAXIFS('単価履歴'!$H:$H,'単価履歴'!$E:$E,Y$1,'単価履歴'!$F:$F,$A5,'単価履歴'!$B:$B,MAXIFS('単価履歴'!$B:$B,'単価履歴'!$E:$E,Y$1,'単価履歴'!$F:$F,$A5))=0,"",MAXIFS('単価履歴'!$H:$H,'単価履歴'!$E:$E,Y$1,'単価履歴'!$F:$F,$A5,'単価履歴'!$B:$B,MAXIFS('単価履歴'!$B:$B,'単価履歴'!$E:$E,Y$1,'単価履歴'!$F:$F,$A5)))</f>
        <v/>
      </c>
      <c r="Z5" s="332">
        <f>IF(MAXIFS('単価履歴'!$H:$H,'単価履歴'!$E:$E,Z$1,'単価履歴'!$F:$F,$A5,'単価履歴'!$B:$B,MAXIFS('単価履歴'!$B:$B,'単価履歴'!$E:$E,Z$1,'単価履歴'!$F:$F,$A5))=0,"",MAXIFS('単価履歴'!$H:$H,'単価履歴'!$E:$E,Z$1,'単価履歴'!$F:$F,$A5,'単価履歴'!$B:$B,MAXIFS('単価履歴'!$B:$B,'単価履歴'!$E:$E,Z$1,'単価履歴'!$F:$F,$A5)))</f>
        <v>42</v>
      </c>
      <c r="AA5" s="332" t="str">
        <f>IF(MAXIFS('単価履歴'!$H:$H,'単価履歴'!$E:$E,AA$1,'単価履歴'!$F:$F,$A5,'単価履歴'!$B:$B,MAXIFS('単価履歴'!$B:$B,'単価履歴'!$E:$E,AA$1,'単価履歴'!$F:$F,$A5))=0,"",MAXIFS('単価履歴'!$H:$H,'単価履歴'!$E:$E,AA$1,'単価履歴'!$F:$F,$A5,'単価履歴'!$B:$B,MAXIFS('単価履歴'!$B:$B,'単価履歴'!$E:$E,AA$1,'単価履歴'!$F:$F,$A5)))</f>
        <v/>
      </c>
      <c r="AB5" s="332" t="str">
        <f>IF(MAXIFS('単価履歴'!$H:$H,'単価履歴'!$E:$E,AB$1,'単価履歴'!$F:$F,$A5,'単価履歴'!$B:$B,MAXIFS('単価履歴'!$B:$B,'単価履歴'!$E:$E,AB$1,'単価履歴'!$F:$F,$A5))=0,"",MAXIFS('単価履歴'!$H:$H,'単価履歴'!$E:$E,AB$1,'単価履歴'!$F:$F,$A5,'単価履歴'!$B:$B,MAXIFS('単価履歴'!$B:$B,'単価履歴'!$E:$E,AB$1,'単価履歴'!$F:$F,$A5)))</f>
        <v/>
      </c>
      <c r="AC5" s="332" t="str">
        <f>IF(MAXIFS('単価履歴'!$H:$H,'単価履歴'!$E:$E,AC$1,'単価履歴'!$F:$F,$A5,'単価履歴'!$B:$B,MAXIFS('単価履歴'!$B:$B,'単価履歴'!$E:$E,AC$1,'単価履歴'!$F:$F,$A5))=0,"",MAXIFS('単価履歴'!$H:$H,'単価履歴'!$E:$E,AC$1,'単価履歴'!$F:$F,$A5,'単価履歴'!$B:$B,MAXIFS('単価履歴'!$B:$B,'単価履歴'!$E:$E,AC$1,'単価履歴'!$F:$F,$A5)))</f>
        <v/>
      </c>
      <c r="AD5" s="332" t="str">
        <f>IF(MAXIFS('単価履歴'!$H:$H,'単価履歴'!$E:$E,AD$1,'単価履歴'!$F:$F,$A5,'単価履歴'!$B:$B,MAXIFS('単価履歴'!$B:$B,'単価履歴'!$E:$E,AD$1,'単価履歴'!$F:$F,$A5))=0,"",MAXIFS('単価履歴'!$H:$H,'単価履歴'!$E:$E,AD$1,'単価履歴'!$F:$F,$A5,'単価履歴'!$B:$B,MAXIFS('単価履歴'!$B:$B,'単価履歴'!$E:$E,AD$1,'単価履歴'!$F:$F,$A5)))</f>
        <v/>
      </c>
      <c r="AE5" s="332" t="str">
        <f>IF(MAXIFS('単価履歴'!$H:$H,'単価履歴'!$E:$E,AE$1,'単価履歴'!$F:$F,$A5,'単価履歴'!$B:$B,MAXIFS('単価履歴'!$B:$B,'単価履歴'!$E:$E,AE$1,'単価履歴'!$F:$F,$A5))=0,"",MAXIFS('単価履歴'!$H:$H,'単価履歴'!$E:$E,AE$1,'単価履歴'!$F:$F,$A5,'単価履歴'!$B:$B,MAXIFS('単価履歴'!$B:$B,'単価履歴'!$E:$E,AE$1,'単価履歴'!$F:$F,$A5)))</f>
        <v/>
      </c>
      <c r="AF5" s="332" t="str">
        <f>IF(MAXIFS('単価履歴'!$H:$H,'単価履歴'!$E:$E,AF$1,'単価履歴'!$F:$F,$A5,'単価履歴'!$B:$B,MAXIFS('単価履歴'!$B:$B,'単価履歴'!$E:$E,AF$1,'単価履歴'!$F:$F,$A5))=0,"",MAXIFS('単価履歴'!$H:$H,'単価履歴'!$E:$E,AF$1,'単価履歴'!$F:$F,$A5,'単価履歴'!$B:$B,MAXIFS('単価履歴'!$B:$B,'単価履歴'!$E:$E,AF$1,'単価履歴'!$F:$F,$A5)))</f>
        <v/>
      </c>
      <c r="AG5" s="332" t="str">
        <f>IF(MAXIFS('単価履歴'!$H:$H,'単価履歴'!$E:$E,AG$1,'単価履歴'!$F:$F,$A5,'単価履歴'!$B:$B,MAXIFS('単価履歴'!$B:$B,'単価履歴'!$E:$E,AG$1,'単価履歴'!$F:$F,$A5))=0,"",MAXIFS('単価履歴'!$H:$H,'単価履歴'!$E:$E,AG$1,'単価履歴'!$F:$F,$A5,'単価履歴'!$B:$B,MAXIFS('単価履歴'!$B:$B,'単価履歴'!$E:$E,AG$1,'単価履歴'!$F:$F,$A5)))</f>
        <v/>
      </c>
      <c r="AH5" s="332" t="str">
        <f>IF(MAXIFS('単価履歴'!$H:$H,'単価履歴'!$E:$E,AH$1,'単価履歴'!$F:$F,$A5,'単価履歴'!$B:$B,MAXIFS('単価履歴'!$B:$B,'単価履歴'!$E:$E,AH$1,'単価履歴'!$F:$F,$A5))=0,"",MAXIFS('単価履歴'!$H:$H,'単価履歴'!$E:$E,AH$1,'単価履歴'!$F:$F,$A5,'単価履歴'!$B:$B,MAXIFS('単価履歴'!$B:$B,'単価履歴'!$E:$E,AH$1,'単価履歴'!$F:$F,$A5)))</f>
        <v/>
      </c>
      <c r="AI5" s="332" t="str">
        <f>IF(MAXIFS('単価履歴'!$H:$H,'単価履歴'!$E:$E,AI$1,'単価履歴'!$F:$F,$A5,'単価履歴'!$B:$B,MAXIFS('単価履歴'!$B:$B,'単価履歴'!$E:$E,AI$1,'単価履歴'!$F:$F,$A5))=0,"",MAXIFS('単価履歴'!$H:$H,'単価履歴'!$E:$E,AI$1,'単価履歴'!$F:$F,$A5,'単価履歴'!$B:$B,MAXIFS('単価履歴'!$B:$B,'単価履歴'!$E:$E,AI$1,'単価履歴'!$F:$F,$A5)))</f>
        <v/>
      </c>
      <c r="AJ5" s="332" t="str">
        <f>IF(MAXIFS('単価履歴'!$H:$H,'単価履歴'!$E:$E,AJ$1,'単価履歴'!$F:$F,$A5,'単価履歴'!$B:$B,MAXIFS('単価履歴'!$B:$B,'単価履歴'!$E:$E,AJ$1,'単価履歴'!$F:$F,$A5))=0,"",MAXIFS('単価履歴'!$H:$H,'単価履歴'!$E:$E,AJ$1,'単価履歴'!$F:$F,$A5,'単価履歴'!$B:$B,MAXIFS('単価履歴'!$B:$B,'単価履歴'!$E:$E,AJ$1,'単価履歴'!$F:$F,$A5)))</f>
        <v/>
      </c>
      <c r="AK5" s="332" t="str">
        <f>IF(MAXIFS('単価履歴'!$H:$H,'単価履歴'!$E:$E,AK$1,'単価履歴'!$F:$F,$A5,'単価履歴'!$B:$B,MAXIFS('単価履歴'!$B:$B,'単価履歴'!$E:$E,AK$1,'単価履歴'!$F:$F,$A5))=0,"",MAXIFS('単価履歴'!$H:$H,'単価履歴'!$E:$E,AK$1,'単価履歴'!$F:$F,$A5,'単価履歴'!$B:$B,MAXIFS('単価履歴'!$B:$B,'単価履歴'!$E:$E,AK$1,'単価履歴'!$F:$F,$A5)))</f>
        <v/>
      </c>
      <c r="AL5" s="332" t="str">
        <f>IF(MAXIFS('単価履歴'!$H:$H,'単価履歴'!$E:$E,AL$1,'単価履歴'!$F:$F,$A5,'単価履歴'!$B:$B,MAXIFS('単価履歴'!$B:$B,'単価履歴'!$E:$E,AL$1,'単価履歴'!$F:$F,$A5))=0,"",MAXIFS('単価履歴'!$H:$H,'単価履歴'!$E:$E,AL$1,'単価履歴'!$F:$F,$A5,'単価履歴'!$B:$B,MAXIFS('単価履歴'!$B:$B,'単価履歴'!$E:$E,AL$1,'単価履歴'!$F:$F,$A5)))</f>
        <v/>
      </c>
      <c r="AM5" s="332" t="str">
        <f>IF(MAXIFS('単価履歴'!$H:$H,'単価履歴'!$E:$E,AM$1,'単価履歴'!$F:$F,$A5,'単価履歴'!$B:$B,MAXIFS('単価履歴'!$B:$B,'単価履歴'!$E:$E,AM$1,'単価履歴'!$F:$F,$A5))=0,"",MAXIFS('単価履歴'!$H:$H,'単価履歴'!$E:$E,AM$1,'単価履歴'!$F:$F,$A5,'単価履歴'!$B:$B,MAXIFS('単価履歴'!$B:$B,'単価履歴'!$E:$E,AM$1,'単価履歴'!$F:$F,$A5)))</f>
        <v/>
      </c>
      <c r="AN5" s="332">
        <f>IF(MAXIFS('単価履歴'!$H:$H,'単価履歴'!$E:$E,AN$1,'単価履歴'!$F:$F,$A5,'単価履歴'!$B:$B,MAXIFS('単価履歴'!$B:$B,'単価履歴'!$E:$E,AN$1,'単価履歴'!$F:$F,$A5))=0,"",MAXIFS('単価履歴'!$H:$H,'単価履歴'!$E:$E,AN$1,'単価履歴'!$F:$F,$A5,'単価履歴'!$B:$B,MAXIFS('単価履歴'!$B:$B,'単価履歴'!$E:$E,AN$1,'単価履歴'!$F:$F,$A5)))</f>
        <v>54.5</v>
      </c>
      <c r="AO5" s="332" t="str">
        <f>IF(MAXIFS('単価履歴'!$H:$H,'単価履歴'!$E:$E,AO$1,'単価履歴'!$F:$F,$A5,'単価履歴'!$B:$B,MAXIFS('単価履歴'!$B:$B,'単価履歴'!$E:$E,AO$1,'単価履歴'!$F:$F,$A5))=0,"",MAXIFS('単価履歴'!$H:$H,'単価履歴'!$E:$E,AO$1,'単価履歴'!$F:$F,$A5,'単価履歴'!$B:$B,MAXIFS('単価履歴'!$B:$B,'単価履歴'!$E:$E,AO$1,'単価履歴'!$F:$F,$A5)))</f>
        <v/>
      </c>
      <c r="AP5" s="332">
        <f>IF(MAXIFS('単価履歴'!$H:$H,'単価履歴'!$E:$E,AP$1,'単価履歴'!$F:$F,$A5,'単価履歴'!$B:$B,MAXIFS('単価履歴'!$B:$B,'単価履歴'!$E:$E,AP$1,'単価履歴'!$F:$F,$A5))=0,"",MAXIFS('単価履歴'!$H:$H,'単価履歴'!$E:$E,AP$1,'単価履歴'!$F:$F,$A5,'単価履歴'!$B:$B,MAXIFS('単価履歴'!$B:$B,'単価履歴'!$E:$E,AP$1,'単価履歴'!$F:$F,$A5)))</f>
        <v>56.1</v>
      </c>
      <c r="AQ5" s="332" t="str">
        <f>IF(MAXIFS('単価履歴'!$H:$H,'単価履歴'!$E:$E,AQ$1,'単価履歴'!$F:$F,$A5,'単価履歴'!$B:$B,MAXIFS('単価履歴'!$B:$B,'単価履歴'!$E:$E,AQ$1,'単価履歴'!$F:$F,$A5))=0,"",MAXIFS('単価履歴'!$H:$H,'単価履歴'!$E:$E,AQ$1,'単価履歴'!$F:$F,$A5,'単価履歴'!$B:$B,MAXIFS('単価履歴'!$B:$B,'単価履歴'!$E:$E,AQ$1,'単価履歴'!$F:$F,$A5)))</f>
        <v/>
      </c>
      <c r="AR5" s="332" t="str">
        <f>IF(MAXIFS('単価履歴'!$H:$H,'単価履歴'!$E:$E,AR$1,'単価履歴'!$F:$F,$A5,'単価履歴'!$B:$B,MAXIFS('単価履歴'!$B:$B,'単価履歴'!$E:$E,AR$1,'単価履歴'!$F:$F,$A5))=0,"",MAXIFS('単価履歴'!$H:$H,'単価履歴'!$E:$E,AR$1,'単価履歴'!$F:$F,$A5,'単価履歴'!$B:$B,MAXIFS('単価履歴'!$B:$B,'単価履歴'!$E:$E,AR$1,'単価履歴'!$F:$F,$A5)))</f>
        <v/>
      </c>
      <c r="AS5" s="332" t="str">
        <f>IF(MAXIFS('単価履歴'!$H:$H,'単価履歴'!$E:$E,AS$1,'単価履歴'!$F:$F,$A5,'単価履歴'!$B:$B,MAXIFS('単価履歴'!$B:$B,'単価履歴'!$E:$E,AS$1,'単価履歴'!$F:$F,$A5))=0,"",MAXIFS('単価履歴'!$H:$H,'単価履歴'!$E:$E,AS$1,'単価履歴'!$F:$F,$A5,'単価履歴'!$B:$B,MAXIFS('単価履歴'!$B:$B,'単価履歴'!$E:$E,AS$1,'単価履歴'!$F:$F,$A5)))</f>
        <v/>
      </c>
      <c r="AT5" s="332" t="str">
        <f>IF(MAXIFS('単価履歴'!$H:$H,'単価履歴'!$E:$E,AT$1,'単価履歴'!$F:$F,$A5,'単価履歴'!$B:$B,MAXIFS('単価履歴'!$B:$B,'単価履歴'!$E:$E,AT$1,'単価履歴'!$F:$F,$A5))=0,"",MAXIFS('単価履歴'!$H:$H,'単価履歴'!$E:$E,AT$1,'単価履歴'!$F:$F,$A5,'単価履歴'!$B:$B,MAXIFS('単価履歴'!$B:$B,'単価履歴'!$E:$E,AT$1,'単価履歴'!$F:$F,$A5)))</f>
        <v/>
      </c>
      <c r="AU5" s="332">
        <f>IF(MAXIFS('単価履歴'!$H:$H,'単価履歴'!$E:$E,AU$1,'単価履歴'!$F:$F,$A5,'単価履歴'!$B:$B,MAXIFS('単価履歴'!$B:$B,'単価履歴'!$E:$E,AU$1,'単価履歴'!$F:$F,$A5))=0,"",MAXIFS('単価履歴'!$H:$H,'単価履歴'!$E:$E,AU$1,'単価履歴'!$F:$F,$A5,'単価履歴'!$B:$B,MAXIFS('単価履歴'!$B:$B,'単価履歴'!$E:$E,AU$1,'単価履歴'!$F:$F,$A5)))</f>
        <v>54</v>
      </c>
      <c r="AV5" s="332" t="str">
        <f>IF(MAXIFS('単価履歴'!$H:$H,'単価履歴'!$E:$E,AV$1,'単価履歴'!$F:$F,$A5,'単価履歴'!$B:$B,MAXIFS('単価履歴'!$B:$B,'単価履歴'!$E:$E,AV$1,'単価履歴'!$F:$F,$A5))=0,"",MAXIFS('単価履歴'!$H:$H,'単価履歴'!$E:$E,AV$1,'単価履歴'!$F:$F,$A5,'単価履歴'!$B:$B,MAXIFS('単価履歴'!$B:$B,'単価履歴'!$E:$E,AV$1,'単価履歴'!$F:$F,$A5)))</f>
        <v/>
      </c>
      <c r="AW5" s="332">
        <f>IF(MAXIFS('単価履歴'!$H:$H,'単価履歴'!$E:$E,AW$1,'単価履歴'!$F:$F,$A5,'単価履歴'!$B:$B,MAXIFS('単価履歴'!$B:$B,'単価履歴'!$E:$E,AW$1,'単価履歴'!$F:$F,$A5))=0,"",MAXIFS('単価履歴'!$H:$H,'単価履歴'!$E:$E,AW$1,'単価履歴'!$F:$F,$A5,'単価履歴'!$B:$B,MAXIFS('単価履歴'!$B:$B,'単価履歴'!$E:$E,AW$1,'単価履歴'!$F:$F,$A5)))</f>
        <v>55</v>
      </c>
      <c r="AX5" s="332">
        <f>IF(MAXIFS('単価履歴'!$H:$H,'単価履歴'!$E:$E,AX$1,'単価履歴'!$F:$F,$A5,'単価履歴'!$B:$B,MAXIFS('単価履歴'!$B:$B,'単価履歴'!$E:$E,AX$1,'単価履歴'!$F:$F,$A5))=0,"",MAXIFS('単価履歴'!$H:$H,'単価履歴'!$E:$E,AX$1,'単価履歴'!$F:$F,$A5,'単価履歴'!$B:$B,MAXIFS('単価履歴'!$B:$B,'単価履歴'!$E:$E,AX$1,'単価履歴'!$F:$F,$A5)))</f>
        <v>56</v>
      </c>
      <c r="AY5" s="332">
        <f>IF(MAXIFS('単価履歴'!$H:$H,'単価履歴'!$E:$E,AY$1,'単価履歴'!$F:$F,$A5,'単価履歴'!$B:$B,MAXIFS('単価履歴'!$B:$B,'単価履歴'!$E:$E,AY$1,'単価履歴'!$F:$F,$A5))=0,"",MAXIFS('単価履歴'!$H:$H,'単価履歴'!$E:$E,AY$1,'単価履歴'!$F:$F,$A5,'単価履歴'!$B:$B,MAXIFS('単価履歴'!$B:$B,'単価履歴'!$E:$E,AY$1,'単価履歴'!$F:$F,$A5)))</f>
        <v>50.7</v>
      </c>
      <c r="AZ5" s="332">
        <f>IF(MAXIFS('単価履歴'!$H:$H,'単価履歴'!$E:$E,AZ$1,'単価履歴'!$F:$F,$A5,'単価履歴'!$B:$B,MAXIFS('単価履歴'!$B:$B,'単価履歴'!$E:$E,AZ$1,'単価履歴'!$F:$F,$A5))=0,"",MAXIFS('単価履歴'!$H:$H,'単価履歴'!$E:$E,AZ$1,'単価履歴'!$F:$F,$A5,'単価履歴'!$B:$B,MAXIFS('単価履歴'!$B:$B,'単価履歴'!$E:$E,AZ$1,'単価履歴'!$F:$F,$A5)))</f>
        <v>52</v>
      </c>
      <c r="BA5" s="332" t="str">
        <f>IF(MAXIFS('単価履歴'!$H:$H,'単価履歴'!$E:$E,BA$1,'単価履歴'!$F:$F,$A5,'単価履歴'!$B:$B,MAXIFS('単価履歴'!$B:$B,'単価履歴'!$E:$E,BA$1,'単価履歴'!$F:$F,$A5))=0,"",MAXIFS('単価履歴'!$H:$H,'単価履歴'!$E:$E,BA$1,'単価履歴'!$F:$F,$A5,'単価履歴'!$B:$B,MAXIFS('単価履歴'!$B:$B,'単価履歴'!$E:$E,BA$1,'単価履歴'!$F:$F,$A5)))</f>
        <v/>
      </c>
      <c r="BB5" s="332">
        <f>IF(MAXIFS('単価履歴'!$H:$H,'単価履歴'!$E:$E,BB$1,'単価履歴'!$F:$F,$A5,'単価履歴'!$B:$B,MAXIFS('単価履歴'!$B:$B,'単価履歴'!$E:$E,BB$1,'単価履歴'!$F:$F,$A5))=0,"",MAXIFS('単価履歴'!$H:$H,'単価履歴'!$E:$E,BB$1,'単価履歴'!$F:$F,$A5,'単価履歴'!$B:$B,MAXIFS('単価履歴'!$B:$B,'単価履歴'!$E:$E,BB$1,'単価履歴'!$F:$F,$A5)))</f>
        <v>51</v>
      </c>
      <c r="BC5" s="332" t="str">
        <f>IF(MAXIFS('単価履歴'!$H:$H,'単価履歴'!$E:$E,BC$1,'単価履歴'!$F:$F,$A5,'単価履歴'!$B:$B,MAXIFS('単価履歴'!$B:$B,'単価履歴'!$E:$E,BC$1,'単価履歴'!$F:$F,$A5))=0,"",MAXIFS('単価履歴'!$H:$H,'単価履歴'!$E:$E,BC$1,'単価履歴'!$F:$F,$A5,'単価履歴'!$B:$B,MAXIFS('単価履歴'!$B:$B,'単価履歴'!$E:$E,BC$1,'単価履歴'!$F:$F,$A5)))</f>
        <v/>
      </c>
      <c r="BD5" s="332" t="str">
        <f>IF(MAXIFS('単価履歴'!$H:$H,'単価履歴'!$E:$E,BD$1,'単価履歴'!$F:$F,$A5,'単価履歴'!$B:$B,MAXIFS('単価履歴'!$B:$B,'単価履歴'!$E:$E,BD$1,'単価履歴'!$F:$F,$A5))=0,"",MAXIFS('単価履歴'!$H:$H,'単価履歴'!$E:$E,BD$1,'単価履歴'!$F:$F,$A5,'単価履歴'!$B:$B,MAXIFS('単価履歴'!$B:$B,'単価履歴'!$E:$E,BD$1,'単価履歴'!$F:$F,$A5)))</f>
        <v/>
      </c>
      <c r="BE5" s="332" t="str">
        <f>IF(MAXIFS('単価履歴'!$H:$H,'単価履歴'!$E:$E,BE$1,'単価履歴'!$F:$F,$A5,'単価履歴'!$B:$B,MAXIFS('単価履歴'!$B:$B,'単価履歴'!$E:$E,BE$1,'単価履歴'!$F:$F,$A5))=0,"",MAXIFS('単価履歴'!$H:$H,'単価履歴'!$E:$E,BE$1,'単価履歴'!$F:$F,$A5,'単価履歴'!$B:$B,MAXIFS('単価履歴'!$B:$B,'単価履歴'!$E:$E,BE$1,'単価履歴'!$F:$F,$A5)))</f>
        <v/>
      </c>
      <c r="BF5" s="332" t="str">
        <f>IF(MAXIFS('単価履歴'!$H:$H,'単価履歴'!$E:$E,BF$1,'単価履歴'!$F:$F,$A5,'単価履歴'!$B:$B,MAXIFS('単価履歴'!$B:$B,'単価履歴'!$E:$E,BF$1,'単価履歴'!$F:$F,$A5))=0,"",MAXIFS('単価履歴'!$H:$H,'単価履歴'!$E:$E,BF$1,'単価履歴'!$F:$F,$A5,'単価履歴'!$B:$B,MAXIFS('単価履歴'!$B:$B,'単価履歴'!$E:$E,BF$1,'単価履歴'!$F:$F,$A5)))</f>
        <v/>
      </c>
      <c r="BG5" s="332" t="str">
        <f>IF(MAXIFS('単価履歴'!$H:$H,'単価履歴'!$E:$E,BG$1,'単価履歴'!$F:$F,$A5,'単価履歴'!$B:$B,MAXIFS('単価履歴'!$B:$B,'単価履歴'!$E:$E,BG$1,'単価履歴'!$F:$F,$A5))=0,"",MAXIFS('単価履歴'!$H:$H,'単価履歴'!$E:$E,BG$1,'単価履歴'!$F:$F,$A5,'単価履歴'!$B:$B,MAXIFS('単価履歴'!$B:$B,'単価履歴'!$E:$E,BG$1,'単価履歴'!$F:$F,$A5)))</f>
        <v/>
      </c>
      <c r="BH5" s="332" t="str">
        <f>IF(MAXIFS('単価履歴'!$H:$H,'単価履歴'!$E:$E,BH$1,'単価履歴'!$F:$F,$A5,'単価履歴'!$B:$B,MAXIFS('単価履歴'!$B:$B,'単価履歴'!$E:$E,BH$1,'単価履歴'!$F:$F,$A5))=0,"",MAXIFS('単価履歴'!$H:$H,'単価履歴'!$E:$E,BH$1,'単価履歴'!$F:$F,$A5,'単価履歴'!$B:$B,MAXIFS('単価履歴'!$B:$B,'単価履歴'!$E:$E,BH$1,'単価履歴'!$F:$F,$A5)))</f>
        <v/>
      </c>
      <c r="BI5" s="332" t="str">
        <f>IF(MAXIFS('単価履歴'!$H:$H,'単価履歴'!$E:$E,BI$1,'単価履歴'!$F:$F,$A5,'単価履歴'!$B:$B,MAXIFS('単価履歴'!$B:$B,'単価履歴'!$E:$E,BI$1,'単価履歴'!$F:$F,$A5))=0,"",MAXIFS('単価履歴'!$H:$H,'単価履歴'!$E:$E,BI$1,'単価履歴'!$F:$F,$A5,'単価履歴'!$B:$B,MAXIFS('単価履歴'!$B:$B,'単価履歴'!$E:$E,BI$1,'単価履歴'!$F:$F,$A5)))</f>
        <v/>
      </c>
      <c r="BJ5" s="332" t="str">
        <f>IF(MAXIFS('単価履歴'!$H:$H,'単価履歴'!$E:$E,BJ$1,'単価履歴'!$F:$F,$A5,'単価履歴'!$B:$B,MAXIFS('単価履歴'!$B:$B,'単価履歴'!$E:$E,BJ$1,'単価履歴'!$F:$F,$A5))=0,"",MAXIFS('単価履歴'!$H:$H,'単価履歴'!$E:$E,BJ$1,'単価履歴'!$F:$F,$A5,'単価履歴'!$B:$B,MAXIFS('単価履歴'!$B:$B,'単価履歴'!$E:$E,BJ$1,'単価履歴'!$F:$F,$A5)))</f>
        <v/>
      </c>
      <c r="BK5" s="332" t="str">
        <f>IF(MAXIFS('単価履歴'!$H:$H,'単価履歴'!$E:$E,BK$1,'単価履歴'!$F:$F,$A5,'単価履歴'!$B:$B,MAXIFS('単価履歴'!$B:$B,'単価履歴'!$E:$E,BK$1,'単価履歴'!$F:$F,$A5))=0,"",MAXIFS('単価履歴'!$H:$H,'単価履歴'!$E:$E,BK$1,'単価履歴'!$F:$F,$A5,'単価履歴'!$B:$B,MAXIFS('単価履歴'!$B:$B,'単価履歴'!$E:$E,BK$1,'単価履歴'!$F:$F,$A5)))</f>
        <v/>
      </c>
      <c r="BL5" s="332">
        <f>IF(MAXIFS('単価履歴'!$H:$H,'単価履歴'!$E:$E,BL$1,'単価履歴'!$F:$F,$A5,'単価履歴'!$B:$B,MAXIFS('単価履歴'!$B:$B,'単価履歴'!$E:$E,BL$1,'単価履歴'!$F:$F,$A5))=0,"",MAXIFS('単価履歴'!$H:$H,'単価履歴'!$E:$E,BL$1,'単価履歴'!$F:$F,$A5,'単価履歴'!$B:$B,MAXIFS('単価履歴'!$B:$B,'単価履歴'!$E:$E,BL$1,'単価履歴'!$F:$F,$A5)))</f>
        <v>54.7</v>
      </c>
      <c r="BM5" s="332" t="str">
        <f>IF(MAXIFS('単価履歴'!$H:$H,'単価履歴'!$E:$E,BM$1,'単価履歴'!$F:$F,$A5,'単価履歴'!$B:$B,MAXIFS('単価履歴'!$B:$B,'単価履歴'!$E:$E,BM$1,'単価履歴'!$F:$F,$A5))=0,"",MAXIFS('単価履歴'!$H:$H,'単価履歴'!$E:$E,BM$1,'単価履歴'!$F:$F,$A5,'単価履歴'!$B:$B,MAXIFS('単価履歴'!$B:$B,'単価履歴'!$E:$E,BM$1,'単価履歴'!$F:$F,$A5)))</f>
        <v/>
      </c>
      <c r="BN5" s="332" t="str">
        <f>IF(MAXIFS('単価履歴'!$H:$H,'単価履歴'!$E:$E,BN$1,'単価履歴'!$F:$F,$A5,'単価履歴'!$B:$B,MAXIFS('単価履歴'!$B:$B,'単価履歴'!$E:$E,BN$1,'単価履歴'!$F:$F,$A5))=0,"",MAXIFS('単価履歴'!$H:$H,'単価履歴'!$E:$E,BN$1,'単価履歴'!$F:$F,$A5,'単価履歴'!$B:$B,MAXIFS('単価履歴'!$B:$B,'単価履歴'!$E:$E,BN$1,'単価履歴'!$F:$F,$A5)))</f>
        <v/>
      </c>
      <c r="BO5" s="332" t="str">
        <f>IF(MAXIFS('単価履歴'!$H:$H,'単価履歴'!$E:$E,BO$1,'単価履歴'!$F:$F,$A5,'単価履歴'!$B:$B,MAXIFS('単価履歴'!$B:$B,'単価履歴'!$E:$E,BO$1,'単価履歴'!$F:$F,$A5))=0,"",MAXIFS('単価履歴'!$H:$H,'単価履歴'!$E:$E,BO$1,'単価履歴'!$F:$F,$A5,'単価履歴'!$B:$B,MAXIFS('単価履歴'!$B:$B,'単価履歴'!$E:$E,BO$1,'単価履歴'!$F:$F,$A5)))</f>
        <v/>
      </c>
      <c r="BP5" s="332" t="str">
        <f>IF(MAXIFS('単価履歴'!$H:$H,'単価履歴'!$E:$E,BP$1,'単価履歴'!$F:$F,$A5,'単価履歴'!$B:$B,MAXIFS('単価履歴'!$B:$B,'単価履歴'!$E:$E,BP$1,'単価履歴'!$F:$F,$A5))=0,"",MAXIFS('単価履歴'!$H:$H,'単価履歴'!$E:$E,BP$1,'単価履歴'!$F:$F,$A5,'単価履歴'!$B:$B,MAXIFS('単価履歴'!$B:$B,'単価履歴'!$E:$E,BP$1,'単価履歴'!$F:$F,$A5)))</f>
        <v/>
      </c>
      <c r="BQ5" s="332">
        <f>IF(MAXIFS('単価履歴'!$H:$H,'単価履歴'!$E:$E,BQ$1,'単価履歴'!$F:$F,$A5,'単価履歴'!$B:$B,MAXIFS('単価履歴'!$B:$B,'単価履歴'!$E:$E,BQ$1,'単価履歴'!$F:$F,$A5))=0,"",MAXIFS('単価履歴'!$H:$H,'単価履歴'!$E:$E,BQ$1,'単価履歴'!$F:$F,$A5,'単価履歴'!$B:$B,MAXIFS('単価履歴'!$B:$B,'単価履歴'!$E:$E,BQ$1,'単価履歴'!$F:$F,$A5)))</f>
        <v>51</v>
      </c>
      <c r="BR5" s="332" t="str">
        <f>IF(MAXIFS('単価履歴'!$H:$H,'単価履歴'!$E:$E,BR$1,'単価履歴'!$F:$F,$A5,'単価履歴'!$B:$B,MAXIFS('単価履歴'!$B:$B,'単価履歴'!$E:$E,BR$1,'単価履歴'!$F:$F,$A5))=0,"",MAXIFS('単価履歴'!$H:$H,'単価履歴'!$E:$E,BR$1,'単価履歴'!$F:$F,$A5,'単価履歴'!$B:$B,MAXIFS('単価履歴'!$B:$B,'単価履歴'!$E:$E,BR$1,'単価履歴'!$F:$F,$A5)))</f>
        <v/>
      </c>
      <c r="BS5" s="332" t="str">
        <f>IF(MAXIFS('単価履歴'!$H:$H,'単価履歴'!$E:$E,BS$1,'単価履歴'!$F:$F,$A5,'単価履歴'!$B:$B,MAXIFS('単価履歴'!$B:$B,'単価履歴'!$E:$E,BS$1,'単価履歴'!$F:$F,$A5))=0,"",MAXIFS('単価履歴'!$H:$H,'単価履歴'!$E:$E,BS$1,'単価履歴'!$F:$F,$A5,'単価履歴'!$B:$B,MAXIFS('単価履歴'!$B:$B,'単価履歴'!$E:$E,BS$1,'単価履歴'!$F:$F,$A5)))</f>
        <v/>
      </c>
      <c r="BT5" s="332">
        <f>IF(MAXIFS('単価履歴'!$H:$H,'単価履歴'!$E:$E,BT$1,'単価履歴'!$F:$F,$A5,'単価履歴'!$B:$B,MAXIFS('単価履歴'!$B:$B,'単価履歴'!$E:$E,BT$1,'単価履歴'!$F:$F,$A5))=0,"",MAXIFS('単価履歴'!$H:$H,'単価履歴'!$E:$E,BT$1,'単価履歴'!$F:$F,$A5,'単価履歴'!$B:$B,MAXIFS('単価履歴'!$B:$B,'単価履歴'!$E:$E,BT$1,'単価履歴'!$F:$F,$A5)))</f>
        <v>26.8</v>
      </c>
      <c r="BU5" s="332" t="str">
        <f>IF(MAXIFS('単価履歴'!$H:$H,'単価履歴'!$E:$E,BU$1,'単価履歴'!$F:$F,$A5,'単価履歴'!$B:$B,MAXIFS('単価履歴'!$B:$B,'単価履歴'!$E:$E,BU$1,'単価履歴'!$F:$F,$A5))=0,"",MAXIFS('単価履歴'!$H:$H,'単価履歴'!$E:$E,BU$1,'単価履歴'!$F:$F,$A5,'単価履歴'!$B:$B,MAXIFS('単価履歴'!$B:$B,'単価履歴'!$E:$E,BU$1,'単価履歴'!$F:$F,$A5)))</f>
        <v/>
      </c>
      <c r="BV5" s="332" t="str">
        <f>IF(MAXIFS('単価履歴'!$H:$H,'単価履歴'!$E:$E,BV$1,'単価履歴'!$F:$F,$A5,'単価履歴'!$B:$B,MAXIFS('単価履歴'!$B:$B,'単価履歴'!$E:$E,BV$1,'単価履歴'!$F:$F,$A5))=0,"",MAXIFS('単価履歴'!$H:$H,'単価履歴'!$E:$E,BV$1,'単価履歴'!$F:$F,$A5,'単価履歴'!$B:$B,MAXIFS('単価履歴'!$B:$B,'単価履歴'!$E:$E,BV$1,'単価履歴'!$F:$F,$A5)))</f>
        <v/>
      </c>
      <c r="BW5" s="332" t="str">
        <f>IF(MAXIFS('単価履歴'!$H:$H,'単価履歴'!$E:$E,BW$1,'単価履歴'!$F:$F,$A5,'単価履歴'!$B:$B,MAXIFS('単価履歴'!$B:$B,'単価履歴'!$E:$E,BW$1,'単価履歴'!$F:$F,$A5))=0,"",MAXIFS('単価履歴'!$H:$H,'単価履歴'!$E:$E,BW$1,'単価履歴'!$F:$F,$A5,'単価履歴'!$B:$B,MAXIFS('単価履歴'!$B:$B,'単価履歴'!$E:$E,BW$1,'単価履歴'!$F:$F,$A5)))</f>
        <v/>
      </c>
      <c r="BX5" s="332" t="str">
        <f>IF(MAXIFS('単価履歴'!$H:$H,'単価履歴'!$E:$E,BX$1,'単価履歴'!$F:$F,$A5,'単価履歴'!$B:$B,MAXIFS('単価履歴'!$B:$B,'単価履歴'!$E:$E,BX$1,'単価履歴'!$F:$F,$A5))=0,"",MAXIFS('単価履歴'!$H:$H,'単価履歴'!$E:$E,BX$1,'単価履歴'!$F:$F,$A5,'単価履歴'!$B:$B,MAXIFS('単価履歴'!$B:$B,'単価履歴'!$E:$E,BX$1,'単価履歴'!$F:$F,$A5)))</f>
        <v/>
      </c>
      <c r="BY5" s="332" t="str">
        <f>IF(MAXIFS('単価履歴'!$H:$H,'単価履歴'!$E:$E,BY$1,'単価履歴'!$F:$F,$A5,'単価履歴'!$B:$B,MAXIFS('単価履歴'!$B:$B,'単価履歴'!$E:$E,BY$1,'単価履歴'!$F:$F,$A5))=0,"",MAXIFS('単価履歴'!$H:$H,'単価履歴'!$E:$E,BY$1,'単価履歴'!$F:$F,$A5,'単価履歴'!$B:$B,MAXIFS('単価履歴'!$B:$B,'単価履歴'!$E:$E,BY$1,'単価履歴'!$F:$F,$A5)))</f>
        <v/>
      </c>
      <c r="BZ5" s="332" t="str">
        <f>IF(MAXIFS('単価履歴'!$H:$H,'単価履歴'!$E:$E,BZ$1,'単価履歴'!$F:$F,$A5,'単価履歴'!$B:$B,MAXIFS('単価履歴'!$B:$B,'単価履歴'!$E:$E,BZ$1,'単価履歴'!$F:$F,$A5))=0,"",MAXIFS('単価履歴'!$H:$H,'単価履歴'!$E:$E,BZ$1,'単価履歴'!$F:$F,$A5,'単価履歴'!$B:$B,MAXIFS('単価履歴'!$B:$B,'単価履歴'!$E:$E,BZ$1,'単価履歴'!$F:$F,$A5)))</f>
        <v/>
      </c>
      <c r="CA5" s="332" t="str">
        <f>IF(MAXIFS('単価履歴'!$H:$H,'単価履歴'!$E:$E,CA$1,'単価履歴'!$F:$F,$A5,'単価履歴'!$B:$B,MAXIFS('単価履歴'!$B:$B,'単価履歴'!$E:$E,CA$1,'単価履歴'!$F:$F,$A5))=0,"",MAXIFS('単価履歴'!$H:$H,'単価履歴'!$E:$E,CA$1,'単価履歴'!$F:$F,$A5,'単価履歴'!$B:$B,MAXIFS('単価履歴'!$B:$B,'単価履歴'!$E:$E,CA$1,'単価履歴'!$F:$F,$A5)))</f>
        <v/>
      </c>
      <c r="CB5" s="332" t="str">
        <f>IF(MAXIFS('単価履歴'!$H:$H,'単価履歴'!$E:$E,CB$1,'単価履歴'!$F:$F,$A5,'単価履歴'!$B:$B,MAXIFS('単価履歴'!$B:$B,'単価履歴'!$E:$E,CB$1,'単価履歴'!$F:$F,$A5))=0,"",MAXIFS('単価履歴'!$H:$H,'単価履歴'!$E:$E,CB$1,'単価履歴'!$F:$F,$A5,'単価履歴'!$B:$B,MAXIFS('単価履歴'!$B:$B,'単価履歴'!$E:$E,CB$1,'単価履歴'!$F:$F,$A5)))</f>
        <v/>
      </c>
      <c r="CC5" s="332" t="str">
        <f>IF(MAXIFS('単価履歴'!$H:$H,'単価履歴'!$E:$E,CC$1,'単価履歴'!$F:$F,$A5,'単価履歴'!$B:$B,MAXIFS('単価履歴'!$B:$B,'単価履歴'!$E:$E,CC$1,'単価履歴'!$F:$F,$A5))=0,"",MAXIFS('単価履歴'!$H:$H,'単価履歴'!$E:$E,CC$1,'単価履歴'!$F:$F,$A5,'単価履歴'!$B:$B,MAXIFS('単価履歴'!$B:$B,'単価履歴'!$E:$E,CC$1,'単価履歴'!$F:$F,$A5)))</f>
        <v/>
      </c>
      <c r="CD5" s="332" t="str">
        <f>IF(MAXIFS('単価履歴'!$H:$H,'単価履歴'!$E:$E,CD$1,'単価履歴'!$F:$F,$A5,'単価履歴'!$B:$B,MAXIFS('単価履歴'!$B:$B,'単価履歴'!$E:$E,CD$1,'単価履歴'!$F:$F,$A5))=0,"",MAXIFS('単価履歴'!$H:$H,'単価履歴'!$E:$E,CD$1,'単価履歴'!$F:$F,$A5,'単価履歴'!$B:$B,MAXIFS('単価履歴'!$B:$B,'単価履歴'!$E:$E,CD$1,'単価履歴'!$F:$F,$A5)))</f>
        <v/>
      </c>
      <c r="CE5" s="332" t="str">
        <f>IF(MAXIFS('単価履歴'!$H:$H,'単価履歴'!$E:$E,CE$1,'単価履歴'!$F:$F,$A5,'単価履歴'!$B:$B,MAXIFS('単価履歴'!$B:$B,'単価履歴'!$E:$E,CE$1,'単価履歴'!$F:$F,$A5))=0,"",MAXIFS('単価履歴'!$H:$H,'単価履歴'!$E:$E,CE$1,'単価履歴'!$F:$F,$A5,'単価履歴'!$B:$B,MAXIFS('単価履歴'!$B:$B,'単価履歴'!$E:$E,CE$1,'単価履歴'!$F:$F,$A5)))</f>
        <v/>
      </c>
      <c r="CF5" s="332" t="str">
        <f>IF(MAXIFS('単価履歴'!$H:$H,'単価履歴'!$E:$E,CF$1,'単価履歴'!$F:$F,$A5,'単価履歴'!$B:$B,MAXIFS('単価履歴'!$B:$B,'単価履歴'!$E:$E,CF$1,'単価履歴'!$F:$F,$A5))=0,"",MAXIFS('単価履歴'!$H:$H,'単価履歴'!$E:$E,CF$1,'単価履歴'!$F:$F,$A5,'単価履歴'!$B:$B,MAXIFS('単価履歴'!$B:$B,'単価履歴'!$E:$E,CF$1,'単価履歴'!$F:$F,$A5)))</f>
        <v/>
      </c>
      <c r="CG5" s="332" t="str">
        <f>IF(MAXIFS('単価履歴'!$H:$H,'単価履歴'!$E:$E,CG$1,'単価履歴'!$F:$F,$A5,'単価履歴'!$B:$B,MAXIFS('単価履歴'!$B:$B,'単価履歴'!$E:$E,CG$1,'単価履歴'!$F:$F,$A5))=0,"",MAXIFS('単価履歴'!$H:$H,'単価履歴'!$E:$E,CG$1,'単価履歴'!$F:$F,$A5,'単価履歴'!$B:$B,MAXIFS('単価履歴'!$B:$B,'単価履歴'!$E:$E,CG$1,'単価履歴'!$F:$F,$A5)))</f>
        <v/>
      </c>
      <c r="CH5" s="332" t="str">
        <f>IF(MAXIFS('単価履歴'!$H:$H,'単価履歴'!$E:$E,CH$1,'単価履歴'!$F:$F,$A5,'単価履歴'!$B:$B,MAXIFS('単価履歴'!$B:$B,'単価履歴'!$E:$E,CH$1,'単価履歴'!$F:$F,$A5))=0,"",MAXIFS('単価履歴'!$H:$H,'単価履歴'!$E:$E,CH$1,'単価履歴'!$F:$F,$A5,'単価履歴'!$B:$B,MAXIFS('単価履歴'!$B:$B,'単価履歴'!$E:$E,CH$1,'単価履歴'!$F:$F,$A5)))</f>
        <v/>
      </c>
    </row>
    <row r="6" ht="15.75" customHeight="1">
      <c r="A6" s="432" t="s">
        <v>1237</v>
      </c>
      <c r="B6" s="332">
        <f>MAXIFS('単価履歴'!H:H,'単価履歴'!F:F,A6,'単価履歴'!N:N,"●")</f>
        <v>53</v>
      </c>
      <c r="C6" s="332" t="str">
        <f>IF(MAXIFS('単価履歴'!$H:$H,'単価履歴'!$E:$E,C$1,'単価履歴'!$F:$F,$A6,'単価履歴'!$B:$B,MAXIFS('単価履歴'!$B:$B,'単価履歴'!$E:$E,C$1,'単価履歴'!$F:$F,$A6))=0,"",MAXIFS('単価履歴'!$H:$H,'単価履歴'!$E:$E,C$1,'単価履歴'!$F:$F,$A6,'単価履歴'!$B:$B,MAXIFS('単価履歴'!$B:$B,'単価履歴'!$E:$E,C$1,'単価履歴'!$F:$F,$A6)))</f>
        <v/>
      </c>
      <c r="D6" s="332" t="str">
        <f>IF(MAXIFS('単価履歴'!$H:$H,'単価履歴'!$E:$E,D$1,'単価履歴'!$F:$F,$A6,'単価履歴'!$B:$B,MAXIFS('単価履歴'!$B:$B,'単価履歴'!$E:$E,D$1,'単価履歴'!$F:$F,$A6))=0,"",MAXIFS('単価履歴'!$H:$H,'単価履歴'!$E:$E,D$1,'単価履歴'!$F:$F,$A6,'単価履歴'!$B:$B,MAXIFS('単価履歴'!$B:$B,'単価履歴'!$E:$E,D$1,'単価履歴'!$F:$F,$A6)))</f>
        <v/>
      </c>
      <c r="E6" s="332" t="str">
        <f>IF(MAXIFS('単価履歴'!$H:$H,'単価履歴'!$E:$E,E$1,'単価履歴'!$F:$F,$A6,'単価履歴'!$B:$B,MAXIFS('単価履歴'!$B:$B,'単価履歴'!$E:$E,E$1,'単価履歴'!$F:$F,$A6))=0,"",MAXIFS('単価履歴'!$H:$H,'単価履歴'!$E:$E,E$1,'単価履歴'!$F:$F,$A6,'単価履歴'!$B:$B,MAXIFS('単価履歴'!$B:$B,'単価履歴'!$E:$E,E$1,'単価履歴'!$F:$F,$A6)))</f>
        <v/>
      </c>
      <c r="F6" s="332" t="str">
        <f>IF(MAXIFS('単価履歴'!$H:$H,'単価履歴'!$E:$E,F$1,'単価履歴'!$F:$F,$A6,'単価履歴'!$B:$B,MAXIFS('単価履歴'!$B:$B,'単価履歴'!$E:$E,F$1,'単価履歴'!$F:$F,$A6))=0,"",MAXIFS('単価履歴'!$H:$H,'単価履歴'!$E:$E,F$1,'単価履歴'!$F:$F,$A6,'単価履歴'!$B:$B,MAXIFS('単価履歴'!$B:$B,'単価履歴'!$E:$E,F$1,'単価履歴'!$F:$F,$A6)))</f>
        <v/>
      </c>
      <c r="G6" s="332" t="str">
        <f>IF(MAXIFS('単価履歴'!$H:$H,'単価履歴'!$E:$E,G$1,'単価履歴'!$F:$F,$A6,'単価履歴'!$B:$B,MAXIFS('単価履歴'!$B:$B,'単価履歴'!$E:$E,G$1,'単価履歴'!$F:$F,$A6))=0,"",MAXIFS('単価履歴'!$H:$H,'単価履歴'!$E:$E,G$1,'単価履歴'!$F:$F,$A6,'単価履歴'!$B:$B,MAXIFS('単価履歴'!$B:$B,'単価履歴'!$E:$E,G$1,'単価履歴'!$F:$F,$A6)))</f>
        <v/>
      </c>
      <c r="H6" s="332">
        <f>IF(MAXIFS('単価履歴'!$H:$H,'単価履歴'!$E:$E,H$1,'単価履歴'!$F:$F,$A6,'単価履歴'!$B:$B,MAXIFS('単価履歴'!$B:$B,'単価履歴'!$E:$E,H$1,'単価履歴'!$F:$F,$A6))=0,"",MAXIFS('単価履歴'!$H:$H,'単価履歴'!$E:$E,H$1,'単価履歴'!$F:$F,$A6,'単価履歴'!$B:$B,MAXIFS('単価履歴'!$B:$B,'単価履歴'!$E:$E,H$1,'単価履歴'!$F:$F,$A6)))</f>
        <v>52.7</v>
      </c>
      <c r="I6" s="332" t="str">
        <f>IF(MAXIFS('単価履歴'!$H:$H,'単価履歴'!$E:$E,I$1,'単価履歴'!$F:$F,$A6,'単価履歴'!$B:$B,MAXIFS('単価履歴'!$B:$B,'単価履歴'!$E:$E,I$1,'単価履歴'!$F:$F,$A6))=0,"",MAXIFS('単価履歴'!$H:$H,'単価履歴'!$E:$E,I$1,'単価履歴'!$F:$F,$A6,'単価履歴'!$B:$B,MAXIFS('単価履歴'!$B:$B,'単価履歴'!$E:$E,I$1,'単価履歴'!$F:$F,$A6)))</f>
        <v/>
      </c>
      <c r="J6" s="332" t="str">
        <f>IF(MAXIFS('単価履歴'!$H:$H,'単価履歴'!$E:$E,J$1,'単価履歴'!$F:$F,$A6,'単価履歴'!$B:$B,MAXIFS('単価履歴'!$B:$B,'単価履歴'!$E:$E,J$1,'単価履歴'!$F:$F,$A6))=0,"",MAXIFS('単価履歴'!$H:$H,'単価履歴'!$E:$E,J$1,'単価履歴'!$F:$F,$A6,'単価履歴'!$B:$B,MAXIFS('単価履歴'!$B:$B,'単価履歴'!$E:$E,J$1,'単価履歴'!$F:$F,$A6)))</f>
        <v/>
      </c>
      <c r="K6" s="332" t="str">
        <f>IF(MAXIFS('単価履歴'!$H:$H,'単価履歴'!$E:$E,K$1,'単価履歴'!$F:$F,$A6,'単価履歴'!$B:$B,MAXIFS('単価履歴'!$B:$B,'単価履歴'!$E:$E,K$1,'単価履歴'!$F:$F,$A6))=0,"",MAXIFS('単価履歴'!$H:$H,'単価履歴'!$E:$E,K$1,'単価履歴'!$F:$F,$A6,'単価履歴'!$B:$B,MAXIFS('単価履歴'!$B:$B,'単価履歴'!$E:$E,K$1,'単価履歴'!$F:$F,$A6)))</f>
        <v/>
      </c>
      <c r="L6" s="332">
        <f>IF(MAXIFS('単価履歴'!$H:$H,'単価履歴'!$E:$E,L$1,'単価履歴'!$F:$F,$A6,'単価履歴'!$B:$B,MAXIFS('単価履歴'!$B:$B,'単価履歴'!$E:$E,L$1,'単価履歴'!$F:$F,$A6))=0,"",MAXIFS('単価履歴'!$H:$H,'単価履歴'!$E:$E,L$1,'単価履歴'!$F:$F,$A6,'単価履歴'!$B:$B,MAXIFS('単価履歴'!$B:$B,'単価履歴'!$E:$E,L$1,'単価履歴'!$F:$F,$A6)))</f>
        <v>53</v>
      </c>
      <c r="M6" s="332">
        <f>IF(MAXIFS('単価履歴'!$H:$H,'単価履歴'!$E:$E,M$1,'単価履歴'!$F:$F,$A6,'単価履歴'!$B:$B,MAXIFS('単価履歴'!$B:$B,'単価履歴'!$E:$E,M$1,'単価履歴'!$F:$F,$A6))=0,"",MAXIFS('単価履歴'!$H:$H,'単価履歴'!$E:$E,M$1,'単価履歴'!$F:$F,$A6,'単価履歴'!$B:$B,MAXIFS('単価履歴'!$B:$B,'単価履歴'!$E:$E,M$1,'単価履歴'!$F:$F,$A6)))</f>
        <v>38.4</v>
      </c>
      <c r="N6" s="332">
        <f>IF(MAXIFS('単価履歴'!$H:$H,'単価履歴'!$E:$E,N$1,'単価履歴'!$F:$F,$A6,'単価履歴'!$B:$B,MAXIFS('単価履歴'!$B:$B,'単価履歴'!$E:$E,N$1,'単価履歴'!$F:$F,$A6))=0,"",MAXIFS('単価履歴'!$H:$H,'単価履歴'!$E:$E,N$1,'単価履歴'!$F:$F,$A6,'単価履歴'!$B:$B,MAXIFS('単価履歴'!$B:$B,'単価履歴'!$E:$E,N$1,'単価履歴'!$F:$F,$A6)))</f>
        <v>-3</v>
      </c>
      <c r="O6" s="332">
        <f>IF(MAXIFS('単価履歴'!$H:$H,'単価履歴'!$E:$E,O$1,'単価履歴'!$F:$F,$A6,'単価履歴'!$B:$B,MAXIFS('単価履歴'!$B:$B,'単価履歴'!$E:$E,O$1,'単価履歴'!$F:$F,$A6))=0,"",MAXIFS('単価履歴'!$H:$H,'単価履歴'!$E:$E,O$1,'単価履歴'!$F:$F,$A6,'単価履歴'!$B:$B,MAXIFS('単価履歴'!$B:$B,'単価履歴'!$E:$E,O$1,'単価履歴'!$F:$F,$A6)))</f>
        <v>45.7</v>
      </c>
      <c r="P6" s="332" t="str">
        <f>IF(MAXIFS('単価履歴'!$H:$H,'単価履歴'!$E:$E,P$1,'単価履歴'!$F:$F,$A6,'単価履歴'!$B:$B,MAXIFS('単価履歴'!$B:$B,'単価履歴'!$E:$E,P$1,'単価履歴'!$F:$F,$A6))=0,"",MAXIFS('単価履歴'!$H:$H,'単価履歴'!$E:$E,P$1,'単価履歴'!$F:$F,$A6,'単価履歴'!$B:$B,MAXIFS('単価履歴'!$B:$B,'単価履歴'!$E:$E,P$1,'単価履歴'!$F:$F,$A6)))</f>
        <v/>
      </c>
      <c r="Q6" s="332" t="str">
        <f>IF(MAXIFS('単価履歴'!$H:$H,'単価履歴'!$E:$E,Q$1,'単価履歴'!$F:$F,$A6,'単価履歴'!$B:$B,MAXIFS('単価履歴'!$B:$B,'単価履歴'!$E:$E,Q$1,'単価履歴'!$F:$F,$A6))=0,"",MAXIFS('単価履歴'!$H:$H,'単価履歴'!$E:$E,Q$1,'単価履歴'!$F:$F,$A6,'単価履歴'!$B:$B,MAXIFS('単価履歴'!$B:$B,'単価履歴'!$E:$E,Q$1,'単価履歴'!$F:$F,$A6)))</f>
        <v/>
      </c>
      <c r="R6" s="332" t="str">
        <f>IF(MAXIFS('単価履歴'!$H:$H,'単価履歴'!$E:$E,R$1,'単価履歴'!$F:$F,$A6,'単価履歴'!$B:$B,MAXIFS('単価履歴'!$B:$B,'単価履歴'!$E:$E,R$1,'単価履歴'!$F:$F,$A6))=0,"",MAXIFS('単価履歴'!$H:$H,'単価履歴'!$E:$E,R$1,'単価履歴'!$F:$F,$A6,'単価履歴'!$B:$B,MAXIFS('単価履歴'!$B:$B,'単価履歴'!$E:$E,R$1,'単価履歴'!$F:$F,$A6)))</f>
        <v/>
      </c>
      <c r="S6" s="332" t="str">
        <f>IF(MAXIFS('単価履歴'!$H:$H,'単価履歴'!$E:$E,S$1,'単価履歴'!$F:$F,$A6,'単価履歴'!$B:$B,MAXIFS('単価履歴'!$B:$B,'単価履歴'!$E:$E,S$1,'単価履歴'!$F:$F,$A6))=0,"",MAXIFS('単価履歴'!$H:$H,'単価履歴'!$E:$E,S$1,'単価履歴'!$F:$F,$A6,'単価履歴'!$B:$B,MAXIFS('単価履歴'!$B:$B,'単価履歴'!$E:$E,S$1,'単価履歴'!$F:$F,$A6)))</f>
        <v/>
      </c>
      <c r="T6" s="332" t="str">
        <f>IF(MAXIFS('単価履歴'!$H:$H,'単価履歴'!$E:$E,T$1,'単価履歴'!$F:$F,$A6,'単価履歴'!$B:$B,MAXIFS('単価履歴'!$B:$B,'単価履歴'!$E:$E,T$1,'単価履歴'!$F:$F,$A6))=0,"",MAXIFS('単価履歴'!$H:$H,'単価履歴'!$E:$E,T$1,'単価履歴'!$F:$F,$A6,'単価履歴'!$B:$B,MAXIFS('単価履歴'!$B:$B,'単価履歴'!$E:$E,T$1,'単価履歴'!$F:$F,$A6)))</f>
        <v/>
      </c>
      <c r="U6" s="332" t="str">
        <f>IF(MAXIFS('単価履歴'!$H:$H,'単価履歴'!$E:$E,U$1,'単価履歴'!$F:$F,$A6,'単価履歴'!$B:$B,MAXIFS('単価履歴'!$B:$B,'単価履歴'!$E:$E,U$1,'単価履歴'!$F:$F,$A6))=0,"",MAXIFS('単価履歴'!$H:$H,'単価履歴'!$E:$E,U$1,'単価履歴'!$F:$F,$A6,'単価履歴'!$B:$B,MAXIFS('単価履歴'!$B:$B,'単価履歴'!$E:$E,U$1,'単価履歴'!$F:$F,$A6)))</f>
        <v/>
      </c>
      <c r="V6" s="332" t="str">
        <f>IF(MAXIFS('単価履歴'!$H:$H,'単価履歴'!$E:$E,V$1,'単価履歴'!$F:$F,$A6,'単価履歴'!$B:$B,MAXIFS('単価履歴'!$B:$B,'単価履歴'!$E:$E,V$1,'単価履歴'!$F:$F,$A6))=0,"",MAXIFS('単価履歴'!$H:$H,'単価履歴'!$E:$E,V$1,'単価履歴'!$F:$F,$A6,'単価履歴'!$B:$B,MAXIFS('単価履歴'!$B:$B,'単価履歴'!$E:$E,V$1,'単価履歴'!$F:$F,$A6)))</f>
        <v/>
      </c>
      <c r="W6" s="332" t="str">
        <f>IF(MAXIFS('単価履歴'!$H:$H,'単価履歴'!$E:$E,W$1,'単価履歴'!$F:$F,$A6,'単価履歴'!$B:$B,MAXIFS('単価履歴'!$B:$B,'単価履歴'!$E:$E,W$1,'単価履歴'!$F:$F,$A6))=0,"",MAXIFS('単価履歴'!$H:$H,'単価履歴'!$E:$E,W$1,'単価履歴'!$F:$F,$A6,'単価履歴'!$B:$B,MAXIFS('単価履歴'!$B:$B,'単価履歴'!$E:$E,W$1,'単価履歴'!$F:$F,$A6)))</f>
        <v/>
      </c>
      <c r="X6" s="332" t="str">
        <f>IF(MAXIFS('単価履歴'!$H:$H,'単価履歴'!$E:$E,X$1,'単価履歴'!$F:$F,$A6,'単価履歴'!$B:$B,MAXIFS('単価履歴'!$B:$B,'単価履歴'!$E:$E,X$1,'単価履歴'!$F:$F,$A6))=0,"",MAXIFS('単価履歴'!$H:$H,'単価履歴'!$E:$E,X$1,'単価履歴'!$F:$F,$A6,'単価履歴'!$B:$B,MAXIFS('単価履歴'!$B:$B,'単価履歴'!$E:$E,X$1,'単価履歴'!$F:$F,$A6)))</f>
        <v/>
      </c>
      <c r="Y6" s="332" t="str">
        <f>IF(MAXIFS('単価履歴'!$H:$H,'単価履歴'!$E:$E,Y$1,'単価履歴'!$F:$F,$A6,'単価履歴'!$B:$B,MAXIFS('単価履歴'!$B:$B,'単価履歴'!$E:$E,Y$1,'単価履歴'!$F:$F,$A6))=0,"",MAXIFS('単価履歴'!$H:$H,'単価履歴'!$E:$E,Y$1,'単価履歴'!$F:$F,$A6,'単価履歴'!$B:$B,MAXIFS('単価履歴'!$B:$B,'単価履歴'!$E:$E,Y$1,'単価履歴'!$F:$F,$A6)))</f>
        <v/>
      </c>
      <c r="Z6" s="332" t="str">
        <f>IF(MAXIFS('単価履歴'!$H:$H,'単価履歴'!$E:$E,Z$1,'単価履歴'!$F:$F,$A6,'単価履歴'!$B:$B,MAXIFS('単価履歴'!$B:$B,'単価履歴'!$E:$E,Z$1,'単価履歴'!$F:$F,$A6))=0,"",MAXIFS('単価履歴'!$H:$H,'単価履歴'!$E:$E,Z$1,'単価履歴'!$F:$F,$A6,'単価履歴'!$B:$B,MAXIFS('単価履歴'!$B:$B,'単価履歴'!$E:$E,Z$1,'単価履歴'!$F:$F,$A6)))</f>
        <v/>
      </c>
      <c r="AA6" s="332" t="str">
        <f>IF(MAXIFS('単価履歴'!$H:$H,'単価履歴'!$E:$E,AA$1,'単価履歴'!$F:$F,$A6,'単価履歴'!$B:$B,MAXIFS('単価履歴'!$B:$B,'単価履歴'!$E:$E,AA$1,'単価履歴'!$F:$F,$A6))=0,"",MAXIFS('単価履歴'!$H:$H,'単価履歴'!$E:$E,AA$1,'単価履歴'!$F:$F,$A6,'単価履歴'!$B:$B,MAXIFS('単価履歴'!$B:$B,'単価履歴'!$E:$E,AA$1,'単価履歴'!$F:$F,$A6)))</f>
        <v/>
      </c>
      <c r="AB6" s="332" t="str">
        <f>IF(MAXIFS('単価履歴'!$H:$H,'単価履歴'!$E:$E,AB$1,'単価履歴'!$F:$F,$A6,'単価履歴'!$B:$B,MAXIFS('単価履歴'!$B:$B,'単価履歴'!$E:$E,AB$1,'単価履歴'!$F:$F,$A6))=0,"",MAXIFS('単価履歴'!$H:$H,'単価履歴'!$E:$E,AB$1,'単価履歴'!$F:$F,$A6,'単価履歴'!$B:$B,MAXIFS('単価履歴'!$B:$B,'単価履歴'!$E:$E,AB$1,'単価履歴'!$F:$F,$A6)))</f>
        <v/>
      </c>
      <c r="AC6" s="332" t="str">
        <f>IF(MAXIFS('単価履歴'!$H:$H,'単価履歴'!$E:$E,AC$1,'単価履歴'!$F:$F,$A6,'単価履歴'!$B:$B,MAXIFS('単価履歴'!$B:$B,'単価履歴'!$E:$E,AC$1,'単価履歴'!$F:$F,$A6))=0,"",MAXIFS('単価履歴'!$H:$H,'単価履歴'!$E:$E,AC$1,'単価履歴'!$F:$F,$A6,'単価履歴'!$B:$B,MAXIFS('単価履歴'!$B:$B,'単価履歴'!$E:$E,AC$1,'単価履歴'!$F:$F,$A6)))</f>
        <v/>
      </c>
      <c r="AD6" s="332" t="str">
        <f>IF(MAXIFS('単価履歴'!$H:$H,'単価履歴'!$E:$E,AD$1,'単価履歴'!$F:$F,$A6,'単価履歴'!$B:$B,MAXIFS('単価履歴'!$B:$B,'単価履歴'!$E:$E,AD$1,'単価履歴'!$F:$F,$A6))=0,"",MAXIFS('単価履歴'!$H:$H,'単価履歴'!$E:$E,AD$1,'単価履歴'!$F:$F,$A6,'単価履歴'!$B:$B,MAXIFS('単価履歴'!$B:$B,'単価履歴'!$E:$E,AD$1,'単価履歴'!$F:$F,$A6)))</f>
        <v/>
      </c>
      <c r="AE6" s="332" t="str">
        <f>IF(MAXIFS('単価履歴'!$H:$H,'単価履歴'!$E:$E,AE$1,'単価履歴'!$F:$F,$A6,'単価履歴'!$B:$B,MAXIFS('単価履歴'!$B:$B,'単価履歴'!$E:$E,AE$1,'単価履歴'!$F:$F,$A6))=0,"",MAXIFS('単価履歴'!$H:$H,'単価履歴'!$E:$E,AE$1,'単価履歴'!$F:$F,$A6,'単価履歴'!$B:$B,MAXIFS('単価履歴'!$B:$B,'単価履歴'!$E:$E,AE$1,'単価履歴'!$F:$F,$A6)))</f>
        <v/>
      </c>
      <c r="AF6" s="332" t="str">
        <f>IF(MAXIFS('単価履歴'!$H:$H,'単価履歴'!$E:$E,AF$1,'単価履歴'!$F:$F,$A6,'単価履歴'!$B:$B,MAXIFS('単価履歴'!$B:$B,'単価履歴'!$E:$E,AF$1,'単価履歴'!$F:$F,$A6))=0,"",MAXIFS('単価履歴'!$H:$H,'単価履歴'!$E:$E,AF$1,'単価履歴'!$F:$F,$A6,'単価履歴'!$B:$B,MAXIFS('単価履歴'!$B:$B,'単価履歴'!$E:$E,AF$1,'単価履歴'!$F:$F,$A6)))</f>
        <v/>
      </c>
      <c r="AG6" s="332" t="str">
        <f>IF(MAXIFS('単価履歴'!$H:$H,'単価履歴'!$E:$E,AG$1,'単価履歴'!$F:$F,$A6,'単価履歴'!$B:$B,MAXIFS('単価履歴'!$B:$B,'単価履歴'!$E:$E,AG$1,'単価履歴'!$F:$F,$A6))=0,"",MAXIFS('単価履歴'!$H:$H,'単価履歴'!$E:$E,AG$1,'単価履歴'!$F:$F,$A6,'単価履歴'!$B:$B,MAXIFS('単価履歴'!$B:$B,'単価履歴'!$E:$E,AG$1,'単価履歴'!$F:$F,$A6)))</f>
        <v/>
      </c>
      <c r="AH6" s="332" t="str">
        <f>IF(MAXIFS('単価履歴'!$H:$H,'単価履歴'!$E:$E,AH$1,'単価履歴'!$F:$F,$A6,'単価履歴'!$B:$B,MAXIFS('単価履歴'!$B:$B,'単価履歴'!$E:$E,AH$1,'単価履歴'!$F:$F,$A6))=0,"",MAXIFS('単価履歴'!$H:$H,'単価履歴'!$E:$E,AH$1,'単価履歴'!$F:$F,$A6,'単価履歴'!$B:$B,MAXIFS('単価履歴'!$B:$B,'単価履歴'!$E:$E,AH$1,'単価履歴'!$F:$F,$A6)))</f>
        <v/>
      </c>
      <c r="AI6" s="332" t="str">
        <f>IF(MAXIFS('単価履歴'!$H:$H,'単価履歴'!$E:$E,AI$1,'単価履歴'!$F:$F,$A6,'単価履歴'!$B:$B,MAXIFS('単価履歴'!$B:$B,'単価履歴'!$E:$E,AI$1,'単価履歴'!$F:$F,$A6))=0,"",MAXIFS('単価履歴'!$H:$H,'単価履歴'!$E:$E,AI$1,'単価履歴'!$F:$F,$A6,'単価履歴'!$B:$B,MAXIFS('単価履歴'!$B:$B,'単価履歴'!$E:$E,AI$1,'単価履歴'!$F:$F,$A6)))</f>
        <v/>
      </c>
      <c r="AJ6" s="332" t="str">
        <f>IF(MAXIFS('単価履歴'!$H:$H,'単価履歴'!$E:$E,AJ$1,'単価履歴'!$F:$F,$A6,'単価履歴'!$B:$B,MAXIFS('単価履歴'!$B:$B,'単価履歴'!$E:$E,AJ$1,'単価履歴'!$F:$F,$A6))=0,"",MAXIFS('単価履歴'!$H:$H,'単価履歴'!$E:$E,AJ$1,'単価履歴'!$F:$F,$A6,'単価履歴'!$B:$B,MAXIFS('単価履歴'!$B:$B,'単価履歴'!$E:$E,AJ$1,'単価履歴'!$F:$F,$A6)))</f>
        <v/>
      </c>
      <c r="AK6" s="332" t="str">
        <f>IF(MAXIFS('単価履歴'!$H:$H,'単価履歴'!$E:$E,AK$1,'単価履歴'!$F:$F,$A6,'単価履歴'!$B:$B,MAXIFS('単価履歴'!$B:$B,'単価履歴'!$E:$E,AK$1,'単価履歴'!$F:$F,$A6))=0,"",MAXIFS('単価履歴'!$H:$H,'単価履歴'!$E:$E,AK$1,'単価履歴'!$F:$F,$A6,'単価履歴'!$B:$B,MAXIFS('単価履歴'!$B:$B,'単価履歴'!$E:$E,AK$1,'単価履歴'!$F:$F,$A6)))</f>
        <v/>
      </c>
      <c r="AL6" s="332" t="str">
        <f>IF(MAXIFS('単価履歴'!$H:$H,'単価履歴'!$E:$E,AL$1,'単価履歴'!$F:$F,$A6,'単価履歴'!$B:$B,MAXIFS('単価履歴'!$B:$B,'単価履歴'!$E:$E,AL$1,'単価履歴'!$F:$F,$A6))=0,"",MAXIFS('単価履歴'!$H:$H,'単価履歴'!$E:$E,AL$1,'単価履歴'!$F:$F,$A6,'単価履歴'!$B:$B,MAXIFS('単価履歴'!$B:$B,'単価履歴'!$E:$E,AL$1,'単価履歴'!$F:$F,$A6)))</f>
        <v/>
      </c>
      <c r="AM6" s="332" t="str">
        <f>IF(MAXIFS('単価履歴'!$H:$H,'単価履歴'!$E:$E,AM$1,'単価履歴'!$F:$F,$A6,'単価履歴'!$B:$B,MAXIFS('単価履歴'!$B:$B,'単価履歴'!$E:$E,AM$1,'単価履歴'!$F:$F,$A6))=0,"",MAXIFS('単価履歴'!$H:$H,'単価履歴'!$E:$E,AM$1,'単価履歴'!$F:$F,$A6,'単価履歴'!$B:$B,MAXIFS('単価履歴'!$B:$B,'単価履歴'!$E:$E,AM$1,'単価履歴'!$F:$F,$A6)))</f>
        <v/>
      </c>
      <c r="AN6" s="332" t="str">
        <f>IF(MAXIFS('単価履歴'!$H:$H,'単価履歴'!$E:$E,AN$1,'単価履歴'!$F:$F,$A6,'単価履歴'!$B:$B,MAXIFS('単価履歴'!$B:$B,'単価履歴'!$E:$E,AN$1,'単価履歴'!$F:$F,$A6))=0,"",MAXIFS('単価履歴'!$H:$H,'単価履歴'!$E:$E,AN$1,'単価履歴'!$F:$F,$A6,'単価履歴'!$B:$B,MAXIFS('単価履歴'!$B:$B,'単価履歴'!$E:$E,AN$1,'単価履歴'!$F:$F,$A6)))</f>
        <v/>
      </c>
      <c r="AO6" s="332" t="str">
        <f>IF(MAXIFS('単価履歴'!$H:$H,'単価履歴'!$E:$E,AO$1,'単価履歴'!$F:$F,$A6,'単価履歴'!$B:$B,MAXIFS('単価履歴'!$B:$B,'単価履歴'!$E:$E,AO$1,'単価履歴'!$F:$F,$A6))=0,"",MAXIFS('単価履歴'!$H:$H,'単価履歴'!$E:$E,AO$1,'単価履歴'!$F:$F,$A6,'単価履歴'!$B:$B,MAXIFS('単価履歴'!$B:$B,'単価履歴'!$E:$E,AO$1,'単価履歴'!$F:$F,$A6)))</f>
        <v/>
      </c>
      <c r="AP6" s="332" t="str">
        <f>IF(MAXIFS('単価履歴'!$H:$H,'単価履歴'!$E:$E,AP$1,'単価履歴'!$F:$F,$A6,'単価履歴'!$B:$B,MAXIFS('単価履歴'!$B:$B,'単価履歴'!$E:$E,AP$1,'単価履歴'!$F:$F,$A6))=0,"",MAXIFS('単価履歴'!$H:$H,'単価履歴'!$E:$E,AP$1,'単価履歴'!$F:$F,$A6,'単価履歴'!$B:$B,MAXIFS('単価履歴'!$B:$B,'単価履歴'!$E:$E,AP$1,'単価履歴'!$F:$F,$A6)))</f>
        <v/>
      </c>
      <c r="AQ6" s="332" t="str">
        <f>IF(MAXIFS('単価履歴'!$H:$H,'単価履歴'!$E:$E,AQ$1,'単価履歴'!$F:$F,$A6,'単価履歴'!$B:$B,MAXIFS('単価履歴'!$B:$B,'単価履歴'!$E:$E,AQ$1,'単価履歴'!$F:$F,$A6))=0,"",MAXIFS('単価履歴'!$H:$H,'単価履歴'!$E:$E,AQ$1,'単価履歴'!$F:$F,$A6,'単価履歴'!$B:$B,MAXIFS('単価履歴'!$B:$B,'単価履歴'!$E:$E,AQ$1,'単価履歴'!$F:$F,$A6)))</f>
        <v/>
      </c>
      <c r="AR6" s="332" t="str">
        <f>IF(MAXIFS('単価履歴'!$H:$H,'単価履歴'!$E:$E,AR$1,'単価履歴'!$F:$F,$A6,'単価履歴'!$B:$B,MAXIFS('単価履歴'!$B:$B,'単価履歴'!$E:$E,AR$1,'単価履歴'!$F:$F,$A6))=0,"",MAXIFS('単価履歴'!$H:$H,'単価履歴'!$E:$E,AR$1,'単価履歴'!$F:$F,$A6,'単価履歴'!$B:$B,MAXIFS('単価履歴'!$B:$B,'単価履歴'!$E:$E,AR$1,'単価履歴'!$F:$F,$A6)))</f>
        <v/>
      </c>
      <c r="AS6" s="332" t="str">
        <f>IF(MAXIFS('単価履歴'!$H:$H,'単価履歴'!$E:$E,AS$1,'単価履歴'!$F:$F,$A6,'単価履歴'!$B:$B,MAXIFS('単価履歴'!$B:$B,'単価履歴'!$E:$E,AS$1,'単価履歴'!$F:$F,$A6))=0,"",MAXIFS('単価履歴'!$H:$H,'単価履歴'!$E:$E,AS$1,'単価履歴'!$F:$F,$A6,'単価履歴'!$B:$B,MAXIFS('単価履歴'!$B:$B,'単価履歴'!$E:$E,AS$1,'単価履歴'!$F:$F,$A6)))</f>
        <v/>
      </c>
      <c r="AT6" s="332" t="str">
        <f>IF(MAXIFS('単価履歴'!$H:$H,'単価履歴'!$E:$E,AT$1,'単価履歴'!$F:$F,$A6,'単価履歴'!$B:$B,MAXIFS('単価履歴'!$B:$B,'単価履歴'!$E:$E,AT$1,'単価履歴'!$F:$F,$A6))=0,"",MAXIFS('単価履歴'!$H:$H,'単価履歴'!$E:$E,AT$1,'単価履歴'!$F:$F,$A6,'単価履歴'!$B:$B,MAXIFS('単価履歴'!$B:$B,'単価履歴'!$E:$E,AT$1,'単価履歴'!$F:$F,$A6)))</f>
        <v/>
      </c>
      <c r="AU6" s="332" t="str">
        <f>IF(MAXIFS('単価履歴'!$H:$H,'単価履歴'!$E:$E,AU$1,'単価履歴'!$F:$F,$A6,'単価履歴'!$B:$B,MAXIFS('単価履歴'!$B:$B,'単価履歴'!$E:$E,AU$1,'単価履歴'!$F:$F,$A6))=0,"",MAXIFS('単価履歴'!$H:$H,'単価履歴'!$E:$E,AU$1,'単価履歴'!$F:$F,$A6,'単価履歴'!$B:$B,MAXIFS('単価履歴'!$B:$B,'単価履歴'!$E:$E,AU$1,'単価履歴'!$F:$F,$A6)))</f>
        <v/>
      </c>
      <c r="AV6" s="332" t="str">
        <f>IF(MAXIFS('単価履歴'!$H:$H,'単価履歴'!$E:$E,AV$1,'単価履歴'!$F:$F,$A6,'単価履歴'!$B:$B,MAXIFS('単価履歴'!$B:$B,'単価履歴'!$E:$E,AV$1,'単価履歴'!$F:$F,$A6))=0,"",MAXIFS('単価履歴'!$H:$H,'単価履歴'!$E:$E,AV$1,'単価履歴'!$F:$F,$A6,'単価履歴'!$B:$B,MAXIFS('単価履歴'!$B:$B,'単価履歴'!$E:$E,AV$1,'単価履歴'!$F:$F,$A6)))</f>
        <v/>
      </c>
      <c r="AW6" s="332" t="str">
        <f>IF(MAXIFS('単価履歴'!$H:$H,'単価履歴'!$E:$E,AW$1,'単価履歴'!$F:$F,$A6,'単価履歴'!$B:$B,MAXIFS('単価履歴'!$B:$B,'単価履歴'!$E:$E,AW$1,'単価履歴'!$F:$F,$A6))=0,"",MAXIFS('単価履歴'!$H:$H,'単価履歴'!$E:$E,AW$1,'単価履歴'!$F:$F,$A6,'単価履歴'!$B:$B,MAXIFS('単価履歴'!$B:$B,'単価履歴'!$E:$E,AW$1,'単価履歴'!$F:$F,$A6)))</f>
        <v/>
      </c>
      <c r="AX6" s="332" t="str">
        <f>IF(MAXIFS('単価履歴'!$H:$H,'単価履歴'!$E:$E,AX$1,'単価履歴'!$F:$F,$A6,'単価履歴'!$B:$B,MAXIFS('単価履歴'!$B:$B,'単価履歴'!$E:$E,AX$1,'単価履歴'!$F:$F,$A6))=0,"",MAXIFS('単価履歴'!$H:$H,'単価履歴'!$E:$E,AX$1,'単価履歴'!$F:$F,$A6,'単価履歴'!$B:$B,MAXIFS('単価履歴'!$B:$B,'単価履歴'!$E:$E,AX$1,'単価履歴'!$F:$F,$A6)))</f>
        <v/>
      </c>
      <c r="AY6" s="332" t="str">
        <f>IF(MAXIFS('単価履歴'!$H:$H,'単価履歴'!$E:$E,AY$1,'単価履歴'!$F:$F,$A6,'単価履歴'!$B:$B,MAXIFS('単価履歴'!$B:$B,'単価履歴'!$E:$E,AY$1,'単価履歴'!$F:$F,$A6))=0,"",MAXIFS('単価履歴'!$H:$H,'単価履歴'!$E:$E,AY$1,'単価履歴'!$F:$F,$A6,'単価履歴'!$B:$B,MAXIFS('単価履歴'!$B:$B,'単価履歴'!$E:$E,AY$1,'単価履歴'!$F:$F,$A6)))</f>
        <v/>
      </c>
      <c r="AZ6" s="332" t="str">
        <f>IF(MAXIFS('単価履歴'!$H:$H,'単価履歴'!$E:$E,AZ$1,'単価履歴'!$F:$F,$A6,'単価履歴'!$B:$B,MAXIFS('単価履歴'!$B:$B,'単価履歴'!$E:$E,AZ$1,'単価履歴'!$F:$F,$A6))=0,"",MAXIFS('単価履歴'!$H:$H,'単価履歴'!$E:$E,AZ$1,'単価履歴'!$F:$F,$A6,'単価履歴'!$B:$B,MAXIFS('単価履歴'!$B:$B,'単価履歴'!$E:$E,AZ$1,'単価履歴'!$F:$F,$A6)))</f>
        <v/>
      </c>
      <c r="BA6" s="332">
        <f>IF(MAXIFS('単価履歴'!$H:$H,'単価履歴'!$E:$E,BA$1,'単価履歴'!$F:$F,$A6,'単価履歴'!$B:$B,MAXIFS('単価履歴'!$B:$B,'単価履歴'!$E:$E,BA$1,'単価履歴'!$F:$F,$A6))=0,"",MAXIFS('単価履歴'!$H:$H,'単価履歴'!$E:$E,BA$1,'単価履歴'!$F:$F,$A6,'単価履歴'!$B:$B,MAXIFS('単価履歴'!$B:$B,'単価履歴'!$E:$E,BA$1,'単価履歴'!$F:$F,$A6)))</f>
        <v>52</v>
      </c>
      <c r="BB6" s="332">
        <f>IF(MAXIFS('単価履歴'!$H:$H,'単価履歴'!$E:$E,BB$1,'単価履歴'!$F:$F,$A6,'単価履歴'!$B:$B,MAXIFS('単価履歴'!$B:$B,'単価履歴'!$E:$E,BB$1,'単価履歴'!$F:$F,$A6))=0,"",MAXIFS('単価履歴'!$H:$H,'単価履歴'!$E:$E,BB$1,'単価履歴'!$F:$F,$A6,'単価履歴'!$B:$B,MAXIFS('単価履歴'!$B:$B,'単価履歴'!$E:$E,BB$1,'単価履歴'!$F:$F,$A6)))</f>
        <v>2.5</v>
      </c>
      <c r="BC6" s="332" t="str">
        <f>IF(MAXIFS('単価履歴'!$H:$H,'単価履歴'!$E:$E,BC$1,'単価履歴'!$F:$F,$A6,'単価履歴'!$B:$B,MAXIFS('単価履歴'!$B:$B,'単価履歴'!$E:$E,BC$1,'単価履歴'!$F:$F,$A6))=0,"",MAXIFS('単価履歴'!$H:$H,'単価履歴'!$E:$E,BC$1,'単価履歴'!$F:$F,$A6,'単価履歴'!$B:$B,MAXIFS('単価履歴'!$B:$B,'単価履歴'!$E:$E,BC$1,'単価履歴'!$F:$F,$A6)))</f>
        <v/>
      </c>
      <c r="BD6" s="332" t="str">
        <f>IF(MAXIFS('単価履歴'!$H:$H,'単価履歴'!$E:$E,BD$1,'単価履歴'!$F:$F,$A6,'単価履歴'!$B:$B,MAXIFS('単価履歴'!$B:$B,'単価履歴'!$E:$E,BD$1,'単価履歴'!$F:$F,$A6))=0,"",MAXIFS('単価履歴'!$H:$H,'単価履歴'!$E:$E,BD$1,'単価履歴'!$F:$F,$A6,'単価履歴'!$B:$B,MAXIFS('単価履歴'!$B:$B,'単価履歴'!$E:$E,BD$1,'単価履歴'!$F:$F,$A6)))</f>
        <v/>
      </c>
      <c r="BE6" s="332" t="str">
        <f>IF(MAXIFS('単価履歴'!$H:$H,'単価履歴'!$E:$E,BE$1,'単価履歴'!$F:$F,$A6,'単価履歴'!$B:$B,MAXIFS('単価履歴'!$B:$B,'単価履歴'!$E:$E,BE$1,'単価履歴'!$F:$F,$A6))=0,"",MAXIFS('単価履歴'!$H:$H,'単価履歴'!$E:$E,BE$1,'単価履歴'!$F:$F,$A6,'単価履歴'!$B:$B,MAXIFS('単価履歴'!$B:$B,'単価履歴'!$E:$E,BE$1,'単価履歴'!$F:$F,$A6)))</f>
        <v/>
      </c>
      <c r="BF6" s="332" t="str">
        <f>IF(MAXIFS('単価履歴'!$H:$H,'単価履歴'!$E:$E,BF$1,'単価履歴'!$F:$F,$A6,'単価履歴'!$B:$B,MAXIFS('単価履歴'!$B:$B,'単価履歴'!$E:$E,BF$1,'単価履歴'!$F:$F,$A6))=0,"",MAXIFS('単価履歴'!$H:$H,'単価履歴'!$E:$E,BF$1,'単価履歴'!$F:$F,$A6,'単価履歴'!$B:$B,MAXIFS('単価履歴'!$B:$B,'単価履歴'!$E:$E,BF$1,'単価履歴'!$F:$F,$A6)))</f>
        <v/>
      </c>
      <c r="BG6" s="332" t="str">
        <f>IF(MAXIFS('単価履歴'!$H:$H,'単価履歴'!$E:$E,BG$1,'単価履歴'!$F:$F,$A6,'単価履歴'!$B:$B,MAXIFS('単価履歴'!$B:$B,'単価履歴'!$E:$E,BG$1,'単価履歴'!$F:$F,$A6))=0,"",MAXIFS('単価履歴'!$H:$H,'単価履歴'!$E:$E,BG$1,'単価履歴'!$F:$F,$A6,'単価履歴'!$B:$B,MAXIFS('単価履歴'!$B:$B,'単価履歴'!$E:$E,BG$1,'単価履歴'!$F:$F,$A6)))</f>
        <v/>
      </c>
      <c r="BH6" s="332" t="str">
        <f>IF(MAXIFS('単価履歴'!$H:$H,'単価履歴'!$E:$E,BH$1,'単価履歴'!$F:$F,$A6,'単価履歴'!$B:$B,MAXIFS('単価履歴'!$B:$B,'単価履歴'!$E:$E,BH$1,'単価履歴'!$F:$F,$A6))=0,"",MAXIFS('単価履歴'!$H:$H,'単価履歴'!$E:$E,BH$1,'単価履歴'!$F:$F,$A6,'単価履歴'!$B:$B,MAXIFS('単価履歴'!$B:$B,'単価履歴'!$E:$E,BH$1,'単価履歴'!$F:$F,$A6)))</f>
        <v/>
      </c>
      <c r="BI6" s="332" t="str">
        <f>IF(MAXIFS('単価履歴'!$H:$H,'単価履歴'!$E:$E,BI$1,'単価履歴'!$F:$F,$A6,'単価履歴'!$B:$B,MAXIFS('単価履歴'!$B:$B,'単価履歴'!$E:$E,BI$1,'単価履歴'!$F:$F,$A6))=0,"",MAXIFS('単価履歴'!$H:$H,'単価履歴'!$E:$E,BI$1,'単価履歴'!$F:$F,$A6,'単価履歴'!$B:$B,MAXIFS('単価履歴'!$B:$B,'単価履歴'!$E:$E,BI$1,'単価履歴'!$F:$F,$A6)))</f>
        <v/>
      </c>
      <c r="BJ6" s="332" t="str">
        <f>IF(MAXIFS('単価履歴'!$H:$H,'単価履歴'!$E:$E,BJ$1,'単価履歴'!$F:$F,$A6,'単価履歴'!$B:$B,MAXIFS('単価履歴'!$B:$B,'単価履歴'!$E:$E,BJ$1,'単価履歴'!$F:$F,$A6))=0,"",MAXIFS('単価履歴'!$H:$H,'単価履歴'!$E:$E,BJ$1,'単価履歴'!$F:$F,$A6,'単価履歴'!$B:$B,MAXIFS('単価履歴'!$B:$B,'単価履歴'!$E:$E,BJ$1,'単価履歴'!$F:$F,$A6)))</f>
        <v/>
      </c>
      <c r="BK6" s="332" t="str">
        <f>IF(MAXIFS('単価履歴'!$H:$H,'単価履歴'!$E:$E,BK$1,'単価履歴'!$F:$F,$A6,'単価履歴'!$B:$B,MAXIFS('単価履歴'!$B:$B,'単価履歴'!$E:$E,BK$1,'単価履歴'!$F:$F,$A6))=0,"",MAXIFS('単価履歴'!$H:$H,'単価履歴'!$E:$E,BK$1,'単価履歴'!$F:$F,$A6,'単価履歴'!$B:$B,MAXIFS('単価履歴'!$B:$B,'単価履歴'!$E:$E,BK$1,'単価履歴'!$F:$F,$A6)))</f>
        <v/>
      </c>
      <c r="BL6" s="332" t="str">
        <f>IF(MAXIFS('単価履歴'!$H:$H,'単価履歴'!$E:$E,BL$1,'単価履歴'!$F:$F,$A6,'単価履歴'!$B:$B,MAXIFS('単価履歴'!$B:$B,'単価履歴'!$E:$E,BL$1,'単価履歴'!$F:$F,$A6))=0,"",MAXIFS('単価履歴'!$H:$H,'単価履歴'!$E:$E,BL$1,'単価履歴'!$F:$F,$A6,'単価履歴'!$B:$B,MAXIFS('単価履歴'!$B:$B,'単価履歴'!$E:$E,BL$1,'単価履歴'!$F:$F,$A6)))</f>
        <v/>
      </c>
      <c r="BM6" s="332" t="str">
        <f>IF(MAXIFS('単価履歴'!$H:$H,'単価履歴'!$E:$E,BM$1,'単価履歴'!$F:$F,$A6,'単価履歴'!$B:$B,MAXIFS('単価履歴'!$B:$B,'単価履歴'!$E:$E,BM$1,'単価履歴'!$F:$F,$A6))=0,"",MAXIFS('単価履歴'!$H:$H,'単価履歴'!$E:$E,BM$1,'単価履歴'!$F:$F,$A6,'単価履歴'!$B:$B,MAXIFS('単価履歴'!$B:$B,'単価履歴'!$E:$E,BM$1,'単価履歴'!$F:$F,$A6)))</f>
        <v/>
      </c>
      <c r="BN6" s="332" t="str">
        <f>IF(MAXIFS('単価履歴'!$H:$H,'単価履歴'!$E:$E,BN$1,'単価履歴'!$F:$F,$A6,'単価履歴'!$B:$B,MAXIFS('単価履歴'!$B:$B,'単価履歴'!$E:$E,BN$1,'単価履歴'!$F:$F,$A6))=0,"",MAXIFS('単価履歴'!$H:$H,'単価履歴'!$E:$E,BN$1,'単価履歴'!$F:$F,$A6,'単価履歴'!$B:$B,MAXIFS('単価履歴'!$B:$B,'単価履歴'!$E:$E,BN$1,'単価履歴'!$F:$F,$A6)))</f>
        <v/>
      </c>
      <c r="BO6" s="332" t="str">
        <f>IF(MAXIFS('単価履歴'!$H:$H,'単価履歴'!$E:$E,BO$1,'単価履歴'!$F:$F,$A6,'単価履歴'!$B:$B,MAXIFS('単価履歴'!$B:$B,'単価履歴'!$E:$E,BO$1,'単価履歴'!$F:$F,$A6))=0,"",MAXIFS('単価履歴'!$H:$H,'単価履歴'!$E:$E,BO$1,'単価履歴'!$F:$F,$A6,'単価履歴'!$B:$B,MAXIFS('単価履歴'!$B:$B,'単価履歴'!$E:$E,BO$1,'単価履歴'!$F:$F,$A6)))</f>
        <v/>
      </c>
      <c r="BP6" s="332" t="str">
        <f>IF(MAXIFS('単価履歴'!$H:$H,'単価履歴'!$E:$E,BP$1,'単価履歴'!$F:$F,$A6,'単価履歴'!$B:$B,MAXIFS('単価履歴'!$B:$B,'単価履歴'!$E:$E,BP$1,'単価履歴'!$F:$F,$A6))=0,"",MAXIFS('単価履歴'!$H:$H,'単価履歴'!$E:$E,BP$1,'単価履歴'!$F:$F,$A6,'単価履歴'!$B:$B,MAXIFS('単価履歴'!$B:$B,'単価履歴'!$E:$E,BP$1,'単価履歴'!$F:$F,$A6)))</f>
        <v/>
      </c>
      <c r="BQ6" s="332" t="str">
        <f>IF(MAXIFS('単価履歴'!$H:$H,'単価履歴'!$E:$E,BQ$1,'単価履歴'!$F:$F,$A6,'単価履歴'!$B:$B,MAXIFS('単価履歴'!$B:$B,'単価履歴'!$E:$E,BQ$1,'単価履歴'!$F:$F,$A6))=0,"",MAXIFS('単価履歴'!$H:$H,'単価履歴'!$E:$E,BQ$1,'単価履歴'!$F:$F,$A6,'単価履歴'!$B:$B,MAXIFS('単価履歴'!$B:$B,'単価履歴'!$E:$E,BQ$1,'単価履歴'!$F:$F,$A6)))</f>
        <v/>
      </c>
      <c r="BR6" s="332" t="str">
        <f>IF(MAXIFS('単価履歴'!$H:$H,'単価履歴'!$E:$E,BR$1,'単価履歴'!$F:$F,$A6,'単価履歴'!$B:$B,MAXIFS('単価履歴'!$B:$B,'単価履歴'!$E:$E,BR$1,'単価履歴'!$F:$F,$A6))=0,"",MAXIFS('単価履歴'!$H:$H,'単価履歴'!$E:$E,BR$1,'単価履歴'!$F:$F,$A6,'単価履歴'!$B:$B,MAXIFS('単価履歴'!$B:$B,'単価履歴'!$E:$E,BR$1,'単価履歴'!$F:$F,$A6)))</f>
        <v/>
      </c>
      <c r="BS6" s="332" t="str">
        <f>IF(MAXIFS('単価履歴'!$H:$H,'単価履歴'!$E:$E,BS$1,'単価履歴'!$F:$F,$A6,'単価履歴'!$B:$B,MAXIFS('単価履歴'!$B:$B,'単価履歴'!$E:$E,BS$1,'単価履歴'!$F:$F,$A6))=0,"",MAXIFS('単価履歴'!$H:$H,'単価履歴'!$E:$E,BS$1,'単価履歴'!$F:$F,$A6,'単価履歴'!$B:$B,MAXIFS('単価履歴'!$B:$B,'単価履歴'!$E:$E,BS$1,'単価履歴'!$F:$F,$A6)))</f>
        <v/>
      </c>
      <c r="BT6" s="332" t="str">
        <f>IF(MAXIFS('単価履歴'!$H:$H,'単価履歴'!$E:$E,BT$1,'単価履歴'!$F:$F,$A6,'単価履歴'!$B:$B,MAXIFS('単価履歴'!$B:$B,'単価履歴'!$E:$E,BT$1,'単価履歴'!$F:$F,$A6))=0,"",MAXIFS('単価履歴'!$H:$H,'単価履歴'!$E:$E,BT$1,'単価履歴'!$F:$F,$A6,'単価履歴'!$B:$B,MAXIFS('単価履歴'!$B:$B,'単価履歴'!$E:$E,BT$1,'単価履歴'!$F:$F,$A6)))</f>
        <v/>
      </c>
      <c r="BU6" s="332" t="str">
        <f>IF(MAXIFS('単価履歴'!$H:$H,'単価履歴'!$E:$E,BU$1,'単価履歴'!$F:$F,$A6,'単価履歴'!$B:$B,MAXIFS('単価履歴'!$B:$B,'単価履歴'!$E:$E,BU$1,'単価履歴'!$F:$F,$A6))=0,"",MAXIFS('単価履歴'!$H:$H,'単価履歴'!$E:$E,BU$1,'単価履歴'!$F:$F,$A6,'単価履歴'!$B:$B,MAXIFS('単価履歴'!$B:$B,'単価履歴'!$E:$E,BU$1,'単価履歴'!$F:$F,$A6)))</f>
        <v/>
      </c>
      <c r="BV6" s="332" t="str">
        <f>IF(MAXIFS('単価履歴'!$H:$H,'単価履歴'!$E:$E,BV$1,'単価履歴'!$F:$F,$A6,'単価履歴'!$B:$B,MAXIFS('単価履歴'!$B:$B,'単価履歴'!$E:$E,BV$1,'単価履歴'!$F:$F,$A6))=0,"",MAXIFS('単価履歴'!$H:$H,'単価履歴'!$E:$E,BV$1,'単価履歴'!$F:$F,$A6,'単価履歴'!$B:$B,MAXIFS('単価履歴'!$B:$B,'単価履歴'!$E:$E,BV$1,'単価履歴'!$F:$F,$A6)))</f>
        <v/>
      </c>
      <c r="BW6" s="332" t="str">
        <f>IF(MAXIFS('単価履歴'!$H:$H,'単価履歴'!$E:$E,BW$1,'単価履歴'!$F:$F,$A6,'単価履歴'!$B:$B,MAXIFS('単価履歴'!$B:$B,'単価履歴'!$E:$E,BW$1,'単価履歴'!$F:$F,$A6))=0,"",MAXIFS('単価履歴'!$H:$H,'単価履歴'!$E:$E,BW$1,'単価履歴'!$F:$F,$A6,'単価履歴'!$B:$B,MAXIFS('単価履歴'!$B:$B,'単価履歴'!$E:$E,BW$1,'単価履歴'!$F:$F,$A6)))</f>
        <v/>
      </c>
      <c r="BX6" s="332" t="str">
        <f>IF(MAXIFS('単価履歴'!$H:$H,'単価履歴'!$E:$E,BX$1,'単価履歴'!$F:$F,$A6,'単価履歴'!$B:$B,MAXIFS('単価履歴'!$B:$B,'単価履歴'!$E:$E,BX$1,'単価履歴'!$F:$F,$A6))=0,"",MAXIFS('単価履歴'!$H:$H,'単価履歴'!$E:$E,BX$1,'単価履歴'!$F:$F,$A6,'単価履歴'!$B:$B,MAXIFS('単価履歴'!$B:$B,'単価履歴'!$E:$E,BX$1,'単価履歴'!$F:$F,$A6)))</f>
        <v/>
      </c>
      <c r="BY6" s="332" t="str">
        <f>IF(MAXIFS('単価履歴'!$H:$H,'単価履歴'!$E:$E,BY$1,'単価履歴'!$F:$F,$A6,'単価履歴'!$B:$B,MAXIFS('単価履歴'!$B:$B,'単価履歴'!$E:$E,BY$1,'単価履歴'!$F:$F,$A6))=0,"",MAXIFS('単価履歴'!$H:$H,'単価履歴'!$E:$E,BY$1,'単価履歴'!$F:$F,$A6,'単価履歴'!$B:$B,MAXIFS('単価履歴'!$B:$B,'単価履歴'!$E:$E,BY$1,'単価履歴'!$F:$F,$A6)))</f>
        <v/>
      </c>
      <c r="BZ6" s="332" t="str">
        <f>IF(MAXIFS('単価履歴'!$H:$H,'単価履歴'!$E:$E,BZ$1,'単価履歴'!$F:$F,$A6,'単価履歴'!$B:$B,MAXIFS('単価履歴'!$B:$B,'単価履歴'!$E:$E,BZ$1,'単価履歴'!$F:$F,$A6))=0,"",MAXIFS('単価履歴'!$H:$H,'単価履歴'!$E:$E,BZ$1,'単価履歴'!$F:$F,$A6,'単価履歴'!$B:$B,MAXIFS('単価履歴'!$B:$B,'単価履歴'!$E:$E,BZ$1,'単価履歴'!$F:$F,$A6)))</f>
        <v/>
      </c>
      <c r="CA6" s="332" t="str">
        <f>IF(MAXIFS('単価履歴'!$H:$H,'単価履歴'!$E:$E,CA$1,'単価履歴'!$F:$F,$A6,'単価履歴'!$B:$B,MAXIFS('単価履歴'!$B:$B,'単価履歴'!$E:$E,CA$1,'単価履歴'!$F:$F,$A6))=0,"",MAXIFS('単価履歴'!$H:$H,'単価履歴'!$E:$E,CA$1,'単価履歴'!$F:$F,$A6,'単価履歴'!$B:$B,MAXIFS('単価履歴'!$B:$B,'単価履歴'!$E:$E,CA$1,'単価履歴'!$F:$F,$A6)))</f>
        <v/>
      </c>
      <c r="CB6" s="332" t="str">
        <f>IF(MAXIFS('単価履歴'!$H:$H,'単価履歴'!$E:$E,CB$1,'単価履歴'!$F:$F,$A6,'単価履歴'!$B:$B,MAXIFS('単価履歴'!$B:$B,'単価履歴'!$E:$E,CB$1,'単価履歴'!$F:$F,$A6))=0,"",MAXIFS('単価履歴'!$H:$H,'単価履歴'!$E:$E,CB$1,'単価履歴'!$F:$F,$A6,'単価履歴'!$B:$B,MAXIFS('単価履歴'!$B:$B,'単価履歴'!$E:$E,CB$1,'単価履歴'!$F:$F,$A6)))</f>
        <v/>
      </c>
      <c r="CC6" s="332" t="str">
        <f>IF(MAXIFS('単価履歴'!$H:$H,'単価履歴'!$E:$E,CC$1,'単価履歴'!$F:$F,$A6,'単価履歴'!$B:$B,MAXIFS('単価履歴'!$B:$B,'単価履歴'!$E:$E,CC$1,'単価履歴'!$F:$F,$A6))=0,"",MAXIFS('単価履歴'!$H:$H,'単価履歴'!$E:$E,CC$1,'単価履歴'!$F:$F,$A6,'単価履歴'!$B:$B,MAXIFS('単価履歴'!$B:$B,'単価履歴'!$E:$E,CC$1,'単価履歴'!$F:$F,$A6)))</f>
        <v/>
      </c>
      <c r="CD6" s="332" t="str">
        <f>IF(MAXIFS('単価履歴'!$H:$H,'単価履歴'!$E:$E,CD$1,'単価履歴'!$F:$F,$A6,'単価履歴'!$B:$B,MAXIFS('単価履歴'!$B:$B,'単価履歴'!$E:$E,CD$1,'単価履歴'!$F:$F,$A6))=0,"",MAXIFS('単価履歴'!$H:$H,'単価履歴'!$E:$E,CD$1,'単価履歴'!$F:$F,$A6,'単価履歴'!$B:$B,MAXIFS('単価履歴'!$B:$B,'単価履歴'!$E:$E,CD$1,'単価履歴'!$F:$F,$A6)))</f>
        <v/>
      </c>
      <c r="CE6" s="332" t="str">
        <f>IF(MAXIFS('単価履歴'!$H:$H,'単価履歴'!$E:$E,CE$1,'単価履歴'!$F:$F,$A6,'単価履歴'!$B:$B,MAXIFS('単価履歴'!$B:$B,'単価履歴'!$E:$E,CE$1,'単価履歴'!$F:$F,$A6))=0,"",MAXIFS('単価履歴'!$H:$H,'単価履歴'!$E:$E,CE$1,'単価履歴'!$F:$F,$A6,'単価履歴'!$B:$B,MAXIFS('単価履歴'!$B:$B,'単価履歴'!$E:$E,CE$1,'単価履歴'!$F:$F,$A6)))</f>
        <v/>
      </c>
      <c r="CF6" s="332" t="str">
        <f>IF(MAXIFS('単価履歴'!$H:$H,'単価履歴'!$E:$E,CF$1,'単価履歴'!$F:$F,$A6,'単価履歴'!$B:$B,MAXIFS('単価履歴'!$B:$B,'単価履歴'!$E:$E,CF$1,'単価履歴'!$F:$F,$A6))=0,"",MAXIFS('単価履歴'!$H:$H,'単価履歴'!$E:$E,CF$1,'単価履歴'!$F:$F,$A6,'単価履歴'!$B:$B,MAXIFS('単価履歴'!$B:$B,'単価履歴'!$E:$E,CF$1,'単価履歴'!$F:$F,$A6)))</f>
        <v/>
      </c>
      <c r="CG6" s="332" t="str">
        <f>IF(MAXIFS('単価履歴'!$H:$H,'単価履歴'!$E:$E,CG$1,'単価履歴'!$F:$F,$A6,'単価履歴'!$B:$B,MAXIFS('単価履歴'!$B:$B,'単価履歴'!$E:$E,CG$1,'単価履歴'!$F:$F,$A6))=0,"",MAXIFS('単価履歴'!$H:$H,'単価履歴'!$E:$E,CG$1,'単価履歴'!$F:$F,$A6,'単価履歴'!$B:$B,MAXIFS('単価履歴'!$B:$B,'単価履歴'!$E:$E,CG$1,'単価履歴'!$F:$F,$A6)))</f>
        <v/>
      </c>
      <c r="CH6" s="332" t="str">
        <f>IF(MAXIFS('単価履歴'!$H:$H,'単価履歴'!$E:$E,CH$1,'単価履歴'!$F:$F,$A6,'単価履歴'!$B:$B,MAXIFS('単価履歴'!$B:$B,'単価履歴'!$E:$E,CH$1,'単価履歴'!$F:$F,$A6))=0,"",MAXIFS('単価履歴'!$H:$H,'単価履歴'!$E:$E,CH$1,'単価履歴'!$F:$F,$A6,'単価履歴'!$B:$B,MAXIFS('単価履歴'!$B:$B,'単価履歴'!$E:$E,CH$1,'単価履歴'!$F:$F,$A6)))</f>
        <v/>
      </c>
    </row>
    <row r="7" ht="15.75" customHeight="1">
      <c r="A7" s="432" t="s">
        <v>116</v>
      </c>
      <c r="B7" s="332">
        <f>MAXIFS('単価履歴'!H:H,'単価履歴'!F:F,A7,'単価履歴'!N:N,"●")</f>
        <v>56.5</v>
      </c>
      <c r="C7" s="332">
        <f>IF(MAXIFS('単価履歴'!$H:$H,'単価履歴'!$E:$E,C$1,'単価履歴'!$F:$F,$A7,'単価履歴'!$B:$B,MAXIFS('単価履歴'!$B:$B,'単価履歴'!$E:$E,C$1,'単価履歴'!$F:$F,$A7))=0,"",MAXIFS('単価履歴'!$H:$H,'単価履歴'!$E:$E,C$1,'単価履歴'!$F:$F,$A7,'単価履歴'!$B:$B,MAXIFS('単価履歴'!$B:$B,'単価履歴'!$E:$E,C$1,'単価履歴'!$F:$F,$A7)))</f>
        <v>53</v>
      </c>
      <c r="D7" s="332">
        <f>IF(MAXIFS('単価履歴'!$H:$H,'単価履歴'!$E:$E,D$1,'単価履歴'!$F:$F,$A7,'単価履歴'!$B:$B,MAXIFS('単価履歴'!$B:$B,'単価履歴'!$E:$E,D$1,'単価履歴'!$F:$F,$A7))=0,"",MAXIFS('単価履歴'!$H:$H,'単価履歴'!$E:$E,D$1,'単価履歴'!$F:$F,$A7,'単価履歴'!$B:$B,MAXIFS('単価履歴'!$B:$B,'単価履歴'!$E:$E,D$1,'単価履歴'!$F:$F,$A7)))</f>
        <v>52.5</v>
      </c>
      <c r="E7" s="332">
        <f>IF(MAXIFS('単価履歴'!$H:$H,'単価履歴'!$E:$E,E$1,'単価履歴'!$F:$F,$A7,'単価履歴'!$B:$B,MAXIFS('単価履歴'!$B:$B,'単価履歴'!$E:$E,E$1,'単価履歴'!$F:$F,$A7))=0,"",MAXIFS('単価履歴'!$H:$H,'単価履歴'!$E:$E,E$1,'単価履歴'!$F:$F,$A7,'単価履歴'!$B:$B,MAXIFS('単価履歴'!$B:$B,'単価履歴'!$E:$E,E$1,'単価履歴'!$F:$F,$A7)))</f>
        <v>49.3</v>
      </c>
      <c r="F7" s="332">
        <f>IF(MAXIFS('単価履歴'!$H:$H,'単価履歴'!$E:$E,F$1,'単価履歴'!$F:$F,$A7,'単価履歴'!$B:$B,MAXIFS('単価履歴'!$B:$B,'単価履歴'!$E:$E,F$1,'単価履歴'!$F:$F,$A7))=0,"",MAXIFS('単価履歴'!$H:$H,'単価履歴'!$E:$E,F$1,'単価履歴'!$F:$F,$A7,'単価履歴'!$B:$B,MAXIFS('単価履歴'!$B:$B,'単価履歴'!$E:$E,F$1,'単価履歴'!$F:$F,$A7)))</f>
        <v>0.5</v>
      </c>
      <c r="G7" s="332">
        <f>IF(MAXIFS('単価履歴'!$H:$H,'単価履歴'!$E:$E,G$1,'単価履歴'!$F:$F,$A7,'単価履歴'!$B:$B,MAXIFS('単価履歴'!$B:$B,'単価履歴'!$E:$E,G$1,'単価履歴'!$F:$F,$A7))=0,"",MAXIFS('単価履歴'!$H:$H,'単価履歴'!$E:$E,G$1,'単価履歴'!$F:$F,$A7,'単価履歴'!$B:$B,MAXIFS('単価履歴'!$B:$B,'単価履歴'!$E:$E,G$1,'単価履歴'!$F:$F,$A7)))</f>
        <v>-0.5</v>
      </c>
      <c r="H7" s="332">
        <f>IF(MAXIFS('単価履歴'!$H:$H,'単価履歴'!$E:$E,H$1,'単価履歴'!$F:$F,$A7,'単価履歴'!$B:$B,MAXIFS('単価履歴'!$B:$B,'単価履歴'!$E:$E,H$1,'単価履歴'!$F:$F,$A7))=0,"",MAXIFS('単価履歴'!$H:$H,'単価履歴'!$E:$E,H$1,'単価履歴'!$F:$F,$A7,'単価履歴'!$B:$B,MAXIFS('単価履歴'!$B:$B,'単価履歴'!$E:$E,H$1,'単価履歴'!$F:$F,$A7)))</f>
        <v>54.5</v>
      </c>
      <c r="I7" s="332">
        <f>IF(MAXIFS('単価履歴'!$H:$H,'単価履歴'!$E:$E,I$1,'単価履歴'!$F:$F,$A7,'単価履歴'!$B:$B,MAXIFS('単価履歴'!$B:$B,'単価履歴'!$E:$E,I$1,'単価履歴'!$F:$F,$A7))=0,"",MAXIFS('単価履歴'!$H:$H,'単価履歴'!$E:$E,I$1,'単価履歴'!$F:$F,$A7,'単価履歴'!$B:$B,MAXIFS('単価履歴'!$B:$B,'単価履歴'!$E:$E,I$1,'単価履歴'!$F:$F,$A7)))</f>
        <v>53.8</v>
      </c>
      <c r="J7" s="332">
        <f>IF(MAXIFS('単価履歴'!$H:$H,'単価履歴'!$E:$E,J$1,'単価履歴'!$F:$F,$A7,'単価履歴'!$B:$B,MAXIFS('単価履歴'!$B:$B,'単価履歴'!$E:$E,J$1,'単価履歴'!$F:$F,$A7))=0,"",MAXIFS('単価履歴'!$H:$H,'単価履歴'!$E:$E,J$1,'単価履歴'!$F:$F,$A7,'単価履歴'!$B:$B,MAXIFS('単価履歴'!$B:$B,'単価履歴'!$E:$E,J$1,'単価履歴'!$F:$F,$A7)))</f>
        <v>2</v>
      </c>
      <c r="K7" s="332" t="str">
        <f>IF(MAXIFS('単価履歴'!$H:$H,'単価履歴'!$E:$E,K$1,'単価履歴'!$F:$F,$A7,'単価履歴'!$B:$B,MAXIFS('単価履歴'!$B:$B,'単価履歴'!$E:$E,K$1,'単価履歴'!$F:$F,$A7))=0,"",MAXIFS('単価履歴'!$H:$H,'単価履歴'!$E:$E,K$1,'単価履歴'!$F:$F,$A7,'単価履歴'!$B:$B,MAXIFS('単価履歴'!$B:$B,'単価履歴'!$E:$E,K$1,'単価履歴'!$F:$F,$A7)))</f>
        <v/>
      </c>
      <c r="L7" s="332">
        <f>IF(MAXIFS('単価履歴'!$H:$H,'単価履歴'!$E:$E,L$1,'単価履歴'!$F:$F,$A7,'単価履歴'!$B:$B,MAXIFS('単価履歴'!$B:$B,'単価履歴'!$E:$E,L$1,'単価履歴'!$F:$F,$A7))=0,"",MAXIFS('単価履歴'!$H:$H,'単価履歴'!$E:$E,L$1,'単価履歴'!$F:$F,$A7,'単価履歴'!$B:$B,MAXIFS('単価履歴'!$B:$B,'単価履歴'!$E:$E,L$1,'単価履歴'!$F:$F,$A7)))</f>
        <v>51</v>
      </c>
      <c r="M7" s="332">
        <f>IF(MAXIFS('単価履歴'!$H:$H,'単価履歴'!$E:$E,M$1,'単価履歴'!$F:$F,$A7,'単価履歴'!$B:$B,MAXIFS('単価履歴'!$B:$B,'単価履歴'!$E:$E,M$1,'単価履歴'!$F:$F,$A7))=0,"",MAXIFS('単価履歴'!$H:$H,'単価履歴'!$E:$E,M$1,'単価履歴'!$F:$F,$A7,'単価履歴'!$B:$B,MAXIFS('単価履歴'!$B:$B,'単価履歴'!$E:$E,M$1,'単価履歴'!$F:$F,$A7)))</f>
        <v>35.2</v>
      </c>
      <c r="N7" s="332">
        <f>IF(MAXIFS('単価履歴'!$H:$H,'単価履歴'!$E:$E,N$1,'単価履歴'!$F:$F,$A7,'単価履歴'!$B:$B,MAXIFS('単価履歴'!$B:$B,'単価履歴'!$E:$E,N$1,'単価履歴'!$F:$F,$A7))=0,"",MAXIFS('単価履歴'!$H:$H,'単価履歴'!$E:$E,N$1,'単価履歴'!$F:$F,$A7,'単価履歴'!$B:$B,MAXIFS('単価履歴'!$B:$B,'単価履歴'!$E:$E,N$1,'単価履歴'!$F:$F,$A7)))</f>
        <v>53.7</v>
      </c>
      <c r="O7" s="332">
        <f>IF(MAXIFS('単価履歴'!$H:$H,'単価履歴'!$E:$E,O$1,'単価履歴'!$F:$F,$A7,'単価履歴'!$B:$B,MAXIFS('単価履歴'!$B:$B,'単価履歴'!$E:$E,O$1,'単価履歴'!$F:$F,$A7))=0,"",MAXIFS('単価履歴'!$H:$H,'単価履歴'!$E:$E,O$1,'単価履歴'!$F:$F,$A7,'単価履歴'!$B:$B,MAXIFS('単価履歴'!$B:$B,'単価履歴'!$E:$E,O$1,'単価履歴'!$F:$F,$A7)))</f>
        <v>43.5</v>
      </c>
      <c r="P7" s="332">
        <f>IF(MAXIFS('単価履歴'!$H:$H,'単価履歴'!$E:$E,P$1,'単価履歴'!$F:$F,$A7,'単価履歴'!$B:$B,MAXIFS('単価履歴'!$B:$B,'単価履歴'!$E:$E,P$1,'単価履歴'!$F:$F,$A7))=0,"",MAXIFS('単価履歴'!$H:$H,'単価履歴'!$E:$E,P$1,'単価履歴'!$F:$F,$A7,'単価履歴'!$B:$B,MAXIFS('単価履歴'!$B:$B,'単価履歴'!$E:$E,P$1,'単価履歴'!$F:$F,$A7)))</f>
        <v>53.7</v>
      </c>
      <c r="Q7" s="332">
        <f>IF(MAXIFS('単価履歴'!$H:$H,'単価履歴'!$E:$E,Q$1,'単価履歴'!$F:$F,$A7,'単価履歴'!$B:$B,MAXIFS('単価履歴'!$B:$B,'単価履歴'!$E:$E,Q$1,'単価履歴'!$F:$F,$A7))=0,"",MAXIFS('単価履歴'!$H:$H,'単価履歴'!$E:$E,Q$1,'単価履歴'!$F:$F,$A7,'単価履歴'!$B:$B,MAXIFS('単価履歴'!$B:$B,'単価履歴'!$E:$E,Q$1,'単価履歴'!$F:$F,$A7)))</f>
        <v>56.5</v>
      </c>
      <c r="R7" s="332" t="str">
        <f>IF(MAXIFS('単価履歴'!$H:$H,'単価履歴'!$E:$E,R$1,'単価履歴'!$F:$F,$A7,'単価履歴'!$B:$B,MAXIFS('単価履歴'!$B:$B,'単価履歴'!$E:$E,R$1,'単価履歴'!$F:$F,$A7))=0,"",MAXIFS('単価履歴'!$H:$H,'単価履歴'!$E:$E,R$1,'単価履歴'!$F:$F,$A7,'単価履歴'!$B:$B,MAXIFS('単価履歴'!$B:$B,'単価履歴'!$E:$E,R$1,'単価履歴'!$F:$F,$A7)))</f>
        <v/>
      </c>
      <c r="S7" s="332">
        <f>IF(MAXIFS('単価履歴'!$H:$H,'単価履歴'!$E:$E,S$1,'単価履歴'!$F:$F,$A7,'単価履歴'!$B:$B,MAXIFS('単価履歴'!$B:$B,'単価履歴'!$E:$E,S$1,'単価履歴'!$F:$F,$A7))=0,"",MAXIFS('単価履歴'!$H:$H,'単価履歴'!$E:$E,S$1,'単価履歴'!$F:$F,$A7,'単価履歴'!$B:$B,MAXIFS('単価履歴'!$B:$B,'単価履歴'!$E:$E,S$1,'単価履歴'!$F:$F,$A7)))</f>
        <v>56.2</v>
      </c>
      <c r="T7" s="332" t="str">
        <f>IF(MAXIFS('単価履歴'!$H:$H,'単価履歴'!$E:$E,T$1,'単価履歴'!$F:$F,$A7,'単価履歴'!$B:$B,MAXIFS('単価履歴'!$B:$B,'単価履歴'!$E:$E,T$1,'単価履歴'!$F:$F,$A7))=0,"",MAXIFS('単価履歴'!$H:$H,'単価履歴'!$E:$E,T$1,'単価履歴'!$F:$F,$A7,'単価履歴'!$B:$B,MAXIFS('単価履歴'!$B:$B,'単価履歴'!$E:$E,T$1,'単価履歴'!$F:$F,$A7)))</f>
        <v/>
      </c>
      <c r="U7" s="332" t="str">
        <f>IF(MAXIFS('単価履歴'!$H:$H,'単価履歴'!$E:$E,U$1,'単価履歴'!$F:$F,$A7,'単価履歴'!$B:$B,MAXIFS('単価履歴'!$B:$B,'単価履歴'!$E:$E,U$1,'単価履歴'!$F:$F,$A7))=0,"",MAXIFS('単価履歴'!$H:$H,'単価履歴'!$E:$E,U$1,'単価履歴'!$F:$F,$A7,'単価履歴'!$B:$B,MAXIFS('単価履歴'!$B:$B,'単価履歴'!$E:$E,U$1,'単価履歴'!$F:$F,$A7)))</f>
        <v/>
      </c>
      <c r="V7" s="332" t="str">
        <f>IF(MAXIFS('単価履歴'!$H:$H,'単価履歴'!$E:$E,V$1,'単価履歴'!$F:$F,$A7,'単価履歴'!$B:$B,MAXIFS('単価履歴'!$B:$B,'単価履歴'!$E:$E,V$1,'単価履歴'!$F:$F,$A7))=0,"",MAXIFS('単価履歴'!$H:$H,'単価履歴'!$E:$E,V$1,'単価履歴'!$F:$F,$A7,'単価履歴'!$B:$B,MAXIFS('単価履歴'!$B:$B,'単価履歴'!$E:$E,V$1,'単価履歴'!$F:$F,$A7)))</f>
        <v/>
      </c>
      <c r="W7" s="332">
        <f>IF(MAXIFS('単価履歴'!$H:$H,'単価履歴'!$E:$E,W$1,'単価履歴'!$F:$F,$A7,'単価履歴'!$B:$B,MAXIFS('単価履歴'!$B:$B,'単価履歴'!$E:$E,W$1,'単価履歴'!$F:$F,$A7))=0,"",MAXIFS('単価履歴'!$H:$H,'単価履歴'!$E:$E,W$1,'単価履歴'!$F:$F,$A7,'単価履歴'!$B:$B,MAXIFS('単価履歴'!$B:$B,'単価履歴'!$E:$E,W$1,'単価履歴'!$F:$F,$A7)))</f>
        <v>51</v>
      </c>
      <c r="X7" s="332" t="str">
        <f>IF(MAXIFS('単価履歴'!$H:$H,'単価履歴'!$E:$E,X$1,'単価履歴'!$F:$F,$A7,'単価履歴'!$B:$B,MAXIFS('単価履歴'!$B:$B,'単価履歴'!$E:$E,X$1,'単価履歴'!$F:$F,$A7))=0,"",MAXIFS('単価履歴'!$H:$H,'単価履歴'!$E:$E,X$1,'単価履歴'!$F:$F,$A7,'単価履歴'!$B:$B,MAXIFS('単価履歴'!$B:$B,'単価履歴'!$E:$E,X$1,'単価履歴'!$F:$F,$A7)))</f>
        <v/>
      </c>
      <c r="Y7" s="332" t="str">
        <f>IF(MAXIFS('単価履歴'!$H:$H,'単価履歴'!$E:$E,Y$1,'単価履歴'!$F:$F,$A7,'単価履歴'!$B:$B,MAXIFS('単価履歴'!$B:$B,'単価履歴'!$E:$E,Y$1,'単価履歴'!$F:$F,$A7))=0,"",MAXIFS('単価履歴'!$H:$H,'単価履歴'!$E:$E,Y$1,'単価履歴'!$F:$F,$A7,'単価履歴'!$B:$B,MAXIFS('単価履歴'!$B:$B,'単価履歴'!$E:$E,Y$1,'単価履歴'!$F:$F,$A7)))</f>
        <v/>
      </c>
      <c r="Z7" s="332">
        <f>IF(MAXIFS('単価履歴'!$H:$H,'単価履歴'!$E:$E,Z$1,'単価履歴'!$F:$F,$A7,'単価履歴'!$B:$B,MAXIFS('単価履歴'!$B:$B,'単価履歴'!$E:$E,Z$1,'単価履歴'!$F:$F,$A7))=0,"",MAXIFS('単価履歴'!$H:$H,'単価履歴'!$E:$E,Z$1,'単価履歴'!$F:$F,$A7,'単価履歴'!$B:$B,MAXIFS('単価履歴'!$B:$B,'単価履歴'!$E:$E,Z$1,'単価履歴'!$F:$F,$A7)))</f>
        <v>41</v>
      </c>
      <c r="AA7" s="332" t="str">
        <f>IF(MAXIFS('単価履歴'!$H:$H,'単価履歴'!$E:$E,AA$1,'単価履歴'!$F:$F,$A7,'単価履歴'!$B:$B,MAXIFS('単価履歴'!$B:$B,'単価履歴'!$E:$E,AA$1,'単価履歴'!$F:$F,$A7))=0,"",MAXIFS('単価履歴'!$H:$H,'単価履歴'!$E:$E,AA$1,'単価履歴'!$F:$F,$A7,'単価履歴'!$B:$B,MAXIFS('単価履歴'!$B:$B,'単価履歴'!$E:$E,AA$1,'単価履歴'!$F:$F,$A7)))</f>
        <v/>
      </c>
      <c r="AB7" s="332" t="str">
        <f>IF(MAXIFS('単価履歴'!$H:$H,'単価履歴'!$E:$E,AB$1,'単価履歴'!$F:$F,$A7,'単価履歴'!$B:$B,MAXIFS('単価履歴'!$B:$B,'単価履歴'!$E:$E,AB$1,'単価履歴'!$F:$F,$A7))=0,"",MAXIFS('単価履歴'!$H:$H,'単価履歴'!$E:$E,AB$1,'単価履歴'!$F:$F,$A7,'単価履歴'!$B:$B,MAXIFS('単価履歴'!$B:$B,'単価履歴'!$E:$E,AB$1,'単価履歴'!$F:$F,$A7)))</f>
        <v/>
      </c>
      <c r="AC7" s="332" t="str">
        <f>IF(MAXIFS('単価履歴'!$H:$H,'単価履歴'!$E:$E,AC$1,'単価履歴'!$F:$F,$A7,'単価履歴'!$B:$B,MAXIFS('単価履歴'!$B:$B,'単価履歴'!$E:$E,AC$1,'単価履歴'!$F:$F,$A7))=0,"",MAXIFS('単価履歴'!$H:$H,'単価履歴'!$E:$E,AC$1,'単価履歴'!$F:$F,$A7,'単価履歴'!$B:$B,MAXIFS('単価履歴'!$B:$B,'単価履歴'!$E:$E,AC$1,'単価履歴'!$F:$F,$A7)))</f>
        <v/>
      </c>
      <c r="AD7" s="332" t="str">
        <f>IF(MAXIFS('単価履歴'!$H:$H,'単価履歴'!$E:$E,AD$1,'単価履歴'!$F:$F,$A7,'単価履歴'!$B:$B,MAXIFS('単価履歴'!$B:$B,'単価履歴'!$E:$E,AD$1,'単価履歴'!$F:$F,$A7))=0,"",MAXIFS('単価履歴'!$H:$H,'単価履歴'!$E:$E,AD$1,'単価履歴'!$F:$F,$A7,'単価履歴'!$B:$B,MAXIFS('単価履歴'!$B:$B,'単価履歴'!$E:$E,AD$1,'単価履歴'!$F:$F,$A7)))</f>
        <v/>
      </c>
      <c r="AE7" s="332" t="str">
        <f>IF(MAXIFS('単価履歴'!$H:$H,'単価履歴'!$E:$E,AE$1,'単価履歴'!$F:$F,$A7,'単価履歴'!$B:$B,MAXIFS('単価履歴'!$B:$B,'単価履歴'!$E:$E,AE$1,'単価履歴'!$F:$F,$A7))=0,"",MAXIFS('単価履歴'!$H:$H,'単価履歴'!$E:$E,AE$1,'単価履歴'!$F:$F,$A7,'単価履歴'!$B:$B,MAXIFS('単価履歴'!$B:$B,'単価履歴'!$E:$E,AE$1,'単価履歴'!$F:$F,$A7)))</f>
        <v/>
      </c>
      <c r="AF7" s="332">
        <f>IF(MAXIFS('単価履歴'!$H:$H,'単価履歴'!$E:$E,AF$1,'単価履歴'!$F:$F,$A7,'単価履歴'!$B:$B,MAXIFS('単価履歴'!$B:$B,'単価履歴'!$E:$E,AF$1,'単価履歴'!$F:$F,$A7))=0,"",MAXIFS('単価履歴'!$H:$H,'単価履歴'!$E:$E,AF$1,'単価履歴'!$F:$F,$A7,'単価履歴'!$B:$B,MAXIFS('単価履歴'!$B:$B,'単価履歴'!$E:$E,AF$1,'単価履歴'!$F:$F,$A7)))</f>
        <v>48.7</v>
      </c>
      <c r="AG7" s="332" t="str">
        <f>IF(MAXIFS('単価履歴'!$H:$H,'単価履歴'!$E:$E,AG$1,'単価履歴'!$F:$F,$A7,'単価履歴'!$B:$B,MAXIFS('単価履歴'!$B:$B,'単価履歴'!$E:$E,AG$1,'単価履歴'!$F:$F,$A7))=0,"",MAXIFS('単価履歴'!$H:$H,'単価履歴'!$E:$E,AG$1,'単価履歴'!$F:$F,$A7,'単価履歴'!$B:$B,MAXIFS('単価履歴'!$B:$B,'単価履歴'!$E:$E,AG$1,'単価履歴'!$F:$F,$A7)))</f>
        <v/>
      </c>
      <c r="AH7" s="332">
        <f>IF(MAXIFS('単価履歴'!$H:$H,'単価履歴'!$E:$E,AH$1,'単価履歴'!$F:$F,$A7,'単価履歴'!$B:$B,MAXIFS('単価履歴'!$B:$B,'単価履歴'!$E:$E,AH$1,'単価履歴'!$F:$F,$A7))=0,"",MAXIFS('単価履歴'!$H:$H,'単価履歴'!$E:$E,AH$1,'単価履歴'!$F:$F,$A7,'単価履歴'!$B:$B,MAXIFS('単価履歴'!$B:$B,'単価履歴'!$E:$E,AH$1,'単価履歴'!$F:$F,$A7)))</f>
        <v>53.5</v>
      </c>
      <c r="AI7" s="332" t="str">
        <f>IF(MAXIFS('単価履歴'!$H:$H,'単価履歴'!$E:$E,AI$1,'単価履歴'!$F:$F,$A7,'単価履歴'!$B:$B,MAXIFS('単価履歴'!$B:$B,'単価履歴'!$E:$E,AI$1,'単価履歴'!$F:$F,$A7))=0,"",MAXIFS('単価履歴'!$H:$H,'単価履歴'!$E:$E,AI$1,'単価履歴'!$F:$F,$A7,'単価履歴'!$B:$B,MAXIFS('単価履歴'!$B:$B,'単価履歴'!$E:$E,AI$1,'単価履歴'!$F:$F,$A7)))</f>
        <v/>
      </c>
      <c r="AJ7" s="332" t="str">
        <f>IF(MAXIFS('単価履歴'!$H:$H,'単価履歴'!$E:$E,AJ$1,'単価履歴'!$F:$F,$A7,'単価履歴'!$B:$B,MAXIFS('単価履歴'!$B:$B,'単価履歴'!$E:$E,AJ$1,'単価履歴'!$F:$F,$A7))=0,"",MAXIFS('単価履歴'!$H:$H,'単価履歴'!$E:$E,AJ$1,'単価履歴'!$F:$F,$A7,'単価履歴'!$B:$B,MAXIFS('単価履歴'!$B:$B,'単価履歴'!$E:$E,AJ$1,'単価履歴'!$F:$F,$A7)))</f>
        <v/>
      </c>
      <c r="AK7" s="332" t="str">
        <f>IF(MAXIFS('単価履歴'!$H:$H,'単価履歴'!$E:$E,AK$1,'単価履歴'!$F:$F,$A7,'単価履歴'!$B:$B,MAXIFS('単価履歴'!$B:$B,'単価履歴'!$E:$E,AK$1,'単価履歴'!$F:$F,$A7))=0,"",MAXIFS('単価履歴'!$H:$H,'単価履歴'!$E:$E,AK$1,'単価履歴'!$F:$F,$A7,'単価履歴'!$B:$B,MAXIFS('単価履歴'!$B:$B,'単価履歴'!$E:$E,AK$1,'単価履歴'!$F:$F,$A7)))</f>
        <v/>
      </c>
      <c r="AL7" s="332" t="str">
        <f>IF(MAXIFS('単価履歴'!$H:$H,'単価履歴'!$E:$E,AL$1,'単価履歴'!$F:$F,$A7,'単価履歴'!$B:$B,MAXIFS('単価履歴'!$B:$B,'単価履歴'!$E:$E,AL$1,'単価履歴'!$F:$F,$A7))=0,"",MAXIFS('単価履歴'!$H:$H,'単価履歴'!$E:$E,AL$1,'単価履歴'!$F:$F,$A7,'単価履歴'!$B:$B,MAXIFS('単価履歴'!$B:$B,'単価履歴'!$E:$E,AL$1,'単価履歴'!$F:$F,$A7)))</f>
        <v/>
      </c>
      <c r="AM7" s="332" t="str">
        <f>IF(MAXIFS('単価履歴'!$H:$H,'単価履歴'!$E:$E,AM$1,'単価履歴'!$F:$F,$A7,'単価履歴'!$B:$B,MAXIFS('単価履歴'!$B:$B,'単価履歴'!$E:$E,AM$1,'単価履歴'!$F:$F,$A7))=0,"",MAXIFS('単価履歴'!$H:$H,'単価履歴'!$E:$E,AM$1,'単価履歴'!$F:$F,$A7,'単価履歴'!$B:$B,MAXIFS('単価履歴'!$B:$B,'単価履歴'!$E:$E,AM$1,'単価履歴'!$F:$F,$A7)))</f>
        <v/>
      </c>
      <c r="AN7" s="332">
        <f>IF(MAXIFS('単価履歴'!$H:$H,'単価履歴'!$E:$E,AN$1,'単価履歴'!$F:$F,$A7,'単価履歴'!$B:$B,MAXIFS('単価履歴'!$B:$B,'単価履歴'!$E:$E,AN$1,'単価履歴'!$F:$F,$A7))=0,"",MAXIFS('単価履歴'!$H:$H,'単価履歴'!$E:$E,AN$1,'単価履歴'!$F:$F,$A7,'単価履歴'!$B:$B,MAXIFS('単価履歴'!$B:$B,'単価履歴'!$E:$E,AN$1,'単価履歴'!$F:$F,$A7)))</f>
        <v>53</v>
      </c>
      <c r="AO7" s="332" t="str">
        <f>IF(MAXIFS('単価履歴'!$H:$H,'単価履歴'!$E:$E,AO$1,'単価履歴'!$F:$F,$A7,'単価履歴'!$B:$B,MAXIFS('単価履歴'!$B:$B,'単価履歴'!$E:$E,AO$1,'単価履歴'!$F:$F,$A7))=0,"",MAXIFS('単価履歴'!$H:$H,'単価履歴'!$E:$E,AO$1,'単価履歴'!$F:$F,$A7,'単価履歴'!$B:$B,MAXIFS('単価履歴'!$B:$B,'単価履歴'!$E:$E,AO$1,'単価履歴'!$F:$F,$A7)))</f>
        <v/>
      </c>
      <c r="AP7" s="332">
        <f>IF(MAXIFS('単価履歴'!$H:$H,'単価履歴'!$E:$E,AP$1,'単価履歴'!$F:$F,$A7,'単価履歴'!$B:$B,MAXIFS('単価履歴'!$B:$B,'単価履歴'!$E:$E,AP$1,'単価履歴'!$F:$F,$A7))=0,"",MAXIFS('単価履歴'!$H:$H,'単価履歴'!$E:$E,AP$1,'単価履歴'!$F:$F,$A7,'単価履歴'!$B:$B,MAXIFS('単価履歴'!$B:$B,'単価履歴'!$E:$E,AP$1,'単価履歴'!$F:$F,$A7)))</f>
        <v>54.6</v>
      </c>
      <c r="AQ7" s="332" t="str">
        <f>IF(MAXIFS('単価履歴'!$H:$H,'単価履歴'!$E:$E,AQ$1,'単価履歴'!$F:$F,$A7,'単価履歴'!$B:$B,MAXIFS('単価履歴'!$B:$B,'単価履歴'!$E:$E,AQ$1,'単価履歴'!$F:$F,$A7))=0,"",MAXIFS('単価履歴'!$H:$H,'単価履歴'!$E:$E,AQ$1,'単価履歴'!$F:$F,$A7,'単価履歴'!$B:$B,MAXIFS('単価履歴'!$B:$B,'単価履歴'!$E:$E,AQ$1,'単価履歴'!$F:$F,$A7)))</f>
        <v/>
      </c>
      <c r="AR7" s="332" t="str">
        <f>IF(MAXIFS('単価履歴'!$H:$H,'単価履歴'!$E:$E,AR$1,'単価履歴'!$F:$F,$A7,'単価履歴'!$B:$B,MAXIFS('単価履歴'!$B:$B,'単価履歴'!$E:$E,AR$1,'単価履歴'!$F:$F,$A7))=0,"",MAXIFS('単価履歴'!$H:$H,'単価履歴'!$E:$E,AR$1,'単価履歴'!$F:$F,$A7,'単価履歴'!$B:$B,MAXIFS('単価履歴'!$B:$B,'単価履歴'!$E:$E,AR$1,'単価履歴'!$F:$F,$A7)))</f>
        <v/>
      </c>
      <c r="AS7" s="332" t="str">
        <f>IF(MAXIFS('単価履歴'!$H:$H,'単価履歴'!$E:$E,AS$1,'単価履歴'!$F:$F,$A7,'単価履歴'!$B:$B,MAXIFS('単価履歴'!$B:$B,'単価履歴'!$E:$E,AS$1,'単価履歴'!$F:$F,$A7))=0,"",MAXIFS('単価履歴'!$H:$H,'単価履歴'!$E:$E,AS$1,'単価履歴'!$F:$F,$A7,'単価履歴'!$B:$B,MAXIFS('単価履歴'!$B:$B,'単価履歴'!$E:$E,AS$1,'単価履歴'!$F:$F,$A7)))</f>
        <v/>
      </c>
      <c r="AT7" s="332" t="str">
        <f>IF(MAXIFS('単価履歴'!$H:$H,'単価履歴'!$E:$E,AT$1,'単価履歴'!$F:$F,$A7,'単価履歴'!$B:$B,MAXIFS('単価履歴'!$B:$B,'単価履歴'!$E:$E,AT$1,'単価履歴'!$F:$F,$A7))=0,"",MAXIFS('単価履歴'!$H:$H,'単価履歴'!$E:$E,AT$1,'単価履歴'!$F:$F,$A7,'単価履歴'!$B:$B,MAXIFS('単価履歴'!$B:$B,'単価履歴'!$E:$E,AT$1,'単価履歴'!$F:$F,$A7)))</f>
        <v/>
      </c>
      <c r="AU7" s="332">
        <f>IF(MAXIFS('単価履歴'!$H:$H,'単価履歴'!$E:$E,AU$1,'単価履歴'!$F:$F,$A7,'単価履歴'!$B:$B,MAXIFS('単価履歴'!$B:$B,'単価履歴'!$E:$E,AU$1,'単価履歴'!$F:$F,$A7))=0,"",MAXIFS('単価履歴'!$H:$H,'単価履歴'!$E:$E,AU$1,'単価履歴'!$F:$F,$A7,'単価履歴'!$B:$B,MAXIFS('単価履歴'!$B:$B,'単価履歴'!$E:$E,AU$1,'単価履歴'!$F:$F,$A7)))</f>
        <v>54</v>
      </c>
      <c r="AV7" s="332" t="str">
        <f>IF(MAXIFS('単価履歴'!$H:$H,'単価履歴'!$E:$E,AV$1,'単価履歴'!$F:$F,$A7,'単価履歴'!$B:$B,MAXIFS('単価履歴'!$B:$B,'単価履歴'!$E:$E,AV$1,'単価履歴'!$F:$F,$A7))=0,"",MAXIFS('単価履歴'!$H:$H,'単価履歴'!$E:$E,AV$1,'単価履歴'!$F:$F,$A7,'単価履歴'!$B:$B,MAXIFS('単価履歴'!$B:$B,'単価履歴'!$E:$E,AV$1,'単価履歴'!$F:$F,$A7)))</f>
        <v/>
      </c>
      <c r="AW7" s="332">
        <f>IF(MAXIFS('単価履歴'!$H:$H,'単価履歴'!$E:$E,AW$1,'単価履歴'!$F:$F,$A7,'単価履歴'!$B:$B,MAXIFS('単価履歴'!$B:$B,'単価履歴'!$E:$E,AW$1,'単価履歴'!$F:$F,$A7))=0,"",MAXIFS('単価履歴'!$H:$H,'単価履歴'!$E:$E,AW$1,'単価履歴'!$F:$F,$A7,'単価履歴'!$B:$B,MAXIFS('単価履歴'!$B:$B,'単価履歴'!$E:$E,AW$1,'単価履歴'!$F:$F,$A7)))</f>
        <v>53</v>
      </c>
      <c r="AX7" s="332">
        <f>IF(MAXIFS('単価履歴'!$H:$H,'単価履歴'!$E:$E,AX$1,'単価履歴'!$F:$F,$A7,'単価履歴'!$B:$B,MAXIFS('単価履歴'!$B:$B,'単価履歴'!$E:$E,AX$1,'単価履歴'!$F:$F,$A7))=0,"",MAXIFS('単価履歴'!$H:$H,'単価履歴'!$E:$E,AX$1,'単価履歴'!$F:$F,$A7,'単価履歴'!$B:$B,MAXIFS('単価履歴'!$B:$B,'単価履歴'!$E:$E,AX$1,'単価履歴'!$F:$F,$A7)))</f>
        <v>53</v>
      </c>
      <c r="AY7" s="332">
        <f>IF(MAXIFS('単価履歴'!$H:$H,'単価履歴'!$E:$E,AY$1,'単価履歴'!$F:$F,$A7,'単価履歴'!$B:$B,MAXIFS('単価履歴'!$B:$B,'単価履歴'!$E:$E,AY$1,'単価履歴'!$F:$F,$A7))=0,"",MAXIFS('単価履歴'!$H:$H,'単価履歴'!$E:$E,AY$1,'単価履歴'!$F:$F,$A7,'単価履歴'!$B:$B,MAXIFS('単価履歴'!$B:$B,'単価履歴'!$E:$E,AY$1,'単価履歴'!$F:$F,$A7)))</f>
        <v>50.2</v>
      </c>
      <c r="AZ7" s="332">
        <f>IF(MAXIFS('単価履歴'!$H:$H,'単価履歴'!$E:$E,AZ$1,'単価履歴'!$F:$F,$A7,'単価履歴'!$B:$B,MAXIFS('単価履歴'!$B:$B,'単価履歴'!$E:$E,AZ$1,'単価履歴'!$F:$F,$A7))=0,"",MAXIFS('単価履歴'!$H:$H,'単価履歴'!$E:$E,AZ$1,'単価履歴'!$F:$F,$A7,'単価履歴'!$B:$B,MAXIFS('単価履歴'!$B:$B,'単価履歴'!$E:$E,AZ$1,'単価履歴'!$F:$F,$A7)))</f>
        <v>50.4</v>
      </c>
      <c r="BA7" s="332">
        <f>IF(MAXIFS('単価履歴'!$H:$H,'単価履歴'!$E:$E,BA$1,'単価履歴'!$F:$F,$A7,'単価履歴'!$B:$B,MAXIFS('単価履歴'!$B:$B,'単価履歴'!$E:$E,BA$1,'単価履歴'!$F:$F,$A7))=0,"",MAXIFS('単価履歴'!$H:$H,'単価履歴'!$E:$E,BA$1,'単価履歴'!$F:$F,$A7,'単価履歴'!$B:$B,MAXIFS('単価履歴'!$B:$B,'単価履歴'!$E:$E,BA$1,'単価履歴'!$F:$F,$A7)))</f>
        <v>51</v>
      </c>
      <c r="BB7" s="332">
        <f>IF(MAXIFS('単価履歴'!$H:$H,'単価履歴'!$E:$E,BB$1,'単価履歴'!$F:$F,$A7,'単価履歴'!$B:$B,MAXIFS('単価履歴'!$B:$B,'単価履歴'!$E:$E,BB$1,'単価履歴'!$F:$F,$A7))=0,"",MAXIFS('単価履歴'!$H:$H,'単価履歴'!$E:$E,BB$1,'単価履歴'!$F:$F,$A7,'単価履歴'!$B:$B,MAXIFS('単価履歴'!$B:$B,'単価履歴'!$E:$E,BB$1,'単価履歴'!$F:$F,$A7)))</f>
        <v>50.5</v>
      </c>
      <c r="BC7" s="332">
        <f>IF(MAXIFS('単価履歴'!$H:$H,'単価履歴'!$E:$E,BC$1,'単価履歴'!$F:$F,$A7,'単価履歴'!$B:$B,MAXIFS('単価履歴'!$B:$B,'単価履歴'!$E:$E,BC$1,'単価履歴'!$F:$F,$A7))=0,"",MAXIFS('単価履歴'!$H:$H,'単価履歴'!$E:$E,BC$1,'単価履歴'!$F:$F,$A7,'単価履歴'!$B:$B,MAXIFS('単価履歴'!$B:$B,'単価履歴'!$E:$E,BC$1,'単価履歴'!$F:$F,$A7)))</f>
        <v>1.5</v>
      </c>
      <c r="BD7" s="332">
        <f>IF(MAXIFS('単価履歴'!$H:$H,'単価履歴'!$E:$E,BD$1,'単価履歴'!$F:$F,$A7,'単価履歴'!$B:$B,MAXIFS('単価履歴'!$B:$B,'単価履歴'!$E:$E,BD$1,'単価履歴'!$F:$F,$A7))=0,"",MAXIFS('単価履歴'!$H:$H,'単価履歴'!$E:$E,BD$1,'単価履歴'!$F:$F,$A7,'単価履歴'!$B:$B,MAXIFS('単価履歴'!$B:$B,'単価履歴'!$E:$E,BD$1,'単価履歴'!$F:$F,$A7)))</f>
        <v>52.2</v>
      </c>
      <c r="BE7" s="332">
        <f>IF(MAXIFS('単価履歴'!$H:$H,'単価履歴'!$E:$E,BE$1,'単価履歴'!$F:$F,$A7,'単価履歴'!$B:$B,MAXIFS('単価履歴'!$B:$B,'単価履歴'!$E:$E,BE$1,'単価履歴'!$F:$F,$A7))=0,"",MAXIFS('単価履歴'!$H:$H,'単価履歴'!$E:$E,BE$1,'単価履歴'!$F:$F,$A7,'単価履歴'!$B:$B,MAXIFS('単価履歴'!$B:$B,'単価履歴'!$E:$E,BE$1,'単価履歴'!$F:$F,$A7)))</f>
        <v>49.9</v>
      </c>
      <c r="BF7" s="332">
        <f>IF(MAXIFS('単価履歴'!$H:$H,'単価履歴'!$E:$E,BF$1,'単価履歴'!$F:$F,$A7,'単価履歴'!$B:$B,MAXIFS('単価履歴'!$B:$B,'単価履歴'!$E:$E,BF$1,'単価履歴'!$F:$F,$A7))=0,"",MAXIFS('単価履歴'!$H:$H,'単価履歴'!$E:$E,BF$1,'単価履歴'!$F:$F,$A7,'単価履歴'!$B:$B,MAXIFS('単価履歴'!$B:$B,'単価履歴'!$E:$E,BF$1,'単価履歴'!$F:$F,$A7)))</f>
        <v>50.7</v>
      </c>
      <c r="BG7" s="332" t="str">
        <f>IF(MAXIFS('単価履歴'!$H:$H,'単価履歴'!$E:$E,BG$1,'単価履歴'!$F:$F,$A7,'単価履歴'!$B:$B,MAXIFS('単価履歴'!$B:$B,'単価履歴'!$E:$E,BG$1,'単価履歴'!$F:$F,$A7))=0,"",MAXIFS('単価履歴'!$H:$H,'単価履歴'!$E:$E,BG$1,'単価履歴'!$F:$F,$A7,'単価履歴'!$B:$B,MAXIFS('単価履歴'!$B:$B,'単価履歴'!$E:$E,BG$1,'単価履歴'!$F:$F,$A7)))</f>
        <v/>
      </c>
      <c r="BH7" s="332">
        <f>IF(MAXIFS('単価履歴'!$H:$H,'単価履歴'!$E:$E,BH$1,'単価履歴'!$F:$F,$A7,'単価履歴'!$B:$B,MAXIFS('単価履歴'!$B:$B,'単価履歴'!$E:$E,BH$1,'単価履歴'!$F:$F,$A7))=0,"",MAXIFS('単価履歴'!$H:$H,'単価履歴'!$E:$E,BH$1,'単価履歴'!$F:$F,$A7,'単価履歴'!$B:$B,MAXIFS('単価履歴'!$B:$B,'単価履歴'!$E:$E,BH$1,'単価履歴'!$F:$F,$A7)))</f>
        <v>47</v>
      </c>
      <c r="BI7" s="332" t="str">
        <f>IF(MAXIFS('単価履歴'!$H:$H,'単価履歴'!$E:$E,BI$1,'単価履歴'!$F:$F,$A7,'単価履歴'!$B:$B,MAXIFS('単価履歴'!$B:$B,'単価履歴'!$E:$E,BI$1,'単価履歴'!$F:$F,$A7))=0,"",MAXIFS('単価履歴'!$H:$H,'単価履歴'!$E:$E,BI$1,'単価履歴'!$F:$F,$A7,'単価履歴'!$B:$B,MAXIFS('単価履歴'!$B:$B,'単価履歴'!$E:$E,BI$1,'単価履歴'!$F:$F,$A7)))</f>
        <v/>
      </c>
      <c r="BJ7" s="332" t="str">
        <f>IF(MAXIFS('単価履歴'!$H:$H,'単価履歴'!$E:$E,BJ$1,'単価履歴'!$F:$F,$A7,'単価履歴'!$B:$B,MAXIFS('単価履歴'!$B:$B,'単価履歴'!$E:$E,BJ$1,'単価履歴'!$F:$F,$A7))=0,"",MAXIFS('単価履歴'!$H:$H,'単価履歴'!$E:$E,BJ$1,'単価履歴'!$F:$F,$A7,'単価履歴'!$B:$B,MAXIFS('単価履歴'!$B:$B,'単価履歴'!$E:$E,BJ$1,'単価履歴'!$F:$F,$A7)))</f>
        <v/>
      </c>
      <c r="BK7" s="332" t="str">
        <f>IF(MAXIFS('単価履歴'!$H:$H,'単価履歴'!$E:$E,BK$1,'単価履歴'!$F:$F,$A7,'単価履歴'!$B:$B,MAXIFS('単価履歴'!$B:$B,'単価履歴'!$E:$E,BK$1,'単価履歴'!$F:$F,$A7))=0,"",MAXIFS('単価履歴'!$H:$H,'単価履歴'!$E:$E,BK$1,'単価履歴'!$F:$F,$A7,'単価履歴'!$B:$B,MAXIFS('単価履歴'!$B:$B,'単価履歴'!$E:$E,BK$1,'単価履歴'!$F:$F,$A7)))</f>
        <v/>
      </c>
      <c r="BL7" s="332">
        <f>IF(MAXIFS('単価履歴'!$H:$H,'単価履歴'!$E:$E,BL$1,'単価履歴'!$F:$F,$A7,'単価履歴'!$B:$B,MAXIFS('単価履歴'!$B:$B,'単価履歴'!$E:$E,BL$1,'単価履歴'!$F:$F,$A7))=0,"",MAXIFS('単価履歴'!$H:$H,'単価履歴'!$E:$E,BL$1,'単価履歴'!$F:$F,$A7,'単価履歴'!$B:$B,MAXIFS('単価履歴'!$B:$B,'単価履歴'!$E:$E,BL$1,'単価履歴'!$F:$F,$A7)))</f>
        <v>52</v>
      </c>
      <c r="BM7" s="332" t="str">
        <f>IF(MAXIFS('単価履歴'!$H:$H,'単価履歴'!$E:$E,BM$1,'単価履歴'!$F:$F,$A7,'単価履歴'!$B:$B,MAXIFS('単価履歴'!$B:$B,'単価履歴'!$E:$E,BM$1,'単価履歴'!$F:$F,$A7))=0,"",MAXIFS('単価履歴'!$H:$H,'単価履歴'!$E:$E,BM$1,'単価履歴'!$F:$F,$A7,'単価履歴'!$B:$B,MAXIFS('単価履歴'!$B:$B,'単価履歴'!$E:$E,BM$1,'単価履歴'!$F:$F,$A7)))</f>
        <v/>
      </c>
      <c r="BN7" s="332" t="str">
        <f>IF(MAXIFS('単価履歴'!$H:$H,'単価履歴'!$E:$E,BN$1,'単価履歴'!$F:$F,$A7,'単価履歴'!$B:$B,MAXIFS('単価履歴'!$B:$B,'単価履歴'!$E:$E,BN$1,'単価履歴'!$F:$F,$A7))=0,"",MAXIFS('単価履歴'!$H:$H,'単価履歴'!$E:$E,BN$1,'単価履歴'!$F:$F,$A7,'単価履歴'!$B:$B,MAXIFS('単価履歴'!$B:$B,'単価履歴'!$E:$E,BN$1,'単価履歴'!$F:$F,$A7)))</f>
        <v/>
      </c>
      <c r="BO7" s="332" t="str">
        <f>IF(MAXIFS('単価履歴'!$H:$H,'単価履歴'!$E:$E,BO$1,'単価履歴'!$F:$F,$A7,'単価履歴'!$B:$B,MAXIFS('単価履歴'!$B:$B,'単価履歴'!$E:$E,BO$1,'単価履歴'!$F:$F,$A7))=0,"",MAXIFS('単価履歴'!$H:$H,'単価履歴'!$E:$E,BO$1,'単価履歴'!$F:$F,$A7,'単価履歴'!$B:$B,MAXIFS('単価履歴'!$B:$B,'単価履歴'!$E:$E,BO$1,'単価履歴'!$F:$F,$A7)))</f>
        <v/>
      </c>
      <c r="BP7" s="332" t="str">
        <f>IF(MAXIFS('単価履歴'!$H:$H,'単価履歴'!$E:$E,BP$1,'単価履歴'!$F:$F,$A7,'単価履歴'!$B:$B,MAXIFS('単価履歴'!$B:$B,'単価履歴'!$E:$E,BP$1,'単価履歴'!$F:$F,$A7))=0,"",MAXIFS('単価履歴'!$H:$H,'単価履歴'!$E:$E,BP$1,'単価履歴'!$F:$F,$A7,'単価履歴'!$B:$B,MAXIFS('単価履歴'!$B:$B,'単価履歴'!$E:$E,BP$1,'単価履歴'!$F:$F,$A7)))</f>
        <v/>
      </c>
      <c r="BQ7" s="332">
        <f>IF(MAXIFS('単価履歴'!$H:$H,'単価履歴'!$E:$E,BQ$1,'単価履歴'!$F:$F,$A7,'単価履歴'!$B:$B,MAXIFS('単価履歴'!$B:$B,'単価履歴'!$E:$E,BQ$1,'単価履歴'!$F:$F,$A7))=0,"",MAXIFS('単価履歴'!$H:$H,'単価履歴'!$E:$E,BQ$1,'単価履歴'!$F:$F,$A7,'単価履歴'!$B:$B,MAXIFS('単価履歴'!$B:$B,'単価履歴'!$E:$E,BQ$1,'単価履歴'!$F:$F,$A7)))</f>
        <v>46</v>
      </c>
      <c r="BR7" s="332" t="str">
        <f>IF(MAXIFS('単価履歴'!$H:$H,'単価履歴'!$E:$E,BR$1,'単価履歴'!$F:$F,$A7,'単価履歴'!$B:$B,MAXIFS('単価履歴'!$B:$B,'単価履歴'!$E:$E,BR$1,'単価履歴'!$F:$F,$A7))=0,"",MAXIFS('単価履歴'!$H:$H,'単価履歴'!$E:$E,BR$1,'単価履歴'!$F:$F,$A7,'単価履歴'!$B:$B,MAXIFS('単価履歴'!$B:$B,'単価履歴'!$E:$E,BR$1,'単価履歴'!$F:$F,$A7)))</f>
        <v/>
      </c>
      <c r="BS7" s="332" t="str">
        <f>IF(MAXIFS('単価履歴'!$H:$H,'単価履歴'!$E:$E,BS$1,'単価履歴'!$F:$F,$A7,'単価履歴'!$B:$B,MAXIFS('単価履歴'!$B:$B,'単価履歴'!$E:$E,BS$1,'単価履歴'!$F:$F,$A7))=0,"",MAXIFS('単価履歴'!$H:$H,'単価履歴'!$E:$E,BS$1,'単価履歴'!$F:$F,$A7,'単価履歴'!$B:$B,MAXIFS('単価履歴'!$B:$B,'単価履歴'!$E:$E,BS$1,'単価履歴'!$F:$F,$A7)))</f>
        <v/>
      </c>
      <c r="BT7" s="332">
        <f>IF(MAXIFS('単価履歴'!$H:$H,'単価履歴'!$E:$E,BT$1,'単価履歴'!$F:$F,$A7,'単価履歴'!$B:$B,MAXIFS('単価履歴'!$B:$B,'単価履歴'!$E:$E,BT$1,'単価履歴'!$F:$F,$A7))=0,"",MAXIFS('単価履歴'!$H:$H,'単価履歴'!$E:$E,BT$1,'単価履歴'!$F:$F,$A7,'単価履歴'!$B:$B,MAXIFS('単価履歴'!$B:$B,'単価履歴'!$E:$E,BT$1,'単価履歴'!$F:$F,$A7)))</f>
        <v>25.5</v>
      </c>
      <c r="BU7" s="332" t="str">
        <f>IF(MAXIFS('単価履歴'!$H:$H,'単価履歴'!$E:$E,BU$1,'単価履歴'!$F:$F,$A7,'単価履歴'!$B:$B,MAXIFS('単価履歴'!$B:$B,'単価履歴'!$E:$E,BU$1,'単価履歴'!$F:$F,$A7))=0,"",MAXIFS('単価履歴'!$H:$H,'単価履歴'!$E:$E,BU$1,'単価履歴'!$F:$F,$A7,'単価履歴'!$B:$B,MAXIFS('単価履歴'!$B:$B,'単価履歴'!$E:$E,BU$1,'単価履歴'!$F:$F,$A7)))</f>
        <v/>
      </c>
      <c r="BV7" s="332" t="str">
        <f>IF(MAXIFS('単価履歴'!$H:$H,'単価履歴'!$E:$E,BV$1,'単価履歴'!$F:$F,$A7,'単価履歴'!$B:$B,MAXIFS('単価履歴'!$B:$B,'単価履歴'!$E:$E,BV$1,'単価履歴'!$F:$F,$A7))=0,"",MAXIFS('単価履歴'!$H:$H,'単価履歴'!$E:$E,BV$1,'単価履歴'!$F:$F,$A7,'単価履歴'!$B:$B,MAXIFS('単価履歴'!$B:$B,'単価履歴'!$E:$E,BV$1,'単価履歴'!$F:$F,$A7)))</f>
        <v/>
      </c>
      <c r="BW7" s="332" t="str">
        <f>IF(MAXIFS('単価履歴'!$H:$H,'単価履歴'!$E:$E,BW$1,'単価履歴'!$F:$F,$A7,'単価履歴'!$B:$B,MAXIFS('単価履歴'!$B:$B,'単価履歴'!$E:$E,BW$1,'単価履歴'!$F:$F,$A7))=0,"",MAXIFS('単価履歴'!$H:$H,'単価履歴'!$E:$E,BW$1,'単価履歴'!$F:$F,$A7,'単価履歴'!$B:$B,MAXIFS('単価履歴'!$B:$B,'単価履歴'!$E:$E,BW$1,'単価履歴'!$F:$F,$A7)))</f>
        <v/>
      </c>
      <c r="BX7" s="332" t="str">
        <f>IF(MAXIFS('単価履歴'!$H:$H,'単価履歴'!$E:$E,BX$1,'単価履歴'!$F:$F,$A7,'単価履歴'!$B:$B,MAXIFS('単価履歴'!$B:$B,'単価履歴'!$E:$E,BX$1,'単価履歴'!$F:$F,$A7))=0,"",MAXIFS('単価履歴'!$H:$H,'単価履歴'!$E:$E,BX$1,'単価履歴'!$F:$F,$A7,'単価履歴'!$B:$B,MAXIFS('単価履歴'!$B:$B,'単価履歴'!$E:$E,BX$1,'単価履歴'!$F:$F,$A7)))</f>
        <v/>
      </c>
      <c r="BY7" s="332" t="str">
        <f>IF(MAXIFS('単価履歴'!$H:$H,'単価履歴'!$E:$E,BY$1,'単価履歴'!$F:$F,$A7,'単価履歴'!$B:$B,MAXIFS('単価履歴'!$B:$B,'単価履歴'!$E:$E,BY$1,'単価履歴'!$F:$F,$A7))=0,"",MAXIFS('単価履歴'!$H:$H,'単価履歴'!$E:$E,BY$1,'単価履歴'!$F:$F,$A7,'単価履歴'!$B:$B,MAXIFS('単価履歴'!$B:$B,'単価履歴'!$E:$E,BY$1,'単価履歴'!$F:$F,$A7)))</f>
        <v/>
      </c>
      <c r="BZ7" s="332" t="str">
        <f>IF(MAXIFS('単価履歴'!$H:$H,'単価履歴'!$E:$E,BZ$1,'単価履歴'!$F:$F,$A7,'単価履歴'!$B:$B,MAXIFS('単価履歴'!$B:$B,'単価履歴'!$E:$E,BZ$1,'単価履歴'!$F:$F,$A7))=0,"",MAXIFS('単価履歴'!$H:$H,'単価履歴'!$E:$E,BZ$1,'単価履歴'!$F:$F,$A7,'単価履歴'!$B:$B,MAXIFS('単価履歴'!$B:$B,'単価履歴'!$E:$E,BZ$1,'単価履歴'!$F:$F,$A7)))</f>
        <v/>
      </c>
      <c r="CA7" s="332" t="str">
        <f>IF(MAXIFS('単価履歴'!$H:$H,'単価履歴'!$E:$E,CA$1,'単価履歴'!$F:$F,$A7,'単価履歴'!$B:$B,MAXIFS('単価履歴'!$B:$B,'単価履歴'!$E:$E,CA$1,'単価履歴'!$F:$F,$A7))=0,"",MAXIFS('単価履歴'!$H:$H,'単価履歴'!$E:$E,CA$1,'単価履歴'!$F:$F,$A7,'単価履歴'!$B:$B,MAXIFS('単価履歴'!$B:$B,'単価履歴'!$E:$E,CA$1,'単価履歴'!$F:$F,$A7)))</f>
        <v/>
      </c>
      <c r="CB7" s="332" t="str">
        <f>IF(MAXIFS('単価履歴'!$H:$H,'単価履歴'!$E:$E,CB$1,'単価履歴'!$F:$F,$A7,'単価履歴'!$B:$B,MAXIFS('単価履歴'!$B:$B,'単価履歴'!$E:$E,CB$1,'単価履歴'!$F:$F,$A7))=0,"",MAXIFS('単価履歴'!$H:$H,'単価履歴'!$E:$E,CB$1,'単価履歴'!$F:$F,$A7,'単価履歴'!$B:$B,MAXIFS('単価履歴'!$B:$B,'単価履歴'!$E:$E,CB$1,'単価履歴'!$F:$F,$A7)))</f>
        <v/>
      </c>
      <c r="CC7" s="332" t="str">
        <f>IF(MAXIFS('単価履歴'!$H:$H,'単価履歴'!$E:$E,CC$1,'単価履歴'!$F:$F,$A7,'単価履歴'!$B:$B,MAXIFS('単価履歴'!$B:$B,'単価履歴'!$E:$E,CC$1,'単価履歴'!$F:$F,$A7))=0,"",MAXIFS('単価履歴'!$H:$H,'単価履歴'!$E:$E,CC$1,'単価履歴'!$F:$F,$A7,'単価履歴'!$B:$B,MAXIFS('単価履歴'!$B:$B,'単価履歴'!$E:$E,CC$1,'単価履歴'!$F:$F,$A7)))</f>
        <v/>
      </c>
      <c r="CD7" s="332" t="str">
        <f>IF(MAXIFS('単価履歴'!$H:$H,'単価履歴'!$E:$E,CD$1,'単価履歴'!$F:$F,$A7,'単価履歴'!$B:$B,MAXIFS('単価履歴'!$B:$B,'単価履歴'!$E:$E,CD$1,'単価履歴'!$F:$F,$A7))=0,"",MAXIFS('単価履歴'!$H:$H,'単価履歴'!$E:$E,CD$1,'単価履歴'!$F:$F,$A7,'単価履歴'!$B:$B,MAXIFS('単価履歴'!$B:$B,'単価履歴'!$E:$E,CD$1,'単価履歴'!$F:$F,$A7)))</f>
        <v/>
      </c>
      <c r="CE7" s="332" t="str">
        <f>IF(MAXIFS('単価履歴'!$H:$H,'単価履歴'!$E:$E,CE$1,'単価履歴'!$F:$F,$A7,'単価履歴'!$B:$B,MAXIFS('単価履歴'!$B:$B,'単価履歴'!$E:$E,CE$1,'単価履歴'!$F:$F,$A7))=0,"",MAXIFS('単価履歴'!$H:$H,'単価履歴'!$E:$E,CE$1,'単価履歴'!$F:$F,$A7,'単価履歴'!$B:$B,MAXIFS('単価履歴'!$B:$B,'単価履歴'!$E:$E,CE$1,'単価履歴'!$F:$F,$A7)))</f>
        <v/>
      </c>
      <c r="CF7" s="332" t="str">
        <f>IF(MAXIFS('単価履歴'!$H:$H,'単価履歴'!$E:$E,CF$1,'単価履歴'!$F:$F,$A7,'単価履歴'!$B:$B,MAXIFS('単価履歴'!$B:$B,'単価履歴'!$E:$E,CF$1,'単価履歴'!$F:$F,$A7))=0,"",MAXIFS('単価履歴'!$H:$H,'単価履歴'!$E:$E,CF$1,'単価履歴'!$F:$F,$A7,'単価履歴'!$B:$B,MAXIFS('単価履歴'!$B:$B,'単価履歴'!$E:$E,CF$1,'単価履歴'!$F:$F,$A7)))</f>
        <v/>
      </c>
      <c r="CG7" s="332" t="str">
        <f>IF(MAXIFS('単価履歴'!$H:$H,'単価履歴'!$E:$E,CG$1,'単価履歴'!$F:$F,$A7,'単価履歴'!$B:$B,MAXIFS('単価履歴'!$B:$B,'単価履歴'!$E:$E,CG$1,'単価履歴'!$F:$F,$A7))=0,"",MAXIFS('単価履歴'!$H:$H,'単価履歴'!$E:$E,CG$1,'単価履歴'!$F:$F,$A7,'単価履歴'!$B:$B,MAXIFS('単価履歴'!$B:$B,'単価履歴'!$E:$E,CG$1,'単価履歴'!$F:$F,$A7)))</f>
        <v/>
      </c>
      <c r="CH7" s="332" t="str">
        <f>IF(MAXIFS('単価履歴'!$H:$H,'単価履歴'!$E:$E,CH$1,'単価履歴'!$F:$F,$A7,'単価履歴'!$B:$B,MAXIFS('単価履歴'!$B:$B,'単価履歴'!$E:$E,CH$1,'単価履歴'!$F:$F,$A7))=0,"",MAXIFS('単価履歴'!$H:$H,'単価履歴'!$E:$E,CH$1,'単価履歴'!$F:$F,$A7,'単価履歴'!$B:$B,MAXIFS('単価履歴'!$B:$B,'単価履歴'!$E:$E,CH$1,'単価履歴'!$F:$F,$A7)))</f>
        <v/>
      </c>
    </row>
    <row r="8" ht="15.75" customHeight="1">
      <c r="A8" s="432" t="s">
        <v>119</v>
      </c>
      <c r="B8" s="332">
        <f>MAXIFS('単価履歴'!H:H,'単価履歴'!F:F,A8,'単価履歴'!N:N,"●")</f>
        <v>54.5</v>
      </c>
      <c r="C8" s="332">
        <f>IF(MAXIFS('単価履歴'!$H:$H,'単価履歴'!$E:$E,C$1,'単価履歴'!$F:$F,$A8,'単価履歴'!$B:$B,MAXIFS('単価履歴'!$B:$B,'単価履歴'!$E:$E,C$1,'単価履歴'!$F:$F,$A8))=0,"",MAXIFS('単価履歴'!$H:$H,'単価履歴'!$E:$E,C$1,'単価履歴'!$F:$F,$A8,'単価履歴'!$B:$B,MAXIFS('単価履歴'!$B:$B,'単価履歴'!$E:$E,C$1,'単価履歴'!$F:$F,$A8)))</f>
        <v>53</v>
      </c>
      <c r="D8" s="332">
        <f>IF(MAXIFS('単価履歴'!$H:$H,'単価履歴'!$E:$E,D$1,'単価履歴'!$F:$F,$A8,'単価履歴'!$B:$B,MAXIFS('単価履歴'!$B:$B,'単価履歴'!$E:$E,D$1,'単価履歴'!$F:$F,$A8))=0,"",MAXIFS('単価履歴'!$H:$H,'単価履歴'!$E:$E,D$1,'単価履歴'!$F:$F,$A8,'単価履歴'!$B:$B,MAXIFS('単価履歴'!$B:$B,'単価履歴'!$E:$E,D$1,'単価履歴'!$F:$F,$A8)))</f>
        <v>51.5</v>
      </c>
      <c r="E8" s="332">
        <f>IF(MAXIFS('単価履歴'!$H:$H,'単価履歴'!$E:$E,E$1,'単価履歴'!$F:$F,$A8,'単価履歴'!$B:$B,MAXIFS('単価履歴'!$B:$B,'単価履歴'!$E:$E,E$1,'単価履歴'!$F:$F,$A8))=0,"",MAXIFS('単価履歴'!$H:$H,'単価履歴'!$E:$E,E$1,'単価履歴'!$F:$F,$A8,'単価履歴'!$B:$B,MAXIFS('単価履歴'!$B:$B,'単価履歴'!$E:$E,E$1,'単価履歴'!$F:$F,$A8)))</f>
        <v>45.3</v>
      </c>
      <c r="F8" s="332">
        <f>IF(MAXIFS('単価履歴'!$H:$H,'単価履歴'!$E:$E,F$1,'単価履歴'!$F:$F,$A8,'単価履歴'!$B:$B,MAXIFS('単価履歴'!$B:$B,'単価履歴'!$E:$E,F$1,'単価履歴'!$F:$F,$A8))=0,"",MAXIFS('単価履歴'!$H:$H,'単価履歴'!$E:$E,F$1,'単価履歴'!$F:$F,$A8,'単価履歴'!$B:$B,MAXIFS('単価履歴'!$B:$B,'単価履歴'!$E:$E,F$1,'単価履歴'!$F:$F,$A8)))</f>
        <v>0.5</v>
      </c>
      <c r="G8" s="332">
        <f>IF(MAXIFS('単価履歴'!$H:$H,'単価履歴'!$E:$E,G$1,'単価履歴'!$F:$F,$A8,'単価履歴'!$B:$B,MAXIFS('単価履歴'!$B:$B,'単価履歴'!$E:$E,G$1,'単価履歴'!$F:$F,$A8))=0,"",MAXIFS('単価履歴'!$H:$H,'単価履歴'!$E:$E,G$1,'単価履歴'!$F:$F,$A8,'単価履歴'!$B:$B,MAXIFS('単価履歴'!$B:$B,'単価履歴'!$E:$E,G$1,'単価履歴'!$F:$F,$A8)))</f>
        <v>-0.5</v>
      </c>
      <c r="H8" s="332">
        <f>IF(MAXIFS('単価履歴'!$H:$H,'単価履歴'!$E:$E,H$1,'単価履歴'!$F:$F,$A8,'単価履歴'!$B:$B,MAXIFS('単価履歴'!$B:$B,'単価履歴'!$E:$E,H$1,'単価履歴'!$F:$F,$A8))=0,"",MAXIFS('単価履歴'!$H:$H,'単価履歴'!$E:$E,H$1,'単価履歴'!$F:$F,$A8,'単価履歴'!$B:$B,MAXIFS('単価履歴'!$B:$B,'単価履歴'!$E:$E,H$1,'単価履歴'!$F:$F,$A8)))</f>
        <v>54</v>
      </c>
      <c r="I8" s="332">
        <f>IF(MAXIFS('単価履歴'!$H:$H,'単価履歴'!$E:$E,I$1,'単価履歴'!$F:$F,$A8,'単価履歴'!$B:$B,MAXIFS('単価履歴'!$B:$B,'単価履歴'!$E:$E,I$1,'単価履歴'!$F:$F,$A8))=0,"",MAXIFS('単価履歴'!$H:$H,'単価履歴'!$E:$E,I$1,'単価履歴'!$F:$F,$A8,'単価履歴'!$B:$B,MAXIFS('単価履歴'!$B:$B,'単価履歴'!$E:$E,I$1,'単価履歴'!$F:$F,$A8)))</f>
        <v>53.3</v>
      </c>
      <c r="J8" s="332">
        <f>IF(MAXIFS('単価履歴'!$H:$H,'単価履歴'!$E:$E,J$1,'単価履歴'!$F:$F,$A8,'単価履歴'!$B:$B,MAXIFS('単価履歴'!$B:$B,'単価履歴'!$E:$E,J$1,'単価履歴'!$F:$F,$A8))=0,"",MAXIFS('単価履歴'!$H:$H,'単価履歴'!$E:$E,J$1,'単価履歴'!$F:$F,$A8,'単価履歴'!$B:$B,MAXIFS('単価履歴'!$B:$B,'単価履歴'!$E:$E,J$1,'単価履歴'!$F:$F,$A8)))</f>
        <v>2</v>
      </c>
      <c r="K8" s="332" t="str">
        <f>IF(MAXIFS('単価履歴'!$H:$H,'単価履歴'!$E:$E,K$1,'単価履歴'!$F:$F,$A8,'単価履歴'!$B:$B,MAXIFS('単価履歴'!$B:$B,'単価履歴'!$E:$E,K$1,'単価履歴'!$F:$F,$A8))=0,"",MAXIFS('単価履歴'!$H:$H,'単価履歴'!$E:$E,K$1,'単価履歴'!$F:$F,$A8,'単価履歴'!$B:$B,MAXIFS('単価履歴'!$B:$B,'単価履歴'!$E:$E,K$1,'単価履歴'!$F:$F,$A8)))</f>
        <v/>
      </c>
      <c r="L8" s="332">
        <f>IF(MAXIFS('単価履歴'!$H:$H,'単価履歴'!$E:$E,L$1,'単価履歴'!$F:$F,$A8,'単価履歴'!$B:$B,MAXIFS('単価履歴'!$B:$B,'単価履歴'!$E:$E,L$1,'単価履歴'!$F:$F,$A8))=0,"",MAXIFS('単価履歴'!$H:$H,'単価履歴'!$E:$E,L$1,'単価履歴'!$F:$F,$A8,'単価履歴'!$B:$B,MAXIFS('単価履歴'!$B:$B,'単価履歴'!$E:$E,L$1,'単価履歴'!$F:$F,$A8)))</f>
        <v>50.5</v>
      </c>
      <c r="M8" s="332">
        <f>IF(MAXIFS('単価履歴'!$H:$H,'単価履歴'!$E:$E,M$1,'単価履歴'!$F:$F,$A8,'単価履歴'!$B:$B,MAXIFS('単価履歴'!$B:$B,'単価履歴'!$E:$E,M$1,'単価履歴'!$F:$F,$A8))=0,"",MAXIFS('単価履歴'!$H:$H,'単価履歴'!$E:$E,M$1,'単価履歴'!$F:$F,$A8,'単価履歴'!$B:$B,MAXIFS('単価履歴'!$B:$B,'単価履歴'!$E:$E,M$1,'単価履歴'!$F:$F,$A8)))</f>
        <v>34.2</v>
      </c>
      <c r="N8" s="332">
        <f>IF(MAXIFS('単価履歴'!$H:$H,'単価履歴'!$E:$E,N$1,'単価履歴'!$F:$F,$A8,'単価履歴'!$B:$B,MAXIFS('単価履歴'!$B:$B,'単価履歴'!$E:$E,N$1,'単価履歴'!$F:$F,$A8))=0,"",MAXIFS('単価履歴'!$H:$H,'単価履歴'!$E:$E,N$1,'単価履歴'!$F:$F,$A8,'単価履歴'!$B:$B,MAXIFS('単価履歴'!$B:$B,'単価履歴'!$E:$E,N$1,'単価履歴'!$F:$F,$A8)))</f>
        <v>50.7</v>
      </c>
      <c r="O8" s="332">
        <f>IF(MAXIFS('単価履歴'!$H:$H,'単価履歴'!$E:$E,O$1,'単価履歴'!$F:$F,$A8,'単価履歴'!$B:$B,MAXIFS('単価履歴'!$B:$B,'単価履歴'!$E:$E,O$1,'単価履歴'!$F:$F,$A8))=0,"",MAXIFS('単価履歴'!$H:$H,'単価履歴'!$E:$E,O$1,'単価履歴'!$F:$F,$A8,'単価履歴'!$B:$B,MAXIFS('単価履歴'!$B:$B,'単価履歴'!$E:$E,O$1,'単価履歴'!$F:$F,$A8)))</f>
        <v>42.5</v>
      </c>
      <c r="P8" s="332">
        <f>IF(MAXIFS('単価履歴'!$H:$H,'単価履歴'!$E:$E,P$1,'単価履歴'!$F:$F,$A8,'単価履歴'!$B:$B,MAXIFS('単価履歴'!$B:$B,'単価履歴'!$E:$E,P$1,'単価履歴'!$F:$F,$A8))=0,"",MAXIFS('単価履歴'!$H:$H,'単価履歴'!$E:$E,P$1,'単価履歴'!$F:$F,$A8,'単価履歴'!$B:$B,MAXIFS('単価履歴'!$B:$B,'単価履歴'!$E:$E,P$1,'単価履歴'!$F:$F,$A8)))</f>
        <v>53.2</v>
      </c>
      <c r="Q8" s="332">
        <f>IF(MAXIFS('単価履歴'!$H:$H,'単価履歴'!$E:$E,Q$1,'単価履歴'!$F:$F,$A8,'単価履歴'!$B:$B,MAXIFS('単価履歴'!$B:$B,'単価履歴'!$E:$E,Q$1,'単価履歴'!$F:$F,$A8))=0,"",MAXIFS('単価履歴'!$H:$H,'単価履歴'!$E:$E,Q$1,'単価履歴'!$F:$F,$A8,'単価履歴'!$B:$B,MAXIFS('単価履歴'!$B:$B,'単価履歴'!$E:$E,Q$1,'単価履歴'!$F:$F,$A8)))</f>
        <v>54.5</v>
      </c>
      <c r="R8" s="332" t="str">
        <f>IF(MAXIFS('単価履歴'!$H:$H,'単価履歴'!$E:$E,R$1,'単価履歴'!$F:$F,$A8,'単価履歴'!$B:$B,MAXIFS('単価履歴'!$B:$B,'単価履歴'!$E:$E,R$1,'単価履歴'!$F:$F,$A8))=0,"",MAXIFS('単価履歴'!$H:$H,'単価履歴'!$E:$E,R$1,'単価履歴'!$F:$F,$A8,'単価履歴'!$B:$B,MAXIFS('単価履歴'!$B:$B,'単価履歴'!$E:$E,R$1,'単価履歴'!$F:$F,$A8)))</f>
        <v/>
      </c>
      <c r="S8" s="332">
        <f>IF(MAXIFS('単価履歴'!$H:$H,'単価履歴'!$E:$E,S$1,'単価履歴'!$F:$F,$A8,'単価履歴'!$B:$B,MAXIFS('単価履歴'!$B:$B,'単価履歴'!$E:$E,S$1,'単価履歴'!$F:$F,$A8))=0,"",MAXIFS('単価履歴'!$H:$H,'単価履歴'!$E:$E,S$1,'単価履歴'!$F:$F,$A8,'単価履歴'!$B:$B,MAXIFS('単価履歴'!$B:$B,'単価履歴'!$E:$E,S$1,'単価履歴'!$F:$F,$A8)))</f>
        <v>54.2</v>
      </c>
      <c r="T8" s="332" t="str">
        <f>IF(MAXIFS('単価履歴'!$H:$H,'単価履歴'!$E:$E,T$1,'単価履歴'!$F:$F,$A8,'単価履歴'!$B:$B,MAXIFS('単価履歴'!$B:$B,'単価履歴'!$E:$E,T$1,'単価履歴'!$F:$F,$A8))=0,"",MAXIFS('単価履歴'!$H:$H,'単価履歴'!$E:$E,T$1,'単価履歴'!$F:$F,$A8,'単価履歴'!$B:$B,MAXIFS('単価履歴'!$B:$B,'単価履歴'!$E:$E,T$1,'単価履歴'!$F:$F,$A8)))</f>
        <v/>
      </c>
      <c r="U8" s="332" t="str">
        <f>IF(MAXIFS('単価履歴'!$H:$H,'単価履歴'!$E:$E,U$1,'単価履歴'!$F:$F,$A8,'単価履歴'!$B:$B,MAXIFS('単価履歴'!$B:$B,'単価履歴'!$E:$E,U$1,'単価履歴'!$F:$F,$A8))=0,"",MAXIFS('単価履歴'!$H:$H,'単価履歴'!$E:$E,U$1,'単価履歴'!$F:$F,$A8,'単価履歴'!$B:$B,MAXIFS('単価履歴'!$B:$B,'単価履歴'!$E:$E,U$1,'単価履歴'!$F:$F,$A8)))</f>
        <v/>
      </c>
      <c r="V8" s="332" t="str">
        <f>IF(MAXIFS('単価履歴'!$H:$H,'単価履歴'!$E:$E,V$1,'単価履歴'!$F:$F,$A8,'単価履歴'!$B:$B,MAXIFS('単価履歴'!$B:$B,'単価履歴'!$E:$E,V$1,'単価履歴'!$F:$F,$A8))=0,"",MAXIFS('単価履歴'!$H:$H,'単価履歴'!$E:$E,V$1,'単価履歴'!$F:$F,$A8,'単価履歴'!$B:$B,MAXIFS('単価履歴'!$B:$B,'単価履歴'!$E:$E,V$1,'単価履歴'!$F:$F,$A8)))</f>
        <v/>
      </c>
      <c r="W8" s="332">
        <f>IF(MAXIFS('単価履歴'!$H:$H,'単価履歴'!$E:$E,W$1,'単価履歴'!$F:$F,$A8,'単価履歴'!$B:$B,MAXIFS('単価履歴'!$B:$B,'単価履歴'!$E:$E,W$1,'単価履歴'!$F:$F,$A8))=0,"",MAXIFS('単価履歴'!$H:$H,'単価履歴'!$E:$E,W$1,'単価履歴'!$F:$F,$A8,'単価履歴'!$B:$B,MAXIFS('単価履歴'!$B:$B,'単価履歴'!$E:$E,W$1,'単価履歴'!$F:$F,$A8)))</f>
        <v>51</v>
      </c>
      <c r="X8" s="332" t="str">
        <f>IF(MAXIFS('単価履歴'!$H:$H,'単価履歴'!$E:$E,X$1,'単価履歴'!$F:$F,$A8,'単価履歴'!$B:$B,MAXIFS('単価履歴'!$B:$B,'単価履歴'!$E:$E,X$1,'単価履歴'!$F:$F,$A8))=0,"",MAXIFS('単価履歴'!$H:$H,'単価履歴'!$E:$E,X$1,'単価履歴'!$F:$F,$A8,'単価履歴'!$B:$B,MAXIFS('単価履歴'!$B:$B,'単価履歴'!$E:$E,X$1,'単価履歴'!$F:$F,$A8)))</f>
        <v/>
      </c>
      <c r="Y8" s="332" t="str">
        <f>IF(MAXIFS('単価履歴'!$H:$H,'単価履歴'!$E:$E,Y$1,'単価履歴'!$F:$F,$A8,'単価履歴'!$B:$B,MAXIFS('単価履歴'!$B:$B,'単価履歴'!$E:$E,Y$1,'単価履歴'!$F:$F,$A8))=0,"",MAXIFS('単価履歴'!$H:$H,'単価履歴'!$E:$E,Y$1,'単価履歴'!$F:$F,$A8,'単価履歴'!$B:$B,MAXIFS('単価履歴'!$B:$B,'単価履歴'!$E:$E,Y$1,'単価履歴'!$F:$F,$A8)))</f>
        <v/>
      </c>
      <c r="Z8" s="332">
        <f>IF(MAXIFS('単価履歴'!$H:$H,'単価履歴'!$E:$E,Z$1,'単価履歴'!$F:$F,$A8,'単価履歴'!$B:$B,MAXIFS('単価履歴'!$B:$B,'単価履歴'!$E:$E,Z$1,'単価履歴'!$F:$F,$A8))=0,"",MAXIFS('単価履歴'!$H:$H,'単価履歴'!$E:$E,Z$1,'単価履歴'!$F:$F,$A8,'単価履歴'!$B:$B,MAXIFS('単価履歴'!$B:$B,'単価履歴'!$E:$E,Z$1,'単価履歴'!$F:$F,$A8)))</f>
        <v>40</v>
      </c>
      <c r="AA8" s="332" t="str">
        <f>IF(MAXIFS('単価履歴'!$H:$H,'単価履歴'!$E:$E,AA$1,'単価履歴'!$F:$F,$A8,'単価履歴'!$B:$B,MAXIFS('単価履歴'!$B:$B,'単価履歴'!$E:$E,AA$1,'単価履歴'!$F:$F,$A8))=0,"",MAXIFS('単価履歴'!$H:$H,'単価履歴'!$E:$E,AA$1,'単価履歴'!$F:$F,$A8,'単価履歴'!$B:$B,MAXIFS('単価履歴'!$B:$B,'単価履歴'!$E:$E,AA$1,'単価履歴'!$F:$F,$A8)))</f>
        <v/>
      </c>
      <c r="AB8" s="332" t="str">
        <f>IF(MAXIFS('単価履歴'!$H:$H,'単価履歴'!$E:$E,AB$1,'単価履歴'!$F:$F,$A8,'単価履歴'!$B:$B,MAXIFS('単価履歴'!$B:$B,'単価履歴'!$E:$E,AB$1,'単価履歴'!$F:$F,$A8))=0,"",MAXIFS('単価履歴'!$H:$H,'単価履歴'!$E:$E,AB$1,'単価履歴'!$F:$F,$A8,'単価履歴'!$B:$B,MAXIFS('単価履歴'!$B:$B,'単価履歴'!$E:$E,AB$1,'単価履歴'!$F:$F,$A8)))</f>
        <v/>
      </c>
      <c r="AC8" s="332" t="str">
        <f>IF(MAXIFS('単価履歴'!$H:$H,'単価履歴'!$E:$E,AC$1,'単価履歴'!$F:$F,$A8,'単価履歴'!$B:$B,MAXIFS('単価履歴'!$B:$B,'単価履歴'!$E:$E,AC$1,'単価履歴'!$F:$F,$A8))=0,"",MAXIFS('単価履歴'!$H:$H,'単価履歴'!$E:$E,AC$1,'単価履歴'!$F:$F,$A8,'単価履歴'!$B:$B,MAXIFS('単価履歴'!$B:$B,'単価履歴'!$E:$E,AC$1,'単価履歴'!$F:$F,$A8)))</f>
        <v/>
      </c>
      <c r="AD8" s="332" t="str">
        <f>IF(MAXIFS('単価履歴'!$H:$H,'単価履歴'!$E:$E,AD$1,'単価履歴'!$F:$F,$A8,'単価履歴'!$B:$B,MAXIFS('単価履歴'!$B:$B,'単価履歴'!$E:$E,AD$1,'単価履歴'!$F:$F,$A8))=0,"",MAXIFS('単価履歴'!$H:$H,'単価履歴'!$E:$E,AD$1,'単価履歴'!$F:$F,$A8,'単価履歴'!$B:$B,MAXIFS('単価履歴'!$B:$B,'単価履歴'!$E:$E,AD$1,'単価履歴'!$F:$F,$A8)))</f>
        <v/>
      </c>
      <c r="AE8" s="332" t="str">
        <f>IF(MAXIFS('単価履歴'!$H:$H,'単価履歴'!$E:$E,AE$1,'単価履歴'!$F:$F,$A8,'単価履歴'!$B:$B,MAXIFS('単価履歴'!$B:$B,'単価履歴'!$E:$E,AE$1,'単価履歴'!$F:$F,$A8))=0,"",MAXIFS('単価履歴'!$H:$H,'単価履歴'!$E:$E,AE$1,'単価履歴'!$F:$F,$A8,'単価履歴'!$B:$B,MAXIFS('単価履歴'!$B:$B,'単価履歴'!$E:$E,AE$1,'単価履歴'!$F:$F,$A8)))</f>
        <v/>
      </c>
      <c r="AF8" s="332" t="str">
        <f>IF(MAXIFS('単価履歴'!$H:$H,'単価履歴'!$E:$E,AF$1,'単価履歴'!$F:$F,$A8,'単価履歴'!$B:$B,MAXIFS('単価履歴'!$B:$B,'単価履歴'!$E:$E,AF$1,'単価履歴'!$F:$F,$A8))=0,"",MAXIFS('単価履歴'!$H:$H,'単価履歴'!$E:$E,AF$1,'単価履歴'!$F:$F,$A8,'単価履歴'!$B:$B,MAXIFS('単価履歴'!$B:$B,'単価履歴'!$E:$E,AF$1,'単価履歴'!$F:$F,$A8)))</f>
        <v/>
      </c>
      <c r="AG8" s="332" t="str">
        <f>IF(MAXIFS('単価履歴'!$H:$H,'単価履歴'!$E:$E,AG$1,'単価履歴'!$F:$F,$A8,'単価履歴'!$B:$B,MAXIFS('単価履歴'!$B:$B,'単価履歴'!$E:$E,AG$1,'単価履歴'!$F:$F,$A8))=0,"",MAXIFS('単価履歴'!$H:$H,'単価履歴'!$E:$E,AG$1,'単価履歴'!$F:$F,$A8,'単価履歴'!$B:$B,MAXIFS('単価履歴'!$B:$B,'単価履歴'!$E:$E,AG$1,'単価履歴'!$F:$F,$A8)))</f>
        <v/>
      </c>
      <c r="AH8" s="332" t="str">
        <f>IF(MAXIFS('単価履歴'!$H:$H,'単価履歴'!$E:$E,AH$1,'単価履歴'!$F:$F,$A8,'単価履歴'!$B:$B,MAXIFS('単価履歴'!$B:$B,'単価履歴'!$E:$E,AH$1,'単価履歴'!$F:$F,$A8))=0,"",MAXIFS('単価履歴'!$H:$H,'単価履歴'!$E:$E,AH$1,'単価履歴'!$F:$F,$A8,'単価履歴'!$B:$B,MAXIFS('単価履歴'!$B:$B,'単価履歴'!$E:$E,AH$1,'単価履歴'!$F:$F,$A8)))</f>
        <v/>
      </c>
      <c r="AI8" s="332" t="str">
        <f>IF(MAXIFS('単価履歴'!$H:$H,'単価履歴'!$E:$E,AI$1,'単価履歴'!$F:$F,$A8,'単価履歴'!$B:$B,MAXIFS('単価履歴'!$B:$B,'単価履歴'!$E:$E,AI$1,'単価履歴'!$F:$F,$A8))=0,"",MAXIFS('単価履歴'!$H:$H,'単価履歴'!$E:$E,AI$1,'単価履歴'!$F:$F,$A8,'単価履歴'!$B:$B,MAXIFS('単価履歴'!$B:$B,'単価履歴'!$E:$E,AI$1,'単価履歴'!$F:$F,$A8)))</f>
        <v/>
      </c>
      <c r="AJ8" s="332" t="str">
        <f>IF(MAXIFS('単価履歴'!$H:$H,'単価履歴'!$E:$E,AJ$1,'単価履歴'!$F:$F,$A8,'単価履歴'!$B:$B,MAXIFS('単価履歴'!$B:$B,'単価履歴'!$E:$E,AJ$1,'単価履歴'!$F:$F,$A8))=0,"",MAXIFS('単価履歴'!$H:$H,'単価履歴'!$E:$E,AJ$1,'単価履歴'!$F:$F,$A8,'単価履歴'!$B:$B,MAXIFS('単価履歴'!$B:$B,'単価履歴'!$E:$E,AJ$1,'単価履歴'!$F:$F,$A8)))</f>
        <v/>
      </c>
      <c r="AK8" s="332" t="str">
        <f>IF(MAXIFS('単価履歴'!$H:$H,'単価履歴'!$E:$E,AK$1,'単価履歴'!$F:$F,$A8,'単価履歴'!$B:$B,MAXIFS('単価履歴'!$B:$B,'単価履歴'!$E:$E,AK$1,'単価履歴'!$F:$F,$A8))=0,"",MAXIFS('単価履歴'!$H:$H,'単価履歴'!$E:$E,AK$1,'単価履歴'!$F:$F,$A8,'単価履歴'!$B:$B,MAXIFS('単価履歴'!$B:$B,'単価履歴'!$E:$E,AK$1,'単価履歴'!$F:$F,$A8)))</f>
        <v/>
      </c>
      <c r="AL8" s="332" t="str">
        <f>IF(MAXIFS('単価履歴'!$H:$H,'単価履歴'!$E:$E,AL$1,'単価履歴'!$F:$F,$A8,'単価履歴'!$B:$B,MAXIFS('単価履歴'!$B:$B,'単価履歴'!$E:$E,AL$1,'単価履歴'!$F:$F,$A8))=0,"",MAXIFS('単価履歴'!$H:$H,'単価履歴'!$E:$E,AL$1,'単価履歴'!$F:$F,$A8,'単価履歴'!$B:$B,MAXIFS('単価履歴'!$B:$B,'単価履歴'!$E:$E,AL$1,'単価履歴'!$F:$F,$A8)))</f>
        <v/>
      </c>
      <c r="AM8" s="332" t="str">
        <f>IF(MAXIFS('単価履歴'!$H:$H,'単価履歴'!$E:$E,AM$1,'単価履歴'!$F:$F,$A8,'単価履歴'!$B:$B,MAXIFS('単価履歴'!$B:$B,'単価履歴'!$E:$E,AM$1,'単価履歴'!$F:$F,$A8))=0,"",MAXIFS('単価履歴'!$H:$H,'単価履歴'!$E:$E,AM$1,'単価履歴'!$F:$F,$A8,'単価履歴'!$B:$B,MAXIFS('単価履歴'!$B:$B,'単価履歴'!$E:$E,AM$1,'単価履歴'!$F:$F,$A8)))</f>
        <v/>
      </c>
      <c r="AN8" s="332">
        <f>IF(MAXIFS('単価履歴'!$H:$H,'単価履歴'!$E:$E,AN$1,'単価履歴'!$F:$F,$A8,'単価履歴'!$B:$B,MAXIFS('単価履歴'!$B:$B,'単価履歴'!$E:$E,AN$1,'単価履歴'!$F:$F,$A8))=0,"",MAXIFS('単価履歴'!$H:$H,'単価履歴'!$E:$E,AN$1,'単価履歴'!$F:$F,$A8,'単価履歴'!$B:$B,MAXIFS('単価履歴'!$B:$B,'単価履歴'!$E:$E,AN$1,'単価履歴'!$F:$F,$A8)))</f>
        <v>53</v>
      </c>
      <c r="AO8" s="332" t="str">
        <f>IF(MAXIFS('単価履歴'!$H:$H,'単価履歴'!$E:$E,AO$1,'単価履歴'!$F:$F,$A8,'単価履歴'!$B:$B,MAXIFS('単価履歴'!$B:$B,'単価履歴'!$E:$E,AO$1,'単価履歴'!$F:$F,$A8))=0,"",MAXIFS('単価履歴'!$H:$H,'単価履歴'!$E:$E,AO$1,'単価履歴'!$F:$F,$A8,'単価履歴'!$B:$B,MAXIFS('単価履歴'!$B:$B,'単価履歴'!$E:$E,AO$1,'単価履歴'!$F:$F,$A8)))</f>
        <v/>
      </c>
      <c r="AP8" s="332">
        <f>IF(MAXIFS('単価履歴'!$H:$H,'単価履歴'!$E:$E,AP$1,'単価履歴'!$F:$F,$A8,'単価履歴'!$B:$B,MAXIFS('単価履歴'!$B:$B,'単価履歴'!$E:$E,AP$1,'単価履歴'!$F:$F,$A8))=0,"",MAXIFS('単価履歴'!$H:$H,'単価履歴'!$E:$E,AP$1,'単価履歴'!$F:$F,$A8,'単価履歴'!$B:$B,MAXIFS('単価履歴'!$B:$B,'単価履歴'!$E:$E,AP$1,'単価履歴'!$F:$F,$A8)))</f>
        <v>54.1</v>
      </c>
      <c r="AQ8" s="332" t="str">
        <f>IF(MAXIFS('単価履歴'!$H:$H,'単価履歴'!$E:$E,AQ$1,'単価履歴'!$F:$F,$A8,'単価履歴'!$B:$B,MAXIFS('単価履歴'!$B:$B,'単価履歴'!$E:$E,AQ$1,'単価履歴'!$F:$F,$A8))=0,"",MAXIFS('単価履歴'!$H:$H,'単価履歴'!$E:$E,AQ$1,'単価履歴'!$F:$F,$A8,'単価履歴'!$B:$B,MAXIFS('単価履歴'!$B:$B,'単価履歴'!$E:$E,AQ$1,'単価履歴'!$F:$F,$A8)))</f>
        <v/>
      </c>
      <c r="AR8" s="332" t="str">
        <f>IF(MAXIFS('単価履歴'!$H:$H,'単価履歴'!$E:$E,AR$1,'単価履歴'!$F:$F,$A8,'単価履歴'!$B:$B,MAXIFS('単価履歴'!$B:$B,'単価履歴'!$E:$E,AR$1,'単価履歴'!$F:$F,$A8))=0,"",MAXIFS('単価履歴'!$H:$H,'単価履歴'!$E:$E,AR$1,'単価履歴'!$F:$F,$A8,'単価履歴'!$B:$B,MAXIFS('単価履歴'!$B:$B,'単価履歴'!$E:$E,AR$1,'単価履歴'!$F:$F,$A8)))</f>
        <v/>
      </c>
      <c r="AS8" s="332" t="str">
        <f>IF(MAXIFS('単価履歴'!$H:$H,'単価履歴'!$E:$E,AS$1,'単価履歴'!$F:$F,$A8,'単価履歴'!$B:$B,MAXIFS('単価履歴'!$B:$B,'単価履歴'!$E:$E,AS$1,'単価履歴'!$F:$F,$A8))=0,"",MAXIFS('単価履歴'!$H:$H,'単価履歴'!$E:$E,AS$1,'単価履歴'!$F:$F,$A8,'単価履歴'!$B:$B,MAXIFS('単価履歴'!$B:$B,'単価履歴'!$E:$E,AS$1,'単価履歴'!$F:$F,$A8)))</f>
        <v/>
      </c>
      <c r="AT8" s="332" t="str">
        <f>IF(MAXIFS('単価履歴'!$H:$H,'単価履歴'!$E:$E,AT$1,'単価履歴'!$F:$F,$A8,'単価履歴'!$B:$B,MAXIFS('単価履歴'!$B:$B,'単価履歴'!$E:$E,AT$1,'単価履歴'!$F:$F,$A8))=0,"",MAXIFS('単価履歴'!$H:$H,'単価履歴'!$E:$E,AT$1,'単価履歴'!$F:$F,$A8,'単価履歴'!$B:$B,MAXIFS('単価履歴'!$B:$B,'単価履歴'!$E:$E,AT$1,'単価履歴'!$F:$F,$A8)))</f>
        <v/>
      </c>
      <c r="AU8" s="332">
        <f>IF(MAXIFS('単価履歴'!$H:$H,'単価履歴'!$E:$E,AU$1,'単価履歴'!$F:$F,$A8,'単価履歴'!$B:$B,MAXIFS('単価履歴'!$B:$B,'単価履歴'!$E:$E,AU$1,'単価履歴'!$F:$F,$A8))=0,"",MAXIFS('単価履歴'!$H:$H,'単価履歴'!$E:$E,AU$1,'単価履歴'!$F:$F,$A8,'単価履歴'!$B:$B,MAXIFS('単価履歴'!$B:$B,'単価履歴'!$E:$E,AU$1,'単価履歴'!$F:$F,$A8)))</f>
        <v>53</v>
      </c>
      <c r="AV8" s="332" t="str">
        <f>IF(MAXIFS('単価履歴'!$H:$H,'単価履歴'!$E:$E,AV$1,'単価履歴'!$F:$F,$A8,'単価履歴'!$B:$B,MAXIFS('単価履歴'!$B:$B,'単価履歴'!$E:$E,AV$1,'単価履歴'!$F:$F,$A8))=0,"",MAXIFS('単価履歴'!$H:$H,'単価履歴'!$E:$E,AV$1,'単価履歴'!$F:$F,$A8,'単価履歴'!$B:$B,MAXIFS('単価履歴'!$B:$B,'単価履歴'!$E:$E,AV$1,'単価履歴'!$F:$F,$A8)))</f>
        <v/>
      </c>
      <c r="AW8" s="332">
        <f>IF(MAXIFS('単価履歴'!$H:$H,'単価履歴'!$E:$E,AW$1,'単価履歴'!$F:$F,$A8,'単価履歴'!$B:$B,MAXIFS('単価履歴'!$B:$B,'単価履歴'!$E:$E,AW$1,'単価履歴'!$F:$F,$A8))=0,"",MAXIFS('単価履歴'!$H:$H,'単価履歴'!$E:$E,AW$1,'単価履歴'!$F:$F,$A8,'単価履歴'!$B:$B,MAXIFS('単価履歴'!$B:$B,'単価履歴'!$E:$E,AW$1,'単価履歴'!$F:$F,$A8)))</f>
        <v>53</v>
      </c>
      <c r="AX8" s="332">
        <f>IF(MAXIFS('単価履歴'!$H:$H,'単価履歴'!$E:$E,AX$1,'単価履歴'!$F:$F,$A8,'単価履歴'!$B:$B,MAXIFS('単価履歴'!$B:$B,'単価履歴'!$E:$E,AX$1,'単価履歴'!$F:$F,$A8))=0,"",MAXIFS('単価履歴'!$H:$H,'単価履歴'!$E:$E,AX$1,'単価履歴'!$F:$F,$A8,'単価履歴'!$B:$B,MAXIFS('単価履歴'!$B:$B,'単価履歴'!$E:$E,AX$1,'単価履歴'!$F:$F,$A8)))</f>
        <v>53</v>
      </c>
      <c r="AY8" s="332">
        <f>IF(MAXIFS('単価履歴'!$H:$H,'単価履歴'!$E:$E,AY$1,'単価履歴'!$F:$F,$A8,'単価履歴'!$B:$B,MAXIFS('単価履歴'!$B:$B,'単価履歴'!$E:$E,AY$1,'単価履歴'!$F:$F,$A8))=0,"",MAXIFS('単価履歴'!$H:$H,'単価履歴'!$E:$E,AY$1,'単価履歴'!$F:$F,$A8,'単価履歴'!$B:$B,MAXIFS('単価履歴'!$B:$B,'単価履歴'!$E:$E,AY$1,'単価履歴'!$F:$F,$A8)))</f>
        <v>49.2</v>
      </c>
      <c r="AZ8" s="332">
        <f>IF(MAXIFS('単価履歴'!$H:$H,'単価履歴'!$E:$E,AZ$1,'単価履歴'!$F:$F,$A8,'単価履歴'!$B:$B,MAXIFS('単価履歴'!$B:$B,'単価履歴'!$E:$E,AZ$1,'単価履歴'!$F:$F,$A8))=0,"",MAXIFS('単価履歴'!$H:$H,'単価履歴'!$E:$E,AZ$1,'単価履歴'!$F:$F,$A8,'単価履歴'!$B:$B,MAXIFS('単価履歴'!$B:$B,'単価履歴'!$E:$E,AZ$1,'単価履歴'!$F:$F,$A8)))</f>
        <v>49.4</v>
      </c>
      <c r="BA8" s="332">
        <f>IF(MAXIFS('単価履歴'!$H:$H,'単価履歴'!$E:$E,BA$1,'単価履歴'!$F:$F,$A8,'単価履歴'!$B:$B,MAXIFS('単価履歴'!$B:$B,'単価履歴'!$E:$E,BA$1,'単価履歴'!$F:$F,$A8))=0,"",MAXIFS('単価履歴'!$H:$H,'単価履歴'!$E:$E,BA$1,'単価履歴'!$F:$F,$A8,'単価履歴'!$B:$B,MAXIFS('単価履歴'!$B:$B,'単価履歴'!$E:$E,BA$1,'単価履歴'!$F:$F,$A8)))</f>
        <v>50</v>
      </c>
      <c r="BB8" s="332">
        <f>IF(MAXIFS('単価履歴'!$H:$H,'単価履歴'!$E:$E,BB$1,'単価履歴'!$F:$F,$A8,'単価履歴'!$B:$B,MAXIFS('単価履歴'!$B:$B,'単価履歴'!$E:$E,BB$1,'単価履歴'!$F:$F,$A8))=0,"",MAXIFS('単価履歴'!$H:$H,'単価履歴'!$E:$E,BB$1,'単価履歴'!$F:$F,$A8,'単価履歴'!$B:$B,MAXIFS('単価履歴'!$B:$B,'単価履歴'!$E:$E,BB$1,'単価履歴'!$F:$F,$A8)))</f>
        <v>49.5</v>
      </c>
      <c r="BC8" s="332">
        <f>IF(MAXIFS('単価履歴'!$H:$H,'単価履歴'!$E:$E,BC$1,'単価履歴'!$F:$F,$A8,'単価履歴'!$B:$B,MAXIFS('単価履歴'!$B:$B,'単価履歴'!$E:$E,BC$1,'単価履歴'!$F:$F,$A8))=0,"",MAXIFS('単価履歴'!$H:$H,'単価履歴'!$E:$E,BC$1,'単価履歴'!$F:$F,$A8,'単価履歴'!$B:$B,MAXIFS('単価履歴'!$B:$B,'単価履歴'!$E:$E,BC$1,'単価履歴'!$F:$F,$A8)))</f>
        <v>-0.5</v>
      </c>
      <c r="BD8" s="332" t="str">
        <f>IF(MAXIFS('単価履歴'!$H:$H,'単価履歴'!$E:$E,BD$1,'単価履歴'!$F:$F,$A8,'単価履歴'!$B:$B,MAXIFS('単価履歴'!$B:$B,'単価履歴'!$E:$E,BD$1,'単価履歴'!$F:$F,$A8))=0,"",MAXIFS('単価履歴'!$H:$H,'単価履歴'!$E:$E,BD$1,'単価履歴'!$F:$F,$A8,'単価履歴'!$B:$B,MAXIFS('単価履歴'!$B:$B,'単価履歴'!$E:$E,BD$1,'単価履歴'!$F:$F,$A8)))</f>
        <v/>
      </c>
      <c r="BE8" s="332" t="str">
        <f>IF(MAXIFS('単価履歴'!$H:$H,'単価履歴'!$E:$E,BE$1,'単価履歴'!$F:$F,$A8,'単価履歴'!$B:$B,MAXIFS('単価履歴'!$B:$B,'単価履歴'!$E:$E,BE$1,'単価履歴'!$F:$F,$A8))=0,"",MAXIFS('単価履歴'!$H:$H,'単価履歴'!$E:$E,BE$1,'単価履歴'!$F:$F,$A8,'単価履歴'!$B:$B,MAXIFS('単価履歴'!$B:$B,'単価履歴'!$E:$E,BE$1,'単価履歴'!$F:$F,$A8)))</f>
        <v/>
      </c>
      <c r="BF8" s="332" t="str">
        <f>IF(MAXIFS('単価履歴'!$H:$H,'単価履歴'!$E:$E,BF$1,'単価履歴'!$F:$F,$A8,'単価履歴'!$B:$B,MAXIFS('単価履歴'!$B:$B,'単価履歴'!$E:$E,BF$1,'単価履歴'!$F:$F,$A8))=0,"",MAXIFS('単価履歴'!$H:$H,'単価履歴'!$E:$E,BF$1,'単価履歴'!$F:$F,$A8,'単価履歴'!$B:$B,MAXIFS('単価履歴'!$B:$B,'単価履歴'!$E:$E,BF$1,'単価履歴'!$F:$F,$A8)))</f>
        <v/>
      </c>
      <c r="BG8" s="332" t="str">
        <f>IF(MAXIFS('単価履歴'!$H:$H,'単価履歴'!$E:$E,BG$1,'単価履歴'!$F:$F,$A8,'単価履歴'!$B:$B,MAXIFS('単価履歴'!$B:$B,'単価履歴'!$E:$E,BG$1,'単価履歴'!$F:$F,$A8))=0,"",MAXIFS('単価履歴'!$H:$H,'単価履歴'!$E:$E,BG$1,'単価履歴'!$F:$F,$A8,'単価履歴'!$B:$B,MAXIFS('単価履歴'!$B:$B,'単価履歴'!$E:$E,BG$1,'単価履歴'!$F:$F,$A8)))</f>
        <v/>
      </c>
      <c r="BH8" s="332" t="str">
        <f>IF(MAXIFS('単価履歴'!$H:$H,'単価履歴'!$E:$E,BH$1,'単価履歴'!$F:$F,$A8,'単価履歴'!$B:$B,MAXIFS('単価履歴'!$B:$B,'単価履歴'!$E:$E,BH$1,'単価履歴'!$F:$F,$A8))=0,"",MAXIFS('単価履歴'!$H:$H,'単価履歴'!$E:$E,BH$1,'単価履歴'!$F:$F,$A8,'単価履歴'!$B:$B,MAXIFS('単価履歴'!$B:$B,'単価履歴'!$E:$E,BH$1,'単価履歴'!$F:$F,$A8)))</f>
        <v/>
      </c>
      <c r="BI8" s="332" t="str">
        <f>IF(MAXIFS('単価履歴'!$H:$H,'単価履歴'!$E:$E,BI$1,'単価履歴'!$F:$F,$A8,'単価履歴'!$B:$B,MAXIFS('単価履歴'!$B:$B,'単価履歴'!$E:$E,BI$1,'単価履歴'!$F:$F,$A8))=0,"",MAXIFS('単価履歴'!$H:$H,'単価履歴'!$E:$E,BI$1,'単価履歴'!$F:$F,$A8,'単価履歴'!$B:$B,MAXIFS('単価履歴'!$B:$B,'単価履歴'!$E:$E,BI$1,'単価履歴'!$F:$F,$A8)))</f>
        <v/>
      </c>
      <c r="BJ8" s="332" t="str">
        <f>IF(MAXIFS('単価履歴'!$H:$H,'単価履歴'!$E:$E,BJ$1,'単価履歴'!$F:$F,$A8,'単価履歴'!$B:$B,MAXIFS('単価履歴'!$B:$B,'単価履歴'!$E:$E,BJ$1,'単価履歴'!$F:$F,$A8))=0,"",MAXIFS('単価履歴'!$H:$H,'単価履歴'!$E:$E,BJ$1,'単価履歴'!$F:$F,$A8,'単価履歴'!$B:$B,MAXIFS('単価履歴'!$B:$B,'単価履歴'!$E:$E,BJ$1,'単価履歴'!$F:$F,$A8)))</f>
        <v/>
      </c>
      <c r="BK8" s="332" t="str">
        <f>IF(MAXIFS('単価履歴'!$H:$H,'単価履歴'!$E:$E,BK$1,'単価履歴'!$F:$F,$A8,'単価履歴'!$B:$B,MAXIFS('単価履歴'!$B:$B,'単価履歴'!$E:$E,BK$1,'単価履歴'!$F:$F,$A8))=0,"",MAXIFS('単価履歴'!$H:$H,'単価履歴'!$E:$E,BK$1,'単価履歴'!$F:$F,$A8,'単価履歴'!$B:$B,MAXIFS('単価履歴'!$B:$B,'単価履歴'!$E:$E,BK$1,'単価履歴'!$F:$F,$A8)))</f>
        <v/>
      </c>
      <c r="BL8" s="332">
        <f>IF(MAXIFS('単価履歴'!$H:$H,'単価履歴'!$E:$E,BL$1,'単価履歴'!$F:$F,$A8,'単価履歴'!$B:$B,MAXIFS('単価履歴'!$B:$B,'単価履歴'!$E:$E,BL$1,'単価履歴'!$F:$F,$A8))=0,"",MAXIFS('単価履歴'!$H:$H,'単価履歴'!$E:$E,BL$1,'単価履歴'!$F:$F,$A8,'単価履歴'!$B:$B,MAXIFS('単価履歴'!$B:$B,'単価履歴'!$E:$E,BL$1,'単価履歴'!$F:$F,$A8)))</f>
        <v>51</v>
      </c>
      <c r="BM8" s="332" t="str">
        <f>IF(MAXIFS('単価履歴'!$H:$H,'単価履歴'!$E:$E,BM$1,'単価履歴'!$F:$F,$A8,'単価履歴'!$B:$B,MAXIFS('単価履歴'!$B:$B,'単価履歴'!$E:$E,BM$1,'単価履歴'!$F:$F,$A8))=0,"",MAXIFS('単価履歴'!$H:$H,'単価履歴'!$E:$E,BM$1,'単価履歴'!$F:$F,$A8,'単価履歴'!$B:$B,MAXIFS('単価履歴'!$B:$B,'単価履歴'!$E:$E,BM$1,'単価履歴'!$F:$F,$A8)))</f>
        <v/>
      </c>
      <c r="BN8" s="332" t="str">
        <f>IF(MAXIFS('単価履歴'!$H:$H,'単価履歴'!$E:$E,BN$1,'単価履歴'!$F:$F,$A8,'単価履歴'!$B:$B,MAXIFS('単価履歴'!$B:$B,'単価履歴'!$E:$E,BN$1,'単価履歴'!$F:$F,$A8))=0,"",MAXIFS('単価履歴'!$H:$H,'単価履歴'!$E:$E,BN$1,'単価履歴'!$F:$F,$A8,'単価履歴'!$B:$B,MAXIFS('単価履歴'!$B:$B,'単価履歴'!$E:$E,BN$1,'単価履歴'!$F:$F,$A8)))</f>
        <v/>
      </c>
      <c r="BO8" s="332" t="str">
        <f>IF(MAXIFS('単価履歴'!$H:$H,'単価履歴'!$E:$E,BO$1,'単価履歴'!$F:$F,$A8,'単価履歴'!$B:$B,MAXIFS('単価履歴'!$B:$B,'単価履歴'!$E:$E,BO$1,'単価履歴'!$F:$F,$A8))=0,"",MAXIFS('単価履歴'!$H:$H,'単価履歴'!$E:$E,BO$1,'単価履歴'!$F:$F,$A8,'単価履歴'!$B:$B,MAXIFS('単価履歴'!$B:$B,'単価履歴'!$E:$E,BO$1,'単価履歴'!$F:$F,$A8)))</f>
        <v/>
      </c>
      <c r="BP8" s="332" t="str">
        <f>IF(MAXIFS('単価履歴'!$H:$H,'単価履歴'!$E:$E,BP$1,'単価履歴'!$F:$F,$A8,'単価履歴'!$B:$B,MAXIFS('単価履歴'!$B:$B,'単価履歴'!$E:$E,BP$1,'単価履歴'!$F:$F,$A8))=0,"",MAXIFS('単価履歴'!$H:$H,'単価履歴'!$E:$E,BP$1,'単価履歴'!$F:$F,$A8,'単価履歴'!$B:$B,MAXIFS('単価履歴'!$B:$B,'単価履歴'!$E:$E,BP$1,'単価履歴'!$F:$F,$A8)))</f>
        <v/>
      </c>
      <c r="BQ8" s="332" t="str">
        <f>IF(MAXIFS('単価履歴'!$H:$H,'単価履歴'!$E:$E,BQ$1,'単価履歴'!$F:$F,$A8,'単価履歴'!$B:$B,MAXIFS('単価履歴'!$B:$B,'単価履歴'!$E:$E,BQ$1,'単価履歴'!$F:$F,$A8))=0,"",MAXIFS('単価履歴'!$H:$H,'単価履歴'!$E:$E,BQ$1,'単価履歴'!$F:$F,$A8,'単価履歴'!$B:$B,MAXIFS('単価履歴'!$B:$B,'単価履歴'!$E:$E,BQ$1,'単価履歴'!$F:$F,$A8)))</f>
        <v/>
      </c>
      <c r="BR8" s="332" t="str">
        <f>IF(MAXIFS('単価履歴'!$H:$H,'単価履歴'!$E:$E,BR$1,'単価履歴'!$F:$F,$A8,'単価履歴'!$B:$B,MAXIFS('単価履歴'!$B:$B,'単価履歴'!$E:$E,BR$1,'単価履歴'!$F:$F,$A8))=0,"",MAXIFS('単価履歴'!$H:$H,'単価履歴'!$E:$E,BR$1,'単価履歴'!$F:$F,$A8,'単価履歴'!$B:$B,MAXIFS('単価履歴'!$B:$B,'単価履歴'!$E:$E,BR$1,'単価履歴'!$F:$F,$A8)))</f>
        <v/>
      </c>
      <c r="BS8" s="332" t="str">
        <f>IF(MAXIFS('単価履歴'!$H:$H,'単価履歴'!$E:$E,BS$1,'単価履歴'!$F:$F,$A8,'単価履歴'!$B:$B,MAXIFS('単価履歴'!$B:$B,'単価履歴'!$E:$E,BS$1,'単価履歴'!$F:$F,$A8))=0,"",MAXIFS('単価履歴'!$H:$H,'単価履歴'!$E:$E,BS$1,'単価履歴'!$F:$F,$A8,'単価履歴'!$B:$B,MAXIFS('単価履歴'!$B:$B,'単価履歴'!$E:$E,BS$1,'単価履歴'!$F:$F,$A8)))</f>
        <v/>
      </c>
      <c r="BT8" s="332" t="str">
        <f>IF(MAXIFS('単価履歴'!$H:$H,'単価履歴'!$E:$E,BT$1,'単価履歴'!$F:$F,$A8,'単価履歴'!$B:$B,MAXIFS('単価履歴'!$B:$B,'単価履歴'!$E:$E,BT$1,'単価履歴'!$F:$F,$A8))=0,"",MAXIFS('単価履歴'!$H:$H,'単価履歴'!$E:$E,BT$1,'単価履歴'!$F:$F,$A8,'単価履歴'!$B:$B,MAXIFS('単価履歴'!$B:$B,'単価履歴'!$E:$E,BT$1,'単価履歴'!$F:$F,$A8)))</f>
        <v/>
      </c>
      <c r="BU8" s="332" t="str">
        <f>IF(MAXIFS('単価履歴'!$H:$H,'単価履歴'!$E:$E,BU$1,'単価履歴'!$F:$F,$A8,'単価履歴'!$B:$B,MAXIFS('単価履歴'!$B:$B,'単価履歴'!$E:$E,BU$1,'単価履歴'!$F:$F,$A8))=0,"",MAXIFS('単価履歴'!$H:$H,'単価履歴'!$E:$E,BU$1,'単価履歴'!$F:$F,$A8,'単価履歴'!$B:$B,MAXIFS('単価履歴'!$B:$B,'単価履歴'!$E:$E,BU$1,'単価履歴'!$F:$F,$A8)))</f>
        <v/>
      </c>
      <c r="BV8" s="332" t="str">
        <f>IF(MAXIFS('単価履歴'!$H:$H,'単価履歴'!$E:$E,BV$1,'単価履歴'!$F:$F,$A8,'単価履歴'!$B:$B,MAXIFS('単価履歴'!$B:$B,'単価履歴'!$E:$E,BV$1,'単価履歴'!$F:$F,$A8))=0,"",MAXIFS('単価履歴'!$H:$H,'単価履歴'!$E:$E,BV$1,'単価履歴'!$F:$F,$A8,'単価履歴'!$B:$B,MAXIFS('単価履歴'!$B:$B,'単価履歴'!$E:$E,BV$1,'単価履歴'!$F:$F,$A8)))</f>
        <v/>
      </c>
      <c r="BW8" s="332" t="str">
        <f>IF(MAXIFS('単価履歴'!$H:$H,'単価履歴'!$E:$E,BW$1,'単価履歴'!$F:$F,$A8,'単価履歴'!$B:$B,MAXIFS('単価履歴'!$B:$B,'単価履歴'!$E:$E,BW$1,'単価履歴'!$F:$F,$A8))=0,"",MAXIFS('単価履歴'!$H:$H,'単価履歴'!$E:$E,BW$1,'単価履歴'!$F:$F,$A8,'単価履歴'!$B:$B,MAXIFS('単価履歴'!$B:$B,'単価履歴'!$E:$E,BW$1,'単価履歴'!$F:$F,$A8)))</f>
        <v/>
      </c>
      <c r="BX8" s="332" t="str">
        <f>IF(MAXIFS('単価履歴'!$H:$H,'単価履歴'!$E:$E,BX$1,'単価履歴'!$F:$F,$A8,'単価履歴'!$B:$B,MAXIFS('単価履歴'!$B:$B,'単価履歴'!$E:$E,BX$1,'単価履歴'!$F:$F,$A8))=0,"",MAXIFS('単価履歴'!$H:$H,'単価履歴'!$E:$E,BX$1,'単価履歴'!$F:$F,$A8,'単価履歴'!$B:$B,MAXIFS('単価履歴'!$B:$B,'単価履歴'!$E:$E,BX$1,'単価履歴'!$F:$F,$A8)))</f>
        <v/>
      </c>
      <c r="BY8" s="332" t="str">
        <f>IF(MAXIFS('単価履歴'!$H:$H,'単価履歴'!$E:$E,BY$1,'単価履歴'!$F:$F,$A8,'単価履歴'!$B:$B,MAXIFS('単価履歴'!$B:$B,'単価履歴'!$E:$E,BY$1,'単価履歴'!$F:$F,$A8))=0,"",MAXIFS('単価履歴'!$H:$H,'単価履歴'!$E:$E,BY$1,'単価履歴'!$F:$F,$A8,'単価履歴'!$B:$B,MAXIFS('単価履歴'!$B:$B,'単価履歴'!$E:$E,BY$1,'単価履歴'!$F:$F,$A8)))</f>
        <v/>
      </c>
      <c r="BZ8" s="332" t="str">
        <f>IF(MAXIFS('単価履歴'!$H:$H,'単価履歴'!$E:$E,BZ$1,'単価履歴'!$F:$F,$A8,'単価履歴'!$B:$B,MAXIFS('単価履歴'!$B:$B,'単価履歴'!$E:$E,BZ$1,'単価履歴'!$F:$F,$A8))=0,"",MAXIFS('単価履歴'!$H:$H,'単価履歴'!$E:$E,BZ$1,'単価履歴'!$F:$F,$A8,'単価履歴'!$B:$B,MAXIFS('単価履歴'!$B:$B,'単価履歴'!$E:$E,BZ$1,'単価履歴'!$F:$F,$A8)))</f>
        <v/>
      </c>
      <c r="CA8" s="332" t="str">
        <f>IF(MAXIFS('単価履歴'!$H:$H,'単価履歴'!$E:$E,CA$1,'単価履歴'!$F:$F,$A8,'単価履歴'!$B:$B,MAXIFS('単価履歴'!$B:$B,'単価履歴'!$E:$E,CA$1,'単価履歴'!$F:$F,$A8))=0,"",MAXIFS('単価履歴'!$H:$H,'単価履歴'!$E:$E,CA$1,'単価履歴'!$F:$F,$A8,'単価履歴'!$B:$B,MAXIFS('単価履歴'!$B:$B,'単価履歴'!$E:$E,CA$1,'単価履歴'!$F:$F,$A8)))</f>
        <v/>
      </c>
      <c r="CB8" s="332" t="str">
        <f>IF(MAXIFS('単価履歴'!$H:$H,'単価履歴'!$E:$E,CB$1,'単価履歴'!$F:$F,$A8,'単価履歴'!$B:$B,MAXIFS('単価履歴'!$B:$B,'単価履歴'!$E:$E,CB$1,'単価履歴'!$F:$F,$A8))=0,"",MAXIFS('単価履歴'!$H:$H,'単価履歴'!$E:$E,CB$1,'単価履歴'!$F:$F,$A8,'単価履歴'!$B:$B,MAXIFS('単価履歴'!$B:$B,'単価履歴'!$E:$E,CB$1,'単価履歴'!$F:$F,$A8)))</f>
        <v/>
      </c>
      <c r="CC8" s="332" t="str">
        <f>IF(MAXIFS('単価履歴'!$H:$H,'単価履歴'!$E:$E,CC$1,'単価履歴'!$F:$F,$A8,'単価履歴'!$B:$B,MAXIFS('単価履歴'!$B:$B,'単価履歴'!$E:$E,CC$1,'単価履歴'!$F:$F,$A8))=0,"",MAXIFS('単価履歴'!$H:$H,'単価履歴'!$E:$E,CC$1,'単価履歴'!$F:$F,$A8,'単価履歴'!$B:$B,MAXIFS('単価履歴'!$B:$B,'単価履歴'!$E:$E,CC$1,'単価履歴'!$F:$F,$A8)))</f>
        <v/>
      </c>
      <c r="CD8" s="332" t="str">
        <f>IF(MAXIFS('単価履歴'!$H:$H,'単価履歴'!$E:$E,CD$1,'単価履歴'!$F:$F,$A8,'単価履歴'!$B:$B,MAXIFS('単価履歴'!$B:$B,'単価履歴'!$E:$E,CD$1,'単価履歴'!$F:$F,$A8))=0,"",MAXIFS('単価履歴'!$H:$H,'単価履歴'!$E:$E,CD$1,'単価履歴'!$F:$F,$A8,'単価履歴'!$B:$B,MAXIFS('単価履歴'!$B:$B,'単価履歴'!$E:$E,CD$1,'単価履歴'!$F:$F,$A8)))</f>
        <v/>
      </c>
      <c r="CE8" s="332" t="str">
        <f>IF(MAXIFS('単価履歴'!$H:$H,'単価履歴'!$E:$E,CE$1,'単価履歴'!$F:$F,$A8,'単価履歴'!$B:$B,MAXIFS('単価履歴'!$B:$B,'単価履歴'!$E:$E,CE$1,'単価履歴'!$F:$F,$A8))=0,"",MAXIFS('単価履歴'!$H:$H,'単価履歴'!$E:$E,CE$1,'単価履歴'!$F:$F,$A8,'単価履歴'!$B:$B,MAXIFS('単価履歴'!$B:$B,'単価履歴'!$E:$E,CE$1,'単価履歴'!$F:$F,$A8)))</f>
        <v/>
      </c>
      <c r="CF8" s="332" t="str">
        <f>IF(MAXIFS('単価履歴'!$H:$H,'単価履歴'!$E:$E,CF$1,'単価履歴'!$F:$F,$A8,'単価履歴'!$B:$B,MAXIFS('単価履歴'!$B:$B,'単価履歴'!$E:$E,CF$1,'単価履歴'!$F:$F,$A8))=0,"",MAXIFS('単価履歴'!$H:$H,'単価履歴'!$E:$E,CF$1,'単価履歴'!$F:$F,$A8,'単価履歴'!$B:$B,MAXIFS('単価履歴'!$B:$B,'単価履歴'!$E:$E,CF$1,'単価履歴'!$F:$F,$A8)))</f>
        <v/>
      </c>
      <c r="CG8" s="332" t="str">
        <f>IF(MAXIFS('単価履歴'!$H:$H,'単価履歴'!$E:$E,CG$1,'単価履歴'!$F:$F,$A8,'単価履歴'!$B:$B,MAXIFS('単価履歴'!$B:$B,'単価履歴'!$E:$E,CG$1,'単価履歴'!$F:$F,$A8))=0,"",MAXIFS('単価履歴'!$H:$H,'単価履歴'!$E:$E,CG$1,'単価履歴'!$F:$F,$A8,'単価履歴'!$B:$B,MAXIFS('単価履歴'!$B:$B,'単価履歴'!$E:$E,CG$1,'単価履歴'!$F:$F,$A8)))</f>
        <v/>
      </c>
      <c r="CH8" s="332" t="str">
        <f>IF(MAXIFS('単価履歴'!$H:$H,'単価履歴'!$E:$E,CH$1,'単価履歴'!$F:$F,$A8,'単価履歴'!$B:$B,MAXIFS('単価履歴'!$B:$B,'単価履歴'!$E:$E,CH$1,'単価履歴'!$F:$F,$A8))=0,"",MAXIFS('単価履歴'!$H:$H,'単価履歴'!$E:$E,CH$1,'単価履歴'!$F:$F,$A8,'単価履歴'!$B:$B,MAXIFS('単価履歴'!$B:$B,'単価履歴'!$E:$E,CH$1,'単価履歴'!$F:$F,$A8)))</f>
        <v/>
      </c>
    </row>
    <row r="9" ht="15.75" customHeight="1">
      <c r="A9" s="432" t="s">
        <v>122</v>
      </c>
      <c r="B9" s="332">
        <f>MAXIFS('単価履歴'!H:H,'単価履歴'!F:F,A9,'単価履歴'!N:N,"●")</f>
        <v>53.5</v>
      </c>
      <c r="C9" s="332">
        <f>IF(MAXIFS('単価履歴'!$H:$H,'単価履歴'!$E:$E,C$1,'単価履歴'!$F:$F,$A9,'単価履歴'!$B:$B,MAXIFS('単価履歴'!$B:$B,'単価履歴'!$E:$E,C$1,'単価履歴'!$F:$F,$A9))=0,"",MAXIFS('単価履歴'!$H:$H,'単価履歴'!$E:$E,C$1,'単価履歴'!$F:$F,$A9,'単価履歴'!$B:$B,MAXIFS('単価履歴'!$B:$B,'単価履歴'!$E:$E,C$1,'単価履歴'!$F:$F,$A9)))</f>
        <v>52.5</v>
      </c>
      <c r="D9" s="332">
        <f>IF(MAXIFS('単価履歴'!$H:$H,'単価履歴'!$E:$E,D$1,'単価履歴'!$F:$F,$A9,'単価履歴'!$B:$B,MAXIFS('単価履歴'!$B:$B,'単価履歴'!$E:$E,D$1,'単価履歴'!$F:$F,$A9))=0,"",MAXIFS('単価履歴'!$H:$H,'単価履歴'!$E:$E,D$1,'単価履歴'!$F:$F,$A9,'単価履歴'!$B:$B,MAXIFS('単価履歴'!$B:$B,'単価履歴'!$E:$E,D$1,'単価履歴'!$F:$F,$A9)))</f>
        <v>51</v>
      </c>
      <c r="E9" s="332">
        <f>IF(MAXIFS('単価履歴'!$H:$H,'単価履歴'!$E:$E,E$1,'単価履歴'!$F:$F,$A9,'単価履歴'!$B:$B,MAXIFS('単価履歴'!$B:$B,'単価履歴'!$E:$E,E$1,'単価履歴'!$F:$F,$A9))=0,"",MAXIFS('単価履歴'!$H:$H,'単価履歴'!$E:$E,E$1,'単価履歴'!$F:$F,$A9,'単価履歴'!$B:$B,MAXIFS('単価履歴'!$B:$B,'単価履歴'!$E:$E,E$1,'単価履歴'!$F:$F,$A9)))</f>
        <v>38.8</v>
      </c>
      <c r="F9" s="332">
        <f>IF(MAXIFS('単価履歴'!$H:$H,'単価履歴'!$E:$E,F$1,'単価履歴'!$F:$F,$A9,'単価履歴'!$B:$B,MAXIFS('単価履歴'!$B:$B,'単価履歴'!$E:$E,F$1,'単価履歴'!$F:$F,$A9))=0,"",MAXIFS('単価履歴'!$H:$H,'単価履歴'!$E:$E,F$1,'単価履歴'!$F:$F,$A9,'単価履歴'!$B:$B,MAXIFS('単価履歴'!$B:$B,'単価履歴'!$E:$E,F$1,'単価履歴'!$F:$F,$A9)))</f>
        <v>0.5</v>
      </c>
      <c r="G9" s="332">
        <f>IF(MAXIFS('単価履歴'!$H:$H,'単価履歴'!$E:$E,G$1,'単価履歴'!$F:$F,$A9,'単価履歴'!$B:$B,MAXIFS('単価履歴'!$B:$B,'単価履歴'!$E:$E,G$1,'単価履歴'!$F:$F,$A9))=0,"",MAXIFS('単価履歴'!$H:$H,'単価履歴'!$E:$E,G$1,'単価履歴'!$F:$F,$A9,'単価履歴'!$B:$B,MAXIFS('単価履歴'!$B:$B,'単価履歴'!$E:$E,G$1,'単価履歴'!$F:$F,$A9)))</f>
        <v>-0.5</v>
      </c>
      <c r="H9" s="332">
        <f>IF(MAXIFS('単価履歴'!$H:$H,'単価履歴'!$E:$E,H$1,'単価履歴'!$F:$F,$A9,'単価履歴'!$B:$B,MAXIFS('単価履歴'!$B:$B,'単価履歴'!$E:$E,H$1,'単価履歴'!$F:$F,$A9))=0,"",MAXIFS('単価履歴'!$H:$H,'単価履歴'!$E:$E,H$1,'単価履歴'!$F:$F,$A9,'単価履歴'!$B:$B,MAXIFS('単価履歴'!$B:$B,'単価履歴'!$E:$E,H$1,'単価履歴'!$F:$F,$A9)))</f>
        <v>53.5</v>
      </c>
      <c r="I9" s="332">
        <f>IF(MAXIFS('単価履歴'!$H:$H,'単価履歴'!$E:$E,I$1,'単価履歴'!$F:$F,$A9,'単価履歴'!$B:$B,MAXIFS('単価履歴'!$B:$B,'単価履歴'!$E:$E,I$1,'単価履歴'!$F:$F,$A9))=0,"",MAXIFS('単価履歴'!$H:$H,'単価履歴'!$E:$E,I$1,'単価履歴'!$F:$F,$A9,'単価履歴'!$B:$B,MAXIFS('単価履歴'!$B:$B,'単価履歴'!$E:$E,I$1,'単価履歴'!$F:$F,$A9)))</f>
        <v>52.3</v>
      </c>
      <c r="J9" s="332">
        <f>IF(MAXIFS('単価履歴'!$H:$H,'単価履歴'!$E:$E,J$1,'単価履歴'!$F:$F,$A9,'単価履歴'!$B:$B,MAXIFS('単価履歴'!$B:$B,'単価履歴'!$E:$E,J$1,'単価履歴'!$F:$F,$A9))=0,"",MAXIFS('単価履歴'!$H:$H,'単価履歴'!$E:$E,J$1,'単価履歴'!$F:$F,$A9,'単価履歴'!$B:$B,MAXIFS('単価履歴'!$B:$B,'単価履歴'!$E:$E,J$1,'単価履歴'!$F:$F,$A9)))</f>
        <v>2</v>
      </c>
      <c r="K9" s="332" t="str">
        <f>IF(MAXIFS('単価履歴'!$H:$H,'単価履歴'!$E:$E,K$1,'単価履歴'!$F:$F,$A9,'単価履歴'!$B:$B,MAXIFS('単価履歴'!$B:$B,'単価履歴'!$E:$E,K$1,'単価履歴'!$F:$F,$A9))=0,"",MAXIFS('単価履歴'!$H:$H,'単価履歴'!$E:$E,K$1,'単価履歴'!$F:$F,$A9,'単価履歴'!$B:$B,MAXIFS('単価履歴'!$B:$B,'単価履歴'!$E:$E,K$1,'単価履歴'!$F:$F,$A9)))</f>
        <v/>
      </c>
      <c r="L9" s="332">
        <f>IF(MAXIFS('単価履歴'!$H:$H,'単価履歴'!$E:$E,L$1,'単価履歴'!$F:$F,$A9,'単価履歴'!$B:$B,MAXIFS('単価履歴'!$B:$B,'単価履歴'!$E:$E,L$1,'単価履歴'!$F:$F,$A9))=0,"",MAXIFS('単価履歴'!$H:$H,'単価履歴'!$E:$E,L$1,'単価履歴'!$F:$F,$A9,'単価履歴'!$B:$B,MAXIFS('単価履歴'!$B:$B,'単価履歴'!$E:$E,L$1,'単価履歴'!$F:$F,$A9)))</f>
        <v>50</v>
      </c>
      <c r="M9" s="332">
        <f>IF(MAXIFS('単価履歴'!$H:$H,'単価履歴'!$E:$E,M$1,'単価履歴'!$F:$F,$A9,'単価履歴'!$B:$B,MAXIFS('単価履歴'!$B:$B,'単価履歴'!$E:$E,M$1,'単価履歴'!$F:$F,$A9))=0,"",MAXIFS('単価履歴'!$H:$H,'単価履歴'!$E:$E,M$1,'単価履歴'!$F:$F,$A9,'単価履歴'!$B:$B,MAXIFS('単価履歴'!$B:$B,'単価履歴'!$E:$E,M$1,'単価履歴'!$F:$F,$A9)))</f>
        <v>32.7</v>
      </c>
      <c r="N9" s="332">
        <f>IF(MAXIFS('単価履歴'!$H:$H,'単価履歴'!$E:$E,N$1,'単価履歴'!$F:$F,$A9,'単価履歴'!$B:$B,MAXIFS('単価履歴'!$B:$B,'単価履歴'!$E:$E,N$1,'単価履歴'!$F:$F,$A9))=0,"",MAXIFS('単価履歴'!$H:$H,'単価履歴'!$E:$E,N$1,'単価履歴'!$F:$F,$A9,'単価履歴'!$B:$B,MAXIFS('単価履歴'!$B:$B,'単価履歴'!$E:$E,N$1,'単価履歴'!$F:$F,$A9)))</f>
        <v>49.7</v>
      </c>
      <c r="O9" s="332">
        <f>IF(MAXIFS('単価履歴'!$H:$H,'単価履歴'!$E:$E,O$1,'単価履歴'!$F:$F,$A9,'単価履歴'!$B:$B,MAXIFS('単価履歴'!$B:$B,'単価履歴'!$E:$E,O$1,'単価履歴'!$F:$F,$A9))=0,"",MAXIFS('単価履歴'!$H:$H,'単価履歴'!$E:$E,O$1,'単価履歴'!$F:$F,$A9,'単価履歴'!$B:$B,MAXIFS('単価履歴'!$B:$B,'単価履歴'!$E:$E,O$1,'単価履歴'!$F:$F,$A9)))</f>
        <v>41.5</v>
      </c>
      <c r="P9" s="332">
        <f>IF(MAXIFS('単価履歴'!$H:$H,'単価履歴'!$E:$E,P$1,'単価履歴'!$F:$F,$A9,'単価履歴'!$B:$B,MAXIFS('単価履歴'!$B:$B,'単価履歴'!$E:$E,P$1,'単価履歴'!$F:$F,$A9))=0,"",MAXIFS('単価履歴'!$H:$H,'単価履歴'!$E:$E,P$1,'単価履歴'!$F:$F,$A9,'単価履歴'!$B:$B,MAXIFS('単価履歴'!$B:$B,'単価履歴'!$E:$E,P$1,'単価履歴'!$F:$F,$A9)))</f>
        <v>52.7</v>
      </c>
      <c r="Q9" s="332">
        <f>IF(MAXIFS('単価履歴'!$H:$H,'単価履歴'!$E:$E,Q$1,'単価履歴'!$F:$F,$A9,'単価履歴'!$B:$B,MAXIFS('単価履歴'!$B:$B,'単価履歴'!$E:$E,Q$1,'単価履歴'!$F:$F,$A9))=0,"",MAXIFS('単価履歴'!$H:$H,'単価履歴'!$E:$E,Q$1,'単価履歴'!$F:$F,$A9,'単価履歴'!$B:$B,MAXIFS('単価履歴'!$B:$B,'単価履歴'!$E:$E,Q$1,'単価履歴'!$F:$F,$A9)))</f>
        <v>50</v>
      </c>
      <c r="R9" s="332" t="str">
        <f>IF(MAXIFS('単価履歴'!$H:$H,'単価履歴'!$E:$E,R$1,'単価履歴'!$F:$F,$A9,'単価履歴'!$B:$B,MAXIFS('単価履歴'!$B:$B,'単価履歴'!$E:$E,R$1,'単価履歴'!$F:$F,$A9))=0,"",MAXIFS('単価履歴'!$H:$H,'単価履歴'!$E:$E,R$1,'単価履歴'!$F:$F,$A9,'単価履歴'!$B:$B,MAXIFS('単価履歴'!$B:$B,'単価履歴'!$E:$E,R$1,'単価履歴'!$F:$F,$A9)))</f>
        <v/>
      </c>
      <c r="S9" s="332" t="str">
        <f>IF(MAXIFS('単価履歴'!$H:$H,'単価履歴'!$E:$E,S$1,'単価履歴'!$F:$F,$A9,'単価履歴'!$B:$B,MAXIFS('単価履歴'!$B:$B,'単価履歴'!$E:$E,S$1,'単価履歴'!$F:$F,$A9))=0,"",MAXIFS('単価履歴'!$H:$H,'単価履歴'!$E:$E,S$1,'単価履歴'!$F:$F,$A9,'単価履歴'!$B:$B,MAXIFS('単価履歴'!$B:$B,'単価履歴'!$E:$E,S$1,'単価履歴'!$F:$F,$A9)))</f>
        <v/>
      </c>
      <c r="T9" s="332" t="str">
        <f>IF(MAXIFS('単価履歴'!$H:$H,'単価履歴'!$E:$E,T$1,'単価履歴'!$F:$F,$A9,'単価履歴'!$B:$B,MAXIFS('単価履歴'!$B:$B,'単価履歴'!$E:$E,T$1,'単価履歴'!$F:$F,$A9))=0,"",MAXIFS('単価履歴'!$H:$H,'単価履歴'!$E:$E,T$1,'単価履歴'!$F:$F,$A9,'単価履歴'!$B:$B,MAXIFS('単価履歴'!$B:$B,'単価履歴'!$E:$E,T$1,'単価履歴'!$F:$F,$A9)))</f>
        <v/>
      </c>
      <c r="U9" s="332" t="str">
        <f>IF(MAXIFS('単価履歴'!$H:$H,'単価履歴'!$E:$E,U$1,'単価履歴'!$F:$F,$A9,'単価履歴'!$B:$B,MAXIFS('単価履歴'!$B:$B,'単価履歴'!$E:$E,U$1,'単価履歴'!$F:$F,$A9))=0,"",MAXIFS('単価履歴'!$H:$H,'単価履歴'!$E:$E,U$1,'単価履歴'!$F:$F,$A9,'単価履歴'!$B:$B,MAXIFS('単価履歴'!$B:$B,'単価履歴'!$E:$E,U$1,'単価履歴'!$F:$F,$A9)))</f>
        <v/>
      </c>
      <c r="V9" s="332" t="str">
        <f>IF(MAXIFS('単価履歴'!$H:$H,'単価履歴'!$E:$E,V$1,'単価履歴'!$F:$F,$A9,'単価履歴'!$B:$B,MAXIFS('単価履歴'!$B:$B,'単価履歴'!$E:$E,V$1,'単価履歴'!$F:$F,$A9))=0,"",MAXIFS('単価履歴'!$H:$H,'単価履歴'!$E:$E,V$1,'単価履歴'!$F:$F,$A9,'単価履歴'!$B:$B,MAXIFS('単価履歴'!$B:$B,'単価履歴'!$E:$E,V$1,'単価履歴'!$F:$F,$A9)))</f>
        <v/>
      </c>
      <c r="W9" s="332">
        <f>IF(MAXIFS('単価履歴'!$H:$H,'単価履歴'!$E:$E,W$1,'単価履歴'!$F:$F,$A9,'単価履歴'!$B:$B,MAXIFS('単価履歴'!$B:$B,'単価履歴'!$E:$E,W$1,'単価履歴'!$F:$F,$A9))=0,"",MAXIFS('単価履歴'!$H:$H,'単価履歴'!$E:$E,W$1,'単価履歴'!$F:$F,$A9,'単価履歴'!$B:$B,MAXIFS('単価履歴'!$B:$B,'単価履歴'!$E:$E,W$1,'単価履歴'!$F:$F,$A9)))</f>
        <v>51</v>
      </c>
      <c r="X9" s="332" t="str">
        <f>IF(MAXIFS('単価履歴'!$H:$H,'単価履歴'!$E:$E,X$1,'単価履歴'!$F:$F,$A9,'単価履歴'!$B:$B,MAXIFS('単価履歴'!$B:$B,'単価履歴'!$E:$E,X$1,'単価履歴'!$F:$F,$A9))=0,"",MAXIFS('単価履歴'!$H:$H,'単価履歴'!$E:$E,X$1,'単価履歴'!$F:$F,$A9,'単価履歴'!$B:$B,MAXIFS('単価履歴'!$B:$B,'単価履歴'!$E:$E,X$1,'単価履歴'!$F:$F,$A9)))</f>
        <v/>
      </c>
      <c r="Y9" s="332" t="str">
        <f>IF(MAXIFS('単価履歴'!$H:$H,'単価履歴'!$E:$E,Y$1,'単価履歴'!$F:$F,$A9,'単価履歴'!$B:$B,MAXIFS('単価履歴'!$B:$B,'単価履歴'!$E:$E,Y$1,'単価履歴'!$F:$F,$A9))=0,"",MAXIFS('単価履歴'!$H:$H,'単価履歴'!$E:$E,Y$1,'単価履歴'!$F:$F,$A9,'単価履歴'!$B:$B,MAXIFS('単価履歴'!$B:$B,'単価履歴'!$E:$E,Y$1,'単価履歴'!$F:$F,$A9)))</f>
        <v/>
      </c>
      <c r="Z9" s="332">
        <f>IF(MAXIFS('単価履歴'!$H:$H,'単価履歴'!$E:$E,Z$1,'単価履歴'!$F:$F,$A9,'単価履歴'!$B:$B,MAXIFS('単価履歴'!$B:$B,'単価履歴'!$E:$E,Z$1,'単価履歴'!$F:$F,$A9))=0,"",MAXIFS('単価履歴'!$H:$H,'単価履歴'!$E:$E,Z$1,'単価履歴'!$F:$F,$A9,'単価履歴'!$B:$B,MAXIFS('単価履歴'!$B:$B,'単価履歴'!$E:$E,Z$1,'単価履歴'!$F:$F,$A9)))</f>
        <v>39</v>
      </c>
      <c r="AA9" s="332" t="str">
        <f>IF(MAXIFS('単価履歴'!$H:$H,'単価履歴'!$E:$E,AA$1,'単価履歴'!$F:$F,$A9,'単価履歴'!$B:$B,MAXIFS('単価履歴'!$B:$B,'単価履歴'!$E:$E,AA$1,'単価履歴'!$F:$F,$A9))=0,"",MAXIFS('単価履歴'!$H:$H,'単価履歴'!$E:$E,AA$1,'単価履歴'!$F:$F,$A9,'単価履歴'!$B:$B,MAXIFS('単価履歴'!$B:$B,'単価履歴'!$E:$E,AA$1,'単価履歴'!$F:$F,$A9)))</f>
        <v/>
      </c>
      <c r="AB9" s="332" t="str">
        <f>IF(MAXIFS('単価履歴'!$H:$H,'単価履歴'!$E:$E,AB$1,'単価履歴'!$F:$F,$A9,'単価履歴'!$B:$B,MAXIFS('単価履歴'!$B:$B,'単価履歴'!$E:$E,AB$1,'単価履歴'!$F:$F,$A9))=0,"",MAXIFS('単価履歴'!$H:$H,'単価履歴'!$E:$E,AB$1,'単価履歴'!$F:$F,$A9,'単価履歴'!$B:$B,MAXIFS('単価履歴'!$B:$B,'単価履歴'!$E:$E,AB$1,'単価履歴'!$F:$F,$A9)))</f>
        <v/>
      </c>
      <c r="AC9" s="332" t="str">
        <f>IF(MAXIFS('単価履歴'!$H:$H,'単価履歴'!$E:$E,AC$1,'単価履歴'!$F:$F,$A9,'単価履歴'!$B:$B,MAXIFS('単価履歴'!$B:$B,'単価履歴'!$E:$E,AC$1,'単価履歴'!$F:$F,$A9))=0,"",MAXIFS('単価履歴'!$H:$H,'単価履歴'!$E:$E,AC$1,'単価履歴'!$F:$F,$A9,'単価履歴'!$B:$B,MAXIFS('単価履歴'!$B:$B,'単価履歴'!$E:$E,AC$1,'単価履歴'!$F:$F,$A9)))</f>
        <v/>
      </c>
      <c r="AD9" s="332" t="str">
        <f>IF(MAXIFS('単価履歴'!$H:$H,'単価履歴'!$E:$E,AD$1,'単価履歴'!$F:$F,$A9,'単価履歴'!$B:$B,MAXIFS('単価履歴'!$B:$B,'単価履歴'!$E:$E,AD$1,'単価履歴'!$F:$F,$A9))=0,"",MAXIFS('単価履歴'!$H:$H,'単価履歴'!$E:$E,AD$1,'単価履歴'!$F:$F,$A9,'単価履歴'!$B:$B,MAXIFS('単価履歴'!$B:$B,'単価履歴'!$E:$E,AD$1,'単価履歴'!$F:$F,$A9)))</f>
        <v/>
      </c>
      <c r="AE9" s="332" t="str">
        <f>IF(MAXIFS('単価履歴'!$H:$H,'単価履歴'!$E:$E,AE$1,'単価履歴'!$F:$F,$A9,'単価履歴'!$B:$B,MAXIFS('単価履歴'!$B:$B,'単価履歴'!$E:$E,AE$1,'単価履歴'!$F:$F,$A9))=0,"",MAXIFS('単価履歴'!$H:$H,'単価履歴'!$E:$E,AE$1,'単価履歴'!$F:$F,$A9,'単価履歴'!$B:$B,MAXIFS('単価履歴'!$B:$B,'単価履歴'!$E:$E,AE$1,'単価履歴'!$F:$F,$A9)))</f>
        <v/>
      </c>
      <c r="AF9" s="332" t="str">
        <f>IF(MAXIFS('単価履歴'!$H:$H,'単価履歴'!$E:$E,AF$1,'単価履歴'!$F:$F,$A9,'単価履歴'!$B:$B,MAXIFS('単価履歴'!$B:$B,'単価履歴'!$E:$E,AF$1,'単価履歴'!$F:$F,$A9))=0,"",MAXIFS('単価履歴'!$H:$H,'単価履歴'!$E:$E,AF$1,'単価履歴'!$F:$F,$A9,'単価履歴'!$B:$B,MAXIFS('単価履歴'!$B:$B,'単価履歴'!$E:$E,AF$1,'単価履歴'!$F:$F,$A9)))</f>
        <v/>
      </c>
      <c r="AG9" s="332" t="str">
        <f>IF(MAXIFS('単価履歴'!$H:$H,'単価履歴'!$E:$E,AG$1,'単価履歴'!$F:$F,$A9,'単価履歴'!$B:$B,MAXIFS('単価履歴'!$B:$B,'単価履歴'!$E:$E,AG$1,'単価履歴'!$F:$F,$A9))=0,"",MAXIFS('単価履歴'!$H:$H,'単価履歴'!$E:$E,AG$1,'単価履歴'!$F:$F,$A9,'単価履歴'!$B:$B,MAXIFS('単価履歴'!$B:$B,'単価履歴'!$E:$E,AG$1,'単価履歴'!$F:$F,$A9)))</f>
        <v/>
      </c>
      <c r="AH9" s="332" t="str">
        <f>IF(MAXIFS('単価履歴'!$H:$H,'単価履歴'!$E:$E,AH$1,'単価履歴'!$F:$F,$A9,'単価履歴'!$B:$B,MAXIFS('単価履歴'!$B:$B,'単価履歴'!$E:$E,AH$1,'単価履歴'!$F:$F,$A9))=0,"",MAXIFS('単価履歴'!$H:$H,'単価履歴'!$E:$E,AH$1,'単価履歴'!$F:$F,$A9,'単価履歴'!$B:$B,MAXIFS('単価履歴'!$B:$B,'単価履歴'!$E:$E,AH$1,'単価履歴'!$F:$F,$A9)))</f>
        <v/>
      </c>
      <c r="AI9" s="332" t="str">
        <f>IF(MAXIFS('単価履歴'!$H:$H,'単価履歴'!$E:$E,AI$1,'単価履歴'!$F:$F,$A9,'単価履歴'!$B:$B,MAXIFS('単価履歴'!$B:$B,'単価履歴'!$E:$E,AI$1,'単価履歴'!$F:$F,$A9))=0,"",MAXIFS('単価履歴'!$H:$H,'単価履歴'!$E:$E,AI$1,'単価履歴'!$F:$F,$A9,'単価履歴'!$B:$B,MAXIFS('単価履歴'!$B:$B,'単価履歴'!$E:$E,AI$1,'単価履歴'!$F:$F,$A9)))</f>
        <v/>
      </c>
      <c r="AJ9" s="332" t="str">
        <f>IF(MAXIFS('単価履歴'!$H:$H,'単価履歴'!$E:$E,AJ$1,'単価履歴'!$F:$F,$A9,'単価履歴'!$B:$B,MAXIFS('単価履歴'!$B:$B,'単価履歴'!$E:$E,AJ$1,'単価履歴'!$F:$F,$A9))=0,"",MAXIFS('単価履歴'!$H:$H,'単価履歴'!$E:$E,AJ$1,'単価履歴'!$F:$F,$A9,'単価履歴'!$B:$B,MAXIFS('単価履歴'!$B:$B,'単価履歴'!$E:$E,AJ$1,'単価履歴'!$F:$F,$A9)))</f>
        <v/>
      </c>
      <c r="AK9" s="332" t="str">
        <f>IF(MAXIFS('単価履歴'!$H:$H,'単価履歴'!$E:$E,AK$1,'単価履歴'!$F:$F,$A9,'単価履歴'!$B:$B,MAXIFS('単価履歴'!$B:$B,'単価履歴'!$E:$E,AK$1,'単価履歴'!$F:$F,$A9))=0,"",MAXIFS('単価履歴'!$H:$H,'単価履歴'!$E:$E,AK$1,'単価履歴'!$F:$F,$A9,'単価履歴'!$B:$B,MAXIFS('単価履歴'!$B:$B,'単価履歴'!$E:$E,AK$1,'単価履歴'!$F:$F,$A9)))</f>
        <v/>
      </c>
      <c r="AL9" s="332" t="str">
        <f>IF(MAXIFS('単価履歴'!$H:$H,'単価履歴'!$E:$E,AL$1,'単価履歴'!$F:$F,$A9,'単価履歴'!$B:$B,MAXIFS('単価履歴'!$B:$B,'単価履歴'!$E:$E,AL$1,'単価履歴'!$F:$F,$A9))=0,"",MAXIFS('単価履歴'!$H:$H,'単価履歴'!$E:$E,AL$1,'単価履歴'!$F:$F,$A9,'単価履歴'!$B:$B,MAXIFS('単価履歴'!$B:$B,'単価履歴'!$E:$E,AL$1,'単価履歴'!$F:$F,$A9)))</f>
        <v/>
      </c>
      <c r="AM9" s="332" t="str">
        <f>IF(MAXIFS('単価履歴'!$H:$H,'単価履歴'!$E:$E,AM$1,'単価履歴'!$F:$F,$A9,'単価履歴'!$B:$B,MAXIFS('単価履歴'!$B:$B,'単価履歴'!$E:$E,AM$1,'単価履歴'!$F:$F,$A9))=0,"",MAXIFS('単価履歴'!$H:$H,'単価履歴'!$E:$E,AM$1,'単価履歴'!$F:$F,$A9,'単価履歴'!$B:$B,MAXIFS('単価履歴'!$B:$B,'単価履歴'!$E:$E,AM$1,'単価履歴'!$F:$F,$A9)))</f>
        <v/>
      </c>
      <c r="AN9" s="332">
        <f>IF(MAXIFS('単価履歴'!$H:$H,'単価履歴'!$E:$E,AN$1,'単価履歴'!$F:$F,$A9,'単価履歴'!$B:$B,MAXIFS('単価履歴'!$B:$B,'単価履歴'!$E:$E,AN$1,'単価履歴'!$F:$F,$A9))=0,"",MAXIFS('単価履歴'!$H:$H,'単価履歴'!$E:$E,AN$1,'単価履歴'!$F:$F,$A9,'単価履歴'!$B:$B,MAXIFS('単価履歴'!$B:$B,'単価履歴'!$E:$E,AN$1,'単価履歴'!$F:$F,$A9)))</f>
        <v>52.5</v>
      </c>
      <c r="AO9" s="332" t="str">
        <f>IF(MAXIFS('単価履歴'!$H:$H,'単価履歴'!$E:$E,AO$1,'単価履歴'!$F:$F,$A9,'単価履歴'!$B:$B,MAXIFS('単価履歴'!$B:$B,'単価履歴'!$E:$E,AO$1,'単価履歴'!$F:$F,$A9))=0,"",MAXIFS('単価履歴'!$H:$H,'単価履歴'!$E:$E,AO$1,'単価履歴'!$F:$F,$A9,'単価履歴'!$B:$B,MAXIFS('単価履歴'!$B:$B,'単価履歴'!$E:$E,AO$1,'単価履歴'!$F:$F,$A9)))</f>
        <v/>
      </c>
      <c r="AP9" s="332">
        <f>IF(MAXIFS('単価履歴'!$H:$H,'単価履歴'!$E:$E,AP$1,'単価履歴'!$F:$F,$A9,'単価履歴'!$B:$B,MAXIFS('単価履歴'!$B:$B,'単価履歴'!$E:$E,AP$1,'単価履歴'!$F:$F,$A9))=0,"",MAXIFS('単価履歴'!$H:$H,'単価履歴'!$E:$E,AP$1,'単価履歴'!$F:$F,$A9,'単価履歴'!$B:$B,MAXIFS('単価履歴'!$B:$B,'単価履歴'!$E:$E,AP$1,'単価履歴'!$F:$F,$A9)))</f>
        <v>53.1</v>
      </c>
      <c r="AQ9" s="332" t="str">
        <f>IF(MAXIFS('単価履歴'!$H:$H,'単価履歴'!$E:$E,AQ$1,'単価履歴'!$F:$F,$A9,'単価履歴'!$B:$B,MAXIFS('単価履歴'!$B:$B,'単価履歴'!$E:$E,AQ$1,'単価履歴'!$F:$F,$A9))=0,"",MAXIFS('単価履歴'!$H:$H,'単価履歴'!$E:$E,AQ$1,'単価履歴'!$F:$F,$A9,'単価履歴'!$B:$B,MAXIFS('単価履歴'!$B:$B,'単価履歴'!$E:$E,AQ$1,'単価履歴'!$F:$F,$A9)))</f>
        <v/>
      </c>
      <c r="AR9" s="332" t="str">
        <f>IF(MAXIFS('単価履歴'!$H:$H,'単価履歴'!$E:$E,AR$1,'単価履歴'!$F:$F,$A9,'単価履歴'!$B:$B,MAXIFS('単価履歴'!$B:$B,'単価履歴'!$E:$E,AR$1,'単価履歴'!$F:$F,$A9))=0,"",MAXIFS('単価履歴'!$H:$H,'単価履歴'!$E:$E,AR$1,'単価履歴'!$F:$F,$A9,'単価履歴'!$B:$B,MAXIFS('単価履歴'!$B:$B,'単価履歴'!$E:$E,AR$1,'単価履歴'!$F:$F,$A9)))</f>
        <v/>
      </c>
      <c r="AS9" s="332">
        <f>IF(MAXIFS('単価履歴'!$H:$H,'単価履歴'!$E:$E,AS$1,'単価履歴'!$F:$F,$A9,'単価履歴'!$B:$B,MAXIFS('単価履歴'!$B:$B,'単価履歴'!$E:$E,AS$1,'単価履歴'!$F:$F,$A9))=0,"",MAXIFS('単価履歴'!$H:$H,'単価履歴'!$E:$E,AS$1,'単価履歴'!$F:$F,$A9,'単価履歴'!$B:$B,MAXIFS('単価履歴'!$B:$B,'単価履歴'!$E:$E,AS$1,'単価履歴'!$F:$F,$A9)))</f>
        <v>15</v>
      </c>
      <c r="AT9" s="332" t="str">
        <f>IF(MAXIFS('単価履歴'!$H:$H,'単価履歴'!$E:$E,AT$1,'単価履歴'!$F:$F,$A9,'単価履歴'!$B:$B,MAXIFS('単価履歴'!$B:$B,'単価履歴'!$E:$E,AT$1,'単価履歴'!$F:$F,$A9))=0,"",MAXIFS('単価履歴'!$H:$H,'単価履歴'!$E:$E,AT$1,'単価履歴'!$F:$F,$A9,'単価履歴'!$B:$B,MAXIFS('単価履歴'!$B:$B,'単価履歴'!$E:$E,AT$1,'単価履歴'!$F:$F,$A9)))</f>
        <v/>
      </c>
      <c r="AU9" s="332">
        <f>IF(MAXIFS('単価履歴'!$H:$H,'単価履歴'!$E:$E,AU$1,'単価履歴'!$F:$F,$A9,'単価履歴'!$B:$B,MAXIFS('単価履歴'!$B:$B,'単価履歴'!$E:$E,AU$1,'単価履歴'!$F:$F,$A9))=0,"",MAXIFS('単価履歴'!$H:$H,'単価履歴'!$E:$E,AU$1,'単価履歴'!$F:$F,$A9,'単価履歴'!$B:$B,MAXIFS('単価履歴'!$B:$B,'単価履歴'!$E:$E,AU$1,'単価履歴'!$F:$F,$A9)))</f>
        <v>50</v>
      </c>
      <c r="AV9" s="332" t="str">
        <f>IF(MAXIFS('単価履歴'!$H:$H,'単価履歴'!$E:$E,AV$1,'単価履歴'!$F:$F,$A9,'単価履歴'!$B:$B,MAXIFS('単価履歴'!$B:$B,'単価履歴'!$E:$E,AV$1,'単価履歴'!$F:$F,$A9))=0,"",MAXIFS('単価履歴'!$H:$H,'単価履歴'!$E:$E,AV$1,'単価履歴'!$F:$F,$A9,'単価履歴'!$B:$B,MAXIFS('単価履歴'!$B:$B,'単価履歴'!$E:$E,AV$1,'単価履歴'!$F:$F,$A9)))</f>
        <v/>
      </c>
      <c r="AW9" s="332">
        <f>IF(MAXIFS('単価履歴'!$H:$H,'単価履歴'!$E:$E,AW$1,'単価履歴'!$F:$F,$A9,'単価履歴'!$B:$B,MAXIFS('単価履歴'!$B:$B,'単価履歴'!$E:$E,AW$1,'単価履歴'!$F:$F,$A9))=0,"",MAXIFS('単価履歴'!$H:$H,'単価履歴'!$E:$E,AW$1,'単価履歴'!$F:$F,$A9,'単価履歴'!$B:$B,MAXIFS('単価履歴'!$B:$B,'単価履歴'!$E:$E,AW$1,'単価履歴'!$F:$F,$A9)))</f>
        <v>52.5</v>
      </c>
      <c r="AX9" s="332">
        <f>IF(MAXIFS('単価履歴'!$H:$H,'単価履歴'!$E:$E,AX$1,'単価履歴'!$F:$F,$A9,'単価履歴'!$B:$B,MAXIFS('単価履歴'!$B:$B,'単価履歴'!$E:$E,AX$1,'単価履歴'!$F:$F,$A9))=0,"",MAXIFS('単価履歴'!$H:$H,'単価履歴'!$E:$E,AX$1,'単価履歴'!$F:$F,$A9,'単価履歴'!$B:$B,MAXIFS('単価履歴'!$B:$B,'単価履歴'!$E:$E,AX$1,'単価履歴'!$F:$F,$A9)))</f>
        <v>52.5</v>
      </c>
      <c r="AY9" s="332" t="str">
        <f>IF(MAXIFS('単価履歴'!$H:$H,'単価履歴'!$E:$E,AY$1,'単価履歴'!$F:$F,$A9,'単価履歴'!$B:$B,MAXIFS('単価履歴'!$B:$B,'単価履歴'!$E:$E,AY$1,'単価履歴'!$F:$F,$A9))=0,"",MAXIFS('単価履歴'!$H:$H,'単価履歴'!$E:$E,AY$1,'単価履歴'!$F:$F,$A9,'単価履歴'!$B:$B,MAXIFS('単価履歴'!$B:$B,'単価履歴'!$E:$E,AY$1,'単価履歴'!$F:$F,$A9)))</f>
        <v/>
      </c>
      <c r="AZ9" s="332" t="str">
        <f>IF(MAXIFS('単価履歴'!$H:$H,'単価履歴'!$E:$E,AZ$1,'単価履歴'!$F:$F,$A9,'単価履歴'!$B:$B,MAXIFS('単価履歴'!$B:$B,'単価履歴'!$E:$E,AZ$1,'単価履歴'!$F:$F,$A9))=0,"",MAXIFS('単価履歴'!$H:$H,'単価履歴'!$E:$E,AZ$1,'単価履歴'!$F:$F,$A9,'単価履歴'!$B:$B,MAXIFS('単価履歴'!$B:$B,'単価履歴'!$E:$E,AZ$1,'単価履歴'!$F:$F,$A9)))</f>
        <v/>
      </c>
      <c r="BA9" s="332" t="str">
        <f>IF(MAXIFS('単価履歴'!$H:$H,'単価履歴'!$E:$E,BA$1,'単価履歴'!$F:$F,$A9,'単価履歴'!$B:$B,MAXIFS('単価履歴'!$B:$B,'単価履歴'!$E:$E,BA$1,'単価履歴'!$F:$F,$A9))=0,"",MAXIFS('単価履歴'!$H:$H,'単価履歴'!$E:$E,BA$1,'単価履歴'!$F:$F,$A9,'単価履歴'!$B:$B,MAXIFS('単価履歴'!$B:$B,'単価履歴'!$E:$E,BA$1,'単価履歴'!$F:$F,$A9)))</f>
        <v/>
      </c>
      <c r="BB9" s="332" t="str">
        <f>IF(MAXIFS('単価履歴'!$H:$H,'単価履歴'!$E:$E,BB$1,'単価履歴'!$F:$F,$A9,'単価履歴'!$B:$B,MAXIFS('単価履歴'!$B:$B,'単価履歴'!$E:$E,BB$1,'単価履歴'!$F:$F,$A9))=0,"",MAXIFS('単価履歴'!$H:$H,'単価履歴'!$E:$E,BB$1,'単価履歴'!$F:$F,$A9,'単価履歴'!$B:$B,MAXIFS('単価履歴'!$B:$B,'単価履歴'!$E:$E,BB$1,'単価履歴'!$F:$F,$A9)))</f>
        <v/>
      </c>
      <c r="BC9" s="332" t="str">
        <f>IF(MAXIFS('単価履歴'!$H:$H,'単価履歴'!$E:$E,BC$1,'単価履歴'!$F:$F,$A9,'単価履歴'!$B:$B,MAXIFS('単価履歴'!$B:$B,'単価履歴'!$E:$E,BC$1,'単価履歴'!$F:$F,$A9))=0,"",MAXIFS('単価履歴'!$H:$H,'単価履歴'!$E:$E,BC$1,'単価履歴'!$F:$F,$A9,'単価履歴'!$B:$B,MAXIFS('単価履歴'!$B:$B,'単価履歴'!$E:$E,BC$1,'単価履歴'!$F:$F,$A9)))</f>
        <v/>
      </c>
      <c r="BD9" s="332" t="str">
        <f>IF(MAXIFS('単価履歴'!$H:$H,'単価履歴'!$E:$E,BD$1,'単価履歴'!$F:$F,$A9,'単価履歴'!$B:$B,MAXIFS('単価履歴'!$B:$B,'単価履歴'!$E:$E,BD$1,'単価履歴'!$F:$F,$A9))=0,"",MAXIFS('単価履歴'!$H:$H,'単価履歴'!$E:$E,BD$1,'単価履歴'!$F:$F,$A9,'単価履歴'!$B:$B,MAXIFS('単価履歴'!$B:$B,'単価履歴'!$E:$E,BD$1,'単価履歴'!$F:$F,$A9)))</f>
        <v/>
      </c>
      <c r="BE9" s="332" t="str">
        <f>IF(MAXIFS('単価履歴'!$H:$H,'単価履歴'!$E:$E,BE$1,'単価履歴'!$F:$F,$A9,'単価履歴'!$B:$B,MAXIFS('単価履歴'!$B:$B,'単価履歴'!$E:$E,BE$1,'単価履歴'!$F:$F,$A9))=0,"",MAXIFS('単価履歴'!$H:$H,'単価履歴'!$E:$E,BE$1,'単価履歴'!$F:$F,$A9,'単価履歴'!$B:$B,MAXIFS('単価履歴'!$B:$B,'単価履歴'!$E:$E,BE$1,'単価履歴'!$F:$F,$A9)))</f>
        <v/>
      </c>
      <c r="BF9" s="332" t="str">
        <f>IF(MAXIFS('単価履歴'!$H:$H,'単価履歴'!$E:$E,BF$1,'単価履歴'!$F:$F,$A9,'単価履歴'!$B:$B,MAXIFS('単価履歴'!$B:$B,'単価履歴'!$E:$E,BF$1,'単価履歴'!$F:$F,$A9))=0,"",MAXIFS('単価履歴'!$H:$H,'単価履歴'!$E:$E,BF$1,'単価履歴'!$F:$F,$A9,'単価履歴'!$B:$B,MAXIFS('単価履歴'!$B:$B,'単価履歴'!$E:$E,BF$1,'単価履歴'!$F:$F,$A9)))</f>
        <v/>
      </c>
      <c r="BG9" s="332" t="str">
        <f>IF(MAXIFS('単価履歴'!$H:$H,'単価履歴'!$E:$E,BG$1,'単価履歴'!$F:$F,$A9,'単価履歴'!$B:$B,MAXIFS('単価履歴'!$B:$B,'単価履歴'!$E:$E,BG$1,'単価履歴'!$F:$F,$A9))=0,"",MAXIFS('単価履歴'!$H:$H,'単価履歴'!$E:$E,BG$1,'単価履歴'!$F:$F,$A9,'単価履歴'!$B:$B,MAXIFS('単価履歴'!$B:$B,'単価履歴'!$E:$E,BG$1,'単価履歴'!$F:$F,$A9)))</f>
        <v/>
      </c>
      <c r="BH9" s="332" t="str">
        <f>IF(MAXIFS('単価履歴'!$H:$H,'単価履歴'!$E:$E,BH$1,'単価履歴'!$F:$F,$A9,'単価履歴'!$B:$B,MAXIFS('単価履歴'!$B:$B,'単価履歴'!$E:$E,BH$1,'単価履歴'!$F:$F,$A9))=0,"",MAXIFS('単価履歴'!$H:$H,'単価履歴'!$E:$E,BH$1,'単価履歴'!$F:$F,$A9,'単価履歴'!$B:$B,MAXIFS('単価履歴'!$B:$B,'単価履歴'!$E:$E,BH$1,'単価履歴'!$F:$F,$A9)))</f>
        <v/>
      </c>
      <c r="BI9" s="332" t="str">
        <f>IF(MAXIFS('単価履歴'!$H:$H,'単価履歴'!$E:$E,BI$1,'単価履歴'!$F:$F,$A9,'単価履歴'!$B:$B,MAXIFS('単価履歴'!$B:$B,'単価履歴'!$E:$E,BI$1,'単価履歴'!$F:$F,$A9))=0,"",MAXIFS('単価履歴'!$H:$H,'単価履歴'!$E:$E,BI$1,'単価履歴'!$F:$F,$A9,'単価履歴'!$B:$B,MAXIFS('単価履歴'!$B:$B,'単価履歴'!$E:$E,BI$1,'単価履歴'!$F:$F,$A9)))</f>
        <v/>
      </c>
      <c r="BJ9" s="332" t="str">
        <f>IF(MAXIFS('単価履歴'!$H:$H,'単価履歴'!$E:$E,BJ$1,'単価履歴'!$F:$F,$A9,'単価履歴'!$B:$B,MAXIFS('単価履歴'!$B:$B,'単価履歴'!$E:$E,BJ$1,'単価履歴'!$F:$F,$A9))=0,"",MAXIFS('単価履歴'!$H:$H,'単価履歴'!$E:$E,BJ$1,'単価履歴'!$F:$F,$A9,'単価履歴'!$B:$B,MAXIFS('単価履歴'!$B:$B,'単価履歴'!$E:$E,BJ$1,'単価履歴'!$F:$F,$A9)))</f>
        <v/>
      </c>
      <c r="BK9" s="332" t="str">
        <f>IF(MAXIFS('単価履歴'!$H:$H,'単価履歴'!$E:$E,BK$1,'単価履歴'!$F:$F,$A9,'単価履歴'!$B:$B,MAXIFS('単価履歴'!$B:$B,'単価履歴'!$E:$E,BK$1,'単価履歴'!$F:$F,$A9))=0,"",MAXIFS('単価履歴'!$H:$H,'単価履歴'!$E:$E,BK$1,'単価履歴'!$F:$F,$A9,'単価履歴'!$B:$B,MAXIFS('単価履歴'!$B:$B,'単価履歴'!$E:$E,BK$1,'単価履歴'!$F:$F,$A9)))</f>
        <v/>
      </c>
      <c r="BL9" s="332">
        <f>IF(MAXIFS('単価履歴'!$H:$H,'単価履歴'!$E:$E,BL$1,'単価履歴'!$F:$F,$A9,'単価履歴'!$B:$B,MAXIFS('単価履歴'!$B:$B,'単価履歴'!$E:$E,BL$1,'単価履歴'!$F:$F,$A9))=0,"",MAXIFS('単価履歴'!$H:$H,'単価履歴'!$E:$E,BL$1,'単価履歴'!$F:$F,$A9,'単価履歴'!$B:$B,MAXIFS('単価履歴'!$B:$B,'単価履歴'!$E:$E,BL$1,'単価履歴'!$F:$F,$A9)))</f>
        <v>48</v>
      </c>
      <c r="BM9" s="332" t="str">
        <f>IF(MAXIFS('単価履歴'!$H:$H,'単価履歴'!$E:$E,BM$1,'単価履歴'!$F:$F,$A9,'単価履歴'!$B:$B,MAXIFS('単価履歴'!$B:$B,'単価履歴'!$E:$E,BM$1,'単価履歴'!$F:$F,$A9))=0,"",MAXIFS('単価履歴'!$H:$H,'単価履歴'!$E:$E,BM$1,'単価履歴'!$F:$F,$A9,'単価履歴'!$B:$B,MAXIFS('単価履歴'!$B:$B,'単価履歴'!$E:$E,BM$1,'単価履歴'!$F:$F,$A9)))</f>
        <v/>
      </c>
      <c r="BN9" s="332" t="str">
        <f>IF(MAXIFS('単価履歴'!$H:$H,'単価履歴'!$E:$E,BN$1,'単価履歴'!$F:$F,$A9,'単価履歴'!$B:$B,MAXIFS('単価履歴'!$B:$B,'単価履歴'!$E:$E,BN$1,'単価履歴'!$F:$F,$A9))=0,"",MAXIFS('単価履歴'!$H:$H,'単価履歴'!$E:$E,BN$1,'単価履歴'!$F:$F,$A9,'単価履歴'!$B:$B,MAXIFS('単価履歴'!$B:$B,'単価履歴'!$E:$E,BN$1,'単価履歴'!$F:$F,$A9)))</f>
        <v/>
      </c>
      <c r="BO9" s="332" t="str">
        <f>IF(MAXIFS('単価履歴'!$H:$H,'単価履歴'!$E:$E,BO$1,'単価履歴'!$F:$F,$A9,'単価履歴'!$B:$B,MAXIFS('単価履歴'!$B:$B,'単価履歴'!$E:$E,BO$1,'単価履歴'!$F:$F,$A9))=0,"",MAXIFS('単価履歴'!$H:$H,'単価履歴'!$E:$E,BO$1,'単価履歴'!$F:$F,$A9,'単価履歴'!$B:$B,MAXIFS('単価履歴'!$B:$B,'単価履歴'!$E:$E,BO$1,'単価履歴'!$F:$F,$A9)))</f>
        <v/>
      </c>
      <c r="BP9" s="332" t="str">
        <f>IF(MAXIFS('単価履歴'!$H:$H,'単価履歴'!$E:$E,BP$1,'単価履歴'!$F:$F,$A9,'単価履歴'!$B:$B,MAXIFS('単価履歴'!$B:$B,'単価履歴'!$E:$E,BP$1,'単価履歴'!$F:$F,$A9))=0,"",MAXIFS('単価履歴'!$H:$H,'単価履歴'!$E:$E,BP$1,'単価履歴'!$F:$F,$A9,'単価履歴'!$B:$B,MAXIFS('単価履歴'!$B:$B,'単価履歴'!$E:$E,BP$1,'単価履歴'!$F:$F,$A9)))</f>
        <v/>
      </c>
      <c r="BQ9" s="332" t="str">
        <f>IF(MAXIFS('単価履歴'!$H:$H,'単価履歴'!$E:$E,BQ$1,'単価履歴'!$F:$F,$A9,'単価履歴'!$B:$B,MAXIFS('単価履歴'!$B:$B,'単価履歴'!$E:$E,BQ$1,'単価履歴'!$F:$F,$A9))=0,"",MAXIFS('単価履歴'!$H:$H,'単価履歴'!$E:$E,BQ$1,'単価履歴'!$F:$F,$A9,'単価履歴'!$B:$B,MAXIFS('単価履歴'!$B:$B,'単価履歴'!$E:$E,BQ$1,'単価履歴'!$F:$F,$A9)))</f>
        <v/>
      </c>
      <c r="BR9" s="332" t="str">
        <f>IF(MAXIFS('単価履歴'!$H:$H,'単価履歴'!$E:$E,BR$1,'単価履歴'!$F:$F,$A9,'単価履歴'!$B:$B,MAXIFS('単価履歴'!$B:$B,'単価履歴'!$E:$E,BR$1,'単価履歴'!$F:$F,$A9))=0,"",MAXIFS('単価履歴'!$H:$H,'単価履歴'!$E:$E,BR$1,'単価履歴'!$F:$F,$A9,'単価履歴'!$B:$B,MAXIFS('単価履歴'!$B:$B,'単価履歴'!$E:$E,BR$1,'単価履歴'!$F:$F,$A9)))</f>
        <v/>
      </c>
      <c r="BS9" s="332" t="str">
        <f>IF(MAXIFS('単価履歴'!$H:$H,'単価履歴'!$E:$E,BS$1,'単価履歴'!$F:$F,$A9,'単価履歴'!$B:$B,MAXIFS('単価履歴'!$B:$B,'単価履歴'!$E:$E,BS$1,'単価履歴'!$F:$F,$A9))=0,"",MAXIFS('単価履歴'!$H:$H,'単価履歴'!$E:$E,BS$1,'単価履歴'!$F:$F,$A9,'単価履歴'!$B:$B,MAXIFS('単価履歴'!$B:$B,'単価履歴'!$E:$E,BS$1,'単価履歴'!$F:$F,$A9)))</f>
        <v/>
      </c>
      <c r="BT9" s="332" t="str">
        <f>IF(MAXIFS('単価履歴'!$H:$H,'単価履歴'!$E:$E,BT$1,'単価履歴'!$F:$F,$A9,'単価履歴'!$B:$B,MAXIFS('単価履歴'!$B:$B,'単価履歴'!$E:$E,BT$1,'単価履歴'!$F:$F,$A9))=0,"",MAXIFS('単価履歴'!$H:$H,'単価履歴'!$E:$E,BT$1,'単価履歴'!$F:$F,$A9,'単価履歴'!$B:$B,MAXIFS('単価履歴'!$B:$B,'単価履歴'!$E:$E,BT$1,'単価履歴'!$F:$F,$A9)))</f>
        <v/>
      </c>
      <c r="BU9" s="332" t="str">
        <f>IF(MAXIFS('単価履歴'!$H:$H,'単価履歴'!$E:$E,BU$1,'単価履歴'!$F:$F,$A9,'単価履歴'!$B:$B,MAXIFS('単価履歴'!$B:$B,'単価履歴'!$E:$E,BU$1,'単価履歴'!$F:$F,$A9))=0,"",MAXIFS('単価履歴'!$H:$H,'単価履歴'!$E:$E,BU$1,'単価履歴'!$F:$F,$A9,'単価履歴'!$B:$B,MAXIFS('単価履歴'!$B:$B,'単価履歴'!$E:$E,BU$1,'単価履歴'!$F:$F,$A9)))</f>
        <v/>
      </c>
      <c r="BV9" s="332" t="str">
        <f>IF(MAXIFS('単価履歴'!$H:$H,'単価履歴'!$E:$E,BV$1,'単価履歴'!$F:$F,$A9,'単価履歴'!$B:$B,MAXIFS('単価履歴'!$B:$B,'単価履歴'!$E:$E,BV$1,'単価履歴'!$F:$F,$A9))=0,"",MAXIFS('単価履歴'!$H:$H,'単価履歴'!$E:$E,BV$1,'単価履歴'!$F:$F,$A9,'単価履歴'!$B:$B,MAXIFS('単価履歴'!$B:$B,'単価履歴'!$E:$E,BV$1,'単価履歴'!$F:$F,$A9)))</f>
        <v/>
      </c>
      <c r="BW9" s="332" t="str">
        <f>IF(MAXIFS('単価履歴'!$H:$H,'単価履歴'!$E:$E,BW$1,'単価履歴'!$F:$F,$A9,'単価履歴'!$B:$B,MAXIFS('単価履歴'!$B:$B,'単価履歴'!$E:$E,BW$1,'単価履歴'!$F:$F,$A9))=0,"",MAXIFS('単価履歴'!$H:$H,'単価履歴'!$E:$E,BW$1,'単価履歴'!$F:$F,$A9,'単価履歴'!$B:$B,MAXIFS('単価履歴'!$B:$B,'単価履歴'!$E:$E,BW$1,'単価履歴'!$F:$F,$A9)))</f>
        <v/>
      </c>
      <c r="BX9" s="332" t="str">
        <f>IF(MAXIFS('単価履歴'!$H:$H,'単価履歴'!$E:$E,BX$1,'単価履歴'!$F:$F,$A9,'単価履歴'!$B:$B,MAXIFS('単価履歴'!$B:$B,'単価履歴'!$E:$E,BX$1,'単価履歴'!$F:$F,$A9))=0,"",MAXIFS('単価履歴'!$H:$H,'単価履歴'!$E:$E,BX$1,'単価履歴'!$F:$F,$A9,'単価履歴'!$B:$B,MAXIFS('単価履歴'!$B:$B,'単価履歴'!$E:$E,BX$1,'単価履歴'!$F:$F,$A9)))</f>
        <v/>
      </c>
      <c r="BY9" s="332" t="str">
        <f>IF(MAXIFS('単価履歴'!$H:$H,'単価履歴'!$E:$E,BY$1,'単価履歴'!$F:$F,$A9,'単価履歴'!$B:$B,MAXIFS('単価履歴'!$B:$B,'単価履歴'!$E:$E,BY$1,'単価履歴'!$F:$F,$A9))=0,"",MAXIFS('単価履歴'!$H:$H,'単価履歴'!$E:$E,BY$1,'単価履歴'!$F:$F,$A9,'単価履歴'!$B:$B,MAXIFS('単価履歴'!$B:$B,'単価履歴'!$E:$E,BY$1,'単価履歴'!$F:$F,$A9)))</f>
        <v/>
      </c>
      <c r="BZ9" s="332" t="str">
        <f>IF(MAXIFS('単価履歴'!$H:$H,'単価履歴'!$E:$E,BZ$1,'単価履歴'!$F:$F,$A9,'単価履歴'!$B:$B,MAXIFS('単価履歴'!$B:$B,'単価履歴'!$E:$E,BZ$1,'単価履歴'!$F:$F,$A9))=0,"",MAXIFS('単価履歴'!$H:$H,'単価履歴'!$E:$E,BZ$1,'単価履歴'!$F:$F,$A9,'単価履歴'!$B:$B,MAXIFS('単価履歴'!$B:$B,'単価履歴'!$E:$E,BZ$1,'単価履歴'!$F:$F,$A9)))</f>
        <v/>
      </c>
      <c r="CA9" s="332" t="str">
        <f>IF(MAXIFS('単価履歴'!$H:$H,'単価履歴'!$E:$E,CA$1,'単価履歴'!$F:$F,$A9,'単価履歴'!$B:$B,MAXIFS('単価履歴'!$B:$B,'単価履歴'!$E:$E,CA$1,'単価履歴'!$F:$F,$A9))=0,"",MAXIFS('単価履歴'!$H:$H,'単価履歴'!$E:$E,CA$1,'単価履歴'!$F:$F,$A9,'単価履歴'!$B:$B,MAXIFS('単価履歴'!$B:$B,'単価履歴'!$E:$E,CA$1,'単価履歴'!$F:$F,$A9)))</f>
        <v/>
      </c>
      <c r="CB9" s="332" t="str">
        <f>IF(MAXIFS('単価履歴'!$H:$H,'単価履歴'!$E:$E,CB$1,'単価履歴'!$F:$F,$A9,'単価履歴'!$B:$B,MAXIFS('単価履歴'!$B:$B,'単価履歴'!$E:$E,CB$1,'単価履歴'!$F:$F,$A9))=0,"",MAXIFS('単価履歴'!$H:$H,'単価履歴'!$E:$E,CB$1,'単価履歴'!$F:$F,$A9,'単価履歴'!$B:$B,MAXIFS('単価履歴'!$B:$B,'単価履歴'!$E:$E,CB$1,'単価履歴'!$F:$F,$A9)))</f>
        <v/>
      </c>
      <c r="CC9" s="332" t="str">
        <f>IF(MAXIFS('単価履歴'!$H:$H,'単価履歴'!$E:$E,CC$1,'単価履歴'!$F:$F,$A9,'単価履歴'!$B:$B,MAXIFS('単価履歴'!$B:$B,'単価履歴'!$E:$E,CC$1,'単価履歴'!$F:$F,$A9))=0,"",MAXIFS('単価履歴'!$H:$H,'単価履歴'!$E:$E,CC$1,'単価履歴'!$F:$F,$A9,'単価履歴'!$B:$B,MAXIFS('単価履歴'!$B:$B,'単価履歴'!$E:$E,CC$1,'単価履歴'!$F:$F,$A9)))</f>
        <v/>
      </c>
      <c r="CD9" s="332" t="str">
        <f>IF(MAXIFS('単価履歴'!$H:$H,'単価履歴'!$E:$E,CD$1,'単価履歴'!$F:$F,$A9,'単価履歴'!$B:$B,MAXIFS('単価履歴'!$B:$B,'単価履歴'!$E:$E,CD$1,'単価履歴'!$F:$F,$A9))=0,"",MAXIFS('単価履歴'!$H:$H,'単価履歴'!$E:$E,CD$1,'単価履歴'!$F:$F,$A9,'単価履歴'!$B:$B,MAXIFS('単価履歴'!$B:$B,'単価履歴'!$E:$E,CD$1,'単価履歴'!$F:$F,$A9)))</f>
        <v/>
      </c>
      <c r="CE9" s="332" t="str">
        <f>IF(MAXIFS('単価履歴'!$H:$H,'単価履歴'!$E:$E,CE$1,'単価履歴'!$F:$F,$A9,'単価履歴'!$B:$B,MAXIFS('単価履歴'!$B:$B,'単価履歴'!$E:$E,CE$1,'単価履歴'!$F:$F,$A9))=0,"",MAXIFS('単価履歴'!$H:$H,'単価履歴'!$E:$E,CE$1,'単価履歴'!$F:$F,$A9,'単価履歴'!$B:$B,MAXIFS('単価履歴'!$B:$B,'単価履歴'!$E:$E,CE$1,'単価履歴'!$F:$F,$A9)))</f>
        <v/>
      </c>
      <c r="CF9" s="332" t="str">
        <f>IF(MAXIFS('単価履歴'!$H:$H,'単価履歴'!$E:$E,CF$1,'単価履歴'!$F:$F,$A9,'単価履歴'!$B:$B,MAXIFS('単価履歴'!$B:$B,'単価履歴'!$E:$E,CF$1,'単価履歴'!$F:$F,$A9))=0,"",MAXIFS('単価履歴'!$H:$H,'単価履歴'!$E:$E,CF$1,'単価履歴'!$F:$F,$A9,'単価履歴'!$B:$B,MAXIFS('単価履歴'!$B:$B,'単価履歴'!$E:$E,CF$1,'単価履歴'!$F:$F,$A9)))</f>
        <v/>
      </c>
      <c r="CG9" s="332" t="str">
        <f>IF(MAXIFS('単価履歴'!$H:$H,'単価履歴'!$E:$E,CG$1,'単価履歴'!$F:$F,$A9,'単価履歴'!$B:$B,MAXIFS('単価履歴'!$B:$B,'単価履歴'!$E:$E,CG$1,'単価履歴'!$F:$F,$A9))=0,"",MAXIFS('単価履歴'!$H:$H,'単価履歴'!$E:$E,CG$1,'単価履歴'!$F:$F,$A9,'単価履歴'!$B:$B,MAXIFS('単価履歴'!$B:$B,'単価履歴'!$E:$E,CG$1,'単価履歴'!$F:$F,$A9)))</f>
        <v/>
      </c>
      <c r="CH9" s="332" t="str">
        <f>IF(MAXIFS('単価履歴'!$H:$H,'単価履歴'!$E:$E,CH$1,'単価履歴'!$F:$F,$A9,'単価履歴'!$B:$B,MAXIFS('単価履歴'!$B:$B,'単価履歴'!$E:$E,CH$1,'単価履歴'!$F:$F,$A9))=0,"",MAXIFS('単価履歴'!$H:$H,'単価履歴'!$E:$E,CH$1,'単価履歴'!$F:$F,$A9,'単価履歴'!$B:$B,MAXIFS('単価履歴'!$B:$B,'単価履歴'!$E:$E,CH$1,'単価履歴'!$F:$F,$A9)))</f>
        <v/>
      </c>
    </row>
    <row r="10" ht="15.75" customHeight="1">
      <c r="A10" s="432" t="s">
        <v>573</v>
      </c>
      <c r="B10" s="332">
        <f>MAXIFS('単価履歴'!H:H,'単価履歴'!F:F,A10,'単価履歴'!N:N,"●")</f>
        <v>49.1</v>
      </c>
      <c r="C10" s="332">
        <f>IF(MAXIFS('単価履歴'!$H:$H,'単価履歴'!$E:$E,C$1,'単価履歴'!$F:$F,$A10,'単価履歴'!$B:$B,MAXIFS('単価履歴'!$B:$B,'単価履歴'!$E:$E,C$1,'単価履歴'!$F:$F,$A10))=0,"",MAXIFS('単価履歴'!$H:$H,'単価履歴'!$E:$E,C$1,'単価履歴'!$F:$F,$A10,'単価履歴'!$B:$B,MAXIFS('単価履歴'!$B:$B,'単価履歴'!$E:$E,C$1,'単価履歴'!$F:$F,$A10)))</f>
        <v>48</v>
      </c>
      <c r="D10" s="332" t="str">
        <f>IF(MAXIFS('単価履歴'!$H:$H,'単価履歴'!$E:$E,D$1,'単価履歴'!$F:$F,$A10,'単価履歴'!$B:$B,MAXIFS('単価履歴'!$B:$B,'単価履歴'!$E:$E,D$1,'単価履歴'!$F:$F,$A10))=0,"",MAXIFS('単価履歴'!$H:$H,'単価履歴'!$E:$E,D$1,'単価履歴'!$F:$F,$A10,'単価履歴'!$B:$B,MAXIFS('単価履歴'!$B:$B,'単価履歴'!$E:$E,D$1,'単価履歴'!$F:$F,$A10)))</f>
        <v/>
      </c>
      <c r="E10" s="332" t="str">
        <f>IF(MAXIFS('単価履歴'!$H:$H,'単価履歴'!$E:$E,E$1,'単価履歴'!$F:$F,$A10,'単価履歴'!$B:$B,MAXIFS('単価履歴'!$B:$B,'単価履歴'!$E:$E,E$1,'単価履歴'!$F:$F,$A10))=0,"",MAXIFS('単価履歴'!$H:$H,'単価履歴'!$E:$E,E$1,'単価履歴'!$F:$F,$A10,'単価履歴'!$B:$B,MAXIFS('単価履歴'!$B:$B,'単価履歴'!$E:$E,E$1,'単価履歴'!$F:$F,$A10)))</f>
        <v/>
      </c>
      <c r="F10" s="332" t="str">
        <f>IF(MAXIFS('単価履歴'!$H:$H,'単価履歴'!$E:$E,F$1,'単価履歴'!$F:$F,$A10,'単価履歴'!$B:$B,MAXIFS('単価履歴'!$B:$B,'単価履歴'!$E:$E,F$1,'単価履歴'!$F:$F,$A10))=0,"",MAXIFS('単価履歴'!$H:$H,'単価履歴'!$E:$E,F$1,'単価履歴'!$F:$F,$A10,'単価履歴'!$B:$B,MAXIFS('単価履歴'!$B:$B,'単価履歴'!$E:$E,F$1,'単価履歴'!$F:$F,$A10)))</f>
        <v/>
      </c>
      <c r="G10" s="332" t="str">
        <f>IF(MAXIFS('単価履歴'!$H:$H,'単価履歴'!$E:$E,G$1,'単価履歴'!$F:$F,$A10,'単価履歴'!$B:$B,MAXIFS('単価履歴'!$B:$B,'単価履歴'!$E:$E,G$1,'単価履歴'!$F:$F,$A10))=0,"",MAXIFS('単価履歴'!$H:$H,'単価履歴'!$E:$E,G$1,'単価履歴'!$F:$F,$A10,'単価履歴'!$B:$B,MAXIFS('単価履歴'!$B:$B,'単価履歴'!$E:$E,G$1,'単価履歴'!$F:$F,$A10)))</f>
        <v/>
      </c>
      <c r="H10" s="332">
        <f>IF(MAXIFS('単価履歴'!$H:$H,'単価履歴'!$E:$E,H$1,'単価履歴'!$F:$F,$A10,'単価履歴'!$B:$B,MAXIFS('単価履歴'!$B:$B,'単価履歴'!$E:$E,H$1,'単価履歴'!$F:$F,$A10))=0,"",MAXIFS('単価履歴'!$H:$H,'単価履歴'!$E:$E,H$1,'単価履歴'!$F:$F,$A10,'単価履歴'!$B:$B,MAXIFS('単価履歴'!$B:$B,'単価履歴'!$E:$E,H$1,'単価履歴'!$F:$F,$A10)))</f>
        <v>48</v>
      </c>
      <c r="I10" s="332" t="str">
        <f>IF(MAXIFS('単価履歴'!$H:$H,'単価履歴'!$E:$E,I$1,'単価履歴'!$F:$F,$A10,'単価履歴'!$B:$B,MAXIFS('単価履歴'!$B:$B,'単価履歴'!$E:$E,I$1,'単価履歴'!$F:$F,$A10))=0,"",MAXIFS('単価履歴'!$H:$H,'単価履歴'!$E:$E,I$1,'単価履歴'!$F:$F,$A10,'単価履歴'!$B:$B,MAXIFS('単価履歴'!$B:$B,'単価履歴'!$E:$E,I$1,'単価履歴'!$F:$F,$A10)))</f>
        <v/>
      </c>
      <c r="J10" s="332" t="str">
        <f>IF(MAXIFS('単価履歴'!$H:$H,'単価履歴'!$E:$E,J$1,'単価履歴'!$F:$F,$A10,'単価履歴'!$B:$B,MAXIFS('単価履歴'!$B:$B,'単価履歴'!$E:$E,J$1,'単価履歴'!$F:$F,$A10))=0,"",MAXIFS('単価履歴'!$H:$H,'単価履歴'!$E:$E,J$1,'単価履歴'!$F:$F,$A10,'単価履歴'!$B:$B,MAXIFS('単価履歴'!$B:$B,'単価履歴'!$E:$E,J$1,'単価履歴'!$F:$F,$A10)))</f>
        <v/>
      </c>
      <c r="K10" s="332" t="str">
        <f>IF(MAXIFS('単価履歴'!$H:$H,'単価履歴'!$E:$E,K$1,'単価履歴'!$F:$F,$A10,'単価履歴'!$B:$B,MAXIFS('単価履歴'!$B:$B,'単価履歴'!$E:$E,K$1,'単価履歴'!$F:$F,$A10))=0,"",MAXIFS('単価履歴'!$H:$H,'単価履歴'!$E:$E,K$1,'単価履歴'!$F:$F,$A10,'単価履歴'!$B:$B,MAXIFS('単価履歴'!$B:$B,'単価履歴'!$E:$E,K$1,'単価履歴'!$F:$F,$A10)))</f>
        <v/>
      </c>
      <c r="L10" s="332" t="str">
        <f>IF(MAXIFS('単価履歴'!$H:$H,'単価履歴'!$E:$E,L$1,'単価履歴'!$F:$F,$A10,'単価履歴'!$B:$B,MAXIFS('単価履歴'!$B:$B,'単価履歴'!$E:$E,L$1,'単価履歴'!$F:$F,$A10))=0,"",MAXIFS('単価履歴'!$H:$H,'単価履歴'!$E:$E,L$1,'単価履歴'!$F:$F,$A10,'単価履歴'!$B:$B,MAXIFS('単価履歴'!$B:$B,'単価履歴'!$E:$E,L$1,'単価履歴'!$F:$F,$A10)))</f>
        <v/>
      </c>
      <c r="M10" s="332" t="str">
        <f>IF(MAXIFS('単価履歴'!$H:$H,'単価履歴'!$E:$E,M$1,'単価履歴'!$F:$F,$A10,'単価履歴'!$B:$B,MAXIFS('単価履歴'!$B:$B,'単価履歴'!$E:$E,M$1,'単価履歴'!$F:$F,$A10))=0,"",MAXIFS('単価履歴'!$H:$H,'単価履歴'!$E:$E,M$1,'単価履歴'!$F:$F,$A10,'単価履歴'!$B:$B,MAXIFS('単価履歴'!$B:$B,'単価履歴'!$E:$E,M$1,'単価履歴'!$F:$F,$A10)))</f>
        <v/>
      </c>
      <c r="N10" s="332" t="str">
        <f>IF(MAXIFS('単価履歴'!$H:$H,'単価履歴'!$E:$E,N$1,'単価履歴'!$F:$F,$A10,'単価履歴'!$B:$B,MAXIFS('単価履歴'!$B:$B,'単価履歴'!$E:$E,N$1,'単価履歴'!$F:$F,$A10))=0,"",MAXIFS('単価履歴'!$H:$H,'単価履歴'!$E:$E,N$1,'単価履歴'!$F:$F,$A10,'単価履歴'!$B:$B,MAXIFS('単価履歴'!$B:$B,'単価履歴'!$E:$E,N$1,'単価履歴'!$F:$F,$A10)))</f>
        <v/>
      </c>
      <c r="O10" s="332" t="str">
        <f>IF(MAXIFS('単価履歴'!$H:$H,'単価履歴'!$E:$E,O$1,'単価履歴'!$F:$F,$A10,'単価履歴'!$B:$B,MAXIFS('単価履歴'!$B:$B,'単価履歴'!$E:$E,O$1,'単価履歴'!$F:$F,$A10))=0,"",MAXIFS('単価履歴'!$H:$H,'単価履歴'!$E:$E,O$1,'単価履歴'!$F:$F,$A10,'単価履歴'!$B:$B,MAXIFS('単価履歴'!$B:$B,'単価履歴'!$E:$E,O$1,'単価履歴'!$F:$F,$A10)))</f>
        <v/>
      </c>
      <c r="P10" s="332" t="str">
        <f>IF(MAXIFS('単価履歴'!$H:$H,'単価履歴'!$E:$E,P$1,'単価履歴'!$F:$F,$A10,'単価履歴'!$B:$B,MAXIFS('単価履歴'!$B:$B,'単価履歴'!$E:$E,P$1,'単価履歴'!$F:$F,$A10))=0,"",MAXIFS('単価履歴'!$H:$H,'単価履歴'!$E:$E,P$1,'単価履歴'!$F:$F,$A10,'単価履歴'!$B:$B,MAXIFS('単価履歴'!$B:$B,'単価履歴'!$E:$E,P$1,'単価履歴'!$F:$F,$A10)))</f>
        <v/>
      </c>
      <c r="Q10" s="332" t="str">
        <f>IF(MAXIFS('単価履歴'!$H:$H,'単価履歴'!$E:$E,Q$1,'単価履歴'!$F:$F,$A10,'単価履歴'!$B:$B,MAXIFS('単価履歴'!$B:$B,'単価履歴'!$E:$E,Q$1,'単価履歴'!$F:$F,$A10))=0,"",MAXIFS('単価履歴'!$H:$H,'単価履歴'!$E:$E,Q$1,'単価履歴'!$F:$F,$A10,'単価履歴'!$B:$B,MAXIFS('単価履歴'!$B:$B,'単価履歴'!$E:$E,Q$1,'単価履歴'!$F:$F,$A10)))</f>
        <v/>
      </c>
      <c r="R10" s="332" t="str">
        <f>IF(MAXIFS('単価履歴'!$H:$H,'単価履歴'!$E:$E,R$1,'単価履歴'!$F:$F,$A10,'単価履歴'!$B:$B,MAXIFS('単価履歴'!$B:$B,'単価履歴'!$E:$E,R$1,'単価履歴'!$F:$F,$A10))=0,"",MAXIFS('単価履歴'!$H:$H,'単価履歴'!$E:$E,R$1,'単価履歴'!$F:$F,$A10,'単価履歴'!$B:$B,MAXIFS('単価履歴'!$B:$B,'単価履歴'!$E:$E,R$1,'単価履歴'!$F:$F,$A10)))</f>
        <v/>
      </c>
      <c r="S10" s="332" t="str">
        <f>IF(MAXIFS('単価履歴'!$H:$H,'単価履歴'!$E:$E,S$1,'単価履歴'!$F:$F,$A10,'単価履歴'!$B:$B,MAXIFS('単価履歴'!$B:$B,'単価履歴'!$E:$E,S$1,'単価履歴'!$F:$F,$A10))=0,"",MAXIFS('単価履歴'!$H:$H,'単価履歴'!$E:$E,S$1,'単価履歴'!$F:$F,$A10,'単価履歴'!$B:$B,MAXIFS('単価履歴'!$B:$B,'単価履歴'!$E:$E,S$1,'単価履歴'!$F:$F,$A10)))</f>
        <v/>
      </c>
      <c r="T10" s="332" t="str">
        <f>IF(MAXIFS('単価履歴'!$H:$H,'単価履歴'!$E:$E,T$1,'単価履歴'!$F:$F,$A10,'単価履歴'!$B:$B,MAXIFS('単価履歴'!$B:$B,'単価履歴'!$E:$E,T$1,'単価履歴'!$F:$F,$A10))=0,"",MAXIFS('単価履歴'!$H:$H,'単価履歴'!$E:$E,T$1,'単価履歴'!$F:$F,$A10,'単価履歴'!$B:$B,MAXIFS('単価履歴'!$B:$B,'単価履歴'!$E:$E,T$1,'単価履歴'!$F:$F,$A10)))</f>
        <v/>
      </c>
      <c r="U10" s="332" t="str">
        <f>IF(MAXIFS('単価履歴'!$H:$H,'単価履歴'!$E:$E,U$1,'単価履歴'!$F:$F,$A10,'単価履歴'!$B:$B,MAXIFS('単価履歴'!$B:$B,'単価履歴'!$E:$E,U$1,'単価履歴'!$F:$F,$A10))=0,"",MAXIFS('単価履歴'!$H:$H,'単価履歴'!$E:$E,U$1,'単価履歴'!$F:$F,$A10,'単価履歴'!$B:$B,MAXIFS('単価履歴'!$B:$B,'単価履歴'!$E:$E,U$1,'単価履歴'!$F:$F,$A10)))</f>
        <v/>
      </c>
      <c r="V10" s="332" t="str">
        <f>IF(MAXIFS('単価履歴'!$H:$H,'単価履歴'!$E:$E,V$1,'単価履歴'!$F:$F,$A10,'単価履歴'!$B:$B,MAXIFS('単価履歴'!$B:$B,'単価履歴'!$E:$E,V$1,'単価履歴'!$F:$F,$A10))=0,"",MAXIFS('単価履歴'!$H:$H,'単価履歴'!$E:$E,V$1,'単価履歴'!$F:$F,$A10,'単価履歴'!$B:$B,MAXIFS('単価履歴'!$B:$B,'単価履歴'!$E:$E,V$1,'単価履歴'!$F:$F,$A10)))</f>
        <v/>
      </c>
      <c r="W10" s="332" t="str">
        <f>IF(MAXIFS('単価履歴'!$H:$H,'単価履歴'!$E:$E,W$1,'単価履歴'!$F:$F,$A10,'単価履歴'!$B:$B,MAXIFS('単価履歴'!$B:$B,'単価履歴'!$E:$E,W$1,'単価履歴'!$F:$F,$A10))=0,"",MAXIFS('単価履歴'!$H:$H,'単価履歴'!$E:$E,W$1,'単価履歴'!$F:$F,$A10,'単価履歴'!$B:$B,MAXIFS('単価履歴'!$B:$B,'単価履歴'!$E:$E,W$1,'単価履歴'!$F:$F,$A10)))</f>
        <v/>
      </c>
      <c r="X10" s="332" t="str">
        <f>IF(MAXIFS('単価履歴'!$H:$H,'単価履歴'!$E:$E,X$1,'単価履歴'!$F:$F,$A10,'単価履歴'!$B:$B,MAXIFS('単価履歴'!$B:$B,'単価履歴'!$E:$E,X$1,'単価履歴'!$F:$F,$A10))=0,"",MAXIFS('単価履歴'!$H:$H,'単価履歴'!$E:$E,X$1,'単価履歴'!$F:$F,$A10,'単価履歴'!$B:$B,MAXIFS('単価履歴'!$B:$B,'単価履歴'!$E:$E,X$1,'単価履歴'!$F:$F,$A10)))</f>
        <v/>
      </c>
      <c r="Y10" s="332" t="str">
        <f>IF(MAXIFS('単価履歴'!$H:$H,'単価履歴'!$E:$E,Y$1,'単価履歴'!$F:$F,$A10,'単価履歴'!$B:$B,MAXIFS('単価履歴'!$B:$B,'単価履歴'!$E:$E,Y$1,'単価履歴'!$F:$F,$A10))=0,"",MAXIFS('単価履歴'!$H:$H,'単価履歴'!$E:$E,Y$1,'単価履歴'!$F:$F,$A10,'単価履歴'!$B:$B,MAXIFS('単価履歴'!$B:$B,'単価履歴'!$E:$E,Y$1,'単価履歴'!$F:$F,$A10)))</f>
        <v/>
      </c>
      <c r="Z10" s="332" t="str">
        <f>IF(MAXIFS('単価履歴'!$H:$H,'単価履歴'!$E:$E,Z$1,'単価履歴'!$F:$F,$A10,'単価履歴'!$B:$B,MAXIFS('単価履歴'!$B:$B,'単価履歴'!$E:$E,Z$1,'単価履歴'!$F:$F,$A10))=0,"",MAXIFS('単価履歴'!$H:$H,'単価履歴'!$E:$E,Z$1,'単価履歴'!$F:$F,$A10,'単価履歴'!$B:$B,MAXIFS('単価履歴'!$B:$B,'単価履歴'!$E:$E,Z$1,'単価履歴'!$F:$F,$A10)))</f>
        <v/>
      </c>
      <c r="AA10" s="332" t="str">
        <f>IF(MAXIFS('単価履歴'!$H:$H,'単価履歴'!$E:$E,AA$1,'単価履歴'!$F:$F,$A10,'単価履歴'!$B:$B,MAXIFS('単価履歴'!$B:$B,'単価履歴'!$E:$E,AA$1,'単価履歴'!$F:$F,$A10))=0,"",MAXIFS('単価履歴'!$H:$H,'単価履歴'!$E:$E,AA$1,'単価履歴'!$F:$F,$A10,'単価履歴'!$B:$B,MAXIFS('単価履歴'!$B:$B,'単価履歴'!$E:$E,AA$1,'単価履歴'!$F:$F,$A10)))</f>
        <v/>
      </c>
      <c r="AB10" s="332" t="str">
        <f>IF(MAXIFS('単価履歴'!$H:$H,'単価履歴'!$E:$E,AB$1,'単価履歴'!$F:$F,$A10,'単価履歴'!$B:$B,MAXIFS('単価履歴'!$B:$B,'単価履歴'!$E:$E,AB$1,'単価履歴'!$F:$F,$A10))=0,"",MAXIFS('単価履歴'!$H:$H,'単価履歴'!$E:$E,AB$1,'単価履歴'!$F:$F,$A10,'単価履歴'!$B:$B,MAXIFS('単価履歴'!$B:$B,'単価履歴'!$E:$E,AB$1,'単価履歴'!$F:$F,$A10)))</f>
        <v/>
      </c>
      <c r="AC10" s="332" t="str">
        <f>IF(MAXIFS('単価履歴'!$H:$H,'単価履歴'!$E:$E,AC$1,'単価履歴'!$F:$F,$A10,'単価履歴'!$B:$B,MAXIFS('単価履歴'!$B:$B,'単価履歴'!$E:$E,AC$1,'単価履歴'!$F:$F,$A10))=0,"",MAXIFS('単価履歴'!$H:$H,'単価履歴'!$E:$E,AC$1,'単価履歴'!$F:$F,$A10,'単価履歴'!$B:$B,MAXIFS('単価履歴'!$B:$B,'単価履歴'!$E:$E,AC$1,'単価履歴'!$F:$F,$A10)))</f>
        <v/>
      </c>
      <c r="AD10" s="332" t="str">
        <f>IF(MAXIFS('単価履歴'!$H:$H,'単価履歴'!$E:$E,AD$1,'単価履歴'!$F:$F,$A10,'単価履歴'!$B:$B,MAXIFS('単価履歴'!$B:$B,'単価履歴'!$E:$E,AD$1,'単価履歴'!$F:$F,$A10))=0,"",MAXIFS('単価履歴'!$H:$H,'単価履歴'!$E:$E,AD$1,'単価履歴'!$F:$F,$A10,'単価履歴'!$B:$B,MAXIFS('単価履歴'!$B:$B,'単価履歴'!$E:$E,AD$1,'単価履歴'!$F:$F,$A10)))</f>
        <v/>
      </c>
      <c r="AE10" s="332" t="str">
        <f>IF(MAXIFS('単価履歴'!$H:$H,'単価履歴'!$E:$E,AE$1,'単価履歴'!$F:$F,$A10,'単価履歴'!$B:$B,MAXIFS('単価履歴'!$B:$B,'単価履歴'!$E:$E,AE$1,'単価履歴'!$F:$F,$A10))=0,"",MAXIFS('単価履歴'!$H:$H,'単価履歴'!$E:$E,AE$1,'単価履歴'!$F:$F,$A10,'単価履歴'!$B:$B,MAXIFS('単価履歴'!$B:$B,'単価履歴'!$E:$E,AE$1,'単価履歴'!$F:$F,$A10)))</f>
        <v/>
      </c>
      <c r="AF10" s="332" t="str">
        <f>IF(MAXIFS('単価履歴'!$H:$H,'単価履歴'!$E:$E,AF$1,'単価履歴'!$F:$F,$A10,'単価履歴'!$B:$B,MAXIFS('単価履歴'!$B:$B,'単価履歴'!$E:$E,AF$1,'単価履歴'!$F:$F,$A10))=0,"",MAXIFS('単価履歴'!$H:$H,'単価履歴'!$E:$E,AF$1,'単価履歴'!$F:$F,$A10,'単価履歴'!$B:$B,MAXIFS('単価履歴'!$B:$B,'単価履歴'!$E:$E,AF$1,'単価履歴'!$F:$F,$A10)))</f>
        <v/>
      </c>
      <c r="AG10" s="332" t="str">
        <f>IF(MAXIFS('単価履歴'!$H:$H,'単価履歴'!$E:$E,AG$1,'単価履歴'!$F:$F,$A10,'単価履歴'!$B:$B,MAXIFS('単価履歴'!$B:$B,'単価履歴'!$E:$E,AG$1,'単価履歴'!$F:$F,$A10))=0,"",MAXIFS('単価履歴'!$H:$H,'単価履歴'!$E:$E,AG$1,'単価履歴'!$F:$F,$A10,'単価履歴'!$B:$B,MAXIFS('単価履歴'!$B:$B,'単価履歴'!$E:$E,AG$1,'単価履歴'!$F:$F,$A10)))</f>
        <v/>
      </c>
      <c r="AH10" s="332" t="str">
        <f>IF(MAXIFS('単価履歴'!$H:$H,'単価履歴'!$E:$E,AH$1,'単価履歴'!$F:$F,$A10,'単価履歴'!$B:$B,MAXIFS('単価履歴'!$B:$B,'単価履歴'!$E:$E,AH$1,'単価履歴'!$F:$F,$A10))=0,"",MAXIFS('単価履歴'!$H:$H,'単価履歴'!$E:$E,AH$1,'単価履歴'!$F:$F,$A10,'単価履歴'!$B:$B,MAXIFS('単価履歴'!$B:$B,'単価履歴'!$E:$E,AH$1,'単価履歴'!$F:$F,$A10)))</f>
        <v/>
      </c>
      <c r="AI10" s="332" t="str">
        <f>IF(MAXIFS('単価履歴'!$H:$H,'単価履歴'!$E:$E,AI$1,'単価履歴'!$F:$F,$A10,'単価履歴'!$B:$B,MAXIFS('単価履歴'!$B:$B,'単価履歴'!$E:$E,AI$1,'単価履歴'!$F:$F,$A10))=0,"",MAXIFS('単価履歴'!$H:$H,'単価履歴'!$E:$E,AI$1,'単価履歴'!$F:$F,$A10,'単価履歴'!$B:$B,MAXIFS('単価履歴'!$B:$B,'単価履歴'!$E:$E,AI$1,'単価履歴'!$F:$F,$A10)))</f>
        <v/>
      </c>
      <c r="AJ10" s="332" t="str">
        <f>IF(MAXIFS('単価履歴'!$H:$H,'単価履歴'!$E:$E,AJ$1,'単価履歴'!$F:$F,$A10,'単価履歴'!$B:$B,MAXIFS('単価履歴'!$B:$B,'単価履歴'!$E:$E,AJ$1,'単価履歴'!$F:$F,$A10))=0,"",MAXIFS('単価履歴'!$H:$H,'単価履歴'!$E:$E,AJ$1,'単価履歴'!$F:$F,$A10,'単価履歴'!$B:$B,MAXIFS('単価履歴'!$B:$B,'単価履歴'!$E:$E,AJ$1,'単価履歴'!$F:$F,$A10)))</f>
        <v/>
      </c>
      <c r="AK10" s="332" t="str">
        <f>IF(MAXIFS('単価履歴'!$H:$H,'単価履歴'!$E:$E,AK$1,'単価履歴'!$F:$F,$A10,'単価履歴'!$B:$B,MAXIFS('単価履歴'!$B:$B,'単価履歴'!$E:$E,AK$1,'単価履歴'!$F:$F,$A10))=0,"",MAXIFS('単価履歴'!$H:$H,'単価履歴'!$E:$E,AK$1,'単価履歴'!$F:$F,$A10,'単価履歴'!$B:$B,MAXIFS('単価履歴'!$B:$B,'単価履歴'!$E:$E,AK$1,'単価履歴'!$F:$F,$A10)))</f>
        <v/>
      </c>
      <c r="AL10" s="332" t="str">
        <f>IF(MAXIFS('単価履歴'!$H:$H,'単価履歴'!$E:$E,AL$1,'単価履歴'!$F:$F,$A10,'単価履歴'!$B:$B,MAXIFS('単価履歴'!$B:$B,'単価履歴'!$E:$E,AL$1,'単価履歴'!$F:$F,$A10))=0,"",MAXIFS('単価履歴'!$H:$H,'単価履歴'!$E:$E,AL$1,'単価履歴'!$F:$F,$A10,'単価履歴'!$B:$B,MAXIFS('単価履歴'!$B:$B,'単価履歴'!$E:$E,AL$1,'単価履歴'!$F:$F,$A10)))</f>
        <v/>
      </c>
      <c r="AM10" s="332" t="str">
        <f>IF(MAXIFS('単価履歴'!$H:$H,'単価履歴'!$E:$E,AM$1,'単価履歴'!$F:$F,$A10,'単価履歴'!$B:$B,MAXIFS('単価履歴'!$B:$B,'単価履歴'!$E:$E,AM$1,'単価履歴'!$F:$F,$A10))=0,"",MAXIFS('単価履歴'!$H:$H,'単価履歴'!$E:$E,AM$1,'単価履歴'!$F:$F,$A10,'単価履歴'!$B:$B,MAXIFS('単価履歴'!$B:$B,'単価履歴'!$E:$E,AM$1,'単価履歴'!$F:$F,$A10)))</f>
        <v/>
      </c>
      <c r="AN10" s="332">
        <f>IF(MAXIFS('単価履歴'!$H:$H,'単価履歴'!$E:$E,AN$1,'単価履歴'!$F:$F,$A10,'単価履歴'!$B:$B,MAXIFS('単価履歴'!$B:$B,'単価履歴'!$E:$E,AN$1,'単価履歴'!$F:$F,$A10))=0,"",MAXIFS('単価履歴'!$H:$H,'単価履歴'!$E:$E,AN$1,'単価履歴'!$F:$F,$A10,'単価履歴'!$B:$B,MAXIFS('単価履歴'!$B:$B,'単価履歴'!$E:$E,AN$1,'単価履歴'!$F:$F,$A10)))</f>
        <v>48</v>
      </c>
      <c r="AO10" s="332" t="str">
        <f>IF(MAXIFS('単価履歴'!$H:$H,'単価履歴'!$E:$E,AO$1,'単価履歴'!$F:$F,$A10,'単価履歴'!$B:$B,MAXIFS('単価履歴'!$B:$B,'単価履歴'!$E:$E,AO$1,'単価履歴'!$F:$F,$A10))=0,"",MAXIFS('単価履歴'!$H:$H,'単価履歴'!$E:$E,AO$1,'単価履歴'!$F:$F,$A10,'単価履歴'!$B:$B,MAXIFS('単価履歴'!$B:$B,'単価履歴'!$E:$E,AO$1,'単価履歴'!$F:$F,$A10)))</f>
        <v/>
      </c>
      <c r="AP10" s="332">
        <f>IF(MAXIFS('単価履歴'!$H:$H,'単価履歴'!$E:$E,AP$1,'単価履歴'!$F:$F,$A10,'単価履歴'!$B:$B,MAXIFS('単価履歴'!$B:$B,'単価履歴'!$E:$E,AP$1,'単価履歴'!$F:$F,$A10))=0,"",MAXIFS('単価履歴'!$H:$H,'単価履歴'!$E:$E,AP$1,'単価履歴'!$F:$F,$A10,'単価履歴'!$B:$B,MAXIFS('単価履歴'!$B:$B,'単価履歴'!$E:$E,AP$1,'単価履歴'!$F:$F,$A10)))</f>
        <v>49.1</v>
      </c>
      <c r="AQ10" s="332" t="str">
        <f>IF(MAXIFS('単価履歴'!$H:$H,'単価履歴'!$E:$E,AQ$1,'単価履歴'!$F:$F,$A10,'単価履歴'!$B:$B,MAXIFS('単価履歴'!$B:$B,'単価履歴'!$E:$E,AQ$1,'単価履歴'!$F:$F,$A10))=0,"",MAXIFS('単価履歴'!$H:$H,'単価履歴'!$E:$E,AQ$1,'単価履歴'!$F:$F,$A10,'単価履歴'!$B:$B,MAXIFS('単価履歴'!$B:$B,'単価履歴'!$E:$E,AQ$1,'単価履歴'!$F:$F,$A10)))</f>
        <v/>
      </c>
      <c r="AR10" s="332" t="str">
        <f>IF(MAXIFS('単価履歴'!$H:$H,'単価履歴'!$E:$E,AR$1,'単価履歴'!$F:$F,$A10,'単価履歴'!$B:$B,MAXIFS('単価履歴'!$B:$B,'単価履歴'!$E:$E,AR$1,'単価履歴'!$F:$F,$A10))=0,"",MAXIFS('単価履歴'!$H:$H,'単価履歴'!$E:$E,AR$1,'単価履歴'!$F:$F,$A10,'単価履歴'!$B:$B,MAXIFS('単価履歴'!$B:$B,'単価履歴'!$E:$E,AR$1,'単価履歴'!$F:$F,$A10)))</f>
        <v/>
      </c>
      <c r="AS10" s="332" t="str">
        <f>IF(MAXIFS('単価履歴'!$H:$H,'単価履歴'!$E:$E,AS$1,'単価履歴'!$F:$F,$A10,'単価履歴'!$B:$B,MAXIFS('単価履歴'!$B:$B,'単価履歴'!$E:$E,AS$1,'単価履歴'!$F:$F,$A10))=0,"",MAXIFS('単価履歴'!$H:$H,'単価履歴'!$E:$E,AS$1,'単価履歴'!$F:$F,$A10,'単価履歴'!$B:$B,MAXIFS('単価履歴'!$B:$B,'単価履歴'!$E:$E,AS$1,'単価履歴'!$F:$F,$A10)))</f>
        <v/>
      </c>
      <c r="AT10" s="332" t="str">
        <f>IF(MAXIFS('単価履歴'!$H:$H,'単価履歴'!$E:$E,AT$1,'単価履歴'!$F:$F,$A10,'単価履歴'!$B:$B,MAXIFS('単価履歴'!$B:$B,'単価履歴'!$E:$E,AT$1,'単価履歴'!$F:$F,$A10))=0,"",MAXIFS('単価履歴'!$H:$H,'単価履歴'!$E:$E,AT$1,'単価履歴'!$F:$F,$A10,'単価履歴'!$B:$B,MAXIFS('単価履歴'!$B:$B,'単価履歴'!$E:$E,AT$1,'単価履歴'!$F:$F,$A10)))</f>
        <v/>
      </c>
      <c r="AU10" s="332">
        <f>IF(MAXIFS('単価履歴'!$H:$H,'単価履歴'!$E:$E,AU$1,'単価履歴'!$F:$F,$A10,'単価履歴'!$B:$B,MAXIFS('単価履歴'!$B:$B,'単価履歴'!$E:$E,AU$1,'単価履歴'!$F:$F,$A10))=0,"",MAXIFS('単価履歴'!$H:$H,'単価履歴'!$E:$E,AU$1,'単価履歴'!$F:$F,$A10,'単価履歴'!$B:$B,MAXIFS('単価履歴'!$B:$B,'単価履歴'!$E:$E,AU$1,'単価履歴'!$F:$F,$A10)))</f>
        <v>43</v>
      </c>
      <c r="AV10" s="332" t="str">
        <f>IF(MAXIFS('単価履歴'!$H:$H,'単価履歴'!$E:$E,AV$1,'単価履歴'!$F:$F,$A10,'単価履歴'!$B:$B,MAXIFS('単価履歴'!$B:$B,'単価履歴'!$E:$E,AV$1,'単価履歴'!$F:$F,$A10))=0,"",MAXIFS('単価履歴'!$H:$H,'単価履歴'!$E:$E,AV$1,'単価履歴'!$F:$F,$A10,'単価履歴'!$B:$B,MAXIFS('単価履歴'!$B:$B,'単価履歴'!$E:$E,AV$1,'単価履歴'!$F:$F,$A10)))</f>
        <v/>
      </c>
      <c r="AW10" s="332">
        <f>IF(MAXIFS('単価履歴'!$H:$H,'単価履歴'!$E:$E,AW$1,'単価履歴'!$F:$F,$A10,'単価履歴'!$B:$B,MAXIFS('単価履歴'!$B:$B,'単価履歴'!$E:$E,AW$1,'単価履歴'!$F:$F,$A10))=0,"",MAXIFS('単価履歴'!$H:$H,'単価履歴'!$E:$E,AW$1,'単価履歴'!$F:$F,$A10,'単価履歴'!$B:$B,MAXIFS('単価履歴'!$B:$B,'単価履歴'!$E:$E,AW$1,'単価履歴'!$F:$F,$A10)))</f>
        <v>48</v>
      </c>
      <c r="AX10" s="332">
        <f>IF(MAXIFS('単価履歴'!$H:$H,'単価履歴'!$E:$E,AX$1,'単価履歴'!$F:$F,$A10,'単価履歴'!$B:$B,MAXIFS('単価履歴'!$B:$B,'単価履歴'!$E:$E,AX$1,'単価履歴'!$F:$F,$A10))=0,"",MAXIFS('単価履歴'!$H:$H,'単価履歴'!$E:$E,AX$1,'単価履歴'!$F:$F,$A10,'単価履歴'!$B:$B,MAXIFS('単価履歴'!$B:$B,'単価履歴'!$E:$E,AX$1,'単価履歴'!$F:$F,$A10)))</f>
        <v>48</v>
      </c>
      <c r="AY10" s="332">
        <f>IF(MAXIFS('単価履歴'!$H:$H,'単価履歴'!$E:$E,AY$1,'単価履歴'!$F:$F,$A10,'単価履歴'!$B:$B,MAXIFS('単価履歴'!$B:$B,'単価履歴'!$E:$E,AY$1,'単価履歴'!$F:$F,$A10))=0,"",MAXIFS('単価履歴'!$H:$H,'単価履歴'!$E:$E,AY$1,'単価履歴'!$F:$F,$A10,'単価履歴'!$B:$B,MAXIFS('単価履歴'!$B:$B,'単価履歴'!$E:$E,AY$1,'単価履歴'!$F:$F,$A10)))</f>
        <v>45.8</v>
      </c>
      <c r="AZ10" s="332">
        <f>IF(MAXIFS('単価履歴'!$H:$H,'単価履歴'!$E:$E,AZ$1,'単価履歴'!$F:$F,$A10,'単価履歴'!$B:$B,MAXIFS('単価履歴'!$B:$B,'単価履歴'!$E:$E,AZ$1,'単価履歴'!$F:$F,$A10))=0,"",MAXIFS('単価履歴'!$H:$H,'単価履歴'!$E:$E,AZ$1,'単価履歴'!$F:$F,$A10,'単価履歴'!$B:$B,MAXIFS('単価履歴'!$B:$B,'単価履歴'!$E:$E,AZ$1,'単価履歴'!$F:$F,$A10)))</f>
        <v>45.4</v>
      </c>
      <c r="BA10" s="332">
        <f>IF(MAXIFS('単価履歴'!$H:$H,'単価履歴'!$E:$E,BA$1,'単価履歴'!$F:$F,$A10,'単価履歴'!$B:$B,MAXIFS('単価履歴'!$B:$B,'単価履歴'!$E:$E,BA$1,'単価履歴'!$F:$F,$A10))=0,"",MAXIFS('単価履歴'!$H:$H,'単価履歴'!$E:$E,BA$1,'単価履歴'!$F:$F,$A10,'単価履歴'!$B:$B,MAXIFS('単価履歴'!$B:$B,'単価履歴'!$E:$E,BA$1,'単価履歴'!$F:$F,$A10)))</f>
        <v>48.5</v>
      </c>
      <c r="BB10" s="332">
        <f>IF(MAXIFS('単価履歴'!$H:$H,'単価履歴'!$E:$E,BB$1,'単価履歴'!$F:$F,$A10,'単価履歴'!$B:$B,MAXIFS('単価履歴'!$B:$B,'単価履歴'!$E:$E,BB$1,'単価履歴'!$F:$F,$A10))=0,"",MAXIFS('単価履歴'!$H:$H,'単価履歴'!$E:$E,BB$1,'単価履歴'!$F:$F,$A10,'単価履歴'!$B:$B,MAXIFS('単価履歴'!$B:$B,'単価履歴'!$E:$E,BB$1,'単価履歴'!$F:$F,$A10)))</f>
        <v>48</v>
      </c>
      <c r="BC10" s="332">
        <f>IF(MAXIFS('単価履歴'!$H:$H,'単価履歴'!$E:$E,BC$1,'単価履歴'!$F:$F,$A10,'単価履歴'!$B:$B,MAXIFS('単価履歴'!$B:$B,'単価履歴'!$E:$E,BC$1,'単価履歴'!$F:$F,$A10))=0,"",MAXIFS('単価履歴'!$H:$H,'単価履歴'!$E:$E,BC$1,'単価履歴'!$F:$F,$A10,'単価履歴'!$B:$B,MAXIFS('単価履歴'!$B:$B,'単価履歴'!$E:$E,BC$1,'単価履歴'!$F:$F,$A10)))</f>
        <v>-0.5</v>
      </c>
      <c r="BD10" s="332" t="str">
        <f>IF(MAXIFS('単価履歴'!$H:$H,'単価履歴'!$E:$E,BD$1,'単価履歴'!$F:$F,$A10,'単価履歴'!$B:$B,MAXIFS('単価履歴'!$B:$B,'単価履歴'!$E:$E,BD$1,'単価履歴'!$F:$F,$A10))=0,"",MAXIFS('単価履歴'!$H:$H,'単価履歴'!$E:$E,BD$1,'単価履歴'!$F:$F,$A10,'単価履歴'!$B:$B,MAXIFS('単価履歴'!$B:$B,'単価履歴'!$E:$E,BD$1,'単価履歴'!$F:$F,$A10)))</f>
        <v/>
      </c>
      <c r="BE10" s="332" t="str">
        <f>IF(MAXIFS('単価履歴'!$H:$H,'単価履歴'!$E:$E,BE$1,'単価履歴'!$F:$F,$A10,'単価履歴'!$B:$B,MAXIFS('単価履歴'!$B:$B,'単価履歴'!$E:$E,BE$1,'単価履歴'!$F:$F,$A10))=0,"",MAXIFS('単価履歴'!$H:$H,'単価履歴'!$E:$E,BE$1,'単価履歴'!$F:$F,$A10,'単価履歴'!$B:$B,MAXIFS('単価履歴'!$B:$B,'単価履歴'!$E:$E,BE$1,'単価履歴'!$F:$F,$A10)))</f>
        <v/>
      </c>
      <c r="BF10" s="332" t="str">
        <f>IF(MAXIFS('単価履歴'!$H:$H,'単価履歴'!$E:$E,BF$1,'単価履歴'!$F:$F,$A10,'単価履歴'!$B:$B,MAXIFS('単価履歴'!$B:$B,'単価履歴'!$E:$E,BF$1,'単価履歴'!$F:$F,$A10))=0,"",MAXIFS('単価履歴'!$H:$H,'単価履歴'!$E:$E,BF$1,'単価履歴'!$F:$F,$A10,'単価履歴'!$B:$B,MAXIFS('単価履歴'!$B:$B,'単価履歴'!$E:$E,BF$1,'単価履歴'!$F:$F,$A10)))</f>
        <v/>
      </c>
      <c r="BG10" s="332" t="str">
        <f>IF(MAXIFS('単価履歴'!$H:$H,'単価履歴'!$E:$E,BG$1,'単価履歴'!$F:$F,$A10,'単価履歴'!$B:$B,MAXIFS('単価履歴'!$B:$B,'単価履歴'!$E:$E,BG$1,'単価履歴'!$F:$F,$A10))=0,"",MAXIFS('単価履歴'!$H:$H,'単価履歴'!$E:$E,BG$1,'単価履歴'!$F:$F,$A10,'単価履歴'!$B:$B,MAXIFS('単価履歴'!$B:$B,'単価履歴'!$E:$E,BG$1,'単価履歴'!$F:$F,$A10)))</f>
        <v/>
      </c>
      <c r="BH10" s="332" t="str">
        <f>IF(MAXIFS('単価履歴'!$H:$H,'単価履歴'!$E:$E,BH$1,'単価履歴'!$F:$F,$A10,'単価履歴'!$B:$B,MAXIFS('単価履歴'!$B:$B,'単価履歴'!$E:$E,BH$1,'単価履歴'!$F:$F,$A10))=0,"",MAXIFS('単価履歴'!$H:$H,'単価履歴'!$E:$E,BH$1,'単価履歴'!$F:$F,$A10,'単価履歴'!$B:$B,MAXIFS('単価履歴'!$B:$B,'単価履歴'!$E:$E,BH$1,'単価履歴'!$F:$F,$A10)))</f>
        <v/>
      </c>
      <c r="BI10" s="332" t="str">
        <f>IF(MAXIFS('単価履歴'!$H:$H,'単価履歴'!$E:$E,BI$1,'単価履歴'!$F:$F,$A10,'単価履歴'!$B:$B,MAXIFS('単価履歴'!$B:$B,'単価履歴'!$E:$E,BI$1,'単価履歴'!$F:$F,$A10))=0,"",MAXIFS('単価履歴'!$H:$H,'単価履歴'!$E:$E,BI$1,'単価履歴'!$F:$F,$A10,'単価履歴'!$B:$B,MAXIFS('単価履歴'!$B:$B,'単価履歴'!$E:$E,BI$1,'単価履歴'!$F:$F,$A10)))</f>
        <v/>
      </c>
      <c r="BJ10" s="332" t="str">
        <f>IF(MAXIFS('単価履歴'!$H:$H,'単価履歴'!$E:$E,BJ$1,'単価履歴'!$F:$F,$A10,'単価履歴'!$B:$B,MAXIFS('単価履歴'!$B:$B,'単価履歴'!$E:$E,BJ$1,'単価履歴'!$F:$F,$A10))=0,"",MAXIFS('単価履歴'!$H:$H,'単価履歴'!$E:$E,BJ$1,'単価履歴'!$F:$F,$A10,'単価履歴'!$B:$B,MAXIFS('単価履歴'!$B:$B,'単価履歴'!$E:$E,BJ$1,'単価履歴'!$F:$F,$A10)))</f>
        <v/>
      </c>
      <c r="BK10" s="332" t="str">
        <f>IF(MAXIFS('単価履歴'!$H:$H,'単価履歴'!$E:$E,BK$1,'単価履歴'!$F:$F,$A10,'単価履歴'!$B:$B,MAXIFS('単価履歴'!$B:$B,'単価履歴'!$E:$E,BK$1,'単価履歴'!$F:$F,$A10))=0,"",MAXIFS('単価履歴'!$H:$H,'単価履歴'!$E:$E,BK$1,'単価履歴'!$F:$F,$A10,'単価履歴'!$B:$B,MAXIFS('単価履歴'!$B:$B,'単価履歴'!$E:$E,BK$1,'単価履歴'!$F:$F,$A10)))</f>
        <v/>
      </c>
      <c r="BL10" s="332" t="str">
        <f>IF(MAXIFS('単価履歴'!$H:$H,'単価履歴'!$E:$E,BL$1,'単価履歴'!$F:$F,$A10,'単価履歴'!$B:$B,MAXIFS('単価履歴'!$B:$B,'単価履歴'!$E:$E,BL$1,'単価履歴'!$F:$F,$A10))=0,"",MAXIFS('単価履歴'!$H:$H,'単価履歴'!$E:$E,BL$1,'単価履歴'!$F:$F,$A10,'単価履歴'!$B:$B,MAXIFS('単価履歴'!$B:$B,'単価履歴'!$E:$E,BL$1,'単価履歴'!$F:$F,$A10)))</f>
        <v/>
      </c>
      <c r="BM10" s="332" t="str">
        <f>IF(MAXIFS('単価履歴'!$H:$H,'単価履歴'!$E:$E,BM$1,'単価履歴'!$F:$F,$A10,'単価履歴'!$B:$B,MAXIFS('単価履歴'!$B:$B,'単価履歴'!$E:$E,BM$1,'単価履歴'!$F:$F,$A10))=0,"",MAXIFS('単価履歴'!$H:$H,'単価履歴'!$E:$E,BM$1,'単価履歴'!$F:$F,$A10,'単価履歴'!$B:$B,MAXIFS('単価履歴'!$B:$B,'単価履歴'!$E:$E,BM$1,'単価履歴'!$F:$F,$A10)))</f>
        <v/>
      </c>
      <c r="BN10" s="332" t="str">
        <f>IF(MAXIFS('単価履歴'!$H:$H,'単価履歴'!$E:$E,BN$1,'単価履歴'!$F:$F,$A10,'単価履歴'!$B:$B,MAXIFS('単価履歴'!$B:$B,'単価履歴'!$E:$E,BN$1,'単価履歴'!$F:$F,$A10))=0,"",MAXIFS('単価履歴'!$H:$H,'単価履歴'!$E:$E,BN$1,'単価履歴'!$F:$F,$A10,'単価履歴'!$B:$B,MAXIFS('単価履歴'!$B:$B,'単価履歴'!$E:$E,BN$1,'単価履歴'!$F:$F,$A10)))</f>
        <v/>
      </c>
      <c r="BO10" s="332" t="str">
        <f>IF(MAXIFS('単価履歴'!$H:$H,'単価履歴'!$E:$E,BO$1,'単価履歴'!$F:$F,$A10,'単価履歴'!$B:$B,MAXIFS('単価履歴'!$B:$B,'単価履歴'!$E:$E,BO$1,'単価履歴'!$F:$F,$A10))=0,"",MAXIFS('単価履歴'!$H:$H,'単価履歴'!$E:$E,BO$1,'単価履歴'!$F:$F,$A10,'単価履歴'!$B:$B,MAXIFS('単価履歴'!$B:$B,'単価履歴'!$E:$E,BO$1,'単価履歴'!$F:$F,$A10)))</f>
        <v/>
      </c>
      <c r="BP10" s="332" t="str">
        <f>IF(MAXIFS('単価履歴'!$H:$H,'単価履歴'!$E:$E,BP$1,'単価履歴'!$F:$F,$A10,'単価履歴'!$B:$B,MAXIFS('単価履歴'!$B:$B,'単価履歴'!$E:$E,BP$1,'単価履歴'!$F:$F,$A10))=0,"",MAXIFS('単価履歴'!$H:$H,'単価履歴'!$E:$E,BP$1,'単価履歴'!$F:$F,$A10,'単価履歴'!$B:$B,MAXIFS('単価履歴'!$B:$B,'単価履歴'!$E:$E,BP$1,'単価履歴'!$F:$F,$A10)))</f>
        <v/>
      </c>
      <c r="BQ10" s="332" t="str">
        <f>IF(MAXIFS('単価履歴'!$H:$H,'単価履歴'!$E:$E,BQ$1,'単価履歴'!$F:$F,$A10,'単価履歴'!$B:$B,MAXIFS('単価履歴'!$B:$B,'単価履歴'!$E:$E,BQ$1,'単価履歴'!$F:$F,$A10))=0,"",MAXIFS('単価履歴'!$H:$H,'単価履歴'!$E:$E,BQ$1,'単価履歴'!$F:$F,$A10,'単価履歴'!$B:$B,MAXIFS('単価履歴'!$B:$B,'単価履歴'!$E:$E,BQ$1,'単価履歴'!$F:$F,$A10)))</f>
        <v/>
      </c>
      <c r="BR10" s="332" t="str">
        <f>IF(MAXIFS('単価履歴'!$H:$H,'単価履歴'!$E:$E,BR$1,'単価履歴'!$F:$F,$A10,'単価履歴'!$B:$B,MAXIFS('単価履歴'!$B:$B,'単価履歴'!$E:$E,BR$1,'単価履歴'!$F:$F,$A10))=0,"",MAXIFS('単価履歴'!$H:$H,'単価履歴'!$E:$E,BR$1,'単価履歴'!$F:$F,$A10,'単価履歴'!$B:$B,MAXIFS('単価履歴'!$B:$B,'単価履歴'!$E:$E,BR$1,'単価履歴'!$F:$F,$A10)))</f>
        <v/>
      </c>
      <c r="BS10" s="332" t="str">
        <f>IF(MAXIFS('単価履歴'!$H:$H,'単価履歴'!$E:$E,BS$1,'単価履歴'!$F:$F,$A10,'単価履歴'!$B:$B,MAXIFS('単価履歴'!$B:$B,'単価履歴'!$E:$E,BS$1,'単価履歴'!$F:$F,$A10))=0,"",MAXIFS('単価履歴'!$H:$H,'単価履歴'!$E:$E,BS$1,'単価履歴'!$F:$F,$A10,'単価履歴'!$B:$B,MAXIFS('単価履歴'!$B:$B,'単価履歴'!$E:$E,BS$1,'単価履歴'!$F:$F,$A10)))</f>
        <v/>
      </c>
      <c r="BT10" s="332" t="str">
        <f>IF(MAXIFS('単価履歴'!$H:$H,'単価履歴'!$E:$E,BT$1,'単価履歴'!$F:$F,$A10,'単価履歴'!$B:$B,MAXIFS('単価履歴'!$B:$B,'単価履歴'!$E:$E,BT$1,'単価履歴'!$F:$F,$A10))=0,"",MAXIFS('単価履歴'!$H:$H,'単価履歴'!$E:$E,BT$1,'単価履歴'!$F:$F,$A10,'単価履歴'!$B:$B,MAXIFS('単価履歴'!$B:$B,'単価履歴'!$E:$E,BT$1,'単価履歴'!$F:$F,$A10)))</f>
        <v/>
      </c>
      <c r="BU10" s="332" t="str">
        <f>IF(MAXIFS('単価履歴'!$H:$H,'単価履歴'!$E:$E,BU$1,'単価履歴'!$F:$F,$A10,'単価履歴'!$B:$B,MAXIFS('単価履歴'!$B:$B,'単価履歴'!$E:$E,BU$1,'単価履歴'!$F:$F,$A10))=0,"",MAXIFS('単価履歴'!$H:$H,'単価履歴'!$E:$E,BU$1,'単価履歴'!$F:$F,$A10,'単価履歴'!$B:$B,MAXIFS('単価履歴'!$B:$B,'単価履歴'!$E:$E,BU$1,'単価履歴'!$F:$F,$A10)))</f>
        <v/>
      </c>
      <c r="BV10" s="332" t="str">
        <f>IF(MAXIFS('単価履歴'!$H:$H,'単価履歴'!$E:$E,BV$1,'単価履歴'!$F:$F,$A10,'単価履歴'!$B:$B,MAXIFS('単価履歴'!$B:$B,'単価履歴'!$E:$E,BV$1,'単価履歴'!$F:$F,$A10))=0,"",MAXIFS('単価履歴'!$H:$H,'単価履歴'!$E:$E,BV$1,'単価履歴'!$F:$F,$A10,'単価履歴'!$B:$B,MAXIFS('単価履歴'!$B:$B,'単価履歴'!$E:$E,BV$1,'単価履歴'!$F:$F,$A10)))</f>
        <v/>
      </c>
      <c r="BW10" s="332" t="str">
        <f>IF(MAXIFS('単価履歴'!$H:$H,'単価履歴'!$E:$E,BW$1,'単価履歴'!$F:$F,$A10,'単価履歴'!$B:$B,MAXIFS('単価履歴'!$B:$B,'単価履歴'!$E:$E,BW$1,'単価履歴'!$F:$F,$A10))=0,"",MAXIFS('単価履歴'!$H:$H,'単価履歴'!$E:$E,BW$1,'単価履歴'!$F:$F,$A10,'単価履歴'!$B:$B,MAXIFS('単価履歴'!$B:$B,'単価履歴'!$E:$E,BW$1,'単価履歴'!$F:$F,$A10)))</f>
        <v/>
      </c>
      <c r="BX10" s="332" t="str">
        <f>IF(MAXIFS('単価履歴'!$H:$H,'単価履歴'!$E:$E,BX$1,'単価履歴'!$F:$F,$A10,'単価履歴'!$B:$B,MAXIFS('単価履歴'!$B:$B,'単価履歴'!$E:$E,BX$1,'単価履歴'!$F:$F,$A10))=0,"",MAXIFS('単価履歴'!$H:$H,'単価履歴'!$E:$E,BX$1,'単価履歴'!$F:$F,$A10,'単価履歴'!$B:$B,MAXIFS('単価履歴'!$B:$B,'単価履歴'!$E:$E,BX$1,'単価履歴'!$F:$F,$A10)))</f>
        <v/>
      </c>
      <c r="BY10" s="332" t="str">
        <f>IF(MAXIFS('単価履歴'!$H:$H,'単価履歴'!$E:$E,BY$1,'単価履歴'!$F:$F,$A10,'単価履歴'!$B:$B,MAXIFS('単価履歴'!$B:$B,'単価履歴'!$E:$E,BY$1,'単価履歴'!$F:$F,$A10))=0,"",MAXIFS('単価履歴'!$H:$H,'単価履歴'!$E:$E,BY$1,'単価履歴'!$F:$F,$A10,'単価履歴'!$B:$B,MAXIFS('単価履歴'!$B:$B,'単価履歴'!$E:$E,BY$1,'単価履歴'!$F:$F,$A10)))</f>
        <v/>
      </c>
      <c r="BZ10" s="332" t="str">
        <f>IF(MAXIFS('単価履歴'!$H:$H,'単価履歴'!$E:$E,BZ$1,'単価履歴'!$F:$F,$A10,'単価履歴'!$B:$B,MAXIFS('単価履歴'!$B:$B,'単価履歴'!$E:$E,BZ$1,'単価履歴'!$F:$F,$A10))=0,"",MAXIFS('単価履歴'!$H:$H,'単価履歴'!$E:$E,BZ$1,'単価履歴'!$F:$F,$A10,'単価履歴'!$B:$B,MAXIFS('単価履歴'!$B:$B,'単価履歴'!$E:$E,BZ$1,'単価履歴'!$F:$F,$A10)))</f>
        <v/>
      </c>
      <c r="CA10" s="332" t="str">
        <f>IF(MAXIFS('単価履歴'!$H:$H,'単価履歴'!$E:$E,CA$1,'単価履歴'!$F:$F,$A10,'単価履歴'!$B:$B,MAXIFS('単価履歴'!$B:$B,'単価履歴'!$E:$E,CA$1,'単価履歴'!$F:$F,$A10))=0,"",MAXIFS('単価履歴'!$H:$H,'単価履歴'!$E:$E,CA$1,'単価履歴'!$F:$F,$A10,'単価履歴'!$B:$B,MAXIFS('単価履歴'!$B:$B,'単価履歴'!$E:$E,CA$1,'単価履歴'!$F:$F,$A10)))</f>
        <v/>
      </c>
      <c r="CB10" s="332" t="str">
        <f>IF(MAXIFS('単価履歴'!$H:$H,'単価履歴'!$E:$E,CB$1,'単価履歴'!$F:$F,$A10,'単価履歴'!$B:$B,MAXIFS('単価履歴'!$B:$B,'単価履歴'!$E:$E,CB$1,'単価履歴'!$F:$F,$A10))=0,"",MAXIFS('単価履歴'!$H:$H,'単価履歴'!$E:$E,CB$1,'単価履歴'!$F:$F,$A10,'単価履歴'!$B:$B,MAXIFS('単価履歴'!$B:$B,'単価履歴'!$E:$E,CB$1,'単価履歴'!$F:$F,$A10)))</f>
        <v/>
      </c>
      <c r="CC10" s="332" t="str">
        <f>IF(MAXIFS('単価履歴'!$H:$H,'単価履歴'!$E:$E,CC$1,'単価履歴'!$F:$F,$A10,'単価履歴'!$B:$B,MAXIFS('単価履歴'!$B:$B,'単価履歴'!$E:$E,CC$1,'単価履歴'!$F:$F,$A10))=0,"",MAXIFS('単価履歴'!$H:$H,'単価履歴'!$E:$E,CC$1,'単価履歴'!$F:$F,$A10,'単価履歴'!$B:$B,MAXIFS('単価履歴'!$B:$B,'単価履歴'!$E:$E,CC$1,'単価履歴'!$F:$F,$A10)))</f>
        <v/>
      </c>
      <c r="CD10" s="332" t="str">
        <f>IF(MAXIFS('単価履歴'!$H:$H,'単価履歴'!$E:$E,CD$1,'単価履歴'!$F:$F,$A10,'単価履歴'!$B:$B,MAXIFS('単価履歴'!$B:$B,'単価履歴'!$E:$E,CD$1,'単価履歴'!$F:$F,$A10))=0,"",MAXIFS('単価履歴'!$H:$H,'単価履歴'!$E:$E,CD$1,'単価履歴'!$F:$F,$A10,'単価履歴'!$B:$B,MAXIFS('単価履歴'!$B:$B,'単価履歴'!$E:$E,CD$1,'単価履歴'!$F:$F,$A10)))</f>
        <v/>
      </c>
      <c r="CE10" s="332" t="str">
        <f>IF(MAXIFS('単価履歴'!$H:$H,'単価履歴'!$E:$E,CE$1,'単価履歴'!$F:$F,$A10,'単価履歴'!$B:$B,MAXIFS('単価履歴'!$B:$B,'単価履歴'!$E:$E,CE$1,'単価履歴'!$F:$F,$A10))=0,"",MAXIFS('単価履歴'!$H:$H,'単価履歴'!$E:$E,CE$1,'単価履歴'!$F:$F,$A10,'単価履歴'!$B:$B,MAXIFS('単価履歴'!$B:$B,'単価履歴'!$E:$E,CE$1,'単価履歴'!$F:$F,$A10)))</f>
        <v/>
      </c>
      <c r="CF10" s="332" t="str">
        <f>IF(MAXIFS('単価履歴'!$H:$H,'単価履歴'!$E:$E,CF$1,'単価履歴'!$F:$F,$A10,'単価履歴'!$B:$B,MAXIFS('単価履歴'!$B:$B,'単価履歴'!$E:$E,CF$1,'単価履歴'!$F:$F,$A10))=0,"",MAXIFS('単価履歴'!$H:$H,'単価履歴'!$E:$E,CF$1,'単価履歴'!$F:$F,$A10,'単価履歴'!$B:$B,MAXIFS('単価履歴'!$B:$B,'単価履歴'!$E:$E,CF$1,'単価履歴'!$F:$F,$A10)))</f>
        <v/>
      </c>
      <c r="CG10" s="332" t="str">
        <f>IF(MAXIFS('単価履歴'!$H:$H,'単価履歴'!$E:$E,CG$1,'単価履歴'!$F:$F,$A10,'単価履歴'!$B:$B,MAXIFS('単価履歴'!$B:$B,'単価履歴'!$E:$E,CG$1,'単価履歴'!$F:$F,$A10))=0,"",MAXIFS('単価履歴'!$H:$H,'単価履歴'!$E:$E,CG$1,'単価履歴'!$F:$F,$A10,'単価履歴'!$B:$B,MAXIFS('単価履歴'!$B:$B,'単価履歴'!$E:$E,CG$1,'単価履歴'!$F:$F,$A10)))</f>
        <v/>
      </c>
      <c r="CH10" s="332" t="str">
        <f>IF(MAXIFS('単価履歴'!$H:$H,'単価履歴'!$E:$E,CH$1,'単価履歴'!$F:$F,$A10,'単価履歴'!$B:$B,MAXIFS('単価履歴'!$B:$B,'単価履歴'!$E:$E,CH$1,'単価履歴'!$F:$F,$A10))=0,"",MAXIFS('単価履歴'!$H:$H,'単価履歴'!$E:$E,CH$1,'単価履歴'!$F:$F,$A10,'単価履歴'!$B:$B,MAXIFS('単価履歴'!$B:$B,'単価履歴'!$E:$E,CH$1,'単価履歴'!$F:$F,$A10)))</f>
        <v/>
      </c>
    </row>
    <row r="11" ht="15.75" customHeight="1">
      <c r="A11" s="432" t="s">
        <v>130</v>
      </c>
      <c r="B11" s="332">
        <f>MAXIFS('単価履歴'!H:H,'単価履歴'!F:F,A11,'単価履歴'!N:N,"●")</f>
        <v>58.7</v>
      </c>
      <c r="C11" s="332" t="str">
        <f>IF(MAXIFS('単価履歴'!$H:$H,'単価履歴'!$E:$E,C$1,'単価履歴'!$F:$F,$A11,'単価履歴'!$B:$B,MAXIFS('単価履歴'!$B:$B,'単価履歴'!$E:$E,C$1,'単価履歴'!$F:$F,$A11))=0,"",MAXIFS('単価履歴'!$H:$H,'単価履歴'!$E:$E,C$1,'単価履歴'!$F:$F,$A11,'単価履歴'!$B:$B,MAXIFS('単価履歴'!$B:$B,'単価履歴'!$E:$E,C$1,'単価履歴'!$F:$F,$A11)))</f>
        <v/>
      </c>
      <c r="D11" s="332">
        <f>IF(MAXIFS('単価履歴'!$H:$H,'単価履歴'!$E:$E,D$1,'単価履歴'!$F:$F,$A11,'単価履歴'!$B:$B,MAXIFS('単価履歴'!$B:$B,'単価履歴'!$E:$E,D$1,'単価履歴'!$F:$F,$A11))=0,"",MAXIFS('単価履歴'!$H:$H,'単価履歴'!$E:$E,D$1,'単価履歴'!$F:$F,$A11,'単価履歴'!$B:$B,MAXIFS('単価履歴'!$B:$B,'単価履歴'!$E:$E,D$1,'単価履歴'!$F:$F,$A11)))</f>
        <v>58.3</v>
      </c>
      <c r="E11" s="332">
        <f>IF(MAXIFS('単価履歴'!$H:$H,'単価履歴'!$E:$E,E$1,'単価履歴'!$F:$F,$A11,'単価履歴'!$B:$B,MAXIFS('単価履歴'!$B:$B,'単価履歴'!$E:$E,E$1,'単価履歴'!$F:$F,$A11))=0,"",MAXIFS('単価履歴'!$H:$H,'単価履歴'!$E:$E,E$1,'単価履歴'!$F:$F,$A11,'単価履歴'!$B:$B,MAXIFS('単価履歴'!$B:$B,'単価履歴'!$E:$E,E$1,'単価履歴'!$F:$F,$A11)))</f>
        <v>58.3</v>
      </c>
      <c r="F11" s="332">
        <f>IF(MAXIFS('単価履歴'!$H:$H,'単価履歴'!$E:$E,F$1,'単価履歴'!$F:$F,$A11,'単価履歴'!$B:$B,MAXIFS('単価履歴'!$B:$B,'単価履歴'!$E:$E,F$1,'単価履歴'!$F:$F,$A11))=0,"",MAXIFS('単価履歴'!$H:$H,'単価履歴'!$E:$E,F$1,'単価履歴'!$F:$F,$A11,'単価履歴'!$B:$B,MAXIFS('単価履歴'!$B:$B,'単価履歴'!$E:$E,F$1,'単価履歴'!$F:$F,$A11)))</f>
        <v>57.3</v>
      </c>
      <c r="G11" s="332">
        <f>IF(MAXIFS('単価履歴'!$H:$H,'単価履歴'!$E:$E,G$1,'単価履歴'!$F:$F,$A11,'単価履歴'!$B:$B,MAXIFS('単価履歴'!$B:$B,'単価履歴'!$E:$E,G$1,'単価履歴'!$F:$F,$A11))=0,"",MAXIFS('単価履歴'!$H:$H,'単価履歴'!$E:$E,G$1,'単価履歴'!$F:$F,$A11,'単価履歴'!$B:$B,MAXIFS('単価履歴'!$B:$B,'単価履歴'!$E:$E,G$1,'単価履歴'!$F:$F,$A11)))</f>
        <v>55.3</v>
      </c>
      <c r="H11" s="332">
        <f>IF(MAXIFS('単価履歴'!$H:$H,'単価履歴'!$E:$E,H$1,'単価履歴'!$F:$F,$A11,'単価履歴'!$B:$B,MAXIFS('単価履歴'!$B:$B,'単価履歴'!$E:$E,H$1,'単価履歴'!$F:$F,$A11))=0,"",MAXIFS('単価履歴'!$H:$H,'単価履歴'!$E:$E,H$1,'単価履歴'!$F:$F,$A11,'単価履歴'!$B:$B,MAXIFS('単価履歴'!$B:$B,'単価履歴'!$E:$E,H$1,'単価履歴'!$F:$F,$A11)))</f>
        <v>10.5</v>
      </c>
      <c r="I11" s="332">
        <f>IF(MAXIFS('単価履歴'!$H:$H,'単価履歴'!$E:$E,I$1,'単価履歴'!$F:$F,$A11,'単価履歴'!$B:$B,MAXIFS('単価履歴'!$B:$B,'単価履歴'!$E:$E,I$1,'単価履歴'!$F:$F,$A11))=0,"",MAXIFS('単価履歴'!$H:$H,'単価履歴'!$E:$E,I$1,'単価履歴'!$F:$F,$A11,'単価履歴'!$B:$B,MAXIFS('単価履歴'!$B:$B,'単価履歴'!$E:$E,I$1,'単価履歴'!$F:$F,$A11)))</f>
        <v>58.3</v>
      </c>
      <c r="J11" s="332">
        <f>IF(MAXIFS('単価履歴'!$H:$H,'単価履歴'!$E:$E,J$1,'単価履歴'!$F:$F,$A11,'単価履歴'!$B:$B,MAXIFS('単価履歴'!$B:$B,'単価履歴'!$E:$E,J$1,'単価履歴'!$F:$F,$A11))=0,"",MAXIFS('単価履歴'!$H:$H,'単価履歴'!$E:$E,J$1,'単価履歴'!$F:$F,$A11,'単価履歴'!$B:$B,MAXIFS('単価履歴'!$B:$B,'単価履歴'!$E:$E,J$1,'単価履歴'!$F:$F,$A11)))</f>
        <v>2</v>
      </c>
      <c r="K11" s="332" t="str">
        <f>IF(MAXIFS('単価履歴'!$H:$H,'単価履歴'!$E:$E,K$1,'単価履歴'!$F:$F,$A11,'単価履歴'!$B:$B,MAXIFS('単価履歴'!$B:$B,'単価履歴'!$E:$E,K$1,'単価履歴'!$F:$F,$A11))=0,"",MAXIFS('単価履歴'!$H:$H,'単価履歴'!$E:$E,K$1,'単価履歴'!$F:$F,$A11,'単価履歴'!$B:$B,MAXIFS('単価履歴'!$B:$B,'単価履歴'!$E:$E,K$1,'単価履歴'!$F:$F,$A11)))</f>
        <v/>
      </c>
      <c r="L11" s="332">
        <f>IF(MAXIFS('単価履歴'!$H:$H,'単価履歴'!$E:$E,L$1,'単価履歴'!$F:$F,$A11,'単価履歴'!$B:$B,MAXIFS('単価履歴'!$B:$B,'単価履歴'!$E:$E,L$1,'単価履歴'!$F:$F,$A11))=0,"",MAXIFS('単価履歴'!$H:$H,'単価履歴'!$E:$E,L$1,'単価履歴'!$F:$F,$A11,'単価履歴'!$B:$B,MAXIFS('単価履歴'!$B:$B,'単価履歴'!$E:$E,L$1,'単価履歴'!$F:$F,$A11)))</f>
        <v>37.5</v>
      </c>
      <c r="M11" s="332">
        <f>IF(MAXIFS('単価履歴'!$H:$H,'単価履歴'!$E:$E,M$1,'単価履歴'!$F:$F,$A11,'単価履歴'!$B:$B,MAXIFS('単価履歴'!$B:$B,'単価履歴'!$E:$E,M$1,'単価履歴'!$F:$F,$A11))=0,"",MAXIFS('単価履歴'!$H:$H,'単価履歴'!$E:$E,M$1,'単価履歴'!$F:$F,$A11,'単価履歴'!$B:$B,MAXIFS('単価履歴'!$B:$B,'単価履歴'!$E:$E,M$1,'単価履歴'!$F:$F,$A11)))</f>
        <v>36.2</v>
      </c>
      <c r="N11" s="332">
        <f>IF(MAXIFS('単価履歴'!$H:$H,'単価履歴'!$E:$E,N$1,'単価履歴'!$F:$F,$A11,'単価履歴'!$B:$B,MAXIFS('単価履歴'!$B:$B,'単価履歴'!$E:$E,N$1,'単価履歴'!$F:$F,$A11))=0,"",MAXIFS('単価履歴'!$H:$H,'単価履歴'!$E:$E,N$1,'単価履歴'!$F:$F,$A11,'単価履歴'!$B:$B,MAXIFS('単価履歴'!$B:$B,'単価履歴'!$E:$E,N$1,'単価履歴'!$F:$F,$A11)))</f>
        <v>51.7</v>
      </c>
      <c r="O11" s="332">
        <f>IF(MAXIFS('単価履歴'!$H:$H,'単価履歴'!$E:$E,O$1,'単価履歴'!$F:$F,$A11,'単価履歴'!$B:$B,MAXIFS('単価履歴'!$B:$B,'単価履歴'!$E:$E,O$1,'単価履歴'!$F:$F,$A11))=0,"",MAXIFS('単価履歴'!$H:$H,'単価履歴'!$E:$E,O$1,'単価履歴'!$F:$F,$A11,'単価履歴'!$B:$B,MAXIFS('単価履歴'!$B:$B,'単価履歴'!$E:$E,O$1,'単価履歴'!$F:$F,$A11)))</f>
        <v>37.8</v>
      </c>
      <c r="P11" s="332" t="str">
        <f>IF(MAXIFS('単価履歴'!$H:$H,'単価履歴'!$E:$E,P$1,'単価履歴'!$F:$F,$A11,'単価履歴'!$B:$B,MAXIFS('単価履歴'!$B:$B,'単価履歴'!$E:$E,P$1,'単価履歴'!$F:$F,$A11))=0,"",MAXIFS('単価履歴'!$H:$H,'単価履歴'!$E:$E,P$1,'単価履歴'!$F:$F,$A11,'単価履歴'!$B:$B,MAXIFS('単価履歴'!$B:$B,'単価履歴'!$E:$E,P$1,'単価履歴'!$F:$F,$A11)))</f>
        <v/>
      </c>
      <c r="Q11" s="332" t="str">
        <f>IF(MAXIFS('単価履歴'!$H:$H,'単価履歴'!$E:$E,Q$1,'単価履歴'!$F:$F,$A11,'単価履歴'!$B:$B,MAXIFS('単価履歴'!$B:$B,'単価履歴'!$E:$E,Q$1,'単価履歴'!$F:$F,$A11))=0,"",MAXIFS('単価履歴'!$H:$H,'単価履歴'!$E:$E,Q$1,'単価履歴'!$F:$F,$A11,'単価履歴'!$B:$B,MAXIFS('単価履歴'!$B:$B,'単価履歴'!$E:$E,Q$1,'単価履歴'!$F:$F,$A11)))</f>
        <v/>
      </c>
      <c r="R11" s="332" t="str">
        <f>IF(MAXIFS('単価履歴'!$H:$H,'単価履歴'!$E:$E,R$1,'単価履歴'!$F:$F,$A11,'単価履歴'!$B:$B,MAXIFS('単価履歴'!$B:$B,'単価履歴'!$E:$E,R$1,'単価履歴'!$F:$F,$A11))=0,"",MAXIFS('単価履歴'!$H:$H,'単価履歴'!$E:$E,R$1,'単価履歴'!$F:$F,$A11,'単価履歴'!$B:$B,MAXIFS('単価履歴'!$B:$B,'単価履歴'!$E:$E,R$1,'単価履歴'!$F:$F,$A11)))</f>
        <v/>
      </c>
      <c r="S11" s="332" t="str">
        <f>IF(MAXIFS('単価履歴'!$H:$H,'単価履歴'!$E:$E,S$1,'単価履歴'!$F:$F,$A11,'単価履歴'!$B:$B,MAXIFS('単価履歴'!$B:$B,'単価履歴'!$E:$E,S$1,'単価履歴'!$F:$F,$A11))=0,"",MAXIFS('単価履歴'!$H:$H,'単価履歴'!$E:$E,S$1,'単価履歴'!$F:$F,$A11,'単価履歴'!$B:$B,MAXIFS('単価履歴'!$B:$B,'単価履歴'!$E:$E,S$1,'単価履歴'!$F:$F,$A11)))</f>
        <v/>
      </c>
      <c r="T11" s="332" t="str">
        <f>IF(MAXIFS('単価履歴'!$H:$H,'単価履歴'!$E:$E,T$1,'単価履歴'!$F:$F,$A11,'単価履歴'!$B:$B,MAXIFS('単価履歴'!$B:$B,'単価履歴'!$E:$E,T$1,'単価履歴'!$F:$F,$A11))=0,"",MAXIFS('単価履歴'!$H:$H,'単価履歴'!$E:$E,T$1,'単価履歴'!$F:$F,$A11,'単価履歴'!$B:$B,MAXIFS('単価履歴'!$B:$B,'単価履歴'!$E:$E,T$1,'単価履歴'!$F:$F,$A11)))</f>
        <v/>
      </c>
      <c r="U11" s="332">
        <f>IF(MAXIFS('単価履歴'!$H:$H,'単価履歴'!$E:$E,U$1,'単価履歴'!$F:$F,$A11,'単価履歴'!$B:$B,MAXIFS('単価履歴'!$B:$B,'単価履歴'!$E:$E,U$1,'単価履歴'!$F:$F,$A11))=0,"",MAXIFS('単価履歴'!$H:$H,'単価履歴'!$E:$E,U$1,'単価履歴'!$F:$F,$A11,'単価履歴'!$B:$B,MAXIFS('単価履歴'!$B:$B,'単価履歴'!$E:$E,U$1,'単価履歴'!$F:$F,$A11)))</f>
        <v>58.7</v>
      </c>
      <c r="V11" s="332" t="str">
        <f>IF(MAXIFS('単価履歴'!$H:$H,'単価履歴'!$E:$E,V$1,'単価履歴'!$F:$F,$A11,'単価履歴'!$B:$B,MAXIFS('単価履歴'!$B:$B,'単価履歴'!$E:$E,V$1,'単価履歴'!$F:$F,$A11))=0,"",MAXIFS('単価履歴'!$H:$H,'単価履歴'!$E:$E,V$1,'単価履歴'!$F:$F,$A11,'単価履歴'!$B:$B,MAXIFS('単価履歴'!$B:$B,'単価履歴'!$E:$E,V$1,'単価履歴'!$F:$F,$A11)))</f>
        <v/>
      </c>
      <c r="W11" s="332" t="str">
        <f>IF(MAXIFS('単価履歴'!$H:$H,'単価履歴'!$E:$E,W$1,'単価履歴'!$F:$F,$A11,'単価履歴'!$B:$B,MAXIFS('単価履歴'!$B:$B,'単価履歴'!$E:$E,W$1,'単価履歴'!$F:$F,$A11))=0,"",MAXIFS('単価履歴'!$H:$H,'単価履歴'!$E:$E,W$1,'単価履歴'!$F:$F,$A11,'単価履歴'!$B:$B,MAXIFS('単価履歴'!$B:$B,'単価履歴'!$E:$E,W$1,'単価履歴'!$F:$F,$A11)))</f>
        <v/>
      </c>
      <c r="X11" s="332" t="str">
        <f>IF(MAXIFS('単価履歴'!$H:$H,'単価履歴'!$E:$E,X$1,'単価履歴'!$F:$F,$A11,'単価履歴'!$B:$B,MAXIFS('単価履歴'!$B:$B,'単価履歴'!$E:$E,X$1,'単価履歴'!$F:$F,$A11))=0,"",MAXIFS('単価履歴'!$H:$H,'単価履歴'!$E:$E,X$1,'単価履歴'!$F:$F,$A11,'単価履歴'!$B:$B,MAXIFS('単価履歴'!$B:$B,'単価履歴'!$E:$E,X$1,'単価履歴'!$F:$F,$A11)))</f>
        <v/>
      </c>
      <c r="Y11" s="332" t="str">
        <f>IF(MAXIFS('単価履歴'!$H:$H,'単価履歴'!$E:$E,Y$1,'単価履歴'!$F:$F,$A11,'単価履歴'!$B:$B,MAXIFS('単価履歴'!$B:$B,'単価履歴'!$E:$E,Y$1,'単価履歴'!$F:$F,$A11))=0,"",MAXIFS('単価履歴'!$H:$H,'単価履歴'!$E:$E,Y$1,'単価履歴'!$F:$F,$A11,'単価履歴'!$B:$B,MAXIFS('単価履歴'!$B:$B,'単価履歴'!$E:$E,Y$1,'単価履歴'!$F:$F,$A11)))</f>
        <v/>
      </c>
      <c r="Z11" s="332">
        <f>IF(MAXIFS('単価履歴'!$H:$H,'単価履歴'!$E:$E,Z$1,'単価履歴'!$F:$F,$A11,'単価履歴'!$B:$B,MAXIFS('単価履歴'!$B:$B,'単価履歴'!$E:$E,Z$1,'単価履歴'!$F:$F,$A11))=0,"",MAXIFS('単価履歴'!$H:$H,'単価履歴'!$E:$E,Z$1,'単価履歴'!$F:$F,$A11,'単価履歴'!$B:$B,MAXIFS('単価履歴'!$B:$B,'単価履歴'!$E:$E,Z$1,'単価履歴'!$F:$F,$A11)))</f>
        <v>43.5</v>
      </c>
      <c r="AA11" s="332">
        <f>IF(MAXIFS('単価履歴'!$H:$H,'単価履歴'!$E:$E,AA$1,'単価履歴'!$F:$F,$A11,'単価履歴'!$B:$B,MAXIFS('単価履歴'!$B:$B,'単価履歴'!$E:$E,AA$1,'単価履歴'!$F:$F,$A11))=0,"",MAXIFS('単価履歴'!$H:$H,'単価履歴'!$E:$E,AA$1,'単価履歴'!$F:$F,$A11,'単価履歴'!$B:$B,MAXIFS('単価履歴'!$B:$B,'単価履歴'!$E:$E,AA$1,'単価履歴'!$F:$F,$A11)))</f>
        <v>54.5</v>
      </c>
      <c r="AB11" s="332" t="str">
        <f>IF(MAXIFS('単価履歴'!$H:$H,'単価履歴'!$E:$E,AB$1,'単価履歴'!$F:$F,$A11,'単価履歴'!$B:$B,MAXIFS('単価履歴'!$B:$B,'単価履歴'!$E:$E,AB$1,'単価履歴'!$F:$F,$A11))=0,"",MAXIFS('単価履歴'!$H:$H,'単価履歴'!$E:$E,AB$1,'単価履歴'!$F:$F,$A11,'単価履歴'!$B:$B,MAXIFS('単価履歴'!$B:$B,'単価履歴'!$E:$E,AB$1,'単価履歴'!$F:$F,$A11)))</f>
        <v/>
      </c>
      <c r="AC11" s="332" t="str">
        <f>IF(MAXIFS('単価履歴'!$H:$H,'単価履歴'!$E:$E,AC$1,'単価履歴'!$F:$F,$A11,'単価履歴'!$B:$B,MAXIFS('単価履歴'!$B:$B,'単価履歴'!$E:$E,AC$1,'単価履歴'!$F:$F,$A11))=0,"",MAXIFS('単価履歴'!$H:$H,'単価履歴'!$E:$E,AC$1,'単価履歴'!$F:$F,$A11,'単価履歴'!$B:$B,MAXIFS('単価履歴'!$B:$B,'単価履歴'!$E:$E,AC$1,'単価履歴'!$F:$F,$A11)))</f>
        <v/>
      </c>
      <c r="AD11" s="332" t="str">
        <f>IF(MAXIFS('単価履歴'!$H:$H,'単価履歴'!$E:$E,AD$1,'単価履歴'!$F:$F,$A11,'単価履歴'!$B:$B,MAXIFS('単価履歴'!$B:$B,'単価履歴'!$E:$E,AD$1,'単価履歴'!$F:$F,$A11))=0,"",MAXIFS('単価履歴'!$H:$H,'単価履歴'!$E:$E,AD$1,'単価履歴'!$F:$F,$A11,'単価履歴'!$B:$B,MAXIFS('単価履歴'!$B:$B,'単価履歴'!$E:$E,AD$1,'単価履歴'!$F:$F,$A11)))</f>
        <v/>
      </c>
      <c r="AE11" s="332">
        <f>IF(MAXIFS('単価履歴'!$H:$H,'単価履歴'!$E:$E,AE$1,'単価履歴'!$F:$F,$A11,'単価履歴'!$B:$B,MAXIFS('単価履歴'!$B:$B,'単価履歴'!$E:$E,AE$1,'単価履歴'!$F:$F,$A11))=0,"",MAXIFS('単価履歴'!$H:$H,'単価履歴'!$E:$E,AE$1,'単価履歴'!$F:$F,$A11,'単価履歴'!$B:$B,MAXIFS('単価履歴'!$B:$B,'単価履歴'!$E:$E,AE$1,'単価履歴'!$F:$F,$A11)))</f>
        <v>57.5</v>
      </c>
      <c r="AF11" s="332">
        <f>IF(MAXIFS('単価履歴'!$H:$H,'単価履歴'!$E:$E,AF$1,'単価履歴'!$F:$F,$A11,'単価履歴'!$B:$B,MAXIFS('単価履歴'!$B:$B,'単価履歴'!$E:$E,AF$1,'単価履歴'!$F:$F,$A11))=0,"",MAXIFS('単価履歴'!$H:$H,'単価履歴'!$E:$E,AF$1,'単価履歴'!$F:$F,$A11,'単価履歴'!$B:$B,MAXIFS('単価履歴'!$B:$B,'単価履歴'!$E:$E,AF$1,'単価履歴'!$F:$F,$A11)))</f>
        <v>58.5</v>
      </c>
      <c r="AG11" s="332" t="str">
        <f>IF(MAXIFS('単価履歴'!$H:$H,'単価履歴'!$E:$E,AG$1,'単価履歴'!$F:$F,$A11,'単価履歴'!$B:$B,MAXIFS('単価履歴'!$B:$B,'単価履歴'!$E:$E,AG$1,'単価履歴'!$F:$F,$A11))=0,"",MAXIFS('単価履歴'!$H:$H,'単価履歴'!$E:$E,AG$1,'単価履歴'!$F:$F,$A11,'単価履歴'!$B:$B,MAXIFS('単価履歴'!$B:$B,'単価履歴'!$E:$E,AG$1,'単価履歴'!$F:$F,$A11)))</f>
        <v/>
      </c>
      <c r="AH11" s="332" t="str">
        <f>IF(MAXIFS('単価履歴'!$H:$H,'単価履歴'!$E:$E,AH$1,'単価履歴'!$F:$F,$A11,'単価履歴'!$B:$B,MAXIFS('単価履歴'!$B:$B,'単価履歴'!$E:$E,AH$1,'単価履歴'!$F:$F,$A11))=0,"",MAXIFS('単価履歴'!$H:$H,'単価履歴'!$E:$E,AH$1,'単価履歴'!$F:$F,$A11,'単価履歴'!$B:$B,MAXIFS('単価履歴'!$B:$B,'単価履歴'!$E:$E,AH$1,'単価履歴'!$F:$F,$A11)))</f>
        <v/>
      </c>
      <c r="AI11" s="332" t="str">
        <f>IF(MAXIFS('単価履歴'!$H:$H,'単価履歴'!$E:$E,AI$1,'単価履歴'!$F:$F,$A11,'単価履歴'!$B:$B,MAXIFS('単価履歴'!$B:$B,'単価履歴'!$E:$E,AI$1,'単価履歴'!$F:$F,$A11))=0,"",MAXIFS('単価履歴'!$H:$H,'単価履歴'!$E:$E,AI$1,'単価履歴'!$F:$F,$A11,'単価履歴'!$B:$B,MAXIFS('単価履歴'!$B:$B,'単価履歴'!$E:$E,AI$1,'単価履歴'!$F:$F,$A11)))</f>
        <v/>
      </c>
      <c r="AJ11" s="332">
        <f>IF(MAXIFS('単価履歴'!$H:$H,'単価履歴'!$E:$E,AJ$1,'単価履歴'!$F:$F,$A11,'単価履歴'!$B:$B,MAXIFS('単価履歴'!$B:$B,'単価履歴'!$E:$E,AJ$1,'単価履歴'!$F:$F,$A11))=0,"",MAXIFS('単価履歴'!$H:$H,'単価履歴'!$E:$E,AJ$1,'単価履歴'!$F:$F,$A11,'単価履歴'!$B:$B,MAXIFS('単価履歴'!$B:$B,'単価履歴'!$E:$E,AJ$1,'単価履歴'!$F:$F,$A11)))</f>
        <v>58.5</v>
      </c>
      <c r="AK11" s="332" t="str">
        <f>IF(MAXIFS('単価履歴'!$H:$H,'単価履歴'!$E:$E,AK$1,'単価履歴'!$F:$F,$A11,'単価履歴'!$B:$B,MAXIFS('単価履歴'!$B:$B,'単価履歴'!$E:$E,AK$1,'単価履歴'!$F:$F,$A11))=0,"",MAXIFS('単価履歴'!$H:$H,'単価履歴'!$E:$E,AK$1,'単価履歴'!$F:$F,$A11,'単価履歴'!$B:$B,MAXIFS('単価履歴'!$B:$B,'単価履歴'!$E:$E,AK$1,'単価履歴'!$F:$F,$A11)))</f>
        <v/>
      </c>
      <c r="AL11" s="332" t="str">
        <f>IF(MAXIFS('単価履歴'!$H:$H,'単価履歴'!$E:$E,AL$1,'単価履歴'!$F:$F,$A11,'単価履歴'!$B:$B,MAXIFS('単価履歴'!$B:$B,'単価履歴'!$E:$E,AL$1,'単価履歴'!$F:$F,$A11))=0,"",MAXIFS('単価履歴'!$H:$H,'単価履歴'!$E:$E,AL$1,'単価履歴'!$F:$F,$A11,'単価履歴'!$B:$B,MAXIFS('単価履歴'!$B:$B,'単価履歴'!$E:$E,AL$1,'単価履歴'!$F:$F,$A11)))</f>
        <v/>
      </c>
      <c r="AM11" s="332" t="str">
        <f>IF(MAXIFS('単価履歴'!$H:$H,'単価履歴'!$E:$E,AM$1,'単価履歴'!$F:$F,$A11,'単価履歴'!$B:$B,MAXIFS('単価履歴'!$B:$B,'単価履歴'!$E:$E,AM$1,'単価履歴'!$F:$F,$A11))=0,"",MAXIFS('単価履歴'!$H:$H,'単価履歴'!$E:$E,AM$1,'単価履歴'!$F:$F,$A11,'単価履歴'!$B:$B,MAXIFS('単価履歴'!$B:$B,'単価履歴'!$E:$E,AM$1,'単価履歴'!$F:$F,$A11)))</f>
        <v/>
      </c>
      <c r="AN11" s="332">
        <f>IF(MAXIFS('単価履歴'!$H:$H,'単価履歴'!$E:$E,AN$1,'単価履歴'!$F:$F,$A11,'単価履歴'!$B:$B,MAXIFS('単価履歴'!$B:$B,'単価履歴'!$E:$E,AN$1,'単価履歴'!$F:$F,$A11))=0,"",MAXIFS('単価履歴'!$H:$H,'単価履歴'!$E:$E,AN$1,'単価履歴'!$F:$F,$A11,'単価履歴'!$B:$B,MAXIFS('単価履歴'!$B:$B,'単価履歴'!$E:$E,AN$1,'単価履歴'!$F:$F,$A11)))</f>
        <v>54</v>
      </c>
      <c r="AO11" s="332" t="str">
        <f>IF(MAXIFS('単価履歴'!$H:$H,'単価履歴'!$E:$E,AO$1,'単価履歴'!$F:$F,$A11,'単価履歴'!$B:$B,MAXIFS('単価履歴'!$B:$B,'単価履歴'!$E:$E,AO$1,'単価履歴'!$F:$F,$A11))=0,"",MAXIFS('単価履歴'!$H:$H,'単価履歴'!$E:$E,AO$1,'単価履歴'!$F:$F,$A11,'単価履歴'!$B:$B,MAXIFS('単価履歴'!$B:$B,'単価履歴'!$E:$E,AO$1,'単価履歴'!$F:$F,$A11)))</f>
        <v/>
      </c>
      <c r="AP11" s="332" t="str">
        <f>IF(MAXIFS('単価履歴'!$H:$H,'単価履歴'!$E:$E,AP$1,'単価履歴'!$F:$F,$A11,'単価履歴'!$B:$B,MAXIFS('単価履歴'!$B:$B,'単価履歴'!$E:$E,AP$1,'単価履歴'!$F:$F,$A11))=0,"",MAXIFS('単価履歴'!$H:$H,'単価履歴'!$E:$E,AP$1,'単価履歴'!$F:$F,$A11,'単価履歴'!$B:$B,MAXIFS('単価履歴'!$B:$B,'単価履歴'!$E:$E,AP$1,'単価履歴'!$F:$F,$A11)))</f>
        <v/>
      </c>
      <c r="AQ11" s="332">
        <f>IF(MAXIFS('単価履歴'!$H:$H,'単価履歴'!$E:$E,AQ$1,'単価履歴'!$F:$F,$A11,'単価履歴'!$B:$B,MAXIFS('単価履歴'!$B:$B,'単価履歴'!$E:$E,AQ$1,'単価履歴'!$F:$F,$A11))=0,"",MAXIFS('単価履歴'!$H:$H,'単価履歴'!$E:$E,AQ$1,'単価履歴'!$F:$F,$A11,'単価履歴'!$B:$B,MAXIFS('単価履歴'!$B:$B,'単価履歴'!$E:$E,AQ$1,'単価履歴'!$F:$F,$A11)))</f>
        <v>58.3</v>
      </c>
      <c r="AR11" s="332" t="str">
        <f>IF(MAXIFS('単価履歴'!$H:$H,'単価履歴'!$E:$E,AR$1,'単価履歴'!$F:$F,$A11,'単価履歴'!$B:$B,MAXIFS('単価履歴'!$B:$B,'単価履歴'!$E:$E,AR$1,'単価履歴'!$F:$F,$A11))=0,"",MAXIFS('単価履歴'!$H:$H,'単価履歴'!$E:$E,AR$1,'単価履歴'!$F:$F,$A11,'単価履歴'!$B:$B,MAXIFS('単価履歴'!$B:$B,'単価履歴'!$E:$E,AR$1,'単価履歴'!$F:$F,$A11)))</f>
        <v/>
      </c>
      <c r="AS11" s="332">
        <f>IF(MAXIFS('単価履歴'!$H:$H,'単価履歴'!$E:$E,AS$1,'単価履歴'!$F:$F,$A11,'単価履歴'!$B:$B,MAXIFS('単価履歴'!$B:$B,'単価履歴'!$E:$E,AS$1,'単価履歴'!$F:$F,$A11))=0,"",MAXIFS('単価履歴'!$H:$H,'単価履歴'!$E:$E,AS$1,'単価履歴'!$F:$F,$A11,'単価履歴'!$B:$B,MAXIFS('単価履歴'!$B:$B,'単価履歴'!$E:$E,AS$1,'単価履歴'!$F:$F,$A11)))</f>
        <v>58.5</v>
      </c>
      <c r="AT11" s="332" t="str">
        <f>IF(MAXIFS('単価履歴'!$H:$H,'単価履歴'!$E:$E,AT$1,'単価履歴'!$F:$F,$A11,'単価履歴'!$B:$B,MAXIFS('単価履歴'!$B:$B,'単価履歴'!$E:$E,AT$1,'単価履歴'!$F:$F,$A11))=0,"",MAXIFS('単価履歴'!$H:$H,'単価履歴'!$E:$E,AT$1,'単価履歴'!$F:$F,$A11,'単価履歴'!$B:$B,MAXIFS('単価履歴'!$B:$B,'単価履歴'!$E:$E,AT$1,'単価履歴'!$F:$F,$A11)))</f>
        <v/>
      </c>
      <c r="AU11" s="332">
        <f>IF(MAXIFS('単価履歴'!$H:$H,'単価履歴'!$E:$E,AU$1,'単価履歴'!$F:$F,$A11,'単価履歴'!$B:$B,MAXIFS('単価履歴'!$B:$B,'単価履歴'!$E:$E,AU$1,'単価履歴'!$F:$F,$A11))=0,"",MAXIFS('単価履歴'!$H:$H,'単価履歴'!$E:$E,AU$1,'単価履歴'!$F:$F,$A11,'単価履歴'!$B:$B,MAXIFS('単価履歴'!$B:$B,'単価履歴'!$E:$E,AU$1,'単価履歴'!$F:$F,$A11)))</f>
        <v>56.5</v>
      </c>
      <c r="AV11" s="332" t="str">
        <f>IF(MAXIFS('単価履歴'!$H:$H,'単価履歴'!$E:$E,AV$1,'単価履歴'!$F:$F,$A11,'単価履歴'!$B:$B,MAXIFS('単価履歴'!$B:$B,'単価履歴'!$E:$E,AV$1,'単価履歴'!$F:$F,$A11))=0,"",MAXIFS('単価履歴'!$H:$H,'単価履歴'!$E:$E,AV$1,'単価履歴'!$F:$F,$A11,'単価履歴'!$B:$B,MAXIFS('単価履歴'!$B:$B,'単価履歴'!$E:$E,AV$1,'単価履歴'!$F:$F,$A11)))</f>
        <v/>
      </c>
      <c r="AW11" s="332" t="str">
        <f>IF(MAXIFS('単価履歴'!$H:$H,'単価履歴'!$E:$E,AW$1,'単価履歴'!$F:$F,$A11,'単価履歴'!$B:$B,MAXIFS('単価履歴'!$B:$B,'単価履歴'!$E:$E,AW$1,'単価履歴'!$F:$F,$A11))=0,"",MAXIFS('単価履歴'!$H:$H,'単価履歴'!$E:$E,AW$1,'単価履歴'!$F:$F,$A11,'単価履歴'!$B:$B,MAXIFS('単価履歴'!$B:$B,'単価履歴'!$E:$E,AW$1,'単価履歴'!$F:$F,$A11)))</f>
        <v/>
      </c>
      <c r="AX11" s="332">
        <f>IF(MAXIFS('単価履歴'!$H:$H,'単価履歴'!$E:$E,AX$1,'単価履歴'!$F:$F,$A11,'単価履歴'!$B:$B,MAXIFS('単価履歴'!$B:$B,'単価履歴'!$E:$E,AX$1,'単価履歴'!$F:$F,$A11))=0,"",MAXIFS('単価履歴'!$H:$H,'単価履歴'!$E:$E,AX$1,'単価履歴'!$F:$F,$A11,'単価履歴'!$B:$B,MAXIFS('単価履歴'!$B:$B,'単価履歴'!$E:$E,AX$1,'単価履歴'!$F:$F,$A11)))</f>
        <v>58</v>
      </c>
      <c r="AY11" s="332">
        <f>IF(MAXIFS('単価履歴'!$H:$H,'単価履歴'!$E:$E,AY$1,'単価履歴'!$F:$F,$A11,'単価履歴'!$B:$B,MAXIFS('単価履歴'!$B:$B,'単価履歴'!$E:$E,AY$1,'単価履歴'!$F:$F,$A11))=0,"",MAXIFS('単価履歴'!$H:$H,'単価履歴'!$E:$E,AY$1,'単価履歴'!$F:$F,$A11,'単価履歴'!$B:$B,MAXIFS('単価履歴'!$B:$B,'単価履歴'!$E:$E,AY$1,'単価履歴'!$F:$F,$A11)))</f>
        <v>56.5</v>
      </c>
      <c r="AZ11" s="332" t="str">
        <f>IF(MAXIFS('単価履歴'!$H:$H,'単価履歴'!$E:$E,AZ$1,'単価履歴'!$F:$F,$A11,'単価履歴'!$B:$B,MAXIFS('単価履歴'!$B:$B,'単価履歴'!$E:$E,AZ$1,'単価履歴'!$F:$F,$A11))=0,"",MAXIFS('単価履歴'!$H:$H,'単価履歴'!$E:$E,AZ$1,'単価履歴'!$F:$F,$A11,'単価履歴'!$B:$B,MAXIFS('単価履歴'!$B:$B,'単価履歴'!$E:$E,AZ$1,'単価履歴'!$F:$F,$A11)))</f>
        <v/>
      </c>
      <c r="BA11" s="332" t="str">
        <f>IF(MAXIFS('単価履歴'!$H:$H,'単価履歴'!$E:$E,BA$1,'単価履歴'!$F:$F,$A11,'単価履歴'!$B:$B,MAXIFS('単価履歴'!$B:$B,'単価履歴'!$E:$E,BA$1,'単価履歴'!$F:$F,$A11))=0,"",MAXIFS('単価履歴'!$H:$H,'単価履歴'!$E:$E,BA$1,'単価履歴'!$F:$F,$A11,'単価履歴'!$B:$B,MAXIFS('単価履歴'!$B:$B,'単価履歴'!$E:$E,BA$1,'単価履歴'!$F:$F,$A11)))</f>
        <v/>
      </c>
      <c r="BB11" s="332" t="str">
        <f>IF(MAXIFS('単価履歴'!$H:$H,'単価履歴'!$E:$E,BB$1,'単価履歴'!$F:$F,$A11,'単価履歴'!$B:$B,MAXIFS('単価履歴'!$B:$B,'単価履歴'!$E:$E,BB$1,'単価履歴'!$F:$F,$A11))=0,"",MAXIFS('単価履歴'!$H:$H,'単価履歴'!$E:$E,BB$1,'単価履歴'!$F:$F,$A11,'単価履歴'!$B:$B,MAXIFS('単価履歴'!$B:$B,'単価履歴'!$E:$E,BB$1,'単価履歴'!$F:$F,$A11)))</f>
        <v/>
      </c>
      <c r="BC11" s="332" t="str">
        <f>IF(MAXIFS('単価履歴'!$H:$H,'単価履歴'!$E:$E,BC$1,'単価履歴'!$F:$F,$A11,'単価履歴'!$B:$B,MAXIFS('単価履歴'!$B:$B,'単価履歴'!$E:$E,BC$1,'単価履歴'!$F:$F,$A11))=0,"",MAXIFS('単価履歴'!$H:$H,'単価履歴'!$E:$E,BC$1,'単価履歴'!$F:$F,$A11,'単価履歴'!$B:$B,MAXIFS('単価履歴'!$B:$B,'単価履歴'!$E:$E,BC$1,'単価履歴'!$F:$F,$A11)))</f>
        <v/>
      </c>
      <c r="BD11" s="332" t="str">
        <f>IF(MAXIFS('単価履歴'!$H:$H,'単価履歴'!$E:$E,BD$1,'単価履歴'!$F:$F,$A11,'単価履歴'!$B:$B,MAXIFS('単価履歴'!$B:$B,'単価履歴'!$E:$E,BD$1,'単価履歴'!$F:$F,$A11))=0,"",MAXIFS('単価履歴'!$H:$H,'単価履歴'!$E:$E,BD$1,'単価履歴'!$F:$F,$A11,'単価履歴'!$B:$B,MAXIFS('単価履歴'!$B:$B,'単価履歴'!$E:$E,BD$1,'単価履歴'!$F:$F,$A11)))</f>
        <v/>
      </c>
      <c r="BE11" s="332" t="str">
        <f>IF(MAXIFS('単価履歴'!$H:$H,'単価履歴'!$E:$E,BE$1,'単価履歴'!$F:$F,$A11,'単価履歴'!$B:$B,MAXIFS('単価履歴'!$B:$B,'単価履歴'!$E:$E,BE$1,'単価履歴'!$F:$F,$A11))=0,"",MAXIFS('単価履歴'!$H:$H,'単価履歴'!$E:$E,BE$1,'単価履歴'!$F:$F,$A11,'単価履歴'!$B:$B,MAXIFS('単価履歴'!$B:$B,'単価履歴'!$E:$E,BE$1,'単価履歴'!$F:$F,$A11)))</f>
        <v/>
      </c>
      <c r="BF11" s="332" t="str">
        <f>IF(MAXIFS('単価履歴'!$H:$H,'単価履歴'!$E:$E,BF$1,'単価履歴'!$F:$F,$A11,'単価履歴'!$B:$B,MAXIFS('単価履歴'!$B:$B,'単価履歴'!$E:$E,BF$1,'単価履歴'!$F:$F,$A11))=0,"",MAXIFS('単価履歴'!$H:$H,'単価履歴'!$E:$E,BF$1,'単価履歴'!$F:$F,$A11,'単価履歴'!$B:$B,MAXIFS('単価履歴'!$B:$B,'単価履歴'!$E:$E,BF$1,'単価履歴'!$F:$F,$A11)))</f>
        <v/>
      </c>
      <c r="BG11" s="332" t="str">
        <f>IF(MAXIFS('単価履歴'!$H:$H,'単価履歴'!$E:$E,BG$1,'単価履歴'!$F:$F,$A11,'単価履歴'!$B:$B,MAXIFS('単価履歴'!$B:$B,'単価履歴'!$E:$E,BG$1,'単価履歴'!$F:$F,$A11))=0,"",MAXIFS('単価履歴'!$H:$H,'単価履歴'!$E:$E,BG$1,'単価履歴'!$F:$F,$A11,'単価履歴'!$B:$B,MAXIFS('単価履歴'!$B:$B,'単価履歴'!$E:$E,BG$1,'単価履歴'!$F:$F,$A11)))</f>
        <v/>
      </c>
      <c r="BH11" s="332" t="str">
        <f>IF(MAXIFS('単価履歴'!$H:$H,'単価履歴'!$E:$E,BH$1,'単価履歴'!$F:$F,$A11,'単価履歴'!$B:$B,MAXIFS('単価履歴'!$B:$B,'単価履歴'!$E:$E,BH$1,'単価履歴'!$F:$F,$A11))=0,"",MAXIFS('単価履歴'!$H:$H,'単価履歴'!$E:$E,BH$1,'単価履歴'!$F:$F,$A11,'単価履歴'!$B:$B,MAXIFS('単価履歴'!$B:$B,'単価履歴'!$E:$E,BH$1,'単価履歴'!$F:$F,$A11)))</f>
        <v/>
      </c>
      <c r="BI11" s="332" t="str">
        <f>IF(MAXIFS('単価履歴'!$H:$H,'単価履歴'!$E:$E,BI$1,'単価履歴'!$F:$F,$A11,'単価履歴'!$B:$B,MAXIFS('単価履歴'!$B:$B,'単価履歴'!$E:$E,BI$1,'単価履歴'!$F:$F,$A11))=0,"",MAXIFS('単価履歴'!$H:$H,'単価履歴'!$E:$E,BI$1,'単価履歴'!$F:$F,$A11,'単価履歴'!$B:$B,MAXIFS('単価履歴'!$B:$B,'単価履歴'!$E:$E,BI$1,'単価履歴'!$F:$F,$A11)))</f>
        <v/>
      </c>
      <c r="BJ11" s="332" t="str">
        <f>IF(MAXIFS('単価履歴'!$H:$H,'単価履歴'!$E:$E,BJ$1,'単価履歴'!$F:$F,$A11,'単価履歴'!$B:$B,MAXIFS('単価履歴'!$B:$B,'単価履歴'!$E:$E,BJ$1,'単価履歴'!$F:$F,$A11))=0,"",MAXIFS('単価履歴'!$H:$H,'単価履歴'!$E:$E,BJ$1,'単価履歴'!$F:$F,$A11,'単価履歴'!$B:$B,MAXIFS('単価履歴'!$B:$B,'単価履歴'!$E:$E,BJ$1,'単価履歴'!$F:$F,$A11)))</f>
        <v/>
      </c>
      <c r="BK11" s="332">
        <f>IF(MAXIFS('単価履歴'!$H:$H,'単価履歴'!$E:$E,BK$1,'単価履歴'!$F:$F,$A11,'単価履歴'!$B:$B,MAXIFS('単価履歴'!$B:$B,'単価履歴'!$E:$E,BK$1,'単価履歴'!$F:$F,$A11))=0,"",MAXIFS('単価履歴'!$H:$H,'単価履歴'!$E:$E,BK$1,'単価履歴'!$F:$F,$A11,'単価履歴'!$B:$B,MAXIFS('単価履歴'!$B:$B,'単価履歴'!$E:$E,BK$1,'単価履歴'!$F:$F,$A11)))</f>
        <v>45</v>
      </c>
      <c r="BL11" s="332" t="str">
        <f>IF(MAXIFS('単価履歴'!$H:$H,'単価履歴'!$E:$E,BL$1,'単価履歴'!$F:$F,$A11,'単価履歴'!$B:$B,MAXIFS('単価履歴'!$B:$B,'単価履歴'!$E:$E,BL$1,'単価履歴'!$F:$F,$A11))=0,"",MAXIFS('単価履歴'!$H:$H,'単価履歴'!$E:$E,BL$1,'単価履歴'!$F:$F,$A11,'単価履歴'!$B:$B,MAXIFS('単価履歴'!$B:$B,'単価履歴'!$E:$E,BL$1,'単価履歴'!$F:$F,$A11)))</f>
        <v/>
      </c>
      <c r="BM11" s="332" t="str">
        <f>IF(MAXIFS('単価履歴'!$H:$H,'単価履歴'!$E:$E,BM$1,'単価履歴'!$F:$F,$A11,'単価履歴'!$B:$B,MAXIFS('単価履歴'!$B:$B,'単価履歴'!$E:$E,BM$1,'単価履歴'!$F:$F,$A11))=0,"",MAXIFS('単価履歴'!$H:$H,'単価履歴'!$E:$E,BM$1,'単価履歴'!$F:$F,$A11,'単価履歴'!$B:$B,MAXIFS('単価履歴'!$B:$B,'単価履歴'!$E:$E,BM$1,'単価履歴'!$F:$F,$A11)))</f>
        <v/>
      </c>
      <c r="BN11" s="332" t="str">
        <f>IF(MAXIFS('単価履歴'!$H:$H,'単価履歴'!$E:$E,BN$1,'単価履歴'!$F:$F,$A11,'単価履歴'!$B:$B,MAXIFS('単価履歴'!$B:$B,'単価履歴'!$E:$E,BN$1,'単価履歴'!$F:$F,$A11))=0,"",MAXIFS('単価履歴'!$H:$H,'単価履歴'!$E:$E,BN$1,'単価履歴'!$F:$F,$A11,'単価履歴'!$B:$B,MAXIFS('単価履歴'!$B:$B,'単価履歴'!$E:$E,BN$1,'単価履歴'!$F:$F,$A11)))</f>
        <v/>
      </c>
      <c r="BO11" s="332" t="str">
        <f>IF(MAXIFS('単価履歴'!$H:$H,'単価履歴'!$E:$E,BO$1,'単価履歴'!$F:$F,$A11,'単価履歴'!$B:$B,MAXIFS('単価履歴'!$B:$B,'単価履歴'!$E:$E,BO$1,'単価履歴'!$F:$F,$A11))=0,"",MAXIFS('単価履歴'!$H:$H,'単価履歴'!$E:$E,BO$1,'単価履歴'!$F:$F,$A11,'単価履歴'!$B:$B,MAXIFS('単価履歴'!$B:$B,'単価履歴'!$E:$E,BO$1,'単価履歴'!$F:$F,$A11)))</f>
        <v/>
      </c>
      <c r="BP11" s="332" t="str">
        <f>IF(MAXIFS('単価履歴'!$H:$H,'単価履歴'!$E:$E,BP$1,'単価履歴'!$F:$F,$A11,'単価履歴'!$B:$B,MAXIFS('単価履歴'!$B:$B,'単価履歴'!$E:$E,BP$1,'単価履歴'!$F:$F,$A11))=0,"",MAXIFS('単価履歴'!$H:$H,'単価履歴'!$E:$E,BP$1,'単価履歴'!$F:$F,$A11,'単価履歴'!$B:$B,MAXIFS('単価履歴'!$B:$B,'単価履歴'!$E:$E,BP$1,'単価履歴'!$F:$F,$A11)))</f>
        <v/>
      </c>
      <c r="BQ11" s="332" t="str">
        <f>IF(MAXIFS('単価履歴'!$H:$H,'単価履歴'!$E:$E,BQ$1,'単価履歴'!$F:$F,$A11,'単価履歴'!$B:$B,MAXIFS('単価履歴'!$B:$B,'単価履歴'!$E:$E,BQ$1,'単価履歴'!$F:$F,$A11))=0,"",MAXIFS('単価履歴'!$H:$H,'単価履歴'!$E:$E,BQ$1,'単価履歴'!$F:$F,$A11,'単価履歴'!$B:$B,MAXIFS('単価履歴'!$B:$B,'単価履歴'!$E:$E,BQ$1,'単価履歴'!$F:$F,$A11)))</f>
        <v/>
      </c>
      <c r="BR11" s="332" t="str">
        <f>IF(MAXIFS('単価履歴'!$H:$H,'単価履歴'!$E:$E,BR$1,'単価履歴'!$F:$F,$A11,'単価履歴'!$B:$B,MAXIFS('単価履歴'!$B:$B,'単価履歴'!$E:$E,BR$1,'単価履歴'!$F:$F,$A11))=0,"",MAXIFS('単価履歴'!$H:$H,'単価履歴'!$E:$E,BR$1,'単価履歴'!$F:$F,$A11,'単価履歴'!$B:$B,MAXIFS('単価履歴'!$B:$B,'単価履歴'!$E:$E,BR$1,'単価履歴'!$F:$F,$A11)))</f>
        <v/>
      </c>
      <c r="BS11" s="332" t="str">
        <f>IF(MAXIFS('単価履歴'!$H:$H,'単価履歴'!$E:$E,BS$1,'単価履歴'!$F:$F,$A11,'単価履歴'!$B:$B,MAXIFS('単価履歴'!$B:$B,'単価履歴'!$E:$E,BS$1,'単価履歴'!$F:$F,$A11))=0,"",MAXIFS('単価履歴'!$H:$H,'単価履歴'!$E:$E,BS$1,'単価履歴'!$F:$F,$A11,'単価履歴'!$B:$B,MAXIFS('単価履歴'!$B:$B,'単価履歴'!$E:$E,BS$1,'単価履歴'!$F:$F,$A11)))</f>
        <v/>
      </c>
      <c r="BT11" s="332" t="str">
        <f>IF(MAXIFS('単価履歴'!$H:$H,'単価履歴'!$E:$E,BT$1,'単価履歴'!$F:$F,$A11,'単価履歴'!$B:$B,MAXIFS('単価履歴'!$B:$B,'単価履歴'!$E:$E,BT$1,'単価履歴'!$F:$F,$A11))=0,"",MAXIFS('単価履歴'!$H:$H,'単価履歴'!$E:$E,BT$1,'単価履歴'!$F:$F,$A11,'単価履歴'!$B:$B,MAXIFS('単価履歴'!$B:$B,'単価履歴'!$E:$E,BT$1,'単価履歴'!$F:$F,$A11)))</f>
        <v/>
      </c>
      <c r="BU11" s="332" t="str">
        <f>IF(MAXIFS('単価履歴'!$H:$H,'単価履歴'!$E:$E,BU$1,'単価履歴'!$F:$F,$A11,'単価履歴'!$B:$B,MAXIFS('単価履歴'!$B:$B,'単価履歴'!$E:$E,BU$1,'単価履歴'!$F:$F,$A11))=0,"",MAXIFS('単価履歴'!$H:$H,'単価履歴'!$E:$E,BU$1,'単価履歴'!$F:$F,$A11,'単価履歴'!$B:$B,MAXIFS('単価履歴'!$B:$B,'単価履歴'!$E:$E,BU$1,'単価履歴'!$F:$F,$A11)))</f>
        <v/>
      </c>
      <c r="BV11" s="332" t="str">
        <f>IF(MAXIFS('単価履歴'!$H:$H,'単価履歴'!$E:$E,BV$1,'単価履歴'!$F:$F,$A11,'単価履歴'!$B:$B,MAXIFS('単価履歴'!$B:$B,'単価履歴'!$E:$E,BV$1,'単価履歴'!$F:$F,$A11))=0,"",MAXIFS('単価履歴'!$H:$H,'単価履歴'!$E:$E,BV$1,'単価履歴'!$F:$F,$A11,'単価履歴'!$B:$B,MAXIFS('単価履歴'!$B:$B,'単価履歴'!$E:$E,BV$1,'単価履歴'!$F:$F,$A11)))</f>
        <v/>
      </c>
      <c r="BW11" s="332" t="str">
        <f>IF(MAXIFS('単価履歴'!$H:$H,'単価履歴'!$E:$E,BW$1,'単価履歴'!$F:$F,$A11,'単価履歴'!$B:$B,MAXIFS('単価履歴'!$B:$B,'単価履歴'!$E:$E,BW$1,'単価履歴'!$F:$F,$A11))=0,"",MAXIFS('単価履歴'!$H:$H,'単価履歴'!$E:$E,BW$1,'単価履歴'!$F:$F,$A11,'単価履歴'!$B:$B,MAXIFS('単価履歴'!$B:$B,'単価履歴'!$E:$E,BW$1,'単価履歴'!$F:$F,$A11)))</f>
        <v/>
      </c>
      <c r="BX11" s="332" t="str">
        <f>IF(MAXIFS('単価履歴'!$H:$H,'単価履歴'!$E:$E,BX$1,'単価履歴'!$F:$F,$A11,'単価履歴'!$B:$B,MAXIFS('単価履歴'!$B:$B,'単価履歴'!$E:$E,BX$1,'単価履歴'!$F:$F,$A11))=0,"",MAXIFS('単価履歴'!$H:$H,'単価履歴'!$E:$E,BX$1,'単価履歴'!$F:$F,$A11,'単価履歴'!$B:$B,MAXIFS('単価履歴'!$B:$B,'単価履歴'!$E:$E,BX$1,'単価履歴'!$F:$F,$A11)))</f>
        <v/>
      </c>
      <c r="BY11" s="332" t="str">
        <f>IF(MAXIFS('単価履歴'!$H:$H,'単価履歴'!$E:$E,BY$1,'単価履歴'!$F:$F,$A11,'単価履歴'!$B:$B,MAXIFS('単価履歴'!$B:$B,'単価履歴'!$E:$E,BY$1,'単価履歴'!$F:$F,$A11))=0,"",MAXIFS('単価履歴'!$H:$H,'単価履歴'!$E:$E,BY$1,'単価履歴'!$F:$F,$A11,'単価履歴'!$B:$B,MAXIFS('単価履歴'!$B:$B,'単価履歴'!$E:$E,BY$1,'単価履歴'!$F:$F,$A11)))</f>
        <v/>
      </c>
      <c r="BZ11" s="332" t="str">
        <f>IF(MAXIFS('単価履歴'!$H:$H,'単価履歴'!$E:$E,BZ$1,'単価履歴'!$F:$F,$A11,'単価履歴'!$B:$B,MAXIFS('単価履歴'!$B:$B,'単価履歴'!$E:$E,BZ$1,'単価履歴'!$F:$F,$A11))=0,"",MAXIFS('単価履歴'!$H:$H,'単価履歴'!$E:$E,BZ$1,'単価履歴'!$F:$F,$A11,'単価履歴'!$B:$B,MAXIFS('単価履歴'!$B:$B,'単価履歴'!$E:$E,BZ$1,'単価履歴'!$F:$F,$A11)))</f>
        <v/>
      </c>
      <c r="CA11" s="332" t="str">
        <f>IF(MAXIFS('単価履歴'!$H:$H,'単価履歴'!$E:$E,CA$1,'単価履歴'!$F:$F,$A11,'単価履歴'!$B:$B,MAXIFS('単価履歴'!$B:$B,'単価履歴'!$E:$E,CA$1,'単価履歴'!$F:$F,$A11))=0,"",MAXIFS('単価履歴'!$H:$H,'単価履歴'!$E:$E,CA$1,'単価履歴'!$F:$F,$A11,'単価履歴'!$B:$B,MAXIFS('単価履歴'!$B:$B,'単価履歴'!$E:$E,CA$1,'単価履歴'!$F:$F,$A11)))</f>
        <v/>
      </c>
      <c r="CB11" s="332" t="str">
        <f>IF(MAXIFS('単価履歴'!$H:$H,'単価履歴'!$E:$E,CB$1,'単価履歴'!$F:$F,$A11,'単価履歴'!$B:$B,MAXIFS('単価履歴'!$B:$B,'単価履歴'!$E:$E,CB$1,'単価履歴'!$F:$F,$A11))=0,"",MAXIFS('単価履歴'!$H:$H,'単価履歴'!$E:$E,CB$1,'単価履歴'!$F:$F,$A11,'単価履歴'!$B:$B,MAXIFS('単価履歴'!$B:$B,'単価履歴'!$E:$E,CB$1,'単価履歴'!$F:$F,$A11)))</f>
        <v/>
      </c>
      <c r="CC11" s="332" t="str">
        <f>IF(MAXIFS('単価履歴'!$H:$H,'単価履歴'!$E:$E,CC$1,'単価履歴'!$F:$F,$A11,'単価履歴'!$B:$B,MAXIFS('単価履歴'!$B:$B,'単価履歴'!$E:$E,CC$1,'単価履歴'!$F:$F,$A11))=0,"",MAXIFS('単価履歴'!$H:$H,'単価履歴'!$E:$E,CC$1,'単価履歴'!$F:$F,$A11,'単価履歴'!$B:$B,MAXIFS('単価履歴'!$B:$B,'単価履歴'!$E:$E,CC$1,'単価履歴'!$F:$F,$A11)))</f>
        <v/>
      </c>
      <c r="CD11" s="332" t="str">
        <f>IF(MAXIFS('単価履歴'!$H:$H,'単価履歴'!$E:$E,CD$1,'単価履歴'!$F:$F,$A11,'単価履歴'!$B:$B,MAXIFS('単価履歴'!$B:$B,'単価履歴'!$E:$E,CD$1,'単価履歴'!$F:$F,$A11))=0,"",MAXIFS('単価履歴'!$H:$H,'単価履歴'!$E:$E,CD$1,'単価履歴'!$F:$F,$A11,'単価履歴'!$B:$B,MAXIFS('単価履歴'!$B:$B,'単価履歴'!$E:$E,CD$1,'単価履歴'!$F:$F,$A11)))</f>
        <v/>
      </c>
      <c r="CE11" s="332" t="str">
        <f>IF(MAXIFS('単価履歴'!$H:$H,'単価履歴'!$E:$E,CE$1,'単価履歴'!$F:$F,$A11,'単価履歴'!$B:$B,MAXIFS('単価履歴'!$B:$B,'単価履歴'!$E:$E,CE$1,'単価履歴'!$F:$F,$A11))=0,"",MAXIFS('単価履歴'!$H:$H,'単価履歴'!$E:$E,CE$1,'単価履歴'!$F:$F,$A11,'単価履歴'!$B:$B,MAXIFS('単価履歴'!$B:$B,'単価履歴'!$E:$E,CE$1,'単価履歴'!$F:$F,$A11)))</f>
        <v/>
      </c>
      <c r="CF11" s="332" t="str">
        <f>IF(MAXIFS('単価履歴'!$H:$H,'単価履歴'!$E:$E,CF$1,'単価履歴'!$F:$F,$A11,'単価履歴'!$B:$B,MAXIFS('単価履歴'!$B:$B,'単価履歴'!$E:$E,CF$1,'単価履歴'!$F:$F,$A11))=0,"",MAXIFS('単価履歴'!$H:$H,'単価履歴'!$E:$E,CF$1,'単価履歴'!$F:$F,$A11,'単価履歴'!$B:$B,MAXIFS('単価履歴'!$B:$B,'単価履歴'!$E:$E,CF$1,'単価履歴'!$F:$F,$A11)))</f>
        <v/>
      </c>
      <c r="CG11" s="332" t="str">
        <f>IF(MAXIFS('単価履歴'!$H:$H,'単価履歴'!$E:$E,CG$1,'単価履歴'!$F:$F,$A11,'単価履歴'!$B:$B,MAXIFS('単価履歴'!$B:$B,'単価履歴'!$E:$E,CG$1,'単価履歴'!$F:$F,$A11))=0,"",MAXIFS('単価履歴'!$H:$H,'単価履歴'!$E:$E,CG$1,'単価履歴'!$F:$F,$A11,'単価履歴'!$B:$B,MAXIFS('単価履歴'!$B:$B,'単価履歴'!$E:$E,CG$1,'単価履歴'!$F:$F,$A11)))</f>
        <v/>
      </c>
      <c r="CH11" s="332" t="str">
        <f>IF(MAXIFS('単価履歴'!$H:$H,'単価履歴'!$E:$E,CH$1,'単価履歴'!$F:$F,$A11,'単価履歴'!$B:$B,MAXIFS('単価履歴'!$B:$B,'単価履歴'!$E:$E,CH$1,'単価履歴'!$F:$F,$A11))=0,"",MAXIFS('単価履歴'!$H:$H,'単価履歴'!$E:$E,CH$1,'単価履歴'!$F:$F,$A11,'単価履歴'!$B:$B,MAXIFS('単価履歴'!$B:$B,'単価履歴'!$E:$E,CH$1,'単価履歴'!$F:$F,$A11)))</f>
        <v/>
      </c>
    </row>
    <row r="12" ht="15.75" customHeight="1">
      <c r="A12" s="432" t="s">
        <v>131</v>
      </c>
      <c r="B12" s="332">
        <f>MAXIFS('単価履歴'!H:H,'単価履歴'!F:F,A12,'単価履歴'!N:N,"●")</f>
        <v>58</v>
      </c>
      <c r="C12" s="332" t="str">
        <f>IF(MAXIFS('単価履歴'!$H:$H,'単価履歴'!$E:$E,C$1,'単価履歴'!$F:$F,$A12,'単価履歴'!$B:$B,MAXIFS('単価履歴'!$B:$B,'単価履歴'!$E:$E,C$1,'単価履歴'!$F:$F,$A12))=0,"",MAXIFS('単価履歴'!$H:$H,'単価履歴'!$E:$E,C$1,'単価履歴'!$F:$F,$A12,'単価履歴'!$B:$B,MAXIFS('単価履歴'!$B:$B,'単価履歴'!$E:$E,C$1,'単価履歴'!$F:$F,$A12)))</f>
        <v/>
      </c>
      <c r="D12" s="332">
        <f>IF(MAXIFS('単価履歴'!$H:$H,'単価履歴'!$E:$E,D$1,'単価履歴'!$F:$F,$A12,'単価履歴'!$B:$B,MAXIFS('単価履歴'!$B:$B,'単価履歴'!$E:$E,D$1,'単価履歴'!$F:$F,$A12))=0,"",MAXIFS('単価履歴'!$H:$H,'単価履歴'!$E:$E,D$1,'単価履歴'!$F:$F,$A12,'単価履歴'!$B:$B,MAXIFS('単価履歴'!$B:$B,'単価履歴'!$E:$E,D$1,'単価履歴'!$F:$F,$A12)))</f>
        <v>57.3</v>
      </c>
      <c r="E12" s="332">
        <f>IF(MAXIFS('単価履歴'!$H:$H,'単価履歴'!$E:$E,E$1,'単価履歴'!$F:$F,$A12,'単価履歴'!$B:$B,MAXIFS('単価履歴'!$B:$B,'単価履歴'!$E:$E,E$1,'単価履歴'!$F:$F,$A12))=0,"",MAXIFS('単価履歴'!$H:$H,'単価履歴'!$E:$E,E$1,'単価履歴'!$F:$F,$A12,'単価履歴'!$B:$B,MAXIFS('単価履歴'!$B:$B,'単価履歴'!$E:$E,E$1,'単価履歴'!$F:$F,$A12)))</f>
        <v>57.3</v>
      </c>
      <c r="F12" s="332">
        <f>IF(MAXIFS('単価履歴'!$H:$H,'単価履歴'!$E:$E,F$1,'単価履歴'!$F:$F,$A12,'単価履歴'!$B:$B,MAXIFS('単価履歴'!$B:$B,'単価履歴'!$E:$E,F$1,'単価履歴'!$F:$F,$A12))=0,"",MAXIFS('単価履歴'!$H:$H,'単価履歴'!$E:$E,F$1,'単価履歴'!$F:$F,$A12,'単価履歴'!$B:$B,MAXIFS('単価履歴'!$B:$B,'単価履歴'!$E:$E,F$1,'単価履歴'!$F:$F,$A12)))</f>
        <v>0.5</v>
      </c>
      <c r="G12" s="332">
        <f>IF(MAXIFS('単価履歴'!$H:$H,'単価履歴'!$E:$E,G$1,'単価履歴'!$F:$F,$A12,'単価履歴'!$B:$B,MAXIFS('単価履歴'!$B:$B,'単価履歴'!$E:$E,G$1,'単価履歴'!$F:$F,$A12))=0,"",MAXIFS('単価履歴'!$H:$H,'単価履歴'!$E:$E,G$1,'単価履歴'!$F:$F,$A12,'単価履歴'!$B:$B,MAXIFS('単価履歴'!$B:$B,'単価履歴'!$E:$E,G$1,'単価履歴'!$F:$F,$A12)))</f>
        <v>-0.5</v>
      </c>
      <c r="H12" s="332" t="str">
        <f>IF(MAXIFS('単価履歴'!$H:$H,'単価履歴'!$E:$E,H$1,'単価履歴'!$F:$F,$A12,'単価履歴'!$B:$B,MAXIFS('単価履歴'!$B:$B,'単価履歴'!$E:$E,H$1,'単価履歴'!$F:$F,$A12))=0,"",MAXIFS('単価履歴'!$H:$H,'単価履歴'!$E:$E,H$1,'単価履歴'!$F:$F,$A12,'単価履歴'!$B:$B,MAXIFS('単価履歴'!$B:$B,'単価履歴'!$E:$E,H$1,'単価履歴'!$F:$F,$A12)))</f>
        <v/>
      </c>
      <c r="I12" s="332">
        <f>IF(MAXIFS('単価履歴'!$H:$H,'単価履歴'!$E:$E,I$1,'単価履歴'!$F:$F,$A12,'単価履歴'!$B:$B,MAXIFS('単価履歴'!$B:$B,'単価履歴'!$E:$E,I$1,'単価履歴'!$F:$F,$A12))=0,"",MAXIFS('単価履歴'!$H:$H,'単価履歴'!$E:$E,I$1,'単価履歴'!$F:$F,$A12,'単価履歴'!$B:$B,MAXIFS('単価履歴'!$B:$B,'単価履歴'!$E:$E,I$1,'単価履歴'!$F:$F,$A12)))</f>
        <v>57.8</v>
      </c>
      <c r="J12" s="332">
        <f>IF(MAXIFS('単価履歴'!$H:$H,'単価履歴'!$E:$E,J$1,'単価履歴'!$F:$F,$A12,'単価履歴'!$B:$B,MAXIFS('単価履歴'!$B:$B,'単価履歴'!$E:$E,J$1,'単価履歴'!$F:$F,$A12))=0,"",MAXIFS('単価履歴'!$H:$H,'単価履歴'!$E:$E,J$1,'単価履歴'!$F:$F,$A12,'単価履歴'!$B:$B,MAXIFS('単価履歴'!$B:$B,'単価履歴'!$E:$E,J$1,'単価履歴'!$F:$F,$A12)))</f>
        <v>2</v>
      </c>
      <c r="K12" s="332" t="str">
        <f>IF(MAXIFS('単価履歴'!$H:$H,'単価履歴'!$E:$E,K$1,'単価履歴'!$F:$F,$A12,'単価履歴'!$B:$B,MAXIFS('単価履歴'!$B:$B,'単価履歴'!$E:$E,K$1,'単価履歴'!$F:$F,$A12))=0,"",MAXIFS('単価履歴'!$H:$H,'単価履歴'!$E:$E,K$1,'単価履歴'!$F:$F,$A12,'単価履歴'!$B:$B,MAXIFS('単価履歴'!$B:$B,'単価履歴'!$E:$E,K$1,'単価履歴'!$F:$F,$A12)))</f>
        <v/>
      </c>
      <c r="L12" s="332">
        <f>IF(MAXIFS('単価履歴'!$H:$H,'単価履歴'!$E:$E,L$1,'単価履歴'!$F:$F,$A12,'単価履歴'!$B:$B,MAXIFS('単価履歴'!$B:$B,'単価履歴'!$E:$E,L$1,'単価履歴'!$F:$F,$A12))=0,"",MAXIFS('単価履歴'!$H:$H,'単価履歴'!$E:$E,L$1,'単価履歴'!$F:$F,$A12,'単価履歴'!$B:$B,MAXIFS('単価履歴'!$B:$B,'単価履歴'!$E:$E,L$1,'単価履歴'!$F:$F,$A12)))</f>
        <v>37</v>
      </c>
      <c r="M12" s="332">
        <f>IF(MAXIFS('単価履歴'!$H:$H,'単価履歴'!$E:$E,M$1,'単価履歴'!$F:$F,$A12,'単価履歴'!$B:$B,MAXIFS('単価履歴'!$B:$B,'単価履歴'!$E:$E,M$1,'単価履歴'!$F:$F,$A12))=0,"",MAXIFS('単価履歴'!$H:$H,'単価履歴'!$E:$E,M$1,'単価履歴'!$F:$F,$A12,'単価履歴'!$B:$B,MAXIFS('単価履歴'!$B:$B,'単価履歴'!$E:$E,M$1,'単価履歴'!$F:$F,$A12)))</f>
        <v>35.7</v>
      </c>
      <c r="N12" s="332">
        <f>IF(MAXIFS('単価履歴'!$H:$H,'単価履歴'!$E:$E,N$1,'単価履歴'!$F:$F,$A12,'単価履歴'!$B:$B,MAXIFS('単価履歴'!$B:$B,'単価履歴'!$E:$E,N$1,'単価履歴'!$F:$F,$A12))=0,"",MAXIFS('単価履歴'!$H:$H,'単価履歴'!$E:$E,N$1,'単価履歴'!$F:$F,$A12,'単価履歴'!$B:$B,MAXIFS('単価履歴'!$B:$B,'単価履歴'!$E:$E,N$1,'単価履歴'!$F:$F,$A12)))</f>
        <v>51.2</v>
      </c>
      <c r="O12" s="332">
        <f>IF(MAXIFS('単価履歴'!$H:$H,'単価履歴'!$E:$E,O$1,'単価履歴'!$F:$F,$A12,'単価履歴'!$B:$B,MAXIFS('単価履歴'!$B:$B,'単価履歴'!$E:$E,O$1,'単価履歴'!$F:$F,$A12))=0,"",MAXIFS('単価履歴'!$H:$H,'単価履歴'!$E:$E,O$1,'単価履歴'!$F:$F,$A12,'単価履歴'!$B:$B,MAXIFS('単価履歴'!$B:$B,'単価履歴'!$E:$E,O$1,'単価履歴'!$F:$F,$A12)))</f>
        <v>37.3</v>
      </c>
      <c r="P12" s="332" t="str">
        <f>IF(MAXIFS('単価履歴'!$H:$H,'単価履歴'!$E:$E,P$1,'単価履歴'!$F:$F,$A12,'単価履歴'!$B:$B,MAXIFS('単価履歴'!$B:$B,'単価履歴'!$E:$E,P$1,'単価履歴'!$F:$F,$A12))=0,"",MAXIFS('単価履歴'!$H:$H,'単価履歴'!$E:$E,P$1,'単価履歴'!$F:$F,$A12,'単価履歴'!$B:$B,MAXIFS('単価履歴'!$B:$B,'単価履歴'!$E:$E,P$1,'単価履歴'!$F:$F,$A12)))</f>
        <v/>
      </c>
      <c r="Q12" s="332" t="str">
        <f>IF(MAXIFS('単価履歴'!$H:$H,'単価履歴'!$E:$E,Q$1,'単価履歴'!$F:$F,$A12,'単価履歴'!$B:$B,MAXIFS('単価履歴'!$B:$B,'単価履歴'!$E:$E,Q$1,'単価履歴'!$F:$F,$A12))=0,"",MAXIFS('単価履歴'!$H:$H,'単価履歴'!$E:$E,Q$1,'単価履歴'!$F:$F,$A12,'単価履歴'!$B:$B,MAXIFS('単価履歴'!$B:$B,'単価履歴'!$E:$E,Q$1,'単価履歴'!$F:$F,$A12)))</f>
        <v/>
      </c>
      <c r="R12" s="332" t="str">
        <f>IF(MAXIFS('単価履歴'!$H:$H,'単価履歴'!$E:$E,R$1,'単価履歴'!$F:$F,$A12,'単価履歴'!$B:$B,MAXIFS('単価履歴'!$B:$B,'単価履歴'!$E:$E,R$1,'単価履歴'!$F:$F,$A12))=0,"",MAXIFS('単価履歴'!$H:$H,'単価履歴'!$E:$E,R$1,'単価履歴'!$F:$F,$A12,'単価履歴'!$B:$B,MAXIFS('単価履歴'!$B:$B,'単価履歴'!$E:$E,R$1,'単価履歴'!$F:$F,$A12)))</f>
        <v/>
      </c>
      <c r="S12" s="332" t="str">
        <f>IF(MAXIFS('単価履歴'!$H:$H,'単価履歴'!$E:$E,S$1,'単価履歴'!$F:$F,$A12,'単価履歴'!$B:$B,MAXIFS('単価履歴'!$B:$B,'単価履歴'!$E:$E,S$1,'単価履歴'!$F:$F,$A12))=0,"",MAXIFS('単価履歴'!$H:$H,'単価履歴'!$E:$E,S$1,'単価履歴'!$F:$F,$A12,'単価履歴'!$B:$B,MAXIFS('単価履歴'!$B:$B,'単価履歴'!$E:$E,S$1,'単価履歴'!$F:$F,$A12)))</f>
        <v/>
      </c>
      <c r="T12" s="332" t="str">
        <f>IF(MAXIFS('単価履歴'!$H:$H,'単価履歴'!$E:$E,T$1,'単価履歴'!$F:$F,$A12,'単価履歴'!$B:$B,MAXIFS('単価履歴'!$B:$B,'単価履歴'!$E:$E,T$1,'単価履歴'!$F:$F,$A12))=0,"",MAXIFS('単価履歴'!$H:$H,'単価履歴'!$E:$E,T$1,'単価履歴'!$F:$F,$A12,'単価履歴'!$B:$B,MAXIFS('単価履歴'!$B:$B,'単価履歴'!$E:$E,T$1,'単価履歴'!$F:$F,$A12)))</f>
        <v/>
      </c>
      <c r="U12" s="332" t="str">
        <f>IF(MAXIFS('単価履歴'!$H:$H,'単価履歴'!$E:$E,U$1,'単価履歴'!$F:$F,$A12,'単価履歴'!$B:$B,MAXIFS('単価履歴'!$B:$B,'単価履歴'!$E:$E,U$1,'単価履歴'!$F:$F,$A12))=0,"",MAXIFS('単価履歴'!$H:$H,'単価履歴'!$E:$E,U$1,'単価履歴'!$F:$F,$A12,'単価履歴'!$B:$B,MAXIFS('単価履歴'!$B:$B,'単価履歴'!$E:$E,U$1,'単価履歴'!$F:$F,$A12)))</f>
        <v/>
      </c>
      <c r="V12" s="332" t="str">
        <f>IF(MAXIFS('単価履歴'!$H:$H,'単価履歴'!$E:$E,V$1,'単価履歴'!$F:$F,$A12,'単価履歴'!$B:$B,MAXIFS('単価履歴'!$B:$B,'単価履歴'!$E:$E,V$1,'単価履歴'!$F:$F,$A12))=0,"",MAXIFS('単価履歴'!$H:$H,'単価履歴'!$E:$E,V$1,'単価履歴'!$F:$F,$A12,'単価履歴'!$B:$B,MAXIFS('単価履歴'!$B:$B,'単価履歴'!$E:$E,V$1,'単価履歴'!$F:$F,$A12)))</f>
        <v/>
      </c>
      <c r="W12" s="332" t="str">
        <f>IF(MAXIFS('単価履歴'!$H:$H,'単価履歴'!$E:$E,W$1,'単価履歴'!$F:$F,$A12,'単価履歴'!$B:$B,MAXIFS('単価履歴'!$B:$B,'単価履歴'!$E:$E,W$1,'単価履歴'!$F:$F,$A12))=0,"",MAXIFS('単価履歴'!$H:$H,'単価履歴'!$E:$E,W$1,'単価履歴'!$F:$F,$A12,'単価履歴'!$B:$B,MAXIFS('単価履歴'!$B:$B,'単価履歴'!$E:$E,W$1,'単価履歴'!$F:$F,$A12)))</f>
        <v/>
      </c>
      <c r="X12" s="332" t="str">
        <f>IF(MAXIFS('単価履歴'!$H:$H,'単価履歴'!$E:$E,X$1,'単価履歴'!$F:$F,$A12,'単価履歴'!$B:$B,MAXIFS('単価履歴'!$B:$B,'単価履歴'!$E:$E,X$1,'単価履歴'!$F:$F,$A12))=0,"",MAXIFS('単価履歴'!$H:$H,'単価履歴'!$E:$E,X$1,'単価履歴'!$F:$F,$A12,'単価履歴'!$B:$B,MAXIFS('単価履歴'!$B:$B,'単価履歴'!$E:$E,X$1,'単価履歴'!$F:$F,$A12)))</f>
        <v/>
      </c>
      <c r="Y12" s="332" t="str">
        <f>IF(MAXIFS('単価履歴'!$H:$H,'単価履歴'!$E:$E,Y$1,'単価履歴'!$F:$F,$A12,'単価履歴'!$B:$B,MAXIFS('単価履歴'!$B:$B,'単価履歴'!$E:$E,Y$1,'単価履歴'!$F:$F,$A12))=0,"",MAXIFS('単価履歴'!$H:$H,'単価履歴'!$E:$E,Y$1,'単価履歴'!$F:$F,$A12,'単価履歴'!$B:$B,MAXIFS('単価履歴'!$B:$B,'単価履歴'!$E:$E,Y$1,'単価履歴'!$F:$F,$A12)))</f>
        <v/>
      </c>
      <c r="Z12" s="332" t="str">
        <f>IF(MAXIFS('単価履歴'!$H:$H,'単価履歴'!$E:$E,Z$1,'単価履歴'!$F:$F,$A12,'単価履歴'!$B:$B,MAXIFS('単価履歴'!$B:$B,'単価履歴'!$E:$E,Z$1,'単価履歴'!$F:$F,$A12))=0,"",MAXIFS('単価履歴'!$H:$H,'単価履歴'!$E:$E,Z$1,'単価履歴'!$F:$F,$A12,'単価履歴'!$B:$B,MAXIFS('単価履歴'!$B:$B,'単価履歴'!$E:$E,Z$1,'単価履歴'!$F:$F,$A12)))</f>
        <v/>
      </c>
      <c r="AA12" s="332" t="str">
        <f>IF(MAXIFS('単価履歴'!$H:$H,'単価履歴'!$E:$E,AA$1,'単価履歴'!$F:$F,$A12,'単価履歴'!$B:$B,MAXIFS('単価履歴'!$B:$B,'単価履歴'!$E:$E,AA$1,'単価履歴'!$F:$F,$A12))=0,"",MAXIFS('単価履歴'!$H:$H,'単価履歴'!$E:$E,AA$1,'単価履歴'!$F:$F,$A12,'単価履歴'!$B:$B,MAXIFS('単価履歴'!$B:$B,'単価履歴'!$E:$E,AA$1,'単価履歴'!$F:$F,$A12)))</f>
        <v/>
      </c>
      <c r="AB12" s="332" t="str">
        <f>IF(MAXIFS('単価履歴'!$H:$H,'単価履歴'!$E:$E,AB$1,'単価履歴'!$F:$F,$A12,'単価履歴'!$B:$B,MAXIFS('単価履歴'!$B:$B,'単価履歴'!$E:$E,AB$1,'単価履歴'!$F:$F,$A12))=0,"",MAXIFS('単価履歴'!$H:$H,'単価履歴'!$E:$E,AB$1,'単価履歴'!$F:$F,$A12,'単価履歴'!$B:$B,MAXIFS('単価履歴'!$B:$B,'単価履歴'!$E:$E,AB$1,'単価履歴'!$F:$F,$A12)))</f>
        <v/>
      </c>
      <c r="AC12" s="332" t="str">
        <f>IF(MAXIFS('単価履歴'!$H:$H,'単価履歴'!$E:$E,AC$1,'単価履歴'!$F:$F,$A12,'単価履歴'!$B:$B,MAXIFS('単価履歴'!$B:$B,'単価履歴'!$E:$E,AC$1,'単価履歴'!$F:$F,$A12))=0,"",MAXIFS('単価履歴'!$H:$H,'単価履歴'!$E:$E,AC$1,'単価履歴'!$F:$F,$A12,'単価履歴'!$B:$B,MAXIFS('単価履歴'!$B:$B,'単価履歴'!$E:$E,AC$1,'単価履歴'!$F:$F,$A12)))</f>
        <v/>
      </c>
      <c r="AD12" s="332" t="str">
        <f>IF(MAXIFS('単価履歴'!$H:$H,'単価履歴'!$E:$E,AD$1,'単価履歴'!$F:$F,$A12,'単価履歴'!$B:$B,MAXIFS('単価履歴'!$B:$B,'単価履歴'!$E:$E,AD$1,'単価履歴'!$F:$F,$A12))=0,"",MAXIFS('単価履歴'!$H:$H,'単価履歴'!$E:$E,AD$1,'単価履歴'!$F:$F,$A12,'単価履歴'!$B:$B,MAXIFS('単価履歴'!$B:$B,'単価履歴'!$E:$E,AD$1,'単価履歴'!$F:$F,$A12)))</f>
        <v/>
      </c>
      <c r="AE12" s="332" t="str">
        <f>IF(MAXIFS('単価履歴'!$H:$H,'単価履歴'!$E:$E,AE$1,'単価履歴'!$F:$F,$A12,'単価履歴'!$B:$B,MAXIFS('単価履歴'!$B:$B,'単価履歴'!$E:$E,AE$1,'単価履歴'!$F:$F,$A12))=0,"",MAXIFS('単価履歴'!$H:$H,'単価履歴'!$E:$E,AE$1,'単価履歴'!$F:$F,$A12,'単価履歴'!$B:$B,MAXIFS('単価履歴'!$B:$B,'単価履歴'!$E:$E,AE$1,'単価履歴'!$F:$F,$A12)))</f>
        <v/>
      </c>
      <c r="AF12" s="332" t="str">
        <f>IF(MAXIFS('単価履歴'!$H:$H,'単価履歴'!$E:$E,AF$1,'単価履歴'!$F:$F,$A12,'単価履歴'!$B:$B,MAXIFS('単価履歴'!$B:$B,'単価履歴'!$E:$E,AF$1,'単価履歴'!$F:$F,$A12))=0,"",MAXIFS('単価履歴'!$H:$H,'単価履歴'!$E:$E,AF$1,'単価履歴'!$F:$F,$A12,'単価履歴'!$B:$B,MAXIFS('単価履歴'!$B:$B,'単価履歴'!$E:$E,AF$1,'単価履歴'!$F:$F,$A12)))</f>
        <v/>
      </c>
      <c r="AG12" s="332" t="str">
        <f>IF(MAXIFS('単価履歴'!$H:$H,'単価履歴'!$E:$E,AG$1,'単価履歴'!$F:$F,$A12,'単価履歴'!$B:$B,MAXIFS('単価履歴'!$B:$B,'単価履歴'!$E:$E,AG$1,'単価履歴'!$F:$F,$A12))=0,"",MAXIFS('単価履歴'!$H:$H,'単価履歴'!$E:$E,AG$1,'単価履歴'!$F:$F,$A12,'単価履歴'!$B:$B,MAXIFS('単価履歴'!$B:$B,'単価履歴'!$E:$E,AG$1,'単価履歴'!$F:$F,$A12)))</f>
        <v/>
      </c>
      <c r="AH12" s="332" t="str">
        <f>IF(MAXIFS('単価履歴'!$H:$H,'単価履歴'!$E:$E,AH$1,'単価履歴'!$F:$F,$A12,'単価履歴'!$B:$B,MAXIFS('単価履歴'!$B:$B,'単価履歴'!$E:$E,AH$1,'単価履歴'!$F:$F,$A12))=0,"",MAXIFS('単価履歴'!$H:$H,'単価履歴'!$E:$E,AH$1,'単価履歴'!$F:$F,$A12,'単価履歴'!$B:$B,MAXIFS('単価履歴'!$B:$B,'単価履歴'!$E:$E,AH$1,'単価履歴'!$F:$F,$A12)))</f>
        <v/>
      </c>
      <c r="AI12" s="332" t="str">
        <f>IF(MAXIFS('単価履歴'!$H:$H,'単価履歴'!$E:$E,AI$1,'単価履歴'!$F:$F,$A12,'単価履歴'!$B:$B,MAXIFS('単価履歴'!$B:$B,'単価履歴'!$E:$E,AI$1,'単価履歴'!$F:$F,$A12))=0,"",MAXIFS('単価履歴'!$H:$H,'単価履歴'!$E:$E,AI$1,'単価履歴'!$F:$F,$A12,'単価履歴'!$B:$B,MAXIFS('単価履歴'!$B:$B,'単価履歴'!$E:$E,AI$1,'単価履歴'!$F:$F,$A12)))</f>
        <v/>
      </c>
      <c r="AJ12" s="332" t="str">
        <f>IF(MAXIFS('単価履歴'!$H:$H,'単価履歴'!$E:$E,AJ$1,'単価履歴'!$F:$F,$A12,'単価履歴'!$B:$B,MAXIFS('単価履歴'!$B:$B,'単価履歴'!$E:$E,AJ$1,'単価履歴'!$F:$F,$A12))=0,"",MAXIFS('単価履歴'!$H:$H,'単価履歴'!$E:$E,AJ$1,'単価履歴'!$F:$F,$A12,'単価履歴'!$B:$B,MAXIFS('単価履歴'!$B:$B,'単価履歴'!$E:$E,AJ$1,'単価履歴'!$F:$F,$A12)))</f>
        <v/>
      </c>
      <c r="AK12" s="332" t="str">
        <f>IF(MAXIFS('単価履歴'!$H:$H,'単価履歴'!$E:$E,AK$1,'単価履歴'!$F:$F,$A12,'単価履歴'!$B:$B,MAXIFS('単価履歴'!$B:$B,'単価履歴'!$E:$E,AK$1,'単価履歴'!$F:$F,$A12))=0,"",MAXIFS('単価履歴'!$H:$H,'単価履歴'!$E:$E,AK$1,'単価履歴'!$F:$F,$A12,'単価履歴'!$B:$B,MAXIFS('単価履歴'!$B:$B,'単価履歴'!$E:$E,AK$1,'単価履歴'!$F:$F,$A12)))</f>
        <v/>
      </c>
      <c r="AL12" s="332" t="str">
        <f>IF(MAXIFS('単価履歴'!$H:$H,'単価履歴'!$E:$E,AL$1,'単価履歴'!$F:$F,$A12,'単価履歴'!$B:$B,MAXIFS('単価履歴'!$B:$B,'単価履歴'!$E:$E,AL$1,'単価履歴'!$F:$F,$A12))=0,"",MAXIFS('単価履歴'!$H:$H,'単価履歴'!$E:$E,AL$1,'単価履歴'!$F:$F,$A12,'単価履歴'!$B:$B,MAXIFS('単価履歴'!$B:$B,'単価履歴'!$E:$E,AL$1,'単価履歴'!$F:$F,$A12)))</f>
        <v/>
      </c>
      <c r="AM12" s="332" t="str">
        <f>IF(MAXIFS('単価履歴'!$H:$H,'単価履歴'!$E:$E,AM$1,'単価履歴'!$F:$F,$A12,'単価履歴'!$B:$B,MAXIFS('単価履歴'!$B:$B,'単価履歴'!$E:$E,AM$1,'単価履歴'!$F:$F,$A12))=0,"",MAXIFS('単価履歴'!$H:$H,'単価履歴'!$E:$E,AM$1,'単価履歴'!$F:$F,$A12,'単価履歴'!$B:$B,MAXIFS('単価履歴'!$B:$B,'単価履歴'!$E:$E,AM$1,'単価履歴'!$F:$F,$A12)))</f>
        <v/>
      </c>
      <c r="AN12" s="332">
        <f>IF(MAXIFS('単価履歴'!$H:$H,'単価履歴'!$E:$E,AN$1,'単価履歴'!$F:$F,$A12,'単価履歴'!$B:$B,MAXIFS('単価履歴'!$B:$B,'単価履歴'!$E:$E,AN$1,'単価履歴'!$F:$F,$A12))=0,"",MAXIFS('単価履歴'!$H:$H,'単価履歴'!$E:$E,AN$1,'単価履歴'!$F:$F,$A12,'単価履歴'!$B:$B,MAXIFS('単価履歴'!$B:$B,'単価履歴'!$E:$E,AN$1,'単価履歴'!$F:$F,$A12)))</f>
        <v>54</v>
      </c>
      <c r="AO12" s="332" t="str">
        <f>IF(MAXIFS('単価履歴'!$H:$H,'単価履歴'!$E:$E,AO$1,'単価履歴'!$F:$F,$A12,'単価履歴'!$B:$B,MAXIFS('単価履歴'!$B:$B,'単価履歴'!$E:$E,AO$1,'単価履歴'!$F:$F,$A12))=0,"",MAXIFS('単価履歴'!$H:$H,'単価履歴'!$E:$E,AO$1,'単価履歴'!$F:$F,$A12,'単価履歴'!$B:$B,MAXIFS('単価履歴'!$B:$B,'単価履歴'!$E:$E,AO$1,'単価履歴'!$F:$F,$A12)))</f>
        <v/>
      </c>
      <c r="AP12" s="332" t="str">
        <f>IF(MAXIFS('単価履歴'!$H:$H,'単価履歴'!$E:$E,AP$1,'単価履歴'!$F:$F,$A12,'単価履歴'!$B:$B,MAXIFS('単価履歴'!$B:$B,'単価履歴'!$E:$E,AP$1,'単価履歴'!$F:$F,$A12))=0,"",MAXIFS('単価履歴'!$H:$H,'単価履歴'!$E:$E,AP$1,'単価履歴'!$F:$F,$A12,'単価履歴'!$B:$B,MAXIFS('単価履歴'!$B:$B,'単価履歴'!$E:$E,AP$1,'単価履歴'!$F:$F,$A12)))</f>
        <v/>
      </c>
      <c r="AQ12" s="332">
        <f>IF(MAXIFS('単価履歴'!$H:$H,'単価履歴'!$E:$E,AQ$1,'単価履歴'!$F:$F,$A12,'単価履歴'!$B:$B,MAXIFS('単価履歴'!$B:$B,'単価履歴'!$E:$E,AQ$1,'単価履歴'!$F:$F,$A12))=0,"",MAXIFS('単価履歴'!$H:$H,'単価履歴'!$E:$E,AQ$1,'単価履歴'!$F:$F,$A12,'単価履歴'!$B:$B,MAXIFS('単価履歴'!$B:$B,'単価履歴'!$E:$E,AQ$1,'単価履歴'!$F:$F,$A12)))</f>
        <v>57.3</v>
      </c>
      <c r="AR12" s="332" t="str">
        <f>IF(MAXIFS('単価履歴'!$H:$H,'単価履歴'!$E:$E,AR$1,'単価履歴'!$F:$F,$A12,'単価履歴'!$B:$B,MAXIFS('単価履歴'!$B:$B,'単価履歴'!$E:$E,AR$1,'単価履歴'!$F:$F,$A12))=0,"",MAXIFS('単価履歴'!$H:$H,'単価履歴'!$E:$E,AR$1,'単価履歴'!$F:$F,$A12,'単価履歴'!$B:$B,MAXIFS('単価履歴'!$B:$B,'単価履歴'!$E:$E,AR$1,'単価履歴'!$F:$F,$A12)))</f>
        <v/>
      </c>
      <c r="AS12" s="332">
        <f>IF(MAXIFS('単価履歴'!$H:$H,'単価履歴'!$E:$E,AS$1,'単価履歴'!$F:$F,$A12,'単価履歴'!$B:$B,MAXIFS('単価履歴'!$B:$B,'単価履歴'!$E:$E,AS$1,'単価履歴'!$F:$F,$A12))=0,"",MAXIFS('単価履歴'!$H:$H,'単価履歴'!$E:$E,AS$1,'単価履歴'!$F:$F,$A12,'単価履歴'!$B:$B,MAXIFS('単価履歴'!$B:$B,'単価履歴'!$E:$E,AS$1,'単価履歴'!$F:$F,$A12)))</f>
        <v>57.5</v>
      </c>
      <c r="AT12" s="332" t="str">
        <f>IF(MAXIFS('単価履歴'!$H:$H,'単価履歴'!$E:$E,AT$1,'単価履歴'!$F:$F,$A12,'単価履歴'!$B:$B,MAXIFS('単価履歴'!$B:$B,'単価履歴'!$E:$E,AT$1,'単価履歴'!$F:$F,$A12))=0,"",MAXIFS('単価履歴'!$H:$H,'単価履歴'!$E:$E,AT$1,'単価履歴'!$F:$F,$A12,'単価履歴'!$B:$B,MAXIFS('単価履歴'!$B:$B,'単価履歴'!$E:$E,AT$1,'単価履歴'!$F:$F,$A12)))</f>
        <v/>
      </c>
      <c r="AU12" s="332">
        <f>IF(MAXIFS('単価履歴'!$H:$H,'単価履歴'!$E:$E,AU$1,'単価履歴'!$F:$F,$A12,'単価履歴'!$B:$B,MAXIFS('単価履歴'!$B:$B,'単価履歴'!$E:$E,AU$1,'単価履歴'!$F:$F,$A12))=0,"",MAXIFS('単価履歴'!$H:$H,'単価履歴'!$E:$E,AU$1,'単価履歴'!$F:$F,$A12,'単価履歴'!$B:$B,MAXIFS('単価履歴'!$B:$B,'単価履歴'!$E:$E,AU$1,'単価履歴'!$F:$F,$A12)))</f>
        <v>55.5</v>
      </c>
      <c r="AV12" s="332" t="str">
        <f>IF(MAXIFS('単価履歴'!$H:$H,'単価履歴'!$E:$E,AV$1,'単価履歴'!$F:$F,$A12,'単価履歴'!$B:$B,MAXIFS('単価履歴'!$B:$B,'単価履歴'!$E:$E,AV$1,'単価履歴'!$F:$F,$A12))=0,"",MAXIFS('単価履歴'!$H:$H,'単価履歴'!$E:$E,AV$1,'単価履歴'!$F:$F,$A12,'単価履歴'!$B:$B,MAXIFS('単価履歴'!$B:$B,'単価履歴'!$E:$E,AV$1,'単価履歴'!$F:$F,$A12)))</f>
        <v/>
      </c>
      <c r="AW12" s="332" t="str">
        <f>IF(MAXIFS('単価履歴'!$H:$H,'単価履歴'!$E:$E,AW$1,'単価履歴'!$F:$F,$A12,'単価履歴'!$B:$B,MAXIFS('単価履歴'!$B:$B,'単価履歴'!$E:$E,AW$1,'単価履歴'!$F:$F,$A12))=0,"",MAXIFS('単価履歴'!$H:$H,'単価履歴'!$E:$E,AW$1,'単価履歴'!$F:$F,$A12,'単価履歴'!$B:$B,MAXIFS('単価履歴'!$B:$B,'単価履歴'!$E:$E,AW$1,'単価履歴'!$F:$F,$A12)))</f>
        <v/>
      </c>
      <c r="AX12" s="332">
        <f>IF(MAXIFS('単価履歴'!$H:$H,'単価履歴'!$E:$E,AX$1,'単価履歴'!$F:$F,$A12,'単価履歴'!$B:$B,MAXIFS('単価履歴'!$B:$B,'単価履歴'!$E:$E,AX$1,'単価履歴'!$F:$F,$A12))=0,"",MAXIFS('単価履歴'!$H:$H,'単価履歴'!$E:$E,AX$1,'単価履歴'!$F:$F,$A12,'単価履歴'!$B:$B,MAXIFS('単価履歴'!$B:$B,'単価履歴'!$E:$E,AX$1,'単価履歴'!$F:$F,$A12)))</f>
        <v>58</v>
      </c>
      <c r="AY12" s="332">
        <f>IF(MAXIFS('単価履歴'!$H:$H,'単価履歴'!$E:$E,AY$1,'単価履歴'!$F:$F,$A12,'単価履歴'!$B:$B,MAXIFS('単価履歴'!$B:$B,'単価履歴'!$E:$E,AY$1,'単価履歴'!$F:$F,$A12))=0,"",MAXIFS('単価履歴'!$H:$H,'単価履歴'!$E:$E,AY$1,'単価履歴'!$F:$F,$A12,'単価履歴'!$B:$B,MAXIFS('単価履歴'!$B:$B,'単価履歴'!$E:$E,AY$1,'単価履歴'!$F:$F,$A12)))</f>
        <v>55.5</v>
      </c>
      <c r="AZ12" s="332" t="str">
        <f>IF(MAXIFS('単価履歴'!$H:$H,'単価履歴'!$E:$E,AZ$1,'単価履歴'!$F:$F,$A12,'単価履歴'!$B:$B,MAXIFS('単価履歴'!$B:$B,'単価履歴'!$E:$E,AZ$1,'単価履歴'!$F:$F,$A12))=0,"",MAXIFS('単価履歴'!$H:$H,'単価履歴'!$E:$E,AZ$1,'単価履歴'!$F:$F,$A12,'単価履歴'!$B:$B,MAXIFS('単価履歴'!$B:$B,'単価履歴'!$E:$E,AZ$1,'単価履歴'!$F:$F,$A12)))</f>
        <v/>
      </c>
      <c r="BA12" s="332" t="str">
        <f>IF(MAXIFS('単価履歴'!$H:$H,'単価履歴'!$E:$E,BA$1,'単価履歴'!$F:$F,$A12,'単価履歴'!$B:$B,MAXIFS('単価履歴'!$B:$B,'単価履歴'!$E:$E,BA$1,'単価履歴'!$F:$F,$A12))=0,"",MAXIFS('単価履歴'!$H:$H,'単価履歴'!$E:$E,BA$1,'単価履歴'!$F:$F,$A12,'単価履歴'!$B:$B,MAXIFS('単価履歴'!$B:$B,'単価履歴'!$E:$E,BA$1,'単価履歴'!$F:$F,$A12)))</f>
        <v/>
      </c>
      <c r="BB12" s="332" t="str">
        <f>IF(MAXIFS('単価履歴'!$H:$H,'単価履歴'!$E:$E,BB$1,'単価履歴'!$F:$F,$A12,'単価履歴'!$B:$B,MAXIFS('単価履歴'!$B:$B,'単価履歴'!$E:$E,BB$1,'単価履歴'!$F:$F,$A12))=0,"",MAXIFS('単価履歴'!$H:$H,'単価履歴'!$E:$E,BB$1,'単価履歴'!$F:$F,$A12,'単価履歴'!$B:$B,MAXIFS('単価履歴'!$B:$B,'単価履歴'!$E:$E,BB$1,'単価履歴'!$F:$F,$A12)))</f>
        <v/>
      </c>
      <c r="BC12" s="332" t="str">
        <f>IF(MAXIFS('単価履歴'!$H:$H,'単価履歴'!$E:$E,BC$1,'単価履歴'!$F:$F,$A12,'単価履歴'!$B:$B,MAXIFS('単価履歴'!$B:$B,'単価履歴'!$E:$E,BC$1,'単価履歴'!$F:$F,$A12))=0,"",MAXIFS('単価履歴'!$H:$H,'単価履歴'!$E:$E,BC$1,'単価履歴'!$F:$F,$A12,'単価履歴'!$B:$B,MAXIFS('単価履歴'!$B:$B,'単価履歴'!$E:$E,BC$1,'単価履歴'!$F:$F,$A12)))</f>
        <v/>
      </c>
      <c r="BD12" s="332" t="str">
        <f>IF(MAXIFS('単価履歴'!$H:$H,'単価履歴'!$E:$E,BD$1,'単価履歴'!$F:$F,$A12,'単価履歴'!$B:$B,MAXIFS('単価履歴'!$B:$B,'単価履歴'!$E:$E,BD$1,'単価履歴'!$F:$F,$A12))=0,"",MAXIFS('単価履歴'!$H:$H,'単価履歴'!$E:$E,BD$1,'単価履歴'!$F:$F,$A12,'単価履歴'!$B:$B,MAXIFS('単価履歴'!$B:$B,'単価履歴'!$E:$E,BD$1,'単価履歴'!$F:$F,$A12)))</f>
        <v/>
      </c>
      <c r="BE12" s="332" t="str">
        <f>IF(MAXIFS('単価履歴'!$H:$H,'単価履歴'!$E:$E,BE$1,'単価履歴'!$F:$F,$A12,'単価履歴'!$B:$B,MAXIFS('単価履歴'!$B:$B,'単価履歴'!$E:$E,BE$1,'単価履歴'!$F:$F,$A12))=0,"",MAXIFS('単価履歴'!$H:$H,'単価履歴'!$E:$E,BE$1,'単価履歴'!$F:$F,$A12,'単価履歴'!$B:$B,MAXIFS('単価履歴'!$B:$B,'単価履歴'!$E:$E,BE$1,'単価履歴'!$F:$F,$A12)))</f>
        <v/>
      </c>
      <c r="BF12" s="332" t="str">
        <f>IF(MAXIFS('単価履歴'!$H:$H,'単価履歴'!$E:$E,BF$1,'単価履歴'!$F:$F,$A12,'単価履歴'!$B:$B,MAXIFS('単価履歴'!$B:$B,'単価履歴'!$E:$E,BF$1,'単価履歴'!$F:$F,$A12))=0,"",MAXIFS('単価履歴'!$H:$H,'単価履歴'!$E:$E,BF$1,'単価履歴'!$F:$F,$A12,'単価履歴'!$B:$B,MAXIFS('単価履歴'!$B:$B,'単価履歴'!$E:$E,BF$1,'単価履歴'!$F:$F,$A12)))</f>
        <v/>
      </c>
      <c r="BG12" s="332" t="str">
        <f>IF(MAXIFS('単価履歴'!$H:$H,'単価履歴'!$E:$E,BG$1,'単価履歴'!$F:$F,$A12,'単価履歴'!$B:$B,MAXIFS('単価履歴'!$B:$B,'単価履歴'!$E:$E,BG$1,'単価履歴'!$F:$F,$A12))=0,"",MAXIFS('単価履歴'!$H:$H,'単価履歴'!$E:$E,BG$1,'単価履歴'!$F:$F,$A12,'単価履歴'!$B:$B,MAXIFS('単価履歴'!$B:$B,'単価履歴'!$E:$E,BG$1,'単価履歴'!$F:$F,$A12)))</f>
        <v/>
      </c>
      <c r="BH12" s="332" t="str">
        <f>IF(MAXIFS('単価履歴'!$H:$H,'単価履歴'!$E:$E,BH$1,'単価履歴'!$F:$F,$A12,'単価履歴'!$B:$B,MAXIFS('単価履歴'!$B:$B,'単価履歴'!$E:$E,BH$1,'単価履歴'!$F:$F,$A12))=0,"",MAXIFS('単価履歴'!$H:$H,'単価履歴'!$E:$E,BH$1,'単価履歴'!$F:$F,$A12,'単価履歴'!$B:$B,MAXIFS('単価履歴'!$B:$B,'単価履歴'!$E:$E,BH$1,'単価履歴'!$F:$F,$A12)))</f>
        <v/>
      </c>
      <c r="BI12" s="332" t="str">
        <f>IF(MAXIFS('単価履歴'!$H:$H,'単価履歴'!$E:$E,BI$1,'単価履歴'!$F:$F,$A12,'単価履歴'!$B:$B,MAXIFS('単価履歴'!$B:$B,'単価履歴'!$E:$E,BI$1,'単価履歴'!$F:$F,$A12))=0,"",MAXIFS('単価履歴'!$H:$H,'単価履歴'!$E:$E,BI$1,'単価履歴'!$F:$F,$A12,'単価履歴'!$B:$B,MAXIFS('単価履歴'!$B:$B,'単価履歴'!$E:$E,BI$1,'単価履歴'!$F:$F,$A12)))</f>
        <v/>
      </c>
      <c r="BJ12" s="332" t="str">
        <f>IF(MAXIFS('単価履歴'!$H:$H,'単価履歴'!$E:$E,BJ$1,'単価履歴'!$F:$F,$A12,'単価履歴'!$B:$B,MAXIFS('単価履歴'!$B:$B,'単価履歴'!$E:$E,BJ$1,'単価履歴'!$F:$F,$A12))=0,"",MAXIFS('単価履歴'!$H:$H,'単価履歴'!$E:$E,BJ$1,'単価履歴'!$F:$F,$A12,'単価履歴'!$B:$B,MAXIFS('単価履歴'!$B:$B,'単価履歴'!$E:$E,BJ$1,'単価履歴'!$F:$F,$A12)))</f>
        <v/>
      </c>
      <c r="BK12" s="332" t="str">
        <f>IF(MAXIFS('単価履歴'!$H:$H,'単価履歴'!$E:$E,BK$1,'単価履歴'!$F:$F,$A12,'単価履歴'!$B:$B,MAXIFS('単価履歴'!$B:$B,'単価履歴'!$E:$E,BK$1,'単価履歴'!$F:$F,$A12))=0,"",MAXIFS('単価履歴'!$H:$H,'単価履歴'!$E:$E,BK$1,'単価履歴'!$F:$F,$A12,'単価履歴'!$B:$B,MAXIFS('単価履歴'!$B:$B,'単価履歴'!$E:$E,BK$1,'単価履歴'!$F:$F,$A12)))</f>
        <v/>
      </c>
      <c r="BL12" s="332" t="str">
        <f>IF(MAXIFS('単価履歴'!$H:$H,'単価履歴'!$E:$E,BL$1,'単価履歴'!$F:$F,$A12,'単価履歴'!$B:$B,MAXIFS('単価履歴'!$B:$B,'単価履歴'!$E:$E,BL$1,'単価履歴'!$F:$F,$A12))=0,"",MAXIFS('単価履歴'!$H:$H,'単価履歴'!$E:$E,BL$1,'単価履歴'!$F:$F,$A12,'単価履歴'!$B:$B,MAXIFS('単価履歴'!$B:$B,'単価履歴'!$E:$E,BL$1,'単価履歴'!$F:$F,$A12)))</f>
        <v/>
      </c>
      <c r="BM12" s="332" t="str">
        <f>IF(MAXIFS('単価履歴'!$H:$H,'単価履歴'!$E:$E,BM$1,'単価履歴'!$F:$F,$A12,'単価履歴'!$B:$B,MAXIFS('単価履歴'!$B:$B,'単価履歴'!$E:$E,BM$1,'単価履歴'!$F:$F,$A12))=0,"",MAXIFS('単価履歴'!$H:$H,'単価履歴'!$E:$E,BM$1,'単価履歴'!$F:$F,$A12,'単価履歴'!$B:$B,MAXIFS('単価履歴'!$B:$B,'単価履歴'!$E:$E,BM$1,'単価履歴'!$F:$F,$A12)))</f>
        <v/>
      </c>
      <c r="BN12" s="332" t="str">
        <f>IF(MAXIFS('単価履歴'!$H:$H,'単価履歴'!$E:$E,BN$1,'単価履歴'!$F:$F,$A12,'単価履歴'!$B:$B,MAXIFS('単価履歴'!$B:$B,'単価履歴'!$E:$E,BN$1,'単価履歴'!$F:$F,$A12))=0,"",MAXIFS('単価履歴'!$H:$H,'単価履歴'!$E:$E,BN$1,'単価履歴'!$F:$F,$A12,'単価履歴'!$B:$B,MAXIFS('単価履歴'!$B:$B,'単価履歴'!$E:$E,BN$1,'単価履歴'!$F:$F,$A12)))</f>
        <v/>
      </c>
      <c r="BO12" s="332" t="str">
        <f>IF(MAXIFS('単価履歴'!$H:$H,'単価履歴'!$E:$E,BO$1,'単価履歴'!$F:$F,$A12,'単価履歴'!$B:$B,MAXIFS('単価履歴'!$B:$B,'単価履歴'!$E:$E,BO$1,'単価履歴'!$F:$F,$A12))=0,"",MAXIFS('単価履歴'!$H:$H,'単価履歴'!$E:$E,BO$1,'単価履歴'!$F:$F,$A12,'単価履歴'!$B:$B,MAXIFS('単価履歴'!$B:$B,'単価履歴'!$E:$E,BO$1,'単価履歴'!$F:$F,$A12)))</f>
        <v/>
      </c>
      <c r="BP12" s="332" t="str">
        <f>IF(MAXIFS('単価履歴'!$H:$H,'単価履歴'!$E:$E,BP$1,'単価履歴'!$F:$F,$A12,'単価履歴'!$B:$B,MAXIFS('単価履歴'!$B:$B,'単価履歴'!$E:$E,BP$1,'単価履歴'!$F:$F,$A12))=0,"",MAXIFS('単価履歴'!$H:$H,'単価履歴'!$E:$E,BP$1,'単価履歴'!$F:$F,$A12,'単価履歴'!$B:$B,MAXIFS('単価履歴'!$B:$B,'単価履歴'!$E:$E,BP$1,'単価履歴'!$F:$F,$A12)))</f>
        <v/>
      </c>
      <c r="BQ12" s="332" t="str">
        <f>IF(MAXIFS('単価履歴'!$H:$H,'単価履歴'!$E:$E,BQ$1,'単価履歴'!$F:$F,$A12,'単価履歴'!$B:$B,MAXIFS('単価履歴'!$B:$B,'単価履歴'!$E:$E,BQ$1,'単価履歴'!$F:$F,$A12))=0,"",MAXIFS('単価履歴'!$H:$H,'単価履歴'!$E:$E,BQ$1,'単価履歴'!$F:$F,$A12,'単価履歴'!$B:$B,MAXIFS('単価履歴'!$B:$B,'単価履歴'!$E:$E,BQ$1,'単価履歴'!$F:$F,$A12)))</f>
        <v/>
      </c>
      <c r="BR12" s="332" t="str">
        <f>IF(MAXIFS('単価履歴'!$H:$H,'単価履歴'!$E:$E,BR$1,'単価履歴'!$F:$F,$A12,'単価履歴'!$B:$B,MAXIFS('単価履歴'!$B:$B,'単価履歴'!$E:$E,BR$1,'単価履歴'!$F:$F,$A12))=0,"",MAXIFS('単価履歴'!$H:$H,'単価履歴'!$E:$E,BR$1,'単価履歴'!$F:$F,$A12,'単価履歴'!$B:$B,MAXIFS('単価履歴'!$B:$B,'単価履歴'!$E:$E,BR$1,'単価履歴'!$F:$F,$A12)))</f>
        <v/>
      </c>
      <c r="BS12" s="332" t="str">
        <f>IF(MAXIFS('単価履歴'!$H:$H,'単価履歴'!$E:$E,BS$1,'単価履歴'!$F:$F,$A12,'単価履歴'!$B:$B,MAXIFS('単価履歴'!$B:$B,'単価履歴'!$E:$E,BS$1,'単価履歴'!$F:$F,$A12))=0,"",MAXIFS('単価履歴'!$H:$H,'単価履歴'!$E:$E,BS$1,'単価履歴'!$F:$F,$A12,'単価履歴'!$B:$B,MAXIFS('単価履歴'!$B:$B,'単価履歴'!$E:$E,BS$1,'単価履歴'!$F:$F,$A12)))</f>
        <v/>
      </c>
      <c r="BT12" s="332" t="str">
        <f>IF(MAXIFS('単価履歴'!$H:$H,'単価履歴'!$E:$E,BT$1,'単価履歴'!$F:$F,$A12,'単価履歴'!$B:$B,MAXIFS('単価履歴'!$B:$B,'単価履歴'!$E:$E,BT$1,'単価履歴'!$F:$F,$A12))=0,"",MAXIFS('単価履歴'!$H:$H,'単価履歴'!$E:$E,BT$1,'単価履歴'!$F:$F,$A12,'単価履歴'!$B:$B,MAXIFS('単価履歴'!$B:$B,'単価履歴'!$E:$E,BT$1,'単価履歴'!$F:$F,$A12)))</f>
        <v/>
      </c>
      <c r="BU12" s="332" t="str">
        <f>IF(MAXIFS('単価履歴'!$H:$H,'単価履歴'!$E:$E,BU$1,'単価履歴'!$F:$F,$A12,'単価履歴'!$B:$B,MAXIFS('単価履歴'!$B:$B,'単価履歴'!$E:$E,BU$1,'単価履歴'!$F:$F,$A12))=0,"",MAXIFS('単価履歴'!$H:$H,'単価履歴'!$E:$E,BU$1,'単価履歴'!$F:$F,$A12,'単価履歴'!$B:$B,MAXIFS('単価履歴'!$B:$B,'単価履歴'!$E:$E,BU$1,'単価履歴'!$F:$F,$A12)))</f>
        <v/>
      </c>
      <c r="BV12" s="332" t="str">
        <f>IF(MAXIFS('単価履歴'!$H:$H,'単価履歴'!$E:$E,BV$1,'単価履歴'!$F:$F,$A12,'単価履歴'!$B:$B,MAXIFS('単価履歴'!$B:$B,'単価履歴'!$E:$E,BV$1,'単価履歴'!$F:$F,$A12))=0,"",MAXIFS('単価履歴'!$H:$H,'単価履歴'!$E:$E,BV$1,'単価履歴'!$F:$F,$A12,'単価履歴'!$B:$B,MAXIFS('単価履歴'!$B:$B,'単価履歴'!$E:$E,BV$1,'単価履歴'!$F:$F,$A12)))</f>
        <v/>
      </c>
      <c r="BW12" s="332" t="str">
        <f>IF(MAXIFS('単価履歴'!$H:$H,'単価履歴'!$E:$E,BW$1,'単価履歴'!$F:$F,$A12,'単価履歴'!$B:$B,MAXIFS('単価履歴'!$B:$B,'単価履歴'!$E:$E,BW$1,'単価履歴'!$F:$F,$A12))=0,"",MAXIFS('単価履歴'!$H:$H,'単価履歴'!$E:$E,BW$1,'単価履歴'!$F:$F,$A12,'単価履歴'!$B:$B,MAXIFS('単価履歴'!$B:$B,'単価履歴'!$E:$E,BW$1,'単価履歴'!$F:$F,$A12)))</f>
        <v/>
      </c>
      <c r="BX12" s="332" t="str">
        <f>IF(MAXIFS('単価履歴'!$H:$H,'単価履歴'!$E:$E,BX$1,'単価履歴'!$F:$F,$A12,'単価履歴'!$B:$B,MAXIFS('単価履歴'!$B:$B,'単価履歴'!$E:$E,BX$1,'単価履歴'!$F:$F,$A12))=0,"",MAXIFS('単価履歴'!$H:$H,'単価履歴'!$E:$E,BX$1,'単価履歴'!$F:$F,$A12,'単価履歴'!$B:$B,MAXIFS('単価履歴'!$B:$B,'単価履歴'!$E:$E,BX$1,'単価履歴'!$F:$F,$A12)))</f>
        <v/>
      </c>
      <c r="BY12" s="332" t="str">
        <f>IF(MAXIFS('単価履歴'!$H:$H,'単価履歴'!$E:$E,BY$1,'単価履歴'!$F:$F,$A12,'単価履歴'!$B:$B,MAXIFS('単価履歴'!$B:$B,'単価履歴'!$E:$E,BY$1,'単価履歴'!$F:$F,$A12))=0,"",MAXIFS('単価履歴'!$H:$H,'単価履歴'!$E:$E,BY$1,'単価履歴'!$F:$F,$A12,'単価履歴'!$B:$B,MAXIFS('単価履歴'!$B:$B,'単価履歴'!$E:$E,BY$1,'単価履歴'!$F:$F,$A12)))</f>
        <v/>
      </c>
      <c r="BZ12" s="332" t="str">
        <f>IF(MAXIFS('単価履歴'!$H:$H,'単価履歴'!$E:$E,BZ$1,'単価履歴'!$F:$F,$A12,'単価履歴'!$B:$B,MAXIFS('単価履歴'!$B:$B,'単価履歴'!$E:$E,BZ$1,'単価履歴'!$F:$F,$A12))=0,"",MAXIFS('単価履歴'!$H:$H,'単価履歴'!$E:$E,BZ$1,'単価履歴'!$F:$F,$A12,'単価履歴'!$B:$B,MAXIFS('単価履歴'!$B:$B,'単価履歴'!$E:$E,BZ$1,'単価履歴'!$F:$F,$A12)))</f>
        <v/>
      </c>
      <c r="CA12" s="332" t="str">
        <f>IF(MAXIFS('単価履歴'!$H:$H,'単価履歴'!$E:$E,CA$1,'単価履歴'!$F:$F,$A12,'単価履歴'!$B:$B,MAXIFS('単価履歴'!$B:$B,'単価履歴'!$E:$E,CA$1,'単価履歴'!$F:$F,$A12))=0,"",MAXIFS('単価履歴'!$H:$H,'単価履歴'!$E:$E,CA$1,'単価履歴'!$F:$F,$A12,'単価履歴'!$B:$B,MAXIFS('単価履歴'!$B:$B,'単価履歴'!$E:$E,CA$1,'単価履歴'!$F:$F,$A12)))</f>
        <v/>
      </c>
      <c r="CB12" s="332" t="str">
        <f>IF(MAXIFS('単価履歴'!$H:$H,'単価履歴'!$E:$E,CB$1,'単価履歴'!$F:$F,$A12,'単価履歴'!$B:$B,MAXIFS('単価履歴'!$B:$B,'単価履歴'!$E:$E,CB$1,'単価履歴'!$F:$F,$A12))=0,"",MAXIFS('単価履歴'!$H:$H,'単価履歴'!$E:$E,CB$1,'単価履歴'!$F:$F,$A12,'単価履歴'!$B:$B,MAXIFS('単価履歴'!$B:$B,'単価履歴'!$E:$E,CB$1,'単価履歴'!$F:$F,$A12)))</f>
        <v/>
      </c>
      <c r="CC12" s="332" t="str">
        <f>IF(MAXIFS('単価履歴'!$H:$H,'単価履歴'!$E:$E,CC$1,'単価履歴'!$F:$F,$A12,'単価履歴'!$B:$B,MAXIFS('単価履歴'!$B:$B,'単価履歴'!$E:$E,CC$1,'単価履歴'!$F:$F,$A12))=0,"",MAXIFS('単価履歴'!$H:$H,'単価履歴'!$E:$E,CC$1,'単価履歴'!$F:$F,$A12,'単価履歴'!$B:$B,MAXIFS('単価履歴'!$B:$B,'単価履歴'!$E:$E,CC$1,'単価履歴'!$F:$F,$A12)))</f>
        <v/>
      </c>
      <c r="CD12" s="332" t="str">
        <f>IF(MAXIFS('単価履歴'!$H:$H,'単価履歴'!$E:$E,CD$1,'単価履歴'!$F:$F,$A12,'単価履歴'!$B:$B,MAXIFS('単価履歴'!$B:$B,'単価履歴'!$E:$E,CD$1,'単価履歴'!$F:$F,$A12))=0,"",MAXIFS('単価履歴'!$H:$H,'単価履歴'!$E:$E,CD$1,'単価履歴'!$F:$F,$A12,'単価履歴'!$B:$B,MAXIFS('単価履歴'!$B:$B,'単価履歴'!$E:$E,CD$1,'単価履歴'!$F:$F,$A12)))</f>
        <v/>
      </c>
      <c r="CE12" s="332" t="str">
        <f>IF(MAXIFS('単価履歴'!$H:$H,'単価履歴'!$E:$E,CE$1,'単価履歴'!$F:$F,$A12,'単価履歴'!$B:$B,MAXIFS('単価履歴'!$B:$B,'単価履歴'!$E:$E,CE$1,'単価履歴'!$F:$F,$A12))=0,"",MAXIFS('単価履歴'!$H:$H,'単価履歴'!$E:$E,CE$1,'単価履歴'!$F:$F,$A12,'単価履歴'!$B:$B,MAXIFS('単価履歴'!$B:$B,'単価履歴'!$E:$E,CE$1,'単価履歴'!$F:$F,$A12)))</f>
        <v/>
      </c>
      <c r="CF12" s="332" t="str">
        <f>IF(MAXIFS('単価履歴'!$H:$H,'単価履歴'!$E:$E,CF$1,'単価履歴'!$F:$F,$A12,'単価履歴'!$B:$B,MAXIFS('単価履歴'!$B:$B,'単価履歴'!$E:$E,CF$1,'単価履歴'!$F:$F,$A12))=0,"",MAXIFS('単価履歴'!$H:$H,'単価履歴'!$E:$E,CF$1,'単価履歴'!$F:$F,$A12,'単価履歴'!$B:$B,MAXIFS('単価履歴'!$B:$B,'単価履歴'!$E:$E,CF$1,'単価履歴'!$F:$F,$A12)))</f>
        <v/>
      </c>
      <c r="CG12" s="332" t="str">
        <f>IF(MAXIFS('単価履歴'!$H:$H,'単価履歴'!$E:$E,CG$1,'単価履歴'!$F:$F,$A12,'単価履歴'!$B:$B,MAXIFS('単価履歴'!$B:$B,'単価履歴'!$E:$E,CG$1,'単価履歴'!$F:$F,$A12))=0,"",MAXIFS('単価履歴'!$H:$H,'単価履歴'!$E:$E,CG$1,'単価履歴'!$F:$F,$A12,'単価履歴'!$B:$B,MAXIFS('単価履歴'!$B:$B,'単価履歴'!$E:$E,CG$1,'単価履歴'!$F:$F,$A12)))</f>
        <v/>
      </c>
      <c r="CH12" s="332" t="str">
        <f>IF(MAXIFS('単価履歴'!$H:$H,'単価履歴'!$E:$E,CH$1,'単価履歴'!$F:$F,$A12,'単価履歴'!$B:$B,MAXIFS('単価履歴'!$B:$B,'単価履歴'!$E:$E,CH$1,'単価履歴'!$F:$F,$A12))=0,"",MAXIFS('単価履歴'!$H:$H,'単価履歴'!$E:$E,CH$1,'単価履歴'!$F:$F,$A12,'単価履歴'!$B:$B,MAXIFS('単価履歴'!$B:$B,'単価履歴'!$E:$E,CH$1,'単価履歴'!$F:$F,$A12)))</f>
        <v/>
      </c>
    </row>
    <row r="13" ht="15.75" customHeight="1">
      <c r="A13" s="432" t="s">
        <v>574</v>
      </c>
      <c r="B13" s="332">
        <f>MAXIFS('単価履歴'!H:H,'単価履歴'!F:F,A13,'単価履歴'!N:N,"●")</f>
        <v>56.3</v>
      </c>
      <c r="C13" s="332" t="str">
        <f>IF(MAXIFS('単価履歴'!$H:$H,'単価履歴'!$E:$E,C$1,'単価履歴'!$F:$F,$A13,'単価履歴'!$B:$B,MAXIFS('単価履歴'!$B:$B,'単価履歴'!$E:$E,C$1,'単価履歴'!$F:$F,$A13))=0,"",MAXIFS('単価履歴'!$H:$H,'単価履歴'!$E:$E,C$1,'単価履歴'!$F:$F,$A13,'単価履歴'!$B:$B,MAXIFS('単価履歴'!$B:$B,'単価履歴'!$E:$E,C$1,'単価履歴'!$F:$F,$A13)))</f>
        <v/>
      </c>
      <c r="D13" s="332">
        <f>IF(MAXIFS('単価履歴'!$H:$H,'単価履歴'!$E:$E,D$1,'単価履歴'!$F:$F,$A13,'単価履歴'!$B:$B,MAXIFS('単価履歴'!$B:$B,'単価履歴'!$E:$E,D$1,'単価履歴'!$F:$F,$A13))=0,"",MAXIFS('単価履歴'!$H:$H,'単価履歴'!$E:$E,D$1,'単価履歴'!$F:$F,$A13,'単価履歴'!$B:$B,MAXIFS('単価履歴'!$B:$B,'単価履歴'!$E:$E,D$1,'単価履歴'!$F:$F,$A13)))</f>
        <v>56.3</v>
      </c>
      <c r="E13" s="332">
        <f>IF(MAXIFS('単価履歴'!$H:$H,'単価履歴'!$E:$E,E$1,'単価履歴'!$F:$F,$A13,'単価履歴'!$B:$B,MAXIFS('単価履歴'!$B:$B,'単価履歴'!$E:$E,E$1,'単価履歴'!$F:$F,$A13))=0,"",MAXIFS('単価履歴'!$H:$H,'単価履歴'!$E:$E,E$1,'単価履歴'!$F:$F,$A13,'単価履歴'!$B:$B,MAXIFS('単価履歴'!$B:$B,'単価履歴'!$E:$E,E$1,'単価履歴'!$F:$F,$A13)))</f>
        <v>56.3</v>
      </c>
      <c r="F13" s="332">
        <f>IF(MAXIFS('単価履歴'!$H:$H,'単価履歴'!$E:$E,F$1,'単価履歴'!$F:$F,$A13,'単価履歴'!$B:$B,MAXIFS('単価履歴'!$B:$B,'単価履歴'!$E:$E,F$1,'単価履歴'!$F:$F,$A13))=0,"",MAXIFS('単価履歴'!$H:$H,'単価履歴'!$E:$E,F$1,'単価履歴'!$F:$F,$A13,'単価履歴'!$B:$B,MAXIFS('単価履歴'!$B:$B,'単価履歴'!$E:$E,F$1,'単価履歴'!$F:$F,$A13)))</f>
        <v>0.5</v>
      </c>
      <c r="G13" s="332">
        <f>IF(MAXIFS('単価履歴'!$H:$H,'単価履歴'!$E:$E,G$1,'単価履歴'!$F:$F,$A13,'単価履歴'!$B:$B,MAXIFS('単価履歴'!$B:$B,'単価履歴'!$E:$E,G$1,'単価履歴'!$F:$F,$A13))=0,"",MAXIFS('単価履歴'!$H:$H,'単価履歴'!$E:$E,G$1,'単価履歴'!$F:$F,$A13,'単価履歴'!$B:$B,MAXIFS('単価履歴'!$B:$B,'単価履歴'!$E:$E,G$1,'単価履歴'!$F:$F,$A13)))</f>
        <v>-0.5</v>
      </c>
      <c r="H13" s="332" t="str">
        <f>IF(MAXIFS('単価履歴'!$H:$H,'単価履歴'!$E:$E,H$1,'単価履歴'!$F:$F,$A13,'単価履歴'!$B:$B,MAXIFS('単価履歴'!$B:$B,'単価履歴'!$E:$E,H$1,'単価履歴'!$F:$F,$A13))=0,"",MAXIFS('単価履歴'!$H:$H,'単価履歴'!$E:$E,H$1,'単価履歴'!$F:$F,$A13,'単価履歴'!$B:$B,MAXIFS('単価履歴'!$B:$B,'単価履歴'!$E:$E,H$1,'単価履歴'!$F:$F,$A13)))</f>
        <v/>
      </c>
      <c r="I13" s="332" t="str">
        <f>IF(MAXIFS('単価履歴'!$H:$H,'単価履歴'!$E:$E,I$1,'単価履歴'!$F:$F,$A13,'単価履歴'!$B:$B,MAXIFS('単価履歴'!$B:$B,'単価履歴'!$E:$E,I$1,'単価履歴'!$F:$F,$A13))=0,"",MAXIFS('単価履歴'!$H:$H,'単価履歴'!$E:$E,I$1,'単価履歴'!$F:$F,$A13,'単価履歴'!$B:$B,MAXIFS('単価履歴'!$B:$B,'単価履歴'!$E:$E,I$1,'単価履歴'!$F:$F,$A13)))</f>
        <v/>
      </c>
      <c r="J13" s="332" t="str">
        <f>IF(MAXIFS('単価履歴'!$H:$H,'単価履歴'!$E:$E,J$1,'単価履歴'!$F:$F,$A13,'単価履歴'!$B:$B,MAXIFS('単価履歴'!$B:$B,'単価履歴'!$E:$E,J$1,'単価履歴'!$F:$F,$A13))=0,"",MAXIFS('単価履歴'!$H:$H,'単価履歴'!$E:$E,J$1,'単価履歴'!$F:$F,$A13,'単価履歴'!$B:$B,MAXIFS('単価履歴'!$B:$B,'単価履歴'!$E:$E,J$1,'単価履歴'!$F:$F,$A13)))</f>
        <v/>
      </c>
      <c r="K13" s="332" t="str">
        <f>IF(MAXIFS('単価履歴'!$H:$H,'単価履歴'!$E:$E,K$1,'単価履歴'!$F:$F,$A13,'単価履歴'!$B:$B,MAXIFS('単価履歴'!$B:$B,'単価履歴'!$E:$E,K$1,'単価履歴'!$F:$F,$A13))=0,"",MAXIFS('単価履歴'!$H:$H,'単価履歴'!$E:$E,K$1,'単価履歴'!$F:$F,$A13,'単価履歴'!$B:$B,MAXIFS('単価履歴'!$B:$B,'単価履歴'!$E:$E,K$1,'単価履歴'!$F:$F,$A13)))</f>
        <v/>
      </c>
      <c r="L13" s="332" t="str">
        <f>IF(MAXIFS('単価履歴'!$H:$H,'単価履歴'!$E:$E,L$1,'単価履歴'!$F:$F,$A13,'単価履歴'!$B:$B,MAXIFS('単価履歴'!$B:$B,'単価履歴'!$E:$E,L$1,'単価履歴'!$F:$F,$A13))=0,"",MAXIFS('単価履歴'!$H:$H,'単価履歴'!$E:$E,L$1,'単価履歴'!$F:$F,$A13,'単価履歴'!$B:$B,MAXIFS('単価履歴'!$B:$B,'単価履歴'!$E:$E,L$1,'単価履歴'!$F:$F,$A13)))</f>
        <v/>
      </c>
      <c r="M13" s="332" t="str">
        <f>IF(MAXIFS('単価履歴'!$H:$H,'単価履歴'!$E:$E,M$1,'単価履歴'!$F:$F,$A13,'単価履歴'!$B:$B,MAXIFS('単価履歴'!$B:$B,'単価履歴'!$E:$E,M$1,'単価履歴'!$F:$F,$A13))=0,"",MAXIFS('単価履歴'!$H:$H,'単価履歴'!$E:$E,M$1,'単価履歴'!$F:$F,$A13,'単価履歴'!$B:$B,MAXIFS('単価履歴'!$B:$B,'単価履歴'!$E:$E,M$1,'単価履歴'!$F:$F,$A13)))</f>
        <v/>
      </c>
      <c r="N13" s="332" t="str">
        <f>IF(MAXIFS('単価履歴'!$H:$H,'単価履歴'!$E:$E,N$1,'単価履歴'!$F:$F,$A13,'単価履歴'!$B:$B,MAXIFS('単価履歴'!$B:$B,'単価履歴'!$E:$E,N$1,'単価履歴'!$F:$F,$A13))=0,"",MAXIFS('単価履歴'!$H:$H,'単価履歴'!$E:$E,N$1,'単価履歴'!$F:$F,$A13,'単価履歴'!$B:$B,MAXIFS('単価履歴'!$B:$B,'単価履歴'!$E:$E,N$1,'単価履歴'!$F:$F,$A13)))</f>
        <v/>
      </c>
      <c r="O13" s="332" t="str">
        <f>IF(MAXIFS('単価履歴'!$H:$H,'単価履歴'!$E:$E,O$1,'単価履歴'!$F:$F,$A13,'単価履歴'!$B:$B,MAXIFS('単価履歴'!$B:$B,'単価履歴'!$E:$E,O$1,'単価履歴'!$F:$F,$A13))=0,"",MAXIFS('単価履歴'!$H:$H,'単価履歴'!$E:$E,O$1,'単価履歴'!$F:$F,$A13,'単価履歴'!$B:$B,MAXIFS('単価履歴'!$B:$B,'単価履歴'!$E:$E,O$1,'単価履歴'!$F:$F,$A13)))</f>
        <v/>
      </c>
      <c r="P13" s="332" t="str">
        <f>IF(MAXIFS('単価履歴'!$H:$H,'単価履歴'!$E:$E,P$1,'単価履歴'!$F:$F,$A13,'単価履歴'!$B:$B,MAXIFS('単価履歴'!$B:$B,'単価履歴'!$E:$E,P$1,'単価履歴'!$F:$F,$A13))=0,"",MAXIFS('単価履歴'!$H:$H,'単価履歴'!$E:$E,P$1,'単価履歴'!$F:$F,$A13,'単価履歴'!$B:$B,MAXIFS('単価履歴'!$B:$B,'単価履歴'!$E:$E,P$1,'単価履歴'!$F:$F,$A13)))</f>
        <v/>
      </c>
      <c r="Q13" s="332" t="str">
        <f>IF(MAXIFS('単価履歴'!$H:$H,'単価履歴'!$E:$E,Q$1,'単価履歴'!$F:$F,$A13,'単価履歴'!$B:$B,MAXIFS('単価履歴'!$B:$B,'単価履歴'!$E:$E,Q$1,'単価履歴'!$F:$F,$A13))=0,"",MAXIFS('単価履歴'!$H:$H,'単価履歴'!$E:$E,Q$1,'単価履歴'!$F:$F,$A13,'単価履歴'!$B:$B,MAXIFS('単価履歴'!$B:$B,'単価履歴'!$E:$E,Q$1,'単価履歴'!$F:$F,$A13)))</f>
        <v/>
      </c>
      <c r="R13" s="332" t="str">
        <f>IF(MAXIFS('単価履歴'!$H:$H,'単価履歴'!$E:$E,R$1,'単価履歴'!$F:$F,$A13,'単価履歴'!$B:$B,MAXIFS('単価履歴'!$B:$B,'単価履歴'!$E:$E,R$1,'単価履歴'!$F:$F,$A13))=0,"",MAXIFS('単価履歴'!$H:$H,'単価履歴'!$E:$E,R$1,'単価履歴'!$F:$F,$A13,'単価履歴'!$B:$B,MAXIFS('単価履歴'!$B:$B,'単価履歴'!$E:$E,R$1,'単価履歴'!$F:$F,$A13)))</f>
        <v/>
      </c>
      <c r="S13" s="332" t="str">
        <f>IF(MAXIFS('単価履歴'!$H:$H,'単価履歴'!$E:$E,S$1,'単価履歴'!$F:$F,$A13,'単価履歴'!$B:$B,MAXIFS('単価履歴'!$B:$B,'単価履歴'!$E:$E,S$1,'単価履歴'!$F:$F,$A13))=0,"",MAXIFS('単価履歴'!$H:$H,'単価履歴'!$E:$E,S$1,'単価履歴'!$F:$F,$A13,'単価履歴'!$B:$B,MAXIFS('単価履歴'!$B:$B,'単価履歴'!$E:$E,S$1,'単価履歴'!$F:$F,$A13)))</f>
        <v/>
      </c>
      <c r="T13" s="332" t="str">
        <f>IF(MAXIFS('単価履歴'!$H:$H,'単価履歴'!$E:$E,T$1,'単価履歴'!$F:$F,$A13,'単価履歴'!$B:$B,MAXIFS('単価履歴'!$B:$B,'単価履歴'!$E:$E,T$1,'単価履歴'!$F:$F,$A13))=0,"",MAXIFS('単価履歴'!$H:$H,'単価履歴'!$E:$E,T$1,'単価履歴'!$F:$F,$A13,'単価履歴'!$B:$B,MAXIFS('単価履歴'!$B:$B,'単価履歴'!$E:$E,T$1,'単価履歴'!$F:$F,$A13)))</f>
        <v/>
      </c>
      <c r="U13" s="332" t="str">
        <f>IF(MAXIFS('単価履歴'!$H:$H,'単価履歴'!$E:$E,U$1,'単価履歴'!$F:$F,$A13,'単価履歴'!$B:$B,MAXIFS('単価履歴'!$B:$B,'単価履歴'!$E:$E,U$1,'単価履歴'!$F:$F,$A13))=0,"",MAXIFS('単価履歴'!$H:$H,'単価履歴'!$E:$E,U$1,'単価履歴'!$F:$F,$A13,'単価履歴'!$B:$B,MAXIFS('単価履歴'!$B:$B,'単価履歴'!$E:$E,U$1,'単価履歴'!$F:$F,$A13)))</f>
        <v/>
      </c>
      <c r="V13" s="332" t="str">
        <f>IF(MAXIFS('単価履歴'!$H:$H,'単価履歴'!$E:$E,V$1,'単価履歴'!$F:$F,$A13,'単価履歴'!$B:$B,MAXIFS('単価履歴'!$B:$B,'単価履歴'!$E:$E,V$1,'単価履歴'!$F:$F,$A13))=0,"",MAXIFS('単価履歴'!$H:$H,'単価履歴'!$E:$E,V$1,'単価履歴'!$F:$F,$A13,'単価履歴'!$B:$B,MAXIFS('単価履歴'!$B:$B,'単価履歴'!$E:$E,V$1,'単価履歴'!$F:$F,$A13)))</f>
        <v/>
      </c>
      <c r="W13" s="332" t="str">
        <f>IF(MAXIFS('単価履歴'!$H:$H,'単価履歴'!$E:$E,W$1,'単価履歴'!$F:$F,$A13,'単価履歴'!$B:$B,MAXIFS('単価履歴'!$B:$B,'単価履歴'!$E:$E,W$1,'単価履歴'!$F:$F,$A13))=0,"",MAXIFS('単価履歴'!$H:$H,'単価履歴'!$E:$E,W$1,'単価履歴'!$F:$F,$A13,'単価履歴'!$B:$B,MAXIFS('単価履歴'!$B:$B,'単価履歴'!$E:$E,W$1,'単価履歴'!$F:$F,$A13)))</f>
        <v/>
      </c>
      <c r="X13" s="332" t="str">
        <f>IF(MAXIFS('単価履歴'!$H:$H,'単価履歴'!$E:$E,X$1,'単価履歴'!$F:$F,$A13,'単価履歴'!$B:$B,MAXIFS('単価履歴'!$B:$B,'単価履歴'!$E:$E,X$1,'単価履歴'!$F:$F,$A13))=0,"",MAXIFS('単価履歴'!$H:$H,'単価履歴'!$E:$E,X$1,'単価履歴'!$F:$F,$A13,'単価履歴'!$B:$B,MAXIFS('単価履歴'!$B:$B,'単価履歴'!$E:$E,X$1,'単価履歴'!$F:$F,$A13)))</f>
        <v/>
      </c>
      <c r="Y13" s="332" t="str">
        <f>IF(MAXIFS('単価履歴'!$H:$H,'単価履歴'!$E:$E,Y$1,'単価履歴'!$F:$F,$A13,'単価履歴'!$B:$B,MAXIFS('単価履歴'!$B:$B,'単価履歴'!$E:$E,Y$1,'単価履歴'!$F:$F,$A13))=0,"",MAXIFS('単価履歴'!$H:$H,'単価履歴'!$E:$E,Y$1,'単価履歴'!$F:$F,$A13,'単価履歴'!$B:$B,MAXIFS('単価履歴'!$B:$B,'単価履歴'!$E:$E,Y$1,'単価履歴'!$F:$F,$A13)))</f>
        <v/>
      </c>
      <c r="Z13" s="332" t="str">
        <f>IF(MAXIFS('単価履歴'!$H:$H,'単価履歴'!$E:$E,Z$1,'単価履歴'!$F:$F,$A13,'単価履歴'!$B:$B,MAXIFS('単価履歴'!$B:$B,'単価履歴'!$E:$E,Z$1,'単価履歴'!$F:$F,$A13))=0,"",MAXIFS('単価履歴'!$H:$H,'単価履歴'!$E:$E,Z$1,'単価履歴'!$F:$F,$A13,'単価履歴'!$B:$B,MAXIFS('単価履歴'!$B:$B,'単価履歴'!$E:$E,Z$1,'単価履歴'!$F:$F,$A13)))</f>
        <v/>
      </c>
      <c r="AA13" s="332" t="str">
        <f>IF(MAXIFS('単価履歴'!$H:$H,'単価履歴'!$E:$E,AA$1,'単価履歴'!$F:$F,$A13,'単価履歴'!$B:$B,MAXIFS('単価履歴'!$B:$B,'単価履歴'!$E:$E,AA$1,'単価履歴'!$F:$F,$A13))=0,"",MAXIFS('単価履歴'!$H:$H,'単価履歴'!$E:$E,AA$1,'単価履歴'!$F:$F,$A13,'単価履歴'!$B:$B,MAXIFS('単価履歴'!$B:$B,'単価履歴'!$E:$E,AA$1,'単価履歴'!$F:$F,$A13)))</f>
        <v/>
      </c>
      <c r="AB13" s="332" t="str">
        <f>IF(MAXIFS('単価履歴'!$H:$H,'単価履歴'!$E:$E,AB$1,'単価履歴'!$F:$F,$A13,'単価履歴'!$B:$B,MAXIFS('単価履歴'!$B:$B,'単価履歴'!$E:$E,AB$1,'単価履歴'!$F:$F,$A13))=0,"",MAXIFS('単価履歴'!$H:$H,'単価履歴'!$E:$E,AB$1,'単価履歴'!$F:$F,$A13,'単価履歴'!$B:$B,MAXIFS('単価履歴'!$B:$B,'単価履歴'!$E:$E,AB$1,'単価履歴'!$F:$F,$A13)))</f>
        <v/>
      </c>
      <c r="AC13" s="332" t="str">
        <f>IF(MAXIFS('単価履歴'!$H:$H,'単価履歴'!$E:$E,AC$1,'単価履歴'!$F:$F,$A13,'単価履歴'!$B:$B,MAXIFS('単価履歴'!$B:$B,'単価履歴'!$E:$E,AC$1,'単価履歴'!$F:$F,$A13))=0,"",MAXIFS('単価履歴'!$H:$H,'単価履歴'!$E:$E,AC$1,'単価履歴'!$F:$F,$A13,'単価履歴'!$B:$B,MAXIFS('単価履歴'!$B:$B,'単価履歴'!$E:$E,AC$1,'単価履歴'!$F:$F,$A13)))</f>
        <v/>
      </c>
      <c r="AD13" s="332" t="str">
        <f>IF(MAXIFS('単価履歴'!$H:$H,'単価履歴'!$E:$E,AD$1,'単価履歴'!$F:$F,$A13,'単価履歴'!$B:$B,MAXIFS('単価履歴'!$B:$B,'単価履歴'!$E:$E,AD$1,'単価履歴'!$F:$F,$A13))=0,"",MAXIFS('単価履歴'!$H:$H,'単価履歴'!$E:$E,AD$1,'単価履歴'!$F:$F,$A13,'単価履歴'!$B:$B,MAXIFS('単価履歴'!$B:$B,'単価履歴'!$E:$E,AD$1,'単価履歴'!$F:$F,$A13)))</f>
        <v/>
      </c>
      <c r="AE13" s="332" t="str">
        <f>IF(MAXIFS('単価履歴'!$H:$H,'単価履歴'!$E:$E,AE$1,'単価履歴'!$F:$F,$A13,'単価履歴'!$B:$B,MAXIFS('単価履歴'!$B:$B,'単価履歴'!$E:$E,AE$1,'単価履歴'!$F:$F,$A13))=0,"",MAXIFS('単価履歴'!$H:$H,'単価履歴'!$E:$E,AE$1,'単価履歴'!$F:$F,$A13,'単価履歴'!$B:$B,MAXIFS('単価履歴'!$B:$B,'単価履歴'!$E:$E,AE$1,'単価履歴'!$F:$F,$A13)))</f>
        <v/>
      </c>
      <c r="AF13" s="332" t="str">
        <f>IF(MAXIFS('単価履歴'!$H:$H,'単価履歴'!$E:$E,AF$1,'単価履歴'!$F:$F,$A13,'単価履歴'!$B:$B,MAXIFS('単価履歴'!$B:$B,'単価履歴'!$E:$E,AF$1,'単価履歴'!$F:$F,$A13))=0,"",MAXIFS('単価履歴'!$H:$H,'単価履歴'!$E:$E,AF$1,'単価履歴'!$F:$F,$A13,'単価履歴'!$B:$B,MAXIFS('単価履歴'!$B:$B,'単価履歴'!$E:$E,AF$1,'単価履歴'!$F:$F,$A13)))</f>
        <v/>
      </c>
      <c r="AG13" s="332" t="str">
        <f>IF(MAXIFS('単価履歴'!$H:$H,'単価履歴'!$E:$E,AG$1,'単価履歴'!$F:$F,$A13,'単価履歴'!$B:$B,MAXIFS('単価履歴'!$B:$B,'単価履歴'!$E:$E,AG$1,'単価履歴'!$F:$F,$A13))=0,"",MAXIFS('単価履歴'!$H:$H,'単価履歴'!$E:$E,AG$1,'単価履歴'!$F:$F,$A13,'単価履歴'!$B:$B,MAXIFS('単価履歴'!$B:$B,'単価履歴'!$E:$E,AG$1,'単価履歴'!$F:$F,$A13)))</f>
        <v/>
      </c>
      <c r="AH13" s="332" t="str">
        <f>IF(MAXIFS('単価履歴'!$H:$H,'単価履歴'!$E:$E,AH$1,'単価履歴'!$F:$F,$A13,'単価履歴'!$B:$B,MAXIFS('単価履歴'!$B:$B,'単価履歴'!$E:$E,AH$1,'単価履歴'!$F:$F,$A13))=0,"",MAXIFS('単価履歴'!$H:$H,'単価履歴'!$E:$E,AH$1,'単価履歴'!$F:$F,$A13,'単価履歴'!$B:$B,MAXIFS('単価履歴'!$B:$B,'単価履歴'!$E:$E,AH$1,'単価履歴'!$F:$F,$A13)))</f>
        <v/>
      </c>
      <c r="AI13" s="332" t="str">
        <f>IF(MAXIFS('単価履歴'!$H:$H,'単価履歴'!$E:$E,AI$1,'単価履歴'!$F:$F,$A13,'単価履歴'!$B:$B,MAXIFS('単価履歴'!$B:$B,'単価履歴'!$E:$E,AI$1,'単価履歴'!$F:$F,$A13))=0,"",MAXIFS('単価履歴'!$H:$H,'単価履歴'!$E:$E,AI$1,'単価履歴'!$F:$F,$A13,'単価履歴'!$B:$B,MAXIFS('単価履歴'!$B:$B,'単価履歴'!$E:$E,AI$1,'単価履歴'!$F:$F,$A13)))</f>
        <v/>
      </c>
      <c r="AJ13" s="332" t="str">
        <f>IF(MAXIFS('単価履歴'!$H:$H,'単価履歴'!$E:$E,AJ$1,'単価履歴'!$F:$F,$A13,'単価履歴'!$B:$B,MAXIFS('単価履歴'!$B:$B,'単価履歴'!$E:$E,AJ$1,'単価履歴'!$F:$F,$A13))=0,"",MAXIFS('単価履歴'!$H:$H,'単価履歴'!$E:$E,AJ$1,'単価履歴'!$F:$F,$A13,'単価履歴'!$B:$B,MAXIFS('単価履歴'!$B:$B,'単価履歴'!$E:$E,AJ$1,'単価履歴'!$F:$F,$A13)))</f>
        <v/>
      </c>
      <c r="AK13" s="332" t="str">
        <f>IF(MAXIFS('単価履歴'!$H:$H,'単価履歴'!$E:$E,AK$1,'単価履歴'!$F:$F,$A13,'単価履歴'!$B:$B,MAXIFS('単価履歴'!$B:$B,'単価履歴'!$E:$E,AK$1,'単価履歴'!$F:$F,$A13))=0,"",MAXIFS('単価履歴'!$H:$H,'単価履歴'!$E:$E,AK$1,'単価履歴'!$F:$F,$A13,'単価履歴'!$B:$B,MAXIFS('単価履歴'!$B:$B,'単価履歴'!$E:$E,AK$1,'単価履歴'!$F:$F,$A13)))</f>
        <v/>
      </c>
      <c r="AL13" s="332" t="str">
        <f>IF(MAXIFS('単価履歴'!$H:$H,'単価履歴'!$E:$E,AL$1,'単価履歴'!$F:$F,$A13,'単価履歴'!$B:$B,MAXIFS('単価履歴'!$B:$B,'単価履歴'!$E:$E,AL$1,'単価履歴'!$F:$F,$A13))=0,"",MAXIFS('単価履歴'!$H:$H,'単価履歴'!$E:$E,AL$1,'単価履歴'!$F:$F,$A13,'単価履歴'!$B:$B,MAXIFS('単価履歴'!$B:$B,'単価履歴'!$E:$E,AL$1,'単価履歴'!$F:$F,$A13)))</f>
        <v/>
      </c>
      <c r="AM13" s="332" t="str">
        <f>IF(MAXIFS('単価履歴'!$H:$H,'単価履歴'!$E:$E,AM$1,'単価履歴'!$F:$F,$A13,'単価履歴'!$B:$B,MAXIFS('単価履歴'!$B:$B,'単価履歴'!$E:$E,AM$1,'単価履歴'!$F:$F,$A13))=0,"",MAXIFS('単価履歴'!$H:$H,'単価履歴'!$E:$E,AM$1,'単価履歴'!$F:$F,$A13,'単価履歴'!$B:$B,MAXIFS('単価履歴'!$B:$B,'単価履歴'!$E:$E,AM$1,'単価履歴'!$F:$F,$A13)))</f>
        <v/>
      </c>
      <c r="AN13" s="332" t="str">
        <f>IF(MAXIFS('単価履歴'!$H:$H,'単価履歴'!$E:$E,AN$1,'単価履歴'!$F:$F,$A13,'単価履歴'!$B:$B,MAXIFS('単価履歴'!$B:$B,'単価履歴'!$E:$E,AN$1,'単価履歴'!$F:$F,$A13))=0,"",MAXIFS('単価履歴'!$H:$H,'単価履歴'!$E:$E,AN$1,'単価履歴'!$F:$F,$A13,'単価履歴'!$B:$B,MAXIFS('単価履歴'!$B:$B,'単価履歴'!$E:$E,AN$1,'単価履歴'!$F:$F,$A13)))</f>
        <v/>
      </c>
      <c r="AO13" s="332" t="str">
        <f>IF(MAXIFS('単価履歴'!$H:$H,'単価履歴'!$E:$E,AO$1,'単価履歴'!$F:$F,$A13,'単価履歴'!$B:$B,MAXIFS('単価履歴'!$B:$B,'単価履歴'!$E:$E,AO$1,'単価履歴'!$F:$F,$A13))=0,"",MAXIFS('単価履歴'!$H:$H,'単価履歴'!$E:$E,AO$1,'単価履歴'!$F:$F,$A13,'単価履歴'!$B:$B,MAXIFS('単価履歴'!$B:$B,'単価履歴'!$E:$E,AO$1,'単価履歴'!$F:$F,$A13)))</f>
        <v/>
      </c>
      <c r="AP13" s="332" t="str">
        <f>IF(MAXIFS('単価履歴'!$H:$H,'単価履歴'!$E:$E,AP$1,'単価履歴'!$F:$F,$A13,'単価履歴'!$B:$B,MAXIFS('単価履歴'!$B:$B,'単価履歴'!$E:$E,AP$1,'単価履歴'!$F:$F,$A13))=0,"",MAXIFS('単価履歴'!$H:$H,'単価履歴'!$E:$E,AP$1,'単価履歴'!$F:$F,$A13,'単価履歴'!$B:$B,MAXIFS('単価履歴'!$B:$B,'単価履歴'!$E:$E,AP$1,'単価履歴'!$F:$F,$A13)))</f>
        <v/>
      </c>
      <c r="AQ13" s="332">
        <f>IF(MAXIFS('単価履歴'!$H:$H,'単価履歴'!$E:$E,AQ$1,'単価履歴'!$F:$F,$A13,'単価履歴'!$B:$B,MAXIFS('単価履歴'!$B:$B,'単価履歴'!$E:$E,AQ$1,'単価履歴'!$F:$F,$A13))=0,"",MAXIFS('単価履歴'!$H:$H,'単価履歴'!$E:$E,AQ$1,'単価履歴'!$F:$F,$A13,'単価履歴'!$B:$B,MAXIFS('単価履歴'!$B:$B,'単価履歴'!$E:$E,AQ$1,'単価履歴'!$F:$F,$A13)))</f>
        <v>0.5</v>
      </c>
      <c r="AR13" s="332" t="str">
        <f>IF(MAXIFS('単価履歴'!$H:$H,'単価履歴'!$E:$E,AR$1,'単価履歴'!$F:$F,$A13,'単価履歴'!$B:$B,MAXIFS('単価履歴'!$B:$B,'単価履歴'!$E:$E,AR$1,'単価履歴'!$F:$F,$A13))=0,"",MAXIFS('単価履歴'!$H:$H,'単価履歴'!$E:$E,AR$1,'単価履歴'!$F:$F,$A13,'単価履歴'!$B:$B,MAXIFS('単価履歴'!$B:$B,'単価履歴'!$E:$E,AR$1,'単価履歴'!$F:$F,$A13)))</f>
        <v/>
      </c>
      <c r="AS13" s="332">
        <f>IF(MAXIFS('単価履歴'!$H:$H,'単価履歴'!$E:$E,AS$1,'単価履歴'!$F:$F,$A13,'単価履歴'!$B:$B,MAXIFS('単価履歴'!$B:$B,'単価履歴'!$E:$E,AS$1,'単価履歴'!$F:$F,$A13))=0,"",MAXIFS('単価履歴'!$H:$H,'単価履歴'!$E:$E,AS$1,'単価履歴'!$F:$F,$A13,'単価履歴'!$B:$B,MAXIFS('単価履歴'!$B:$B,'単価履歴'!$E:$E,AS$1,'単価履歴'!$F:$F,$A13)))</f>
        <v>56.2</v>
      </c>
      <c r="AT13" s="332" t="str">
        <f>IF(MAXIFS('単価履歴'!$H:$H,'単価履歴'!$E:$E,AT$1,'単価履歴'!$F:$F,$A13,'単価履歴'!$B:$B,MAXIFS('単価履歴'!$B:$B,'単価履歴'!$E:$E,AT$1,'単価履歴'!$F:$F,$A13))=0,"",MAXIFS('単価履歴'!$H:$H,'単価履歴'!$E:$E,AT$1,'単価履歴'!$F:$F,$A13,'単価履歴'!$B:$B,MAXIFS('単価履歴'!$B:$B,'単価履歴'!$E:$E,AT$1,'単価履歴'!$F:$F,$A13)))</f>
        <v/>
      </c>
      <c r="AU13" s="332" t="str">
        <f>IF(MAXIFS('単価履歴'!$H:$H,'単価履歴'!$E:$E,AU$1,'単価履歴'!$F:$F,$A13,'単価履歴'!$B:$B,MAXIFS('単価履歴'!$B:$B,'単価履歴'!$E:$E,AU$1,'単価履歴'!$F:$F,$A13))=0,"",MAXIFS('単価履歴'!$H:$H,'単価履歴'!$E:$E,AU$1,'単価履歴'!$F:$F,$A13,'単価履歴'!$B:$B,MAXIFS('単価履歴'!$B:$B,'単価履歴'!$E:$E,AU$1,'単価履歴'!$F:$F,$A13)))</f>
        <v/>
      </c>
      <c r="AV13" s="332" t="str">
        <f>IF(MAXIFS('単価履歴'!$H:$H,'単価履歴'!$E:$E,AV$1,'単価履歴'!$F:$F,$A13,'単価履歴'!$B:$B,MAXIFS('単価履歴'!$B:$B,'単価履歴'!$E:$E,AV$1,'単価履歴'!$F:$F,$A13))=0,"",MAXIFS('単価履歴'!$H:$H,'単価履歴'!$E:$E,AV$1,'単価履歴'!$F:$F,$A13,'単価履歴'!$B:$B,MAXIFS('単価履歴'!$B:$B,'単価履歴'!$E:$E,AV$1,'単価履歴'!$F:$F,$A13)))</f>
        <v/>
      </c>
      <c r="AW13" s="332" t="str">
        <f>IF(MAXIFS('単価履歴'!$H:$H,'単価履歴'!$E:$E,AW$1,'単価履歴'!$F:$F,$A13,'単価履歴'!$B:$B,MAXIFS('単価履歴'!$B:$B,'単価履歴'!$E:$E,AW$1,'単価履歴'!$F:$F,$A13))=0,"",MAXIFS('単価履歴'!$H:$H,'単価履歴'!$E:$E,AW$1,'単価履歴'!$F:$F,$A13,'単価履歴'!$B:$B,MAXIFS('単価履歴'!$B:$B,'単価履歴'!$E:$E,AW$1,'単価履歴'!$F:$F,$A13)))</f>
        <v/>
      </c>
      <c r="AX13" s="332" t="str">
        <f>IF(MAXIFS('単価履歴'!$H:$H,'単価履歴'!$E:$E,AX$1,'単価履歴'!$F:$F,$A13,'単価履歴'!$B:$B,MAXIFS('単価履歴'!$B:$B,'単価履歴'!$E:$E,AX$1,'単価履歴'!$F:$F,$A13))=0,"",MAXIFS('単価履歴'!$H:$H,'単価履歴'!$E:$E,AX$1,'単価履歴'!$F:$F,$A13,'単価履歴'!$B:$B,MAXIFS('単価履歴'!$B:$B,'単価履歴'!$E:$E,AX$1,'単価履歴'!$F:$F,$A13)))</f>
        <v/>
      </c>
      <c r="AY13" s="332" t="str">
        <f>IF(MAXIFS('単価履歴'!$H:$H,'単価履歴'!$E:$E,AY$1,'単価履歴'!$F:$F,$A13,'単価履歴'!$B:$B,MAXIFS('単価履歴'!$B:$B,'単価履歴'!$E:$E,AY$1,'単価履歴'!$F:$F,$A13))=0,"",MAXIFS('単価履歴'!$H:$H,'単価履歴'!$E:$E,AY$1,'単価履歴'!$F:$F,$A13,'単価履歴'!$B:$B,MAXIFS('単価履歴'!$B:$B,'単価履歴'!$E:$E,AY$1,'単価履歴'!$F:$F,$A13)))</f>
        <v/>
      </c>
      <c r="AZ13" s="332" t="str">
        <f>IF(MAXIFS('単価履歴'!$H:$H,'単価履歴'!$E:$E,AZ$1,'単価履歴'!$F:$F,$A13,'単価履歴'!$B:$B,MAXIFS('単価履歴'!$B:$B,'単価履歴'!$E:$E,AZ$1,'単価履歴'!$F:$F,$A13))=0,"",MAXIFS('単価履歴'!$H:$H,'単価履歴'!$E:$E,AZ$1,'単価履歴'!$F:$F,$A13,'単価履歴'!$B:$B,MAXIFS('単価履歴'!$B:$B,'単価履歴'!$E:$E,AZ$1,'単価履歴'!$F:$F,$A13)))</f>
        <v/>
      </c>
      <c r="BA13" s="332" t="str">
        <f>IF(MAXIFS('単価履歴'!$H:$H,'単価履歴'!$E:$E,BA$1,'単価履歴'!$F:$F,$A13,'単価履歴'!$B:$B,MAXIFS('単価履歴'!$B:$B,'単価履歴'!$E:$E,BA$1,'単価履歴'!$F:$F,$A13))=0,"",MAXIFS('単価履歴'!$H:$H,'単価履歴'!$E:$E,BA$1,'単価履歴'!$F:$F,$A13,'単価履歴'!$B:$B,MAXIFS('単価履歴'!$B:$B,'単価履歴'!$E:$E,BA$1,'単価履歴'!$F:$F,$A13)))</f>
        <v/>
      </c>
      <c r="BB13" s="332" t="str">
        <f>IF(MAXIFS('単価履歴'!$H:$H,'単価履歴'!$E:$E,BB$1,'単価履歴'!$F:$F,$A13,'単価履歴'!$B:$B,MAXIFS('単価履歴'!$B:$B,'単価履歴'!$E:$E,BB$1,'単価履歴'!$F:$F,$A13))=0,"",MAXIFS('単価履歴'!$H:$H,'単価履歴'!$E:$E,BB$1,'単価履歴'!$F:$F,$A13,'単価履歴'!$B:$B,MAXIFS('単価履歴'!$B:$B,'単価履歴'!$E:$E,BB$1,'単価履歴'!$F:$F,$A13)))</f>
        <v/>
      </c>
      <c r="BC13" s="332" t="str">
        <f>IF(MAXIFS('単価履歴'!$H:$H,'単価履歴'!$E:$E,BC$1,'単価履歴'!$F:$F,$A13,'単価履歴'!$B:$B,MAXIFS('単価履歴'!$B:$B,'単価履歴'!$E:$E,BC$1,'単価履歴'!$F:$F,$A13))=0,"",MAXIFS('単価履歴'!$H:$H,'単価履歴'!$E:$E,BC$1,'単価履歴'!$F:$F,$A13,'単価履歴'!$B:$B,MAXIFS('単価履歴'!$B:$B,'単価履歴'!$E:$E,BC$1,'単価履歴'!$F:$F,$A13)))</f>
        <v/>
      </c>
      <c r="BD13" s="332" t="str">
        <f>IF(MAXIFS('単価履歴'!$H:$H,'単価履歴'!$E:$E,BD$1,'単価履歴'!$F:$F,$A13,'単価履歴'!$B:$B,MAXIFS('単価履歴'!$B:$B,'単価履歴'!$E:$E,BD$1,'単価履歴'!$F:$F,$A13))=0,"",MAXIFS('単価履歴'!$H:$H,'単価履歴'!$E:$E,BD$1,'単価履歴'!$F:$F,$A13,'単価履歴'!$B:$B,MAXIFS('単価履歴'!$B:$B,'単価履歴'!$E:$E,BD$1,'単価履歴'!$F:$F,$A13)))</f>
        <v/>
      </c>
      <c r="BE13" s="332" t="str">
        <f>IF(MAXIFS('単価履歴'!$H:$H,'単価履歴'!$E:$E,BE$1,'単価履歴'!$F:$F,$A13,'単価履歴'!$B:$B,MAXIFS('単価履歴'!$B:$B,'単価履歴'!$E:$E,BE$1,'単価履歴'!$F:$F,$A13))=0,"",MAXIFS('単価履歴'!$H:$H,'単価履歴'!$E:$E,BE$1,'単価履歴'!$F:$F,$A13,'単価履歴'!$B:$B,MAXIFS('単価履歴'!$B:$B,'単価履歴'!$E:$E,BE$1,'単価履歴'!$F:$F,$A13)))</f>
        <v/>
      </c>
      <c r="BF13" s="332" t="str">
        <f>IF(MAXIFS('単価履歴'!$H:$H,'単価履歴'!$E:$E,BF$1,'単価履歴'!$F:$F,$A13,'単価履歴'!$B:$B,MAXIFS('単価履歴'!$B:$B,'単価履歴'!$E:$E,BF$1,'単価履歴'!$F:$F,$A13))=0,"",MAXIFS('単価履歴'!$H:$H,'単価履歴'!$E:$E,BF$1,'単価履歴'!$F:$F,$A13,'単価履歴'!$B:$B,MAXIFS('単価履歴'!$B:$B,'単価履歴'!$E:$E,BF$1,'単価履歴'!$F:$F,$A13)))</f>
        <v/>
      </c>
      <c r="BG13" s="332" t="str">
        <f>IF(MAXIFS('単価履歴'!$H:$H,'単価履歴'!$E:$E,BG$1,'単価履歴'!$F:$F,$A13,'単価履歴'!$B:$B,MAXIFS('単価履歴'!$B:$B,'単価履歴'!$E:$E,BG$1,'単価履歴'!$F:$F,$A13))=0,"",MAXIFS('単価履歴'!$H:$H,'単価履歴'!$E:$E,BG$1,'単価履歴'!$F:$F,$A13,'単価履歴'!$B:$B,MAXIFS('単価履歴'!$B:$B,'単価履歴'!$E:$E,BG$1,'単価履歴'!$F:$F,$A13)))</f>
        <v/>
      </c>
      <c r="BH13" s="332" t="str">
        <f>IF(MAXIFS('単価履歴'!$H:$H,'単価履歴'!$E:$E,BH$1,'単価履歴'!$F:$F,$A13,'単価履歴'!$B:$B,MAXIFS('単価履歴'!$B:$B,'単価履歴'!$E:$E,BH$1,'単価履歴'!$F:$F,$A13))=0,"",MAXIFS('単価履歴'!$H:$H,'単価履歴'!$E:$E,BH$1,'単価履歴'!$F:$F,$A13,'単価履歴'!$B:$B,MAXIFS('単価履歴'!$B:$B,'単価履歴'!$E:$E,BH$1,'単価履歴'!$F:$F,$A13)))</f>
        <v/>
      </c>
      <c r="BI13" s="332" t="str">
        <f>IF(MAXIFS('単価履歴'!$H:$H,'単価履歴'!$E:$E,BI$1,'単価履歴'!$F:$F,$A13,'単価履歴'!$B:$B,MAXIFS('単価履歴'!$B:$B,'単価履歴'!$E:$E,BI$1,'単価履歴'!$F:$F,$A13))=0,"",MAXIFS('単価履歴'!$H:$H,'単価履歴'!$E:$E,BI$1,'単価履歴'!$F:$F,$A13,'単価履歴'!$B:$B,MAXIFS('単価履歴'!$B:$B,'単価履歴'!$E:$E,BI$1,'単価履歴'!$F:$F,$A13)))</f>
        <v/>
      </c>
      <c r="BJ13" s="332" t="str">
        <f>IF(MAXIFS('単価履歴'!$H:$H,'単価履歴'!$E:$E,BJ$1,'単価履歴'!$F:$F,$A13,'単価履歴'!$B:$B,MAXIFS('単価履歴'!$B:$B,'単価履歴'!$E:$E,BJ$1,'単価履歴'!$F:$F,$A13))=0,"",MAXIFS('単価履歴'!$H:$H,'単価履歴'!$E:$E,BJ$1,'単価履歴'!$F:$F,$A13,'単価履歴'!$B:$B,MAXIFS('単価履歴'!$B:$B,'単価履歴'!$E:$E,BJ$1,'単価履歴'!$F:$F,$A13)))</f>
        <v/>
      </c>
      <c r="BK13" s="332" t="str">
        <f>IF(MAXIFS('単価履歴'!$H:$H,'単価履歴'!$E:$E,BK$1,'単価履歴'!$F:$F,$A13,'単価履歴'!$B:$B,MAXIFS('単価履歴'!$B:$B,'単価履歴'!$E:$E,BK$1,'単価履歴'!$F:$F,$A13))=0,"",MAXIFS('単価履歴'!$H:$H,'単価履歴'!$E:$E,BK$1,'単価履歴'!$F:$F,$A13,'単価履歴'!$B:$B,MAXIFS('単価履歴'!$B:$B,'単価履歴'!$E:$E,BK$1,'単価履歴'!$F:$F,$A13)))</f>
        <v/>
      </c>
      <c r="BL13" s="332" t="str">
        <f>IF(MAXIFS('単価履歴'!$H:$H,'単価履歴'!$E:$E,BL$1,'単価履歴'!$F:$F,$A13,'単価履歴'!$B:$B,MAXIFS('単価履歴'!$B:$B,'単価履歴'!$E:$E,BL$1,'単価履歴'!$F:$F,$A13))=0,"",MAXIFS('単価履歴'!$H:$H,'単価履歴'!$E:$E,BL$1,'単価履歴'!$F:$F,$A13,'単価履歴'!$B:$B,MAXIFS('単価履歴'!$B:$B,'単価履歴'!$E:$E,BL$1,'単価履歴'!$F:$F,$A13)))</f>
        <v/>
      </c>
      <c r="BM13" s="332" t="str">
        <f>IF(MAXIFS('単価履歴'!$H:$H,'単価履歴'!$E:$E,BM$1,'単価履歴'!$F:$F,$A13,'単価履歴'!$B:$B,MAXIFS('単価履歴'!$B:$B,'単価履歴'!$E:$E,BM$1,'単価履歴'!$F:$F,$A13))=0,"",MAXIFS('単価履歴'!$H:$H,'単価履歴'!$E:$E,BM$1,'単価履歴'!$F:$F,$A13,'単価履歴'!$B:$B,MAXIFS('単価履歴'!$B:$B,'単価履歴'!$E:$E,BM$1,'単価履歴'!$F:$F,$A13)))</f>
        <v/>
      </c>
      <c r="BN13" s="332" t="str">
        <f>IF(MAXIFS('単価履歴'!$H:$H,'単価履歴'!$E:$E,BN$1,'単価履歴'!$F:$F,$A13,'単価履歴'!$B:$B,MAXIFS('単価履歴'!$B:$B,'単価履歴'!$E:$E,BN$1,'単価履歴'!$F:$F,$A13))=0,"",MAXIFS('単価履歴'!$H:$H,'単価履歴'!$E:$E,BN$1,'単価履歴'!$F:$F,$A13,'単価履歴'!$B:$B,MAXIFS('単価履歴'!$B:$B,'単価履歴'!$E:$E,BN$1,'単価履歴'!$F:$F,$A13)))</f>
        <v/>
      </c>
      <c r="BO13" s="332" t="str">
        <f>IF(MAXIFS('単価履歴'!$H:$H,'単価履歴'!$E:$E,BO$1,'単価履歴'!$F:$F,$A13,'単価履歴'!$B:$B,MAXIFS('単価履歴'!$B:$B,'単価履歴'!$E:$E,BO$1,'単価履歴'!$F:$F,$A13))=0,"",MAXIFS('単価履歴'!$H:$H,'単価履歴'!$E:$E,BO$1,'単価履歴'!$F:$F,$A13,'単価履歴'!$B:$B,MAXIFS('単価履歴'!$B:$B,'単価履歴'!$E:$E,BO$1,'単価履歴'!$F:$F,$A13)))</f>
        <v/>
      </c>
      <c r="BP13" s="332" t="str">
        <f>IF(MAXIFS('単価履歴'!$H:$H,'単価履歴'!$E:$E,BP$1,'単価履歴'!$F:$F,$A13,'単価履歴'!$B:$B,MAXIFS('単価履歴'!$B:$B,'単価履歴'!$E:$E,BP$1,'単価履歴'!$F:$F,$A13))=0,"",MAXIFS('単価履歴'!$H:$H,'単価履歴'!$E:$E,BP$1,'単価履歴'!$F:$F,$A13,'単価履歴'!$B:$B,MAXIFS('単価履歴'!$B:$B,'単価履歴'!$E:$E,BP$1,'単価履歴'!$F:$F,$A13)))</f>
        <v/>
      </c>
      <c r="BQ13" s="332" t="str">
        <f>IF(MAXIFS('単価履歴'!$H:$H,'単価履歴'!$E:$E,BQ$1,'単価履歴'!$F:$F,$A13,'単価履歴'!$B:$B,MAXIFS('単価履歴'!$B:$B,'単価履歴'!$E:$E,BQ$1,'単価履歴'!$F:$F,$A13))=0,"",MAXIFS('単価履歴'!$H:$H,'単価履歴'!$E:$E,BQ$1,'単価履歴'!$F:$F,$A13,'単価履歴'!$B:$B,MAXIFS('単価履歴'!$B:$B,'単価履歴'!$E:$E,BQ$1,'単価履歴'!$F:$F,$A13)))</f>
        <v/>
      </c>
      <c r="BR13" s="332" t="str">
        <f>IF(MAXIFS('単価履歴'!$H:$H,'単価履歴'!$E:$E,BR$1,'単価履歴'!$F:$F,$A13,'単価履歴'!$B:$B,MAXIFS('単価履歴'!$B:$B,'単価履歴'!$E:$E,BR$1,'単価履歴'!$F:$F,$A13))=0,"",MAXIFS('単価履歴'!$H:$H,'単価履歴'!$E:$E,BR$1,'単価履歴'!$F:$F,$A13,'単価履歴'!$B:$B,MAXIFS('単価履歴'!$B:$B,'単価履歴'!$E:$E,BR$1,'単価履歴'!$F:$F,$A13)))</f>
        <v/>
      </c>
      <c r="BS13" s="332" t="str">
        <f>IF(MAXIFS('単価履歴'!$H:$H,'単価履歴'!$E:$E,BS$1,'単価履歴'!$F:$F,$A13,'単価履歴'!$B:$B,MAXIFS('単価履歴'!$B:$B,'単価履歴'!$E:$E,BS$1,'単価履歴'!$F:$F,$A13))=0,"",MAXIFS('単価履歴'!$H:$H,'単価履歴'!$E:$E,BS$1,'単価履歴'!$F:$F,$A13,'単価履歴'!$B:$B,MAXIFS('単価履歴'!$B:$B,'単価履歴'!$E:$E,BS$1,'単価履歴'!$F:$F,$A13)))</f>
        <v/>
      </c>
      <c r="BT13" s="332" t="str">
        <f>IF(MAXIFS('単価履歴'!$H:$H,'単価履歴'!$E:$E,BT$1,'単価履歴'!$F:$F,$A13,'単価履歴'!$B:$B,MAXIFS('単価履歴'!$B:$B,'単価履歴'!$E:$E,BT$1,'単価履歴'!$F:$F,$A13))=0,"",MAXIFS('単価履歴'!$H:$H,'単価履歴'!$E:$E,BT$1,'単価履歴'!$F:$F,$A13,'単価履歴'!$B:$B,MAXIFS('単価履歴'!$B:$B,'単価履歴'!$E:$E,BT$1,'単価履歴'!$F:$F,$A13)))</f>
        <v/>
      </c>
      <c r="BU13" s="332" t="str">
        <f>IF(MAXIFS('単価履歴'!$H:$H,'単価履歴'!$E:$E,BU$1,'単価履歴'!$F:$F,$A13,'単価履歴'!$B:$B,MAXIFS('単価履歴'!$B:$B,'単価履歴'!$E:$E,BU$1,'単価履歴'!$F:$F,$A13))=0,"",MAXIFS('単価履歴'!$H:$H,'単価履歴'!$E:$E,BU$1,'単価履歴'!$F:$F,$A13,'単価履歴'!$B:$B,MAXIFS('単価履歴'!$B:$B,'単価履歴'!$E:$E,BU$1,'単価履歴'!$F:$F,$A13)))</f>
        <v/>
      </c>
      <c r="BV13" s="332" t="str">
        <f>IF(MAXIFS('単価履歴'!$H:$H,'単価履歴'!$E:$E,BV$1,'単価履歴'!$F:$F,$A13,'単価履歴'!$B:$B,MAXIFS('単価履歴'!$B:$B,'単価履歴'!$E:$E,BV$1,'単価履歴'!$F:$F,$A13))=0,"",MAXIFS('単価履歴'!$H:$H,'単価履歴'!$E:$E,BV$1,'単価履歴'!$F:$F,$A13,'単価履歴'!$B:$B,MAXIFS('単価履歴'!$B:$B,'単価履歴'!$E:$E,BV$1,'単価履歴'!$F:$F,$A13)))</f>
        <v/>
      </c>
      <c r="BW13" s="332" t="str">
        <f>IF(MAXIFS('単価履歴'!$H:$H,'単価履歴'!$E:$E,BW$1,'単価履歴'!$F:$F,$A13,'単価履歴'!$B:$B,MAXIFS('単価履歴'!$B:$B,'単価履歴'!$E:$E,BW$1,'単価履歴'!$F:$F,$A13))=0,"",MAXIFS('単価履歴'!$H:$H,'単価履歴'!$E:$E,BW$1,'単価履歴'!$F:$F,$A13,'単価履歴'!$B:$B,MAXIFS('単価履歴'!$B:$B,'単価履歴'!$E:$E,BW$1,'単価履歴'!$F:$F,$A13)))</f>
        <v/>
      </c>
      <c r="BX13" s="332" t="str">
        <f>IF(MAXIFS('単価履歴'!$H:$H,'単価履歴'!$E:$E,BX$1,'単価履歴'!$F:$F,$A13,'単価履歴'!$B:$B,MAXIFS('単価履歴'!$B:$B,'単価履歴'!$E:$E,BX$1,'単価履歴'!$F:$F,$A13))=0,"",MAXIFS('単価履歴'!$H:$H,'単価履歴'!$E:$E,BX$1,'単価履歴'!$F:$F,$A13,'単価履歴'!$B:$B,MAXIFS('単価履歴'!$B:$B,'単価履歴'!$E:$E,BX$1,'単価履歴'!$F:$F,$A13)))</f>
        <v/>
      </c>
      <c r="BY13" s="332" t="str">
        <f>IF(MAXIFS('単価履歴'!$H:$H,'単価履歴'!$E:$E,BY$1,'単価履歴'!$F:$F,$A13,'単価履歴'!$B:$B,MAXIFS('単価履歴'!$B:$B,'単価履歴'!$E:$E,BY$1,'単価履歴'!$F:$F,$A13))=0,"",MAXIFS('単価履歴'!$H:$H,'単価履歴'!$E:$E,BY$1,'単価履歴'!$F:$F,$A13,'単価履歴'!$B:$B,MAXIFS('単価履歴'!$B:$B,'単価履歴'!$E:$E,BY$1,'単価履歴'!$F:$F,$A13)))</f>
        <v/>
      </c>
      <c r="BZ13" s="332" t="str">
        <f>IF(MAXIFS('単価履歴'!$H:$H,'単価履歴'!$E:$E,BZ$1,'単価履歴'!$F:$F,$A13,'単価履歴'!$B:$B,MAXIFS('単価履歴'!$B:$B,'単価履歴'!$E:$E,BZ$1,'単価履歴'!$F:$F,$A13))=0,"",MAXIFS('単価履歴'!$H:$H,'単価履歴'!$E:$E,BZ$1,'単価履歴'!$F:$F,$A13,'単価履歴'!$B:$B,MAXIFS('単価履歴'!$B:$B,'単価履歴'!$E:$E,BZ$1,'単価履歴'!$F:$F,$A13)))</f>
        <v/>
      </c>
      <c r="CA13" s="332" t="str">
        <f>IF(MAXIFS('単価履歴'!$H:$H,'単価履歴'!$E:$E,CA$1,'単価履歴'!$F:$F,$A13,'単価履歴'!$B:$B,MAXIFS('単価履歴'!$B:$B,'単価履歴'!$E:$E,CA$1,'単価履歴'!$F:$F,$A13))=0,"",MAXIFS('単価履歴'!$H:$H,'単価履歴'!$E:$E,CA$1,'単価履歴'!$F:$F,$A13,'単価履歴'!$B:$B,MAXIFS('単価履歴'!$B:$B,'単価履歴'!$E:$E,CA$1,'単価履歴'!$F:$F,$A13)))</f>
        <v/>
      </c>
      <c r="CB13" s="332" t="str">
        <f>IF(MAXIFS('単価履歴'!$H:$H,'単価履歴'!$E:$E,CB$1,'単価履歴'!$F:$F,$A13,'単価履歴'!$B:$B,MAXIFS('単価履歴'!$B:$B,'単価履歴'!$E:$E,CB$1,'単価履歴'!$F:$F,$A13))=0,"",MAXIFS('単価履歴'!$H:$H,'単価履歴'!$E:$E,CB$1,'単価履歴'!$F:$F,$A13,'単価履歴'!$B:$B,MAXIFS('単価履歴'!$B:$B,'単価履歴'!$E:$E,CB$1,'単価履歴'!$F:$F,$A13)))</f>
        <v/>
      </c>
      <c r="CC13" s="332" t="str">
        <f>IF(MAXIFS('単価履歴'!$H:$H,'単価履歴'!$E:$E,CC$1,'単価履歴'!$F:$F,$A13,'単価履歴'!$B:$B,MAXIFS('単価履歴'!$B:$B,'単価履歴'!$E:$E,CC$1,'単価履歴'!$F:$F,$A13))=0,"",MAXIFS('単価履歴'!$H:$H,'単価履歴'!$E:$E,CC$1,'単価履歴'!$F:$F,$A13,'単価履歴'!$B:$B,MAXIFS('単価履歴'!$B:$B,'単価履歴'!$E:$E,CC$1,'単価履歴'!$F:$F,$A13)))</f>
        <v/>
      </c>
      <c r="CD13" s="332" t="str">
        <f>IF(MAXIFS('単価履歴'!$H:$H,'単価履歴'!$E:$E,CD$1,'単価履歴'!$F:$F,$A13,'単価履歴'!$B:$B,MAXIFS('単価履歴'!$B:$B,'単価履歴'!$E:$E,CD$1,'単価履歴'!$F:$F,$A13))=0,"",MAXIFS('単価履歴'!$H:$H,'単価履歴'!$E:$E,CD$1,'単価履歴'!$F:$F,$A13,'単価履歴'!$B:$B,MAXIFS('単価履歴'!$B:$B,'単価履歴'!$E:$E,CD$1,'単価履歴'!$F:$F,$A13)))</f>
        <v/>
      </c>
      <c r="CE13" s="332" t="str">
        <f>IF(MAXIFS('単価履歴'!$H:$H,'単価履歴'!$E:$E,CE$1,'単価履歴'!$F:$F,$A13,'単価履歴'!$B:$B,MAXIFS('単価履歴'!$B:$B,'単価履歴'!$E:$E,CE$1,'単価履歴'!$F:$F,$A13))=0,"",MAXIFS('単価履歴'!$H:$H,'単価履歴'!$E:$E,CE$1,'単価履歴'!$F:$F,$A13,'単価履歴'!$B:$B,MAXIFS('単価履歴'!$B:$B,'単価履歴'!$E:$E,CE$1,'単価履歴'!$F:$F,$A13)))</f>
        <v/>
      </c>
      <c r="CF13" s="332" t="str">
        <f>IF(MAXIFS('単価履歴'!$H:$H,'単価履歴'!$E:$E,CF$1,'単価履歴'!$F:$F,$A13,'単価履歴'!$B:$B,MAXIFS('単価履歴'!$B:$B,'単価履歴'!$E:$E,CF$1,'単価履歴'!$F:$F,$A13))=0,"",MAXIFS('単価履歴'!$H:$H,'単価履歴'!$E:$E,CF$1,'単価履歴'!$F:$F,$A13,'単価履歴'!$B:$B,MAXIFS('単価履歴'!$B:$B,'単価履歴'!$E:$E,CF$1,'単価履歴'!$F:$F,$A13)))</f>
        <v/>
      </c>
      <c r="CG13" s="332" t="str">
        <f>IF(MAXIFS('単価履歴'!$H:$H,'単価履歴'!$E:$E,CG$1,'単価履歴'!$F:$F,$A13,'単価履歴'!$B:$B,MAXIFS('単価履歴'!$B:$B,'単価履歴'!$E:$E,CG$1,'単価履歴'!$F:$F,$A13))=0,"",MAXIFS('単価履歴'!$H:$H,'単価履歴'!$E:$E,CG$1,'単価履歴'!$F:$F,$A13,'単価履歴'!$B:$B,MAXIFS('単価履歴'!$B:$B,'単価履歴'!$E:$E,CG$1,'単価履歴'!$F:$F,$A13)))</f>
        <v/>
      </c>
      <c r="CH13" s="332" t="str">
        <f>IF(MAXIFS('単価履歴'!$H:$H,'単価履歴'!$E:$E,CH$1,'単価履歴'!$F:$F,$A13,'単価履歴'!$B:$B,MAXIFS('単価履歴'!$B:$B,'単価履歴'!$E:$E,CH$1,'単価履歴'!$F:$F,$A13))=0,"",MAXIFS('単価履歴'!$H:$H,'単価履歴'!$E:$E,CH$1,'単価履歴'!$F:$F,$A13,'単価履歴'!$B:$B,MAXIFS('単価履歴'!$B:$B,'単価履歴'!$E:$E,CH$1,'単価履歴'!$F:$F,$A13)))</f>
        <v/>
      </c>
    </row>
    <row r="14" ht="15.75" customHeight="1">
      <c r="A14" s="432" t="s">
        <v>575</v>
      </c>
      <c r="B14" s="332">
        <f>MAXIFS('単価履歴'!H:H,'単価履歴'!F:F,A14,'単価履歴'!N:N,"●")</f>
        <v>51.5</v>
      </c>
      <c r="C14" s="332" t="str">
        <f>IF(MAXIFS('単価履歴'!$H:$H,'単価履歴'!$E:$E,C$1,'単価履歴'!$F:$F,$A14,'単価履歴'!$B:$B,MAXIFS('単価履歴'!$B:$B,'単価履歴'!$E:$E,C$1,'単価履歴'!$F:$F,$A14))=0,"",MAXIFS('単価履歴'!$H:$H,'単価履歴'!$E:$E,C$1,'単価履歴'!$F:$F,$A14,'単価履歴'!$B:$B,MAXIFS('単価履歴'!$B:$B,'単価履歴'!$E:$E,C$1,'単価履歴'!$F:$F,$A14)))</f>
        <v/>
      </c>
      <c r="D14" s="332" t="str">
        <f>IF(MAXIFS('単価履歴'!$H:$H,'単価履歴'!$E:$E,D$1,'単価履歴'!$F:$F,$A14,'単価履歴'!$B:$B,MAXIFS('単価履歴'!$B:$B,'単価履歴'!$E:$E,D$1,'単価履歴'!$F:$F,$A14))=0,"",MAXIFS('単価履歴'!$H:$H,'単価履歴'!$E:$E,D$1,'単価履歴'!$F:$F,$A14,'単価履歴'!$B:$B,MAXIFS('単価履歴'!$B:$B,'単価履歴'!$E:$E,D$1,'単価履歴'!$F:$F,$A14)))</f>
        <v/>
      </c>
      <c r="E14" s="332" t="str">
        <f>IF(MAXIFS('単価履歴'!$H:$H,'単価履歴'!$E:$E,E$1,'単価履歴'!$F:$F,$A14,'単価履歴'!$B:$B,MAXIFS('単価履歴'!$B:$B,'単価履歴'!$E:$E,E$1,'単価履歴'!$F:$F,$A14))=0,"",MAXIFS('単価履歴'!$H:$H,'単価履歴'!$E:$E,E$1,'単価履歴'!$F:$F,$A14,'単価履歴'!$B:$B,MAXIFS('単価履歴'!$B:$B,'単価履歴'!$E:$E,E$1,'単価履歴'!$F:$F,$A14)))</f>
        <v/>
      </c>
      <c r="F14" s="332" t="str">
        <f>IF(MAXIFS('単価履歴'!$H:$H,'単価履歴'!$E:$E,F$1,'単価履歴'!$F:$F,$A14,'単価履歴'!$B:$B,MAXIFS('単価履歴'!$B:$B,'単価履歴'!$E:$E,F$1,'単価履歴'!$F:$F,$A14))=0,"",MAXIFS('単価履歴'!$H:$H,'単価履歴'!$E:$E,F$1,'単価履歴'!$F:$F,$A14,'単価履歴'!$B:$B,MAXIFS('単価履歴'!$B:$B,'単価履歴'!$E:$E,F$1,'単価履歴'!$F:$F,$A14)))</f>
        <v/>
      </c>
      <c r="G14" s="332" t="str">
        <f>IF(MAXIFS('単価履歴'!$H:$H,'単価履歴'!$E:$E,G$1,'単価履歴'!$F:$F,$A14,'単価履歴'!$B:$B,MAXIFS('単価履歴'!$B:$B,'単価履歴'!$E:$E,G$1,'単価履歴'!$F:$F,$A14))=0,"",MAXIFS('単価履歴'!$H:$H,'単価履歴'!$E:$E,G$1,'単価履歴'!$F:$F,$A14,'単価履歴'!$B:$B,MAXIFS('単価履歴'!$B:$B,'単価履歴'!$E:$E,G$1,'単価履歴'!$F:$F,$A14)))</f>
        <v/>
      </c>
      <c r="H14" s="332">
        <f>IF(MAXIFS('単価履歴'!$H:$H,'単価履歴'!$E:$E,H$1,'単価履歴'!$F:$F,$A14,'単価履歴'!$B:$B,MAXIFS('単価履歴'!$B:$B,'単価履歴'!$E:$E,H$1,'単価履歴'!$F:$F,$A14))=0,"",MAXIFS('単価履歴'!$H:$H,'単価履歴'!$E:$E,H$1,'単価履歴'!$F:$F,$A14,'単価履歴'!$B:$B,MAXIFS('単価履歴'!$B:$B,'単価履歴'!$E:$E,H$1,'単価履歴'!$F:$F,$A14)))</f>
        <v>44.2</v>
      </c>
      <c r="I14" s="332">
        <f>IF(MAXIFS('単価履歴'!$H:$H,'単価履歴'!$E:$E,I$1,'単価履歴'!$F:$F,$A14,'単価履歴'!$B:$B,MAXIFS('単価履歴'!$B:$B,'単価履歴'!$E:$E,I$1,'単価履歴'!$F:$F,$A14))=0,"",MAXIFS('単価履歴'!$H:$H,'単価履歴'!$E:$E,I$1,'単価履歴'!$F:$F,$A14,'単価履歴'!$B:$B,MAXIFS('単価履歴'!$B:$B,'単価履歴'!$E:$E,I$1,'単価履歴'!$F:$F,$A14)))</f>
        <v>44.3</v>
      </c>
      <c r="J14" s="332">
        <f>IF(MAXIFS('単価履歴'!$H:$H,'単価履歴'!$E:$E,J$1,'単価履歴'!$F:$F,$A14,'単価履歴'!$B:$B,MAXIFS('単価履歴'!$B:$B,'単価履歴'!$E:$E,J$1,'単価履歴'!$F:$F,$A14))=0,"",MAXIFS('単価履歴'!$H:$H,'単価履歴'!$E:$E,J$1,'単価履歴'!$F:$F,$A14,'単価履歴'!$B:$B,MAXIFS('単価履歴'!$B:$B,'単価履歴'!$E:$E,J$1,'単価履歴'!$F:$F,$A14)))</f>
        <v>2</v>
      </c>
      <c r="K14" s="332" t="str">
        <f>IF(MAXIFS('単価履歴'!$H:$H,'単価履歴'!$E:$E,K$1,'単価履歴'!$F:$F,$A14,'単価履歴'!$B:$B,MAXIFS('単価履歴'!$B:$B,'単価履歴'!$E:$E,K$1,'単価履歴'!$F:$F,$A14))=0,"",MAXIFS('単価履歴'!$H:$H,'単価履歴'!$E:$E,K$1,'単価履歴'!$F:$F,$A14,'単価履歴'!$B:$B,MAXIFS('単価履歴'!$B:$B,'単価履歴'!$E:$E,K$1,'単価履歴'!$F:$F,$A14)))</f>
        <v/>
      </c>
      <c r="L14" s="332">
        <f>IF(MAXIFS('単価履歴'!$H:$H,'単価履歴'!$E:$E,L$1,'単価履歴'!$F:$F,$A14,'単価履歴'!$B:$B,MAXIFS('単価履歴'!$B:$B,'単価履歴'!$E:$E,L$1,'単価履歴'!$F:$F,$A14))=0,"",MAXIFS('単価履歴'!$H:$H,'単価履歴'!$E:$E,L$1,'単価履歴'!$F:$F,$A14,'単価履歴'!$B:$B,MAXIFS('単価履歴'!$B:$B,'単価履歴'!$E:$E,L$1,'単価履歴'!$F:$F,$A14)))</f>
        <v>37</v>
      </c>
      <c r="M14" s="332">
        <f>IF(MAXIFS('単価履歴'!$H:$H,'単価履歴'!$E:$E,M$1,'単価履歴'!$F:$F,$A14,'単価履歴'!$B:$B,MAXIFS('単価履歴'!$B:$B,'単価履歴'!$E:$E,M$1,'単価履歴'!$F:$F,$A14))=0,"",MAXIFS('単価履歴'!$H:$H,'単価履歴'!$E:$E,M$1,'単価履歴'!$F:$F,$A14,'単価履歴'!$B:$B,MAXIFS('単価履歴'!$B:$B,'単価履歴'!$E:$E,M$1,'単価履歴'!$F:$F,$A14)))</f>
        <v>37.2</v>
      </c>
      <c r="N14" s="332">
        <f>IF(MAXIFS('単価履歴'!$H:$H,'単価履歴'!$E:$E,N$1,'単価履歴'!$F:$F,$A14,'単価履歴'!$B:$B,MAXIFS('単価履歴'!$B:$B,'単価履歴'!$E:$E,N$1,'単価履歴'!$F:$F,$A14))=0,"",MAXIFS('単価履歴'!$H:$H,'単価履歴'!$E:$E,N$1,'単価履歴'!$F:$F,$A14,'単価履歴'!$B:$B,MAXIFS('単価履歴'!$B:$B,'単価履歴'!$E:$E,N$1,'単価履歴'!$F:$F,$A14)))</f>
        <v>47.2</v>
      </c>
      <c r="O14" s="332">
        <f>IF(MAXIFS('単価履歴'!$H:$H,'単価履歴'!$E:$E,O$1,'単価履歴'!$F:$F,$A14,'単価履歴'!$B:$B,MAXIFS('単価履歴'!$B:$B,'単価履歴'!$E:$E,O$1,'単価履歴'!$F:$F,$A14))=0,"",MAXIFS('単価履歴'!$H:$H,'単価履歴'!$E:$E,O$1,'単価履歴'!$F:$F,$A14,'単価履歴'!$B:$B,MAXIFS('単価履歴'!$B:$B,'単価履歴'!$E:$E,O$1,'単価履歴'!$F:$F,$A14)))</f>
        <v>-3</v>
      </c>
      <c r="P14" s="332" t="str">
        <f>IF(MAXIFS('単価履歴'!$H:$H,'単価履歴'!$E:$E,P$1,'単価履歴'!$F:$F,$A14,'単価履歴'!$B:$B,MAXIFS('単価履歴'!$B:$B,'単価履歴'!$E:$E,P$1,'単価履歴'!$F:$F,$A14))=0,"",MAXIFS('単価履歴'!$H:$H,'単価履歴'!$E:$E,P$1,'単価履歴'!$F:$F,$A14,'単価履歴'!$B:$B,MAXIFS('単価履歴'!$B:$B,'単価履歴'!$E:$E,P$1,'単価履歴'!$F:$F,$A14)))</f>
        <v/>
      </c>
      <c r="Q14" s="332" t="str">
        <f>IF(MAXIFS('単価履歴'!$H:$H,'単価履歴'!$E:$E,Q$1,'単価履歴'!$F:$F,$A14,'単価履歴'!$B:$B,MAXIFS('単価履歴'!$B:$B,'単価履歴'!$E:$E,Q$1,'単価履歴'!$F:$F,$A14))=0,"",MAXIFS('単価履歴'!$H:$H,'単価履歴'!$E:$E,Q$1,'単価履歴'!$F:$F,$A14,'単価履歴'!$B:$B,MAXIFS('単価履歴'!$B:$B,'単価履歴'!$E:$E,Q$1,'単価履歴'!$F:$F,$A14)))</f>
        <v/>
      </c>
      <c r="R14" s="332" t="str">
        <f>IF(MAXIFS('単価履歴'!$H:$H,'単価履歴'!$E:$E,R$1,'単価履歴'!$F:$F,$A14,'単価履歴'!$B:$B,MAXIFS('単価履歴'!$B:$B,'単価履歴'!$E:$E,R$1,'単価履歴'!$F:$F,$A14))=0,"",MAXIFS('単価履歴'!$H:$H,'単価履歴'!$E:$E,R$1,'単価履歴'!$F:$F,$A14,'単価履歴'!$B:$B,MAXIFS('単価履歴'!$B:$B,'単価履歴'!$E:$E,R$1,'単価履歴'!$F:$F,$A14)))</f>
        <v/>
      </c>
      <c r="S14" s="332" t="str">
        <f>IF(MAXIFS('単価履歴'!$H:$H,'単価履歴'!$E:$E,S$1,'単価履歴'!$F:$F,$A14,'単価履歴'!$B:$B,MAXIFS('単価履歴'!$B:$B,'単価履歴'!$E:$E,S$1,'単価履歴'!$F:$F,$A14))=0,"",MAXIFS('単価履歴'!$H:$H,'単価履歴'!$E:$E,S$1,'単価履歴'!$F:$F,$A14,'単価履歴'!$B:$B,MAXIFS('単価履歴'!$B:$B,'単価履歴'!$E:$E,S$1,'単価履歴'!$F:$F,$A14)))</f>
        <v/>
      </c>
      <c r="T14" s="332" t="str">
        <f>IF(MAXIFS('単価履歴'!$H:$H,'単価履歴'!$E:$E,T$1,'単価履歴'!$F:$F,$A14,'単価履歴'!$B:$B,MAXIFS('単価履歴'!$B:$B,'単価履歴'!$E:$E,T$1,'単価履歴'!$F:$F,$A14))=0,"",MAXIFS('単価履歴'!$H:$H,'単価履歴'!$E:$E,T$1,'単価履歴'!$F:$F,$A14,'単価履歴'!$B:$B,MAXIFS('単価履歴'!$B:$B,'単価履歴'!$E:$E,T$1,'単価履歴'!$F:$F,$A14)))</f>
        <v/>
      </c>
      <c r="U14" s="332" t="str">
        <f>IF(MAXIFS('単価履歴'!$H:$H,'単価履歴'!$E:$E,U$1,'単価履歴'!$F:$F,$A14,'単価履歴'!$B:$B,MAXIFS('単価履歴'!$B:$B,'単価履歴'!$E:$E,U$1,'単価履歴'!$F:$F,$A14))=0,"",MAXIFS('単価履歴'!$H:$H,'単価履歴'!$E:$E,U$1,'単価履歴'!$F:$F,$A14,'単価履歴'!$B:$B,MAXIFS('単価履歴'!$B:$B,'単価履歴'!$E:$E,U$1,'単価履歴'!$F:$F,$A14)))</f>
        <v/>
      </c>
      <c r="V14" s="332" t="str">
        <f>IF(MAXIFS('単価履歴'!$H:$H,'単価履歴'!$E:$E,V$1,'単価履歴'!$F:$F,$A14,'単価履歴'!$B:$B,MAXIFS('単価履歴'!$B:$B,'単価履歴'!$E:$E,V$1,'単価履歴'!$F:$F,$A14))=0,"",MAXIFS('単価履歴'!$H:$H,'単価履歴'!$E:$E,V$1,'単価履歴'!$F:$F,$A14,'単価履歴'!$B:$B,MAXIFS('単価履歴'!$B:$B,'単価履歴'!$E:$E,V$1,'単価履歴'!$F:$F,$A14)))</f>
        <v/>
      </c>
      <c r="W14" s="332" t="str">
        <f>IF(MAXIFS('単価履歴'!$H:$H,'単価履歴'!$E:$E,W$1,'単価履歴'!$F:$F,$A14,'単価履歴'!$B:$B,MAXIFS('単価履歴'!$B:$B,'単価履歴'!$E:$E,W$1,'単価履歴'!$F:$F,$A14))=0,"",MAXIFS('単価履歴'!$H:$H,'単価履歴'!$E:$E,W$1,'単価履歴'!$F:$F,$A14,'単価履歴'!$B:$B,MAXIFS('単価履歴'!$B:$B,'単価履歴'!$E:$E,W$1,'単価履歴'!$F:$F,$A14)))</f>
        <v/>
      </c>
      <c r="X14" s="332" t="str">
        <f>IF(MAXIFS('単価履歴'!$H:$H,'単価履歴'!$E:$E,X$1,'単価履歴'!$F:$F,$A14,'単価履歴'!$B:$B,MAXIFS('単価履歴'!$B:$B,'単価履歴'!$E:$E,X$1,'単価履歴'!$F:$F,$A14))=0,"",MAXIFS('単価履歴'!$H:$H,'単価履歴'!$E:$E,X$1,'単価履歴'!$F:$F,$A14,'単価履歴'!$B:$B,MAXIFS('単価履歴'!$B:$B,'単価履歴'!$E:$E,X$1,'単価履歴'!$F:$F,$A14)))</f>
        <v/>
      </c>
      <c r="Y14" s="332" t="str">
        <f>IF(MAXIFS('単価履歴'!$H:$H,'単価履歴'!$E:$E,Y$1,'単価履歴'!$F:$F,$A14,'単価履歴'!$B:$B,MAXIFS('単価履歴'!$B:$B,'単価履歴'!$E:$E,Y$1,'単価履歴'!$F:$F,$A14))=0,"",MAXIFS('単価履歴'!$H:$H,'単価履歴'!$E:$E,Y$1,'単価履歴'!$F:$F,$A14,'単価履歴'!$B:$B,MAXIFS('単価履歴'!$B:$B,'単価履歴'!$E:$E,Y$1,'単価履歴'!$F:$F,$A14)))</f>
        <v/>
      </c>
      <c r="Z14" s="332" t="str">
        <f>IF(MAXIFS('単価履歴'!$H:$H,'単価履歴'!$E:$E,Z$1,'単価履歴'!$F:$F,$A14,'単価履歴'!$B:$B,MAXIFS('単価履歴'!$B:$B,'単価履歴'!$E:$E,Z$1,'単価履歴'!$F:$F,$A14))=0,"",MAXIFS('単価履歴'!$H:$H,'単価履歴'!$E:$E,Z$1,'単価履歴'!$F:$F,$A14,'単価履歴'!$B:$B,MAXIFS('単価履歴'!$B:$B,'単価履歴'!$E:$E,Z$1,'単価履歴'!$F:$F,$A14)))</f>
        <v/>
      </c>
      <c r="AA14" s="332" t="str">
        <f>IF(MAXIFS('単価履歴'!$H:$H,'単価履歴'!$E:$E,AA$1,'単価履歴'!$F:$F,$A14,'単価履歴'!$B:$B,MAXIFS('単価履歴'!$B:$B,'単価履歴'!$E:$E,AA$1,'単価履歴'!$F:$F,$A14))=0,"",MAXIFS('単価履歴'!$H:$H,'単価履歴'!$E:$E,AA$1,'単価履歴'!$F:$F,$A14,'単価履歴'!$B:$B,MAXIFS('単価履歴'!$B:$B,'単価履歴'!$E:$E,AA$1,'単価履歴'!$F:$F,$A14)))</f>
        <v/>
      </c>
      <c r="AB14" s="332" t="str">
        <f>IF(MAXIFS('単価履歴'!$H:$H,'単価履歴'!$E:$E,AB$1,'単価履歴'!$F:$F,$A14,'単価履歴'!$B:$B,MAXIFS('単価履歴'!$B:$B,'単価履歴'!$E:$E,AB$1,'単価履歴'!$F:$F,$A14))=0,"",MAXIFS('単価履歴'!$H:$H,'単価履歴'!$E:$E,AB$1,'単価履歴'!$F:$F,$A14,'単価履歴'!$B:$B,MAXIFS('単価履歴'!$B:$B,'単価履歴'!$E:$E,AB$1,'単価履歴'!$F:$F,$A14)))</f>
        <v/>
      </c>
      <c r="AC14" s="332" t="str">
        <f>IF(MAXIFS('単価履歴'!$H:$H,'単価履歴'!$E:$E,AC$1,'単価履歴'!$F:$F,$A14,'単価履歴'!$B:$B,MAXIFS('単価履歴'!$B:$B,'単価履歴'!$E:$E,AC$1,'単価履歴'!$F:$F,$A14))=0,"",MAXIFS('単価履歴'!$H:$H,'単価履歴'!$E:$E,AC$1,'単価履歴'!$F:$F,$A14,'単価履歴'!$B:$B,MAXIFS('単価履歴'!$B:$B,'単価履歴'!$E:$E,AC$1,'単価履歴'!$F:$F,$A14)))</f>
        <v/>
      </c>
      <c r="AD14" s="332" t="str">
        <f>IF(MAXIFS('単価履歴'!$H:$H,'単価履歴'!$E:$E,AD$1,'単価履歴'!$F:$F,$A14,'単価履歴'!$B:$B,MAXIFS('単価履歴'!$B:$B,'単価履歴'!$E:$E,AD$1,'単価履歴'!$F:$F,$A14))=0,"",MAXIFS('単価履歴'!$H:$H,'単価履歴'!$E:$E,AD$1,'単価履歴'!$F:$F,$A14,'単価履歴'!$B:$B,MAXIFS('単価履歴'!$B:$B,'単価履歴'!$E:$E,AD$1,'単価履歴'!$F:$F,$A14)))</f>
        <v/>
      </c>
      <c r="AE14" s="332" t="str">
        <f>IF(MAXIFS('単価履歴'!$H:$H,'単価履歴'!$E:$E,AE$1,'単価履歴'!$F:$F,$A14,'単価履歴'!$B:$B,MAXIFS('単価履歴'!$B:$B,'単価履歴'!$E:$E,AE$1,'単価履歴'!$F:$F,$A14))=0,"",MAXIFS('単価履歴'!$H:$H,'単価履歴'!$E:$E,AE$1,'単価履歴'!$F:$F,$A14,'単価履歴'!$B:$B,MAXIFS('単価履歴'!$B:$B,'単価履歴'!$E:$E,AE$1,'単価履歴'!$F:$F,$A14)))</f>
        <v/>
      </c>
      <c r="AF14" s="332" t="str">
        <f>IF(MAXIFS('単価履歴'!$H:$H,'単価履歴'!$E:$E,AF$1,'単価履歴'!$F:$F,$A14,'単価履歴'!$B:$B,MAXIFS('単価履歴'!$B:$B,'単価履歴'!$E:$E,AF$1,'単価履歴'!$F:$F,$A14))=0,"",MAXIFS('単価履歴'!$H:$H,'単価履歴'!$E:$E,AF$1,'単価履歴'!$F:$F,$A14,'単価履歴'!$B:$B,MAXIFS('単価履歴'!$B:$B,'単価履歴'!$E:$E,AF$1,'単価履歴'!$F:$F,$A14)))</f>
        <v/>
      </c>
      <c r="AG14" s="332" t="str">
        <f>IF(MAXIFS('単価履歴'!$H:$H,'単価履歴'!$E:$E,AG$1,'単価履歴'!$F:$F,$A14,'単価履歴'!$B:$B,MAXIFS('単価履歴'!$B:$B,'単価履歴'!$E:$E,AG$1,'単価履歴'!$F:$F,$A14))=0,"",MAXIFS('単価履歴'!$H:$H,'単価履歴'!$E:$E,AG$1,'単価履歴'!$F:$F,$A14,'単価履歴'!$B:$B,MAXIFS('単価履歴'!$B:$B,'単価履歴'!$E:$E,AG$1,'単価履歴'!$F:$F,$A14)))</f>
        <v/>
      </c>
      <c r="AH14" s="332" t="str">
        <f>IF(MAXIFS('単価履歴'!$H:$H,'単価履歴'!$E:$E,AH$1,'単価履歴'!$F:$F,$A14,'単価履歴'!$B:$B,MAXIFS('単価履歴'!$B:$B,'単価履歴'!$E:$E,AH$1,'単価履歴'!$F:$F,$A14))=0,"",MAXIFS('単価履歴'!$H:$H,'単価履歴'!$E:$E,AH$1,'単価履歴'!$F:$F,$A14,'単価履歴'!$B:$B,MAXIFS('単価履歴'!$B:$B,'単価履歴'!$E:$E,AH$1,'単価履歴'!$F:$F,$A14)))</f>
        <v/>
      </c>
      <c r="AI14" s="332" t="str">
        <f>IF(MAXIFS('単価履歴'!$H:$H,'単価履歴'!$E:$E,AI$1,'単価履歴'!$F:$F,$A14,'単価履歴'!$B:$B,MAXIFS('単価履歴'!$B:$B,'単価履歴'!$E:$E,AI$1,'単価履歴'!$F:$F,$A14))=0,"",MAXIFS('単価履歴'!$H:$H,'単価履歴'!$E:$E,AI$1,'単価履歴'!$F:$F,$A14,'単価履歴'!$B:$B,MAXIFS('単価履歴'!$B:$B,'単価履歴'!$E:$E,AI$1,'単価履歴'!$F:$F,$A14)))</f>
        <v/>
      </c>
      <c r="AJ14" s="332" t="str">
        <f>IF(MAXIFS('単価履歴'!$H:$H,'単価履歴'!$E:$E,AJ$1,'単価履歴'!$F:$F,$A14,'単価履歴'!$B:$B,MAXIFS('単価履歴'!$B:$B,'単価履歴'!$E:$E,AJ$1,'単価履歴'!$F:$F,$A14))=0,"",MAXIFS('単価履歴'!$H:$H,'単価履歴'!$E:$E,AJ$1,'単価履歴'!$F:$F,$A14,'単価履歴'!$B:$B,MAXIFS('単価履歴'!$B:$B,'単価履歴'!$E:$E,AJ$1,'単価履歴'!$F:$F,$A14)))</f>
        <v/>
      </c>
      <c r="AK14" s="332">
        <f>IF(MAXIFS('単価履歴'!$H:$H,'単価履歴'!$E:$E,AK$1,'単価履歴'!$F:$F,$A14,'単価履歴'!$B:$B,MAXIFS('単価履歴'!$B:$B,'単価履歴'!$E:$E,AK$1,'単価履歴'!$F:$F,$A14))=0,"",MAXIFS('単価履歴'!$H:$H,'単価履歴'!$E:$E,AK$1,'単価履歴'!$F:$F,$A14,'単価履歴'!$B:$B,MAXIFS('単価履歴'!$B:$B,'単価履歴'!$E:$E,AK$1,'単価履歴'!$F:$F,$A14)))</f>
        <v>44</v>
      </c>
      <c r="AL14" s="332" t="str">
        <f>IF(MAXIFS('単価履歴'!$H:$H,'単価履歴'!$E:$E,AL$1,'単価履歴'!$F:$F,$A14,'単価履歴'!$B:$B,MAXIFS('単価履歴'!$B:$B,'単価履歴'!$E:$E,AL$1,'単価履歴'!$F:$F,$A14))=0,"",MAXIFS('単価履歴'!$H:$H,'単価履歴'!$E:$E,AL$1,'単価履歴'!$F:$F,$A14,'単価履歴'!$B:$B,MAXIFS('単価履歴'!$B:$B,'単価履歴'!$E:$E,AL$1,'単価履歴'!$F:$F,$A14)))</f>
        <v/>
      </c>
      <c r="AM14" s="332" t="str">
        <f>IF(MAXIFS('単価履歴'!$H:$H,'単価履歴'!$E:$E,AM$1,'単価履歴'!$F:$F,$A14,'単価履歴'!$B:$B,MAXIFS('単価履歴'!$B:$B,'単価履歴'!$E:$E,AM$1,'単価履歴'!$F:$F,$A14))=0,"",MAXIFS('単価履歴'!$H:$H,'単価履歴'!$E:$E,AM$1,'単価履歴'!$F:$F,$A14,'単価履歴'!$B:$B,MAXIFS('単価履歴'!$B:$B,'単価履歴'!$E:$E,AM$1,'単価履歴'!$F:$F,$A14)))</f>
        <v/>
      </c>
      <c r="AN14" s="332">
        <f>IF(MAXIFS('単価履歴'!$H:$H,'単価履歴'!$E:$E,AN$1,'単価履歴'!$F:$F,$A14,'単価履歴'!$B:$B,MAXIFS('単価履歴'!$B:$B,'単価履歴'!$E:$E,AN$1,'単価履歴'!$F:$F,$A14))=0,"",MAXIFS('単価履歴'!$H:$H,'単価履歴'!$E:$E,AN$1,'単価履歴'!$F:$F,$A14,'単価履歴'!$B:$B,MAXIFS('単価履歴'!$B:$B,'単価履歴'!$E:$E,AN$1,'単価履歴'!$F:$F,$A14)))</f>
        <v>48.5</v>
      </c>
      <c r="AO14" s="332" t="str">
        <f>IF(MAXIFS('単価履歴'!$H:$H,'単価履歴'!$E:$E,AO$1,'単価履歴'!$F:$F,$A14,'単価履歴'!$B:$B,MAXIFS('単価履歴'!$B:$B,'単価履歴'!$E:$E,AO$1,'単価履歴'!$F:$F,$A14))=0,"",MAXIFS('単価履歴'!$H:$H,'単価履歴'!$E:$E,AO$1,'単価履歴'!$F:$F,$A14,'単価履歴'!$B:$B,MAXIFS('単価履歴'!$B:$B,'単価履歴'!$E:$E,AO$1,'単価履歴'!$F:$F,$A14)))</f>
        <v/>
      </c>
      <c r="AP14" s="332" t="str">
        <f>IF(MAXIFS('単価履歴'!$H:$H,'単価履歴'!$E:$E,AP$1,'単価履歴'!$F:$F,$A14,'単価履歴'!$B:$B,MAXIFS('単価履歴'!$B:$B,'単価履歴'!$E:$E,AP$1,'単価履歴'!$F:$F,$A14))=0,"",MAXIFS('単価履歴'!$H:$H,'単価履歴'!$E:$E,AP$1,'単価履歴'!$F:$F,$A14,'単価履歴'!$B:$B,MAXIFS('単価履歴'!$B:$B,'単価履歴'!$E:$E,AP$1,'単価履歴'!$F:$F,$A14)))</f>
        <v/>
      </c>
      <c r="AQ14" s="332" t="str">
        <f>IF(MAXIFS('単価履歴'!$H:$H,'単価履歴'!$E:$E,AQ$1,'単価履歴'!$F:$F,$A14,'単価履歴'!$B:$B,MAXIFS('単価履歴'!$B:$B,'単価履歴'!$E:$E,AQ$1,'単価履歴'!$F:$F,$A14))=0,"",MAXIFS('単価履歴'!$H:$H,'単価履歴'!$E:$E,AQ$1,'単価履歴'!$F:$F,$A14,'単価履歴'!$B:$B,MAXIFS('単価履歴'!$B:$B,'単価履歴'!$E:$E,AQ$1,'単価履歴'!$F:$F,$A14)))</f>
        <v/>
      </c>
      <c r="AR14" s="332" t="str">
        <f>IF(MAXIFS('単価履歴'!$H:$H,'単価履歴'!$E:$E,AR$1,'単価履歴'!$F:$F,$A14,'単価履歴'!$B:$B,MAXIFS('単価履歴'!$B:$B,'単価履歴'!$E:$E,AR$1,'単価履歴'!$F:$F,$A14))=0,"",MAXIFS('単価履歴'!$H:$H,'単価履歴'!$E:$E,AR$1,'単価履歴'!$F:$F,$A14,'単価履歴'!$B:$B,MAXIFS('単価履歴'!$B:$B,'単価履歴'!$E:$E,AR$1,'単価履歴'!$F:$F,$A14)))</f>
        <v/>
      </c>
      <c r="AS14" s="332" t="str">
        <f>IF(MAXIFS('単価履歴'!$H:$H,'単価履歴'!$E:$E,AS$1,'単価履歴'!$F:$F,$A14,'単価履歴'!$B:$B,MAXIFS('単価履歴'!$B:$B,'単価履歴'!$E:$E,AS$1,'単価履歴'!$F:$F,$A14))=0,"",MAXIFS('単価履歴'!$H:$H,'単価履歴'!$E:$E,AS$1,'単価履歴'!$F:$F,$A14,'単価履歴'!$B:$B,MAXIFS('単価履歴'!$B:$B,'単価履歴'!$E:$E,AS$1,'単価履歴'!$F:$F,$A14)))</f>
        <v/>
      </c>
      <c r="AT14" s="332" t="str">
        <f>IF(MAXIFS('単価履歴'!$H:$H,'単価履歴'!$E:$E,AT$1,'単価履歴'!$F:$F,$A14,'単価履歴'!$B:$B,MAXIFS('単価履歴'!$B:$B,'単価履歴'!$E:$E,AT$1,'単価履歴'!$F:$F,$A14))=0,"",MAXIFS('単価履歴'!$H:$H,'単価履歴'!$E:$E,AT$1,'単価履歴'!$F:$F,$A14,'単価履歴'!$B:$B,MAXIFS('単価履歴'!$B:$B,'単価履歴'!$E:$E,AT$1,'単価履歴'!$F:$F,$A14)))</f>
        <v/>
      </c>
      <c r="AU14" s="332">
        <f>IF(MAXIFS('単価履歴'!$H:$H,'単価履歴'!$E:$E,AU$1,'単価履歴'!$F:$F,$A14,'単価履歴'!$B:$B,MAXIFS('単価履歴'!$B:$B,'単価履歴'!$E:$E,AU$1,'単価履歴'!$F:$F,$A14))=0,"",MAXIFS('単価履歴'!$H:$H,'単価履歴'!$E:$E,AU$1,'単価履歴'!$F:$F,$A14,'単価履歴'!$B:$B,MAXIFS('単価履歴'!$B:$B,'単価履歴'!$E:$E,AU$1,'単価履歴'!$F:$F,$A14)))</f>
        <v>48</v>
      </c>
      <c r="AV14" s="332" t="str">
        <f>IF(MAXIFS('単価履歴'!$H:$H,'単価履歴'!$E:$E,AV$1,'単価履歴'!$F:$F,$A14,'単価履歴'!$B:$B,MAXIFS('単価履歴'!$B:$B,'単価履歴'!$E:$E,AV$1,'単価履歴'!$F:$F,$A14))=0,"",MAXIFS('単価履歴'!$H:$H,'単価履歴'!$E:$E,AV$1,'単価履歴'!$F:$F,$A14,'単価履歴'!$B:$B,MAXIFS('単価履歴'!$B:$B,'単価履歴'!$E:$E,AV$1,'単価履歴'!$F:$F,$A14)))</f>
        <v/>
      </c>
      <c r="AW14" s="332" t="str">
        <f>IF(MAXIFS('単価履歴'!$H:$H,'単価履歴'!$E:$E,AW$1,'単価履歴'!$F:$F,$A14,'単価履歴'!$B:$B,MAXIFS('単価履歴'!$B:$B,'単価履歴'!$E:$E,AW$1,'単価履歴'!$F:$F,$A14))=0,"",MAXIFS('単価履歴'!$H:$H,'単価履歴'!$E:$E,AW$1,'単価履歴'!$F:$F,$A14,'単価履歴'!$B:$B,MAXIFS('単価履歴'!$B:$B,'単価履歴'!$E:$E,AW$1,'単価履歴'!$F:$F,$A14)))</f>
        <v/>
      </c>
      <c r="AX14" s="332">
        <f>IF(MAXIFS('単価履歴'!$H:$H,'単価履歴'!$E:$E,AX$1,'単価履歴'!$F:$F,$A14,'単価履歴'!$B:$B,MAXIFS('単価履歴'!$B:$B,'単価履歴'!$E:$E,AX$1,'単価履歴'!$F:$F,$A14))=0,"",MAXIFS('単価履歴'!$H:$H,'単価履歴'!$E:$E,AX$1,'単価履歴'!$F:$F,$A14,'単価履歴'!$B:$B,MAXIFS('単価履歴'!$B:$B,'単価履歴'!$E:$E,AX$1,'単価履歴'!$F:$F,$A14)))</f>
        <v>51.5</v>
      </c>
      <c r="AY14" s="332">
        <f>IF(MAXIFS('単価履歴'!$H:$H,'単価履歴'!$E:$E,AY$1,'単価履歴'!$F:$F,$A14,'単価履歴'!$B:$B,MAXIFS('単価履歴'!$B:$B,'単価履歴'!$E:$E,AY$1,'単価履歴'!$F:$F,$A14))=0,"",MAXIFS('単価履歴'!$H:$H,'単価履歴'!$E:$E,AY$1,'単価履歴'!$F:$F,$A14,'単価履歴'!$B:$B,MAXIFS('単価履歴'!$B:$B,'単価履歴'!$E:$E,AY$1,'単価履歴'!$F:$F,$A14)))</f>
        <v>2.5</v>
      </c>
      <c r="AZ14" s="332">
        <f>IF(MAXIFS('単価履歴'!$H:$H,'単価履歴'!$E:$E,AZ$1,'単価履歴'!$F:$F,$A14,'単価履歴'!$B:$B,MAXIFS('単価履歴'!$B:$B,'単価履歴'!$E:$E,AZ$1,'単価履歴'!$F:$F,$A14))=0,"",MAXIFS('単価履歴'!$H:$H,'単価履歴'!$E:$E,AZ$1,'単価履歴'!$F:$F,$A14,'単価履歴'!$B:$B,MAXIFS('単価履歴'!$B:$B,'単価履歴'!$E:$E,AZ$1,'単価履歴'!$F:$F,$A14)))</f>
        <v>11.5</v>
      </c>
      <c r="BA14" s="332">
        <f>IF(MAXIFS('単価履歴'!$H:$H,'単価履歴'!$E:$E,BA$1,'単価履歴'!$F:$F,$A14,'単価履歴'!$B:$B,MAXIFS('単価履歴'!$B:$B,'単価履歴'!$E:$E,BA$1,'単価履歴'!$F:$F,$A14))=0,"",MAXIFS('単価履歴'!$H:$H,'単価履歴'!$E:$E,BA$1,'単価履歴'!$F:$F,$A14,'単価履歴'!$B:$B,MAXIFS('単価履歴'!$B:$B,'単価履歴'!$E:$E,BA$1,'単価履歴'!$F:$F,$A14)))</f>
        <v>47.6</v>
      </c>
      <c r="BB14" s="332">
        <f>IF(MAXIFS('単価履歴'!$H:$H,'単価履歴'!$E:$E,BB$1,'単価履歴'!$F:$F,$A14,'単価履歴'!$B:$B,MAXIFS('単価履歴'!$B:$B,'単価履歴'!$E:$E,BB$1,'単価履歴'!$F:$F,$A14))=0,"",MAXIFS('単価履歴'!$H:$H,'単価履歴'!$E:$E,BB$1,'単価履歴'!$F:$F,$A14,'単価履歴'!$B:$B,MAXIFS('単価履歴'!$B:$B,'単価履歴'!$E:$E,BB$1,'単価履歴'!$F:$F,$A14)))</f>
        <v>1</v>
      </c>
      <c r="BC14" s="332">
        <f>IF(MAXIFS('単価履歴'!$H:$H,'単価履歴'!$E:$E,BC$1,'単価履歴'!$F:$F,$A14,'単価履歴'!$B:$B,MAXIFS('単価履歴'!$B:$B,'単価履歴'!$E:$E,BC$1,'単価履歴'!$F:$F,$A14))=0,"",MAXIFS('単価履歴'!$H:$H,'単価履歴'!$E:$E,BC$1,'単価履歴'!$F:$F,$A14,'単価履歴'!$B:$B,MAXIFS('単価履歴'!$B:$B,'単価履歴'!$E:$E,BC$1,'単価履歴'!$F:$F,$A14)))</f>
        <v>48.4</v>
      </c>
      <c r="BD14" s="332">
        <f>IF(MAXIFS('単価履歴'!$H:$H,'単価履歴'!$E:$E,BD$1,'単価履歴'!$F:$F,$A14,'単価履歴'!$B:$B,MAXIFS('単価履歴'!$B:$B,'単価履歴'!$E:$E,BD$1,'単価履歴'!$F:$F,$A14))=0,"",MAXIFS('単価履歴'!$H:$H,'単価履歴'!$E:$E,BD$1,'単価履歴'!$F:$F,$A14,'単価履歴'!$B:$B,MAXIFS('単価履歴'!$B:$B,'単価履歴'!$E:$E,BD$1,'単価履歴'!$F:$F,$A14)))</f>
        <v>50.5</v>
      </c>
      <c r="BE14" s="332">
        <f>IF(MAXIFS('単価履歴'!$H:$H,'単価履歴'!$E:$E,BE$1,'単価履歴'!$F:$F,$A14,'単価履歴'!$B:$B,MAXIFS('単価履歴'!$B:$B,'単価履歴'!$E:$E,BE$1,'単価履歴'!$F:$F,$A14))=0,"",MAXIFS('単価履歴'!$H:$H,'単価履歴'!$E:$E,BE$1,'単価履歴'!$F:$F,$A14,'単価履歴'!$B:$B,MAXIFS('単価履歴'!$B:$B,'単価履歴'!$E:$E,BE$1,'単価履歴'!$F:$F,$A14)))</f>
        <v>48.2</v>
      </c>
      <c r="BF14" s="332">
        <f>IF(MAXIFS('単価履歴'!$H:$H,'単価履歴'!$E:$E,BF$1,'単価履歴'!$F:$F,$A14,'単価履歴'!$B:$B,MAXIFS('単価履歴'!$B:$B,'単価履歴'!$E:$E,BF$1,'単価履歴'!$F:$F,$A14))=0,"",MAXIFS('単価履歴'!$H:$H,'単価履歴'!$E:$E,BF$1,'単価履歴'!$F:$F,$A14,'単価履歴'!$B:$B,MAXIFS('単価履歴'!$B:$B,'単価履歴'!$E:$E,BF$1,'単価履歴'!$F:$F,$A14)))</f>
        <v>49</v>
      </c>
      <c r="BG14" s="332" t="str">
        <f>IF(MAXIFS('単価履歴'!$H:$H,'単価履歴'!$E:$E,BG$1,'単価履歴'!$F:$F,$A14,'単価履歴'!$B:$B,MAXIFS('単価履歴'!$B:$B,'単価履歴'!$E:$E,BG$1,'単価履歴'!$F:$F,$A14))=0,"",MAXIFS('単価履歴'!$H:$H,'単価履歴'!$E:$E,BG$1,'単価履歴'!$F:$F,$A14,'単価履歴'!$B:$B,MAXIFS('単価履歴'!$B:$B,'単価履歴'!$E:$E,BG$1,'単価履歴'!$F:$F,$A14)))</f>
        <v/>
      </c>
      <c r="BH14" s="332" t="str">
        <f>IF(MAXIFS('単価履歴'!$H:$H,'単価履歴'!$E:$E,BH$1,'単価履歴'!$F:$F,$A14,'単価履歴'!$B:$B,MAXIFS('単価履歴'!$B:$B,'単価履歴'!$E:$E,BH$1,'単価履歴'!$F:$F,$A14))=0,"",MAXIFS('単価履歴'!$H:$H,'単価履歴'!$E:$E,BH$1,'単価履歴'!$F:$F,$A14,'単価履歴'!$B:$B,MAXIFS('単価履歴'!$B:$B,'単価履歴'!$E:$E,BH$1,'単価履歴'!$F:$F,$A14)))</f>
        <v/>
      </c>
      <c r="BI14" s="332">
        <f>IF(MAXIFS('単価履歴'!$H:$H,'単価履歴'!$E:$E,BI$1,'単価履歴'!$F:$F,$A14,'単価履歴'!$B:$B,MAXIFS('単価履歴'!$B:$B,'単価履歴'!$E:$E,BI$1,'単価履歴'!$F:$F,$A14))=0,"",MAXIFS('単価履歴'!$H:$H,'単価履歴'!$E:$E,BI$1,'単価履歴'!$F:$F,$A14,'単価履歴'!$B:$B,MAXIFS('単価履歴'!$B:$B,'単価履歴'!$E:$E,BI$1,'単価履歴'!$F:$F,$A14)))</f>
        <v>37</v>
      </c>
      <c r="BJ14" s="332">
        <f>IF(MAXIFS('単価履歴'!$H:$H,'単価履歴'!$E:$E,BJ$1,'単価履歴'!$F:$F,$A14,'単価履歴'!$B:$B,MAXIFS('単価履歴'!$B:$B,'単価履歴'!$E:$E,BJ$1,'単価履歴'!$F:$F,$A14))=0,"",MAXIFS('単価履歴'!$H:$H,'単価履歴'!$E:$E,BJ$1,'単価履歴'!$F:$F,$A14,'単価履歴'!$B:$B,MAXIFS('単価履歴'!$B:$B,'単価履歴'!$E:$E,BJ$1,'単価履歴'!$F:$F,$A14)))</f>
        <v>37.5</v>
      </c>
      <c r="BK14" s="332" t="str">
        <f>IF(MAXIFS('単価履歴'!$H:$H,'単価履歴'!$E:$E,BK$1,'単価履歴'!$F:$F,$A14,'単価履歴'!$B:$B,MAXIFS('単価履歴'!$B:$B,'単価履歴'!$E:$E,BK$1,'単価履歴'!$F:$F,$A14))=0,"",MAXIFS('単価履歴'!$H:$H,'単価履歴'!$E:$E,BK$1,'単価履歴'!$F:$F,$A14,'単価履歴'!$B:$B,MAXIFS('単価履歴'!$B:$B,'単価履歴'!$E:$E,BK$1,'単価履歴'!$F:$F,$A14)))</f>
        <v/>
      </c>
      <c r="BL14" s="332" t="str">
        <f>IF(MAXIFS('単価履歴'!$H:$H,'単価履歴'!$E:$E,BL$1,'単価履歴'!$F:$F,$A14,'単価履歴'!$B:$B,MAXIFS('単価履歴'!$B:$B,'単価履歴'!$E:$E,BL$1,'単価履歴'!$F:$F,$A14))=0,"",MAXIFS('単価履歴'!$H:$H,'単価履歴'!$E:$E,BL$1,'単価履歴'!$F:$F,$A14,'単価履歴'!$B:$B,MAXIFS('単価履歴'!$B:$B,'単価履歴'!$E:$E,BL$1,'単価履歴'!$F:$F,$A14)))</f>
        <v/>
      </c>
      <c r="BM14" s="332" t="str">
        <f>IF(MAXIFS('単価履歴'!$H:$H,'単価履歴'!$E:$E,BM$1,'単価履歴'!$F:$F,$A14,'単価履歴'!$B:$B,MAXIFS('単価履歴'!$B:$B,'単価履歴'!$E:$E,BM$1,'単価履歴'!$F:$F,$A14))=0,"",MAXIFS('単価履歴'!$H:$H,'単価履歴'!$E:$E,BM$1,'単価履歴'!$F:$F,$A14,'単価履歴'!$B:$B,MAXIFS('単価履歴'!$B:$B,'単価履歴'!$E:$E,BM$1,'単価履歴'!$F:$F,$A14)))</f>
        <v/>
      </c>
      <c r="BN14" s="332" t="str">
        <f>IF(MAXIFS('単価履歴'!$H:$H,'単価履歴'!$E:$E,BN$1,'単価履歴'!$F:$F,$A14,'単価履歴'!$B:$B,MAXIFS('単価履歴'!$B:$B,'単価履歴'!$E:$E,BN$1,'単価履歴'!$F:$F,$A14))=0,"",MAXIFS('単価履歴'!$H:$H,'単価履歴'!$E:$E,BN$1,'単価履歴'!$F:$F,$A14,'単価履歴'!$B:$B,MAXIFS('単価履歴'!$B:$B,'単価履歴'!$E:$E,BN$1,'単価履歴'!$F:$F,$A14)))</f>
        <v/>
      </c>
      <c r="BO14" s="332" t="str">
        <f>IF(MAXIFS('単価履歴'!$H:$H,'単価履歴'!$E:$E,BO$1,'単価履歴'!$F:$F,$A14,'単価履歴'!$B:$B,MAXIFS('単価履歴'!$B:$B,'単価履歴'!$E:$E,BO$1,'単価履歴'!$F:$F,$A14))=0,"",MAXIFS('単価履歴'!$H:$H,'単価履歴'!$E:$E,BO$1,'単価履歴'!$F:$F,$A14,'単価履歴'!$B:$B,MAXIFS('単価履歴'!$B:$B,'単価履歴'!$E:$E,BO$1,'単価履歴'!$F:$F,$A14)))</f>
        <v/>
      </c>
      <c r="BP14" s="332" t="str">
        <f>IF(MAXIFS('単価履歴'!$H:$H,'単価履歴'!$E:$E,BP$1,'単価履歴'!$F:$F,$A14,'単価履歴'!$B:$B,MAXIFS('単価履歴'!$B:$B,'単価履歴'!$E:$E,BP$1,'単価履歴'!$F:$F,$A14))=0,"",MAXIFS('単価履歴'!$H:$H,'単価履歴'!$E:$E,BP$1,'単価履歴'!$F:$F,$A14,'単価履歴'!$B:$B,MAXIFS('単価履歴'!$B:$B,'単価履歴'!$E:$E,BP$1,'単価履歴'!$F:$F,$A14)))</f>
        <v/>
      </c>
      <c r="BQ14" s="332" t="str">
        <f>IF(MAXIFS('単価履歴'!$H:$H,'単価履歴'!$E:$E,BQ$1,'単価履歴'!$F:$F,$A14,'単価履歴'!$B:$B,MAXIFS('単価履歴'!$B:$B,'単価履歴'!$E:$E,BQ$1,'単価履歴'!$F:$F,$A14))=0,"",MAXIFS('単価履歴'!$H:$H,'単価履歴'!$E:$E,BQ$1,'単価履歴'!$F:$F,$A14,'単価履歴'!$B:$B,MAXIFS('単価履歴'!$B:$B,'単価履歴'!$E:$E,BQ$1,'単価履歴'!$F:$F,$A14)))</f>
        <v/>
      </c>
      <c r="BR14" s="332" t="str">
        <f>IF(MAXIFS('単価履歴'!$H:$H,'単価履歴'!$E:$E,BR$1,'単価履歴'!$F:$F,$A14,'単価履歴'!$B:$B,MAXIFS('単価履歴'!$B:$B,'単価履歴'!$E:$E,BR$1,'単価履歴'!$F:$F,$A14))=0,"",MAXIFS('単価履歴'!$H:$H,'単価履歴'!$E:$E,BR$1,'単価履歴'!$F:$F,$A14,'単価履歴'!$B:$B,MAXIFS('単価履歴'!$B:$B,'単価履歴'!$E:$E,BR$1,'単価履歴'!$F:$F,$A14)))</f>
        <v/>
      </c>
      <c r="BS14" s="332" t="str">
        <f>IF(MAXIFS('単価履歴'!$H:$H,'単価履歴'!$E:$E,BS$1,'単価履歴'!$F:$F,$A14,'単価履歴'!$B:$B,MAXIFS('単価履歴'!$B:$B,'単価履歴'!$E:$E,BS$1,'単価履歴'!$F:$F,$A14))=0,"",MAXIFS('単価履歴'!$H:$H,'単価履歴'!$E:$E,BS$1,'単価履歴'!$F:$F,$A14,'単価履歴'!$B:$B,MAXIFS('単価履歴'!$B:$B,'単価履歴'!$E:$E,BS$1,'単価履歴'!$F:$F,$A14)))</f>
        <v/>
      </c>
      <c r="BT14" s="332" t="str">
        <f>IF(MAXIFS('単価履歴'!$H:$H,'単価履歴'!$E:$E,BT$1,'単価履歴'!$F:$F,$A14,'単価履歴'!$B:$B,MAXIFS('単価履歴'!$B:$B,'単価履歴'!$E:$E,BT$1,'単価履歴'!$F:$F,$A14))=0,"",MAXIFS('単価履歴'!$H:$H,'単価履歴'!$E:$E,BT$1,'単価履歴'!$F:$F,$A14,'単価履歴'!$B:$B,MAXIFS('単価履歴'!$B:$B,'単価履歴'!$E:$E,BT$1,'単価履歴'!$F:$F,$A14)))</f>
        <v/>
      </c>
      <c r="BU14" s="332" t="str">
        <f>IF(MAXIFS('単価履歴'!$H:$H,'単価履歴'!$E:$E,BU$1,'単価履歴'!$F:$F,$A14,'単価履歴'!$B:$B,MAXIFS('単価履歴'!$B:$B,'単価履歴'!$E:$E,BU$1,'単価履歴'!$F:$F,$A14))=0,"",MAXIFS('単価履歴'!$H:$H,'単価履歴'!$E:$E,BU$1,'単価履歴'!$F:$F,$A14,'単価履歴'!$B:$B,MAXIFS('単価履歴'!$B:$B,'単価履歴'!$E:$E,BU$1,'単価履歴'!$F:$F,$A14)))</f>
        <v/>
      </c>
      <c r="BV14" s="332" t="str">
        <f>IF(MAXIFS('単価履歴'!$H:$H,'単価履歴'!$E:$E,BV$1,'単価履歴'!$F:$F,$A14,'単価履歴'!$B:$B,MAXIFS('単価履歴'!$B:$B,'単価履歴'!$E:$E,BV$1,'単価履歴'!$F:$F,$A14))=0,"",MAXIFS('単価履歴'!$H:$H,'単価履歴'!$E:$E,BV$1,'単価履歴'!$F:$F,$A14,'単価履歴'!$B:$B,MAXIFS('単価履歴'!$B:$B,'単価履歴'!$E:$E,BV$1,'単価履歴'!$F:$F,$A14)))</f>
        <v/>
      </c>
      <c r="BW14" s="332" t="str">
        <f>IF(MAXIFS('単価履歴'!$H:$H,'単価履歴'!$E:$E,BW$1,'単価履歴'!$F:$F,$A14,'単価履歴'!$B:$B,MAXIFS('単価履歴'!$B:$B,'単価履歴'!$E:$E,BW$1,'単価履歴'!$F:$F,$A14))=0,"",MAXIFS('単価履歴'!$H:$H,'単価履歴'!$E:$E,BW$1,'単価履歴'!$F:$F,$A14,'単価履歴'!$B:$B,MAXIFS('単価履歴'!$B:$B,'単価履歴'!$E:$E,BW$1,'単価履歴'!$F:$F,$A14)))</f>
        <v/>
      </c>
      <c r="BX14" s="332" t="str">
        <f>IF(MAXIFS('単価履歴'!$H:$H,'単価履歴'!$E:$E,BX$1,'単価履歴'!$F:$F,$A14,'単価履歴'!$B:$B,MAXIFS('単価履歴'!$B:$B,'単価履歴'!$E:$E,BX$1,'単価履歴'!$F:$F,$A14))=0,"",MAXIFS('単価履歴'!$H:$H,'単価履歴'!$E:$E,BX$1,'単価履歴'!$F:$F,$A14,'単価履歴'!$B:$B,MAXIFS('単価履歴'!$B:$B,'単価履歴'!$E:$E,BX$1,'単価履歴'!$F:$F,$A14)))</f>
        <v/>
      </c>
      <c r="BY14" s="332" t="str">
        <f>IF(MAXIFS('単価履歴'!$H:$H,'単価履歴'!$E:$E,BY$1,'単価履歴'!$F:$F,$A14,'単価履歴'!$B:$B,MAXIFS('単価履歴'!$B:$B,'単価履歴'!$E:$E,BY$1,'単価履歴'!$F:$F,$A14))=0,"",MAXIFS('単価履歴'!$H:$H,'単価履歴'!$E:$E,BY$1,'単価履歴'!$F:$F,$A14,'単価履歴'!$B:$B,MAXIFS('単価履歴'!$B:$B,'単価履歴'!$E:$E,BY$1,'単価履歴'!$F:$F,$A14)))</f>
        <v/>
      </c>
      <c r="BZ14" s="332" t="str">
        <f>IF(MAXIFS('単価履歴'!$H:$H,'単価履歴'!$E:$E,BZ$1,'単価履歴'!$F:$F,$A14,'単価履歴'!$B:$B,MAXIFS('単価履歴'!$B:$B,'単価履歴'!$E:$E,BZ$1,'単価履歴'!$F:$F,$A14))=0,"",MAXIFS('単価履歴'!$H:$H,'単価履歴'!$E:$E,BZ$1,'単価履歴'!$F:$F,$A14,'単価履歴'!$B:$B,MAXIFS('単価履歴'!$B:$B,'単価履歴'!$E:$E,BZ$1,'単価履歴'!$F:$F,$A14)))</f>
        <v/>
      </c>
      <c r="CA14" s="332" t="str">
        <f>IF(MAXIFS('単価履歴'!$H:$H,'単価履歴'!$E:$E,CA$1,'単価履歴'!$F:$F,$A14,'単価履歴'!$B:$B,MAXIFS('単価履歴'!$B:$B,'単価履歴'!$E:$E,CA$1,'単価履歴'!$F:$F,$A14))=0,"",MAXIFS('単価履歴'!$H:$H,'単価履歴'!$E:$E,CA$1,'単価履歴'!$F:$F,$A14,'単価履歴'!$B:$B,MAXIFS('単価履歴'!$B:$B,'単価履歴'!$E:$E,CA$1,'単価履歴'!$F:$F,$A14)))</f>
        <v/>
      </c>
      <c r="CB14" s="332" t="str">
        <f>IF(MAXIFS('単価履歴'!$H:$H,'単価履歴'!$E:$E,CB$1,'単価履歴'!$F:$F,$A14,'単価履歴'!$B:$B,MAXIFS('単価履歴'!$B:$B,'単価履歴'!$E:$E,CB$1,'単価履歴'!$F:$F,$A14))=0,"",MAXIFS('単価履歴'!$H:$H,'単価履歴'!$E:$E,CB$1,'単価履歴'!$F:$F,$A14,'単価履歴'!$B:$B,MAXIFS('単価履歴'!$B:$B,'単価履歴'!$E:$E,CB$1,'単価履歴'!$F:$F,$A14)))</f>
        <v/>
      </c>
      <c r="CC14" s="332" t="str">
        <f>IF(MAXIFS('単価履歴'!$H:$H,'単価履歴'!$E:$E,CC$1,'単価履歴'!$F:$F,$A14,'単価履歴'!$B:$B,MAXIFS('単価履歴'!$B:$B,'単価履歴'!$E:$E,CC$1,'単価履歴'!$F:$F,$A14))=0,"",MAXIFS('単価履歴'!$H:$H,'単価履歴'!$E:$E,CC$1,'単価履歴'!$F:$F,$A14,'単価履歴'!$B:$B,MAXIFS('単価履歴'!$B:$B,'単価履歴'!$E:$E,CC$1,'単価履歴'!$F:$F,$A14)))</f>
        <v/>
      </c>
      <c r="CD14" s="332" t="str">
        <f>IF(MAXIFS('単価履歴'!$H:$H,'単価履歴'!$E:$E,CD$1,'単価履歴'!$F:$F,$A14,'単価履歴'!$B:$B,MAXIFS('単価履歴'!$B:$B,'単価履歴'!$E:$E,CD$1,'単価履歴'!$F:$F,$A14))=0,"",MAXIFS('単価履歴'!$H:$H,'単価履歴'!$E:$E,CD$1,'単価履歴'!$F:$F,$A14,'単価履歴'!$B:$B,MAXIFS('単価履歴'!$B:$B,'単価履歴'!$E:$E,CD$1,'単価履歴'!$F:$F,$A14)))</f>
        <v/>
      </c>
      <c r="CE14" s="332" t="str">
        <f>IF(MAXIFS('単価履歴'!$H:$H,'単価履歴'!$E:$E,CE$1,'単価履歴'!$F:$F,$A14,'単価履歴'!$B:$B,MAXIFS('単価履歴'!$B:$B,'単価履歴'!$E:$E,CE$1,'単価履歴'!$F:$F,$A14))=0,"",MAXIFS('単価履歴'!$H:$H,'単価履歴'!$E:$E,CE$1,'単価履歴'!$F:$F,$A14,'単価履歴'!$B:$B,MAXIFS('単価履歴'!$B:$B,'単価履歴'!$E:$E,CE$1,'単価履歴'!$F:$F,$A14)))</f>
        <v/>
      </c>
      <c r="CF14" s="332" t="str">
        <f>IF(MAXIFS('単価履歴'!$H:$H,'単価履歴'!$E:$E,CF$1,'単価履歴'!$F:$F,$A14,'単価履歴'!$B:$B,MAXIFS('単価履歴'!$B:$B,'単価履歴'!$E:$E,CF$1,'単価履歴'!$F:$F,$A14))=0,"",MAXIFS('単価履歴'!$H:$H,'単価履歴'!$E:$E,CF$1,'単価履歴'!$F:$F,$A14,'単価履歴'!$B:$B,MAXIFS('単価履歴'!$B:$B,'単価履歴'!$E:$E,CF$1,'単価履歴'!$F:$F,$A14)))</f>
        <v/>
      </c>
      <c r="CG14" s="332" t="str">
        <f>IF(MAXIFS('単価履歴'!$H:$H,'単価履歴'!$E:$E,CG$1,'単価履歴'!$F:$F,$A14,'単価履歴'!$B:$B,MAXIFS('単価履歴'!$B:$B,'単価履歴'!$E:$E,CG$1,'単価履歴'!$F:$F,$A14))=0,"",MAXIFS('単価履歴'!$H:$H,'単価履歴'!$E:$E,CG$1,'単価履歴'!$F:$F,$A14,'単価履歴'!$B:$B,MAXIFS('単価履歴'!$B:$B,'単価履歴'!$E:$E,CG$1,'単価履歴'!$F:$F,$A14)))</f>
        <v/>
      </c>
      <c r="CH14" s="332" t="str">
        <f>IF(MAXIFS('単価履歴'!$H:$H,'単価履歴'!$E:$E,CH$1,'単価履歴'!$F:$F,$A14,'単価履歴'!$B:$B,MAXIFS('単価履歴'!$B:$B,'単価履歴'!$E:$E,CH$1,'単価履歴'!$F:$F,$A14))=0,"",MAXIFS('単価履歴'!$H:$H,'単価履歴'!$E:$E,CH$1,'単価履歴'!$F:$F,$A14,'単価履歴'!$B:$B,MAXIFS('単価履歴'!$B:$B,'単価履歴'!$E:$E,CH$1,'単価履歴'!$F:$F,$A14)))</f>
        <v/>
      </c>
    </row>
    <row r="15" ht="15.75" customHeight="1">
      <c r="A15" s="432" t="s">
        <v>576</v>
      </c>
      <c r="B15" s="332">
        <f>MAXIFS('単価履歴'!H:H,'単価履歴'!F:F,A15,'単価履歴'!N:N,"●")</f>
        <v>43.8</v>
      </c>
      <c r="C15" s="332" t="str">
        <f>IF(MAXIFS('単価履歴'!$H:$H,'単価履歴'!$E:$E,C$1,'単価履歴'!$F:$F,$A15,'単価履歴'!$B:$B,MAXIFS('単価履歴'!$B:$B,'単価履歴'!$E:$E,C$1,'単価履歴'!$F:$F,$A15))=0,"",MAXIFS('単価履歴'!$H:$H,'単価履歴'!$E:$E,C$1,'単価履歴'!$F:$F,$A15,'単価履歴'!$B:$B,MAXIFS('単価履歴'!$B:$B,'単価履歴'!$E:$E,C$1,'単価履歴'!$F:$F,$A15)))</f>
        <v/>
      </c>
      <c r="D15" s="332" t="str">
        <f>IF(MAXIFS('単価履歴'!$H:$H,'単価履歴'!$E:$E,D$1,'単価履歴'!$F:$F,$A15,'単価履歴'!$B:$B,MAXIFS('単価履歴'!$B:$B,'単価履歴'!$E:$E,D$1,'単価履歴'!$F:$F,$A15))=0,"",MAXIFS('単価履歴'!$H:$H,'単価履歴'!$E:$E,D$1,'単価履歴'!$F:$F,$A15,'単価履歴'!$B:$B,MAXIFS('単価履歴'!$B:$B,'単価履歴'!$E:$E,D$1,'単価履歴'!$F:$F,$A15)))</f>
        <v/>
      </c>
      <c r="E15" s="332" t="str">
        <f>IF(MAXIFS('単価履歴'!$H:$H,'単価履歴'!$E:$E,E$1,'単価履歴'!$F:$F,$A15,'単価履歴'!$B:$B,MAXIFS('単価履歴'!$B:$B,'単価履歴'!$E:$E,E$1,'単価履歴'!$F:$F,$A15))=0,"",MAXIFS('単価履歴'!$H:$H,'単価履歴'!$E:$E,E$1,'単価履歴'!$F:$F,$A15,'単価履歴'!$B:$B,MAXIFS('単価履歴'!$B:$B,'単価履歴'!$E:$E,E$1,'単価履歴'!$F:$F,$A15)))</f>
        <v/>
      </c>
      <c r="F15" s="332" t="str">
        <f>IF(MAXIFS('単価履歴'!$H:$H,'単価履歴'!$E:$E,F$1,'単価履歴'!$F:$F,$A15,'単価履歴'!$B:$B,MAXIFS('単価履歴'!$B:$B,'単価履歴'!$E:$E,F$1,'単価履歴'!$F:$F,$A15))=0,"",MAXIFS('単価履歴'!$H:$H,'単価履歴'!$E:$E,F$1,'単価履歴'!$F:$F,$A15,'単価履歴'!$B:$B,MAXIFS('単価履歴'!$B:$B,'単価履歴'!$E:$E,F$1,'単価履歴'!$F:$F,$A15)))</f>
        <v/>
      </c>
      <c r="G15" s="332" t="str">
        <f>IF(MAXIFS('単価履歴'!$H:$H,'単価履歴'!$E:$E,G$1,'単価履歴'!$F:$F,$A15,'単価履歴'!$B:$B,MAXIFS('単価履歴'!$B:$B,'単価履歴'!$E:$E,G$1,'単価履歴'!$F:$F,$A15))=0,"",MAXIFS('単価履歴'!$H:$H,'単価履歴'!$E:$E,G$1,'単価履歴'!$F:$F,$A15,'単価履歴'!$B:$B,MAXIFS('単価履歴'!$B:$B,'単価履歴'!$E:$E,G$1,'単価履歴'!$F:$F,$A15)))</f>
        <v/>
      </c>
      <c r="H15" s="332" t="str">
        <f>IF(MAXIFS('単価履歴'!$H:$H,'単価履歴'!$E:$E,H$1,'単価履歴'!$F:$F,$A15,'単価履歴'!$B:$B,MAXIFS('単価履歴'!$B:$B,'単価履歴'!$E:$E,H$1,'単価履歴'!$F:$F,$A15))=0,"",MAXIFS('単価履歴'!$H:$H,'単価履歴'!$E:$E,H$1,'単価履歴'!$F:$F,$A15,'単価履歴'!$B:$B,MAXIFS('単価履歴'!$B:$B,'単価履歴'!$E:$E,H$1,'単価履歴'!$F:$F,$A15)))</f>
        <v/>
      </c>
      <c r="I15" s="332">
        <f>IF(MAXIFS('単価履歴'!$H:$H,'単価履歴'!$E:$E,I$1,'単価履歴'!$F:$F,$A15,'単価履歴'!$B:$B,MAXIFS('単価履歴'!$B:$B,'単価履歴'!$E:$E,I$1,'単価履歴'!$F:$F,$A15))=0,"",MAXIFS('単価履歴'!$H:$H,'単価履歴'!$E:$E,I$1,'単価履歴'!$F:$F,$A15,'単価履歴'!$B:$B,MAXIFS('単価履歴'!$B:$B,'単価履歴'!$E:$E,I$1,'単価履歴'!$F:$F,$A15)))</f>
        <v>43.8</v>
      </c>
      <c r="J15" s="332">
        <f>IF(MAXIFS('単価履歴'!$H:$H,'単価履歴'!$E:$E,J$1,'単価履歴'!$F:$F,$A15,'単価履歴'!$B:$B,MAXIFS('単価履歴'!$B:$B,'単価履歴'!$E:$E,J$1,'単価履歴'!$F:$F,$A15))=0,"",MAXIFS('単価履歴'!$H:$H,'単価履歴'!$E:$E,J$1,'単価履歴'!$F:$F,$A15,'単価履歴'!$B:$B,MAXIFS('単価履歴'!$B:$B,'単価履歴'!$E:$E,J$1,'単価履歴'!$F:$F,$A15)))</f>
        <v>2</v>
      </c>
      <c r="K15" s="332" t="str">
        <f>IF(MAXIFS('単価履歴'!$H:$H,'単価履歴'!$E:$E,K$1,'単価履歴'!$F:$F,$A15,'単価履歴'!$B:$B,MAXIFS('単価履歴'!$B:$B,'単価履歴'!$E:$E,K$1,'単価履歴'!$F:$F,$A15))=0,"",MAXIFS('単価履歴'!$H:$H,'単価履歴'!$E:$E,K$1,'単価履歴'!$F:$F,$A15,'単価履歴'!$B:$B,MAXIFS('単価履歴'!$B:$B,'単価履歴'!$E:$E,K$1,'単価履歴'!$F:$F,$A15)))</f>
        <v/>
      </c>
      <c r="L15" s="332">
        <f>IF(MAXIFS('単価履歴'!$H:$H,'単価履歴'!$E:$E,L$1,'単価履歴'!$F:$F,$A15,'単価履歴'!$B:$B,MAXIFS('単価履歴'!$B:$B,'単価履歴'!$E:$E,L$1,'単価履歴'!$F:$F,$A15))=0,"",MAXIFS('単価履歴'!$H:$H,'単価履歴'!$E:$E,L$1,'単価履歴'!$F:$F,$A15,'単価履歴'!$B:$B,MAXIFS('単価履歴'!$B:$B,'単価履歴'!$E:$E,L$1,'単価履歴'!$F:$F,$A15)))</f>
        <v>37</v>
      </c>
      <c r="M15" s="332">
        <f>IF(MAXIFS('単価履歴'!$H:$H,'単価履歴'!$E:$E,M$1,'単価履歴'!$F:$F,$A15,'単価履歴'!$B:$B,MAXIFS('単価履歴'!$B:$B,'単価履歴'!$E:$E,M$1,'単価履歴'!$F:$F,$A15))=0,"",MAXIFS('単価履歴'!$H:$H,'単価履歴'!$E:$E,M$1,'単価履歴'!$F:$F,$A15,'単価履歴'!$B:$B,MAXIFS('単価履歴'!$B:$B,'単価履歴'!$E:$E,M$1,'単価履歴'!$F:$F,$A15)))</f>
        <v>37.2</v>
      </c>
      <c r="N15" s="332">
        <f>IF(MAXIFS('単価履歴'!$H:$H,'単価履歴'!$E:$E,N$1,'単価履歴'!$F:$F,$A15,'単価履歴'!$B:$B,MAXIFS('単価履歴'!$B:$B,'単価履歴'!$E:$E,N$1,'単価履歴'!$F:$F,$A15))=0,"",MAXIFS('単価履歴'!$H:$H,'単価履歴'!$E:$E,N$1,'単価履歴'!$F:$F,$A15,'単価履歴'!$B:$B,MAXIFS('単価履歴'!$B:$B,'単価履歴'!$E:$E,N$1,'単価履歴'!$F:$F,$A15)))</f>
        <v>-2</v>
      </c>
      <c r="O15" s="332">
        <f>IF(MAXIFS('単価履歴'!$H:$H,'単価履歴'!$E:$E,O$1,'単価履歴'!$F:$F,$A15,'単価履歴'!$B:$B,MAXIFS('単価履歴'!$B:$B,'単価履歴'!$E:$E,O$1,'単価履歴'!$F:$F,$A15))=0,"",MAXIFS('単価履歴'!$H:$H,'単価履歴'!$E:$E,O$1,'単価履歴'!$F:$F,$A15,'単価履歴'!$B:$B,MAXIFS('単価履歴'!$B:$B,'単価履歴'!$E:$E,O$1,'単価履歴'!$F:$F,$A15)))</f>
        <v>-3</v>
      </c>
      <c r="P15" s="332" t="str">
        <f>IF(MAXIFS('単価履歴'!$H:$H,'単価履歴'!$E:$E,P$1,'単価履歴'!$F:$F,$A15,'単価履歴'!$B:$B,MAXIFS('単価履歴'!$B:$B,'単価履歴'!$E:$E,P$1,'単価履歴'!$F:$F,$A15))=0,"",MAXIFS('単価履歴'!$H:$H,'単価履歴'!$E:$E,P$1,'単価履歴'!$F:$F,$A15,'単価履歴'!$B:$B,MAXIFS('単価履歴'!$B:$B,'単価履歴'!$E:$E,P$1,'単価履歴'!$F:$F,$A15)))</f>
        <v/>
      </c>
      <c r="Q15" s="332" t="str">
        <f>IF(MAXIFS('単価履歴'!$H:$H,'単価履歴'!$E:$E,Q$1,'単価履歴'!$F:$F,$A15,'単価履歴'!$B:$B,MAXIFS('単価履歴'!$B:$B,'単価履歴'!$E:$E,Q$1,'単価履歴'!$F:$F,$A15))=0,"",MAXIFS('単価履歴'!$H:$H,'単価履歴'!$E:$E,Q$1,'単価履歴'!$F:$F,$A15,'単価履歴'!$B:$B,MAXIFS('単価履歴'!$B:$B,'単価履歴'!$E:$E,Q$1,'単価履歴'!$F:$F,$A15)))</f>
        <v/>
      </c>
      <c r="R15" s="332" t="str">
        <f>IF(MAXIFS('単価履歴'!$H:$H,'単価履歴'!$E:$E,R$1,'単価履歴'!$F:$F,$A15,'単価履歴'!$B:$B,MAXIFS('単価履歴'!$B:$B,'単価履歴'!$E:$E,R$1,'単価履歴'!$F:$F,$A15))=0,"",MAXIFS('単価履歴'!$H:$H,'単価履歴'!$E:$E,R$1,'単価履歴'!$F:$F,$A15,'単価履歴'!$B:$B,MAXIFS('単価履歴'!$B:$B,'単価履歴'!$E:$E,R$1,'単価履歴'!$F:$F,$A15)))</f>
        <v/>
      </c>
      <c r="S15" s="332" t="str">
        <f>IF(MAXIFS('単価履歴'!$H:$H,'単価履歴'!$E:$E,S$1,'単価履歴'!$F:$F,$A15,'単価履歴'!$B:$B,MAXIFS('単価履歴'!$B:$B,'単価履歴'!$E:$E,S$1,'単価履歴'!$F:$F,$A15))=0,"",MAXIFS('単価履歴'!$H:$H,'単価履歴'!$E:$E,S$1,'単価履歴'!$F:$F,$A15,'単価履歴'!$B:$B,MAXIFS('単価履歴'!$B:$B,'単価履歴'!$E:$E,S$1,'単価履歴'!$F:$F,$A15)))</f>
        <v/>
      </c>
      <c r="T15" s="332" t="str">
        <f>IF(MAXIFS('単価履歴'!$H:$H,'単価履歴'!$E:$E,T$1,'単価履歴'!$F:$F,$A15,'単価履歴'!$B:$B,MAXIFS('単価履歴'!$B:$B,'単価履歴'!$E:$E,T$1,'単価履歴'!$F:$F,$A15))=0,"",MAXIFS('単価履歴'!$H:$H,'単価履歴'!$E:$E,T$1,'単価履歴'!$F:$F,$A15,'単価履歴'!$B:$B,MAXIFS('単価履歴'!$B:$B,'単価履歴'!$E:$E,T$1,'単価履歴'!$F:$F,$A15)))</f>
        <v/>
      </c>
      <c r="U15" s="332" t="str">
        <f>IF(MAXIFS('単価履歴'!$H:$H,'単価履歴'!$E:$E,U$1,'単価履歴'!$F:$F,$A15,'単価履歴'!$B:$B,MAXIFS('単価履歴'!$B:$B,'単価履歴'!$E:$E,U$1,'単価履歴'!$F:$F,$A15))=0,"",MAXIFS('単価履歴'!$H:$H,'単価履歴'!$E:$E,U$1,'単価履歴'!$F:$F,$A15,'単価履歴'!$B:$B,MAXIFS('単価履歴'!$B:$B,'単価履歴'!$E:$E,U$1,'単価履歴'!$F:$F,$A15)))</f>
        <v/>
      </c>
      <c r="V15" s="332" t="str">
        <f>IF(MAXIFS('単価履歴'!$H:$H,'単価履歴'!$E:$E,V$1,'単価履歴'!$F:$F,$A15,'単価履歴'!$B:$B,MAXIFS('単価履歴'!$B:$B,'単価履歴'!$E:$E,V$1,'単価履歴'!$F:$F,$A15))=0,"",MAXIFS('単価履歴'!$H:$H,'単価履歴'!$E:$E,V$1,'単価履歴'!$F:$F,$A15,'単価履歴'!$B:$B,MAXIFS('単価履歴'!$B:$B,'単価履歴'!$E:$E,V$1,'単価履歴'!$F:$F,$A15)))</f>
        <v/>
      </c>
      <c r="W15" s="332" t="str">
        <f>IF(MAXIFS('単価履歴'!$H:$H,'単価履歴'!$E:$E,W$1,'単価履歴'!$F:$F,$A15,'単価履歴'!$B:$B,MAXIFS('単価履歴'!$B:$B,'単価履歴'!$E:$E,W$1,'単価履歴'!$F:$F,$A15))=0,"",MAXIFS('単価履歴'!$H:$H,'単価履歴'!$E:$E,W$1,'単価履歴'!$F:$F,$A15,'単価履歴'!$B:$B,MAXIFS('単価履歴'!$B:$B,'単価履歴'!$E:$E,W$1,'単価履歴'!$F:$F,$A15)))</f>
        <v/>
      </c>
      <c r="X15" s="332" t="str">
        <f>IF(MAXIFS('単価履歴'!$H:$H,'単価履歴'!$E:$E,X$1,'単価履歴'!$F:$F,$A15,'単価履歴'!$B:$B,MAXIFS('単価履歴'!$B:$B,'単価履歴'!$E:$E,X$1,'単価履歴'!$F:$F,$A15))=0,"",MAXIFS('単価履歴'!$H:$H,'単価履歴'!$E:$E,X$1,'単価履歴'!$F:$F,$A15,'単価履歴'!$B:$B,MAXIFS('単価履歴'!$B:$B,'単価履歴'!$E:$E,X$1,'単価履歴'!$F:$F,$A15)))</f>
        <v/>
      </c>
      <c r="Y15" s="332" t="str">
        <f>IF(MAXIFS('単価履歴'!$H:$H,'単価履歴'!$E:$E,Y$1,'単価履歴'!$F:$F,$A15,'単価履歴'!$B:$B,MAXIFS('単価履歴'!$B:$B,'単価履歴'!$E:$E,Y$1,'単価履歴'!$F:$F,$A15))=0,"",MAXIFS('単価履歴'!$H:$H,'単価履歴'!$E:$E,Y$1,'単価履歴'!$F:$F,$A15,'単価履歴'!$B:$B,MAXIFS('単価履歴'!$B:$B,'単価履歴'!$E:$E,Y$1,'単価履歴'!$F:$F,$A15)))</f>
        <v/>
      </c>
      <c r="Z15" s="332" t="str">
        <f>IF(MAXIFS('単価履歴'!$H:$H,'単価履歴'!$E:$E,Z$1,'単価履歴'!$F:$F,$A15,'単価履歴'!$B:$B,MAXIFS('単価履歴'!$B:$B,'単価履歴'!$E:$E,Z$1,'単価履歴'!$F:$F,$A15))=0,"",MAXIFS('単価履歴'!$H:$H,'単価履歴'!$E:$E,Z$1,'単価履歴'!$F:$F,$A15,'単価履歴'!$B:$B,MAXIFS('単価履歴'!$B:$B,'単価履歴'!$E:$E,Z$1,'単価履歴'!$F:$F,$A15)))</f>
        <v/>
      </c>
      <c r="AA15" s="332" t="str">
        <f>IF(MAXIFS('単価履歴'!$H:$H,'単価履歴'!$E:$E,AA$1,'単価履歴'!$F:$F,$A15,'単価履歴'!$B:$B,MAXIFS('単価履歴'!$B:$B,'単価履歴'!$E:$E,AA$1,'単価履歴'!$F:$F,$A15))=0,"",MAXIFS('単価履歴'!$H:$H,'単価履歴'!$E:$E,AA$1,'単価履歴'!$F:$F,$A15,'単価履歴'!$B:$B,MAXIFS('単価履歴'!$B:$B,'単価履歴'!$E:$E,AA$1,'単価履歴'!$F:$F,$A15)))</f>
        <v/>
      </c>
      <c r="AB15" s="332" t="str">
        <f>IF(MAXIFS('単価履歴'!$H:$H,'単価履歴'!$E:$E,AB$1,'単価履歴'!$F:$F,$A15,'単価履歴'!$B:$B,MAXIFS('単価履歴'!$B:$B,'単価履歴'!$E:$E,AB$1,'単価履歴'!$F:$F,$A15))=0,"",MAXIFS('単価履歴'!$H:$H,'単価履歴'!$E:$E,AB$1,'単価履歴'!$F:$F,$A15,'単価履歴'!$B:$B,MAXIFS('単価履歴'!$B:$B,'単価履歴'!$E:$E,AB$1,'単価履歴'!$F:$F,$A15)))</f>
        <v/>
      </c>
      <c r="AC15" s="332" t="str">
        <f>IF(MAXIFS('単価履歴'!$H:$H,'単価履歴'!$E:$E,AC$1,'単価履歴'!$F:$F,$A15,'単価履歴'!$B:$B,MAXIFS('単価履歴'!$B:$B,'単価履歴'!$E:$E,AC$1,'単価履歴'!$F:$F,$A15))=0,"",MAXIFS('単価履歴'!$H:$H,'単価履歴'!$E:$E,AC$1,'単価履歴'!$F:$F,$A15,'単価履歴'!$B:$B,MAXIFS('単価履歴'!$B:$B,'単価履歴'!$E:$E,AC$1,'単価履歴'!$F:$F,$A15)))</f>
        <v/>
      </c>
      <c r="AD15" s="332" t="str">
        <f>IF(MAXIFS('単価履歴'!$H:$H,'単価履歴'!$E:$E,AD$1,'単価履歴'!$F:$F,$A15,'単価履歴'!$B:$B,MAXIFS('単価履歴'!$B:$B,'単価履歴'!$E:$E,AD$1,'単価履歴'!$F:$F,$A15))=0,"",MAXIFS('単価履歴'!$H:$H,'単価履歴'!$E:$E,AD$1,'単価履歴'!$F:$F,$A15,'単価履歴'!$B:$B,MAXIFS('単価履歴'!$B:$B,'単価履歴'!$E:$E,AD$1,'単価履歴'!$F:$F,$A15)))</f>
        <v/>
      </c>
      <c r="AE15" s="332" t="str">
        <f>IF(MAXIFS('単価履歴'!$H:$H,'単価履歴'!$E:$E,AE$1,'単価履歴'!$F:$F,$A15,'単価履歴'!$B:$B,MAXIFS('単価履歴'!$B:$B,'単価履歴'!$E:$E,AE$1,'単価履歴'!$F:$F,$A15))=0,"",MAXIFS('単価履歴'!$H:$H,'単価履歴'!$E:$E,AE$1,'単価履歴'!$F:$F,$A15,'単価履歴'!$B:$B,MAXIFS('単価履歴'!$B:$B,'単価履歴'!$E:$E,AE$1,'単価履歴'!$F:$F,$A15)))</f>
        <v/>
      </c>
      <c r="AF15" s="332" t="str">
        <f>IF(MAXIFS('単価履歴'!$H:$H,'単価履歴'!$E:$E,AF$1,'単価履歴'!$F:$F,$A15,'単価履歴'!$B:$B,MAXIFS('単価履歴'!$B:$B,'単価履歴'!$E:$E,AF$1,'単価履歴'!$F:$F,$A15))=0,"",MAXIFS('単価履歴'!$H:$H,'単価履歴'!$E:$E,AF$1,'単価履歴'!$F:$F,$A15,'単価履歴'!$B:$B,MAXIFS('単価履歴'!$B:$B,'単価履歴'!$E:$E,AF$1,'単価履歴'!$F:$F,$A15)))</f>
        <v/>
      </c>
      <c r="AG15" s="332" t="str">
        <f>IF(MAXIFS('単価履歴'!$H:$H,'単価履歴'!$E:$E,AG$1,'単価履歴'!$F:$F,$A15,'単価履歴'!$B:$B,MAXIFS('単価履歴'!$B:$B,'単価履歴'!$E:$E,AG$1,'単価履歴'!$F:$F,$A15))=0,"",MAXIFS('単価履歴'!$H:$H,'単価履歴'!$E:$E,AG$1,'単価履歴'!$F:$F,$A15,'単価履歴'!$B:$B,MAXIFS('単価履歴'!$B:$B,'単価履歴'!$E:$E,AG$1,'単価履歴'!$F:$F,$A15)))</f>
        <v/>
      </c>
      <c r="AH15" s="332" t="str">
        <f>IF(MAXIFS('単価履歴'!$H:$H,'単価履歴'!$E:$E,AH$1,'単価履歴'!$F:$F,$A15,'単価履歴'!$B:$B,MAXIFS('単価履歴'!$B:$B,'単価履歴'!$E:$E,AH$1,'単価履歴'!$F:$F,$A15))=0,"",MAXIFS('単価履歴'!$H:$H,'単価履歴'!$E:$E,AH$1,'単価履歴'!$F:$F,$A15,'単価履歴'!$B:$B,MAXIFS('単価履歴'!$B:$B,'単価履歴'!$E:$E,AH$1,'単価履歴'!$F:$F,$A15)))</f>
        <v/>
      </c>
      <c r="AI15" s="332" t="str">
        <f>IF(MAXIFS('単価履歴'!$H:$H,'単価履歴'!$E:$E,AI$1,'単価履歴'!$F:$F,$A15,'単価履歴'!$B:$B,MAXIFS('単価履歴'!$B:$B,'単価履歴'!$E:$E,AI$1,'単価履歴'!$F:$F,$A15))=0,"",MAXIFS('単価履歴'!$H:$H,'単価履歴'!$E:$E,AI$1,'単価履歴'!$F:$F,$A15,'単価履歴'!$B:$B,MAXIFS('単価履歴'!$B:$B,'単価履歴'!$E:$E,AI$1,'単価履歴'!$F:$F,$A15)))</f>
        <v/>
      </c>
      <c r="AJ15" s="332" t="str">
        <f>IF(MAXIFS('単価履歴'!$H:$H,'単価履歴'!$E:$E,AJ$1,'単価履歴'!$F:$F,$A15,'単価履歴'!$B:$B,MAXIFS('単価履歴'!$B:$B,'単価履歴'!$E:$E,AJ$1,'単価履歴'!$F:$F,$A15))=0,"",MAXIFS('単価履歴'!$H:$H,'単価履歴'!$E:$E,AJ$1,'単価履歴'!$F:$F,$A15,'単価履歴'!$B:$B,MAXIFS('単価履歴'!$B:$B,'単価履歴'!$E:$E,AJ$1,'単価履歴'!$F:$F,$A15)))</f>
        <v/>
      </c>
      <c r="AK15" s="332" t="str">
        <f>IF(MAXIFS('単価履歴'!$H:$H,'単価履歴'!$E:$E,AK$1,'単価履歴'!$F:$F,$A15,'単価履歴'!$B:$B,MAXIFS('単価履歴'!$B:$B,'単価履歴'!$E:$E,AK$1,'単価履歴'!$F:$F,$A15))=0,"",MAXIFS('単価履歴'!$H:$H,'単価履歴'!$E:$E,AK$1,'単価履歴'!$F:$F,$A15,'単価履歴'!$B:$B,MAXIFS('単価履歴'!$B:$B,'単価履歴'!$E:$E,AK$1,'単価履歴'!$F:$F,$A15)))</f>
        <v/>
      </c>
      <c r="AL15" s="332" t="str">
        <f>IF(MAXIFS('単価履歴'!$H:$H,'単価履歴'!$E:$E,AL$1,'単価履歴'!$F:$F,$A15,'単価履歴'!$B:$B,MAXIFS('単価履歴'!$B:$B,'単価履歴'!$E:$E,AL$1,'単価履歴'!$F:$F,$A15))=0,"",MAXIFS('単価履歴'!$H:$H,'単価履歴'!$E:$E,AL$1,'単価履歴'!$F:$F,$A15,'単価履歴'!$B:$B,MAXIFS('単価履歴'!$B:$B,'単価履歴'!$E:$E,AL$1,'単価履歴'!$F:$F,$A15)))</f>
        <v/>
      </c>
      <c r="AM15" s="332" t="str">
        <f>IF(MAXIFS('単価履歴'!$H:$H,'単価履歴'!$E:$E,AM$1,'単価履歴'!$F:$F,$A15,'単価履歴'!$B:$B,MAXIFS('単価履歴'!$B:$B,'単価履歴'!$E:$E,AM$1,'単価履歴'!$F:$F,$A15))=0,"",MAXIFS('単価履歴'!$H:$H,'単価履歴'!$E:$E,AM$1,'単価履歴'!$F:$F,$A15,'単価履歴'!$B:$B,MAXIFS('単価履歴'!$B:$B,'単価履歴'!$E:$E,AM$1,'単価履歴'!$F:$F,$A15)))</f>
        <v/>
      </c>
      <c r="AN15" s="332" t="str">
        <f>IF(MAXIFS('単価履歴'!$H:$H,'単価履歴'!$E:$E,AN$1,'単価履歴'!$F:$F,$A15,'単価履歴'!$B:$B,MAXIFS('単価履歴'!$B:$B,'単価履歴'!$E:$E,AN$1,'単価履歴'!$F:$F,$A15))=0,"",MAXIFS('単価履歴'!$H:$H,'単価履歴'!$E:$E,AN$1,'単価履歴'!$F:$F,$A15,'単価履歴'!$B:$B,MAXIFS('単価履歴'!$B:$B,'単価履歴'!$E:$E,AN$1,'単価履歴'!$F:$F,$A15)))</f>
        <v/>
      </c>
      <c r="AO15" s="332" t="str">
        <f>IF(MAXIFS('単価履歴'!$H:$H,'単価履歴'!$E:$E,AO$1,'単価履歴'!$F:$F,$A15,'単価履歴'!$B:$B,MAXIFS('単価履歴'!$B:$B,'単価履歴'!$E:$E,AO$1,'単価履歴'!$F:$F,$A15))=0,"",MAXIFS('単価履歴'!$H:$H,'単価履歴'!$E:$E,AO$1,'単価履歴'!$F:$F,$A15,'単価履歴'!$B:$B,MAXIFS('単価履歴'!$B:$B,'単価履歴'!$E:$E,AO$1,'単価履歴'!$F:$F,$A15)))</f>
        <v/>
      </c>
      <c r="AP15" s="332" t="str">
        <f>IF(MAXIFS('単価履歴'!$H:$H,'単価履歴'!$E:$E,AP$1,'単価履歴'!$F:$F,$A15,'単価履歴'!$B:$B,MAXIFS('単価履歴'!$B:$B,'単価履歴'!$E:$E,AP$1,'単価履歴'!$F:$F,$A15))=0,"",MAXIFS('単価履歴'!$H:$H,'単価履歴'!$E:$E,AP$1,'単価履歴'!$F:$F,$A15,'単価履歴'!$B:$B,MAXIFS('単価履歴'!$B:$B,'単価履歴'!$E:$E,AP$1,'単価履歴'!$F:$F,$A15)))</f>
        <v/>
      </c>
      <c r="AQ15" s="332" t="str">
        <f>IF(MAXIFS('単価履歴'!$H:$H,'単価履歴'!$E:$E,AQ$1,'単価履歴'!$F:$F,$A15,'単価履歴'!$B:$B,MAXIFS('単価履歴'!$B:$B,'単価履歴'!$E:$E,AQ$1,'単価履歴'!$F:$F,$A15))=0,"",MAXIFS('単価履歴'!$H:$H,'単価履歴'!$E:$E,AQ$1,'単価履歴'!$F:$F,$A15,'単価履歴'!$B:$B,MAXIFS('単価履歴'!$B:$B,'単価履歴'!$E:$E,AQ$1,'単価履歴'!$F:$F,$A15)))</f>
        <v/>
      </c>
      <c r="AR15" s="332" t="str">
        <f>IF(MAXIFS('単価履歴'!$H:$H,'単価履歴'!$E:$E,AR$1,'単価履歴'!$F:$F,$A15,'単価履歴'!$B:$B,MAXIFS('単価履歴'!$B:$B,'単価履歴'!$E:$E,AR$1,'単価履歴'!$F:$F,$A15))=0,"",MAXIFS('単価履歴'!$H:$H,'単価履歴'!$E:$E,AR$1,'単価履歴'!$F:$F,$A15,'単価履歴'!$B:$B,MAXIFS('単価履歴'!$B:$B,'単価履歴'!$E:$E,AR$1,'単価履歴'!$F:$F,$A15)))</f>
        <v/>
      </c>
      <c r="AS15" s="332" t="str">
        <f>IF(MAXIFS('単価履歴'!$H:$H,'単価履歴'!$E:$E,AS$1,'単価履歴'!$F:$F,$A15,'単価履歴'!$B:$B,MAXIFS('単価履歴'!$B:$B,'単価履歴'!$E:$E,AS$1,'単価履歴'!$F:$F,$A15))=0,"",MAXIFS('単価履歴'!$H:$H,'単価履歴'!$E:$E,AS$1,'単価履歴'!$F:$F,$A15,'単価履歴'!$B:$B,MAXIFS('単価履歴'!$B:$B,'単価履歴'!$E:$E,AS$1,'単価履歴'!$F:$F,$A15)))</f>
        <v/>
      </c>
      <c r="AT15" s="332" t="str">
        <f>IF(MAXIFS('単価履歴'!$H:$H,'単価履歴'!$E:$E,AT$1,'単価履歴'!$F:$F,$A15,'単価履歴'!$B:$B,MAXIFS('単価履歴'!$B:$B,'単価履歴'!$E:$E,AT$1,'単価履歴'!$F:$F,$A15))=0,"",MAXIFS('単価履歴'!$H:$H,'単価履歴'!$E:$E,AT$1,'単価履歴'!$F:$F,$A15,'単価履歴'!$B:$B,MAXIFS('単価履歴'!$B:$B,'単価履歴'!$E:$E,AT$1,'単価履歴'!$F:$F,$A15)))</f>
        <v/>
      </c>
      <c r="AU15" s="332" t="str">
        <f>IF(MAXIFS('単価履歴'!$H:$H,'単価履歴'!$E:$E,AU$1,'単価履歴'!$F:$F,$A15,'単価履歴'!$B:$B,MAXIFS('単価履歴'!$B:$B,'単価履歴'!$E:$E,AU$1,'単価履歴'!$F:$F,$A15))=0,"",MAXIFS('単価履歴'!$H:$H,'単価履歴'!$E:$E,AU$1,'単価履歴'!$F:$F,$A15,'単価履歴'!$B:$B,MAXIFS('単価履歴'!$B:$B,'単価履歴'!$E:$E,AU$1,'単価履歴'!$F:$F,$A15)))</f>
        <v/>
      </c>
      <c r="AV15" s="332" t="str">
        <f>IF(MAXIFS('単価履歴'!$H:$H,'単価履歴'!$E:$E,AV$1,'単価履歴'!$F:$F,$A15,'単価履歴'!$B:$B,MAXIFS('単価履歴'!$B:$B,'単価履歴'!$E:$E,AV$1,'単価履歴'!$F:$F,$A15))=0,"",MAXIFS('単価履歴'!$H:$H,'単価履歴'!$E:$E,AV$1,'単価履歴'!$F:$F,$A15,'単価履歴'!$B:$B,MAXIFS('単価履歴'!$B:$B,'単価履歴'!$E:$E,AV$1,'単価履歴'!$F:$F,$A15)))</f>
        <v/>
      </c>
      <c r="AW15" s="332" t="str">
        <f>IF(MAXIFS('単価履歴'!$H:$H,'単価履歴'!$E:$E,AW$1,'単価履歴'!$F:$F,$A15,'単価履歴'!$B:$B,MAXIFS('単価履歴'!$B:$B,'単価履歴'!$E:$E,AW$1,'単価履歴'!$F:$F,$A15))=0,"",MAXIFS('単価履歴'!$H:$H,'単価履歴'!$E:$E,AW$1,'単価履歴'!$F:$F,$A15,'単価履歴'!$B:$B,MAXIFS('単価履歴'!$B:$B,'単価履歴'!$E:$E,AW$1,'単価履歴'!$F:$F,$A15)))</f>
        <v/>
      </c>
      <c r="AX15" s="332" t="str">
        <f>IF(MAXIFS('単価履歴'!$H:$H,'単価履歴'!$E:$E,AX$1,'単価履歴'!$F:$F,$A15,'単価履歴'!$B:$B,MAXIFS('単価履歴'!$B:$B,'単価履歴'!$E:$E,AX$1,'単価履歴'!$F:$F,$A15))=0,"",MAXIFS('単価履歴'!$H:$H,'単価履歴'!$E:$E,AX$1,'単価履歴'!$F:$F,$A15,'単価履歴'!$B:$B,MAXIFS('単価履歴'!$B:$B,'単価履歴'!$E:$E,AX$1,'単価履歴'!$F:$F,$A15)))</f>
        <v/>
      </c>
      <c r="AY15" s="332" t="str">
        <f>IF(MAXIFS('単価履歴'!$H:$H,'単価履歴'!$E:$E,AY$1,'単価履歴'!$F:$F,$A15,'単価履歴'!$B:$B,MAXIFS('単価履歴'!$B:$B,'単価履歴'!$E:$E,AY$1,'単価履歴'!$F:$F,$A15))=0,"",MAXIFS('単価履歴'!$H:$H,'単価履歴'!$E:$E,AY$1,'単価履歴'!$F:$F,$A15,'単価履歴'!$B:$B,MAXIFS('単価履歴'!$B:$B,'単価履歴'!$E:$E,AY$1,'単価履歴'!$F:$F,$A15)))</f>
        <v/>
      </c>
      <c r="AZ15" s="332" t="str">
        <f>IF(MAXIFS('単価履歴'!$H:$H,'単価履歴'!$E:$E,AZ$1,'単価履歴'!$F:$F,$A15,'単価履歴'!$B:$B,MAXIFS('単価履歴'!$B:$B,'単価履歴'!$E:$E,AZ$1,'単価履歴'!$F:$F,$A15))=0,"",MAXIFS('単価履歴'!$H:$H,'単価履歴'!$E:$E,AZ$1,'単価履歴'!$F:$F,$A15,'単価履歴'!$B:$B,MAXIFS('単価履歴'!$B:$B,'単価履歴'!$E:$E,AZ$1,'単価履歴'!$F:$F,$A15)))</f>
        <v/>
      </c>
      <c r="BA15" s="332" t="str">
        <f>IF(MAXIFS('単価履歴'!$H:$H,'単価履歴'!$E:$E,BA$1,'単価履歴'!$F:$F,$A15,'単価履歴'!$B:$B,MAXIFS('単価履歴'!$B:$B,'単価履歴'!$E:$E,BA$1,'単価履歴'!$F:$F,$A15))=0,"",MAXIFS('単価履歴'!$H:$H,'単価履歴'!$E:$E,BA$1,'単価履歴'!$F:$F,$A15,'単価履歴'!$B:$B,MAXIFS('単価履歴'!$B:$B,'単価履歴'!$E:$E,BA$1,'単価履歴'!$F:$F,$A15)))</f>
        <v/>
      </c>
      <c r="BB15" s="332" t="str">
        <f>IF(MAXIFS('単価履歴'!$H:$H,'単価履歴'!$E:$E,BB$1,'単価履歴'!$F:$F,$A15,'単価履歴'!$B:$B,MAXIFS('単価履歴'!$B:$B,'単価履歴'!$E:$E,BB$1,'単価履歴'!$F:$F,$A15))=0,"",MAXIFS('単価履歴'!$H:$H,'単価履歴'!$E:$E,BB$1,'単価履歴'!$F:$F,$A15,'単価履歴'!$B:$B,MAXIFS('単価履歴'!$B:$B,'単価履歴'!$E:$E,BB$1,'単価履歴'!$F:$F,$A15)))</f>
        <v/>
      </c>
      <c r="BC15" s="332" t="str">
        <f>IF(MAXIFS('単価履歴'!$H:$H,'単価履歴'!$E:$E,BC$1,'単価履歴'!$F:$F,$A15,'単価履歴'!$B:$B,MAXIFS('単価履歴'!$B:$B,'単価履歴'!$E:$E,BC$1,'単価履歴'!$F:$F,$A15))=0,"",MAXIFS('単価履歴'!$H:$H,'単価履歴'!$E:$E,BC$1,'単価履歴'!$F:$F,$A15,'単価履歴'!$B:$B,MAXIFS('単価履歴'!$B:$B,'単価履歴'!$E:$E,BC$1,'単価履歴'!$F:$F,$A15)))</f>
        <v/>
      </c>
      <c r="BD15" s="332" t="str">
        <f>IF(MAXIFS('単価履歴'!$H:$H,'単価履歴'!$E:$E,BD$1,'単価履歴'!$F:$F,$A15,'単価履歴'!$B:$B,MAXIFS('単価履歴'!$B:$B,'単価履歴'!$E:$E,BD$1,'単価履歴'!$F:$F,$A15))=0,"",MAXIFS('単価履歴'!$H:$H,'単価履歴'!$E:$E,BD$1,'単価履歴'!$F:$F,$A15,'単価履歴'!$B:$B,MAXIFS('単価履歴'!$B:$B,'単価履歴'!$E:$E,BD$1,'単価履歴'!$F:$F,$A15)))</f>
        <v/>
      </c>
      <c r="BE15" s="332" t="str">
        <f>IF(MAXIFS('単価履歴'!$H:$H,'単価履歴'!$E:$E,BE$1,'単価履歴'!$F:$F,$A15,'単価履歴'!$B:$B,MAXIFS('単価履歴'!$B:$B,'単価履歴'!$E:$E,BE$1,'単価履歴'!$F:$F,$A15))=0,"",MAXIFS('単価履歴'!$H:$H,'単価履歴'!$E:$E,BE$1,'単価履歴'!$F:$F,$A15,'単価履歴'!$B:$B,MAXIFS('単価履歴'!$B:$B,'単価履歴'!$E:$E,BE$1,'単価履歴'!$F:$F,$A15)))</f>
        <v/>
      </c>
      <c r="BF15" s="332" t="str">
        <f>IF(MAXIFS('単価履歴'!$H:$H,'単価履歴'!$E:$E,BF$1,'単価履歴'!$F:$F,$A15,'単価履歴'!$B:$B,MAXIFS('単価履歴'!$B:$B,'単価履歴'!$E:$E,BF$1,'単価履歴'!$F:$F,$A15))=0,"",MAXIFS('単価履歴'!$H:$H,'単価履歴'!$E:$E,BF$1,'単価履歴'!$F:$F,$A15,'単価履歴'!$B:$B,MAXIFS('単価履歴'!$B:$B,'単価履歴'!$E:$E,BF$1,'単価履歴'!$F:$F,$A15)))</f>
        <v/>
      </c>
      <c r="BG15" s="332" t="str">
        <f>IF(MAXIFS('単価履歴'!$H:$H,'単価履歴'!$E:$E,BG$1,'単価履歴'!$F:$F,$A15,'単価履歴'!$B:$B,MAXIFS('単価履歴'!$B:$B,'単価履歴'!$E:$E,BG$1,'単価履歴'!$F:$F,$A15))=0,"",MAXIFS('単価履歴'!$H:$H,'単価履歴'!$E:$E,BG$1,'単価履歴'!$F:$F,$A15,'単価履歴'!$B:$B,MAXIFS('単価履歴'!$B:$B,'単価履歴'!$E:$E,BG$1,'単価履歴'!$F:$F,$A15)))</f>
        <v/>
      </c>
      <c r="BH15" s="332" t="str">
        <f>IF(MAXIFS('単価履歴'!$H:$H,'単価履歴'!$E:$E,BH$1,'単価履歴'!$F:$F,$A15,'単価履歴'!$B:$B,MAXIFS('単価履歴'!$B:$B,'単価履歴'!$E:$E,BH$1,'単価履歴'!$F:$F,$A15))=0,"",MAXIFS('単価履歴'!$H:$H,'単価履歴'!$E:$E,BH$1,'単価履歴'!$F:$F,$A15,'単価履歴'!$B:$B,MAXIFS('単価履歴'!$B:$B,'単価履歴'!$E:$E,BH$1,'単価履歴'!$F:$F,$A15)))</f>
        <v/>
      </c>
      <c r="BI15" s="332" t="str">
        <f>IF(MAXIFS('単価履歴'!$H:$H,'単価履歴'!$E:$E,BI$1,'単価履歴'!$F:$F,$A15,'単価履歴'!$B:$B,MAXIFS('単価履歴'!$B:$B,'単価履歴'!$E:$E,BI$1,'単価履歴'!$F:$F,$A15))=0,"",MAXIFS('単価履歴'!$H:$H,'単価履歴'!$E:$E,BI$1,'単価履歴'!$F:$F,$A15,'単価履歴'!$B:$B,MAXIFS('単価履歴'!$B:$B,'単価履歴'!$E:$E,BI$1,'単価履歴'!$F:$F,$A15)))</f>
        <v/>
      </c>
      <c r="BJ15" s="332" t="str">
        <f>IF(MAXIFS('単価履歴'!$H:$H,'単価履歴'!$E:$E,BJ$1,'単価履歴'!$F:$F,$A15,'単価履歴'!$B:$B,MAXIFS('単価履歴'!$B:$B,'単価履歴'!$E:$E,BJ$1,'単価履歴'!$F:$F,$A15))=0,"",MAXIFS('単価履歴'!$H:$H,'単価履歴'!$E:$E,BJ$1,'単価履歴'!$F:$F,$A15,'単価履歴'!$B:$B,MAXIFS('単価履歴'!$B:$B,'単価履歴'!$E:$E,BJ$1,'単価履歴'!$F:$F,$A15)))</f>
        <v/>
      </c>
      <c r="BK15" s="332" t="str">
        <f>IF(MAXIFS('単価履歴'!$H:$H,'単価履歴'!$E:$E,BK$1,'単価履歴'!$F:$F,$A15,'単価履歴'!$B:$B,MAXIFS('単価履歴'!$B:$B,'単価履歴'!$E:$E,BK$1,'単価履歴'!$F:$F,$A15))=0,"",MAXIFS('単価履歴'!$H:$H,'単価履歴'!$E:$E,BK$1,'単価履歴'!$F:$F,$A15,'単価履歴'!$B:$B,MAXIFS('単価履歴'!$B:$B,'単価履歴'!$E:$E,BK$1,'単価履歴'!$F:$F,$A15)))</f>
        <v/>
      </c>
      <c r="BL15" s="332" t="str">
        <f>IF(MAXIFS('単価履歴'!$H:$H,'単価履歴'!$E:$E,BL$1,'単価履歴'!$F:$F,$A15,'単価履歴'!$B:$B,MAXIFS('単価履歴'!$B:$B,'単価履歴'!$E:$E,BL$1,'単価履歴'!$F:$F,$A15))=0,"",MAXIFS('単価履歴'!$H:$H,'単価履歴'!$E:$E,BL$1,'単価履歴'!$F:$F,$A15,'単価履歴'!$B:$B,MAXIFS('単価履歴'!$B:$B,'単価履歴'!$E:$E,BL$1,'単価履歴'!$F:$F,$A15)))</f>
        <v/>
      </c>
      <c r="BM15" s="332" t="str">
        <f>IF(MAXIFS('単価履歴'!$H:$H,'単価履歴'!$E:$E,BM$1,'単価履歴'!$F:$F,$A15,'単価履歴'!$B:$B,MAXIFS('単価履歴'!$B:$B,'単価履歴'!$E:$E,BM$1,'単価履歴'!$F:$F,$A15))=0,"",MAXIFS('単価履歴'!$H:$H,'単価履歴'!$E:$E,BM$1,'単価履歴'!$F:$F,$A15,'単価履歴'!$B:$B,MAXIFS('単価履歴'!$B:$B,'単価履歴'!$E:$E,BM$1,'単価履歴'!$F:$F,$A15)))</f>
        <v/>
      </c>
      <c r="BN15" s="332" t="str">
        <f>IF(MAXIFS('単価履歴'!$H:$H,'単価履歴'!$E:$E,BN$1,'単価履歴'!$F:$F,$A15,'単価履歴'!$B:$B,MAXIFS('単価履歴'!$B:$B,'単価履歴'!$E:$E,BN$1,'単価履歴'!$F:$F,$A15))=0,"",MAXIFS('単価履歴'!$H:$H,'単価履歴'!$E:$E,BN$1,'単価履歴'!$F:$F,$A15,'単価履歴'!$B:$B,MAXIFS('単価履歴'!$B:$B,'単価履歴'!$E:$E,BN$1,'単価履歴'!$F:$F,$A15)))</f>
        <v/>
      </c>
      <c r="BO15" s="332" t="str">
        <f>IF(MAXIFS('単価履歴'!$H:$H,'単価履歴'!$E:$E,BO$1,'単価履歴'!$F:$F,$A15,'単価履歴'!$B:$B,MAXIFS('単価履歴'!$B:$B,'単価履歴'!$E:$E,BO$1,'単価履歴'!$F:$F,$A15))=0,"",MAXIFS('単価履歴'!$H:$H,'単価履歴'!$E:$E,BO$1,'単価履歴'!$F:$F,$A15,'単価履歴'!$B:$B,MAXIFS('単価履歴'!$B:$B,'単価履歴'!$E:$E,BO$1,'単価履歴'!$F:$F,$A15)))</f>
        <v/>
      </c>
      <c r="BP15" s="332" t="str">
        <f>IF(MAXIFS('単価履歴'!$H:$H,'単価履歴'!$E:$E,BP$1,'単価履歴'!$F:$F,$A15,'単価履歴'!$B:$B,MAXIFS('単価履歴'!$B:$B,'単価履歴'!$E:$E,BP$1,'単価履歴'!$F:$F,$A15))=0,"",MAXIFS('単価履歴'!$H:$H,'単価履歴'!$E:$E,BP$1,'単価履歴'!$F:$F,$A15,'単価履歴'!$B:$B,MAXIFS('単価履歴'!$B:$B,'単価履歴'!$E:$E,BP$1,'単価履歴'!$F:$F,$A15)))</f>
        <v/>
      </c>
      <c r="BQ15" s="332" t="str">
        <f>IF(MAXIFS('単価履歴'!$H:$H,'単価履歴'!$E:$E,BQ$1,'単価履歴'!$F:$F,$A15,'単価履歴'!$B:$B,MAXIFS('単価履歴'!$B:$B,'単価履歴'!$E:$E,BQ$1,'単価履歴'!$F:$F,$A15))=0,"",MAXIFS('単価履歴'!$H:$H,'単価履歴'!$E:$E,BQ$1,'単価履歴'!$F:$F,$A15,'単価履歴'!$B:$B,MAXIFS('単価履歴'!$B:$B,'単価履歴'!$E:$E,BQ$1,'単価履歴'!$F:$F,$A15)))</f>
        <v/>
      </c>
      <c r="BR15" s="332" t="str">
        <f>IF(MAXIFS('単価履歴'!$H:$H,'単価履歴'!$E:$E,BR$1,'単価履歴'!$F:$F,$A15,'単価履歴'!$B:$B,MAXIFS('単価履歴'!$B:$B,'単価履歴'!$E:$E,BR$1,'単価履歴'!$F:$F,$A15))=0,"",MAXIFS('単価履歴'!$H:$H,'単価履歴'!$E:$E,BR$1,'単価履歴'!$F:$F,$A15,'単価履歴'!$B:$B,MAXIFS('単価履歴'!$B:$B,'単価履歴'!$E:$E,BR$1,'単価履歴'!$F:$F,$A15)))</f>
        <v/>
      </c>
      <c r="BS15" s="332" t="str">
        <f>IF(MAXIFS('単価履歴'!$H:$H,'単価履歴'!$E:$E,BS$1,'単価履歴'!$F:$F,$A15,'単価履歴'!$B:$B,MAXIFS('単価履歴'!$B:$B,'単価履歴'!$E:$E,BS$1,'単価履歴'!$F:$F,$A15))=0,"",MAXIFS('単価履歴'!$H:$H,'単価履歴'!$E:$E,BS$1,'単価履歴'!$F:$F,$A15,'単価履歴'!$B:$B,MAXIFS('単価履歴'!$B:$B,'単価履歴'!$E:$E,BS$1,'単価履歴'!$F:$F,$A15)))</f>
        <v/>
      </c>
      <c r="BT15" s="332" t="str">
        <f>IF(MAXIFS('単価履歴'!$H:$H,'単価履歴'!$E:$E,BT$1,'単価履歴'!$F:$F,$A15,'単価履歴'!$B:$B,MAXIFS('単価履歴'!$B:$B,'単価履歴'!$E:$E,BT$1,'単価履歴'!$F:$F,$A15))=0,"",MAXIFS('単価履歴'!$H:$H,'単価履歴'!$E:$E,BT$1,'単価履歴'!$F:$F,$A15,'単価履歴'!$B:$B,MAXIFS('単価履歴'!$B:$B,'単価履歴'!$E:$E,BT$1,'単価履歴'!$F:$F,$A15)))</f>
        <v/>
      </c>
      <c r="BU15" s="332" t="str">
        <f>IF(MAXIFS('単価履歴'!$H:$H,'単価履歴'!$E:$E,BU$1,'単価履歴'!$F:$F,$A15,'単価履歴'!$B:$B,MAXIFS('単価履歴'!$B:$B,'単価履歴'!$E:$E,BU$1,'単価履歴'!$F:$F,$A15))=0,"",MAXIFS('単価履歴'!$H:$H,'単価履歴'!$E:$E,BU$1,'単価履歴'!$F:$F,$A15,'単価履歴'!$B:$B,MAXIFS('単価履歴'!$B:$B,'単価履歴'!$E:$E,BU$1,'単価履歴'!$F:$F,$A15)))</f>
        <v/>
      </c>
      <c r="BV15" s="332" t="str">
        <f>IF(MAXIFS('単価履歴'!$H:$H,'単価履歴'!$E:$E,BV$1,'単価履歴'!$F:$F,$A15,'単価履歴'!$B:$B,MAXIFS('単価履歴'!$B:$B,'単価履歴'!$E:$E,BV$1,'単価履歴'!$F:$F,$A15))=0,"",MAXIFS('単価履歴'!$H:$H,'単価履歴'!$E:$E,BV$1,'単価履歴'!$F:$F,$A15,'単価履歴'!$B:$B,MAXIFS('単価履歴'!$B:$B,'単価履歴'!$E:$E,BV$1,'単価履歴'!$F:$F,$A15)))</f>
        <v/>
      </c>
      <c r="BW15" s="332" t="str">
        <f>IF(MAXIFS('単価履歴'!$H:$H,'単価履歴'!$E:$E,BW$1,'単価履歴'!$F:$F,$A15,'単価履歴'!$B:$B,MAXIFS('単価履歴'!$B:$B,'単価履歴'!$E:$E,BW$1,'単価履歴'!$F:$F,$A15))=0,"",MAXIFS('単価履歴'!$H:$H,'単価履歴'!$E:$E,BW$1,'単価履歴'!$F:$F,$A15,'単価履歴'!$B:$B,MAXIFS('単価履歴'!$B:$B,'単価履歴'!$E:$E,BW$1,'単価履歴'!$F:$F,$A15)))</f>
        <v/>
      </c>
      <c r="BX15" s="332" t="str">
        <f>IF(MAXIFS('単価履歴'!$H:$H,'単価履歴'!$E:$E,BX$1,'単価履歴'!$F:$F,$A15,'単価履歴'!$B:$B,MAXIFS('単価履歴'!$B:$B,'単価履歴'!$E:$E,BX$1,'単価履歴'!$F:$F,$A15))=0,"",MAXIFS('単価履歴'!$H:$H,'単価履歴'!$E:$E,BX$1,'単価履歴'!$F:$F,$A15,'単価履歴'!$B:$B,MAXIFS('単価履歴'!$B:$B,'単価履歴'!$E:$E,BX$1,'単価履歴'!$F:$F,$A15)))</f>
        <v/>
      </c>
      <c r="BY15" s="332" t="str">
        <f>IF(MAXIFS('単価履歴'!$H:$H,'単価履歴'!$E:$E,BY$1,'単価履歴'!$F:$F,$A15,'単価履歴'!$B:$B,MAXIFS('単価履歴'!$B:$B,'単価履歴'!$E:$E,BY$1,'単価履歴'!$F:$F,$A15))=0,"",MAXIFS('単価履歴'!$H:$H,'単価履歴'!$E:$E,BY$1,'単価履歴'!$F:$F,$A15,'単価履歴'!$B:$B,MAXIFS('単価履歴'!$B:$B,'単価履歴'!$E:$E,BY$1,'単価履歴'!$F:$F,$A15)))</f>
        <v/>
      </c>
      <c r="BZ15" s="332" t="str">
        <f>IF(MAXIFS('単価履歴'!$H:$H,'単価履歴'!$E:$E,BZ$1,'単価履歴'!$F:$F,$A15,'単価履歴'!$B:$B,MAXIFS('単価履歴'!$B:$B,'単価履歴'!$E:$E,BZ$1,'単価履歴'!$F:$F,$A15))=0,"",MAXIFS('単価履歴'!$H:$H,'単価履歴'!$E:$E,BZ$1,'単価履歴'!$F:$F,$A15,'単価履歴'!$B:$B,MAXIFS('単価履歴'!$B:$B,'単価履歴'!$E:$E,BZ$1,'単価履歴'!$F:$F,$A15)))</f>
        <v/>
      </c>
      <c r="CA15" s="332" t="str">
        <f>IF(MAXIFS('単価履歴'!$H:$H,'単価履歴'!$E:$E,CA$1,'単価履歴'!$F:$F,$A15,'単価履歴'!$B:$B,MAXIFS('単価履歴'!$B:$B,'単価履歴'!$E:$E,CA$1,'単価履歴'!$F:$F,$A15))=0,"",MAXIFS('単価履歴'!$H:$H,'単価履歴'!$E:$E,CA$1,'単価履歴'!$F:$F,$A15,'単価履歴'!$B:$B,MAXIFS('単価履歴'!$B:$B,'単価履歴'!$E:$E,CA$1,'単価履歴'!$F:$F,$A15)))</f>
        <v/>
      </c>
      <c r="CB15" s="332" t="str">
        <f>IF(MAXIFS('単価履歴'!$H:$H,'単価履歴'!$E:$E,CB$1,'単価履歴'!$F:$F,$A15,'単価履歴'!$B:$B,MAXIFS('単価履歴'!$B:$B,'単価履歴'!$E:$E,CB$1,'単価履歴'!$F:$F,$A15))=0,"",MAXIFS('単価履歴'!$H:$H,'単価履歴'!$E:$E,CB$1,'単価履歴'!$F:$F,$A15,'単価履歴'!$B:$B,MAXIFS('単価履歴'!$B:$B,'単価履歴'!$E:$E,CB$1,'単価履歴'!$F:$F,$A15)))</f>
        <v/>
      </c>
      <c r="CC15" s="332" t="str">
        <f>IF(MAXIFS('単価履歴'!$H:$H,'単価履歴'!$E:$E,CC$1,'単価履歴'!$F:$F,$A15,'単価履歴'!$B:$B,MAXIFS('単価履歴'!$B:$B,'単価履歴'!$E:$E,CC$1,'単価履歴'!$F:$F,$A15))=0,"",MAXIFS('単価履歴'!$H:$H,'単価履歴'!$E:$E,CC$1,'単価履歴'!$F:$F,$A15,'単価履歴'!$B:$B,MAXIFS('単価履歴'!$B:$B,'単価履歴'!$E:$E,CC$1,'単価履歴'!$F:$F,$A15)))</f>
        <v/>
      </c>
      <c r="CD15" s="332" t="str">
        <f>IF(MAXIFS('単価履歴'!$H:$H,'単価履歴'!$E:$E,CD$1,'単価履歴'!$F:$F,$A15,'単価履歴'!$B:$B,MAXIFS('単価履歴'!$B:$B,'単価履歴'!$E:$E,CD$1,'単価履歴'!$F:$F,$A15))=0,"",MAXIFS('単価履歴'!$H:$H,'単価履歴'!$E:$E,CD$1,'単価履歴'!$F:$F,$A15,'単価履歴'!$B:$B,MAXIFS('単価履歴'!$B:$B,'単価履歴'!$E:$E,CD$1,'単価履歴'!$F:$F,$A15)))</f>
        <v/>
      </c>
      <c r="CE15" s="332" t="str">
        <f>IF(MAXIFS('単価履歴'!$H:$H,'単価履歴'!$E:$E,CE$1,'単価履歴'!$F:$F,$A15,'単価履歴'!$B:$B,MAXIFS('単価履歴'!$B:$B,'単価履歴'!$E:$E,CE$1,'単価履歴'!$F:$F,$A15))=0,"",MAXIFS('単価履歴'!$H:$H,'単価履歴'!$E:$E,CE$1,'単価履歴'!$F:$F,$A15,'単価履歴'!$B:$B,MAXIFS('単価履歴'!$B:$B,'単価履歴'!$E:$E,CE$1,'単価履歴'!$F:$F,$A15)))</f>
        <v/>
      </c>
      <c r="CF15" s="332" t="str">
        <f>IF(MAXIFS('単価履歴'!$H:$H,'単価履歴'!$E:$E,CF$1,'単価履歴'!$F:$F,$A15,'単価履歴'!$B:$B,MAXIFS('単価履歴'!$B:$B,'単価履歴'!$E:$E,CF$1,'単価履歴'!$F:$F,$A15))=0,"",MAXIFS('単価履歴'!$H:$H,'単価履歴'!$E:$E,CF$1,'単価履歴'!$F:$F,$A15,'単価履歴'!$B:$B,MAXIFS('単価履歴'!$B:$B,'単価履歴'!$E:$E,CF$1,'単価履歴'!$F:$F,$A15)))</f>
        <v/>
      </c>
      <c r="CG15" s="332" t="str">
        <f>IF(MAXIFS('単価履歴'!$H:$H,'単価履歴'!$E:$E,CG$1,'単価履歴'!$F:$F,$A15,'単価履歴'!$B:$B,MAXIFS('単価履歴'!$B:$B,'単価履歴'!$E:$E,CG$1,'単価履歴'!$F:$F,$A15))=0,"",MAXIFS('単価履歴'!$H:$H,'単価履歴'!$E:$E,CG$1,'単価履歴'!$F:$F,$A15,'単価履歴'!$B:$B,MAXIFS('単価履歴'!$B:$B,'単価履歴'!$E:$E,CG$1,'単価履歴'!$F:$F,$A15)))</f>
        <v/>
      </c>
      <c r="CH15" s="332" t="str">
        <f>IF(MAXIFS('単価履歴'!$H:$H,'単価履歴'!$E:$E,CH$1,'単価履歴'!$F:$F,$A15,'単価履歴'!$B:$B,MAXIFS('単価履歴'!$B:$B,'単価履歴'!$E:$E,CH$1,'単価履歴'!$F:$F,$A15))=0,"",MAXIFS('単価履歴'!$H:$H,'単価履歴'!$E:$E,CH$1,'単価履歴'!$F:$F,$A15,'単価履歴'!$B:$B,MAXIFS('単価履歴'!$B:$B,'単価履歴'!$E:$E,CH$1,'単価履歴'!$F:$F,$A15)))</f>
        <v/>
      </c>
    </row>
    <row r="16" ht="15.75" customHeight="1">
      <c r="A16" s="432" t="s">
        <v>25</v>
      </c>
      <c r="B16" s="332">
        <f>MAXIFS('単価履歴'!H:H,'単価履歴'!F:F,A16,'単価履歴'!N:N,"●")</f>
        <v>45</v>
      </c>
      <c r="C16" s="332" t="str">
        <f>IF(MAXIFS('単価履歴'!$H:$H,'単価履歴'!$E:$E,C$1,'単価履歴'!$F:$F,$A16,'単価履歴'!$B:$B,MAXIFS('単価履歴'!$B:$B,'単価履歴'!$E:$E,C$1,'単価履歴'!$F:$F,$A16))=0,"",MAXIFS('単価履歴'!$H:$H,'単価履歴'!$E:$E,C$1,'単価履歴'!$F:$F,$A16,'単価履歴'!$B:$B,MAXIFS('単価履歴'!$B:$B,'単価履歴'!$E:$E,C$1,'単価履歴'!$F:$F,$A16)))</f>
        <v/>
      </c>
      <c r="D16" s="332" t="str">
        <f>IF(MAXIFS('単価履歴'!$H:$H,'単価履歴'!$E:$E,D$1,'単価履歴'!$F:$F,$A16,'単価履歴'!$B:$B,MAXIFS('単価履歴'!$B:$B,'単価履歴'!$E:$E,D$1,'単価履歴'!$F:$F,$A16))=0,"",MAXIFS('単価履歴'!$H:$H,'単価履歴'!$E:$E,D$1,'単価履歴'!$F:$F,$A16,'単価履歴'!$B:$B,MAXIFS('単価履歴'!$B:$B,'単価履歴'!$E:$E,D$1,'単価履歴'!$F:$F,$A16)))</f>
        <v/>
      </c>
      <c r="E16" s="332" t="str">
        <f>IF(MAXIFS('単価履歴'!$H:$H,'単価履歴'!$E:$E,E$1,'単価履歴'!$F:$F,$A16,'単価履歴'!$B:$B,MAXIFS('単価履歴'!$B:$B,'単価履歴'!$E:$E,E$1,'単価履歴'!$F:$F,$A16))=0,"",MAXIFS('単価履歴'!$H:$H,'単価履歴'!$E:$E,E$1,'単価履歴'!$F:$F,$A16,'単価履歴'!$B:$B,MAXIFS('単価履歴'!$B:$B,'単価履歴'!$E:$E,E$1,'単価履歴'!$F:$F,$A16)))</f>
        <v/>
      </c>
      <c r="F16" s="332" t="str">
        <f>IF(MAXIFS('単価履歴'!$H:$H,'単価履歴'!$E:$E,F$1,'単価履歴'!$F:$F,$A16,'単価履歴'!$B:$B,MAXIFS('単価履歴'!$B:$B,'単価履歴'!$E:$E,F$1,'単価履歴'!$F:$F,$A16))=0,"",MAXIFS('単価履歴'!$H:$H,'単価履歴'!$E:$E,F$1,'単価履歴'!$F:$F,$A16,'単価履歴'!$B:$B,MAXIFS('単価履歴'!$B:$B,'単価履歴'!$E:$E,F$1,'単価履歴'!$F:$F,$A16)))</f>
        <v/>
      </c>
      <c r="G16" s="332" t="str">
        <f>IF(MAXIFS('単価履歴'!$H:$H,'単価履歴'!$E:$E,G$1,'単価履歴'!$F:$F,$A16,'単価履歴'!$B:$B,MAXIFS('単価履歴'!$B:$B,'単価履歴'!$E:$E,G$1,'単価履歴'!$F:$F,$A16))=0,"",MAXIFS('単価履歴'!$H:$H,'単価履歴'!$E:$E,G$1,'単価履歴'!$F:$F,$A16,'単価履歴'!$B:$B,MAXIFS('単価履歴'!$B:$B,'単価履歴'!$E:$E,G$1,'単価履歴'!$F:$F,$A16)))</f>
        <v/>
      </c>
      <c r="H16" s="332" t="str">
        <f>IF(MAXIFS('単価履歴'!$H:$H,'単価履歴'!$E:$E,H$1,'単価履歴'!$F:$F,$A16,'単価履歴'!$B:$B,MAXIFS('単価履歴'!$B:$B,'単価履歴'!$E:$E,H$1,'単価履歴'!$F:$F,$A16))=0,"",MAXIFS('単価履歴'!$H:$H,'単価履歴'!$E:$E,H$1,'単価履歴'!$F:$F,$A16,'単価履歴'!$B:$B,MAXIFS('単価履歴'!$B:$B,'単価履歴'!$E:$E,H$1,'単価履歴'!$F:$F,$A16)))</f>
        <v/>
      </c>
      <c r="I16" s="332" t="str">
        <f>IF(MAXIFS('単価履歴'!$H:$H,'単価履歴'!$E:$E,I$1,'単価履歴'!$F:$F,$A16,'単価履歴'!$B:$B,MAXIFS('単価履歴'!$B:$B,'単価履歴'!$E:$E,I$1,'単価履歴'!$F:$F,$A16))=0,"",MAXIFS('単価履歴'!$H:$H,'単価履歴'!$E:$E,I$1,'単価履歴'!$F:$F,$A16,'単価履歴'!$B:$B,MAXIFS('単価履歴'!$B:$B,'単価履歴'!$E:$E,I$1,'単価履歴'!$F:$F,$A16)))</f>
        <v/>
      </c>
      <c r="J16" s="332" t="str">
        <f>IF(MAXIFS('単価履歴'!$H:$H,'単価履歴'!$E:$E,J$1,'単価履歴'!$F:$F,$A16,'単価履歴'!$B:$B,MAXIFS('単価履歴'!$B:$B,'単価履歴'!$E:$E,J$1,'単価履歴'!$F:$F,$A16))=0,"",MAXIFS('単価履歴'!$H:$H,'単価履歴'!$E:$E,J$1,'単価履歴'!$F:$F,$A16,'単価履歴'!$B:$B,MAXIFS('単価履歴'!$B:$B,'単価履歴'!$E:$E,J$1,'単価履歴'!$F:$F,$A16)))</f>
        <v/>
      </c>
      <c r="K16" s="332" t="str">
        <f>IF(MAXIFS('単価履歴'!$H:$H,'単価履歴'!$E:$E,K$1,'単価履歴'!$F:$F,$A16,'単価履歴'!$B:$B,MAXIFS('単価履歴'!$B:$B,'単価履歴'!$E:$E,K$1,'単価履歴'!$F:$F,$A16))=0,"",MAXIFS('単価履歴'!$H:$H,'単価履歴'!$E:$E,K$1,'単価履歴'!$F:$F,$A16,'単価履歴'!$B:$B,MAXIFS('単価履歴'!$B:$B,'単価履歴'!$E:$E,K$1,'単価履歴'!$F:$F,$A16)))</f>
        <v/>
      </c>
      <c r="L16" s="332" t="str">
        <f>IF(MAXIFS('単価履歴'!$H:$H,'単価履歴'!$E:$E,L$1,'単価履歴'!$F:$F,$A16,'単価履歴'!$B:$B,MAXIFS('単価履歴'!$B:$B,'単価履歴'!$E:$E,L$1,'単価履歴'!$F:$F,$A16))=0,"",MAXIFS('単価履歴'!$H:$H,'単価履歴'!$E:$E,L$1,'単価履歴'!$F:$F,$A16,'単価履歴'!$B:$B,MAXIFS('単価履歴'!$B:$B,'単価履歴'!$E:$E,L$1,'単価履歴'!$F:$F,$A16)))</f>
        <v/>
      </c>
      <c r="M16" s="332" t="str">
        <f>IF(MAXIFS('単価履歴'!$H:$H,'単価履歴'!$E:$E,M$1,'単価履歴'!$F:$F,$A16,'単価履歴'!$B:$B,MAXIFS('単価履歴'!$B:$B,'単価履歴'!$E:$E,M$1,'単価履歴'!$F:$F,$A16))=0,"",MAXIFS('単価履歴'!$H:$H,'単価履歴'!$E:$E,M$1,'単価履歴'!$F:$F,$A16,'単価履歴'!$B:$B,MAXIFS('単価履歴'!$B:$B,'単価履歴'!$E:$E,M$1,'単価履歴'!$F:$F,$A16)))</f>
        <v/>
      </c>
      <c r="N16" s="332" t="str">
        <f>IF(MAXIFS('単価履歴'!$H:$H,'単価履歴'!$E:$E,N$1,'単価履歴'!$F:$F,$A16,'単価履歴'!$B:$B,MAXIFS('単価履歴'!$B:$B,'単価履歴'!$E:$E,N$1,'単価履歴'!$F:$F,$A16))=0,"",MAXIFS('単価履歴'!$H:$H,'単価履歴'!$E:$E,N$1,'単価履歴'!$F:$F,$A16,'単価履歴'!$B:$B,MAXIFS('単価履歴'!$B:$B,'単価履歴'!$E:$E,N$1,'単価履歴'!$F:$F,$A16)))</f>
        <v/>
      </c>
      <c r="O16" s="332" t="str">
        <f>IF(MAXIFS('単価履歴'!$H:$H,'単価履歴'!$E:$E,O$1,'単価履歴'!$F:$F,$A16,'単価履歴'!$B:$B,MAXIFS('単価履歴'!$B:$B,'単価履歴'!$E:$E,O$1,'単価履歴'!$F:$F,$A16))=0,"",MAXIFS('単価履歴'!$H:$H,'単価履歴'!$E:$E,O$1,'単価履歴'!$F:$F,$A16,'単価履歴'!$B:$B,MAXIFS('単価履歴'!$B:$B,'単価履歴'!$E:$E,O$1,'単価履歴'!$F:$F,$A16)))</f>
        <v/>
      </c>
      <c r="P16" s="332" t="str">
        <f>IF(MAXIFS('単価履歴'!$H:$H,'単価履歴'!$E:$E,P$1,'単価履歴'!$F:$F,$A16,'単価履歴'!$B:$B,MAXIFS('単価履歴'!$B:$B,'単価履歴'!$E:$E,P$1,'単価履歴'!$F:$F,$A16))=0,"",MAXIFS('単価履歴'!$H:$H,'単価履歴'!$E:$E,P$1,'単価履歴'!$F:$F,$A16,'単価履歴'!$B:$B,MAXIFS('単価履歴'!$B:$B,'単価履歴'!$E:$E,P$1,'単価履歴'!$F:$F,$A16)))</f>
        <v/>
      </c>
      <c r="Q16" s="332" t="str">
        <f>IF(MAXIFS('単価履歴'!$H:$H,'単価履歴'!$E:$E,Q$1,'単価履歴'!$F:$F,$A16,'単価履歴'!$B:$B,MAXIFS('単価履歴'!$B:$B,'単価履歴'!$E:$E,Q$1,'単価履歴'!$F:$F,$A16))=0,"",MAXIFS('単価履歴'!$H:$H,'単価履歴'!$E:$E,Q$1,'単価履歴'!$F:$F,$A16,'単価履歴'!$B:$B,MAXIFS('単価履歴'!$B:$B,'単価履歴'!$E:$E,Q$1,'単価履歴'!$F:$F,$A16)))</f>
        <v/>
      </c>
      <c r="R16" s="332" t="str">
        <f>IF(MAXIFS('単価履歴'!$H:$H,'単価履歴'!$E:$E,R$1,'単価履歴'!$F:$F,$A16,'単価履歴'!$B:$B,MAXIFS('単価履歴'!$B:$B,'単価履歴'!$E:$E,R$1,'単価履歴'!$F:$F,$A16))=0,"",MAXIFS('単価履歴'!$H:$H,'単価履歴'!$E:$E,R$1,'単価履歴'!$F:$F,$A16,'単価履歴'!$B:$B,MAXIFS('単価履歴'!$B:$B,'単価履歴'!$E:$E,R$1,'単価履歴'!$F:$F,$A16)))</f>
        <v/>
      </c>
      <c r="S16" s="332" t="str">
        <f>IF(MAXIFS('単価履歴'!$H:$H,'単価履歴'!$E:$E,S$1,'単価履歴'!$F:$F,$A16,'単価履歴'!$B:$B,MAXIFS('単価履歴'!$B:$B,'単価履歴'!$E:$E,S$1,'単価履歴'!$F:$F,$A16))=0,"",MAXIFS('単価履歴'!$H:$H,'単価履歴'!$E:$E,S$1,'単価履歴'!$F:$F,$A16,'単価履歴'!$B:$B,MAXIFS('単価履歴'!$B:$B,'単価履歴'!$E:$E,S$1,'単価履歴'!$F:$F,$A16)))</f>
        <v/>
      </c>
      <c r="T16" s="332" t="str">
        <f>IF(MAXIFS('単価履歴'!$H:$H,'単価履歴'!$E:$E,T$1,'単価履歴'!$F:$F,$A16,'単価履歴'!$B:$B,MAXIFS('単価履歴'!$B:$B,'単価履歴'!$E:$E,T$1,'単価履歴'!$F:$F,$A16))=0,"",MAXIFS('単価履歴'!$H:$H,'単価履歴'!$E:$E,T$1,'単価履歴'!$F:$F,$A16,'単価履歴'!$B:$B,MAXIFS('単価履歴'!$B:$B,'単価履歴'!$E:$E,T$1,'単価履歴'!$F:$F,$A16)))</f>
        <v/>
      </c>
      <c r="U16" s="332" t="str">
        <f>IF(MAXIFS('単価履歴'!$H:$H,'単価履歴'!$E:$E,U$1,'単価履歴'!$F:$F,$A16,'単価履歴'!$B:$B,MAXIFS('単価履歴'!$B:$B,'単価履歴'!$E:$E,U$1,'単価履歴'!$F:$F,$A16))=0,"",MAXIFS('単価履歴'!$H:$H,'単価履歴'!$E:$E,U$1,'単価履歴'!$F:$F,$A16,'単価履歴'!$B:$B,MAXIFS('単価履歴'!$B:$B,'単価履歴'!$E:$E,U$1,'単価履歴'!$F:$F,$A16)))</f>
        <v/>
      </c>
      <c r="V16" s="332" t="str">
        <f>IF(MAXIFS('単価履歴'!$H:$H,'単価履歴'!$E:$E,V$1,'単価履歴'!$F:$F,$A16,'単価履歴'!$B:$B,MAXIFS('単価履歴'!$B:$B,'単価履歴'!$E:$E,V$1,'単価履歴'!$F:$F,$A16))=0,"",MAXIFS('単価履歴'!$H:$H,'単価履歴'!$E:$E,V$1,'単価履歴'!$F:$F,$A16,'単価履歴'!$B:$B,MAXIFS('単価履歴'!$B:$B,'単価履歴'!$E:$E,V$1,'単価履歴'!$F:$F,$A16)))</f>
        <v/>
      </c>
      <c r="W16" s="332" t="str">
        <f>IF(MAXIFS('単価履歴'!$H:$H,'単価履歴'!$E:$E,W$1,'単価履歴'!$F:$F,$A16,'単価履歴'!$B:$B,MAXIFS('単価履歴'!$B:$B,'単価履歴'!$E:$E,W$1,'単価履歴'!$F:$F,$A16))=0,"",MAXIFS('単価履歴'!$H:$H,'単価履歴'!$E:$E,W$1,'単価履歴'!$F:$F,$A16,'単価履歴'!$B:$B,MAXIFS('単価履歴'!$B:$B,'単価履歴'!$E:$E,W$1,'単価履歴'!$F:$F,$A16)))</f>
        <v/>
      </c>
      <c r="X16" s="332" t="str">
        <f>IF(MAXIFS('単価履歴'!$H:$H,'単価履歴'!$E:$E,X$1,'単価履歴'!$F:$F,$A16,'単価履歴'!$B:$B,MAXIFS('単価履歴'!$B:$B,'単価履歴'!$E:$E,X$1,'単価履歴'!$F:$F,$A16))=0,"",MAXIFS('単価履歴'!$H:$H,'単価履歴'!$E:$E,X$1,'単価履歴'!$F:$F,$A16,'単価履歴'!$B:$B,MAXIFS('単価履歴'!$B:$B,'単価履歴'!$E:$E,X$1,'単価履歴'!$F:$F,$A16)))</f>
        <v/>
      </c>
      <c r="Y16" s="332" t="str">
        <f>IF(MAXIFS('単価履歴'!$H:$H,'単価履歴'!$E:$E,Y$1,'単価履歴'!$F:$F,$A16,'単価履歴'!$B:$B,MAXIFS('単価履歴'!$B:$B,'単価履歴'!$E:$E,Y$1,'単価履歴'!$F:$F,$A16))=0,"",MAXIFS('単価履歴'!$H:$H,'単価履歴'!$E:$E,Y$1,'単価履歴'!$F:$F,$A16,'単価履歴'!$B:$B,MAXIFS('単価履歴'!$B:$B,'単価履歴'!$E:$E,Y$1,'単価履歴'!$F:$F,$A16)))</f>
        <v/>
      </c>
      <c r="Z16" s="332" t="str">
        <f>IF(MAXIFS('単価履歴'!$H:$H,'単価履歴'!$E:$E,Z$1,'単価履歴'!$F:$F,$A16,'単価履歴'!$B:$B,MAXIFS('単価履歴'!$B:$B,'単価履歴'!$E:$E,Z$1,'単価履歴'!$F:$F,$A16))=0,"",MAXIFS('単価履歴'!$H:$H,'単価履歴'!$E:$E,Z$1,'単価履歴'!$F:$F,$A16,'単価履歴'!$B:$B,MAXIFS('単価履歴'!$B:$B,'単価履歴'!$E:$E,Z$1,'単価履歴'!$F:$F,$A16)))</f>
        <v/>
      </c>
      <c r="AA16" s="332" t="str">
        <f>IF(MAXIFS('単価履歴'!$H:$H,'単価履歴'!$E:$E,AA$1,'単価履歴'!$F:$F,$A16,'単価履歴'!$B:$B,MAXIFS('単価履歴'!$B:$B,'単価履歴'!$E:$E,AA$1,'単価履歴'!$F:$F,$A16))=0,"",MAXIFS('単価履歴'!$H:$H,'単価履歴'!$E:$E,AA$1,'単価履歴'!$F:$F,$A16,'単価履歴'!$B:$B,MAXIFS('単価履歴'!$B:$B,'単価履歴'!$E:$E,AA$1,'単価履歴'!$F:$F,$A16)))</f>
        <v/>
      </c>
      <c r="AB16" s="332" t="str">
        <f>IF(MAXIFS('単価履歴'!$H:$H,'単価履歴'!$E:$E,AB$1,'単価履歴'!$F:$F,$A16,'単価履歴'!$B:$B,MAXIFS('単価履歴'!$B:$B,'単価履歴'!$E:$E,AB$1,'単価履歴'!$F:$F,$A16))=0,"",MAXIFS('単価履歴'!$H:$H,'単価履歴'!$E:$E,AB$1,'単価履歴'!$F:$F,$A16,'単価履歴'!$B:$B,MAXIFS('単価履歴'!$B:$B,'単価履歴'!$E:$E,AB$1,'単価履歴'!$F:$F,$A16)))</f>
        <v/>
      </c>
      <c r="AC16" s="332" t="str">
        <f>IF(MAXIFS('単価履歴'!$H:$H,'単価履歴'!$E:$E,AC$1,'単価履歴'!$F:$F,$A16,'単価履歴'!$B:$B,MAXIFS('単価履歴'!$B:$B,'単価履歴'!$E:$E,AC$1,'単価履歴'!$F:$F,$A16))=0,"",MAXIFS('単価履歴'!$H:$H,'単価履歴'!$E:$E,AC$1,'単価履歴'!$F:$F,$A16,'単価履歴'!$B:$B,MAXIFS('単価履歴'!$B:$B,'単価履歴'!$E:$E,AC$1,'単価履歴'!$F:$F,$A16)))</f>
        <v/>
      </c>
      <c r="AD16" s="332" t="str">
        <f>IF(MAXIFS('単価履歴'!$H:$H,'単価履歴'!$E:$E,AD$1,'単価履歴'!$F:$F,$A16,'単価履歴'!$B:$B,MAXIFS('単価履歴'!$B:$B,'単価履歴'!$E:$E,AD$1,'単価履歴'!$F:$F,$A16))=0,"",MAXIFS('単価履歴'!$H:$H,'単価履歴'!$E:$E,AD$1,'単価履歴'!$F:$F,$A16,'単価履歴'!$B:$B,MAXIFS('単価履歴'!$B:$B,'単価履歴'!$E:$E,AD$1,'単価履歴'!$F:$F,$A16)))</f>
        <v/>
      </c>
      <c r="AE16" s="332" t="str">
        <f>IF(MAXIFS('単価履歴'!$H:$H,'単価履歴'!$E:$E,AE$1,'単価履歴'!$F:$F,$A16,'単価履歴'!$B:$B,MAXIFS('単価履歴'!$B:$B,'単価履歴'!$E:$E,AE$1,'単価履歴'!$F:$F,$A16))=0,"",MAXIFS('単価履歴'!$H:$H,'単価履歴'!$E:$E,AE$1,'単価履歴'!$F:$F,$A16,'単価履歴'!$B:$B,MAXIFS('単価履歴'!$B:$B,'単価履歴'!$E:$E,AE$1,'単価履歴'!$F:$F,$A16)))</f>
        <v/>
      </c>
      <c r="AF16" s="332" t="str">
        <f>IF(MAXIFS('単価履歴'!$H:$H,'単価履歴'!$E:$E,AF$1,'単価履歴'!$F:$F,$A16,'単価履歴'!$B:$B,MAXIFS('単価履歴'!$B:$B,'単価履歴'!$E:$E,AF$1,'単価履歴'!$F:$F,$A16))=0,"",MAXIFS('単価履歴'!$H:$H,'単価履歴'!$E:$E,AF$1,'単価履歴'!$F:$F,$A16,'単価履歴'!$B:$B,MAXIFS('単価履歴'!$B:$B,'単価履歴'!$E:$E,AF$1,'単価履歴'!$F:$F,$A16)))</f>
        <v/>
      </c>
      <c r="AG16" s="332" t="str">
        <f>IF(MAXIFS('単価履歴'!$H:$H,'単価履歴'!$E:$E,AG$1,'単価履歴'!$F:$F,$A16,'単価履歴'!$B:$B,MAXIFS('単価履歴'!$B:$B,'単価履歴'!$E:$E,AG$1,'単価履歴'!$F:$F,$A16))=0,"",MAXIFS('単価履歴'!$H:$H,'単価履歴'!$E:$E,AG$1,'単価履歴'!$F:$F,$A16,'単価履歴'!$B:$B,MAXIFS('単価履歴'!$B:$B,'単価履歴'!$E:$E,AG$1,'単価履歴'!$F:$F,$A16)))</f>
        <v/>
      </c>
      <c r="AH16" s="332" t="str">
        <f>IF(MAXIFS('単価履歴'!$H:$H,'単価履歴'!$E:$E,AH$1,'単価履歴'!$F:$F,$A16,'単価履歴'!$B:$B,MAXIFS('単価履歴'!$B:$B,'単価履歴'!$E:$E,AH$1,'単価履歴'!$F:$F,$A16))=0,"",MAXIFS('単価履歴'!$H:$H,'単価履歴'!$E:$E,AH$1,'単価履歴'!$F:$F,$A16,'単価履歴'!$B:$B,MAXIFS('単価履歴'!$B:$B,'単価履歴'!$E:$E,AH$1,'単価履歴'!$F:$F,$A16)))</f>
        <v/>
      </c>
      <c r="AI16" s="332" t="str">
        <f>IF(MAXIFS('単価履歴'!$H:$H,'単価履歴'!$E:$E,AI$1,'単価履歴'!$F:$F,$A16,'単価履歴'!$B:$B,MAXIFS('単価履歴'!$B:$B,'単価履歴'!$E:$E,AI$1,'単価履歴'!$F:$F,$A16))=0,"",MAXIFS('単価履歴'!$H:$H,'単価履歴'!$E:$E,AI$1,'単価履歴'!$F:$F,$A16,'単価履歴'!$B:$B,MAXIFS('単価履歴'!$B:$B,'単価履歴'!$E:$E,AI$1,'単価履歴'!$F:$F,$A16)))</f>
        <v/>
      </c>
      <c r="AJ16" s="332" t="str">
        <f>IF(MAXIFS('単価履歴'!$H:$H,'単価履歴'!$E:$E,AJ$1,'単価履歴'!$F:$F,$A16,'単価履歴'!$B:$B,MAXIFS('単価履歴'!$B:$B,'単価履歴'!$E:$E,AJ$1,'単価履歴'!$F:$F,$A16))=0,"",MAXIFS('単価履歴'!$H:$H,'単価履歴'!$E:$E,AJ$1,'単価履歴'!$F:$F,$A16,'単価履歴'!$B:$B,MAXIFS('単価履歴'!$B:$B,'単価履歴'!$E:$E,AJ$1,'単価履歴'!$F:$F,$A16)))</f>
        <v/>
      </c>
      <c r="AK16" s="332" t="str">
        <f>IF(MAXIFS('単価履歴'!$H:$H,'単価履歴'!$E:$E,AK$1,'単価履歴'!$F:$F,$A16,'単価履歴'!$B:$B,MAXIFS('単価履歴'!$B:$B,'単価履歴'!$E:$E,AK$1,'単価履歴'!$F:$F,$A16))=0,"",MAXIFS('単価履歴'!$H:$H,'単価履歴'!$E:$E,AK$1,'単価履歴'!$F:$F,$A16,'単価履歴'!$B:$B,MAXIFS('単価履歴'!$B:$B,'単価履歴'!$E:$E,AK$1,'単価履歴'!$F:$F,$A16)))</f>
        <v/>
      </c>
      <c r="AL16" s="332" t="str">
        <f>IF(MAXIFS('単価履歴'!$H:$H,'単価履歴'!$E:$E,AL$1,'単価履歴'!$F:$F,$A16,'単価履歴'!$B:$B,MAXIFS('単価履歴'!$B:$B,'単価履歴'!$E:$E,AL$1,'単価履歴'!$F:$F,$A16))=0,"",MAXIFS('単価履歴'!$H:$H,'単価履歴'!$E:$E,AL$1,'単価履歴'!$F:$F,$A16,'単価履歴'!$B:$B,MAXIFS('単価履歴'!$B:$B,'単価履歴'!$E:$E,AL$1,'単価履歴'!$F:$F,$A16)))</f>
        <v/>
      </c>
      <c r="AM16" s="332" t="str">
        <f>IF(MAXIFS('単価履歴'!$H:$H,'単価履歴'!$E:$E,AM$1,'単価履歴'!$F:$F,$A16,'単価履歴'!$B:$B,MAXIFS('単価履歴'!$B:$B,'単価履歴'!$E:$E,AM$1,'単価履歴'!$F:$F,$A16))=0,"",MAXIFS('単価履歴'!$H:$H,'単価履歴'!$E:$E,AM$1,'単価履歴'!$F:$F,$A16,'単価履歴'!$B:$B,MAXIFS('単価履歴'!$B:$B,'単価履歴'!$E:$E,AM$1,'単価履歴'!$F:$F,$A16)))</f>
        <v/>
      </c>
      <c r="AN16" s="332">
        <f>IF(MAXIFS('単価履歴'!$H:$H,'単価履歴'!$E:$E,AN$1,'単価履歴'!$F:$F,$A16,'単価履歴'!$B:$B,MAXIFS('単価履歴'!$B:$B,'単価履歴'!$E:$E,AN$1,'単価履歴'!$F:$F,$A16))=0,"",MAXIFS('単価履歴'!$H:$H,'単価履歴'!$E:$E,AN$1,'単価履歴'!$F:$F,$A16,'単価履歴'!$B:$B,MAXIFS('単価履歴'!$B:$B,'単価履歴'!$E:$E,AN$1,'単価履歴'!$F:$F,$A16)))</f>
        <v>45</v>
      </c>
      <c r="AO16" s="332" t="str">
        <f>IF(MAXIFS('単価履歴'!$H:$H,'単価履歴'!$E:$E,AO$1,'単価履歴'!$F:$F,$A16,'単価履歴'!$B:$B,MAXIFS('単価履歴'!$B:$B,'単価履歴'!$E:$E,AO$1,'単価履歴'!$F:$F,$A16))=0,"",MAXIFS('単価履歴'!$H:$H,'単価履歴'!$E:$E,AO$1,'単価履歴'!$F:$F,$A16,'単価履歴'!$B:$B,MAXIFS('単価履歴'!$B:$B,'単価履歴'!$E:$E,AO$1,'単価履歴'!$F:$F,$A16)))</f>
        <v/>
      </c>
      <c r="AP16" s="332" t="str">
        <f>IF(MAXIFS('単価履歴'!$H:$H,'単価履歴'!$E:$E,AP$1,'単価履歴'!$F:$F,$A16,'単価履歴'!$B:$B,MAXIFS('単価履歴'!$B:$B,'単価履歴'!$E:$E,AP$1,'単価履歴'!$F:$F,$A16))=0,"",MAXIFS('単価履歴'!$H:$H,'単価履歴'!$E:$E,AP$1,'単価履歴'!$F:$F,$A16,'単価履歴'!$B:$B,MAXIFS('単価履歴'!$B:$B,'単価履歴'!$E:$E,AP$1,'単価履歴'!$F:$F,$A16)))</f>
        <v/>
      </c>
      <c r="AQ16" s="332" t="str">
        <f>IF(MAXIFS('単価履歴'!$H:$H,'単価履歴'!$E:$E,AQ$1,'単価履歴'!$F:$F,$A16,'単価履歴'!$B:$B,MAXIFS('単価履歴'!$B:$B,'単価履歴'!$E:$E,AQ$1,'単価履歴'!$F:$F,$A16))=0,"",MAXIFS('単価履歴'!$H:$H,'単価履歴'!$E:$E,AQ$1,'単価履歴'!$F:$F,$A16,'単価履歴'!$B:$B,MAXIFS('単価履歴'!$B:$B,'単価履歴'!$E:$E,AQ$1,'単価履歴'!$F:$F,$A16)))</f>
        <v/>
      </c>
      <c r="AR16" s="332" t="str">
        <f>IF(MAXIFS('単価履歴'!$H:$H,'単価履歴'!$E:$E,AR$1,'単価履歴'!$F:$F,$A16,'単価履歴'!$B:$B,MAXIFS('単価履歴'!$B:$B,'単価履歴'!$E:$E,AR$1,'単価履歴'!$F:$F,$A16))=0,"",MAXIFS('単価履歴'!$H:$H,'単価履歴'!$E:$E,AR$1,'単価履歴'!$F:$F,$A16,'単価履歴'!$B:$B,MAXIFS('単価履歴'!$B:$B,'単価履歴'!$E:$E,AR$1,'単価履歴'!$F:$F,$A16)))</f>
        <v/>
      </c>
      <c r="AS16" s="332" t="str">
        <f>IF(MAXIFS('単価履歴'!$H:$H,'単価履歴'!$E:$E,AS$1,'単価履歴'!$F:$F,$A16,'単価履歴'!$B:$B,MAXIFS('単価履歴'!$B:$B,'単価履歴'!$E:$E,AS$1,'単価履歴'!$F:$F,$A16))=0,"",MAXIFS('単価履歴'!$H:$H,'単価履歴'!$E:$E,AS$1,'単価履歴'!$F:$F,$A16,'単価履歴'!$B:$B,MAXIFS('単価履歴'!$B:$B,'単価履歴'!$E:$E,AS$1,'単価履歴'!$F:$F,$A16)))</f>
        <v/>
      </c>
      <c r="AT16" s="332" t="str">
        <f>IF(MAXIFS('単価履歴'!$H:$H,'単価履歴'!$E:$E,AT$1,'単価履歴'!$F:$F,$A16,'単価履歴'!$B:$B,MAXIFS('単価履歴'!$B:$B,'単価履歴'!$E:$E,AT$1,'単価履歴'!$F:$F,$A16))=0,"",MAXIFS('単価履歴'!$H:$H,'単価履歴'!$E:$E,AT$1,'単価履歴'!$F:$F,$A16,'単価履歴'!$B:$B,MAXIFS('単価履歴'!$B:$B,'単価履歴'!$E:$E,AT$1,'単価履歴'!$F:$F,$A16)))</f>
        <v/>
      </c>
      <c r="AU16" s="332" t="str">
        <f>IF(MAXIFS('単価履歴'!$H:$H,'単価履歴'!$E:$E,AU$1,'単価履歴'!$F:$F,$A16,'単価履歴'!$B:$B,MAXIFS('単価履歴'!$B:$B,'単価履歴'!$E:$E,AU$1,'単価履歴'!$F:$F,$A16))=0,"",MAXIFS('単価履歴'!$H:$H,'単価履歴'!$E:$E,AU$1,'単価履歴'!$F:$F,$A16,'単価履歴'!$B:$B,MAXIFS('単価履歴'!$B:$B,'単価履歴'!$E:$E,AU$1,'単価履歴'!$F:$F,$A16)))</f>
        <v/>
      </c>
      <c r="AV16" s="332" t="str">
        <f>IF(MAXIFS('単価履歴'!$H:$H,'単価履歴'!$E:$E,AV$1,'単価履歴'!$F:$F,$A16,'単価履歴'!$B:$B,MAXIFS('単価履歴'!$B:$B,'単価履歴'!$E:$E,AV$1,'単価履歴'!$F:$F,$A16))=0,"",MAXIFS('単価履歴'!$H:$H,'単価履歴'!$E:$E,AV$1,'単価履歴'!$F:$F,$A16,'単価履歴'!$B:$B,MAXIFS('単価履歴'!$B:$B,'単価履歴'!$E:$E,AV$1,'単価履歴'!$F:$F,$A16)))</f>
        <v/>
      </c>
      <c r="AW16" s="332" t="str">
        <f>IF(MAXIFS('単価履歴'!$H:$H,'単価履歴'!$E:$E,AW$1,'単価履歴'!$F:$F,$A16,'単価履歴'!$B:$B,MAXIFS('単価履歴'!$B:$B,'単価履歴'!$E:$E,AW$1,'単価履歴'!$F:$F,$A16))=0,"",MAXIFS('単価履歴'!$H:$H,'単価履歴'!$E:$E,AW$1,'単価履歴'!$F:$F,$A16,'単価履歴'!$B:$B,MAXIFS('単価履歴'!$B:$B,'単価履歴'!$E:$E,AW$1,'単価履歴'!$F:$F,$A16)))</f>
        <v/>
      </c>
      <c r="AX16" s="332" t="str">
        <f>IF(MAXIFS('単価履歴'!$H:$H,'単価履歴'!$E:$E,AX$1,'単価履歴'!$F:$F,$A16,'単価履歴'!$B:$B,MAXIFS('単価履歴'!$B:$B,'単価履歴'!$E:$E,AX$1,'単価履歴'!$F:$F,$A16))=0,"",MAXIFS('単価履歴'!$H:$H,'単価履歴'!$E:$E,AX$1,'単価履歴'!$F:$F,$A16,'単価履歴'!$B:$B,MAXIFS('単価履歴'!$B:$B,'単価履歴'!$E:$E,AX$1,'単価履歴'!$F:$F,$A16)))</f>
        <v/>
      </c>
      <c r="AY16" s="332" t="str">
        <f>IF(MAXIFS('単価履歴'!$H:$H,'単価履歴'!$E:$E,AY$1,'単価履歴'!$F:$F,$A16,'単価履歴'!$B:$B,MAXIFS('単価履歴'!$B:$B,'単価履歴'!$E:$E,AY$1,'単価履歴'!$F:$F,$A16))=0,"",MAXIFS('単価履歴'!$H:$H,'単価履歴'!$E:$E,AY$1,'単価履歴'!$F:$F,$A16,'単価履歴'!$B:$B,MAXIFS('単価履歴'!$B:$B,'単価履歴'!$E:$E,AY$1,'単価履歴'!$F:$F,$A16)))</f>
        <v/>
      </c>
      <c r="AZ16" s="332" t="str">
        <f>IF(MAXIFS('単価履歴'!$H:$H,'単価履歴'!$E:$E,AZ$1,'単価履歴'!$F:$F,$A16,'単価履歴'!$B:$B,MAXIFS('単価履歴'!$B:$B,'単価履歴'!$E:$E,AZ$1,'単価履歴'!$F:$F,$A16))=0,"",MAXIFS('単価履歴'!$H:$H,'単価履歴'!$E:$E,AZ$1,'単価履歴'!$F:$F,$A16,'単価履歴'!$B:$B,MAXIFS('単価履歴'!$B:$B,'単価履歴'!$E:$E,AZ$1,'単価履歴'!$F:$F,$A16)))</f>
        <v/>
      </c>
      <c r="BA16" s="332" t="str">
        <f>IF(MAXIFS('単価履歴'!$H:$H,'単価履歴'!$E:$E,BA$1,'単価履歴'!$F:$F,$A16,'単価履歴'!$B:$B,MAXIFS('単価履歴'!$B:$B,'単価履歴'!$E:$E,BA$1,'単価履歴'!$F:$F,$A16))=0,"",MAXIFS('単価履歴'!$H:$H,'単価履歴'!$E:$E,BA$1,'単価履歴'!$F:$F,$A16,'単価履歴'!$B:$B,MAXIFS('単価履歴'!$B:$B,'単価履歴'!$E:$E,BA$1,'単価履歴'!$F:$F,$A16)))</f>
        <v/>
      </c>
      <c r="BB16" s="332" t="str">
        <f>IF(MAXIFS('単価履歴'!$H:$H,'単価履歴'!$E:$E,BB$1,'単価履歴'!$F:$F,$A16,'単価履歴'!$B:$B,MAXIFS('単価履歴'!$B:$B,'単価履歴'!$E:$E,BB$1,'単価履歴'!$F:$F,$A16))=0,"",MAXIFS('単価履歴'!$H:$H,'単価履歴'!$E:$E,BB$1,'単価履歴'!$F:$F,$A16,'単価履歴'!$B:$B,MAXIFS('単価履歴'!$B:$B,'単価履歴'!$E:$E,BB$1,'単価履歴'!$F:$F,$A16)))</f>
        <v/>
      </c>
      <c r="BC16" s="332" t="str">
        <f>IF(MAXIFS('単価履歴'!$H:$H,'単価履歴'!$E:$E,BC$1,'単価履歴'!$F:$F,$A16,'単価履歴'!$B:$B,MAXIFS('単価履歴'!$B:$B,'単価履歴'!$E:$E,BC$1,'単価履歴'!$F:$F,$A16))=0,"",MAXIFS('単価履歴'!$H:$H,'単価履歴'!$E:$E,BC$1,'単価履歴'!$F:$F,$A16,'単価履歴'!$B:$B,MAXIFS('単価履歴'!$B:$B,'単価履歴'!$E:$E,BC$1,'単価履歴'!$F:$F,$A16)))</f>
        <v/>
      </c>
      <c r="BD16" s="332" t="str">
        <f>IF(MAXIFS('単価履歴'!$H:$H,'単価履歴'!$E:$E,BD$1,'単価履歴'!$F:$F,$A16,'単価履歴'!$B:$B,MAXIFS('単価履歴'!$B:$B,'単価履歴'!$E:$E,BD$1,'単価履歴'!$F:$F,$A16))=0,"",MAXIFS('単価履歴'!$H:$H,'単価履歴'!$E:$E,BD$1,'単価履歴'!$F:$F,$A16,'単価履歴'!$B:$B,MAXIFS('単価履歴'!$B:$B,'単価履歴'!$E:$E,BD$1,'単価履歴'!$F:$F,$A16)))</f>
        <v/>
      </c>
      <c r="BE16" s="332" t="str">
        <f>IF(MAXIFS('単価履歴'!$H:$H,'単価履歴'!$E:$E,BE$1,'単価履歴'!$F:$F,$A16,'単価履歴'!$B:$B,MAXIFS('単価履歴'!$B:$B,'単価履歴'!$E:$E,BE$1,'単価履歴'!$F:$F,$A16))=0,"",MAXIFS('単価履歴'!$H:$H,'単価履歴'!$E:$E,BE$1,'単価履歴'!$F:$F,$A16,'単価履歴'!$B:$B,MAXIFS('単価履歴'!$B:$B,'単価履歴'!$E:$E,BE$1,'単価履歴'!$F:$F,$A16)))</f>
        <v/>
      </c>
      <c r="BF16" s="332" t="str">
        <f>IF(MAXIFS('単価履歴'!$H:$H,'単価履歴'!$E:$E,BF$1,'単価履歴'!$F:$F,$A16,'単価履歴'!$B:$B,MAXIFS('単価履歴'!$B:$B,'単価履歴'!$E:$E,BF$1,'単価履歴'!$F:$F,$A16))=0,"",MAXIFS('単価履歴'!$H:$H,'単価履歴'!$E:$E,BF$1,'単価履歴'!$F:$F,$A16,'単価履歴'!$B:$B,MAXIFS('単価履歴'!$B:$B,'単価履歴'!$E:$E,BF$1,'単価履歴'!$F:$F,$A16)))</f>
        <v/>
      </c>
      <c r="BG16" s="332" t="str">
        <f>IF(MAXIFS('単価履歴'!$H:$H,'単価履歴'!$E:$E,BG$1,'単価履歴'!$F:$F,$A16,'単価履歴'!$B:$B,MAXIFS('単価履歴'!$B:$B,'単価履歴'!$E:$E,BG$1,'単価履歴'!$F:$F,$A16))=0,"",MAXIFS('単価履歴'!$H:$H,'単価履歴'!$E:$E,BG$1,'単価履歴'!$F:$F,$A16,'単価履歴'!$B:$B,MAXIFS('単価履歴'!$B:$B,'単価履歴'!$E:$E,BG$1,'単価履歴'!$F:$F,$A16)))</f>
        <v/>
      </c>
      <c r="BH16" s="332" t="str">
        <f>IF(MAXIFS('単価履歴'!$H:$H,'単価履歴'!$E:$E,BH$1,'単価履歴'!$F:$F,$A16,'単価履歴'!$B:$B,MAXIFS('単価履歴'!$B:$B,'単価履歴'!$E:$E,BH$1,'単価履歴'!$F:$F,$A16))=0,"",MAXIFS('単価履歴'!$H:$H,'単価履歴'!$E:$E,BH$1,'単価履歴'!$F:$F,$A16,'単価履歴'!$B:$B,MAXIFS('単価履歴'!$B:$B,'単価履歴'!$E:$E,BH$1,'単価履歴'!$F:$F,$A16)))</f>
        <v/>
      </c>
      <c r="BI16" s="332" t="str">
        <f>IF(MAXIFS('単価履歴'!$H:$H,'単価履歴'!$E:$E,BI$1,'単価履歴'!$F:$F,$A16,'単価履歴'!$B:$B,MAXIFS('単価履歴'!$B:$B,'単価履歴'!$E:$E,BI$1,'単価履歴'!$F:$F,$A16))=0,"",MAXIFS('単価履歴'!$H:$H,'単価履歴'!$E:$E,BI$1,'単価履歴'!$F:$F,$A16,'単価履歴'!$B:$B,MAXIFS('単価履歴'!$B:$B,'単価履歴'!$E:$E,BI$1,'単価履歴'!$F:$F,$A16)))</f>
        <v/>
      </c>
      <c r="BJ16" s="332" t="str">
        <f>IF(MAXIFS('単価履歴'!$H:$H,'単価履歴'!$E:$E,BJ$1,'単価履歴'!$F:$F,$A16,'単価履歴'!$B:$B,MAXIFS('単価履歴'!$B:$B,'単価履歴'!$E:$E,BJ$1,'単価履歴'!$F:$F,$A16))=0,"",MAXIFS('単価履歴'!$H:$H,'単価履歴'!$E:$E,BJ$1,'単価履歴'!$F:$F,$A16,'単価履歴'!$B:$B,MAXIFS('単価履歴'!$B:$B,'単価履歴'!$E:$E,BJ$1,'単価履歴'!$F:$F,$A16)))</f>
        <v/>
      </c>
      <c r="BK16" s="332" t="str">
        <f>IF(MAXIFS('単価履歴'!$H:$H,'単価履歴'!$E:$E,BK$1,'単価履歴'!$F:$F,$A16,'単価履歴'!$B:$B,MAXIFS('単価履歴'!$B:$B,'単価履歴'!$E:$E,BK$1,'単価履歴'!$F:$F,$A16))=0,"",MAXIFS('単価履歴'!$H:$H,'単価履歴'!$E:$E,BK$1,'単価履歴'!$F:$F,$A16,'単価履歴'!$B:$B,MAXIFS('単価履歴'!$B:$B,'単価履歴'!$E:$E,BK$1,'単価履歴'!$F:$F,$A16)))</f>
        <v/>
      </c>
      <c r="BL16" s="332" t="str">
        <f>IF(MAXIFS('単価履歴'!$H:$H,'単価履歴'!$E:$E,BL$1,'単価履歴'!$F:$F,$A16,'単価履歴'!$B:$B,MAXIFS('単価履歴'!$B:$B,'単価履歴'!$E:$E,BL$1,'単価履歴'!$F:$F,$A16))=0,"",MAXIFS('単価履歴'!$H:$H,'単価履歴'!$E:$E,BL$1,'単価履歴'!$F:$F,$A16,'単価履歴'!$B:$B,MAXIFS('単価履歴'!$B:$B,'単価履歴'!$E:$E,BL$1,'単価履歴'!$F:$F,$A16)))</f>
        <v/>
      </c>
      <c r="BM16" s="332" t="str">
        <f>IF(MAXIFS('単価履歴'!$H:$H,'単価履歴'!$E:$E,BM$1,'単価履歴'!$F:$F,$A16,'単価履歴'!$B:$B,MAXIFS('単価履歴'!$B:$B,'単価履歴'!$E:$E,BM$1,'単価履歴'!$F:$F,$A16))=0,"",MAXIFS('単価履歴'!$H:$H,'単価履歴'!$E:$E,BM$1,'単価履歴'!$F:$F,$A16,'単価履歴'!$B:$B,MAXIFS('単価履歴'!$B:$B,'単価履歴'!$E:$E,BM$1,'単価履歴'!$F:$F,$A16)))</f>
        <v/>
      </c>
      <c r="BN16" s="332">
        <f>IF(MAXIFS('単価履歴'!$H:$H,'単価履歴'!$E:$E,BN$1,'単価履歴'!$F:$F,$A16,'単価履歴'!$B:$B,MAXIFS('単価履歴'!$B:$B,'単価履歴'!$E:$E,BN$1,'単価履歴'!$F:$F,$A16))=0,"",MAXIFS('単価履歴'!$H:$H,'単価履歴'!$E:$E,BN$1,'単価履歴'!$F:$F,$A16,'単価履歴'!$B:$B,MAXIFS('単価履歴'!$B:$B,'単価履歴'!$E:$E,BN$1,'単価履歴'!$F:$F,$A16)))</f>
        <v>36</v>
      </c>
      <c r="BO16" s="332" t="str">
        <f>IF(MAXIFS('単価履歴'!$H:$H,'単価履歴'!$E:$E,BO$1,'単価履歴'!$F:$F,$A16,'単価履歴'!$B:$B,MAXIFS('単価履歴'!$B:$B,'単価履歴'!$E:$E,BO$1,'単価履歴'!$F:$F,$A16))=0,"",MAXIFS('単価履歴'!$H:$H,'単価履歴'!$E:$E,BO$1,'単価履歴'!$F:$F,$A16,'単価履歴'!$B:$B,MAXIFS('単価履歴'!$B:$B,'単価履歴'!$E:$E,BO$1,'単価履歴'!$F:$F,$A16)))</f>
        <v/>
      </c>
      <c r="BP16" s="332" t="str">
        <f>IF(MAXIFS('単価履歴'!$H:$H,'単価履歴'!$E:$E,BP$1,'単価履歴'!$F:$F,$A16,'単価履歴'!$B:$B,MAXIFS('単価履歴'!$B:$B,'単価履歴'!$E:$E,BP$1,'単価履歴'!$F:$F,$A16))=0,"",MAXIFS('単価履歴'!$H:$H,'単価履歴'!$E:$E,BP$1,'単価履歴'!$F:$F,$A16,'単価履歴'!$B:$B,MAXIFS('単価履歴'!$B:$B,'単価履歴'!$E:$E,BP$1,'単価履歴'!$F:$F,$A16)))</f>
        <v/>
      </c>
      <c r="BQ16" s="332" t="str">
        <f>IF(MAXIFS('単価履歴'!$H:$H,'単価履歴'!$E:$E,BQ$1,'単価履歴'!$F:$F,$A16,'単価履歴'!$B:$B,MAXIFS('単価履歴'!$B:$B,'単価履歴'!$E:$E,BQ$1,'単価履歴'!$F:$F,$A16))=0,"",MAXIFS('単価履歴'!$H:$H,'単価履歴'!$E:$E,BQ$1,'単価履歴'!$F:$F,$A16,'単価履歴'!$B:$B,MAXIFS('単価履歴'!$B:$B,'単価履歴'!$E:$E,BQ$1,'単価履歴'!$F:$F,$A16)))</f>
        <v/>
      </c>
      <c r="BR16" s="332" t="str">
        <f>IF(MAXIFS('単価履歴'!$H:$H,'単価履歴'!$E:$E,BR$1,'単価履歴'!$F:$F,$A16,'単価履歴'!$B:$B,MAXIFS('単価履歴'!$B:$B,'単価履歴'!$E:$E,BR$1,'単価履歴'!$F:$F,$A16))=0,"",MAXIFS('単価履歴'!$H:$H,'単価履歴'!$E:$E,BR$1,'単価履歴'!$F:$F,$A16,'単価履歴'!$B:$B,MAXIFS('単価履歴'!$B:$B,'単価履歴'!$E:$E,BR$1,'単価履歴'!$F:$F,$A16)))</f>
        <v/>
      </c>
      <c r="BS16" s="332" t="str">
        <f>IF(MAXIFS('単価履歴'!$H:$H,'単価履歴'!$E:$E,BS$1,'単価履歴'!$F:$F,$A16,'単価履歴'!$B:$B,MAXIFS('単価履歴'!$B:$B,'単価履歴'!$E:$E,BS$1,'単価履歴'!$F:$F,$A16))=0,"",MAXIFS('単価履歴'!$H:$H,'単価履歴'!$E:$E,BS$1,'単価履歴'!$F:$F,$A16,'単価履歴'!$B:$B,MAXIFS('単価履歴'!$B:$B,'単価履歴'!$E:$E,BS$1,'単価履歴'!$F:$F,$A16)))</f>
        <v/>
      </c>
      <c r="BT16" s="332" t="str">
        <f>IF(MAXIFS('単価履歴'!$H:$H,'単価履歴'!$E:$E,BT$1,'単価履歴'!$F:$F,$A16,'単価履歴'!$B:$B,MAXIFS('単価履歴'!$B:$B,'単価履歴'!$E:$E,BT$1,'単価履歴'!$F:$F,$A16))=0,"",MAXIFS('単価履歴'!$H:$H,'単価履歴'!$E:$E,BT$1,'単価履歴'!$F:$F,$A16,'単価履歴'!$B:$B,MAXIFS('単価履歴'!$B:$B,'単価履歴'!$E:$E,BT$1,'単価履歴'!$F:$F,$A16)))</f>
        <v/>
      </c>
      <c r="BU16" s="332" t="str">
        <f>IF(MAXIFS('単価履歴'!$H:$H,'単価履歴'!$E:$E,BU$1,'単価履歴'!$F:$F,$A16,'単価履歴'!$B:$B,MAXIFS('単価履歴'!$B:$B,'単価履歴'!$E:$E,BU$1,'単価履歴'!$F:$F,$A16))=0,"",MAXIFS('単価履歴'!$H:$H,'単価履歴'!$E:$E,BU$1,'単価履歴'!$F:$F,$A16,'単価履歴'!$B:$B,MAXIFS('単価履歴'!$B:$B,'単価履歴'!$E:$E,BU$1,'単価履歴'!$F:$F,$A16)))</f>
        <v/>
      </c>
      <c r="BV16" s="332" t="str">
        <f>IF(MAXIFS('単価履歴'!$H:$H,'単価履歴'!$E:$E,BV$1,'単価履歴'!$F:$F,$A16,'単価履歴'!$B:$B,MAXIFS('単価履歴'!$B:$B,'単価履歴'!$E:$E,BV$1,'単価履歴'!$F:$F,$A16))=0,"",MAXIFS('単価履歴'!$H:$H,'単価履歴'!$E:$E,BV$1,'単価履歴'!$F:$F,$A16,'単価履歴'!$B:$B,MAXIFS('単価履歴'!$B:$B,'単価履歴'!$E:$E,BV$1,'単価履歴'!$F:$F,$A16)))</f>
        <v/>
      </c>
      <c r="BW16" s="332" t="str">
        <f>IF(MAXIFS('単価履歴'!$H:$H,'単価履歴'!$E:$E,BW$1,'単価履歴'!$F:$F,$A16,'単価履歴'!$B:$B,MAXIFS('単価履歴'!$B:$B,'単価履歴'!$E:$E,BW$1,'単価履歴'!$F:$F,$A16))=0,"",MAXIFS('単価履歴'!$H:$H,'単価履歴'!$E:$E,BW$1,'単価履歴'!$F:$F,$A16,'単価履歴'!$B:$B,MAXIFS('単価履歴'!$B:$B,'単価履歴'!$E:$E,BW$1,'単価履歴'!$F:$F,$A16)))</f>
        <v/>
      </c>
      <c r="BX16" s="332" t="str">
        <f>IF(MAXIFS('単価履歴'!$H:$H,'単価履歴'!$E:$E,BX$1,'単価履歴'!$F:$F,$A16,'単価履歴'!$B:$B,MAXIFS('単価履歴'!$B:$B,'単価履歴'!$E:$E,BX$1,'単価履歴'!$F:$F,$A16))=0,"",MAXIFS('単価履歴'!$H:$H,'単価履歴'!$E:$E,BX$1,'単価履歴'!$F:$F,$A16,'単価履歴'!$B:$B,MAXIFS('単価履歴'!$B:$B,'単価履歴'!$E:$E,BX$1,'単価履歴'!$F:$F,$A16)))</f>
        <v/>
      </c>
      <c r="BY16" s="332" t="str">
        <f>IF(MAXIFS('単価履歴'!$H:$H,'単価履歴'!$E:$E,BY$1,'単価履歴'!$F:$F,$A16,'単価履歴'!$B:$B,MAXIFS('単価履歴'!$B:$B,'単価履歴'!$E:$E,BY$1,'単価履歴'!$F:$F,$A16))=0,"",MAXIFS('単価履歴'!$H:$H,'単価履歴'!$E:$E,BY$1,'単価履歴'!$F:$F,$A16,'単価履歴'!$B:$B,MAXIFS('単価履歴'!$B:$B,'単価履歴'!$E:$E,BY$1,'単価履歴'!$F:$F,$A16)))</f>
        <v/>
      </c>
      <c r="BZ16" s="332" t="str">
        <f>IF(MAXIFS('単価履歴'!$H:$H,'単価履歴'!$E:$E,BZ$1,'単価履歴'!$F:$F,$A16,'単価履歴'!$B:$B,MAXIFS('単価履歴'!$B:$B,'単価履歴'!$E:$E,BZ$1,'単価履歴'!$F:$F,$A16))=0,"",MAXIFS('単価履歴'!$H:$H,'単価履歴'!$E:$E,BZ$1,'単価履歴'!$F:$F,$A16,'単価履歴'!$B:$B,MAXIFS('単価履歴'!$B:$B,'単価履歴'!$E:$E,BZ$1,'単価履歴'!$F:$F,$A16)))</f>
        <v/>
      </c>
      <c r="CA16" s="332" t="str">
        <f>IF(MAXIFS('単価履歴'!$H:$H,'単価履歴'!$E:$E,CA$1,'単価履歴'!$F:$F,$A16,'単価履歴'!$B:$B,MAXIFS('単価履歴'!$B:$B,'単価履歴'!$E:$E,CA$1,'単価履歴'!$F:$F,$A16))=0,"",MAXIFS('単価履歴'!$H:$H,'単価履歴'!$E:$E,CA$1,'単価履歴'!$F:$F,$A16,'単価履歴'!$B:$B,MAXIFS('単価履歴'!$B:$B,'単価履歴'!$E:$E,CA$1,'単価履歴'!$F:$F,$A16)))</f>
        <v/>
      </c>
      <c r="CB16" s="332" t="str">
        <f>IF(MAXIFS('単価履歴'!$H:$H,'単価履歴'!$E:$E,CB$1,'単価履歴'!$F:$F,$A16,'単価履歴'!$B:$B,MAXIFS('単価履歴'!$B:$B,'単価履歴'!$E:$E,CB$1,'単価履歴'!$F:$F,$A16))=0,"",MAXIFS('単価履歴'!$H:$H,'単価履歴'!$E:$E,CB$1,'単価履歴'!$F:$F,$A16,'単価履歴'!$B:$B,MAXIFS('単価履歴'!$B:$B,'単価履歴'!$E:$E,CB$1,'単価履歴'!$F:$F,$A16)))</f>
        <v/>
      </c>
      <c r="CC16" s="332" t="str">
        <f>IF(MAXIFS('単価履歴'!$H:$H,'単価履歴'!$E:$E,CC$1,'単価履歴'!$F:$F,$A16,'単価履歴'!$B:$B,MAXIFS('単価履歴'!$B:$B,'単価履歴'!$E:$E,CC$1,'単価履歴'!$F:$F,$A16))=0,"",MAXIFS('単価履歴'!$H:$H,'単価履歴'!$E:$E,CC$1,'単価履歴'!$F:$F,$A16,'単価履歴'!$B:$B,MAXIFS('単価履歴'!$B:$B,'単価履歴'!$E:$E,CC$1,'単価履歴'!$F:$F,$A16)))</f>
        <v/>
      </c>
      <c r="CD16" s="332" t="str">
        <f>IF(MAXIFS('単価履歴'!$H:$H,'単価履歴'!$E:$E,CD$1,'単価履歴'!$F:$F,$A16,'単価履歴'!$B:$B,MAXIFS('単価履歴'!$B:$B,'単価履歴'!$E:$E,CD$1,'単価履歴'!$F:$F,$A16))=0,"",MAXIFS('単価履歴'!$H:$H,'単価履歴'!$E:$E,CD$1,'単価履歴'!$F:$F,$A16,'単価履歴'!$B:$B,MAXIFS('単価履歴'!$B:$B,'単価履歴'!$E:$E,CD$1,'単価履歴'!$F:$F,$A16)))</f>
        <v/>
      </c>
      <c r="CE16" s="332" t="str">
        <f>IF(MAXIFS('単価履歴'!$H:$H,'単価履歴'!$E:$E,CE$1,'単価履歴'!$F:$F,$A16,'単価履歴'!$B:$B,MAXIFS('単価履歴'!$B:$B,'単価履歴'!$E:$E,CE$1,'単価履歴'!$F:$F,$A16))=0,"",MAXIFS('単価履歴'!$H:$H,'単価履歴'!$E:$E,CE$1,'単価履歴'!$F:$F,$A16,'単価履歴'!$B:$B,MAXIFS('単価履歴'!$B:$B,'単価履歴'!$E:$E,CE$1,'単価履歴'!$F:$F,$A16)))</f>
        <v/>
      </c>
      <c r="CF16" s="332" t="str">
        <f>IF(MAXIFS('単価履歴'!$H:$H,'単価履歴'!$E:$E,CF$1,'単価履歴'!$F:$F,$A16,'単価履歴'!$B:$B,MAXIFS('単価履歴'!$B:$B,'単価履歴'!$E:$E,CF$1,'単価履歴'!$F:$F,$A16))=0,"",MAXIFS('単価履歴'!$H:$H,'単価履歴'!$E:$E,CF$1,'単価履歴'!$F:$F,$A16,'単価履歴'!$B:$B,MAXIFS('単価履歴'!$B:$B,'単価履歴'!$E:$E,CF$1,'単価履歴'!$F:$F,$A16)))</f>
        <v/>
      </c>
      <c r="CG16" s="332" t="str">
        <f>IF(MAXIFS('単価履歴'!$H:$H,'単価履歴'!$E:$E,CG$1,'単価履歴'!$F:$F,$A16,'単価履歴'!$B:$B,MAXIFS('単価履歴'!$B:$B,'単価履歴'!$E:$E,CG$1,'単価履歴'!$F:$F,$A16))=0,"",MAXIFS('単価履歴'!$H:$H,'単価履歴'!$E:$E,CG$1,'単価履歴'!$F:$F,$A16,'単価履歴'!$B:$B,MAXIFS('単価履歴'!$B:$B,'単価履歴'!$E:$E,CG$1,'単価履歴'!$F:$F,$A16)))</f>
        <v/>
      </c>
      <c r="CH16" s="332" t="str">
        <f>IF(MAXIFS('単価履歴'!$H:$H,'単価履歴'!$E:$E,CH$1,'単価履歴'!$F:$F,$A16,'単価履歴'!$B:$B,MAXIFS('単価履歴'!$B:$B,'単価履歴'!$E:$E,CH$1,'単価履歴'!$F:$F,$A16))=0,"",MAXIFS('単価履歴'!$H:$H,'単価履歴'!$E:$E,CH$1,'単価履歴'!$F:$F,$A16,'単価履歴'!$B:$B,MAXIFS('単価履歴'!$B:$B,'単価履歴'!$E:$E,CH$1,'単価履歴'!$F:$F,$A16)))</f>
        <v/>
      </c>
    </row>
    <row r="17" ht="15.75" customHeight="1">
      <c r="A17" s="432" t="s">
        <v>145</v>
      </c>
      <c r="B17" s="332">
        <f>MAXIFS('単価履歴'!H:H,'単価履歴'!F:F,A17,'単価履歴'!N:N,"●")</f>
        <v>56.5</v>
      </c>
      <c r="C17" s="332">
        <f>IF(MAXIFS('単価履歴'!$H:$H,'単価履歴'!$E:$E,C$1,'単価履歴'!$F:$F,$A17,'単価履歴'!$B:$B,MAXIFS('単価履歴'!$B:$B,'単価履歴'!$E:$E,C$1,'単価履歴'!$F:$F,$A17))=0,"",MAXIFS('単価履歴'!$H:$H,'単価履歴'!$E:$E,C$1,'単価履歴'!$F:$F,$A17,'単価履歴'!$B:$B,MAXIFS('単価履歴'!$B:$B,'単価履歴'!$E:$E,C$1,'単価履歴'!$F:$F,$A17)))</f>
        <v>54.5</v>
      </c>
      <c r="D17" s="332" t="str">
        <f>IF(MAXIFS('単価履歴'!$H:$H,'単価履歴'!$E:$E,D$1,'単価履歴'!$F:$F,$A17,'単価履歴'!$B:$B,MAXIFS('単価履歴'!$B:$B,'単価履歴'!$E:$E,D$1,'単価履歴'!$F:$F,$A17))=0,"",MAXIFS('単価履歴'!$H:$H,'単価履歴'!$E:$E,D$1,'単価履歴'!$F:$F,$A17,'単価履歴'!$B:$B,MAXIFS('単価履歴'!$B:$B,'単価履歴'!$E:$E,D$1,'単価履歴'!$F:$F,$A17)))</f>
        <v/>
      </c>
      <c r="E17" s="332" t="str">
        <f>IF(MAXIFS('単価履歴'!$H:$H,'単価履歴'!$E:$E,E$1,'単価履歴'!$F:$F,$A17,'単価履歴'!$B:$B,MAXIFS('単価履歴'!$B:$B,'単価履歴'!$E:$E,E$1,'単価履歴'!$F:$F,$A17))=0,"",MAXIFS('単価履歴'!$H:$H,'単価履歴'!$E:$E,E$1,'単価履歴'!$F:$F,$A17,'単価履歴'!$B:$B,MAXIFS('単価履歴'!$B:$B,'単価履歴'!$E:$E,E$1,'単価履歴'!$F:$F,$A17)))</f>
        <v/>
      </c>
      <c r="F17" s="332" t="str">
        <f>IF(MAXIFS('単価履歴'!$H:$H,'単価履歴'!$E:$E,F$1,'単価履歴'!$F:$F,$A17,'単価履歴'!$B:$B,MAXIFS('単価履歴'!$B:$B,'単価履歴'!$E:$E,F$1,'単価履歴'!$F:$F,$A17))=0,"",MAXIFS('単価履歴'!$H:$H,'単価履歴'!$E:$E,F$1,'単価履歴'!$F:$F,$A17,'単価履歴'!$B:$B,MAXIFS('単価履歴'!$B:$B,'単価履歴'!$E:$E,F$1,'単価履歴'!$F:$F,$A17)))</f>
        <v/>
      </c>
      <c r="G17" s="332" t="str">
        <f>IF(MAXIFS('単価履歴'!$H:$H,'単価履歴'!$E:$E,G$1,'単価履歴'!$F:$F,$A17,'単価履歴'!$B:$B,MAXIFS('単価履歴'!$B:$B,'単価履歴'!$E:$E,G$1,'単価履歴'!$F:$F,$A17))=0,"",MAXIFS('単価履歴'!$H:$H,'単価履歴'!$E:$E,G$1,'単価履歴'!$F:$F,$A17,'単価履歴'!$B:$B,MAXIFS('単価履歴'!$B:$B,'単価履歴'!$E:$E,G$1,'単価履歴'!$F:$F,$A17)))</f>
        <v/>
      </c>
      <c r="H17" s="332" t="str">
        <f>IF(MAXIFS('単価履歴'!$H:$H,'単価履歴'!$E:$E,H$1,'単価履歴'!$F:$F,$A17,'単価履歴'!$B:$B,MAXIFS('単価履歴'!$B:$B,'単価履歴'!$E:$E,H$1,'単価履歴'!$F:$F,$A17))=0,"",MAXIFS('単価履歴'!$H:$H,'単価履歴'!$E:$E,H$1,'単価履歴'!$F:$F,$A17,'単価履歴'!$B:$B,MAXIFS('単価履歴'!$B:$B,'単価履歴'!$E:$E,H$1,'単価履歴'!$F:$F,$A17)))</f>
        <v/>
      </c>
      <c r="I17" s="332" t="str">
        <f>IF(MAXIFS('単価履歴'!$H:$H,'単価履歴'!$E:$E,I$1,'単価履歴'!$F:$F,$A17,'単価履歴'!$B:$B,MAXIFS('単価履歴'!$B:$B,'単価履歴'!$E:$E,I$1,'単価履歴'!$F:$F,$A17))=0,"",MAXIFS('単価履歴'!$H:$H,'単価履歴'!$E:$E,I$1,'単価履歴'!$F:$F,$A17,'単価履歴'!$B:$B,MAXIFS('単価履歴'!$B:$B,'単価履歴'!$E:$E,I$1,'単価履歴'!$F:$F,$A17)))</f>
        <v/>
      </c>
      <c r="J17" s="332" t="str">
        <f>IF(MAXIFS('単価履歴'!$H:$H,'単価履歴'!$E:$E,J$1,'単価履歴'!$F:$F,$A17,'単価履歴'!$B:$B,MAXIFS('単価履歴'!$B:$B,'単価履歴'!$E:$E,J$1,'単価履歴'!$F:$F,$A17))=0,"",MAXIFS('単価履歴'!$H:$H,'単価履歴'!$E:$E,J$1,'単価履歴'!$F:$F,$A17,'単価履歴'!$B:$B,MAXIFS('単価履歴'!$B:$B,'単価履歴'!$E:$E,J$1,'単価履歴'!$F:$F,$A17)))</f>
        <v/>
      </c>
      <c r="K17" s="332" t="str">
        <f>IF(MAXIFS('単価履歴'!$H:$H,'単価履歴'!$E:$E,K$1,'単価履歴'!$F:$F,$A17,'単価履歴'!$B:$B,MAXIFS('単価履歴'!$B:$B,'単価履歴'!$E:$E,K$1,'単価履歴'!$F:$F,$A17))=0,"",MAXIFS('単価履歴'!$H:$H,'単価履歴'!$E:$E,K$1,'単価履歴'!$F:$F,$A17,'単価履歴'!$B:$B,MAXIFS('単価履歴'!$B:$B,'単価履歴'!$E:$E,K$1,'単価履歴'!$F:$F,$A17)))</f>
        <v/>
      </c>
      <c r="L17" s="332">
        <f>IF(MAXIFS('単価履歴'!$H:$H,'単価履歴'!$E:$E,L$1,'単価履歴'!$F:$F,$A17,'単価履歴'!$B:$B,MAXIFS('単価履歴'!$B:$B,'単価履歴'!$E:$E,L$1,'単価履歴'!$F:$F,$A17))=0,"",MAXIFS('単価履歴'!$H:$H,'単価履歴'!$E:$E,L$1,'単価履歴'!$F:$F,$A17,'単価履歴'!$B:$B,MAXIFS('単価履歴'!$B:$B,'単価履歴'!$E:$E,L$1,'単価履歴'!$F:$F,$A17)))</f>
        <v>40</v>
      </c>
      <c r="M17" s="332">
        <f>IF(MAXIFS('単価履歴'!$H:$H,'単価履歴'!$E:$E,M$1,'単価履歴'!$F:$F,$A17,'単価履歴'!$B:$B,MAXIFS('単価履歴'!$B:$B,'単価履歴'!$E:$E,M$1,'単価履歴'!$F:$F,$A17))=0,"",MAXIFS('単価履歴'!$H:$H,'単価履歴'!$E:$E,M$1,'単価履歴'!$F:$F,$A17,'単価履歴'!$B:$B,MAXIFS('単価履歴'!$B:$B,'単価履歴'!$E:$E,M$1,'単価履歴'!$F:$F,$A17)))</f>
        <v>39.7</v>
      </c>
      <c r="N17" s="332">
        <f>IF(MAXIFS('単価履歴'!$H:$H,'単価履歴'!$E:$E,N$1,'単価履歴'!$F:$F,$A17,'単価履歴'!$B:$B,MAXIFS('単価履歴'!$B:$B,'単価履歴'!$E:$E,N$1,'単価履歴'!$F:$F,$A17))=0,"",MAXIFS('単価履歴'!$H:$H,'単価履歴'!$E:$E,N$1,'単価履歴'!$F:$F,$A17,'単価履歴'!$B:$B,MAXIFS('単価履歴'!$B:$B,'単価履歴'!$E:$E,N$1,'単価履歴'!$F:$F,$A17)))</f>
        <v>-3</v>
      </c>
      <c r="O17" s="332">
        <f>IF(MAXIFS('単価履歴'!$H:$H,'単価履歴'!$E:$E,O$1,'単価履歴'!$F:$F,$A17,'単価履歴'!$B:$B,MAXIFS('単価履歴'!$B:$B,'単価履歴'!$E:$E,O$1,'単価履歴'!$F:$F,$A17))=0,"",MAXIFS('単価履歴'!$H:$H,'単価履歴'!$E:$E,O$1,'単価履歴'!$F:$F,$A17,'単価履歴'!$B:$B,MAXIFS('単価履歴'!$B:$B,'単価履歴'!$E:$E,O$1,'単価履歴'!$F:$F,$A17)))</f>
        <v>-3</v>
      </c>
      <c r="P17" s="332" t="str">
        <f>IF(MAXIFS('単価履歴'!$H:$H,'単価履歴'!$E:$E,P$1,'単価履歴'!$F:$F,$A17,'単価履歴'!$B:$B,MAXIFS('単価履歴'!$B:$B,'単価履歴'!$E:$E,P$1,'単価履歴'!$F:$F,$A17))=0,"",MAXIFS('単価履歴'!$H:$H,'単価履歴'!$E:$E,P$1,'単価履歴'!$F:$F,$A17,'単価履歴'!$B:$B,MAXIFS('単価履歴'!$B:$B,'単価履歴'!$E:$E,P$1,'単価履歴'!$F:$F,$A17)))</f>
        <v/>
      </c>
      <c r="Q17" s="332" t="str">
        <f>IF(MAXIFS('単価履歴'!$H:$H,'単価履歴'!$E:$E,Q$1,'単価履歴'!$F:$F,$A17,'単価履歴'!$B:$B,MAXIFS('単価履歴'!$B:$B,'単価履歴'!$E:$E,Q$1,'単価履歴'!$F:$F,$A17))=0,"",MAXIFS('単価履歴'!$H:$H,'単価履歴'!$E:$E,Q$1,'単価履歴'!$F:$F,$A17,'単価履歴'!$B:$B,MAXIFS('単価履歴'!$B:$B,'単価履歴'!$E:$E,Q$1,'単価履歴'!$F:$F,$A17)))</f>
        <v/>
      </c>
      <c r="R17" s="332" t="str">
        <f>IF(MAXIFS('単価履歴'!$H:$H,'単価履歴'!$E:$E,R$1,'単価履歴'!$F:$F,$A17,'単価履歴'!$B:$B,MAXIFS('単価履歴'!$B:$B,'単価履歴'!$E:$E,R$1,'単価履歴'!$F:$F,$A17))=0,"",MAXIFS('単価履歴'!$H:$H,'単価履歴'!$E:$E,R$1,'単価履歴'!$F:$F,$A17,'単価履歴'!$B:$B,MAXIFS('単価履歴'!$B:$B,'単価履歴'!$E:$E,R$1,'単価履歴'!$F:$F,$A17)))</f>
        <v/>
      </c>
      <c r="S17" s="332" t="str">
        <f>IF(MAXIFS('単価履歴'!$H:$H,'単価履歴'!$E:$E,S$1,'単価履歴'!$F:$F,$A17,'単価履歴'!$B:$B,MAXIFS('単価履歴'!$B:$B,'単価履歴'!$E:$E,S$1,'単価履歴'!$F:$F,$A17))=0,"",MAXIFS('単価履歴'!$H:$H,'単価履歴'!$E:$E,S$1,'単価履歴'!$F:$F,$A17,'単価履歴'!$B:$B,MAXIFS('単価履歴'!$B:$B,'単価履歴'!$E:$E,S$1,'単価履歴'!$F:$F,$A17)))</f>
        <v/>
      </c>
      <c r="T17" s="332" t="str">
        <f>IF(MAXIFS('単価履歴'!$H:$H,'単価履歴'!$E:$E,T$1,'単価履歴'!$F:$F,$A17,'単価履歴'!$B:$B,MAXIFS('単価履歴'!$B:$B,'単価履歴'!$E:$E,T$1,'単価履歴'!$F:$F,$A17))=0,"",MAXIFS('単価履歴'!$H:$H,'単価履歴'!$E:$E,T$1,'単価履歴'!$F:$F,$A17,'単価履歴'!$B:$B,MAXIFS('単価履歴'!$B:$B,'単価履歴'!$E:$E,T$1,'単価履歴'!$F:$F,$A17)))</f>
        <v/>
      </c>
      <c r="U17" s="332" t="str">
        <f>IF(MAXIFS('単価履歴'!$H:$H,'単価履歴'!$E:$E,U$1,'単価履歴'!$F:$F,$A17,'単価履歴'!$B:$B,MAXIFS('単価履歴'!$B:$B,'単価履歴'!$E:$E,U$1,'単価履歴'!$F:$F,$A17))=0,"",MAXIFS('単価履歴'!$H:$H,'単価履歴'!$E:$E,U$1,'単価履歴'!$F:$F,$A17,'単価履歴'!$B:$B,MAXIFS('単価履歴'!$B:$B,'単価履歴'!$E:$E,U$1,'単価履歴'!$F:$F,$A17)))</f>
        <v/>
      </c>
      <c r="V17" s="332" t="str">
        <f>IF(MAXIFS('単価履歴'!$H:$H,'単価履歴'!$E:$E,V$1,'単価履歴'!$F:$F,$A17,'単価履歴'!$B:$B,MAXIFS('単価履歴'!$B:$B,'単価履歴'!$E:$E,V$1,'単価履歴'!$F:$F,$A17))=0,"",MAXIFS('単価履歴'!$H:$H,'単価履歴'!$E:$E,V$1,'単価履歴'!$F:$F,$A17,'単価履歴'!$B:$B,MAXIFS('単価履歴'!$B:$B,'単価履歴'!$E:$E,V$1,'単価履歴'!$F:$F,$A17)))</f>
        <v/>
      </c>
      <c r="W17" s="332" t="str">
        <f>IF(MAXIFS('単価履歴'!$H:$H,'単価履歴'!$E:$E,W$1,'単価履歴'!$F:$F,$A17,'単価履歴'!$B:$B,MAXIFS('単価履歴'!$B:$B,'単価履歴'!$E:$E,W$1,'単価履歴'!$F:$F,$A17))=0,"",MAXIFS('単価履歴'!$H:$H,'単価履歴'!$E:$E,W$1,'単価履歴'!$F:$F,$A17,'単価履歴'!$B:$B,MAXIFS('単価履歴'!$B:$B,'単価履歴'!$E:$E,W$1,'単価履歴'!$F:$F,$A17)))</f>
        <v/>
      </c>
      <c r="X17" s="332" t="str">
        <f>IF(MAXIFS('単価履歴'!$H:$H,'単価履歴'!$E:$E,X$1,'単価履歴'!$F:$F,$A17,'単価履歴'!$B:$B,MAXIFS('単価履歴'!$B:$B,'単価履歴'!$E:$E,X$1,'単価履歴'!$F:$F,$A17))=0,"",MAXIFS('単価履歴'!$H:$H,'単価履歴'!$E:$E,X$1,'単価履歴'!$F:$F,$A17,'単価履歴'!$B:$B,MAXIFS('単価履歴'!$B:$B,'単価履歴'!$E:$E,X$1,'単価履歴'!$F:$F,$A17)))</f>
        <v/>
      </c>
      <c r="Y17" s="332" t="str">
        <f>IF(MAXIFS('単価履歴'!$H:$H,'単価履歴'!$E:$E,Y$1,'単価履歴'!$F:$F,$A17,'単価履歴'!$B:$B,MAXIFS('単価履歴'!$B:$B,'単価履歴'!$E:$E,Y$1,'単価履歴'!$F:$F,$A17))=0,"",MAXIFS('単価履歴'!$H:$H,'単価履歴'!$E:$E,Y$1,'単価履歴'!$F:$F,$A17,'単価履歴'!$B:$B,MAXIFS('単価履歴'!$B:$B,'単価履歴'!$E:$E,Y$1,'単価履歴'!$F:$F,$A17)))</f>
        <v/>
      </c>
      <c r="Z17" s="332" t="str">
        <f>IF(MAXIFS('単価履歴'!$H:$H,'単価履歴'!$E:$E,Z$1,'単価履歴'!$F:$F,$A17,'単価履歴'!$B:$B,MAXIFS('単価履歴'!$B:$B,'単価履歴'!$E:$E,Z$1,'単価履歴'!$F:$F,$A17))=0,"",MAXIFS('単価履歴'!$H:$H,'単価履歴'!$E:$E,Z$1,'単価履歴'!$F:$F,$A17,'単価履歴'!$B:$B,MAXIFS('単価履歴'!$B:$B,'単価履歴'!$E:$E,Z$1,'単価履歴'!$F:$F,$A17)))</f>
        <v/>
      </c>
      <c r="AA17" s="332">
        <f>IF(MAXIFS('単価履歴'!$H:$H,'単価履歴'!$E:$E,AA$1,'単価履歴'!$F:$F,$A17,'単価履歴'!$B:$B,MAXIFS('単価履歴'!$B:$B,'単価履歴'!$E:$E,AA$1,'単価履歴'!$F:$F,$A17))=0,"",MAXIFS('単価履歴'!$H:$H,'単価履歴'!$E:$E,AA$1,'単価履歴'!$F:$F,$A17,'単価履歴'!$B:$B,MAXIFS('単価履歴'!$B:$B,'単価履歴'!$E:$E,AA$1,'単価履歴'!$F:$F,$A17)))</f>
        <v>44</v>
      </c>
      <c r="AB17" s="332" t="str">
        <f>IF(MAXIFS('単価履歴'!$H:$H,'単価履歴'!$E:$E,AB$1,'単価履歴'!$F:$F,$A17,'単価履歴'!$B:$B,MAXIFS('単価履歴'!$B:$B,'単価履歴'!$E:$E,AB$1,'単価履歴'!$F:$F,$A17))=0,"",MAXIFS('単価履歴'!$H:$H,'単価履歴'!$E:$E,AB$1,'単価履歴'!$F:$F,$A17,'単価履歴'!$B:$B,MAXIFS('単価履歴'!$B:$B,'単価履歴'!$E:$E,AB$1,'単価履歴'!$F:$F,$A17)))</f>
        <v/>
      </c>
      <c r="AC17" s="332" t="str">
        <f>IF(MAXIFS('単価履歴'!$H:$H,'単価履歴'!$E:$E,AC$1,'単価履歴'!$F:$F,$A17,'単価履歴'!$B:$B,MAXIFS('単価履歴'!$B:$B,'単価履歴'!$E:$E,AC$1,'単価履歴'!$F:$F,$A17))=0,"",MAXIFS('単価履歴'!$H:$H,'単価履歴'!$E:$E,AC$1,'単価履歴'!$F:$F,$A17,'単価履歴'!$B:$B,MAXIFS('単価履歴'!$B:$B,'単価履歴'!$E:$E,AC$1,'単価履歴'!$F:$F,$A17)))</f>
        <v/>
      </c>
      <c r="AD17" s="332">
        <f>IF(MAXIFS('単価履歴'!$H:$H,'単価履歴'!$E:$E,AD$1,'単価履歴'!$F:$F,$A17,'単価履歴'!$B:$B,MAXIFS('単価履歴'!$B:$B,'単価履歴'!$E:$E,AD$1,'単価履歴'!$F:$F,$A17))=0,"",MAXIFS('単価履歴'!$H:$H,'単価履歴'!$E:$E,AD$1,'単価履歴'!$F:$F,$A17,'単価履歴'!$B:$B,MAXIFS('単価履歴'!$B:$B,'単価履歴'!$E:$E,AD$1,'単価履歴'!$F:$F,$A17)))</f>
        <v>45</v>
      </c>
      <c r="AE17" s="332" t="str">
        <f>IF(MAXIFS('単価履歴'!$H:$H,'単価履歴'!$E:$E,AE$1,'単価履歴'!$F:$F,$A17,'単価履歴'!$B:$B,MAXIFS('単価履歴'!$B:$B,'単価履歴'!$E:$E,AE$1,'単価履歴'!$F:$F,$A17))=0,"",MAXIFS('単価履歴'!$H:$H,'単価履歴'!$E:$E,AE$1,'単価履歴'!$F:$F,$A17,'単価履歴'!$B:$B,MAXIFS('単価履歴'!$B:$B,'単価履歴'!$E:$E,AE$1,'単価履歴'!$F:$F,$A17)))</f>
        <v/>
      </c>
      <c r="AF17" s="332" t="str">
        <f>IF(MAXIFS('単価履歴'!$H:$H,'単価履歴'!$E:$E,AF$1,'単価履歴'!$F:$F,$A17,'単価履歴'!$B:$B,MAXIFS('単価履歴'!$B:$B,'単価履歴'!$E:$E,AF$1,'単価履歴'!$F:$F,$A17))=0,"",MAXIFS('単価履歴'!$H:$H,'単価履歴'!$E:$E,AF$1,'単価履歴'!$F:$F,$A17,'単価履歴'!$B:$B,MAXIFS('単価履歴'!$B:$B,'単価履歴'!$E:$E,AF$1,'単価履歴'!$F:$F,$A17)))</f>
        <v/>
      </c>
      <c r="AG17" s="332" t="str">
        <f>IF(MAXIFS('単価履歴'!$H:$H,'単価履歴'!$E:$E,AG$1,'単価履歴'!$F:$F,$A17,'単価履歴'!$B:$B,MAXIFS('単価履歴'!$B:$B,'単価履歴'!$E:$E,AG$1,'単価履歴'!$F:$F,$A17))=0,"",MAXIFS('単価履歴'!$H:$H,'単価履歴'!$E:$E,AG$1,'単価履歴'!$F:$F,$A17,'単価履歴'!$B:$B,MAXIFS('単価履歴'!$B:$B,'単価履歴'!$E:$E,AG$1,'単価履歴'!$F:$F,$A17)))</f>
        <v/>
      </c>
      <c r="AH17" s="332" t="str">
        <f>IF(MAXIFS('単価履歴'!$H:$H,'単価履歴'!$E:$E,AH$1,'単価履歴'!$F:$F,$A17,'単価履歴'!$B:$B,MAXIFS('単価履歴'!$B:$B,'単価履歴'!$E:$E,AH$1,'単価履歴'!$F:$F,$A17))=0,"",MAXIFS('単価履歴'!$H:$H,'単価履歴'!$E:$E,AH$1,'単価履歴'!$F:$F,$A17,'単価履歴'!$B:$B,MAXIFS('単価履歴'!$B:$B,'単価履歴'!$E:$E,AH$1,'単価履歴'!$F:$F,$A17)))</f>
        <v/>
      </c>
      <c r="AI17" s="332" t="str">
        <f>IF(MAXIFS('単価履歴'!$H:$H,'単価履歴'!$E:$E,AI$1,'単価履歴'!$F:$F,$A17,'単価履歴'!$B:$B,MAXIFS('単価履歴'!$B:$B,'単価履歴'!$E:$E,AI$1,'単価履歴'!$F:$F,$A17))=0,"",MAXIFS('単価履歴'!$H:$H,'単価履歴'!$E:$E,AI$1,'単価履歴'!$F:$F,$A17,'単価履歴'!$B:$B,MAXIFS('単価履歴'!$B:$B,'単価履歴'!$E:$E,AI$1,'単価履歴'!$F:$F,$A17)))</f>
        <v/>
      </c>
      <c r="AJ17" s="332" t="str">
        <f>IF(MAXIFS('単価履歴'!$H:$H,'単価履歴'!$E:$E,AJ$1,'単価履歴'!$F:$F,$A17,'単価履歴'!$B:$B,MAXIFS('単価履歴'!$B:$B,'単価履歴'!$E:$E,AJ$1,'単価履歴'!$F:$F,$A17))=0,"",MAXIFS('単価履歴'!$H:$H,'単価履歴'!$E:$E,AJ$1,'単価履歴'!$F:$F,$A17,'単価履歴'!$B:$B,MAXIFS('単価履歴'!$B:$B,'単価履歴'!$E:$E,AJ$1,'単価履歴'!$F:$F,$A17)))</f>
        <v/>
      </c>
      <c r="AK17" s="332" t="str">
        <f>IF(MAXIFS('単価履歴'!$H:$H,'単価履歴'!$E:$E,AK$1,'単価履歴'!$F:$F,$A17,'単価履歴'!$B:$B,MAXIFS('単価履歴'!$B:$B,'単価履歴'!$E:$E,AK$1,'単価履歴'!$F:$F,$A17))=0,"",MAXIFS('単価履歴'!$H:$H,'単価履歴'!$E:$E,AK$1,'単価履歴'!$F:$F,$A17,'単価履歴'!$B:$B,MAXIFS('単価履歴'!$B:$B,'単価履歴'!$E:$E,AK$1,'単価履歴'!$F:$F,$A17)))</f>
        <v/>
      </c>
      <c r="AL17" s="332" t="str">
        <f>IF(MAXIFS('単価履歴'!$H:$H,'単価履歴'!$E:$E,AL$1,'単価履歴'!$F:$F,$A17,'単価履歴'!$B:$B,MAXIFS('単価履歴'!$B:$B,'単価履歴'!$E:$E,AL$1,'単価履歴'!$F:$F,$A17))=0,"",MAXIFS('単価履歴'!$H:$H,'単価履歴'!$E:$E,AL$1,'単価履歴'!$F:$F,$A17,'単価履歴'!$B:$B,MAXIFS('単価履歴'!$B:$B,'単価履歴'!$E:$E,AL$1,'単価履歴'!$F:$F,$A17)))</f>
        <v/>
      </c>
      <c r="AM17" s="332" t="str">
        <f>IF(MAXIFS('単価履歴'!$H:$H,'単価履歴'!$E:$E,AM$1,'単価履歴'!$F:$F,$A17,'単価履歴'!$B:$B,MAXIFS('単価履歴'!$B:$B,'単価履歴'!$E:$E,AM$1,'単価履歴'!$F:$F,$A17))=0,"",MAXIFS('単価履歴'!$H:$H,'単価履歴'!$E:$E,AM$1,'単価履歴'!$F:$F,$A17,'単価履歴'!$B:$B,MAXIFS('単価履歴'!$B:$B,'単価履歴'!$E:$E,AM$1,'単価履歴'!$F:$F,$A17)))</f>
        <v/>
      </c>
      <c r="AN17" s="332">
        <f>IF(MAXIFS('単価履歴'!$H:$H,'単価履歴'!$E:$E,AN$1,'単価履歴'!$F:$F,$A17,'単価履歴'!$B:$B,MAXIFS('単価履歴'!$B:$B,'単価履歴'!$E:$E,AN$1,'単価履歴'!$F:$F,$A17))=0,"",MAXIFS('単価履歴'!$H:$H,'単価履歴'!$E:$E,AN$1,'単価履歴'!$F:$F,$A17,'単価履歴'!$B:$B,MAXIFS('単価履歴'!$B:$B,'単価履歴'!$E:$E,AN$1,'単価履歴'!$F:$F,$A17)))</f>
        <v>53.5</v>
      </c>
      <c r="AO17" s="332">
        <f>IF(MAXIFS('単価履歴'!$H:$H,'単価履歴'!$E:$E,AO$1,'単価履歴'!$F:$F,$A17,'単価履歴'!$B:$B,MAXIFS('単価履歴'!$B:$B,'単価履歴'!$E:$E,AO$1,'単価履歴'!$F:$F,$A17))=0,"",MAXIFS('単価履歴'!$H:$H,'単価履歴'!$E:$E,AO$1,'単価履歴'!$F:$F,$A17,'単価履歴'!$B:$B,MAXIFS('単価履歴'!$B:$B,'単価履歴'!$E:$E,AO$1,'単価履歴'!$F:$F,$A17)))</f>
        <v>42</v>
      </c>
      <c r="AP17" s="332" t="str">
        <f>IF(MAXIFS('単価履歴'!$H:$H,'単価履歴'!$E:$E,AP$1,'単価履歴'!$F:$F,$A17,'単価履歴'!$B:$B,MAXIFS('単価履歴'!$B:$B,'単価履歴'!$E:$E,AP$1,'単価履歴'!$F:$F,$A17))=0,"",MAXIFS('単価履歴'!$H:$H,'単価履歴'!$E:$E,AP$1,'単価履歴'!$F:$F,$A17,'単価履歴'!$B:$B,MAXIFS('単価履歴'!$B:$B,'単価履歴'!$E:$E,AP$1,'単価履歴'!$F:$F,$A17)))</f>
        <v/>
      </c>
      <c r="AQ17" s="332" t="str">
        <f>IF(MAXIFS('単価履歴'!$H:$H,'単価履歴'!$E:$E,AQ$1,'単価履歴'!$F:$F,$A17,'単価履歴'!$B:$B,MAXIFS('単価履歴'!$B:$B,'単価履歴'!$E:$E,AQ$1,'単価履歴'!$F:$F,$A17))=0,"",MAXIFS('単価履歴'!$H:$H,'単価履歴'!$E:$E,AQ$1,'単価履歴'!$F:$F,$A17,'単価履歴'!$B:$B,MAXIFS('単価履歴'!$B:$B,'単価履歴'!$E:$E,AQ$1,'単価履歴'!$F:$F,$A17)))</f>
        <v/>
      </c>
      <c r="AR17" s="332" t="str">
        <f>IF(MAXIFS('単価履歴'!$H:$H,'単価履歴'!$E:$E,AR$1,'単価履歴'!$F:$F,$A17,'単価履歴'!$B:$B,MAXIFS('単価履歴'!$B:$B,'単価履歴'!$E:$E,AR$1,'単価履歴'!$F:$F,$A17))=0,"",MAXIFS('単価履歴'!$H:$H,'単価履歴'!$E:$E,AR$1,'単価履歴'!$F:$F,$A17,'単価履歴'!$B:$B,MAXIFS('単価履歴'!$B:$B,'単価履歴'!$E:$E,AR$1,'単価履歴'!$F:$F,$A17)))</f>
        <v/>
      </c>
      <c r="AS17" s="332" t="str">
        <f>IF(MAXIFS('単価履歴'!$H:$H,'単価履歴'!$E:$E,AS$1,'単価履歴'!$F:$F,$A17,'単価履歴'!$B:$B,MAXIFS('単価履歴'!$B:$B,'単価履歴'!$E:$E,AS$1,'単価履歴'!$F:$F,$A17))=0,"",MAXIFS('単価履歴'!$H:$H,'単価履歴'!$E:$E,AS$1,'単価履歴'!$F:$F,$A17,'単価履歴'!$B:$B,MAXIFS('単価履歴'!$B:$B,'単価履歴'!$E:$E,AS$1,'単価履歴'!$F:$F,$A17)))</f>
        <v/>
      </c>
      <c r="AT17" s="332" t="str">
        <f>IF(MAXIFS('単価履歴'!$H:$H,'単価履歴'!$E:$E,AT$1,'単価履歴'!$F:$F,$A17,'単価履歴'!$B:$B,MAXIFS('単価履歴'!$B:$B,'単価履歴'!$E:$E,AT$1,'単価履歴'!$F:$F,$A17))=0,"",MAXIFS('単価履歴'!$H:$H,'単価履歴'!$E:$E,AT$1,'単価履歴'!$F:$F,$A17,'単価履歴'!$B:$B,MAXIFS('単価履歴'!$B:$B,'単価履歴'!$E:$E,AT$1,'単価履歴'!$F:$F,$A17)))</f>
        <v/>
      </c>
      <c r="AU17" s="332" t="str">
        <f>IF(MAXIFS('単価履歴'!$H:$H,'単価履歴'!$E:$E,AU$1,'単価履歴'!$F:$F,$A17,'単価履歴'!$B:$B,MAXIFS('単価履歴'!$B:$B,'単価履歴'!$E:$E,AU$1,'単価履歴'!$F:$F,$A17))=0,"",MAXIFS('単価履歴'!$H:$H,'単価履歴'!$E:$E,AU$1,'単価履歴'!$F:$F,$A17,'単価履歴'!$B:$B,MAXIFS('単価履歴'!$B:$B,'単価履歴'!$E:$E,AU$1,'単価履歴'!$F:$F,$A17)))</f>
        <v/>
      </c>
      <c r="AV17" s="332" t="str">
        <f>IF(MAXIFS('単価履歴'!$H:$H,'単価履歴'!$E:$E,AV$1,'単価履歴'!$F:$F,$A17,'単価履歴'!$B:$B,MAXIFS('単価履歴'!$B:$B,'単価履歴'!$E:$E,AV$1,'単価履歴'!$F:$F,$A17))=0,"",MAXIFS('単価履歴'!$H:$H,'単価履歴'!$E:$E,AV$1,'単価履歴'!$F:$F,$A17,'単価履歴'!$B:$B,MAXIFS('単価履歴'!$B:$B,'単価履歴'!$E:$E,AV$1,'単価履歴'!$F:$F,$A17)))</f>
        <v/>
      </c>
      <c r="AW17" s="332">
        <f>IF(MAXIFS('単価履歴'!$H:$H,'単価履歴'!$E:$E,AW$1,'単価履歴'!$F:$F,$A17,'単価履歴'!$B:$B,MAXIFS('単価履歴'!$B:$B,'単価履歴'!$E:$E,AW$1,'単価履歴'!$F:$F,$A17))=0,"",MAXIFS('単価履歴'!$H:$H,'単価履歴'!$E:$E,AW$1,'単価履歴'!$F:$F,$A17,'単価履歴'!$B:$B,MAXIFS('単価履歴'!$B:$B,'単価履歴'!$E:$E,AW$1,'単価履歴'!$F:$F,$A17)))</f>
        <v>54</v>
      </c>
      <c r="AX17" s="332">
        <f>IF(MAXIFS('単価履歴'!$H:$H,'単価履歴'!$E:$E,AX$1,'単価履歴'!$F:$F,$A17,'単価履歴'!$B:$B,MAXIFS('単価履歴'!$B:$B,'単価履歴'!$E:$E,AX$1,'単価履歴'!$F:$F,$A17))=0,"",MAXIFS('単価履歴'!$H:$H,'単価履歴'!$E:$E,AX$1,'単価履歴'!$F:$F,$A17,'単価履歴'!$B:$B,MAXIFS('単価履歴'!$B:$B,'単価履歴'!$E:$E,AX$1,'単価履歴'!$F:$F,$A17)))</f>
        <v>54</v>
      </c>
      <c r="AY17" s="332">
        <f>IF(MAXIFS('単価履歴'!$H:$H,'単価履歴'!$E:$E,AY$1,'単価履歴'!$F:$F,$A17,'単価履歴'!$B:$B,MAXIFS('単価履歴'!$B:$B,'単価履歴'!$E:$E,AY$1,'単価履歴'!$F:$F,$A17))=0,"",MAXIFS('単価履歴'!$H:$H,'単価履歴'!$E:$E,AY$1,'単価履歴'!$F:$F,$A17,'単価履歴'!$B:$B,MAXIFS('単価履歴'!$B:$B,'単価履歴'!$E:$E,AY$1,'単価履歴'!$F:$F,$A17)))</f>
        <v>56.5</v>
      </c>
      <c r="AZ17" s="332" t="str">
        <f>IF(MAXIFS('単価履歴'!$H:$H,'単価履歴'!$E:$E,AZ$1,'単価履歴'!$F:$F,$A17,'単価履歴'!$B:$B,MAXIFS('単価履歴'!$B:$B,'単価履歴'!$E:$E,AZ$1,'単価履歴'!$F:$F,$A17))=0,"",MAXIFS('単価履歴'!$H:$H,'単価履歴'!$E:$E,AZ$1,'単価履歴'!$F:$F,$A17,'単価履歴'!$B:$B,MAXIFS('単価履歴'!$B:$B,'単価履歴'!$E:$E,AZ$1,'単価履歴'!$F:$F,$A17)))</f>
        <v/>
      </c>
      <c r="BA17" s="332" t="str">
        <f>IF(MAXIFS('単価履歴'!$H:$H,'単価履歴'!$E:$E,BA$1,'単価履歴'!$F:$F,$A17,'単価履歴'!$B:$B,MAXIFS('単価履歴'!$B:$B,'単価履歴'!$E:$E,BA$1,'単価履歴'!$F:$F,$A17))=0,"",MAXIFS('単価履歴'!$H:$H,'単価履歴'!$E:$E,BA$1,'単価履歴'!$F:$F,$A17,'単価履歴'!$B:$B,MAXIFS('単価履歴'!$B:$B,'単価履歴'!$E:$E,BA$1,'単価履歴'!$F:$F,$A17)))</f>
        <v/>
      </c>
      <c r="BB17" s="332" t="str">
        <f>IF(MAXIFS('単価履歴'!$H:$H,'単価履歴'!$E:$E,BB$1,'単価履歴'!$F:$F,$A17,'単価履歴'!$B:$B,MAXIFS('単価履歴'!$B:$B,'単価履歴'!$E:$E,BB$1,'単価履歴'!$F:$F,$A17))=0,"",MAXIFS('単価履歴'!$H:$H,'単価履歴'!$E:$E,BB$1,'単価履歴'!$F:$F,$A17,'単価履歴'!$B:$B,MAXIFS('単価履歴'!$B:$B,'単価履歴'!$E:$E,BB$1,'単価履歴'!$F:$F,$A17)))</f>
        <v/>
      </c>
      <c r="BC17" s="332" t="str">
        <f>IF(MAXIFS('単価履歴'!$H:$H,'単価履歴'!$E:$E,BC$1,'単価履歴'!$F:$F,$A17,'単価履歴'!$B:$B,MAXIFS('単価履歴'!$B:$B,'単価履歴'!$E:$E,BC$1,'単価履歴'!$F:$F,$A17))=0,"",MAXIFS('単価履歴'!$H:$H,'単価履歴'!$E:$E,BC$1,'単価履歴'!$F:$F,$A17,'単価履歴'!$B:$B,MAXIFS('単価履歴'!$B:$B,'単価履歴'!$E:$E,BC$1,'単価履歴'!$F:$F,$A17)))</f>
        <v/>
      </c>
      <c r="BD17" s="332" t="str">
        <f>IF(MAXIFS('単価履歴'!$H:$H,'単価履歴'!$E:$E,BD$1,'単価履歴'!$F:$F,$A17,'単価履歴'!$B:$B,MAXIFS('単価履歴'!$B:$B,'単価履歴'!$E:$E,BD$1,'単価履歴'!$F:$F,$A17))=0,"",MAXIFS('単価履歴'!$H:$H,'単価履歴'!$E:$E,BD$1,'単価履歴'!$F:$F,$A17,'単価履歴'!$B:$B,MAXIFS('単価履歴'!$B:$B,'単価履歴'!$E:$E,BD$1,'単価履歴'!$F:$F,$A17)))</f>
        <v/>
      </c>
      <c r="BE17" s="332" t="str">
        <f>IF(MAXIFS('単価履歴'!$H:$H,'単価履歴'!$E:$E,BE$1,'単価履歴'!$F:$F,$A17,'単価履歴'!$B:$B,MAXIFS('単価履歴'!$B:$B,'単価履歴'!$E:$E,BE$1,'単価履歴'!$F:$F,$A17))=0,"",MAXIFS('単価履歴'!$H:$H,'単価履歴'!$E:$E,BE$1,'単価履歴'!$F:$F,$A17,'単価履歴'!$B:$B,MAXIFS('単価履歴'!$B:$B,'単価履歴'!$E:$E,BE$1,'単価履歴'!$F:$F,$A17)))</f>
        <v/>
      </c>
      <c r="BF17" s="332" t="str">
        <f>IF(MAXIFS('単価履歴'!$H:$H,'単価履歴'!$E:$E,BF$1,'単価履歴'!$F:$F,$A17,'単価履歴'!$B:$B,MAXIFS('単価履歴'!$B:$B,'単価履歴'!$E:$E,BF$1,'単価履歴'!$F:$F,$A17))=0,"",MAXIFS('単価履歴'!$H:$H,'単価履歴'!$E:$E,BF$1,'単価履歴'!$F:$F,$A17,'単価履歴'!$B:$B,MAXIFS('単価履歴'!$B:$B,'単価履歴'!$E:$E,BF$1,'単価履歴'!$F:$F,$A17)))</f>
        <v/>
      </c>
      <c r="BG17" s="332" t="str">
        <f>IF(MAXIFS('単価履歴'!$H:$H,'単価履歴'!$E:$E,BG$1,'単価履歴'!$F:$F,$A17,'単価履歴'!$B:$B,MAXIFS('単価履歴'!$B:$B,'単価履歴'!$E:$E,BG$1,'単価履歴'!$F:$F,$A17))=0,"",MAXIFS('単価履歴'!$H:$H,'単価履歴'!$E:$E,BG$1,'単価履歴'!$F:$F,$A17,'単価履歴'!$B:$B,MAXIFS('単価履歴'!$B:$B,'単価履歴'!$E:$E,BG$1,'単価履歴'!$F:$F,$A17)))</f>
        <v/>
      </c>
      <c r="BH17" s="332" t="str">
        <f>IF(MAXIFS('単価履歴'!$H:$H,'単価履歴'!$E:$E,BH$1,'単価履歴'!$F:$F,$A17,'単価履歴'!$B:$B,MAXIFS('単価履歴'!$B:$B,'単価履歴'!$E:$E,BH$1,'単価履歴'!$F:$F,$A17))=0,"",MAXIFS('単価履歴'!$H:$H,'単価履歴'!$E:$E,BH$1,'単価履歴'!$F:$F,$A17,'単価履歴'!$B:$B,MAXIFS('単価履歴'!$B:$B,'単価履歴'!$E:$E,BH$1,'単価履歴'!$F:$F,$A17)))</f>
        <v/>
      </c>
      <c r="BI17" s="332" t="str">
        <f>IF(MAXIFS('単価履歴'!$H:$H,'単価履歴'!$E:$E,BI$1,'単価履歴'!$F:$F,$A17,'単価履歴'!$B:$B,MAXIFS('単価履歴'!$B:$B,'単価履歴'!$E:$E,BI$1,'単価履歴'!$F:$F,$A17))=0,"",MAXIFS('単価履歴'!$H:$H,'単価履歴'!$E:$E,BI$1,'単価履歴'!$F:$F,$A17,'単価履歴'!$B:$B,MAXIFS('単価履歴'!$B:$B,'単価履歴'!$E:$E,BI$1,'単価履歴'!$F:$F,$A17)))</f>
        <v/>
      </c>
      <c r="BJ17" s="332" t="str">
        <f>IF(MAXIFS('単価履歴'!$H:$H,'単価履歴'!$E:$E,BJ$1,'単価履歴'!$F:$F,$A17,'単価履歴'!$B:$B,MAXIFS('単価履歴'!$B:$B,'単価履歴'!$E:$E,BJ$1,'単価履歴'!$F:$F,$A17))=0,"",MAXIFS('単価履歴'!$H:$H,'単価履歴'!$E:$E,BJ$1,'単価履歴'!$F:$F,$A17,'単価履歴'!$B:$B,MAXIFS('単価履歴'!$B:$B,'単価履歴'!$E:$E,BJ$1,'単価履歴'!$F:$F,$A17)))</f>
        <v/>
      </c>
      <c r="BK17" s="332" t="str">
        <f>IF(MAXIFS('単価履歴'!$H:$H,'単価履歴'!$E:$E,BK$1,'単価履歴'!$F:$F,$A17,'単価履歴'!$B:$B,MAXIFS('単価履歴'!$B:$B,'単価履歴'!$E:$E,BK$1,'単価履歴'!$F:$F,$A17))=0,"",MAXIFS('単価履歴'!$H:$H,'単価履歴'!$E:$E,BK$1,'単価履歴'!$F:$F,$A17,'単価履歴'!$B:$B,MAXIFS('単価履歴'!$B:$B,'単価履歴'!$E:$E,BK$1,'単価履歴'!$F:$F,$A17)))</f>
        <v/>
      </c>
      <c r="BL17" s="332" t="str">
        <f>IF(MAXIFS('単価履歴'!$H:$H,'単価履歴'!$E:$E,BL$1,'単価履歴'!$F:$F,$A17,'単価履歴'!$B:$B,MAXIFS('単価履歴'!$B:$B,'単価履歴'!$E:$E,BL$1,'単価履歴'!$F:$F,$A17))=0,"",MAXIFS('単価履歴'!$H:$H,'単価履歴'!$E:$E,BL$1,'単価履歴'!$F:$F,$A17,'単価履歴'!$B:$B,MAXIFS('単価履歴'!$B:$B,'単価履歴'!$E:$E,BL$1,'単価履歴'!$F:$F,$A17)))</f>
        <v/>
      </c>
      <c r="BM17" s="332" t="str">
        <f>IF(MAXIFS('単価履歴'!$H:$H,'単価履歴'!$E:$E,BM$1,'単価履歴'!$F:$F,$A17,'単価履歴'!$B:$B,MAXIFS('単価履歴'!$B:$B,'単価履歴'!$E:$E,BM$1,'単価履歴'!$F:$F,$A17))=0,"",MAXIFS('単価履歴'!$H:$H,'単価履歴'!$E:$E,BM$1,'単価履歴'!$F:$F,$A17,'単価履歴'!$B:$B,MAXIFS('単価履歴'!$B:$B,'単価履歴'!$E:$E,BM$1,'単価履歴'!$F:$F,$A17)))</f>
        <v/>
      </c>
      <c r="BN17" s="332" t="str">
        <f>IF(MAXIFS('単価履歴'!$H:$H,'単価履歴'!$E:$E,BN$1,'単価履歴'!$F:$F,$A17,'単価履歴'!$B:$B,MAXIFS('単価履歴'!$B:$B,'単価履歴'!$E:$E,BN$1,'単価履歴'!$F:$F,$A17))=0,"",MAXIFS('単価履歴'!$H:$H,'単価履歴'!$E:$E,BN$1,'単価履歴'!$F:$F,$A17,'単価履歴'!$B:$B,MAXIFS('単価履歴'!$B:$B,'単価履歴'!$E:$E,BN$1,'単価履歴'!$F:$F,$A17)))</f>
        <v/>
      </c>
      <c r="BO17" s="332" t="str">
        <f>IF(MAXIFS('単価履歴'!$H:$H,'単価履歴'!$E:$E,BO$1,'単価履歴'!$F:$F,$A17,'単価履歴'!$B:$B,MAXIFS('単価履歴'!$B:$B,'単価履歴'!$E:$E,BO$1,'単価履歴'!$F:$F,$A17))=0,"",MAXIFS('単価履歴'!$H:$H,'単価履歴'!$E:$E,BO$1,'単価履歴'!$F:$F,$A17,'単価履歴'!$B:$B,MAXIFS('単価履歴'!$B:$B,'単価履歴'!$E:$E,BO$1,'単価履歴'!$F:$F,$A17)))</f>
        <v/>
      </c>
      <c r="BP17" s="332" t="str">
        <f>IF(MAXIFS('単価履歴'!$H:$H,'単価履歴'!$E:$E,BP$1,'単価履歴'!$F:$F,$A17,'単価履歴'!$B:$B,MAXIFS('単価履歴'!$B:$B,'単価履歴'!$E:$E,BP$1,'単価履歴'!$F:$F,$A17))=0,"",MAXIFS('単価履歴'!$H:$H,'単価履歴'!$E:$E,BP$1,'単価履歴'!$F:$F,$A17,'単価履歴'!$B:$B,MAXIFS('単価履歴'!$B:$B,'単価履歴'!$E:$E,BP$1,'単価履歴'!$F:$F,$A17)))</f>
        <v/>
      </c>
      <c r="BQ17" s="332" t="str">
        <f>IF(MAXIFS('単価履歴'!$H:$H,'単価履歴'!$E:$E,BQ$1,'単価履歴'!$F:$F,$A17,'単価履歴'!$B:$B,MAXIFS('単価履歴'!$B:$B,'単価履歴'!$E:$E,BQ$1,'単価履歴'!$F:$F,$A17))=0,"",MAXIFS('単価履歴'!$H:$H,'単価履歴'!$E:$E,BQ$1,'単価履歴'!$F:$F,$A17,'単価履歴'!$B:$B,MAXIFS('単価履歴'!$B:$B,'単価履歴'!$E:$E,BQ$1,'単価履歴'!$F:$F,$A17)))</f>
        <v/>
      </c>
      <c r="BR17" s="332" t="str">
        <f>IF(MAXIFS('単価履歴'!$H:$H,'単価履歴'!$E:$E,BR$1,'単価履歴'!$F:$F,$A17,'単価履歴'!$B:$B,MAXIFS('単価履歴'!$B:$B,'単価履歴'!$E:$E,BR$1,'単価履歴'!$F:$F,$A17))=0,"",MAXIFS('単価履歴'!$H:$H,'単価履歴'!$E:$E,BR$1,'単価履歴'!$F:$F,$A17,'単価履歴'!$B:$B,MAXIFS('単価履歴'!$B:$B,'単価履歴'!$E:$E,BR$1,'単価履歴'!$F:$F,$A17)))</f>
        <v/>
      </c>
      <c r="BS17" s="332" t="str">
        <f>IF(MAXIFS('単価履歴'!$H:$H,'単価履歴'!$E:$E,BS$1,'単価履歴'!$F:$F,$A17,'単価履歴'!$B:$B,MAXIFS('単価履歴'!$B:$B,'単価履歴'!$E:$E,BS$1,'単価履歴'!$F:$F,$A17))=0,"",MAXIFS('単価履歴'!$H:$H,'単価履歴'!$E:$E,BS$1,'単価履歴'!$F:$F,$A17,'単価履歴'!$B:$B,MAXIFS('単価履歴'!$B:$B,'単価履歴'!$E:$E,BS$1,'単価履歴'!$F:$F,$A17)))</f>
        <v/>
      </c>
      <c r="BT17" s="332" t="str">
        <f>IF(MAXIFS('単価履歴'!$H:$H,'単価履歴'!$E:$E,BT$1,'単価履歴'!$F:$F,$A17,'単価履歴'!$B:$B,MAXIFS('単価履歴'!$B:$B,'単価履歴'!$E:$E,BT$1,'単価履歴'!$F:$F,$A17))=0,"",MAXIFS('単価履歴'!$H:$H,'単価履歴'!$E:$E,BT$1,'単価履歴'!$F:$F,$A17,'単価履歴'!$B:$B,MAXIFS('単価履歴'!$B:$B,'単価履歴'!$E:$E,BT$1,'単価履歴'!$F:$F,$A17)))</f>
        <v/>
      </c>
      <c r="BU17" s="332" t="str">
        <f>IF(MAXIFS('単価履歴'!$H:$H,'単価履歴'!$E:$E,BU$1,'単価履歴'!$F:$F,$A17,'単価履歴'!$B:$B,MAXIFS('単価履歴'!$B:$B,'単価履歴'!$E:$E,BU$1,'単価履歴'!$F:$F,$A17))=0,"",MAXIFS('単価履歴'!$H:$H,'単価履歴'!$E:$E,BU$1,'単価履歴'!$F:$F,$A17,'単価履歴'!$B:$B,MAXIFS('単価履歴'!$B:$B,'単価履歴'!$E:$E,BU$1,'単価履歴'!$F:$F,$A17)))</f>
        <v/>
      </c>
      <c r="BV17" s="332" t="str">
        <f>IF(MAXIFS('単価履歴'!$H:$H,'単価履歴'!$E:$E,BV$1,'単価履歴'!$F:$F,$A17,'単価履歴'!$B:$B,MAXIFS('単価履歴'!$B:$B,'単価履歴'!$E:$E,BV$1,'単価履歴'!$F:$F,$A17))=0,"",MAXIFS('単価履歴'!$H:$H,'単価履歴'!$E:$E,BV$1,'単価履歴'!$F:$F,$A17,'単価履歴'!$B:$B,MAXIFS('単価履歴'!$B:$B,'単価履歴'!$E:$E,BV$1,'単価履歴'!$F:$F,$A17)))</f>
        <v/>
      </c>
      <c r="BW17" s="332" t="str">
        <f>IF(MAXIFS('単価履歴'!$H:$H,'単価履歴'!$E:$E,BW$1,'単価履歴'!$F:$F,$A17,'単価履歴'!$B:$B,MAXIFS('単価履歴'!$B:$B,'単価履歴'!$E:$E,BW$1,'単価履歴'!$F:$F,$A17))=0,"",MAXIFS('単価履歴'!$H:$H,'単価履歴'!$E:$E,BW$1,'単価履歴'!$F:$F,$A17,'単価履歴'!$B:$B,MAXIFS('単価履歴'!$B:$B,'単価履歴'!$E:$E,BW$1,'単価履歴'!$F:$F,$A17)))</f>
        <v/>
      </c>
      <c r="BX17" s="332" t="str">
        <f>IF(MAXIFS('単価履歴'!$H:$H,'単価履歴'!$E:$E,BX$1,'単価履歴'!$F:$F,$A17,'単価履歴'!$B:$B,MAXIFS('単価履歴'!$B:$B,'単価履歴'!$E:$E,BX$1,'単価履歴'!$F:$F,$A17))=0,"",MAXIFS('単価履歴'!$H:$H,'単価履歴'!$E:$E,BX$1,'単価履歴'!$F:$F,$A17,'単価履歴'!$B:$B,MAXIFS('単価履歴'!$B:$B,'単価履歴'!$E:$E,BX$1,'単価履歴'!$F:$F,$A17)))</f>
        <v/>
      </c>
      <c r="BY17" s="332" t="str">
        <f>IF(MAXIFS('単価履歴'!$H:$H,'単価履歴'!$E:$E,BY$1,'単価履歴'!$F:$F,$A17,'単価履歴'!$B:$B,MAXIFS('単価履歴'!$B:$B,'単価履歴'!$E:$E,BY$1,'単価履歴'!$F:$F,$A17))=0,"",MAXIFS('単価履歴'!$H:$H,'単価履歴'!$E:$E,BY$1,'単価履歴'!$F:$F,$A17,'単価履歴'!$B:$B,MAXIFS('単価履歴'!$B:$B,'単価履歴'!$E:$E,BY$1,'単価履歴'!$F:$F,$A17)))</f>
        <v/>
      </c>
      <c r="BZ17" s="332" t="str">
        <f>IF(MAXIFS('単価履歴'!$H:$H,'単価履歴'!$E:$E,BZ$1,'単価履歴'!$F:$F,$A17,'単価履歴'!$B:$B,MAXIFS('単価履歴'!$B:$B,'単価履歴'!$E:$E,BZ$1,'単価履歴'!$F:$F,$A17))=0,"",MAXIFS('単価履歴'!$H:$H,'単価履歴'!$E:$E,BZ$1,'単価履歴'!$F:$F,$A17,'単価履歴'!$B:$B,MAXIFS('単価履歴'!$B:$B,'単価履歴'!$E:$E,BZ$1,'単価履歴'!$F:$F,$A17)))</f>
        <v/>
      </c>
      <c r="CA17" s="332" t="str">
        <f>IF(MAXIFS('単価履歴'!$H:$H,'単価履歴'!$E:$E,CA$1,'単価履歴'!$F:$F,$A17,'単価履歴'!$B:$B,MAXIFS('単価履歴'!$B:$B,'単価履歴'!$E:$E,CA$1,'単価履歴'!$F:$F,$A17))=0,"",MAXIFS('単価履歴'!$H:$H,'単価履歴'!$E:$E,CA$1,'単価履歴'!$F:$F,$A17,'単価履歴'!$B:$B,MAXIFS('単価履歴'!$B:$B,'単価履歴'!$E:$E,CA$1,'単価履歴'!$F:$F,$A17)))</f>
        <v/>
      </c>
      <c r="CB17" s="332" t="str">
        <f>IF(MAXIFS('単価履歴'!$H:$H,'単価履歴'!$E:$E,CB$1,'単価履歴'!$F:$F,$A17,'単価履歴'!$B:$B,MAXIFS('単価履歴'!$B:$B,'単価履歴'!$E:$E,CB$1,'単価履歴'!$F:$F,$A17))=0,"",MAXIFS('単価履歴'!$H:$H,'単価履歴'!$E:$E,CB$1,'単価履歴'!$F:$F,$A17,'単価履歴'!$B:$B,MAXIFS('単価履歴'!$B:$B,'単価履歴'!$E:$E,CB$1,'単価履歴'!$F:$F,$A17)))</f>
        <v/>
      </c>
      <c r="CC17" s="332" t="str">
        <f>IF(MAXIFS('単価履歴'!$H:$H,'単価履歴'!$E:$E,CC$1,'単価履歴'!$F:$F,$A17,'単価履歴'!$B:$B,MAXIFS('単価履歴'!$B:$B,'単価履歴'!$E:$E,CC$1,'単価履歴'!$F:$F,$A17))=0,"",MAXIFS('単価履歴'!$H:$H,'単価履歴'!$E:$E,CC$1,'単価履歴'!$F:$F,$A17,'単価履歴'!$B:$B,MAXIFS('単価履歴'!$B:$B,'単価履歴'!$E:$E,CC$1,'単価履歴'!$F:$F,$A17)))</f>
        <v/>
      </c>
      <c r="CD17" s="332" t="str">
        <f>IF(MAXIFS('単価履歴'!$H:$H,'単価履歴'!$E:$E,CD$1,'単価履歴'!$F:$F,$A17,'単価履歴'!$B:$B,MAXIFS('単価履歴'!$B:$B,'単価履歴'!$E:$E,CD$1,'単価履歴'!$F:$F,$A17))=0,"",MAXIFS('単価履歴'!$H:$H,'単価履歴'!$E:$E,CD$1,'単価履歴'!$F:$F,$A17,'単価履歴'!$B:$B,MAXIFS('単価履歴'!$B:$B,'単価履歴'!$E:$E,CD$1,'単価履歴'!$F:$F,$A17)))</f>
        <v/>
      </c>
      <c r="CE17" s="332" t="str">
        <f>IF(MAXIFS('単価履歴'!$H:$H,'単価履歴'!$E:$E,CE$1,'単価履歴'!$F:$F,$A17,'単価履歴'!$B:$B,MAXIFS('単価履歴'!$B:$B,'単価履歴'!$E:$E,CE$1,'単価履歴'!$F:$F,$A17))=0,"",MAXIFS('単価履歴'!$H:$H,'単価履歴'!$E:$E,CE$1,'単価履歴'!$F:$F,$A17,'単価履歴'!$B:$B,MAXIFS('単価履歴'!$B:$B,'単価履歴'!$E:$E,CE$1,'単価履歴'!$F:$F,$A17)))</f>
        <v/>
      </c>
      <c r="CF17" s="332" t="str">
        <f>IF(MAXIFS('単価履歴'!$H:$H,'単価履歴'!$E:$E,CF$1,'単価履歴'!$F:$F,$A17,'単価履歴'!$B:$B,MAXIFS('単価履歴'!$B:$B,'単価履歴'!$E:$E,CF$1,'単価履歴'!$F:$F,$A17))=0,"",MAXIFS('単価履歴'!$H:$H,'単価履歴'!$E:$E,CF$1,'単価履歴'!$F:$F,$A17,'単価履歴'!$B:$B,MAXIFS('単価履歴'!$B:$B,'単価履歴'!$E:$E,CF$1,'単価履歴'!$F:$F,$A17)))</f>
        <v/>
      </c>
      <c r="CG17" s="332" t="str">
        <f>IF(MAXIFS('単価履歴'!$H:$H,'単価履歴'!$E:$E,CG$1,'単価履歴'!$F:$F,$A17,'単価履歴'!$B:$B,MAXIFS('単価履歴'!$B:$B,'単価履歴'!$E:$E,CG$1,'単価履歴'!$F:$F,$A17))=0,"",MAXIFS('単価履歴'!$H:$H,'単価履歴'!$E:$E,CG$1,'単価履歴'!$F:$F,$A17,'単価履歴'!$B:$B,MAXIFS('単価履歴'!$B:$B,'単価履歴'!$E:$E,CG$1,'単価履歴'!$F:$F,$A17)))</f>
        <v/>
      </c>
      <c r="CH17" s="332" t="str">
        <f>IF(MAXIFS('単価履歴'!$H:$H,'単価履歴'!$E:$E,CH$1,'単価履歴'!$F:$F,$A17,'単価履歴'!$B:$B,MAXIFS('単価履歴'!$B:$B,'単価履歴'!$E:$E,CH$1,'単価履歴'!$F:$F,$A17))=0,"",MAXIFS('単価履歴'!$H:$H,'単価履歴'!$E:$E,CH$1,'単価履歴'!$F:$F,$A17,'単価履歴'!$B:$B,MAXIFS('単価履歴'!$B:$B,'単価履歴'!$E:$E,CH$1,'単価履歴'!$F:$F,$A17)))</f>
        <v/>
      </c>
    </row>
    <row r="18" ht="15.75" customHeight="1">
      <c r="A18" s="432" t="s">
        <v>149</v>
      </c>
      <c r="B18" s="332">
        <f>MAXIFS('単価履歴'!H:H,'単価履歴'!F:F,A18,'単価履歴'!N:N,"●")</f>
        <v>51.8</v>
      </c>
      <c r="C18" s="332" t="str">
        <f>IF(MAXIFS('単価履歴'!$H:$H,'単価履歴'!$E:$E,C$1,'単価履歴'!$F:$F,$A18,'単価履歴'!$B:$B,MAXIFS('単価履歴'!$B:$B,'単価履歴'!$E:$E,C$1,'単価履歴'!$F:$F,$A18))=0,"",MAXIFS('単価履歴'!$H:$H,'単価履歴'!$E:$E,C$1,'単価履歴'!$F:$F,$A18,'単価履歴'!$B:$B,MAXIFS('単価履歴'!$B:$B,'単価履歴'!$E:$E,C$1,'単価履歴'!$F:$F,$A18)))</f>
        <v/>
      </c>
      <c r="D18" s="332" t="str">
        <f>IF(MAXIFS('単価履歴'!$H:$H,'単価履歴'!$E:$E,D$1,'単価履歴'!$F:$F,$A18,'単価履歴'!$B:$B,MAXIFS('単価履歴'!$B:$B,'単価履歴'!$E:$E,D$1,'単価履歴'!$F:$F,$A18))=0,"",MAXIFS('単価履歴'!$H:$H,'単価履歴'!$E:$E,D$1,'単価履歴'!$F:$F,$A18,'単価履歴'!$B:$B,MAXIFS('単価履歴'!$B:$B,'単価履歴'!$E:$E,D$1,'単価履歴'!$F:$F,$A18)))</f>
        <v/>
      </c>
      <c r="E18" s="332" t="str">
        <f>IF(MAXIFS('単価履歴'!$H:$H,'単価履歴'!$E:$E,E$1,'単価履歴'!$F:$F,$A18,'単価履歴'!$B:$B,MAXIFS('単価履歴'!$B:$B,'単価履歴'!$E:$E,E$1,'単価履歴'!$F:$F,$A18))=0,"",MAXIFS('単価履歴'!$H:$H,'単価履歴'!$E:$E,E$1,'単価履歴'!$F:$F,$A18,'単価履歴'!$B:$B,MAXIFS('単価履歴'!$B:$B,'単価履歴'!$E:$E,E$1,'単価履歴'!$F:$F,$A18)))</f>
        <v/>
      </c>
      <c r="F18" s="332" t="str">
        <f>IF(MAXIFS('単価履歴'!$H:$H,'単価履歴'!$E:$E,F$1,'単価履歴'!$F:$F,$A18,'単価履歴'!$B:$B,MAXIFS('単価履歴'!$B:$B,'単価履歴'!$E:$E,F$1,'単価履歴'!$F:$F,$A18))=0,"",MAXIFS('単価履歴'!$H:$H,'単価履歴'!$E:$E,F$1,'単価履歴'!$F:$F,$A18,'単価履歴'!$B:$B,MAXIFS('単価履歴'!$B:$B,'単価履歴'!$E:$E,F$1,'単価履歴'!$F:$F,$A18)))</f>
        <v/>
      </c>
      <c r="G18" s="332" t="str">
        <f>IF(MAXIFS('単価履歴'!$H:$H,'単価履歴'!$E:$E,G$1,'単価履歴'!$F:$F,$A18,'単価履歴'!$B:$B,MAXIFS('単価履歴'!$B:$B,'単価履歴'!$E:$E,G$1,'単価履歴'!$F:$F,$A18))=0,"",MAXIFS('単価履歴'!$H:$H,'単価履歴'!$E:$E,G$1,'単価履歴'!$F:$F,$A18,'単価履歴'!$B:$B,MAXIFS('単価履歴'!$B:$B,'単価履歴'!$E:$E,G$1,'単価履歴'!$F:$F,$A18)))</f>
        <v/>
      </c>
      <c r="H18" s="332" t="str">
        <f>IF(MAXIFS('単価履歴'!$H:$H,'単価履歴'!$E:$E,H$1,'単価履歴'!$F:$F,$A18,'単価履歴'!$B:$B,MAXIFS('単価履歴'!$B:$B,'単価履歴'!$E:$E,H$1,'単価履歴'!$F:$F,$A18))=0,"",MAXIFS('単価履歴'!$H:$H,'単価履歴'!$E:$E,H$1,'単価履歴'!$F:$F,$A18,'単価履歴'!$B:$B,MAXIFS('単価履歴'!$B:$B,'単価履歴'!$E:$E,H$1,'単価履歴'!$F:$F,$A18)))</f>
        <v/>
      </c>
      <c r="I18" s="332" t="str">
        <f>IF(MAXIFS('単価履歴'!$H:$H,'単価履歴'!$E:$E,I$1,'単価履歴'!$F:$F,$A18,'単価履歴'!$B:$B,MAXIFS('単価履歴'!$B:$B,'単価履歴'!$E:$E,I$1,'単価履歴'!$F:$F,$A18))=0,"",MAXIFS('単価履歴'!$H:$H,'単価履歴'!$E:$E,I$1,'単価履歴'!$F:$F,$A18,'単価履歴'!$B:$B,MAXIFS('単価履歴'!$B:$B,'単価履歴'!$E:$E,I$1,'単価履歴'!$F:$F,$A18)))</f>
        <v/>
      </c>
      <c r="J18" s="332" t="str">
        <f>IF(MAXIFS('単価履歴'!$H:$H,'単価履歴'!$E:$E,J$1,'単価履歴'!$F:$F,$A18,'単価履歴'!$B:$B,MAXIFS('単価履歴'!$B:$B,'単価履歴'!$E:$E,J$1,'単価履歴'!$F:$F,$A18))=0,"",MAXIFS('単価履歴'!$H:$H,'単価履歴'!$E:$E,J$1,'単価履歴'!$F:$F,$A18,'単価履歴'!$B:$B,MAXIFS('単価履歴'!$B:$B,'単価履歴'!$E:$E,J$1,'単価履歴'!$F:$F,$A18)))</f>
        <v/>
      </c>
      <c r="K18" s="332" t="str">
        <f>IF(MAXIFS('単価履歴'!$H:$H,'単価履歴'!$E:$E,K$1,'単価履歴'!$F:$F,$A18,'単価履歴'!$B:$B,MAXIFS('単価履歴'!$B:$B,'単価履歴'!$E:$E,K$1,'単価履歴'!$F:$F,$A18))=0,"",MAXIFS('単価履歴'!$H:$H,'単価履歴'!$E:$E,K$1,'単価履歴'!$F:$F,$A18,'単価履歴'!$B:$B,MAXIFS('単価履歴'!$B:$B,'単価履歴'!$E:$E,K$1,'単価履歴'!$F:$F,$A18)))</f>
        <v/>
      </c>
      <c r="L18" s="332">
        <f>IF(MAXIFS('単価履歴'!$H:$H,'単価履歴'!$E:$E,L$1,'単価履歴'!$F:$F,$A18,'単価履歴'!$B:$B,MAXIFS('単価履歴'!$B:$B,'単価履歴'!$E:$E,L$1,'単価履歴'!$F:$F,$A18))=0,"",MAXIFS('単価履歴'!$H:$H,'単価履歴'!$E:$E,L$1,'単価履歴'!$F:$F,$A18,'単価履歴'!$B:$B,MAXIFS('単価履歴'!$B:$B,'単価履歴'!$E:$E,L$1,'単価履歴'!$F:$F,$A18)))</f>
        <v>39.3</v>
      </c>
      <c r="M18" s="332">
        <f>IF(MAXIFS('単価履歴'!$H:$H,'単価履歴'!$E:$E,M$1,'単価履歴'!$F:$F,$A18,'単価履歴'!$B:$B,MAXIFS('単価履歴'!$B:$B,'単価履歴'!$E:$E,M$1,'単価履歴'!$F:$F,$A18))=0,"",MAXIFS('単価履歴'!$H:$H,'単価履歴'!$E:$E,M$1,'単価履歴'!$F:$F,$A18,'単価履歴'!$B:$B,MAXIFS('単価履歴'!$B:$B,'単価履歴'!$E:$E,M$1,'単価履歴'!$F:$F,$A18)))</f>
        <v>39</v>
      </c>
      <c r="N18" s="332">
        <f>IF(MAXIFS('単価履歴'!$H:$H,'単価履歴'!$E:$E,N$1,'単価履歴'!$F:$F,$A18,'単価履歴'!$B:$B,MAXIFS('単価履歴'!$B:$B,'単価履歴'!$E:$E,N$1,'単価履歴'!$F:$F,$A18))=0,"",MAXIFS('単価履歴'!$H:$H,'単価履歴'!$E:$E,N$1,'単価履歴'!$F:$F,$A18,'単価履歴'!$B:$B,MAXIFS('単価履歴'!$B:$B,'単価履歴'!$E:$E,N$1,'単価履歴'!$F:$F,$A18)))</f>
        <v>-3</v>
      </c>
      <c r="O18" s="332">
        <f>IF(MAXIFS('単価履歴'!$H:$H,'単価履歴'!$E:$E,O$1,'単価履歴'!$F:$F,$A18,'単価履歴'!$B:$B,MAXIFS('単価履歴'!$B:$B,'単価履歴'!$E:$E,O$1,'単価履歴'!$F:$F,$A18))=0,"",MAXIFS('単価履歴'!$H:$H,'単価履歴'!$E:$E,O$1,'単価履歴'!$F:$F,$A18,'単価履歴'!$B:$B,MAXIFS('単価履歴'!$B:$B,'単価履歴'!$E:$E,O$1,'単価履歴'!$F:$F,$A18)))</f>
        <v>-3</v>
      </c>
      <c r="P18" s="332" t="str">
        <f>IF(MAXIFS('単価履歴'!$H:$H,'単価履歴'!$E:$E,P$1,'単価履歴'!$F:$F,$A18,'単価履歴'!$B:$B,MAXIFS('単価履歴'!$B:$B,'単価履歴'!$E:$E,P$1,'単価履歴'!$F:$F,$A18))=0,"",MAXIFS('単価履歴'!$H:$H,'単価履歴'!$E:$E,P$1,'単価履歴'!$F:$F,$A18,'単価履歴'!$B:$B,MAXIFS('単価履歴'!$B:$B,'単価履歴'!$E:$E,P$1,'単価履歴'!$F:$F,$A18)))</f>
        <v/>
      </c>
      <c r="Q18" s="332" t="str">
        <f>IF(MAXIFS('単価履歴'!$H:$H,'単価履歴'!$E:$E,Q$1,'単価履歴'!$F:$F,$A18,'単価履歴'!$B:$B,MAXIFS('単価履歴'!$B:$B,'単価履歴'!$E:$E,Q$1,'単価履歴'!$F:$F,$A18))=0,"",MAXIFS('単価履歴'!$H:$H,'単価履歴'!$E:$E,Q$1,'単価履歴'!$F:$F,$A18,'単価履歴'!$B:$B,MAXIFS('単価履歴'!$B:$B,'単価履歴'!$E:$E,Q$1,'単価履歴'!$F:$F,$A18)))</f>
        <v/>
      </c>
      <c r="R18" s="332">
        <f>IF(MAXIFS('単価履歴'!$H:$H,'単価履歴'!$E:$E,R$1,'単価履歴'!$F:$F,$A18,'単価履歴'!$B:$B,MAXIFS('単価履歴'!$B:$B,'単価履歴'!$E:$E,R$1,'単価履歴'!$F:$F,$A18))=0,"",MAXIFS('単価履歴'!$H:$H,'単価履歴'!$E:$E,R$1,'単価履歴'!$F:$F,$A18,'単価履歴'!$B:$B,MAXIFS('単価履歴'!$B:$B,'単価履歴'!$E:$E,R$1,'単価履歴'!$F:$F,$A18)))</f>
        <v>51.8</v>
      </c>
      <c r="S18" s="332" t="str">
        <f>IF(MAXIFS('単価履歴'!$H:$H,'単価履歴'!$E:$E,S$1,'単価履歴'!$F:$F,$A18,'単価履歴'!$B:$B,MAXIFS('単価履歴'!$B:$B,'単価履歴'!$E:$E,S$1,'単価履歴'!$F:$F,$A18))=0,"",MAXIFS('単価履歴'!$H:$H,'単価履歴'!$E:$E,S$1,'単価履歴'!$F:$F,$A18,'単価履歴'!$B:$B,MAXIFS('単価履歴'!$B:$B,'単価履歴'!$E:$E,S$1,'単価履歴'!$F:$F,$A18)))</f>
        <v/>
      </c>
      <c r="T18" s="332" t="str">
        <f>IF(MAXIFS('単価履歴'!$H:$H,'単価履歴'!$E:$E,T$1,'単価履歴'!$F:$F,$A18,'単価履歴'!$B:$B,MAXIFS('単価履歴'!$B:$B,'単価履歴'!$E:$E,T$1,'単価履歴'!$F:$F,$A18))=0,"",MAXIFS('単価履歴'!$H:$H,'単価履歴'!$E:$E,T$1,'単価履歴'!$F:$F,$A18,'単価履歴'!$B:$B,MAXIFS('単価履歴'!$B:$B,'単価履歴'!$E:$E,T$1,'単価履歴'!$F:$F,$A18)))</f>
        <v/>
      </c>
      <c r="U18" s="332" t="str">
        <f>IF(MAXIFS('単価履歴'!$H:$H,'単価履歴'!$E:$E,U$1,'単価履歴'!$F:$F,$A18,'単価履歴'!$B:$B,MAXIFS('単価履歴'!$B:$B,'単価履歴'!$E:$E,U$1,'単価履歴'!$F:$F,$A18))=0,"",MAXIFS('単価履歴'!$H:$H,'単価履歴'!$E:$E,U$1,'単価履歴'!$F:$F,$A18,'単価履歴'!$B:$B,MAXIFS('単価履歴'!$B:$B,'単価履歴'!$E:$E,U$1,'単価履歴'!$F:$F,$A18)))</f>
        <v/>
      </c>
      <c r="V18" s="332" t="str">
        <f>IF(MAXIFS('単価履歴'!$H:$H,'単価履歴'!$E:$E,V$1,'単価履歴'!$F:$F,$A18,'単価履歴'!$B:$B,MAXIFS('単価履歴'!$B:$B,'単価履歴'!$E:$E,V$1,'単価履歴'!$F:$F,$A18))=0,"",MAXIFS('単価履歴'!$H:$H,'単価履歴'!$E:$E,V$1,'単価履歴'!$F:$F,$A18,'単価履歴'!$B:$B,MAXIFS('単価履歴'!$B:$B,'単価履歴'!$E:$E,V$1,'単価履歴'!$F:$F,$A18)))</f>
        <v/>
      </c>
      <c r="W18" s="332" t="str">
        <f>IF(MAXIFS('単価履歴'!$H:$H,'単価履歴'!$E:$E,W$1,'単価履歴'!$F:$F,$A18,'単価履歴'!$B:$B,MAXIFS('単価履歴'!$B:$B,'単価履歴'!$E:$E,W$1,'単価履歴'!$F:$F,$A18))=0,"",MAXIFS('単価履歴'!$H:$H,'単価履歴'!$E:$E,W$1,'単価履歴'!$F:$F,$A18,'単価履歴'!$B:$B,MAXIFS('単価履歴'!$B:$B,'単価履歴'!$E:$E,W$1,'単価履歴'!$F:$F,$A18)))</f>
        <v/>
      </c>
      <c r="X18" s="332" t="str">
        <f>IF(MAXIFS('単価履歴'!$H:$H,'単価履歴'!$E:$E,X$1,'単価履歴'!$F:$F,$A18,'単価履歴'!$B:$B,MAXIFS('単価履歴'!$B:$B,'単価履歴'!$E:$E,X$1,'単価履歴'!$F:$F,$A18))=0,"",MAXIFS('単価履歴'!$H:$H,'単価履歴'!$E:$E,X$1,'単価履歴'!$F:$F,$A18,'単価履歴'!$B:$B,MAXIFS('単価履歴'!$B:$B,'単価履歴'!$E:$E,X$1,'単価履歴'!$F:$F,$A18)))</f>
        <v/>
      </c>
      <c r="Y18" s="332" t="str">
        <f>IF(MAXIFS('単価履歴'!$H:$H,'単価履歴'!$E:$E,Y$1,'単価履歴'!$F:$F,$A18,'単価履歴'!$B:$B,MAXIFS('単価履歴'!$B:$B,'単価履歴'!$E:$E,Y$1,'単価履歴'!$F:$F,$A18))=0,"",MAXIFS('単価履歴'!$H:$H,'単価履歴'!$E:$E,Y$1,'単価履歴'!$F:$F,$A18,'単価履歴'!$B:$B,MAXIFS('単価履歴'!$B:$B,'単価履歴'!$E:$E,Y$1,'単価履歴'!$F:$F,$A18)))</f>
        <v/>
      </c>
      <c r="Z18" s="332" t="str">
        <f>IF(MAXIFS('単価履歴'!$H:$H,'単価履歴'!$E:$E,Z$1,'単価履歴'!$F:$F,$A18,'単価履歴'!$B:$B,MAXIFS('単価履歴'!$B:$B,'単価履歴'!$E:$E,Z$1,'単価履歴'!$F:$F,$A18))=0,"",MAXIFS('単価履歴'!$H:$H,'単価履歴'!$E:$E,Z$1,'単価履歴'!$F:$F,$A18,'単価履歴'!$B:$B,MAXIFS('単価履歴'!$B:$B,'単価履歴'!$E:$E,Z$1,'単価履歴'!$F:$F,$A18)))</f>
        <v/>
      </c>
      <c r="AA18" s="332" t="str">
        <f>IF(MAXIFS('単価履歴'!$H:$H,'単価履歴'!$E:$E,AA$1,'単価履歴'!$F:$F,$A18,'単価履歴'!$B:$B,MAXIFS('単価履歴'!$B:$B,'単価履歴'!$E:$E,AA$1,'単価履歴'!$F:$F,$A18))=0,"",MAXIFS('単価履歴'!$H:$H,'単価履歴'!$E:$E,AA$1,'単価履歴'!$F:$F,$A18,'単価履歴'!$B:$B,MAXIFS('単価履歴'!$B:$B,'単価履歴'!$E:$E,AA$1,'単価履歴'!$F:$F,$A18)))</f>
        <v/>
      </c>
      <c r="AB18" s="332" t="str">
        <f>IF(MAXIFS('単価履歴'!$H:$H,'単価履歴'!$E:$E,AB$1,'単価履歴'!$F:$F,$A18,'単価履歴'!$B:$B,MAXIFS('単価履歴'!$B:$B,'単価履歴'!$E:$E,AB$1,'単価履歴'!$F:$F,$A18))=0,"",MAXIFS('単価履歴'!$H:$H,'単価履歴'!$E:$E,AB$1,'単価履歴'!$F:$F,$A18,'単価履歴'!$B:$B,MAXIFS('単価履歴'!$B:$B,'単価履歴'!$E:$E,AB$1,'単価履歴'!$F:$F,$A18)))</f>
        <v/>
      </c>
      <c r="AC18" s="332" t="str">
        <f>IF(MAXIFS('単価履歴'!$H:$H,'単価履歴'!$E:$E,AC$1,'単価履歴'!$F:$F,$A18,'単価履歴'!$B:$B,MAXIFS('単価履歴'!$B:$B,'単価履歴'!$E:$E,AC$1,'単価履歴'!$F:$F,$A18))=0,"",MAXIFS('単価履歴'!$H:$H,'単価履歴'!$E:$E,AC$1,'単価履歴'!$F:$F,$A18,'単価履歴'!$B:$B,MAXIFS('単価履歴'!$B:$B,'単価履歴'!$E:$E,AC$1,'単価履歴'!$F:$F,$A18)))</f>
        <v/>
      </c>
      <c r="AD18" s="332" t="str">
        <f>IF(MAXIFS('単価履歴'!$H:$H,'単価履歴'!$E:$E,AD$1,'単価履歴'!$F:$F,$A18,'単価履歴'!$B:$B,MAXIFS('単価履歴'!$B:$B,'単価履歴'!$E:$E,AD$1,'単価履歴'!$F:$F,$A18))=0,"",MAXIFS('単価履歴'!$H:$H,'単価履歴'!$E:$E,AD$1,'単価履歴'!$F:$F,$A18,'単価履歴'!$B:$B,MAXIFS('単価履歴'!$B:$B,'単価履歴'!$E:$E,AD$1,'単価履歴'!$F:$F,$A18)))</f>
        <v/>
      </c>
      <c r="AE18" s="332" t="str">
        <f>IF(MAXIFS('単価履歴'!$H:$H,'単価履歴'!$E:$E,AE$1,'単価履歴'!$F:$F,$A18,'単価履歴'!$B:$B,MAXIFS('単価履歴'!$B:$B,'単価履歴'!$E:$E,AE$1,'単価履歴'!$F:$F,$A18))=0,"",MAXIFS('単価履歴'!$H:$H,'単価履歴'!$E:$E,AE$1,'単価履歴'!$F:$F,$A18,'単価履歴'!$B:$B,MAXIFS('単価履歴'!$B:$B,'単価履歴'!$E:$E,AE$1,'単価履歴'!$F:$F,$A18)))</f>
        <v/>
      </c>
      <c r="AF18" s="332" t="str">
        <f>IF(MAXIFS('単価履歴'!$H:$H,'単価履歴'!$E:$E,AF$1,'単価履歴'!$F:$F,$A18,'単価履歴'!$B:$B,MAXIFS('単価履歴'!$B:$B,'単価履歴'!$E:$E,AF$1,'単価履歴'!$F:$F,$A18))=0,"",MAXIFS('単価履歴'!$H:$H,'単価履歴'!$E:$E,AF$1,'単価履歴'!$F:$F,$A18,'単価履歴'!$B:$B,MAXIFS('単価履歴'!$B:$B,'単価履歴'!$E:$E,AF$1,'単価履歴'!$F:$F,$A18)))</f>
        <v/>
      </c>
      <c r="AG18" s="332" t="str">
        <f>IF(MAXIFS('単価履歴'!$H:$H,'単価履歴'!$E:$E,AG$1,'単価履歴'!$F:$F,$A18,'単価履歴'!$B:$B,MAXIFS('単価履歴'!$B:$B,'単価履歴'!$E:$E,AG$1,'単価履歴'!$F:$F,$A18))=0,"",MAXIFS('単価履歴'!$H:$H,'単価履歴'!$E:$E,AG$1,'単価履歴'!$F:$F,$A18,'単価履歴'!$B:$B,MAXIFS('単価履歴'!$B:$B,'単価履歴'!$E:$E,AG$1,'単価履歴'!$F:$F,$A18)))</f>
        <v/>
      </c>
      <c r="AH18" s="332" t="str">
        <f>IF(MAXIFS('単価履歴'!$H:$H,'単価履歴'!$E:$E,AH$1,'単価履歴'!$F:$F,$A18,'単価履歴'!$B:$B,MAXIFS('単価履歴'!$B:$B,'単価履歴'!$E:$E,AH$1,'単価履歴'!$F:$F,$A18))=0,"",MAXIFS('単価履歴'!$H:$H,'単価履歴'!$E:$E,AH$1,'単価履歴'!$F:$F,$A18,'単価履歴'!$B:$B,MAXIFS('単価履歴'!$B:$B,'単価履歴'!$E:$E,AH$1,'単価履歴'!$F:$F,$A18)))</f>
        <v/>
      </c>
      <c r="AI18" s="332" t="str">
        <f>IF(MAXIFS('単価履歴'!$H:$H,'単価履歴'!$E:$E,AI$1,'単価履歴'!$F:$F,$A18,'単価履歴'!$B:$B,MAXIFS('単価履歴'!$B:$B,'単価履歴'!$E:$E,AI$1,'単価履歴'!$F:$F,$A18))=0,"",MAXIFS('単価履歴'!$H:$H,'単価履歴'!$E:$E,AI$1,'単価履歴'!$F:$F,$A18,'単価履歴'!$B:$B,MAXIFS('単価履歴'!$B:$B,'単価履歴'!$E:$E,AI$1,'単価履歴'!$F:$F,$A18)))</f>
        <v/>
      </c>
      <c r="AJ18" s="332" t="str">
        <f>IF(MAXIFS('単価履歴'!$H:$H,'単価履歴'!$E:$E,AJ$1,'単価履歴'!$F:$F,$A18,'単価履歴'!$B:$B,MAXIFS('単価履歴'!$B:$B,'単価履歴'!$E:$E,AJ$1,'単価履歴'!$F:$F,$A18))=0,"",MAXIFS('単価履歴'!$H:$H,'単価履歴'!$E:$E,AJ$1,'単価履歴'!$F:$F,$A18,'単価履歴'!$B:$B,MAXIFS('単価履歴'!$B:$B,'単価履歴'!$E:$E,AJ$1,'単価履歴'!$F:$F,$A18)))</f>
        <v/>
      </c>
      <c r="AK18" s="332" t="str">
        <f>IF(MAXIFS('単価履歴'!$H:$H,'単価履歴'!$E:$E,AK$1,'単価履歴'!$F:$F,$A18,'単価履歴'!$B:$B,MAXIFS('単価履歴'!$B:$B,'単価履歴'!$E:$E,AK$1,'単価履歴'!$F:$F,$A18))=0,"",MAXIFS('単価履歴'!$H:$H,'単価履歴'!$E:$E,AK$1,'単価履歴'!$F:$F,$A18,'単価履歴'!$B:$B,MAXIFS('単価履歴'!$B:$B,'単価履歴'!$E:$E,AK$1,'単価履歴'!$F:$F,$A18)))</f>
        <v/>
      </c>
      <c r="AL18" s="332" t="str">
        <f>IF(MAXIFS('単価履歴'!$H:$H,'単価履歴'!$E:$E,AL$1,'単価履歴'!$F:$F,$A18,'単価履歴'!$B:$B,MAXIFS('単価履歴'!$B:$B,'単価履歴'!$E:$E,AL$1,'単価履歴'!$F:$F,$A18))=0,"",MAXIFS('単価履歴'!$H:$H,'単価履歴'!$E:$E,AL$1,'単価履歴'!$F:$F,$A18,'単価履歴'!$B:$B,MAXIFS('単価履歴'!$B:$B,'単価履歴'!$E:$E,AL$1,'単価履歴'!$F:$F,$A18)))</f>
        <v/>
      </c>
      <c r="AM18" s="332" t="str">
        <f>IF(MAXIFS('単価履歴'!$H:$H,'単価履歴'!$E:$E,AM$1,'単価履歴'!$F:$F,$A18,'単価履歴'!$B:$B,MAXIFS('単価履歴'!$B:$B,'単価履歴'!$E:$E,AM$1,'単価履歴'!$F:$F,$A18))=0,"",MAXIFS('単価履歴'!$H:$H,'単価履歴'!$E:$E,AM$1,'単価履歴'!$F:$F,$A18,'単価履歴'!$B:$B,MAXIFS('単価履歴'!$B:$B,'単価履歴'!$E:$E,AM$1,'単価履歴'!$F:$F,$A18)))</f>
        <v/>
      </c>
      <c r="AN18" s="332" t="str">
        <f>IF(MAXIFS('単価履歴'!$H:$H,'単価履歴'!$E:$E,AN$1,'単価履歴'!$F:$F,$A18,'単価履歴'!$B:$B,MAXIFS('単価履歴'!$B:$B,'単価履歴'!$E:$E,AN$1,'単価履歴'!$F:$F,$A18))=0,"",MAXIFS('単価履歴'!$H:$H,'単価履歴'!$E:$E,AN$1,'単価履歴'!$F:$F,$A18,'単価履歴'!$B:$B,MAXIFS('単価履歴'!$B:$B,'単価履歴'!$E:$E,AN$1,'単価履歴'!$F:$F,$A18)))</f>
        <v/>
      </c>
      <c r="AO18" s="332" t="str">
        <f>IF(MAXIFS('単価履歴'!$H:$H,'単価履歴'!$E:$E,AO$1,'単価履歴'!$F:$F,$A18,'単価履歴'!$B:$B,MAXIFS('単価履歴'!$B:$B,'単価履歴'!$E:$E,AO$1,'単価履歴'!$F:$F,$A18))=0,"",MAXIFS('単価履歴'!$H:$H,'単価履歴'!$E:$E,AO$1,'単価履歴'!$F:$F,$A18,'単価履歴'!$B:$B,MAXIFS('単価履歴'!$B:$B,'単価履歴'!$E:$E,AO$1,'単価履歴'!$F:$F,$A18)))</f>
        <v/>
      </c>
      <c r="AP18" s="332" t="str">
        <f>IF(MAXIFS('単価履歴'!$H:$H,'単価履歴'!$E:$E,AP$1,'単価履歴'!$F:$F,$A18,'単価履歴'!$B:$B,MAXIFS('単価履歴'!$B:$B,'単価履歴'!$E:$E,AP$1,'単価履歴'!$F:$F,$A18))=0,"",MAXIFS('単価履歴'!$H:$H,'単価履歴'!$E:$E,AP$1,'単価履歴'!$F:$F,$A18,'単価履歴'!$B:$B,MAXIFS('単価履歴'!$B:$B,'単価履歴'!$E:$E,AP$1,'単価履歴'!$F:$F,$A18)))</f>
        <v/>
      </c>
      <c r="AQ18" s="332" t="str">
        <f>IF(MAXIFS('単価履歴'!$H:$H,'単価履歴'!$E:$E,AQ$1,'単価履歴'!$F:$F,$A18,'単価履歴'!$B:$B,MAXIFS('単価履歴'!$B:$B,'単価履歴'!$E:$E,AQ$1,'単価履歴'!$F:$F,$A18))=0,"",MAXIFS('単価履歴'!$H:$H,'単価履歴'!$E:$E,AQ$1,'単価履歴'!$F:$F,$A18,'単価履歴'!$B:$B,MAXIFS('単価履歴'!$B:$B,'単価履歴'!$E:$E,AQ$1,'単価履歴'!$F:$F,$A18)))</f>
        <v/>
      </c>
      <c r="AR18" s="332" t="str">
        <f>IF(MAXIFS('単価履歴'!$H:$H,'単価履歴'!$E:$E,AR$1,'単価履歴'!$F:$F,$A18,'単価履歴'!$B:$B,MAXIFS('単価履歴'!$B:$B,'単価履歴'!$E:$E,AR$1,'単価履歴'!$F:$F,$A18))=0,"",MAXIFS('単価履歴'!$H:$H,'単価履歴'!$E:$E,AR$1,'単価履歴'!$F:$F,$A18,'単価履歴'!$B:$B,MAXIFS('単価履歴'!$B:$B,'単価履歴'!$E:$E,AR$1,'単価履歴'!$F:$F,$A18)))</f>
        <v/>
      </c>
      <c r="AS18" s="332" t="str">
        <f>IF(MAXIFS('単価履歴'!$H:$H,'単価履歴'!$E:$E,AS$1,'単価履歴'!$F:$F,$A18,'単価履歴'!$B:$B,MAXIFS('単価履歴'!$B:$B,'単価履歴'!$E:$E,AS$1,'単価履歴'!$F:$F,$A18))=0,"",MAXIFS('単価履歴'!$H:$H,'単価履歴'!$E:$E,AS$1,'単価履歴'!$F:$F,$A18,'単価履歴'!$B:$B,MAXIFS('単価履歴'!$B:$B,'単価履歴'!$E:$E,AS$1,'単価履歴'!$F:$F,$A18)))</f>
        <v/>
      </c>
      <c r="AT18" s="332" t="str">
        <f>IF(MAXIFS('単価履歴'!$H:$H,'単価履歴'!$E:$E,AT$1,'単価履歴'!$F:$F,$A18,'単価履歴'!$B:$B,MAXIFS('単価履歴'!$B:$B,'単価履歴'!$E:$E,AT$1,'単価履歴'!$F:$F,$A18))=0,"",MAXIFS('単価履歴'!$H:$H,'単価履歴'!$E:$E,AT$1,'単価履歴'!$F:$F,$A18,'単価履歴'!$B:$B,MAXIFS('単価履歴'!$B:$B,'単価履歴'!$E:$E,AT$1,'単価履歴'!$F:$F,$A18)))</f>
        <v/>
      </c>
      <c r="AU18" s="332" t="str">
        <f>IF(MAXIFS('単価履歴'!$H:$H,'単価履歴'!$E:$E,AU$1,'単価履歴'!$F:$F,$A18,'単価履歴'!$B:$B,MAXIFS('単価履歴'!$B:$B,'単価履歴'!$E:$E,AU$1,'単価履歴'!$F:$F,$A18))=0,"",MAXIFS('単価履歴'!$H:$H,'単価履歴'!$E:$E,AU$1,'単価履歴'!$F:$F,$A18,'単価履歴'!$B:$B,MAXIFS('単価履歴'!$B:$B,'単価履歴'!$E:$E,AU$1,'単価履歴'!$F:$F,$A18)))</f>
        <v/>
      </c>
      <c r="AV18" s="332" t="str">
        <f>IF(MAXIFS('単価履歴'!$H:$H,'単価履歴'!$E:$E,AV$1,'単価履歴'!$F:$F,$A18,'単価履歴'!$B:$B,MAXIFS('単価履歴'!$B:$B,'単価履歴'!$E:$E,AV$1,'単価履歴'!$F:$F,$A18))=0,"",MAXIFS('単価履歴'!$H:$H,'単価履歴'!$E:$E,AV$1,'単価履歴'!$F:$F,$A18,'単価履歴'!$B:$B,MAXIFS('単価履歴'!$B:$B,'単価履歴'!$E:$E,AV$1,'単価履歴'!$F:$F,$A18)))</f>
        <v/>
      </c>
      <c r="AW18" s="332" t="str">
        <f>IF(MAXIFS('単価履歴'!$H:$H,'単価履歴'!$E:$E,AW$1,'単価履歴'!$F:$F,$A18,'単価履歴'!$B:$B,MAXIFS('単価履歴'!$B:$B,'単価履歴'!$E:$E,AW$1,'単価履歴'!$F:$F,$A18))=0,"",MAXIFS('単価履歴'!$H:$H,'単価履歴'!$E:$E,AW$1,'単価履歴'!$F:$F,$A18,'単価履歴'!$B:$B,MAXIFS('単価履歴'!$B:$B,'単価履歴'!$E:$E,AW$1,'単価履歴'!$F:$F,$A18)))</f>
        <v/>
      </c>
      <c r="AX18" s="332" t="str">
        <f>IF(MAXIFS('単価履歴'!$H:$H,'単価履歴'!$E:$E,AX$1,'単価履歴'!$F:$F,$A18,'単価履歴'!$B:$B,MAXIFS('単価履歴'!$B:$B,'単価履歴'!$E:$E,AX$1,'単価履歴'!$F:$F,$A18))=0,"",MAXIFS('単価履歴'!$H:$H,'単価履歴'!$E:$E,AX$1,'単価履歴'!$F:$F,$A18,'単価履歴'!$B:$B,MAXIFS('単価履歴'!$B:$B,'単価履歴'!$E:$E,AX$1,'単価履歴'!$F:$F,$A18)))</f>
        <v/>
      </c>
      <c r="AY18" s="332" t="str">
        <f>IF(MAXIFS('単価履歴'!$H:$H,'単価履歴'!$E:$E,AY$1,'単価履歴'!$F:$F,$A18,'単価履歴'!$B:$B,MAXIFS('単価履歴'!$B:$B,'単価履歴'!$E:$E,AY$1,'単価履歴'!$F:$F,$A18))=0,"",MAXIFS('単価履歴'!$H:$H,'単価履歴'!$E:$E,AY$1,'単価履歴'!$F:$F,$A18,'単価履歴'!$B:$B,MAXIFS('単価履歴'!$B:$B,'単価履歴'!$E:$E,AY$1,'単価履歴'!$F:$F,$A18)))</f>
        <v/>
      </c>
      <c r="AZ18" s="332" t="str">
        <f>IF(MAXIFS('単価履歴'!$H:$H,'単価履歴'!$E:$E,AZ$1,'単価履歴'!$F:$F,$A18,'単価履歴'!$B:$B,MAXIFS('単価履歴'!$B:$B,'単価履歴'!$E:$E,AZ$1,'単価履歴'!$F:$F,$A18))=0,"",MAXIFS('単価履歴'!$H:$H,'単価履歴'!$E:$E,AZ$1,'単価履歴'!$F:$F,$A18,'単価履歴'!$B:$B,MAXIFS('単価履歴'!$B:$B,'単価履歴'!$E:$E,AZ$1,'単価履歴'!$F:$F,$A18)))</f>
        <v/>
      </c>
      <c r="BA18" s="332" t="str">
        <f>IF(MAXIFS('単価履歴'!$H:$H,'単価履歴'!$E:$E,BA$1,'単価履歴'!$F:$F,$A18,'単価履歴'!$B:$B,MAXIFS('単価履歴'!$B:$B,'単価履歴'!$E:$E,BA$1,'単価履歴'!$F:$F,$A18))=0,"",MAXIFS('単価履歴'!$H:$H,'単価履歴'!$E:$E,BA$1,'単価履歴'!$F:$F,$A18,'単価履歴'!$B:$B,MAXIFS('単価履歴'!$B:$B,'単価履歴'!$E:$E,BA$1,'単価履歴'!$F:$F,$A18)))</f>
        <v/>
      </c>
      <c r="BB18" s="332" t="str">
        <f>IF(MAXIFS('単価履歴'!$H:$H,'単価履歴'!$E:$E,BB$1,'単価履歴'!$F:$F,$A18,'単価履歴'!$B:$B,MAXIFS('単価履歴'!$B:$B,'単価履歴'!$E:$E,BB$1,'単価履歴'!$F:$F,$A18))=0,"",MAXIFS('単価履歴'!$H:$H,'単価履歴'!$E:$E,BB$1,'単価履歴'!$F:$F,$A18,'単価履歴'!$B:$B,MAXIFS('単価履歴'!$B:$B,'単価履歴'!$E:$E,BB$1,'単価履歴'!$F:$F,$A18)))</f>
        <v/>
      </c>
      <c r="BC18" s="332" t="str">
        <f>IF(MAXIFS('単価履歴'!$H:$H,'単価履歴'!$E:$E,BC$1,'単価履歴'!$F:$F,$A18,'単価履歴'!$B:$B,MAXIFS('単価履歴'!$B:$B,'単価履歴'!$E:$E,BC$1,'単価履歴'!$F:$F,$A18))=0,"",MAXIFS('単価履歴'!$H:$H,'単価履歴'!$E:$E,BC$1,'単価履歴'!$F:$F,$A18,'単価履歴'!$B:$B,MAXIFS('単価履歴'!$B:$B,'単価履歴'!$E:$E,BC$1,'単価履歴'!$F:$F,$A18)))</f>
        <v/>
      </c>
      <c r="BD18" s="332" t="str">
        <f>IF(MAXIFS('単価履歴'!$H:$H,'単価履歴'!$E:$E,BD$1,'単価履歴'!$F:$F,$A18,'単価履歴'!$B:$B,MAXIFS('単価履歴'!$B:$B,'単価履歴'!$E:$E,BD$1,'単価履歴'!$F:$F,$A18))=0,"",MAXIFS('単価履歴'!$H:$H,'単価履歴'!$E:$E,BD$1,'単価履歴'!$F:$F,$A18,'単価履歴'!$B:$B,MAXIFS('単価履歴'!$B:$B,'単価履歴'!$E:$E,BD$1,'単価履歴'!$F:$F,$A18)))</f>
        <v/>
      </c>
      <c r="BE18" s="332" t="str">
        <f>IF(MAXIFS('単価履歴'!$H:$H,'単価履歴'!$E:$E,BE$1,'単価履歴'!$F:$F,$A18,'単価履歴'!$B:$B,MAXIFS('単価履歴'!$B:$B,'単価履歴'!$E:$E,BE$1,'単価履歴'!$F:$F,$A18))=0,"",MAXIFS('単価履歴'!$H:$H,'単価履歴'!$E:$E,BE$1,'単価履歴'!$F:$F,$A18,'単価履歴'!$B:$B,MAXIFS('単価履歴'!$B:$B,'単価履歴'!$E:$E,BE$1,'単価履歴'!$F:$F,$A18)))</f>
        <v/>
      </c>
      <c r="BF18" s="332" t="str">
        <f>IF(MAXIFS('単価履歴'!$H:$H,'単価履歴'!$E:$E,BF$1,'単価履歴'!$F:$F,$A18,'単価履歴'!$B:$B,MAXIFS('単価履歴'!$B:$B,'単価履歴'!$E:$E,BF$1,'単価履歴'!$F:$F,$A18))=0,"",MAXIFS('単価履歴'!$H:$H,'単価履歴'!$E:$E,BF$1,'単価履歴'!$F:$F,$A18,'単価履歴'!$B:$B,MAXIFS('単価履歴'!$B:$B,'単価履歴'!$E:$E,BF$1,'単価履歴'!$F:$F,$A18)))</f>
        <v/>
      </c>
      <c r="BG18" s="332" t="str">
        <f>IF(MAXIFS('単価履歴'!$H:$H,'単価履歴'!$E:$E,BG$1,'単価履歴'!$F:$F,$A18,'単価履歴'!$B:$B,MAXIFS('単価履歴'!$B:$B,'単価履歴'!$E:$E,BG$1,'単価履歴'!$F:$F,$A18))=0,"",MAXIFS('単価履歴'!$H:$H,'単価履歴'!$E:$E,BG$1,'単価履歴'!$F:$F,$A18,'単価履歴'!$B:$B,MAXIFS('単価履歴'!$B:$B,'単価履歴'!$E:$E,BG$1,'単価履歴'!$F:$F,$A18)))</f>
        <v/>
      </c>
      <c r="BH18" s="332" t="str">
        <f>IF(MAXIFS('単価履歴'!$H:$H,'単価履歴'!$E:$E,BH$1,'単価履歴'!$F:$F,$A18,'単価履歴'!$B:$B,MAXIFS('単価履歴'!$B:$B,'単価履歴'!$E:$E,BH$1,'単価履歴'!$F:$F,$A18))=0,"",MAXIFS('単価履歴'!$H:$H,'単価履歴'!$E:$E,BH$1,'単価履歴'!$F:$F,$A18,'単価履歴'!$B:$B,MAXIFS('単価履歴'!$B:$B,'単価履歴'!$E:$E,BH$1,'単価履歴'!$F:$F,$A18)))</f>
        <v/>
      </c>
      <c r="BI18" s="332" t="str">
        <f>IF(MAXIFS('単価履歴'!$H:$H,'単価履歴'!$E:$E,BI$1,'単価履歴'!$F:$F,$A18,'単価履歴'!$B:$B,MAXIFS('単価履歴'!$B:$B,'単価履歴'!$E:$E,BI$1,'単価履歴'!$F:$F,$A18))=0,"",MAXIFS('単価履歴'!$H:$H,'単価履歴'!$E:$E,BI$1,'単価履歴'!$F:$F,$A18,'単価履歴'!$B:$B,MAXIFS('単価履歴'!$B:$B,'単価履歴'!$E:$E,BI$1,'単価履歴'!$F:$F,$A18)))</f>
        <v/>
      </c>
      <c r="BJ18" s="332" t="str">
        <f>IF(MAXIFS('単価履歴'!$H:$H,'単価履歴'!$E:$E,BJ$1,'単価履歴'!$F:$F,$A18,'単価履歴'!$B:$B,MAXIFS('単価履歴'!$B:$B,'単価履歴'!$E:$E,BJ$1,'単価履歴'!$F:$F,$A18))=0,"",MAXIFS('単価履歴'!$H:$H,'単価履歴'!$E:$E,BJ$1,'単価履歴'!$F:$F,$A18,'単価履歴'!$B:$B,MAXIFS('単価履歴'!$B:$B,'単価履歴'!$E:$E,BJ$1,'単価履歴'!$F:$F,$A18)))</f>
        <v/>
      </c>
      <c r="BK18" s="332" t="str">
        <f>IF(MAXIFS('単価履歴'!$H:$H,'単価履歴'!$E:$E,BK$1,'単価履歴'!$F:$F,$A18,'単価履歴'!$B:$B,MAXIFS('単価履歴'!$B:$B,'単価履歴'!$E:$E,BK$1,'単価履歴'!$F:$F,$A18))=0,"",MAXIFS('単価履歴'!$H:$H,'単価履歴'!$E:$E,BK$1,'単価履歴'!$F:$F,$A18,'単価履歴'!$B:$B,MAXIFS('単価履歴'!$B:$B,'単価履歴'!$E:$E,BK$1,'単価履歴'!$F:$F,$A18)))</f>
        <v/>
      </c>
      <c r="BL18" s="332" t="str">
        <f>IF(MAXIFS('単価履歴'!$H:$H,'単価履歴'!$E:$E,BL$1,'単価履歴'!$F:$F,$A18,'単価履歴'!$B:$B,MAXIFS('単価履歴'!$B:$B,'単価履歴'!$E:$E,BL$1,'単価履歴'!$F:$F,$A18))=0,"",MAXIFS('単価履歴'!$H:$H,'単価履歴'!$E:$E,BL$1,'単価履歴'!$F:$F,$A18,'単価履歴'!$B:$B,MAXIFS('単価履歴'!$B:$B,'単価履歴'!$E:$E,BL$1,'単価履歴'!$F:$F,$A18)))</f>
        <v/>
      </c>
      <c r="BM18" s="332" t="str">
        <f>IF(MAXIFS('単価履歴'!$H:$H,'単価履歴'!$E:$E,BM$1,'単価履歴'!$F:$F,$A18,'単価履歴'!$B:$B,MAXIFS('単価履歴'!$B:$B,'単価履歴'!$E:$E,BM$1,'単価履歴'!$F:$F,$A18))=0,"",MAXIFS('単価履歴'!$H:$H,'単価履歴'!$E:$E,BM$1,'単価履歴'!$F:$F,$A18,'単価履歴'!$B:$B,MAXIFS('単価履歴'!$B:$B,'単価履歴'!$E:$E,BM$1,'単価履歴'!$F:$F,$A18)))</f>
        <v/>
      </c>
      <c r="BN18" s="332" t="str">
        <f>IF(MAXIFS('単価履歴'!$H:$H,'単価履歴'!$E:$E,BN$1,'単価履歴'!$F:$F,$A18,'単価履歴'!$B:$B,MAXIFS('単価履歴'!$B:$B,'単価履歴'!$E:$E,BN$1,'単価履歴'!$F:$F,$A18))=0,"",MAXIFS('単価履歴'!$H:$H,'単価履歴'!$E:$E,BN$1,'単価履歴'!$F:$F,$A18,'単価履歴'!$B:$B,MAXIFS('単価履歴'!$B:$B,'単価履歴'!$E:$E,BN$1,'単価履歴'!$F:$F,$A18)))</f>
        <v/>
      </c>
      <c r="BO18" s="332" t="str">
        <f>IF(MAXIFS('単価履歴'!$H:$H,'単価履歴'!$E:$E,BO$1,'単価履歴'!$F:$F,$A18,'単価履歴'!$B:$B,MAXIFS('単価履歴'!$B:$B,'単価履歴'!$E:$E,BO$1,'単価履歴'!$F:$F,$A18))=0,"",MAXIFS('単価履歴'!$H:$H,'単価履歴'!$E:$E,BO$1,'単価履歴'!$F:$F,$A18,'単価履歴'!$B:$B,MAXIFS('単価履歴'!$B:$B,'単価履歴'!$E:$E,BO$1,'単価履歴'!$F:$F,$A18)))</f>
        <v/>
      </c>
      <c r="BP18" s="332" t="str">
        <f>IF(MAXIFS('単価履歴'!$H:$H,'単価履歴'!$E:$E,BP$1,'単価履歴'!$F:$F,$A18,'単価履歴'!$B:$B,MAXIFS('単価履歴'!$B:$B,'単価履歴'!$E:$E,BP$1,'単価履歴'!$F:$F,$A18))=0,"",MAXIFS('単価履歴'!$H:$H,'単価履歴'!$E:$E,BP$1,'単価履歴'!$F:$F,$A18,'単価履歴'!$B:$B,MAXIFS('単価履歴'!$B:$B,'単価履歴'!$E:$E,BP$1,'単価履歴'!$F:$F,$A18)))</f>
        <v/>
      </c>
      <c r="BQ18" s="332" t="str">
        <f>IF(MAXIFS('単価履歴'!$H:$H,'単価履歴'!$E:$E,BQ$1,'単価履歴'!$F:$F,$A18,'単価履歴'!$B:$B,MAXIFS('単価履歴'!$B:$B,'単価履歴'!$E:$E,BQ$1,'単価履歴'!$F:$F,$A18))=0,"",MAXIFS('単価履歴'!$H:$H,'単価履歴'!$E:$E,BQ$1,'単価履歴'!$F:$F,$A18,'単価履歴'!$B:$B,MAXIFS('単価履歴'!$B:$B,'単価履歴'!$E:$E,BQ$1,'単価履歴'!$F:$F,$A18)))</f>
        <v/>
      </c>
      <c r="BR18" s="332" t="str">
        <f>IF(MAXIFS('単価履歴'!$H:$H,'単価履歴'!$E:$E,BR$1,'単価履歴'!$F:$F,$A18,'単価履歴'!$B:$B,MAXIFS('単価履歴'!$B:$B,'単価履歴'!$E:$E,BR$1,'単価履歴'!$F:$F,$A18))=0,"",MAXIFS('単価履歴'!$H:$H,'単価履歴'!$E:$E,BR$1,'単価履歴'!$F:$F,$A18,'単価履歴'!$B:$B,MAXIFS('単価履歴'!$B:$B,'単価履歴'!$E:$E,BR$1,'単価履歴'!$F:$F,$A18)))</f>
        <v/>
      </c>
      <c r="BS18" s="332" t="str">
        <f>IF(MAXIFS('単価履歴'!$H:$H,'単価履歴'!$E:$E,BS$1,'単価履歴'!$F:$F,$A18,'単価履歴'!$B:$B,MAXIFS('単価履歴'!$B:$B,'単価履歴'!$E:$E,BS$1,'単価履歴'!$F:$F,$A18))=0,"",MAXIFS('単価履歴'!$H:$H,'単価履歴'!$E:$E,BS$1,'単価履歴'!$F:$F,$A18,'単価履歴'!$B:$B,MAXIFS('単価履歴'!$B:$B,'単価履歴'!$E:$E,BS$1,'単価履歴'!$F:$F,$A18)))</f>
        <v/>
      </c>
      <c r="BT18" s="332" t="str">
        <f>IF(MAXIFS('単価履歴'!$H:$H,'単価履歴'!$E:$E,BT$1,'単価履歴'!$F:$F,$A18,'単価履歴'!$B:$B,MAXIFS('単価履歴'!$B:$B,'単価履歴'!$E:$E,BT$1,'単価履歴'!$F:$F,$A18))=0,"",MAXIFS('単価履歴'!$H:$H,'単価履歴'!$E:$E,BT$1,'単価履歴'!$F:$F,$A18,'単価履歴'!$B:$B,MAXIFS('単価履歴'!$B:$B,'単価履歴'!$E:$E,BT$1,'単価履歴'!$F:$F,$A18)))</f>
        <v/>
      </c>
      <c r="BU18" s="332" t="str">
        <f>IF(MAXIFS('単価履歴'!$H:$H,'単価履歴'!$E:$E,BU$1,'単価履歴'!$F:$F,$A18,'単価履歴'!$B:$B,MAXIFS('単価履歴'!$B:$B,'単価履歴'!$E:$E,BU$1,'単価履歴'!$F:$F,$A18))=0,"",MAXIFS('単価履歴'!$H:$H,'単価履歴'!$E:$E,BU$1,'単価履歴'!$F:$F,$A18,'単価履歴'!$B:$B,MAXIFS('単価履歴'!$B:$B,'単価履歴'!$E:$E,BU$1,'単価履歴'!$F:$F,$A18)))</f>
        <v/>
      </c>
      <c r="BV18" s="332" t="str">
        <f>IF(MAXIFS('単価履歴'!$H:$H,'単価履歴'!$E:$E,BV$1,'単価履歴'!$F:$F,$A18,'単価履歴'!$B:$B,MAXIFS('単価履歴'!$B:$B,'単価履歴'!$E:$E,BV$1,'単価履歴'!$F:$F,$A18))=0,"",MAXIFS('単価履歴'!$H:$H,'単価履歴'!$E:$E,BV$1,'単価履歴'!$F:$F,$A18,'単価履歴'!$B:$B,MAXIFS('単価履歴'!$B:$B,'単価履歴'!$E:$E,BV$1,'単価履歴'!$F:$F,$A18)))</f>
        <v/>
      </c>
      <c r="BW18" s="332" t="str">
        <f>IF(MAXIFS('単価履歴'!$H:$H,'単価履歴'!$E:$E,BW$1,'単価履歴'!$F:$F,$A18,'単価履歴'!$B:$B,MAXIFS('単価履歴'!$B:$B,'単価履歴'!$E:$E,BW$1,'単価履歴'!$F:$F,$A18))=0,"",MAXIFS('単価履歴'!$H:$H,'単価履歴'!$E:$E,BW$1,'単価履歴'!$F:$F,$A18,'単価履歴'!$B:$B,MAXIFS('単価履歴'!$B:$B,'単価履歴'!$E:$E,BW$1,'単価履歴'!$F:$F,$A18)))</f>
        <v/>
      </c>
      <c r="BX18" s="332" t="str">
        <f>IF(MAXIFS('単価履歴'!$H:$H,'単価履歴'!$E:$E,BX$1,'単価履歴'!$F:$F,$A18,'単価履歴'!$B:$B,MAXIFS('単価履歴'!$B:$B,'単価履歴'!$E:$E,BX$1,'単価履歴'!$F:$F,$A18))=0,"",MAXIFS('単価履歴'!$H:$H,'単価履歴'!$E:$E,BX$1,'単価履歴'!$F:$F,$A18,'単価履歴'!$B:$B,MAXIFS('単価履歴'!$B:$B,'単価履歴'!$E:$E,BX$1,'単価履歴'!$F:$F,$A18)))</f>
        <v/>
      </c>
      <c r="BY18" s="332" t="str">
        <f>IF(MAXIFS('単価履歴'!$H:$H,'単価履歴'!$E:$E,BY$1,'単価履歴'!$F:$F,$A18,'単価履歴'!$B:$B,MAXIFS('単価履歴'!$B:$B,'単価履歴'!$E:$E,BY$1,'単価履歴'!$F:$F,$A18))=0,"",MAXIFS('単価履歴'!$H:$H,'単価履歴'!$E:$E,BY$1,'単価履歴'!$F:$F,$A18,'単価履歴'!$B:$B,MAXIFS('単価履歴'!$B:$B,'単価履歴'!$E:$E,BY$1,'単価履歴'!$F:$F,$A18)))</f>
        <v/>
      </c>
      <c r="BZ18" s="332" t="str">
        <f>IF(MAXIFS('単価履歴'!$H:$H,'単価履歴'!$E:$E,BZ$1,'単価履歴'!$F:$F,$A18,'単価履歴'!$B:$B,MAXIFS('単価履歴'!$B:$B,'単価履歴'!$E:$E,BZ$1,'単価履歴'!$F:$F,$A18))=0,"",MAXIFS('単価履歴'!$H:$H,'単価履歴'!$E:$E,BZ$1,'単価履歴'!$F:$F,$A18,'単価履歴'!$B:$B,MAXIFS('単価履歴'!$B:$B,'単価履歴'!$E:$E,BZ$1,'単価履歴'!$F:$F,$A18)))</f>
        <v/>
      </c>
      <c r="CA18" s="332" t="str">
        <f>IF(MAXIFS('単価履歴'!$H:$H,'単価履歴'!$E:$E,CA$1,'単価履歴'!$F:$F,$A18,'単価履歴'!$B:$B,MAXIFS('単価履歴'!$B:$B,'単価履歴'!$E:$E,CA$1,'単価履歴'!$F:$F,$A18))=0,"",MAXIFS('単価履歴'!$H:$H,'単価履歴'!$E:$E,CA$1,'単価履歴'!$F:$F,$A18,'単価履歴'!$B:$B,MAXIFS('単価履歴'!$B:$B,'単価履歴'!$E:$E,CA$1,'単価履歴'!$F:$F,$A18)))</f>
        <v/>
      </c>
      <c r="CB18" s="332" t="str">
        <f>IF(MAXIFS('単価履歴'!$H:$H,'単価履歴'!$E:$E,CB$1,'単価履歴'!$F:$F,$A18,'単価履歴'!$B:$B,MAXIFS('単価履歴'!$B:$B,'単価履歴'!$E:$E,CB$1,'単価履歴'!$F:$F,$A18))=0,"",MAXIFS('単価履歴'!$H:$H,'単価履歴'!$E:$E,CB$1,'単価履歴'!$F:$F,$A18,'単価履歴'!$B:$B,MAXIFS('単価履歴'!$B:$B,'単価履歴'!$E:$E,CB$1,'単価履歴'!$F:$F,$A18)))</f>
        <v/>
      </c>
      <c r="CC18" s="332" t="str">
        <f>IF(MAXIFS('単価履歴'!$H:$H,'単価履歴'!$E:$E,CC$1,'単価履歴'!$F:$F,$A18,'単価履歴'!$B:$B,MAXIFS('単価履歴'!$B:$B,'単価履歴'!$E:$E,CC$1,'単価履歴'!$F:$F,$A18))=0,"",MAXIFS('単価履歴'!$H:$H,'単価履歴'!$E:$E,CC$1,'単価履歴'!$F:$F,$A18,'単価履歴'!$B:$B,MAXIFS('単価履歴'!$B:$B,'単価履歴'!$E:$E,CC$1,'単価履歴'!$F:$F,$A18)))</f>
        <v/>
      </c>
      <c r="CD18" s="332" t="str">
        <f>IF(MAXIFS('単価履歴'!$H:$H,'単価履歴'!$E:$E,CD$1,'単価履歴'!$F:$F,$A18,'単価履歴'!$B:$B,MAXIFS('単価履歴'!$B:$B,'単価履歴'!$E:$E,CD$1,'単価履歴'!$F:$F,$A18))=0,"",MAXIFS('単価履歴'!$H:$H,'単価履歴'!$E:$E,CD$1,'単価履歴'!$F:$F,$A18,'単価履歴'!$B:$B,MAXIFS('単価履歴'!$B:$B,'単価履歴'!$E:$E,CD$1,'単価履歴'!$F:$F,$A18)))</f>
        <v/>
      </c>
      <c r="CE18" s="332" t="str">
        <f>IF(MAXIFS('単価履歴'!$H:$H,'単価履歴'!$E:$E,CE$1,'単価履歴'!$F:$F,$A18,'単価履歴'!$B:$B,MAXIFS('単価履歴'!$B:$B,'単価履歴'!$E:$E,CE$1,'単価履歴'!$F:$F,$A18))=0,"",MAXIFS('単価履歴'!$H:$H,'単価履歴'!$E:$E,CE$1,'単価履歴'!$F:$F,$A18,'単価履歴'!$B:$B,MAXIFS('単価履歴'!$B:$B,'単価履歴'!$E:$E,CE$1,'単価履歴'!$F:$F,$A18)))</f>
        <v/>
      </c>
      <c r="CF18" s="332" t="str">
        <f>IF(MAXIFS('単価履歴'!$H:$H,'単価履歴'!$E:$E,CF$1,'単価履歴'!$F:$F,$A18,'単価履歴'!$B:$B,MAXIFS('単価履歴'!$B:$B,'単価履歴'!$E:$E,CF$1,'単価履歴'!$F:$F,$A18))=0,"",MAXIFS('単価履歴'!$H:$H,'単価履歴'!$E:$E,CF$1,'単価履歴'!$F:$F,$A18,'単価履歴'!$B:$B,MAXIFS('単価履歴'!$B:$B,'単価履歴'!$E:$E,CF$1,'単価履歴'!$F:$F,$A18)))</f>
        <v/>
      </c>
      <c r="CG18" s="332" t="str">
        <f>IF(MAXIFS('単価履歴'!$H:$H,'単価履歴'!$E:$E,CG$1,'単価履歴'!$F:$F,$A18,'単価履歴'!$B:$B,MAXIFS('単価履歴'!$B:$B,'単価履歴'!$E:$E,CG$1,'単価履歴'!$F:$F,$A18))=0,"",MAXIFS('単価履歴'!$H:$H,'単価履歴'!$E:$E,CG$1,'単価履歴'!$F:$F,$A18,'単価履歴'!$B:$B,MAXIFS('単価履歴'!$B:$B,'単価履歴'!$E:$E,CG$1,'単価履歴'!$F:$F,$A18)))</f>
        <v/>
      </c>
      <c r="CH18" s="332" t="str">
        <f>IF(MAXIFS('単価履歴'!$H:$H,'単価履歴'!$E:$E,CH$1,'単価履歴'!$F:$F,$A18,'単価履歴'!$B:$B,MAXIFS('単価履歴'!$B:$B,'単価履歴'!$E:$E,CH$1,'単価履歴'!$F:$F,$A18))=0,"",MAXIFS('単価履歴'!$H:$H,'単価履歴'!$E:$E,CH$1,'単価履歴'!$F:$F,$A18,'単価履歴'!$B:$B,MAXIFS('単価履歴'!$B:$B,'単価履歴'!$E:$E,CH$1,'単価履歴'!$F:$F,$A18)))</f>
        <v/>
      </c>
    </row>
    <row r="19" ht="15.75" customHeight="1">
      <c r="A19" s="432" t="s">
        <v>151</v>
      </c>
      <c r="B19" s="332">
        <f>MAXIFS('単価履歴'!H:H,'単価履歴'!F:F,A19,'単価履歴'!N:N,"●")</f>
        <v>53.5</v>
      </c>
      <c r="C19" s="332">
        <f>IF(MAXIFS('単価履歴'!$H:$H,'単価履歴'!$E:$E,C$1,'単価履歴'!$F:$F,$A19,'単価履歴'!$B:$B,MAXIFS('単価履歴'!$B:$B,'単価履歴'!$E:$E,C$1,'単価履歴'!$F:$F,$A19))=0,"",MAXIFS('単価履歴'!$H:$H,'単価履歴'!$E:$E,C$1,'単価履歴'!$F:$F,$A19,'単価履歴'!$B:$B,MAXIFS('単価履歴'!$B:$B,'単価履歴'!$E:$E,C$1,'単価履歴'!$F:$F,$A19)))</f>
        <v>53.5</v>
      </c>
      <c r="D19" s="332" t="str">
        <f>IF(MAXIFS('単価履歴'!$H:$H,'単価履歴'!$E:$E,D$1,'単価履歴'!$F:$F,$A19,'単価履歴'!$B:$B,MAXIFS('単価履歴'!$B:$B,'単価履歴'!$E:$E,D$1,'単価履歴'!$F:$F,$A19))=0,"",MAXIFS('単価履歴'!$H:$H,'単価履歴'!$E:$E,D$1,'単価履歴'!$F:$F,$A19,'単価履歴'!$B:$B,MAXIFS('単価履歴'!$B:$B,'単価履歴'!$E:$E,D$1,'単価履歴'!$F:$F,$A19)))</f>
        <v/>
      </c>
      <c r="E19" s="332" t="str">
        <f>IF(MAXIFS('単価履歴'!$H:$H,'単価履歴'!$E:$E,E$1,'単価履歴'!$F:$F,$A19,'単価履歴'!$B:$B,MAXIFS('単価履歴'!$B:$B,'単価履歴'!$E:$E,E$1,'単価履歴'!$F:$F,$A19))=0,"",MAXIFS('単価履歴'!$H:$H,'単価履歴'!$E:$E,E$1,'単価履歴'!$F:$F,$A19,'単価履歴'!$B:$B,MAXIFS('単価履歴'!$B:$B,'単価履歴'!$E:$E,E$1,'単価履歴'!$F:$F,$A19)))</f>
        <v/>
      </c>
      <c r="F19" s="332" t="str">
        <f>IF(MAXIFS('単価履歴'!$H:$H,'単価履歴'!$E:$E,F$1,'単価履歴'!$F:$F,$A19,'単価履歴'!$B:$B,MAXIFS('単価履歴'!$B:$B,'単価履歴'!$E:$E,F$1,'単価履歴'!$F:$F,$A19))=0,"",MAXIFS('単価履歴'!$H:$H,'単価履歴'!$E:$E,F$1,'単価履歴'!$F:$F,$A19,'単価履歴'!$B:$B,MAXIFS('単価履歴'!$B:$B,'単価履歴'!$E:$E,F$1,'単価履歴'!$F:$F,$A19)))</f>
        <v/>
      </c>
      <c r="G19" s="332" t="str">
        <f>IF(MAXIFS('単価履歴'!$H:$H,'単価履歴'!$E:$E,G$1,'単価履歴'!$F:$F,$A19,'単価履歴'!$B:$B,MAXIFS('単価履歴'!$B:$B,'単価履歴'!$E:$E,G$1,'単価履歴'!$F:$F,$A19))=0,"",MAXIFS('単価履歴'!$H:$H,'単価履歴'!$E:$E,G$1,'単価履歴'!$F:$F,$A19,'単価履歴'!$B:$B,MAXIFS('単価履歴'!$B:$B,'単価履歴'!$E:$E,G$1,'単価履歴'!$F:$F,$A19)))</f>
        <v/>
      </c>
      <c r="H19" s="332" t="str">
        <f>IF(MAXIFS('単価履歴'!$H:$H,'単価履歴'!$E:$E,H$1,'単価履歴'!$F:$F,$A19,'単価履歴'!$B:$B,MAXIFS('単価履歴'!$B:$B,'単価履歴'!$E:$E,H$1,'単価履歴'!$F:$F,$A19))=0,"",MAXIFS('単価履歴'!$H:$H,'単価履歴'!$E:$E,H$1,'単価履歴'!$F:$F,$A19,'単価履歴'!$B:$B,MAXIFS('単価履歴'!$B:$B,'単価履歴'!$E:$E,H$1,'単価履歴'!$F:$F,$A19)))</f>
        <v/>
      </c>
      <c r="I19" s="332" t="str">
        <f>IF(MAXIFS('単価履歴'!$H:$H,'単価履歴'!$E:$E,I$1,'単価履歴'!$F:$F,$A19,'単価履歴'!$B:$B,MAXIFS('単価履歴'!$B:$B,'単価履歴'!$E:$E,I$1,'単価履歴'!$F:$F,$A19))=0,"",MAXIFS('単価履歴'!$H:$H,'単価履歴'!$E:$E,I$1,'単価履歴'!$F:$F,$A19,'単価履歴'!$B:$B,MAXIFS('単価履歴'!$B:$B,'単価履歴'!$E:$E,I$1,'単価履歴'!$F:$F,$A19)))</f>
        <v/>
      </c>
      <c r="J19" s="332" t="str">
        <f>IF(MAXIFS('単価履歴'!$H:$H,'単価履歴'!$E:$E,J$1,'単価履歴'!$F:$F,$A19,'単価履歴'!$B:$B,MAXIFS('単価履歴'!$B:$B,'単価履歴'!$E:$E,J$1,'単価履歴'!$F:$F,$A19))=0,"",MAXIFS('単価履歴'!$H:$H,'単価履歴'!$E:$E,J$1,'単価履歴'!$F:$F,$A19,'単価履歴'!$B:$B,MAXIFS('単価履歴'!$B:$B,'単価履歴'!$E:$E,J$1,'単価履歴'!$F:$F,$A19)))</f>
        <v/>
      </c>
      <c r="K19" s="332" t="str">
        <f>IF(MAXIFS('単価履歴'!$H:$H,'単価履歴'!$E:$E,K$1,'単価履歴'!$F:$F,$A19,'単価履歴'!$B:$B,MAXIFS('単価履歴'!$B:$B,'単価履歴'!$E:$E,K$1,'単価履歴'!$F:$F,$A19))=0,"",MAXIFS('単価履歴'!$H:$H,'単価履歴'!$E:$E,K$1,'単価履歴'!$F:$F,$A19,'単価履歴'!$B:$B,MAXIFS('単価履歴'!$B:$B,'単価履歴'!$E:$E,K$1,'単価履歴'!$F:$F,$A19)))</f>
        <v/>
      </c>
      <c r="L19" s="332">
        <f>IF(MAXIFS('単価履歴'!$H:$H,'単価履歴'!$E:$E,L$1,'単価履歴'!$F:$F,$A19,'単価履歴'!$B:$B,MAXIFS('単価履歴'!$B:$B,'単価履歴'!$E:$E,L$1,'単価履歴'!$F:$F,$A19))=0,"",MAXIFS('単価履歴'!$H:$H,'単価履歴'!$E:$E,L$1,'単価履歴'!$F:$F,$A19,'単価履歴'!$B:$B,MAXIFS('単価履歴'!$B:$B,'単価履歴'!$E:$E,L$1,'単価履歴'!$F:$F,$A19)))</f>
        <v>37.9</v>
      </c>
      <c r="M19" s="332">
        <f>IF(MAXIFS('単価履歴'!$H:$H,'単価履歴'!$E:$E,M$1,'単価履歴'!$F:$F,$A19,'単価履歴'!$B:$B,MAXIFS('単価履歴'!$B:$B,'単価履歴'!$E:$E,M$1,'単価履歴'!$F:$F,$A19))=0,"",MAXIFS('単価履歴'!$H:$H,'単価履歴'!$E:$E,M$1,'単価履歴'!$F:$F,$A19,'単価履歴'!$B:$B,MAXIFS('単価履歴'!$B:$B,'単価履歴'!$E:$E,M$1,'単価履歴'!$F:$F,$A19)))</f>
        <v>37.6</v>
      </c>
      <c r="N19" s="332">
        <f>IF(MAXIFS('単価履歴'!$H:$H,'単価履歴'!$E:$E,N$1,'単価履歴'!$F:$F,$A19,'単価履歴'!$B:$B,MAXIFS('単価履歴'!$B:$B,'単価履歴'!$E:$E,N$1,'単価履歴'!$F:$F,$A19))=0,"",MAXIFS('単価履歴'!$H:$H,'単価履歴'!$E:$E,N$1,'単価履歴'!$F:$F,$A19,'単価履歴'!$B:$B,MAXIFS('単価履歴'!$B:$B,'単価履歴'!$E:$E,N$1,'単価履歴'!$F:$F,$A19)))</f>
        <v>-3</v>
      </c>
      <c r="O19" s="332">
        <f>IF(MAXIFS('単価履歴'!$H:$H,'単価履歴'!$E:$E,O$1,'単価履歴'!$F:$F,$A19,'単価履歴'!$B:$B,MAXIFS('単価履歴'!$B:$B,'単価履歴'!$E:$E,O$1,'単価履歴'!$F:$F,$A19))=0,"",MAXIFS('単価履歴'!$H:$H,'単価履歴'!$E:$E,O$1,'単価履歴'!$F:$F,$A19,'単価履歴'!$B:$B,MAXIFS('単価履歴'!$B:$B,'単価履歴'!$E:$E,O$1,'単価履歴'!$F:$F,$A19)))</f>
        <v>-3</v>
      </c>
      <c r="P19" s="332" t="str">
        <f>IF(MAXIFS('単価履歴'!$H:$H,'単価履歴'!$E:$E,P$1,'単価履歴'!$F:$F,$A19,'単価履歴'!$B:$B,MAXIFS('単価履歴'!$B:$B,'単価履歴'!$E:$E,P$1,'単価履歴'!$F:$F,$A19))=0,"",MAXIFS('単価履歴'!$H:$H,'単価履歴'!$E:$E,P$1,'単価履歴'!$F:$F,$A19,'単価履歴'!$B:$B,MAXIFS('単価履歴'!$B:$B,'単価履歴'!$E:$E,P$1,'単価履歴'!$F:$F,$A19)))</f>
        <v/>
      </c>
      <c r="Q19" s="332" t="str">
        <f>IF(MAXIFS('単価履歴'!$H:$H,'単価履歴'!$E:$E,Q$1,'単価履歴'!$F:$F,$A19,'単価履歴'!$B:$B,MAXIFS('単価履歴'!$B:$B,'単価履歴'!$E:$E,Q$1,'単価履歴'!$F:$F,$A19))=0,"",MAXIFS('単価履歴'!$H:$H,'単価履歴'!$E:$E,Q$1,'単価履歴'!$F:$F,$A19,'単価履歴'!$B:$B,MAXIFS('単価履歴'!$B:$B,'単価履歴'!$E:$E,Q$1,'単価履歴'!$F:$F,$A19)))</f>
        <v/>
      </c>
      <c r="R19" s="332" t="str">
        <f>IF(MAXIFS('単価履歴'!$H:$H,'単価履歴'!$E:$E,R$1,'単価履歴'!$F:$F,$A19,'単価履歴'!$B:$B,MAXIFS('単価履歴'!$B:$B,'単価履歴'!$E:$E,R$1,'単価履歴'!$F:$F,$A19))=0,"",MAXIFS('単価履歴'!$H:$H,'単価履歴'!$E:$E,R$1,'単価履歴'!$F:$F,$A19,'単価履歴'!$B:$B,MAXIFS('単価履歴'!$B:$B,'単価履歴'!$E:$E,R$1,'単価履歴'!$F:$F,$A19)))</f>
        <v/>
      </c>
      <c r="S19" s="332" t="str">
        <f>IF(MAXIFS('単価履歴'!$H:$H,'単価履歴'!$E:$E,S$1,'単価履歴'!$F:$F,$A19,'単価履歴'!$B:$B,MAXIFS('単価履歴'!$B:$B,'単価履歴'!$E:$E,S$1,'単価履歴'!$F:$F,$A19))=0,"",MAXIFS('単価履歴'!$H:$H,'単価履歴'!$E:$E,S$1,'単価履歴'!$F:$F,$A19,'単価履歴'!$B:$B,MAXIFS('単価履歴'!$B:$B,'単価履歴'!$E:$E,S$1,'単価履歴'!$F:$F,$A19)))</f>
        <v/>
      </c>
      <c r="T19" s="332" t="str">
        <f>IF(MAXIFS('単価履歴'!$H:$H,'単価履歴'!$E:$E,T$1,'単価履歴'!$F:$F,$A19,'単価履歴'!$B:$B,MAXIFS('単価履歴'!$B:$B,'単価履歴'!$E:$E,T$1,'単価履歴'!$F:$F,$A19))=0,"",MAXIFS('単価履歴'!$H:$H,'単価履歴'!$E:$E,T$1,'単価履歴'!$F:$F,$A19,'単価履歴'!$B:$B,MAXIFS('単価履歴'!$B:$B,'単価履歴'!$E:$E,T$1,'単価履歴'!$F:$F,$A19)))</f>
        <v/>
      </c>
      <c r="U19" s="332" t="str">
        <f>IF(MAXIFS('単価履歴'!$H:$H,'単価履歴'!$E:$E,U$1,'単価履歴'!$F:$F,$A19,'単価履歴'!$B:$B,MAXIFS('単価履歴'!$B:$B,'単価履歴'!$E:$E,U$1,'単価履歴'!$F:$F,$A19))=0,"",MAXIFS('単価履歴'!$H:$H,'単価履歴'!$E:$E,U$1,'単価履歴'!$F:$F,$A19,'単価履歴'!$B:$B,MAXIFS('単価履歴'!$B:$B,'単価履歴'!$E:$E,U$1,'単価履歴'!$F:$F,$A19)))</f>
        <v/>
      </c>
      <c r="V19" s="332" t="str">
        <f>IF(MAXIFS('単価履歴'!$H:$H,'単価履歴'!$E:$E,V$1,'単価履歴'!$F:$F,$A19,'単価履歴'!$B:$B,MAXIFS('単価履歴'!$B:$B,'単価履歴'!$E:$E,V$1,'単価履歴'!$F:$F,$A19))=0,"",MAXIFS('単価履歴'!$H:$H,'単価履歴'!$E:$E,V$1,'単価履歴'!$F:$F,$A19,'単価履歴'!$B:$B,MAXIFS('単価履歴'!$B:$B,'単価履歴'!$E:$E,V$1,'単価履歴'!$F:$F,$A19)))</f>
        <v/>
      </c>
      <c r="W19" s="332" t="str">
        <f>IF(MAXIFS('単価履歴'!$H:$H,'単価履歴'!$E:$E,W$1,'単価履歴'!$F:$F,$A19,'単価履歴'!$B:$B,MAXIFS('単価履歴'!$B:$B,'単価履歴'!$E:$E,W$1,'単価履歴'!$F:$F,$A19))=0,"",MAXIFS('単価履歴'!$H:$H,'単価履歴'!$E:$E,W$1,'単価履歴'!$F:$F,$A19,'単価履歴'!$B:$B,MAXIFS('単価履歴'!$B:$B,'単価履歴'!$E:$E,W$1,'単価履歴'!$F:$F,$A19)))</f>
        <v/>
      </c>
      <c r="X19" s="332" t="str">
        <f>IF(MAXIFS('単価履歴'!$H:$H,'単価履歴'!$E:$E,X$1,'単価履歴'!$F:$F,$A19,'単価履歴'!$B:$B,MAXIFS('単価履歴'!$B:$B,'単価履歴'!$E:$E,X$1,'単価履歴'!$F:$F,$A19))=0,"",MAXIFS('単価履歴'!$H:$H,'単価履歴'!$E:$E,X$1,'単価履歴'!$F:$F,$A19,'単価履歴'!$B:$B,MAXIFS('単価履歴'!$B:$B,'単価履歴'!$E:$E,X$1,'単価履歴'!$F:$F,$A19)))</f>
        <v/>
      </c>
      <c r="Y19" s="332" t="str">
        <f>IF(MAXIFS('単価履歴'!$H:$H,'単価履歴'!$E:$E,Y$1,'単価履歴'!$F:$F,$A19,'単価履歴'!$B:$B,MAXIFS('単価履歴'!$B:$B,'単価履歴'!$E:$E,Y$1,'単価履歴'!$F:$F,$A19))=0,"",MAXIFS('単価履歴'!$H:$H,'単価履歴'!$E:$E,Y$1,'単価履歴'!$F:$F,$A19,'単価履歴'!$B:$B,MAXIFS('単価履歴'!$B:$B,'単価履歴'!$E:$E,Y$1,'単価履歴'!$F:$F,$A19)))</f>
        <v/>
      </c>
      <c r="Z19" s="332" t="str">
        <f>IF(MAXIFS('単価履歴'!$H:$H,'単価履歴'!$E:$E,Z$1,'単価履歴'!$F:$F,$A19,'単価履歴'!$B:$B,MAXIFS('単価履歴'!$B:$B,'単価履歴'!$E:$E,Z$1,'単価履歴'!$F:$F,$A19))=0,"",MAXIFS('単価履歴'!$H:$H,'単価履歴'!$E:$E,Z$1,'単価履歴'!$F:$F,$A19,'単価履歴'!$B:$B,MAXIFS('単価履歴'!$B:$B,'単価履歴'!$E:$E,Z$1,'単価履歴'!$F:$F,$A19)))</f>
        <v/>
      </c>
      <c r="AA19" s="332" t="str">
        <f>IF(MAXIFS('単価履歴'!$H:$H,'単価履歴'!$E:$E,AA$1,'単価履歴'!$F:$F,$A19,'単価履歴'!$B:$B,MAXIFS('単価履歴'!$B:$B,'単価履歴'!$E:$E,AA$1,'単価履歴'!$F:$F,$A19))=0,"",MAXIFS('単価履歴'!$H:$H,'単価履歴'!$E:$E,AA$1,'単価履歴'!$F:$F,$A19,'単価履歴'!$B:$B,MAXIFS('単価履歴'!$B:$B,'単価履歴'!$E:$E,AA$1,'単価履歴'!$F:$F,$A19)))</f>
        <v/>
      </c>
      <c r="AB19" s="332" t="str">
        <f>IF(MAXIFS('単価履歴'!$H:$H,'単価履歴'!$E:$E,AB$1,'単価履歴'!$F:$F,$A19,'単価履歴'!$B:$B,MAXIFS('単価履歴'!$B:$B,'単価履歴'!$E:$E,AB$1,'単価履歴'!$F:$F,$A19))=0,"",MAXIFS('単価履歴'!$H:$H,'単価履歴'!$E:$E,AB$1,'単価履歴'!$F:$F,$A19,'単価履歴'!$B:$B,MAXIFS('単価履歴'!$B:$B,'単価履歴'!$E:$E,AB$1,'単価履歴'!$F:$F,$A19)))</f>
        <v/>
      </c>
      <c r="AC19" s="332" t="str">
        <f>IF(MAXIFS('単価履歴'!$H:$H,'単価履歴'!$E:$E,AC$1,'単価履歴'!$F:$F,$A19,'単価履歴'!$B:$B,MAXIFS('単価履歴'!$B:$B,'単価履歴'!$E:$E,AC$1,'単価履歴'!$F:$F,$A19))=0,"",MAXIFS('単価履歴'!$H:$H,'単価履歴'!$E:$E,AC$1,'単価履歴'!$F:$F,$A19,'単価履歴'!$B:$B,MAXIFS('単価履歴'!$B:$B,'単価履歴'!$E:$E,AC$1,'単価履歴'!$F:$F,$A19)))</f>
        <v/>
      </c>
      <c r="AD19" s="332" t="str">
        <f>IF(MAXIFS('単価履歴'!$H:$H,'単価履歴'!$E:$E,AD$1,'単価履歴'!$F:$F,$A19,'単価履歴'!$B:$B,MAXIFS('単価履歴'!$B:$B,'単価履歴'!$E:$E,AD$1,'単価履歴'!$F:$F,$A19))=0,"",MAXIFS('単価履歴'!$H:$H,'単価履歴'!$E:$E,AD$1,'単価履歴'!$F:$F,$A19,'単価履歴'!$B:$B,MAXIFS('単価履歴'!$B:$B,'単価履歴'!$E:$E,AD$1,'単価履歴'!$F:$F,$A19)))</f>
        <v/>
      </c>
      <c r="AE19" s="332" t="str">
        <f>IF(MAXIFS('単価履歴'!$H:$H,'単価履歴'!$E:$E,AE$1,'単価履歴'!$F:$F,$A19,'単価履歴'!$B:$B,MAXIFS('単価履歴'!$B:$B,'単価履歴'!$E:$E,AE$1,'単価履歴'!$F:$F,$A19))=0,"",MAXIFS('単価履歴'!$H:$H,'単価履歴'!$E:$E,AE$1,'単価履歴'!$F:$F,$A19,'単価履歴'!$B:$B,MAXIFS('単価履歴'!$B:$B,'単価履歴'!$E:$E,AE$1,'単価履歴'!$F:$F,$A19)))</f>
        <v/>
      </c>
      <c r="AF19" s="332" t="str">
        <f>IF(MAXIFS('単価履歴'!$H:$H,'単価履歴'!$E:$E,AF$1,'単価履歴'!$F:$F,$A19,'単価履歴'!$B:$B,MAXIFS('単価履歴'!$B:$B,'単価履歴'!$E:$E,AF$1,'単価履歴'!$F:$F,$A19))=0,"",MAXIFS('単価履歴'!$H:$H,'単価履歴'!$E:$E,AF$1,'単価履歴'!$F:$F,$A19,'単価履歴'!$B:$B,MAXIFS('単価履歴'!$B:$B,'単価履歴'!$E:$E,AF$1,'単価履歴'!$F:$F,$A19)))</f>
        <v/>
      </c>
      <c r="AG19" s="332" t="str">
        <f>IF(MAXIFS('単価履歴'!$H:$H,'単価履歴'!$E:$E,AG$1,'単価履歴'!$F:$F,$A19,'単価履歴'!$B:$B,MAXIFS('単価履歴'!$B:$B,'単価履歴'!$E:$E,AG$1,'単価履歴'!$F:$F,$A19))=0,"",MAXIFS('単価履歴'!$H:$H,'単価履歴'!$E:$E,AG$1,'単価履歴'!$F:$F,$A19,'単価履歴'!$B:$B,MAXIFS('単価履歴'!$B:$B,'単価履歴'!$E:$E,AG$1,'単価履歴'!$F:$F,$A19)))</f>
        <v/>
      </c>
      <c r="AH19" s="332" t="str">
        <f>IF(MAXIFS('単価履歴'!$H:$H,'単価履歴'!$E:$E,AH$1,'単価履歴'!$F:$F,$A19,'単価履歴'!$B:$B,MAXIFS('単価履歴'!$B:$B,'単価履歴'!$E:$E,AH$1,'単価履歴'!$F:$F,$A19))=0,"",MAXIFS('単価履歴'!$H:$H,'単価履歴'!$E:$E,AH$1,'単価履歴'!$F:$F,$A19,'単価履歴'!$B:$B,MAXIFS('単価履歴'!$B:$B,'単価履歴'!$E:$E,AH$1,'単価履歴'!$F:$F,$A19)))</f>
        <v/>
      </c>
      <c r="AI19" s="332" t="str">
        <f>IF(MAXIFS('単価履歴'!$H:$H,'単価履歴'!$E:$E,AI$1,'単価履歴'!$F:$F,$A19,'単価履歴'!$B:$B,MAXIFS('単価履歴'!$B:$B,'単価履歴'!$E:$E,AI$1,'単価履歴'!$F:$F,$A19))=0,"",MAXIFS('単価履歴'!$H:$H,'単価履歴'!$E:$E,AI$1,'単価履歴'!$F:$F,$A19,'単価履歴'!$B:$B,MAXIFS('単価履歴'!$B:$B,'単価履歴'!$E:$E,AI$1,'単価履歴'!$F:$F,$A19)))</f>
        <v/>
      </c>
      <c r="AJ19" s="332" t="str">
        <f>IF(MAXIFS('単価履歴'!$H:$H,'単価履歴'!$E:$E,AJ$1,'単価履歴'!$F:$F,$A19,'単価履歴'!$B:$B,MAXIFS('単価履歴'!$B:$B,'単価履歴'!$E:$E,AJ$1,'単価履歴'!$F:$F,$A19))=0,"",MAXIFS('単価履歴'!$H:$H,'単価履歴'!$E:$E,AJ$1,'単価履歴'!$F:$F,$A19,'単価履歴'!$B:$B,MAXIFS('単価履歴'!$B:$B,'単価履歴'!$E:$E,AJ$1,'単価履歴'!$F:$F,$A19)))</f>
        <v/>
      </c>
      <c r="AK19" s="332" t="str">
        <f>IF(MAXIFS('単価履歴'!$H:$H,'単価履歴'!$E:$E,AK$1,'単価履歴'!$F:$F,$A19,'単価履歴'!$B:$B,MAXIFS('単価履歴'!$B:$B,'単価履歴'!$E:$E,AK$1,'単価履歴'!$F:$F,$A19))=0,"",MAXIFS('単価履歴'!$H:$H,'単価履歴'!$E:$E,AK$1,'単価履歴'!$F:$F,$A19,'単価履歴'!$B:$B,MAXIFS('単価履歴'!$B:$B,'単価履歴'!$E:$E,AK$1,'単価履歴'!$F:$F,$A19)))</f>
        <v/>
      </c>
      <c r="AL19" s="332" t="str">
        <f>IF(MAXIFS('単価履歴'!$H:$H,'単価履歴'!$E:$E,AL$1,'単価履歴'!$F:$F,$A19,'単価履歴'!$B:$B,MAXIFS('単価履歴'!$B:$B,'単価履歴'!$E:$E,AL$1,'単価履歴'!$F:$F,$A19))=0,"",MAXIFS('単価履歴'!$H:$H,'単価履歴'!$E:$E,AL$1,'単価履歴'!$F:$F,$A19,'単価履歴'!$B:$B,MAXIFS('単価履歴'!$B:$B,'単価履歴'!$E:$E,AL$1,'単価履歴'!$F:$F,$A19)))</f>
        <v/>
      </c>
      <c r="AM19" s="332" t="str">
        <f>IF(MAXIFS('単価履歴'!$H:$H,'単価履歴'!$E:$E,AM$1,'単価履歴'!$F:$F,$A19,'単価履歴'!$B:$B,MAXIFS('単価履歴'!$B:$B,'単価履歴'!$E:$E,AM$1,'単価履歴'!$F:$F,$A19))=0,"",MAXIFS('単価履歴'!$H:$H,'単価履歴'!$E:$E,AM$1,'単価履歴'!$F:$F,$A19,'単価履歴'!$B:$B,MAXIFS('単価履歴'!$B:$B,'単価履歴'!$E:$E,AM$1,'単価履歴'!$F:$F,$A19)))</f>
        <v/>
      </c>
      <c r="AN19" s="332">
        <f>IF(MAXIFS('単価履歴'!$H:$H,'単価履歴'!$E:$E,AN$1,'単価履歴'!$F:$F,$A19,'単価履歴'!$B:$B,MAXIFS('単価履歴'!$B:$B,'単価履歴'!$E:$E,AN$1,'単価履歴'!$F:$F,$A19))=0,"",MAXIFS('単価履歴'!$H:$H,'単価履歴'!$E:$E,AN$1,'単価履歴'!$F:$F,$A19,'単価履歴'!$B:$B,MAXIFS('単価履歴'!$B:$B,'単価履歴'!$E:$E,AN$1,'単価履歴'!$F:$F,$A19)))</f>
        <v>53</v>
      </c>
      <c r="AO19" s="332" t="str">
        <f>IF(MAXIFS('単価履歴'!$H:$H,'単価履歴'!$E:$E,AO$1,'単価履歴'!$F:$F,$A19,'単価履歴'!$B:$B,MAXIFS('単価履歴'!$B:$B,'単価履歴'!$E:$E,AO$1,'単価履歴'!$F:$F,$A19))=0,"",MAXIFS('単価履歴'!$H:$H,'単価履歴'!$E:$E,AO$1,'単価履歴'!$F:$F,$A19,'単価履歴'!$B:$B,MAXIFS('単価履歴'!$B:$B,'単価履歴'!$E:$E,AO$1,'単価履歴'!$F:$F,$A19)))</f>
        <v/>
      </c>
      <c r="AP19" s="332" t="str">
        <f>IF(MAXIFS('単価履歴'!$H:$H,'単価履歴'!$E:$E,AP$1,'単価履歴'!$F:$F,$A19,'単価履歴'!$B:$B,MAXIFS('単価履歴'!$B:$B,'単価履歴'!$E:$E,AP$1,'単価履歴'!$F:$F,$A19))=0,"",MAXIFS('単価履歴'!$H:$H,'単価履歴'!$E:$E,AP$1,'単価履歴'!$F:$F,$A19,'単価履歴'!$B:$B,MAXIFS('単価履歴'!$B:$B,'単価履歴'!$E:$E,AP$1,'単価履歴'!$F:$F,$A19)))</f>
        <v/>
      </c>
      <c r="AQ19" s="332" t="str">
        <f>IF(MAXIFS('単価履歴'!$H:$H,'単価履歴'!$E:$E,AQ$1,'単価履歴'!$F:$F,$A19,'単価履歴'!$B:$B,MAXIFS('単価履歴'!$B:$B,'単価履歴'!$E:$E,AQ$1,'単価履歴'!$F:$F,$A19))=0,"",MAXIFS('単価履歴'!$H:$H,'単価履歴'!$E:$E,AQ$1,'単価履歴'!$F:$F,$A19,'単価履歴'!$B:$B,MAXIFS('単価履歴'!$B:$B,'単価履歴'!$E:$E,AQ$1,'単価履歴'!$F:$F,$A19)))</f>
        <v/>
      </c>
      <c r="AR19" s="332" t="str">
        <f>IF(MAXIFS('単価履歴'!$H:$H,'単価履歴'!$E:$E,AR$1,'単価履歴'!$F:$F,$A19,'単価履歴'!$B:$B,MAXIFS('単価履歴'!$B:$B,'単価履歴'!$E:$E,AR$1,'単価履歴'!$F:$F,$A19))=0,"",MAXIFS('単価履歴'!$H:$H,'単価履歴'!$E:$E,AR$1,'単価履歴'!$F:$F,$A19,'単価履歴'!$B:$B,MAXIFS('単価履歴'!$B:$B,'単価履歴'!$E:$E,AR$1,'単価履歴'!$F:$F,$A19)))</f>
        <v/>
      </c>
      <c r="AS19" s="332" t="str">
        <f>IF(MAXIFS('単価履歴'!$H:$H,'単価履歴'!$E:$E,AS$1,'単価履歴'!$F:$F,$A19,'単価履歴'!$B:$B,MAXIFS('単価履歴'!$B:$B,'単価履歴'!$E:$E,AS$1,'単価履歴'!$F:$F,$A19))=0,"",MAXIFS('単価履歴'!$H:$H,'単価履歴'!$E:$E,AS$1,'単価履歴'!$F:$F,$A19,'単価履歴'!$B:$B,MAXIFS('単価履歴'!$B:$B,'単価履歴'!$E:$E,AS$1,'単価履歴'!$F:$F,$A19)))</f>
        <v/>
      </c>
      <c r="AT19" s="332" t="str">
        <f>IF(MAXIFS('単価履歴'!$H:$H,'単価履歴'!$E:$E,AT$1,'単価履歴'!$F:$F,$A19,'単価履歴'!$B:$B,MAXIFS('単価履歴'!$B:$B,'単価履歴'!$E:$E,AT$1,'単価履歴'!$F:$F,$A19))=0,"",MAXIFS('単価履歴'!$H:$H,'単価履歴'!$E:$E,AT$1,'単価履歴'!$F:$F,$A19,'単価履歴'!$B:$B,MAXIFS('単価履歴'!$B:$B,'単価履歴'!$E:$E,AT$1,'単価履歴'!$F:$F,$A19)))</f>
        <v/>
      </c>
      <c r="AU19" s="332" t="str">
        <f>IF(MAXIFS('単価履歴'!$H:$H,'単価履歴'!$E:$E,AU$1,'単価履歴'!$F:$F,$A19,'単価履歴'!$B:$B,MAXIFS('単価履歴'!$B:$B,'単価履歴'!$E:$E,AU$1,'単価履歴'!$F:$F,$A19))=0,"",MAXIFS('単価履歴'!$H:$H,'単価履歴'!$E:$E,AU$1,'単価履歴'!$F:$F,$A19,'単価履歴'!$B:$B,MAXIFS('単価履歴'!$B:$B,'単価履歴'!$E:$E,AU$1,'単価履歴'!$F:$F,$A19)))</f>
        <v/>
      </c>
      <c r="AV19" s="332" t="str">
        <f>IF(MAXIFS('単価履歴'!$H:$H,'単価履歴'!$E:$E,AV$1,'単価履歴'!$F:$F,$A19,'単価履歴'!$B:$B,MAXIFS('単価履歴'!$B:$B,'単価履歴'!$E:$E,AV$1,'単価履歴'!$F:$F,$A19))=0,"",MAXIFS('単価履歴'!$H:$H,'単価履歴'!$E:$E,AV$1,'単価履歴'!$F:$F,$A19,'単価履歴'!$B:$B,MAXIFS('単価履歴'!$B:$B,'単価履歴'!$E:$E,AV$1,'単価履歴'!$F:$F,$A19)))</f>
        <v/>
      </c>
      <c r="AW19" s="332">
        <f>IF(MAXIFS('単価履歴'!$H:$H,'単価履歴'!$E:$E,AW$1,'単価履歴'!$F:$F,$A19,'単価履歴'!$B:$B,MAXIFS('単価履歴'!$B:$B,'単価履歴'!$E:$E,AW$1,'単価履歴'!$F:$F,$A19))=0,"",MAXIFS('単価履歴'!$H:$H,'単価履歴'!$E:$E,AW$1,'単価履歴'!$F:$F,$A19,'単価履歴'!$B:$B,MAXIFS('単価履歴'!$B:$B,'単価履歴'!$E:$E,AW$1,'単価履歴'!$F:$F,$A19)))</f>
        <v>53.5</v>
      </c>
      <c r="AX19" s="332">
        <f>IF(MAXIFS('単価履歴'!$H:$H,'単価履歴'!$E:$E,AX$1,'単価履歴'!$F:$F,$A19,'単価履歴'!$B:$B,MAXIFS('単価履歴'!$B:$B,'単価履歴'!$E:$E,AX$1,'単価履歴'!$F:$F,$A19))=0,"",MAXIFS('単価履歴'!$H:$H,'単価履歴'!$E:$E,AX$1,'単価履歴'!$F:$F,$A19,'単価履歴'!$B:$B,MAXIFS('単価履歴'!$B:$B,'単価履歴'!$E:$E,AX$1,'単価履歴'!$F:$F,$A19)))</f>
        <v>53.5</v>
      </c>
      <c r="AY19" s="332" t="str">
        <f>IF(MAXIFS('単価履歴'!$H:$H,'単価履歴'!$E:$E,AY$1,'単価履歴'!$F:$F,$A19,'単価履歴'!$B:$B,MAXIFS('単価履歴'!$B:$B,'単価履歴'!$E:$E,AY$1,'単価履歴'!$F:$F,$A19))=0,"",MAXIFS('単価履歴'!$H:$H,'単価履歴'!$E:$E,AY$1,'単価履歴'!$F:$F,$A19,'単価履歴'!$B:$B,MAXIFS('単価履歴'!$B:$B,'単価履歴'!$E:$E,AY$1,'単価履歴'!$F:$F,$A19)))</f>
        <v/>
      </c>
      <c r="AZ19" s="332" t="str">
        <f>IF(MAXIFS('単価履歴'!$H:$H,'単価履歴'!$E:$E,AZ$1,'単価履歴'!$F:$F,$A19,'単価履歴'!$B:$B,MAXIFS('単価履歴'!$B:$B,'単価履歴'!$E:$E,AZ$1,'単価履歴'!$F:$F,$A19))=0,"",MAXIFS('単価履歴'!$H:$H,'単価履歴'!$E:$E,AZ$1,'単価履歴'!$F:$F,$A19,'単価履歴'!$B:$B,MAXIFS('単価履歴'!$B:$B,'単価履歴'!$E:$E,AZ$1,'単価履歴'!$F:$F,$A19)))</f>
        <v/>
      </c>
      <c r="BA19" s="332" t="str">
        <f>IF(MAXIFS('単価履歴'!$H:$H,'単価履歴'!$E:$E,BA$1,'単価履歴'!$F:$F,$A19,'単価履歴'!$B:$B,MAXIFS('単価履歴'!$B:$B,'単価履歴'!$E:$E,BA$1,'単価履歴'!$F:$F,$A19))=0,"",MAXIFS('単価履歴'!$H:$H,'単価履歴'!$E:$E,BA$1,'単価履歴'!$F:$F,$A19,'単価履歴'!$B:$B,MAXIFS('単価履歴'!$B:$B,'単価履歴'!$E:$E,BA$1,'単価履歴'!$F:$F,$A19)))</f>
        <v/>
      </c>
      <c r="BB19" s="332" t="str">
        <f>IF(MAXIFS('単価履歴'!$H:$H,'単価履歴'!$E:$E,BB$1,'単価履歴'!$F:$F,$A19,'単価履歴'!$B:$B,MAXIFS('単価履歴'!$B:$B,'単価履歴'!$E:$E,BB$1,'単価履歴'!$F:$F,$A19))=0,"",MAXIFS('単価履歴'!$H:$H,'単価履歴'!$E:$E,BB$1,'単価履歴'!$F:$F,$A19,'単価履歴'!$B:$B,MAXIFS('単価履歴'!$B:$B,'単価履歴'!$E:$E,BB$1,'単価履歴'!$F:$F,$A19)))</f>
        <v/>
      </c>
      <c r="BC19" s="332" t="str">
        <f>IF(MAXIFS('単価履歴'!$H:$H,'単価履歴'!$E:$E,BC$1,'単価履歴'!$F:$F,$A19,'単価履歴'!$B:$B,MAXIFS('単価履歴'!$B:$B,'単価履歴'!$E:$E,BC$1,'単価履歴'!$F:$F,$A19))=0,"",MAXIFS('単価履歴'!$H:$H,'単価履歴'!$E:$E,BC$1,'単価履歴'!$F:$F,$A19,'単価履歴'!$B:$B,MAXIFS('単価履歴'!$B:$B,'単価履歴'!$E:$E,BC$1,'単価履歴'!$F:$F,$A19)))</f>
        <v/>
      </c>
      <c r="BD19" s="332" t="str">
        <f>IF(MAXIFS('単価履歴'!$H:$H,'単価履歴'!$E:$E,BD$1,'単価履歴'!$F:$F,$A19,'単価履歴'!$B:$B,MAXIFS('単価履歴'!$B:$B,'単価履歴'!$E:$E,BD$1,'単価履歴'!$F:$F,$A19))=0,"",MAXIFS('単価履歴'!$H:$H,'単価履歴'!$E:$E,BD$1,'単価履歴'!$F:$F,$A19,'単価履歴'!$B:$B,MAXIFS('単価履歴'!$B:$B,'単価履歴'!$E:$E,BD$1,'単価履歴'!$F:$F,$A19)))</f>
        <v/>
      </c>
      <c r="BE19" s="332" t="str">
        <f>IF(MAXIFS('単価履歴'!$H:$H,'単価履歴'!$E:$E,BE$1,'単価履歴'!$F:$F,$A19,'単価履歴'!$B:$B,MAXIFS('単価履歴'!$B:$B,'単価履歴'!$E:$E,BE$1,'単価履歴'!$F:$F,$A19))=0,"",MAXIFS('単価履歴'!$H:$H,'単価履歴'!$E:$E,BE$1,'単価履歴'!$F:$F,$A19,'単価履歴'!$B:$B,MAXIFS('単価履歴'!$B:$B,'単価履歴'!$E:$E,BE$1,'単価履歴'!$F:$F,$A19)))</f>
        <v/>
      </c>
      <c r="BF19" s="332" t="str">
        <f>IF(MAXIFS('単価履歴'!$H:$H,'単価履歴'!$E:$E,BF$1,'単価履歴'!$F:$F,$A19,'単価履歴'!$B:$B,MAXIFS('単価履歴'!$B:$B,'単価履歴'!$E:$E,BF$1,'単価履歴'!$F:$F,$A19))=0,"",MAXIFS('単価履歴'!$H:$H,'単価履歴'!$E:$E,BF$1,'単価履歴'!$F:$F,$A19,'単価履歴'!$B:$B,MAXIFS('単価履歴'!$B:$B,'単価履歴'!$E:$E,BF$1,'単価履歴'!$F:$F,$A19)))</f>
        <v/>
      </c>
      <c r="BG19" s="332" t="str">
        <f>IF(MAXIFS('単価履歴'!$H:$H,'単価履歴'!$E:$E,BG$1,'単価履歴'!$F:$F,$A19,'単価履歴'!$B:$B,MAXIFS('単価履歴'!$B:$B,'単価履歴'!$E:$E,BG$1,'単価履歴'!$F:$F,$A19))=0,"",MAXIFS('単価履歴'!$H:$H,'単価履歴'!$E:$E,BG$1,'単価履歴'!$F:$F,$A19,'単価履歴'!$B:$B,MAXIFS('単価履歴'!$B:$B,'単価履歴'!$E:$E,BG$1,'単価履歴'!$F:$F,$A19)))</f>
        <v/>
      </c>
      <c r="BH19" s="332" t="str">
        <f>IF(MAXIFS('単価履歴'!$H:$H,'単価履歴'!$E:$E,BH$1,'単価履歴'!$F:$F,$A19,'単価履歴'!$B:$B,MAXIFS('単価履歴'!$B:$B,'単価履歴'!$E:$E,BH$1,'単価履歴'!$F:$F,$A19))=0,"",MAXIFS('単価履歴'!$H:$H,'単価履歴'!$E:$E,BH$1,'単価履歴'!$F:$F,$A19,'単価履歴'!$B:$B,MAXIFS('単価履歴'!$B:$B,'単価履歴'!$E:$E,BH$1,'単価履歴'!$F:$F,$A19)))</f>
        <v/>
      </c>
      <c r="BI19" s="332" t="str">
        <f>IF(MAXIFS('単価履歴'!$H:$H,'単価履歴'!$E:$E,BI$1,'単価履歴'!$F:$F,$A19,'単価履歴'!$B:$B,MAXIFS('単価履歴'!$B:$B,'単価履歴'!$E:$E,BI$1,'単価履歴'!$F:$F,$A19))=0,"",MAXIFS('単価履歴'!$H:$H,'単価履歴'!$E:$E,BI$1,'単価履歴'!$F:$F,$A19,'単価履歴'!$B:$B,MAXIFS('単価履歴'!$B:$B,'単価履歴'!$E:$E,BI$1,'単価履歴'!$F:$F,$A19)))</f>
        <v/>
      </c>
      <c r="BJ19" s="332" t="str">
        <f>IF(MAXIFS('単価履歴'!$H:$H,'単価履歴'!$E:$E,BJ$1,'単価履歴'!$F:$F,$A19,'単価履歴'!$B:$B,MAXIFS('単価履歴'!$B:$B,'単価履歴'!$E:$E,BJ$1,'単価履歴'!$F:$F,$A19))=0,"",MAXIFS('単価履歴'!$H:$H,'単価履歴'!$E:$E,BJ$1,'単価履歴'!$F:$F,$A19,'単価履歴'!$B:$B,MAXIFS('単価履歴'!$B:$B,'単価履歴'!$E:$E,BJ$1,'単価履歴'!$F:$F,$A19)))</f>
        <v/>
      </c>
      <c r="BK19" s="332" t="str">
        <f>IF(MAXIFS('単価履歴'!$H:$H,'単価履歴'!$E:$E,BK$1,'単価履歴'!$F:$F,$A19,'単価履歴'!$B:$B,MAXIFS('単価履歴'!$B:$B,'単価履歴'!$E:$E,BK$1,'単価履歴'!$F:$F,$A19))=0,"",MAXIFS('単価履歴'!$H:$H,'単価履歴'!$E:$E,BK$1,'単価履歴'!$F:$F,$A19,'単価履歴'!$B:$B,MAXIFS('単価履歴'!$B:$B,'単価履歴'!$E:$E,BK$1,'単価履歴'!$F:$F,$A19)))</f>
        <v/>
      </c>
      <c r="BL19" s="332" t="str">
        <f>IF(MAXIFS('単価履歴'!$H:$H,'単価履歴'!$E:$E,BL$1,'単価履歴'!$F:$F,$A19,'単価履歴'!$B:$B,MAXIFS('単価履歴'!$B:$B,'単価履歴'!$E:$E,BL$1,'単価履歴'!$F:$F,$A19))=0,"",MAXIFS('単価履歴'!$H:$H,'単価履歴'!$E:$E,BL$1,'単価履歴'!$F:$F,$A19,'単価履歴'!$B:$B,MAXIFS('単価履歴'!$B:$B,'単価履歴'!$E:$E,BL$1,'単価履歴'!$F:$F,$A19)))</f>
        <v/>
      </c>
      <c r="BM19" s="332" t="str">
        <f>IF(MAXIFS('単価履歴'!$H:$H,'単価履歴'!$E:$E,BM$1,'単価履歴'!$F:$F,$A19,'単価履歴'!$B:$B,MAXIFS('単価履歴'!$B:$B,'単価履歴'!$E:$E,BM$1,'単価履歴'!$F:$F,$A19))=0,"",MAXIFS('単価履歴'!$H:$H,'単価履歴'!$E:$E,BM$1,'単価履歴'!$F:$F,$A19,'単価履歴'!$B:$B,MAXIFS('単価履歴'!$B:$B,'単価履歴'!$E:$E,BM$1,'単価履歴'!$F:$F,$A19)))</f>
        <v/>
      </c>
      <c r="BN19" s="332" t="str">
        <f>IF(MAXIFS('単価履歴'!$H:$H,'単価履歴'!$E:$E,BN$1,'単価履歴'!$F:$F,$A19,'単価履歴'!$B:$B,MAXIFS('単価履歴'!$B:$B,'単価履歴'!$E:$E,BN$1,'単価履歴'!$F:$F,$A19))=0,"",MAXIFS('単価履歴'!$H:$H,'単価履歴'!$E:$E,BN$1,'単価履歴'!$F:$F,$A19,'単価履歴'!$B:$B,MAXIFS('単価履歴'!$B:$B,'単価履歴'!$E:$E,BN$1,'単価履歴'!$F:$F,$A19)))</f>
        <v/>
      </c>
      <c r="BO19" s="332" t="str">
        <f>IF(MAXIFS('単価履歴'!$H:$H,'単価履歴'!$E:$E,BO$1,'単価履歴'!$F:$F,$A19,'単価履歴'!$B:$B,MAXIFS('単価履歴'!$B:$B,'単価履歴'!$E:$E,BO$1,'単価履歴'!$F:$F,$A19))=0,"",MAXIFS('単価履歴'!$H:$H,'単価履歴'!$E:$E,BO$1,'単価履歴'!$F:$F,$A19,'単価履歴'!$B:$B,MAXIFS('単価履歴'!$B:$B,'単価履歴'!$E:$E,BO$1,'単価履歴'!$F:$F,$A19)))</f>
        <v/>
      </c>
      <c r="BP19" s="332" t="str">
        <f>IF(MAXIFS('単価履歴'!$H:$H,'単価履歴'!$E:$E,BP$1,'単価履歴'!$F:$F,$A19,'単価履歴'!$B:$B,MAXIFS('単価履歴'!$B:$B,'単価履歴'!$E:$E,BP$1,'単価履歴'!$F:$F,$A19))=0,"",MAXIFS('単価履歴'!$H:$H,'単価履歴'!$E:$E,BP$1,'単価履歴'!$F:$F,$A19,'単価履歴'!$B:$B,MAXIFS('単価履歴'!$B:$B,'単価履歴'!$E:$E,BP$1,'単価履歴'!$F:$F,$A19)))</f>
        <v/>
      </c>
      <c r="BQ19" s="332" t="str">
        <f>IF(MAXIFS('単価履歴'!$H:$H,'単価履歴'!$E:$E,BQ$1,'単価履歴'!$F:$F,$A19,'単価履歴'!$B:$B,MAXIFS('単価履歴'!$B:$B,'単価履歴'!$E:$E,BQ$1,'単価履歴'!$F:$F,$A19))=0,"",MAXIFS('単価履歴'!$H:$H,'単価履歴'!$E:$E,BQ$1,'単価履歴'!$F:$F,$A19,'単価履歴'!$B:$B,MAXIFS('単価履歴'!$B:$B,'単価履歴'!$E:$E,BQ$1,'単価履歴'!$F:$F,$A19)))</f>
        <v/>
      </c>
      <c r="BR19" s="332" t="str">
        <f>IF(MAXIFS('単価履歴'!$H:$H,'単価履歴'!$E:$E,BR$1,'単価履歴'!$F:$F,$A19,'単価履歴'!$B:$B,MAXIFS('単価履歴'!$B:$B,'単価履歴'!$E:$E,BR$1,'単価履歴'!$F:$F,$A19))=0,"",MAXIFS('単価履歴'!$H:$H,'単価履歴'!$E:$E,BR$1,'単価履歴'!$F:$F,$A19,'単価履歴'!$B:$B,MAXIFS('単価履歴'!$B:$B,'単価履歴'!$E:$E,BR$1,'単価履歴'!$F:$F,$A19)))</f>
        <v/>
      </c>
      <c r="BS19" s="332" t="str">
        <f>IF(MAXIFS('単価履歴'!$H:$H,'単価履歴'!$E:$E,BS$1,'単価履歴'!$F:$F,$A19,'単価履歴'!$B:$B,MAXIFS('単価履歴'!$B:$B,'単価履歴'!$E:$E,BS$1,'単価履歴'!$F:$F,$A19))=0,"",MAXIFS('単価履歴'!$H:$H,'単価履歴'!$E:$E,BS$1,'単価履歴'!$F:$F,$A19,'単価履歴'!$B:$B,MAXIFS('単価履歴'!$B:$B,'単価履歴'!$E:$E,BS$1,'単価履歴'!$F:$F,$A19)))</f>
        <v/>
      </c>
      <c r="BT19" s="332" t="str">
        <f>IF(MAXIFS('単価履歴'!$H:$H,'単価履歴'!$E:$E,BT$1,'単価履歴'!$F:$F,$A19,'単価履歴'!$B:$B,MAXIFS('単価履歴'!$B:$B,'単価履歴'!$E:$E,BT$1,'単価履歴'!$F:$F,$A19))=0,"",MAXIFS('単価履歴'!$H:$H,'単価履歴'!$E:$E,BT$1,'単価履歴'!$F:$F,$A19,'単価履歴'!$B:$B,MAXIFS('単価履歴'!$B:$B,'単価履歴'!$E:$E,BT$1,'単価履歴'!$F:$F,$A19)))</f>
        <v/>
      </c>
      <c r="BU19" s="332" t="str">
        <f>IF(MAXIFS('単価履歴'!$H:$H,'単価履歴'!$E:$E,BU$1,'単価履歴'!$F:$F,$A19,'単価履歴'!$B:$B,MAXIFS('単価履歴'!$B:$B,'単価履歴'!$E:$E,BU$1,'単価履歴'!$F:$F,$A19))=0,"",MAXIFS('単価履歴'!$H:$H,'単価履歴'!$E:$E,BU$1,'単価履歴'!$F:$F,$A19,'単価履歴'!$B:$B,MAXIFS('単価履歴'!$B:$B,'単価履歴'!$E:$E,BU$1,'単価履歴'!$F:$F,$A19)))</f>
        <v/>
      </c>
      <c r="BV19" s="332" t="str">
        <f>IF(MAXIFS('単価履歴'!$H:$H,'単価履歴'!$E:$E,BV$1,'単価履歴'!$F:$F,$A19,'単価履歴'!$B:$B,MAXIFS('単価履歴'!$B:$B,'単価履歴'!$E:$E,BV$1,'単価履歴'!$F:$F,$A19))=0,"",MAXIFS('単価履歴'!$H:$H,'単価履歴'!$E:$E,BV$1,'単価履歴'!$F:$F,$A19,'単価履歴'!$B:$B,MAXIFS('単価履歴'!$B:$B,'単価履歴'!$E:$E,BV$1,'単価履歴'!$F:$F,$A19)))</f>
        <v/>
      </c>
      <c r="BW19" s="332" t="str">
        <f>IF(MAXIFS('単価履歴'!$H:$H,'単価履歴'!$E:$E,BW$1,'単価履歴'!$F:$F,$A19,'単価履歴'!$B:$B,MAXIFS('単価履歴'!$B:$B,'単価履歴'!$E:$E,BW$1,'単価履歴'!$F:$F,$A19))=0,"",MAXIFS('単価履歴'!$H:$H,'単価履歴'!$E:$E,BW$1,'単価履歴'!$F:$F,$A19,'単価履歴'!$B:$B,MAXIFS('単価履歴'!$B:$B,'単価履歴'!$E:$E,BW$1,'単価履歴'!$F:$F,$A19)))</f>
        <v/>
      </c>
      <c r="BX19" s="332" t="str">
        <f>IF(MAXIFS('単価履歴'!$H:$H,'単価履歴'!$E:$E,BX$1,'単価履歴'!$F:$F,$A19,'単価履歴'!$B:$B,MAXIFS('単価履歴'!$B:$B,'単価履歴'!$E:$E,BX$1,'単価履歴'!$F:$F,$A19))=0,"",MAXIFS('単価履歴'!$H:$H,'単価履歴'!$E:$E,BX$1,'単価履歴'!$F:$F,$A19,'単価履歴'!$B:$B,MAXIFS('単価履歴'!$B:$B,'単価履歴'!$E:$E,BX$1,'単価履歴'!$F:$F,$A19)))</f>
        <v/>
      </c>
      <c r="BY19" s="332" t="str">
        <f>IF(MAXIFS('単価履歴'!$H:$H,'単価履歴'!$E:$E,BY$1,'単価履歴'!$F:$F,$A19,'単価履歴'!$B:$B,MAXIFS('単価履歴'!$B:$B,'単価履歴'!$E:$E,BY$1,'単価履歴'!$F:$F,$A19))=0,"",MAXIFS('単価履歴'!$H:$H,'単価履歴'!$E:$E,BY$1,'単価履歴'!$F:$F,$A19,'単価履歴'!$B:$B,MAXIFS('単価履歴'!$B:$B,'単価履歴'!$E:$E,BY$1,'単価履歴'!$F:$F,$A19)))</f>
        <v/>
      </c>
      <c r="BZ19" s="332" t="str">
        <f>IF(MAXIFS('単価履歴'!$H:$H,'単価履歴'!$E:$E,BZ$1,'単価履歴'!$F:$F,$A19,'単価履歴'!$B:$B,MAXIFS('単価履歴'!$B:$B,'単価履歴'!$E:$E,BZ$1,'単価履歴'!$F:$F,$A19))=0,"",MAXIFS('単価履歴'!$H:$H,'単価履歴'!$E:$E,BZ$1,'単価履歴'!$F:$F,$A19,'単価履歴'!$B:$B,MAXIFS('単価履歴'!$B:$B,'単価履歴'!$E:$E,BZ$1,'単価履歴'!$F:$F,$A19)))</f>
        <v/>
      </c>
      <c r="CA19" s="332" t="str">
        <f>IF(MAXIFS('単価履歴'!$H:$H,'単価履歴'!$E:$E,CA$1,'単価履歴'!$F:$F,$A19,'単価履歴'!$B:$B,MAXIFS('単価履歴'!$B:$B,'単価履歴'!$E:$E,CA$1,'単価履歴'!$F:$F,$A19))=0,"",MAXIFS('単価履歴'!$H:$H,'単価履歴'!$E:$E,CA$1,'単価履歴'!$F:$F,$A19,'単価履歴'!$B:$B,MAXIFS('単価履歴'!$B:$B,'単価履歴'!$E:$E,CA$1,'単価履歴'!$F:$F,$A19)))</f>
        <v/>
      </c>
      <c r="CB19" s="332" t="str">
        <f>IF(MAXIFS('単価履歴'!$H:$H,'単価履歴'!$E:$E,CB$1,'単価履歴'!$F:$F,$A19,'単価履歴'!$B:$B,MAXIFS('単価履歴'!$B:$B,'単価履歴'!$E:$E,CB$1,'単価履歴'!$F:$F,$A19))=0,"",MAXIFS('単価履歴'!$H:$H,'単価履歴'!$E:$E,CB$1,'単価履歴'!$F:$F,$A19,'単価履歴'!$B:$B,MAXIFS('単価履歴'!$B:$B,'単価履歴'!$E:$E,CB$1,'単価履歴'!$F:$F,$A19)))</f>
        <v/>
      </c>
      <c r="CC19" s="332" t="str">
        <f>IF(MAXIFS('単価履歴'!$H:$H,'単価履歴'!$E:$E,CC$1,'単価履歴'!$F:$F,$A19,'単価履歴'!$B:$B,MAXIFS('単価履歴'!$B:$B,'単価履歴'!$E:$E,CC$1,'単価履歴'!$F:$F,$A19))=0,"",MAXIFS('単価履歴'!$H:$H,'単価履歴'!$E:$E,CC$1,'単価履歴'!$F:$F,$A19,'単価履歴'!$B:$B,MAXIFS('単価履歴'!$B:$B,'単価履歴'!$E:$E,CC$1,'単価履歴'!$F:$F,$A19)))</f>
        <v/>
      </c>
      <c r="CD19" s="332" t="str">
        <f>IF(MAXIFS('単価履歴'!$H:$H,'単価履歴'!$E:$E,CD$1,'単価履歴'!$F:$F,$A19,'単価履歴'!$B:$B,MAXIFS('単価履歴'!$B:$B,'単価履歴'!$E:$E,CD$1,'単価履歴'!$F:$F,$A19))=0,"",MAXIFS('単価履歴'!$H:$H,'単価履歴'!$E:$E,CD$1,'単価履歴'!$F:$F,$A19,'単価履歴'!$B:$B,MAXIFS('単価履歴'!$B:$B,'単価履歴'!$E:$E,CD$1,'単価履歴'!$F:$F,$A19)))</f>
        <v/>
      </c>
      <c r="CE19" s="332" t="str">
        <f>IF(MAXIFS('単価履歴'!$H:$H,'単価履歴'!$E:$E,CE$1,'単価履歴'!$F:$F,$A19,'単価履歴'!$B:$B,MAXIFS('単価履歴'!$B:$B,'単価履歴'!$E:$E,CE$1,'単価履歴'!$F:$F,$A19))=0,"",MAXIFS('単価履歴'!$H:$H,'単価履歴'!$E:$E,CE$1,'単価履歴'!$F:$F,$A19,'単価履歴'!$B:$B,MAXIFS('単価履歴'!$B:$B,'単価履歴'!$E:$E,CE$1,'単価履歴'!$F:$F,$A19)))</f>
        <v/>
      </c>
      <c r="CF19" s="332" t="str">
        <f>IF(MAXIFS('単価履歴'!$H:$H,'単価履歴'!$E:$E,CF$1,'単価履歴'!$F:$F,$A19,'単価履歴'!$B:$B,MAXIFS('単価履歴'!$B:$B,'単価履歴'!$E:$E,CF$1,'単価履歴'!$F:$F,$A19))=0,"",MAXIFS('単価履歴'!$H:$H,'単価履歴'!$E:$E,CF$1,'単価履歴'!$F:$F,$A19,'単価履歴'!$B:$B,MAXIFS('単価履歴'!$B:$B,'単価履歴'!$E:$E,CF$1,'単価履歴'!$F:$F,$A19)))</f>
        <v/>
      </c>
      <c r="CG19" s="332" t="str">
        <f>IF(MAXIFS('単価履歴'!$H:$H,'単価履歴'!$E:$E,CG$1,'単価履歴'!$F:$F,$A19,'単価履歴'!$B:$B,MAXIFS('単価履歴'!$B:$B,'単価履歴'!$E:$E,CG$1,'単価履歴'!$F:$F,$A19))=0,"",MAXIFS('単価履歴'!$H:$H,'単価履歴'!$E:$E,CG$1,'単価履歴'!$F:$F,$A19,'単価履歴'!$B:$B,MAXIFS('単価履歴'!$B:$B,'単価履歴'!$E:$E,CG$1,'単価履歴'!$F:$F,$A19)))</f>
        <v/>
      </c>
      <c r="CH19" s="332" t="str">
        <f>IF(MAXIFS('単価履歴'!$H:$H,'単価履歴'!$E:$E,CH$1,'単価履歴'!$F:$F,$A19,'単価履歴'!$B:$B,MAXIFS('単価履歴'!$B:$B,'単価履歴'!$E:$E,CH$1,'単価履歴'!$F:$F,$A19))=0,"",MAXIFS('単価履歴'!$H:$H,'単価履歴'!$E:$E,CH$1,'単価履歴'!$F:$F,$A19,'単価履歴'!$B:$B,MAXIFS('単価履歴'!$B:$B,'単価履歴'!$E:$E,CH$1,'単価履歴'!$F:$F,$A19)))</f>
        <v/>
      </c>
    </row>
    <row r="20" ht="15.75" customHeight="1">
      <c r="A20" s="432" t="s">
        <v>154</v>
      </c>
      <c r="B20" s="332">
        <f>MAXIFS('単価履歴'!H:H,'単価履歴'!F:F,A20,'単価履歴'!N:N,"●")</f>
        <v>55.7</v>
      </c>
      <c r="C20" s="332" t="str">
        <f>IF(MAXIFS('単価履歴'!$H:$H,'単価履歴'!$E:$E,C$1,'単価履歴'!$F:$F,$A20,'単価履歴'!$B:$B,MAXIFS('単価履歴'!$B:$B,'単価履歴'!$E:$E,C$1,'単価履歴'!$F:$F,$A20))=0,"",MAXIFS('単価履歴'!$H:$H,'単価履歴'!$E:$E,C$1,'単価履歴'!$F:$F,$A20,'単価履歴'!$B:$B,MAXIFS('単価履歴'!$B:$B,'単価履歴'!$E:$E,C$1,'単価履歴'!$F:$F,$A20)))</f>
        <v/>
      </c>
      <c r="D20" s="332" t="str">
        <f>IF(MAXIFS('単価履歴'!$H:$H,'単価履歴'!$E:$E,D$1,'単価履歴'!$F:$F,$A20,'単価履歴'!$B:$B,MAXIFS('単価履歴'!$B:$B,'単価履歴'!$E:$E,D$1,'単価履歴'!$F:$F,$A20))=0,"",MAXIFS('単価履歴'!$H:$H,'単価履歴'!$E:$E,D$1,'単価履歴'!$F:$F,$A20,'単価履歴'!$B:$B,MAXIFS('単価履歴'!$B:$B,'単価履歴'!$E:$E,D$1,'単価履歴'!$F:$F,$A20)))</f>
        <v/>
      </c>
      <c r="E20" s="332" t="str">
        <f>IF(MAXIFS('単価履歴'!$H:$H,'単価履歴'!$E:$E,E$1,'単価履歴'!$F:$F,$A20,'単価履歴'!$B:$B,MAXIFS('単価履歴'!$B:$B,'単価履歴'!$E:$E,E$1,'単価履歴'!$F:$F,$A20))=0,"",MAXIFS('単価履歴'!$H:$H,'単価履歴'!$E:$E,E$1,'単価履歴'!$F:$F,$A20,'単価履歴'!$B:$B,MAXIFS('単価履歴'!$B:$B,'単価履歴'!$E:$E,E$1,'単価履歴'!$F:$F,$A20)))</f>
        <v/>
      </c>
      <c r="F20" s="332" t="str">
        <f>IF(MAXIFS('単価履歴'!$H:$H,'単価履歴'!$E:$E,F$1,'単価履歴'!$F:$F,$A20,'単価履歴'!$B:$B,MAXIFS('単価履歴'!$B:$B,'単価履歴'!$E:$E,F$1,'単価履歴'!$F:$F,$A20))=0,"",MAXIFS('単価履歴'!$H:$H,'単価履歴'!$E:$E,F$1,'単価履歴'!$F:$F,$A20,'単価履歴'!$B:$B,MAXIFS('単価履歴'!$B:$B,'単価履歴'!$E:$E,F$1,'単価履歴'!$F:$F,$A20)))</f>
        <v/>
      </c>
      <c r="G20" s="332" t="str">
        <f>IF(MAXIFS('単価履歴'!$H:$H,'単価履歴'!$E:$E,G$1,'単価履歴'!$F:$F,$A20,'単価履歴'!$B:$B,MAXIFS('単価履歴'!$B:$B,'単価履歴'!$E:$E,G$1,'単価履歴'!$F:$F,$A20))=0,"",MAXIFS('単価履歴'!$H:$H,'単価履歴'!$E:$E,G$1,'単価履歴'!$F:$F,$A20,'単価履歴'!$B:$B,MAXIFS('単価履歴'!$B:$B,'単価履歴'!$E:$E,G$1,'単価履歴'!$F:$F,$A20)))</f>
        <v/>
      </c>
      <c r="H20" s="332" t="str">
        <f>IF(MAXIFS('単価履歴'!$H:$H,'単価履歴'!$E:$E,H$1,'単価履歴'!$F:$F,$A20,'単価履歴'!$B:$B,MAXIFS('単価履歴'!$B:$B,'単価履歴'!$E:$E,H$1,'単価履歴'!$F:$F,$A20))=0,"",MAXIFS('単価履歴'!$H:$H,'単価履歴'!$E:$E,H$1,'単価履歴'!$F:$F,$A20,'単価履歴'!$B:$B,MAXIFS('単価履歴'!$B:$B,'単価履歴'!$E:$E,H$1,'単価履歴'!$F:$F,$A20)))</f>
        <v/>
      </c>
      <c r="I20" s="332" t="str">
        <f>IF(MAXIFS('単価履歴'!$H:$H,'単価履歴'!$E:$E,I$1,'単価履歴'!$F:$F,$A20,'単価履歴'!$B:$B,MAXIFS('単価履歴'!$B:$B,'単価履歴'!$E:$E,I$1,'単価履歴'!$F:$F,$A20))=0,"",MAXIFS('単価履歴'!$H:$H,'単価履歴'!$E:$E,I$1,'単価履歴'!$F:$F,$A20,'単価履歴'!$B:$B,MAXIFS('単価履歴'!$B:$B,'単価履歴'!$E:$E,I$1,'単価履歴'!$F:$F,$A20)))</f>
        <v/>
      </c>
      <c r="J20" s="332" t="str">
        <f>IF(MAXIFS('単価履歴'!$H:$H,'単価履歴'!$E:$E,J$1,'単価履歴'!$F:$F,$A20,'単価履歴'!$B:$B,MAXIFS('単価履歴'!$B:$B,'単価履歴'!$E:$E,J$1,'単価履歴'!$F:$F,$A20))=0,"",MAXIFS('単価履歴'!$H:$H,'単価履歴'!$E:$E,J$1,'単価履歴'!$F:$F,$A20,'単価履歴'!$B:$B,MAXIFS('単価履歴'!$B:$B,'単価履歴'!$E:$E,J$1,'単価履歴'!$F:$F,$A20)))</f>
        <v/>
      </c>
      <c r="K20" s="332" t="str">
        <f>IF(MAXIFS('単価履歴'!$H:$H,'単価履歴'!$E:$E,K$1,'単価履歴'!$F:$F,$A20,'単価履歴'!$B:$B,MAXIFS('単価履歴'!$B:$B,'単価履歴'!$E:$E,K$1,'単価履歴'!$F:$F,$A20))=0,"",MAXIFS('単価履歴'!$H:$H,'単価履歴'!$E:$E,K$1,'単価履歴'!$F:$F,$A20,'単価履歴'!$B:$B,MAXIFS('単価履歴'!$B:$B,'単価履歴'!$E:$E,K$1,'単価履歴'!$F:$F,$A20)))</f>
        <v/>
      </c>
      <c r="L20" s="332">
        <f>IF(MAXIFS('単価履歴'!$H:$H,'単価履歴'!$E:$E,L$1,'単価履歴'!$F:$F,$A20,'単価履歴'!$B:$B,MAXIFS('単価履歴'!$B:$B,'単価履歴'!$E:$E,L$1,'単価履歴'!$F:$F,$A20))=0,"",MAXIFS('単価履歴'!$H:$H,'単価履歴'!$E:$E,L$1,'単価履歴'!$F:$F,$A20,'単価履歴'!$B:$B,MAXIFS('単価履歴'!$B:$B,'単価履歴'!$E:$E,L$1,'単価履歴'!$F:$F,$A20)))</f>
        <v>45.5</v>
      </c>
      <c r="M20" s="332">
        <f>IF(MAXIFS('単価履歴'!$H:$H,'単価履歴'!$E:$E,M$1,'単価履歴'!$F:$F,$A20,'単価履歴'!$B:$B,MAXIFS('単価履歴'!$B:$B,'単価履歴'!$E:$E,M$1,'単価履歴'!$F:$F,$A20))=0,"",MAXIFS('単価履歴'!$H:$H,'単価履歴'!$E:$E,M$1,'単価履歴'!$F:$F,$A20,'単価履歴'!$B:$B,MAXIFS('単価履歴'!$B:$B,'単価履歴'!$E:$E,M$1,'単価履歴'!$F:$F,$A20)))</f>
        <v>50.2</v>
      </c>
      <c r="N20" s="332">
        <f>IF(MAXIFS('単価履歴'!$H:$H,'単価履歴'!$E:$E,N$1,'単価履歴'!$F:$F,$A20,'単価履歴'!$B:$B,MAXIFS('単価履歴'!$B:$B,'単価履歴'!$E:$E,N$1,'単価履歴'!$F:$F,$A20))=0,"",MAXIFS('単価履歴'!$H:$H,'単価履歴'!$E:$E,N$1,'単価履歴'!$F:$F,$A20,'単価履歴'!$B:$B,MAXIFS('単価履歴'!$B:$B,'単価履歴'!$E:$E,N$1,'単価履歴'!$F:$F,$A20)))</f>
        <v>55.7</v>
      </c>
      <c r="O20" s="332">
        <f>IF(MAXIFS('単価履歴'!$H:$H,'単価履歴'!$E:$E,O$1,'単価履歴'!$F:$F,$A20,'単価履歴'!$B:$B,MAXIFS('単価履歴'!$B:$B,'単価履歴'!$E:$E,O$1,'単価履歴'!$F:$F,$A20))=0,"",MAXIFS('単価履歴'!$H:$H,'単価履歴'!$E:$E,O$1,'単価履歴'!$F:$F,$A20,'単価履歴'!$B:$B,MAXIFS('単価履歴'!$B:$B,'単価履歴'!$E:$E,O$1,'単価履歴'!$F:$F,$A20)))</f>
        <v>-3</v>
      </c>
      <c r="P20" s="332" t="str">
        <f>IF(MAXIFS('単価履歴'!$H:$H,'単価履歴'!$E:$E,P$1,'単価履歴'!$F:$F,$A20,'単価履歴'!$B:$B,MAXIFS('単価履歴'!$B:$B,'単価履歴'!$E:$E,P$1,'単価履歴'!$F:$F,$A20))=0,"",MAXIFS('単価履歴'!$H:$H,'単価履歴'!$E:$E,P$1,'単価履歴'!$F:$F,$A20,'単価履歴'!$B:$B,MAXIFS('単価履歴'!$B:$B,'単価履歴'!$E:$E,P$1,'単価履歴'!$F:$F,$A20)))</f>
        <v/>
      </c>
      <c r="Q20" s="332">
        <f>IF(MAXIFS('単価履歴'!$H:$H,'単価履歴'!$E:$E,Q$1,'単価履歴'!$F:$F,$A20,'単価履歴'!$B:$B,MAXIFS('単価履歴'!$B:$B,'単価履歴'!$E:$E,Q$1,'単価履歴'!$F:$F,$A20))=0,"",MAXIFS('単価履歴'!$H:$H,'単価履歴'!$E:$E,Q$1,'単価履歴'!$F:$F,$A20,'単価履歴'!$B:$B,MAXIFS('単価履歴'!$B:$B,'単価履歴'!$E:$E,Q$1,'単価履歴'!$F:$F,$A20)))</f>
        <v>53.2</v>
      </c>
      <c r="R20" s="332" t="str">
        <f>IF(MAXIFS('単価履歴'!$H:$H,'単価履歴'!$E:$E,R$1,'単価履歴'!$F:$F,$A20,'単価履歴'!$B:$B,MAXIFS('単価履歴'!$B:$B,'単価履歴'!$E:$E,R$1,'単価履歴'!$F:$F,$A20))=0,"",MAXIFS('単価履歴'!$H:$H,'単価履歴'!$E:$E,R$1,'単価履歴'!$F:$F,$A20,'単価履歴'!$B:$B,MAXIFS('単価履歴'!$B:$B,'単価履歴'!$E:$E,R$1,'単価履歴'!$F:$F,$A20)))</f>
        <v/>
      </c>
      <c r="S20" s="332" t="str">
        <f>IF(MAXIFS('単価履歴'!$H:$H,'単価履歴'!$E:$E,S$1,'単価履歴'!$F:$F,$A20,'単価履歴'!$B:$B,MAXIFS('単価履歴'!$B:$B,'単価履歴'!$E:$E,S$1,'単価履歴'!$F:$F,$A20))=0,"",MAXIFS('単価履歴'!$H:$H,'単価履歴'!$E:$E,S$1,'単価履歴'!$F:$F,$A20,'単価履歴'!$B:$B,MAXIFS('単価履歴'!$B:$B,'単価履歴'!$E:$E,S$1,'単価履歴'!$F:$F,$A20)))</f>
        <v/>
      </c>
      <c r="T20" s="332" t="str">
        <f>IF(MAXIFS('単価履歴'!$H:$H,'単価履歴'!$E:$E,T$1,'単価履歴'!$F:$F,$A20,'単価履歴'!$B:$B,MAXIFS('単価履歴'!$B:$B,'単価履歴'!$E:$E,T$1,'単価履歴'!$F:$F,$A20))=0,"",MAXIFS('単価履歴'!$H:$H,'単価履歴'!$E:$E,T$1,'単価履歴'!$F:$F,$A20,'単価履歴'!$B:$B,MAXIFS('単価履歴'!$B:$B,'単価履歴'!$E:$E,T$1,'単価履歴'!$F:$F,$A20)))</f>
        <v/>
      </c>
      <c r="U20" s="332" t="str">
        <f>IF(MAXIFS('単価履歴'!$H:$H,'単価履歴'!$E:$E,U$1,'単価履歴'!$F:$F,$A20,'単価履歴'!$B:$B,MAXIFS('単価履歴'!$B:$B,'単価履歴'!$E:$E,U$1,'単価履歴'!$F:$F,$A20))=0,"",MAXIFS('単価履歴'!$H:$H,'単価履歴'!$E:$E,U$1,'単価履歴'!$F:$F,$A20,'単価履歴'!$B:$B,MAXIFS('単価履歴'!$B:$B,'単価履歴'!$E:$E,U$1,'単価履歴'!$F:$F,$A20)))</f>
        <v/>
      </c>
      <c r="V20" s="332" t="str">
        <f>IF(MAXIFS('単価履歴'!$H:$H,'単価履歴'!$E:$E,V$1,'単価履歴'!$F:$F,$A20,'単価履歴'!$B:$B,MAXIFS('単価履歴'!$B:$B,'単価履歴'!$E:$E,V$1,'単価履歴'!$F:$F,$A20))=0,"",MAXIFS('単価履歴'!$H:$H,'単価履歴'!$E:$E,V$1,'単価履歴'!$F:$F,$A20,'単価履歴'!$B:$B,MAXIFS('単価履歴'!$B:$B,'単価履歴'!$E:$E,V$1,'単価履歴'!$F:$F,$A20)))</f>
        <v/>
      </c>
      <c r="W20" s="332">
        <f>IF(MAXIFS('単価履歴'!$H:$H,'単価履歴'!$E:$E,W$1,'単価履歴'!$F:$F,$A20,'単価履歴'!$B:$B,MAXIFS('単価履歴'!$B:$B,'単価履歴'!$E:$E,W$1,'単価履歴'!$F:$F,$A20))=0,"",MAXIFS('単価履歴'!$H:$H,'単価履歴'!$E:$E,W$1,'単価履歴'!$F:$F,$A20,'単価履歴'!$B:$B,MAXIFS('単価履歴'!$B:$B,'単価履歴'!$E:$E,W$1,'単価履歴'!$F:$F,$A20)))</f>
        <v>54.5</v>
      </c>
      <c r="X20" s="332" t="str">
        <f>IF(MAXIFS('単価履歴'!$H:$H,'単価履歴'!$E:$E,X$1,'単価履歴'!$F:$F,$A20,'単価履歴'!$B:$B,MAXIFS('単価履歴'!$B:$B,'単価履歴'!$E:$E,X$1,'単価履歴'!$F:$F,$A20))=0,"",MAXIFS('単価履歴'!$H:$H,'単価履歴'!$E:$E,X$1,'単価履歴'!$F:$F,$A20,'単価履歴'!$B:$B,MAXIFS('単価履歴'!$B:$B,'単価履歴'!$E:$E,X$1,'単価履歴'!$F:$F,$A20)))</f>
        <v/>
      </c>
      <c r="Y20" s="332" t="str">
        <f>IF(MAXIFS('単価履歴'!$H:$H,'単価履歴'!$E:$E,Y$1,'単価履歴'!$F:$F,$A20,'単価履歴'!$B:$B,MAXIFS('単価履歴'!$B:$B,'単価履歴'!$E:$E,Y$1,'単価履歴'!$F:$F,$A20))=0,"",MAXIFS('単価履歴'!$H:$H,'単価履歴'!$E:$E,Y$1,'単価履歴'!$F:$F,$A20,'単価履歴'!$B:$B,MAXIFS('単価履歴'!$B:$B,'単価履歴'!$E:$E,Y$1,'単価履歴'!$F:$F,$A20)))</f>
        <v/>
      </c>
      <c r="Z20" s="332" t="str">
        <f>IF(MAXIFS('単価履歴'!$H:$H,'単価履歴'!$E:$E,Z$1,'単価履歴'!$F:$F,$A20,'単価履歴'!$B:$B,MAXIFS('単価履歴'!$B:$B,'単価履歴'!$E:$E,Z$1,'単価履歴'!$F:$F,$A20))=0,"",MAXIFS('単価履歴'!$H:$H,'単価履歴'!$E:$E,Z$1,'単価履歴'!$F:$F,$A20,'単価履歴'!$B:$B,MAXIFS('単価履歴'!$B:$B,'単価履歴'!$E:$E,Z$1,'単価履歴'!$F:$F,$A20)))</f>
        <v/>
      </c>
      <c r="AA20" s="332" t="str">
        <f>IF(MAXIFS('単価履歴'!$H:$H,'単価履歴'!$E:$E,AA$1,'単価履歴'!$F:$F,$A20,'単価履歴'!$B:$B,MAXIFS('単価履歴'!$B:$B,'単価履歴'!$E:$E,AA$1,'単価履歴'!$F:$F,$A20))=0,"",MAXIFS('単価履歴'!$H:$H,'単価履歴'!$E:$E,AA$1,'単価履歴'!$F:$F,$A20,'単価履歴'!$B:$B,MAXIFS('単価履歴'!$B:$B,'単価履歴'!$E:$E,AA$1,'単価履歴'!$F:$F,$A20)))</f>
        <v/>
      </c>
      <c r="AB20" s="332" t="str">
        <f>IF(MAXIFS('単価履歴'!$H:$H,'単価履歴'!$E:$E,AB$1,'単価履歴'!$F:$F,$A20,'単価履歴'!$B:$B,MAXIFS('単価履歴'!$B:$B,'単価履歴'!$E:$E,AB$1,'単価履歴'!$F:$F,$A20))=0,"",MAXIFS('単価履歴'!$H:$H,'単価履歴'!$E:$E,AB$1,'単価履歴'!$F:$F,$A20,'単価履歴'!$B:$B,MAXIFS('単価履歴'!$B:$B,'単価履歴'!$E:$E,AB$1,'単価履歴'!$F:$F,$A20)))</f>
        <v/>
      </c>
      <c r="AC20" s="332" t="str">
        <f>IF(MAXIFS('単価履歴'!$H:$H,'単価履歴'!$E:$E,AC$1,'単価履歴'!$F:$F,$A20,'単価履歴'!$B:$B,MAXIFS('単価履歴'!$B:$B,'単価履歴'!$E:$E,AC$1,'単価履歴'!$F:$F,$A20))=0,"",MAXIFS('単価履歴'!$H:$H,'単価履歴'!$E:$E,AC$1,'単価履歴'!$F:$F,$A20,'単価履歴'!$B:$B,MAXIFS('単価履歴'!$B:$B,'単価履歴'!$E:$E,AC$1,'単価履歴'!$F:$F,$A20)))</f>
        <v/>
      </c>
      <c r="AD20" s="332" t="str">
        <f>IF(MAXIFS('単価履歴'!$H:$H,'単価履歴'!$E:$E,AD$1,'単価履歴'!$F:$F,$A20,'単価履歴'!$B:$B,MAXIFS('単価履歴'!$B:$B,'単価履歴'!$E:$E,AD$1,'単価履歴'!$F:$F,$A20))=0,"",MAXIFS('単価履歴'!$H:$H,'単価履歴'!$E:$E,AD$1,'単価履歴'!$F:$F,$A20,'単価履歴'!$B:$B,MAXIFS('単価履歴'!$B:$B,'単価履歴'!$E:$E,AD$1,'単価履歴'!$F:$F,$A20)))</f>
        <v/>
      </c>
      <c r="AE20" s="332" t="str">
        <f>IF(MAXIFS('単価履歴'!$H:$H,'単価履歴'!$E:$E,AE$1,'単価履歴'!$F:$F,$A20,'単価履歴'!$B:$B,MAXIFS('単価履歴'!$B:$B,'単価履歴'!$E:$E,AE$1,'単価履歴'!$F:$F,$A20))=0,"",MAXIFS('単価履歴'!$H:$H,'単価履歴'!$E:$E,AE$1,'単価履歴'!$F:$F,$A20,'単価履歴'!$B:$B,MAXIFS('単価履歴'!$B:$B,'単価履歴'!$E:$E,AE$1,'単価履歴'!$F:$F,$A20)))</f>
        <v/>
      </c>
      <c r="AF20" s="332" t="str">
        <f>IF(MAXIFS('単価履歴'!$H:$H,'単価履歴'!$E:$E,AF$1,'単価履歴'!$F:$F,$A20,'単価履歴'!$B:$B,MAXIFS('単価履歴'!$B:$B,'単価履歴'!$E:$E,AF$1,'単価履歴'!$F:$F,$A20))=0,"",MAXIFS('単価履歴'!$H:$H,'単価履歴'!$E:$E,AF$1,'単価履歴'!$F:$F,$A20,'単価履歴'!$B:$B,MAXIFS('単価履歴'!$B:$B,'単価履歴'!$E:$E,AF$1,'単価履歴'!$F:$F,$A20)))</f>
        <v/>
      </c>
      <c r="AG20" s="332" t="str">
        <f>IF(MAXIFS('単価履歴'!$H:$H,'単価履歴'!$E:$E,AG$1,'単価履歴'!$F:$F,$A20,'単価履歴'!$B:$B,MAXIFS('単価履歴'!$B:$B,'単価履歴'!$E:$E,AG$1,'単価履歴'!$F:$F,$A20))=0,"",MAXIFS('単価履歴'!$H:$H,'単価履歴'!$E:$E,AG$1,'単価履歴'!$F:$F,$A20,'単価履歴'!$B:$B,MAXIFS('単価履歴'!$B:$B,'単価履歴'!$E:$E,AG$1,'単価履歴'!$F:$F,$A20)))</f>
        <v/>
      </c>
      <c r="AH20" s="332" t="str">
        <f>IF(MAXIFS('単価履歴'!$H:$H,'単価履歴'!$E:$E,AH$1,'単価履歴'!$F:$F,$A20,'単価履歴'!$B:$B,MAXIFS('単価履歴'!$B:$B,'単価履歴'!$E:$E,AH$1,'単価履歴'!$F:$F,$A20))=0,"",MAXIFS('単価履歴'!$H:$H,'単価履歴'!$E:$E,AH$1,'単価履歴'!$F:$F,$A20,'単価履歴'!$B:$B,MAXIFS('単価履歴'!$B:$B,'単価履歴'!$E:$E,AH$1,'単価履歴'!$F:$F,$A20)))</f>
        <v/>
      </c>
      <c r="AI20" s="332" t="str">
        <f>IF(MAXIFS('単価履歴'!$H:$H,'単価履歴'!$E:$E,AI$1,'単価履歴'!$F:$F,$A20,'単価履歴'!$B:$B,MAXIFS('単価履歴'!$B:$B,'単価履歴'!$E:$E,AI$1,'単価履歴'!$F:$F,$A20))=0,"",MAXIFS('単価履歴'!$H:$H,'単価履歴'!$E:$E,AI$1,'単価履歴'!$F:$F,$A20,'単価履歴'!$B:$B,MAXIFS('単価履歴'!$B:$B,'単価履歴'!$E:$E,AI$1,'単価履歴'!$F:$F,$A20)))</f>
        <v/>
      </c>
      <c r="AJ20" s="332" t="str">
        <f>IF(MAXIFS('単価履歴'!$H:$H,'単価履歴'!$E:$E,AJ$1,'単価履歴'!$F:$F,$A20,'単価履歴'!$B:$B,MAXIFS('単価履歴'!$B:$B,'単価履歴'!$E:$E,AJ$1,'単価履歴'!$F:$F,$A20))=0,"",MAXIFS('単価履歴'!$H:$H,'単価履歴'!$E:$E,AJ$1,'単価履歴'!$F:$F,$A20,'単価履歴'!$B:$B,MAXIFS('単価履歴'!$B:$B,'単価履歴'!$E:$E,AJ$1,'単価履歴'!$F:$F,$A20)))</f>
        <v/>
      </c>
      <c r="AK20" s="332" t="str">
        <f>IF(MAXIFS('単価履歴'!$H:$H,'単価履歴'!$E:$E,AK$1,'単価履歴'!$F:$F,$A20,'単価履歴'!$B:$B,MAXIFS('単価履歴'!$B:$B,'単価履歴'!$E:$E,AK$1,'単価履歴'!$F:$F,$A20))=0,"",MAXIFS('単価履歴'!$H:$H,'単価履歴'!$E:$E,AK$1,'単価履歴'!$F:$F,$A20,'単価履歴'!$B:$B,MAXIFS('単価履歴'!$B:$B,'単価履歴'!$E:$E,AK$1,'単価履歴'!$F:$F,$A20)))</f>
        <v/>
      </c>
      <c r="AL20" s="332" t="str">
        <f>IF(MAXIFS('単価履歴'!$H:$H,'単価履歴'!$E:$E,AL$1,'単価履歴'!$F:$F,$A20,'単価履歴'!$B:$B,MAXIFS('単価履歴'!$B:$B,'単価履歴'!$E:$E,AL$1,'単価履歴'!$F:$F,$A20))=0,"",MAXIFS('単価履歴'!$H:$H,'単価履歴'!$E:$E,AL$1,'単価履歴'!$F:$F,$A20,'単価履歴'!$B:$B,MAXIFS('単価履歴'!$B:$B,'単価履歴'!$E:$E,AL$1,'単価履歴'!$F:$F,$A20)))</f>
        <v/>
      </c>
      <c r="AM20" s="332" t="str">
        <f>IF(MAXIFS('単価履歴'!$H:$H,'単価履歴'!$E:$E,AM$1,'単価履歴'!$F:$F,$A20,'単価履歴'!$B:$B,MAXIFS('単価履歴'!$B:$B,'単価履歴'!$E:$E,AM$1,'単価履歴'!$F:$F,$A20))=0,"",MAXIFS('単価履歴'!$H:$H,'単価履歴'!$E:$E,AM$1,'単価履歴'!$F:$F,$A20,'単価履歴'!$B:$B,MAXIFS('単価履歴'!$B:$B,'単価履歴'!$E:$E,AM$1,'単価履歴'!$F:$F,$A20)))</f>
        <v/>
      </c>
      <c r="AN20" s="332">
        <f>IF(MAXIFS('単価履歴'!$H:$H,'単価履歴'!$E:$E,AN$1,'単価履歴'!$F:$F,$A20,'単価履歴'!$B:$B,MAXIFS('単価履歴'!$B:$B,'単価履歴'!$E:$E,AN$1,'単価履歴'!$F:$F,$A20))=0,"",MAXIFS('単価履歴'!$H:$H,'単価履歴'!$E:$E,AN$1,'単価履歴'!$F:$F,$A20,'単価履歴'!$B:$B,MAXIFS('単価履歴'!$B:$B,'単価履歴'!$E:$E,AN$1,'単価履歴'!$F:$F,$A20)))</f>
        <v>51.5</v>
      </c>
      <c r="AO20" s="332" t="str">
        <f>IF(MAXIFS('単価履歴'!$H:$H,'単価履歴'!$E:$E,AO$1,'単価履歴'!$F:$F,$A20,'単価履歴'!$B:$B,MAXIFS('単価履歴'!$B:$B,'単価履歴'!$E:$E,AO$1,'単価履歴'!$F:$F,$A20))=0,"",MAXIFS('単価履歴'!$H:$H,'単価履歴'!$E:$E,AO$1,'単価履歴'!$F:$F,$A20,'単価履歴'!$B:$B,MAXIFS('単価履歴'!$B:$B,'単価履歴'!$E:$E,AO$1,'単価履歴'!$F:$F,$A20)))</f>
        <v/>
      </c>
      <c r="AP20" s="332">
        <f>IF(MAXIFS('単価履歴'!$H:$H,'単価履歴'!$E:$E,AP$1,'単価履歴'!$F:$F,$A20,'単価履歴'!$B:$B,MAXIFS('単価履歴'!$B:$B,'単価履歴'!$E:$E,AP$1,'単価履歴'!$F:$F,$A20))=0,"",MAXIFS('単価履歴'!$H:$H,'単価履歴'!$E:$E,AP$1,'単価履歴'!$F:$F,$A20,'単価履歴'!$B:$B,MAXIFS('単価履歴'!$B:$B,'単価履歴'!$E:$E,AP$1,'単価履歴'!$F:$F,$A20)))</f>
        <v>-0.5</v>
      </c>
      <c r="AQ20" s="332" t="str">
        <f>IF(MAXIFS('単価履歴'!$H:$H,'単価履歴'!$E:$E,AQ$1,'単価履歴'!$F:$F,$A20,'単価履歴'!$B:$B,MAXIFS('単価履歴'!$B:$B,'単価履歴'!$E:$E,AQ$1,'単価履歴'!$F:$F,$A20))=0,"",MAXIFS('単価履歴'!$H:$H,'単価履歴'!$E:$E,AQ$1,'単価履歴'!$F:$F,$A20,'単価履歴'!$B:$B,MAXIFS('単価履歴'!$B:$B,'単価履歴'!$E:$E,AQ$1,'単価履歴'!$F:$F,$A20)))</f>
        <v/>
      </c>
      <c r="AR20" s="332" t="str">
        <f>IF(MAXIFS('単価履歴'!$H:$H,'単価履歴'!$E:$E,AR$1,'単価履歴'!$F:$F,$A20,'単価履歴'!$B:$B,MAXIFS('単価履歴'!$B:$B,'単価履歴'!$E:$E,AR$1,'単価履歴'!$F:$F,$A20))=0,"",MAXIFS('単価履歴'!$H:$H,'単価履歴'!$E:$E,AR$1,'単価履歴'!$F:$F,$A20,'単価履歴'!$B:$B,MAXIFS('単価履歴'!$B:$B,'単価履歴'!$E:$E,AR$1,'単価履歴'!$F:$F,$A20)))</f>
        <v/>
      </c>
      <c r="AS20" s="332" t="str">
        <f>IF(MAXIFS('単価履歴'!$H:$H,'単価履歴'!$E:$E,AS$1,'単価履歴'!$F:$F,$A20,'単価履歴'!$B:$B,MAXIFS('単価履歴'!$B:$B,'単価履歴'!$E:$E,AS$1,'単価履歴'!$F:$F,$A20))=0,"",MAXIFS('単価履歴'!$H:$H,'単価履歴'!$E:$E,AS$1,'単価履歴'!$F:$F,$A20,'単価履歴'!$B:$B,MAXIFS('単価履歴'!$B:$B,'単価履歴'!$E:$E,AS$1,'単価履歴'!$F:$F,$A20)))</f>
        <v/>
      </c>
      <c r="AT20" s="332" t="str">
        <f>IF(MAXIFS('単価履歴'!$H:$H,'単価履歴'!$E:$E,AT$1,'単価履歴'!$F:$F,$A20,'単価履歴'!$B:$B,MAXIFS('単価履歴'!$B:$B,'単価履歴'!$E:$E,AT$1,'単価履歴'!$F:$F,$A20))=0,"",MAXIFS('単価履歴'!$H:$H,'単価履歴'!$E:$E,AT$1,'単価履歴'!$F:$F,$A20,'単価履歴'!$B:$B,MAXIFS('単価履歴'!$B:$B,'単価履歴'!$E:$E,AT$1,'単価履歴'!$F:$F,$A20)))</f>
        <v/>
      </c>
      <c r="AU20" s="332">
        <f>IF(MAXIFS('単価履歴'!$H:$H,'単価履歴'!$E:$E,AU$1,'単価履歴'!$F:$F,$A20,'単価履歴'!$B:$B,MAXIFS('単価履歴'!$B:$B,'単価履歴'!$E:$E,AU$1,'単価履歴'!$F:$F,$A20))=0,"",MAXIFS('単価履歴'!$H:$H,'単価履歴'!$E:$E,AU$1,'単価履歴'!$F:$F,$A20,'単価履歴'!$B:$B,MAXIFS('単価履歴'!$B:$B,'単価履歴'!$E:$E,AU$1,'単価履歴'!$F:$F,$A20)))</f>
        <v>55</v>
      </c>
      <c r="AV20" s="332" t="str">
        <f>IF(MAXIFS('単価履歴'!$H:$H,'単価履歴'!$E:$E,AV$1,'単価履歴'!$F:$F,$A20,'単価履歴'!$B:$B,MAXIFS('単価履歴'!$B:$B,'単価履歴'!$E:$E,AV$1,'単価履歴'!$F:$F,$A20))=0,"",MAXIFS('単価履歴'!$H:$H,'単価履歴'!$E:$E,AV$1,'単価履歴'!$F:$F,$A20,'単価履歴'!$B:$B,MAXIFS('単価履歴'!$B:$B,'単価履歴'!$E:$E,AV$1,'単価履歴'!$F:$F,$A20)))</f>
        <v/>
      </c>
      <c r="AW20" s="332" t="str">
        <f>IF(MAXIFS('単価履歴'!$H:$H,'単価履歴'!$E:$E,AW$1,'単価履歴'!$F:$F,$A20,'単価履歴'!$B:$B,MAXIFS('単価履歴'!$B:$B,'単価履歴'!$E:$E,AW$1,'単価履歴'!$F:$F,$A20))=0,"",MAXIFS('単価履歴'!$H:$H,'単価履歴'!$E:$E,AW$1,'単価履歴'!$F:$F,$A20,'単価履歴'!$B:$B,MAXIFS('単価履歴'!$B:$B,'単価履歴'!$E:$E,AW$1,'単価履歴'!$F:$F,$A20)))</f>
        <v/>
      </c>
      <c r="AX20" s="332">
        <f>IF(MAXIFS('単価履歴'!$H:$H,'単価履歴'!$E:$E,AX$1,'単価履歴'!$F:$F,$A20,'単価履歴'!$B:$B,MAXIFS('単価履歴'!$B:$B,'単価履歴'!$E:$E,AX$1,'単価履歴'!$F:$F,$A20))=0,"",MAXIFS('単価履歴'!$H:$H,'単価履歴'!$E:$E,AX$1,'単価履歴'!$F:$F,$A20,'単価履歴'!$B:$B,MAXIFS('単価履歴'!$B:$B,'単価履歴'!$E:$E,AX$1,'単価履歴'!$F:$F,$A20)))</f>
        <v>51.5</v>
      </c>
      <c r="AY20" s="332" t="str">
        <f>IF(MAXIFS('単価履歴'!$H:$H,'単価履歴'!$E:$E,AY$1,'単価履歴'!$F:$F,$A20,'単価履歴'!$B:$B,MAXIFS('単価履歴'!$B:$B,'単価履歴'!$E:$E,AY$1,'単価履歴'!$F:$F,$A20))=0,"",MAXIFS('単価履歴'!$H:$H,'単価履歴'!$E:$E,AY$1,'単価履歴'!$F:$F,$A20,'単価履歴'!$B:$B,MAXIFS('単価履歴'!$B:$B,'単価履歴'!$E:$E,AY$1,'単価履歴'!$F:$F,$A20)))</f>
        <v/>
      </c>
      <c r="AZ20" s="332" t="str">
        <f>IF(MAXIFS('単価履歴'!$H:$H,'単価履歴'!$E:$E,AZ$1,'単価履歴'!$F:$F,$A20,'単価履歴'!$B:$B,MAXIFS('単価履歴'!$B:$B,'単価履歴'!$E:$E,AZ$1,'単価履歴'!$F:$F,$A20))=0,"",MAXIFS('単価履歴'!$H:$H,'単価履歴'!$E:$E,AZ$1,'単価履歴'!$F:$F,$A20,'単価履歴'!$B:$B,MAXIFS('単価履歴'!$B:$B,'単価履歴'!$E:$E,AZ$1,'単価履歴'!$F:$F,$A20)))</f>
        <v/>
      </c>
      <c r="BA20" s="332" t="str">
        <f>IF(MAXIFS('単価履歴'!$H:$H,'単価履歴'!$E:$E,BA$1,'単価履歴'!$F:$F,$A20,'単価履歴'!$B:$B,MAXIFS('単価履歴'!$B:$B,'単価履歴'!$E:$E,BA$1,'単価履歴'!$F:$F,$A20))=0,"",MAXIFS('単価履歴'!$H:$H,'単価履歴'!$E:$E,BA$1,'単価履歴'!$F:$F,$A20,'単価履歴'!$B:$B,MAXIFS('単価履歴'!$B:$B,'単価履歴'!$E:$E,BA$1,'単価履歴'!$F:$F,$A20)))</f>
        <v/>
      </c>
      <c r="BB20" s="332" t="str">
        <f>IF(MAXIFS('単価履歴'!$H:$H,'単価履歴'!$E:$E,BB$1,'単価履歴'!$F:$F,$A20,'単価履歴'!$B:$B,MAXIFS('単価履歴'!$B:$B,'単価履歴'!$E:$E,BB$1,'単価履歴'!$F:$F,$A20))=0,"",MAXIFS('単価履歴'!$H:$H,'単価履歴'!$E:$E,BB$1,'単価履歴'!$F:$F,$A20,'単価履歴'!$B:$B,MAXIFS('単価履歴'!$B:$B,'単価履歴'!$E:$E,BB$1,'単価履歴'!$F:$F,$A20)))</f>
        <v/>
      </c>
      <c r="BC20" s="332" t="str">
        <f>IF(MAXIFS('単価履歴'!$H:$H,'単価履歴'!$E:$E,BC$1,'単価履歴'!$F:$F,$A20,'単価履歴'!$B:$B,MAXIFS('単価履歴'!$B:$B,'単価履歴'!$E:$E,BC$1,'単価履歴'!$F:$F,$A20))=0,"",MAXIFS('単価履歴'!$H:$H,'単価履歴'!$E:$E,BC$1,'単価履歴'!$F:$F,$A20,'単価履歴'!$B:$B,MAXIFS('単価履歴'!$B:$B,'単価履歴'!$E:$E,BC$1,'単価履歴'!$F:$F,$A20)))</f>
        <v/>
      </c>
      <c r="BD20" s="332" t="str">
        <f>IF(MAXIFS('単価履歴'!$H:$H,'単価履歴'!$E:$E,BD$1,'単価履歴'!$F:$F,$A20,'単価履歴'!$B:$B,MAXIFS('単価履歴'!$B:$B,'単価履歴'!$E:$E,BD$1,'単価履歴'!$F:$F,$A20))=0,"",MAXIFS('単価履歴'!$H:$H,'単価履歴'!$E:$E,BD$1,'単価履歴'!$F:$F,$A20,'単価履歴'!$B:$B,MAXIFS('単価履歴'!$B:$B,'単価履歴'!$E:$E,BD$1,'単価履歴'!$F:$F,$A20)))</f>
        <v/>
      </c>
      <c r="BE20" s="332" t="str">
        <f>IF(MAXIFS('単価履歴'!$H:$H,'単価履歴'!$E:$E,BE$1,'単価履歴'!$F:$F,$A20,'単価履歴'!$B:$B,MAXIFS('単価履歴'!$B:$B,'単価履歴'!$E:$E,BE$1,'単価履歴'!$F:$F,$A20))=0,"",MAXIFS('単価履歴'!$H:$H,'単価履歴'!$E:$E,BE$1,'単価履歴'!$F:$F,$A20,'単価履歴'!$B:$B,MAXIFS('単価履歴'!$B:$B,'単価履歴'!$E:$E,BE$1,'単価履歴'!$F:$F,$A20)))</f>
        <v/>
      </c>
      <c r="BF20" s="332" t="str">
        <f>IF(MAXIFS('単価履歴'!$H:$H,'単価履歴'!$E:$E,BF$1,'単価履歴'!$F:$F,$A20,'単価履歴'!$B:$B,MAXIFS('単価履歴'!$B:$B,'単価履歴'!$E:$E,BF$1,'単価履歴'!$F:$F,$A20))=0,"",MAXIFS('単価履歴'!$H:$H,'単価履歴'!$E:$E,BF$1,'単価履歴'!$F:$F,$A20,'単価履歴'!$B:$B,MAXIFS('単価履歴'!$B:$B,'単価履歴'!$E:$E,BF$1,'単価履歴'!$F:$F,$A20)))</f>
        <v/>
      </c>
      <c r="BG20" s="332" t="str">
        <f>IF(MAXIFS('単価履歴'!$H:$H,'単価履歴'!$E:$E,BG$1,'単価履歴'!$F:$F,$A20,'単価履歴'!$B:$B,MAXIFS('単価履歴'!$B:$B,'単価履歴'!$E:$E,BG$1,'単価履歴'!$F:$F,$A20))=0,"",MAXIFS('単価履歴'!$H:$H,'単価履歴'!$E:$E,BG$1,'単価履歴'!$F:$F,$A20,'単価履歴'!$B:$B,MAXIFS('単価履歴'!$B:$B,'単価履歴'!$E:$E,BG$1,'単価履歴'!$F:$F,$A20)))</f>
        <v/>
      </c>
      <c r="BH20" s="332" t="str">
        <f>IF(MAXIFS('単価履歴'!$H:$H,'単価履歴'!$E:$E,BH$1,'単価履歴'!$F:$F,$A20,'単価履歴'!$B:$B,MAXIFS('単価履歴'!$B:$B,'単価履歴'!$E:$E,BH$1,'単価履歴'!$F:$F,$A20))=0,"",MAXIFS('単価履歴'!$H:$H,'単価履歴'!$E:$E,BH$1,'単価履歴'!$F:$F,$A20,'単価履歴'!$B:$B,MAXIFS('単価履歴'!$B:$B,'単価履歴'!$E:$E,BH$1,'単価履歴'!$F:$F,$A20)))</f>
        <v/>
      </c>
      <c r="BI20" s="332" t="str">
        <f>IF(MAXIFS('単価履歴'!$H:$H,'単価履歴'!$E:$E,BI$1,'単価履歴'!$F:$F,$A20,'単価履歴'!$B:$B,MAXIFS('単価履歴'!$B:$B,'単価履歴'!$E:$E,BI$1,'単価履歴'!$F:$F,$A20))=0,"",MAXIFS('単価履歴'!$H:$H,'単価履歴'!$E:$E,BI$1,'単価履歴'!$F:$F,$A20,'単価履歴'!$B:$B,MAXIFS('単価履歴'!$B:$B,'単価履歴'!$E:$E,BI$1,'単価履歴'!$F:$F,$A20)))</f>
        <v/>
      </c>
      <c r="BJ20" s="332" t="str">
        <f>IF(MAXIFS('単価履歴'!$H:$H,'単価履歴'!$E:$E,BJ$1,'単価履歴'!$F:$F,$A20,'単価履歴'!$B:$B,MAXIFS('単価履歴'!$B:$B,'単価履歴'!$E:$E,BJ$1,'単価履歴'!$F:$F,$A20))=0,"",MAXIFS('単価履歴'!$H:$H,'単価履歴'!$E:$E,BJ$1,'単価履歴'!$F:$F,$A20,'単価履歴'!$B:$B,MAXIFS('単価履歴'!$B:$B,'単価履歴'!$E:$E,BJ$1,'単価履歴'!$F:$F,$A20)))</f>
        <v/>
      </c>
      <c r="BK20" s="332" t="str">
        <f>IF(MAXIFS('単価履歴'!$H:$H,'単価履歴'!$E:$E,BK$1,'単価履歴'!$F:$F,$A20,'単価履歴'!$B:$B,MAXIFS('単価履歴'!$B:$B,'単価履歴'!$E:$E,BK$1,'単価履歴'!$F:$F,$A20))=0,"",MAXIFS('単価履歴'!$H:$H,'単価履歴'!$E:$E,BK$1,'単価履歴'!$F:$F,$A20,'単価履歴'!$B:$B,MAXIFS('単価履歴'!$B:$B,'単価履歴'!$E:$E,BK$1,'単価履歴'!$F:$F,$A20)))</f>
        <v/>
      </c>
      <c r="BL20" s="332" t="str">
        <f>IF(MAXIFS('単価履歴'!$H:$H,'単価履歴'!$E:$E,BL$1,'単価履歴'!$F:$F,$A20,'単価履歴'!$B:$B,MAXIFS('単価履歴'!$B:$B,'単価履歴'!$E:$E,BL$1,'単価履歴'!$F:$F,$A20))=0,"",MAXIFS('単価履歴'!$H:$H,'単価履歴'!$E:$E,BL$1,'単価履歴'!$F:$F,$A20,'単価履歴'!$B:$B,MAXIFS('単価履歴'!$B:$B,'単価履歴'!$E:$E,BL$1,'単価履歴'!$F:$F,$A20)))</f>
        <v/>
      </c>
      <c r="BM20" s="332" t="str">
        <f>IF(MAXIFS('単価履歴'!$H:$H,'単価履歴'!$E:$E,BM$1,'単価履歴'!$F:$F,$A20,'単価履歴'!$B:$B,MAXIFS('単価履歴'!$B:$B,'単価履歴'!$E:$E,BM$1,'単価履歴'!$F:$F,$A20))=0,"",MAXIFS('単価履歴'!$H:$H,'単価履歴'!$E:$E,BM$1,'単価履歴'!$F:$F,$A20,'単価履歴'!$B:$B,MAXIFS('単価履歴'!$B:$B,'単価履歴'!$E:$E,BM$1,'単価履歴'!$F:$F,$A20)))</f>
        <v/>
      </c>
      <c r="BN20" s="332" t="str">
        <f>IF(MAXIFS('単価履歴'!$H:$H,'単価履歴'!$E:$E,BN$1,'単価履歴'!$F:$F,$A20,'単価履歴'!$B:$B,MAXIFS('単価履歴'!$B:$B,'単価履歴'!$E:$E,BN$1,'単価履歴'!$F:$F,$A20))=0,"",MAXIFS('単価履歴'!$H:$H,'単価履歴'!$E:$E,BN$1,'単価履歴'!$F:$F,$A20,'単価履歴'!$B:$B,MAXIFS('単価履歴'!$B:$B,'単価履歴'!$E:$E,BN$1,'単価履歴'!$F:$F,$A20)))</f>
        <v/>
      </c>
      <c r="BO20" s="332" t="str">
        <f>IF(MAXIFS('単価履歴'!$H:$H,'単価履歴'!$E:$E,BO$1,'単価履歴'!$F:$F,$A20,'単価履歴'!$B:$B,MAXIFS('単価履歴'!$B:$B,'単価履歴'!$E:$E,BO$1,'単価履歴'!$F:$F,$A20))=0,"",MAXIFS('単価履歴'!$H:$H,'単価履歴'!$E:$E,BO$1,'単価履歴'!$F:$F,$A20,'単価履歴'!$B:$B,MAXIFS('単価履歴'!$B:$B,'単価履歴'!$E:$E,BO$1,'単価履歴'!$F:$F,$A20)))</f>
        <v/>
      </c>
      <c r="BP20" s="332" t="str">
        <f>IF(MAXIFS('単価履歴'!$H:$H,'単価履歴'!$E:$E,BP$1,'単価履歴'!$F:$F,$A20,'単価履歴'!$B:$B,MAXIFS('単価履歴'!$B:$B,'単価履歴'!$E:$E,BP$1,'単価履歴'!$F:$F,$A20))=0,"",MAXIFS('単価履歴'!$H:$H,'単価履歴'!$E:$E,BP$1,'単価履歴'!$F:$F,$A20,'単価履歴'!$B:$B,MAXIFS('単価履歴'!$B:$B,'単価履歴'!$E:$E,BP$1,'単価履歴'!$F:$F,$A20)))</f>
        <v/>
      </c>
      <c r="BQ20" s="332" t="str">
        <f>IF(MAXIFS('単価履歴'!$H:$H,'単価履歴'!$E:$E,BQ$1,'単価履歴'!$F:$F,$A20,'単価履歴'!$B:$B,MAXIFS('単価履歴'!$B:$B,'単価履歴'!$E:$E,BQ$1,'単価履歴'!$F:$F,$A20))=0,"",MAXIFS('単価履歴'!$H:$H,'単価履歴'!$E:$E,BQ$1,'単価履歴'!$F:$F,$A20,'単価履歴'!$B:$B,MAXIFS('単価履歴'!$B:$B,'単価履歴'!$E:$E,BQ$1,'単価履歴'!$F:$F,$A20)))</f>
        <v/>
      </c>
      <c r="BR20" s="332" t="str">
        <f>IF(MAXIFS('単価履歴'!$H:$H,'単価履歴'!$E:$E,BR$1,'単価履歴'!$F:$F,$A20,'単価履歴'!$B:$B,MAXIFS('単価履歴'!$B:$B,'単価履歴'!$E:$E,BR$1,'単価履歴'!$F:$F,$A20))=0,"",MAXIFS('単価履歴'!$H:$H,'単価履歴'!$E:$E,BR$1,'単価履歴'!$F:$F,$A20,'単価履歴'!$B:$B,MAXIFS('単価履歴'!$B:$B,'単価履歴'!$E:$E,BR$1,'単価履歴'!$F:$F,$A20)))</f>
        <v/>
      </c>
      <c r="BS20" s="332" t="str">
        <f>IF(MAXIFS('単価履歴'!$H:$H,'単価履歴'!$E:$E,BS$1,'単価履歴'!$F:$F,$A20,'単価履歴'!$B:$B,MAXIFS('単価履歴'!$B:$B,'単価履歴'!$E:$E,BS$1,'単価履歴'!$F:$F,$A20))=0,"",MAXIFS('単価履歴'!$H:$H,'単価履歴'!$E:$E,BS$1,'単価履歴'!$F:$F,$A20,'単価履歴'!$B:$B,MAXIFS('単価履歴'!$B:$B,'単価履歴'!$E:$E,BS$1,'単価履歴'!$F:$F,$A20)))</f>
        <v/>
      </c>
      <c r="BT20" s="332" t="str">
        <f>IF(MAXIFS('単価履歴'!$H:$H,'単価履歴'!$E:$E,BT$1,'単価履歴'!$F:$F,$A20,'単価履歴'!$B:$B,MAXIFS('単価履歴'!$B:$B,'単価履歴'!$E:$E,BT$1,'単価履歴'!$F:$F,$A20))=0,"",MAXIFS('単価履歴'!$H:$H,'単価履歴'!$E:$E,BT$1,'単価履歴'!$F:$F,$A20,'単価履歴'!$B:$B,MAXIFS('単価履歴'!$B:$B,'単価履歴'!$E:$E,BT$1,'単価履歴'!$F:$F,$A20)))</f>
        <v/>
      </c>
      <c r="BU20" s="332" t="str">
        <f>IF(MAXIFS('単価履歴'!$H:$H,'単価履歴'!$E:$E,BU$1,'単価履歴'!$F:$F,$A20,'単価履歴'!$B:$B,MAXIFS('単価履歴'!$B:$B,'単価履歴'!$E:$E,BU$1,'単価履歴'!$F:$F,$A20))=0,"",MAXIFS('単価履歴'!$H:$H,'単価履歴'!$E:$E,BU$1,'単価履歴'!$F:$F,$A20,'単価履歴'!$B:$B,MAXIFS('単価履歴'!$B:$B,'単価履歴'!$E:$E,BU$1,'単価履歴'!$F:$F,$A20)))</f>
        <v/>
      </c>
      <c r="BV20" s="332" t="str">
        <f>IF(MAXIFS('単価履歴'!$H:$H,'単価履歴'!$E:$E,BV$1,'単価履歴'!$F:$F,$A20,'単価履歴'!$B:$B,MAXIFS('単価履歴'!$B:$B,'単価履歴'!$E:$E,BV$1,'単価履歴'!$F:$F,$A20))=0,"",MAXIFS('単価履歴'!$H:$H,'単価履歴'!$E:$E,BV$1,'単価履歴'!$F:$F,$A20,'単価履歴'!$B:$B,MAXIFS('単価履歴'!$B:$B,'単価履歴'!$E:$E,BV$1,'単価履歴'!$F:$F,$A20)))</f>
        <v/>
      </c>
      <c r="BW20" s="332" t="str">
        <f>IF(MAXIFS('単価履歴'!$H:$H,'単価履歴'!$E:$E,BW$1,'単価履歴'!$F:$F,$A20,'単価履歴'!$B:$B,MAXIFS('単価履歴'!$B:$B,'単価履歴'!$E:$E,BW$1,'単価履歴'!$F:$F,$A20))=0,"",MAXIFS('単価履歴'!$H:$H,'単価履歴'!$E:$E,BW$1,'単価履歴'!$F:$F,$A20,'単価履歴'!$B:$B,MAXIFS('単価履歴'!$B:$B,'単価履歴'!$E:$E,BW$1,'単価履歴'!$F:$F,$A20)))</f>
        <v/>
      </c>
      <c r="BX20" s="332" t="str">
        <f>IF(MAXIFS('単価履歴'!$H:$H,'単価履歴'!$E:$E,BX$1,'単価履歴'!$F:$F,$A20,'単価履歴'!$B:$B,MAXIFS('単価履歴'!$B:$B,'単価履歴'!$E:$E,BX$1,'単価履歴'!$F:$F,$A20))=0,"",MAXIFS('単価履歴'!$H:$H,'単価履歴'!$E:$E,BX$1,'単価履歴'!$F:$F,$A20,'単価履歴'!$B:$B,MAXIFS('単価履歴'!$B:$B,'単価履歴'!$E:$E,BX$1,'単価履歴'!$F:$F,$A20)))</f>
        <v/>
      </c>
      <c r="BY20" s="332" t="str">
        <f>IF(MAXIFS('単価履歴'!$H:$H,'単価履歴'!$E:$E,BY$1,'単価履歴'!$F:$F,$A20,'単価履歴'!$B:$B,MAXIFS('単価履歴'!$B:$B,'単価履歴'!$E:$E,BY$1,'単価履歴'!$F:$F,$A20))=0,"",MAXIFS('単価履歴'!$H:$H,'単価履歴'!$E:$E,BY$1,'単価履歴'!$F:$F,$A20,'単価履歴'!$B:$B,MAXIFS('単価履歴'!$B:$B,'単価履歴'!$E:$E,BY$1,'単価履歴'!$F:$F,$A20)))</f>
        <v/>
      </c>
      <c r="BZ20" s="332" t="str">
        <f>IF(MAXIFS('単価履歴'!$H:$H,'単価履歴'!$E:$E,BZ$1,'単価履歴'!$F:$F,$A20,'単価履歴'!$B:$B,MAXIFS('単価履歴'!$B:$B,'単価履歴'!$E:$E,BZ$1,'単価履歴'!$F:$F,$A20))=0,"",MAXIFS('単価履歴'!$H:$H,'単価履歴'!$E:$E,BZ$1,'単価履歴'!$F:$F,$A20,'単価履歴'!$B:$B,MAXIFS('単価履歴'!$B:$B,'単価履歴'!$E:$E,BZ$1,'単価履歴'!$F:$F,$A20)))</f>
        <v/>
      </c>
      <c r="CA20" s="332" t="str">
        <f>IF(MAXIFS('単価履歴'!$H:$H,'単価履歴'!$E:$E,CA$1,'単価履歴'!$F:$F,$A20,'単価履歴'!$B:$B,MAXIFS('単価履歴'!$B:$B,'単価履歴'!$E:$E,CA$1,'単価履歴'!$F:$F,$A20))=0,"",MAXIFS('単価履歴'!$H:$H,'単価履歴'!$E:$E,CA$1,'単価履歴'!$F:$F,$A20,'単価履歴'!$B:$B,MAXIFS('単価履歴'!$B:$B,'単価履歴'!$E:$E,CA$1,'単価履歴'!$F:$F,$A20)))</f>
        <v/>
      </c>
      <c r="CB20" s="332" t="str">
        <f>IF(MAXIFS('単価履歴'!$H:$H,'単価履歴'!$E:$E,CB$1,'単価履歴'!$F:$F,$A20,'単価履歴'!$B:$B,MAXIFS('単価履歴'!$B:$B,'単価履歴'!$E:$E,CB$1,'単価履歴'!$F:$F,$A20))=0,"",MAXIFS('単価履歴'!$H:$H,'単価履歴'!$E:$E,CB$1,'単価履歴'!$F:$F,$A20,'単価履歴'!$B:$B,MAXIFS('単価履歴'!$B:$B,'単価履歴'!$E:$E,CB$1,'単価履歴'!$F:$F,$A20)))</f>
        <v/>
      </c>
      <c r="CC20" s="332" t="str">
        <f>IF(MAXIFS('単価履歴'!$H:$H,'単価履歴'!$E:$E,CC$1,'単価履歴'!$F:$F,$A20,'単価履歴'!$B:$B,MAXIFS('単価履歴'!$B:$B,'単価履歴'!$E:$E,CC$1,'単価履歴'!$F:$F,$A20))=0,"",MAXIFS('単価履歴'!$H:$H,'単価履歴'!$E:$E,CC$1,'単価履歴'!$F:$F,$A20,'単価履歴'!$B:$B,MAXIFS('単価履歴'!$B:$B,'単価履歴'!$E:$E,CC$1,'単価履歴'!$F:$F,$A20)))</f>
        <v/>
      </c>
      <c r="CD20" s="332" t="str">
        <f>IF(MAXIFS('単価履歴'!$H:$H,'単価履歴'!$E:$E,CD$1,'単価履歴'!$F:$F,$A20,'単価履歴'!$B:$B,MAXIFS('単価履歴'!$B:$B,'単価履歴'!$E:$E,CD$1,'単価履歴'!$F:$F,$A20))=0,"",MAXIFS('単価履歴'!$H:$H,'単価履歴'!$E:$E,CD$1,'単価履歴'!$F:$F,$A20,'単価履歴'!$B:$B,MAXIFS('単価履歴'!$B:$B,'単価履歴'!$E:$E,CD$1,'単価履歴'!$F:$F,$A20)))</f>
        <v/>
      </c>
      <c r="CE20" s="332" t="str">
        <f>IF(MAXIFS('単価履歴'!$H:$H,'単価履歴'!$E:$E,CE$1,'単価履歴'!$F:$F,$A20,'単価履歴'!$B:$B,MAXIFS('単価履歴'!$B:$B,'単価履歴'!$E:$E,CE$1,'単価履歴'!$F:$F,$A20))=0,"",MAXIFS('単価履歴'!$H:$H,'単価履歴'!$E:$E,CE$1,'単価履歴'!$F:$F,$A20,'単価履歴'!$B:$B,MAXIFS('単価履歴'!$B:$B,'単価履歴'!$E:$E,CE$1,'単価履歴'!$F:$F,$A20)))</f>
        <v/>
      </c>
      <c r="CF20" s="332" t="str">
        <f>IF(MAXIFS('単価履歴'!$H:$H,'単価履歴'!$E:$E,CF$1,'単価履歴'!$F:$F,$A20,'単価履歴'!$B:$B,MAXIFS('単価履歴'!$B:$B,'単価履歴'!$E:$E,CF$1,'単価履歴'!$F:$F,$A20))=0,"",MAXIFS('単価履歴'!$H:$H,'単価履歴'!$E:$E,CF$1,'単価履歴'!$F:$F,$A20,'単価履歴'!$B:$B,MAXIFS('単価履歴'!$B:$B,'単価履歴'!$E:$E,CF$1,'単価履歴'!$F:$F,$A20)))</f>
        <v/>
      </c>
      <c r="CG20" s="332" t="str">
        <f>IF(MAXIFS('単価履歴'!$H:$H,'単価履歴'!$E:$E,CG$1,'単価履歴'!$F:$F,$A20,'単価履歴'!$B:$B,MAXIFS('単価履歴'!$B:$B,'単価履歴'!$E:$E,CG$1,'単価履歴'!$F:$F,$A20))=0,"",MAXIFS('単価履歴'!$H:$H,'単価履歴'!$E:$E,CG$1,'単価履歴'!$F:$F,$A20,'単価履歴'!$B:$B,MAXIFS('単価履歴'!$B:$B,'単価履歴'!$E:$E,CG$1,'単価履歴'!$F:$F,$A20)))</f>
        <v/>
      </c>
      <c r="CH20" s="332" t="str">
        <f>IF(MAXIFS('単価履歴'!$H:$H,'単価履歴'!$E:$E,CH$1,'単価履歴'!$F:$F,$A20,'単価履歴'!$B:$B,MAXIFS('単価履歴'!$B:$B,'単価履歴'!$E:$E,CH$1,'単価履歴'!$F:$F,$A20))=0,"",MAXIFS('単価履歴'!$H:$H,'単価履歴'!$E:$E,CH$1,'単価履歴'!$F:$F,$A20,'単価履歴'!$B:$B,MAXIFS('単価履歴'!$B:$B,'単価履歴'!$E:$E,CH$1,'単価履歴'!$F:$F,$A20)))</f>
        <v/>
      </c>
    </row>
    <row r="21" ht="15.75" customHeight="1">
      <c r="A21" s="432" t="s">
        <v>156</v>
      </c>
      <c r="B21" s="332">
        <f>MAXIFS('単価履歴'!H:H,'単価履歴'!F:F,A21,'単価履歴'!N:N,"●")</f>
        <v>45.5</v>
      </c>
      <c r="C21" s="332" t="str">
        <f>IF(MAXIFS('単価履歴'!$H:$H,'単価履歴'!$E:$E,C$1,'単価履歴'!$F:$F,$A21,'単価履歴'!$B:$B,MAXIFS('単価履歴'!$B:$B,'単価履歴'!$E:$E,C$1,'単価履歴'!$F:$F,$A21))=0,"",MAXIFS('単価履歴'!$H:$H,'単価履歴'!$E:$E,C$1,'単価履歴'!$F:$F,$A21,'単価履歴'!$B:$B,MAXIFS('単価履歴'!$B:$B,'単価履歴'!$E:$E,C$1,'単価履歴'!$F:$F,$A21)))</f>
        <v/>
      </c>
      <c r="D21" s="332" t="str">
        <f>IF(MAXIFS('単価履歴'!$H:$H,'単価履歴'!$E:$E,D$1,'単価履歴'!$F:$F,$A21,'単価履歴'!$B:$B,MAXIFS('単価履歴'!$B:$B,'単価履歴'!$E:$E,D$1,'単価履歴'!$F:$F,$A21))=0,"",MAXIFS('単価履歴'!$H:$H,'単価履歴'!$E:$E,D$1,'単価履歴'!$F:$F,$A21,'単価履歴'!$B:$B,MAXIFS('単価履歴'!$B:$B,'単価履歴'!$E:$E,D$1,'単価履歴'!$F:$F,$A21)))</f>
        <v/>
      </c>
      <c r="E21" s="332" t="str">
        <f>IF(MAXIFS('単価履歴'!$H:$H,'単価履歴'!$E:$E,E$1,'単価履歴'!$F:$F,$A21,'単価履歴'!$B:$B,MAXIFS('単価履歴'!$B:$B,'単価履歴'!$E:$E,E$1,'単価履歴'!$F:$F,$A21))=0,"",MAXIFS('単価履歴'!$H:$H,'単価履歴'!$E:$E,E$1,'単価履歴'!$F:$F,$A21,'単価履歴'!$B:$B,MAXIFS('単価履歴'!$B:$B,'単価履歴'!$E:$E,E$1,'単価履歴'!$F:$F,$A21)))</f>
        <v/>
      </c>
      <c r="F21" s="332" t="str">
        <f>IF(MAXIFS('単価履歴'!$H:$H,'単価履歴'!$E:$E,F$1,'単価履歴'!$F:$F,$A21,'単価履歴'!$B:$B,MAXIFS('単価履歴'!$B:$B,'単価履歴'!$E:$E,F$1,'単価履歴'!$F:$F,$A21))=0,"",MAXIFS('単価履歴'!$H:$H,'単価履歴'!$E:$E,F$1,'単価履歴'!$F:$F,$A21,'単価履歴'!$B:$B,MAXIFS('単価履歴'!$B:$B,'単価履歴'!$E:$E,F$1,'単価履歴'!$F:$F,$A21)))</f>
        <v/>
      </c>
      <c r="G21" s="332" t="str">
        <f>IF(MAXIFS('単価履歴'!$H:$H,'単価履歴'!$E:$E,G$1,'単価履歴'!$F:$F,$A21,'単価履歴'!$B:$B,MAXIFS('単価履歴'!$B:$B,'単価履歴'!$E:$E,G$1,'単価履歴'!$F:$F,$A21))=0,"",MAXIFS('単価履歴'!$H:$H,'単価履歴'!$E:$E,G$1,'単価履歴'!$F:$F,$A21,'単価履歴'!$B:$B,MAXIFS('単価履歴'!$B:$B,'単価履歴'!$E:$E,G$1,'単価履歴'!$F:$F,$A21)))</f>
        <v/>
      </c>
      <c r="H21" s="332" t="str">
        <f>IF(MAXIFS('単価履歴'!$H:$H,'単価履歴'!$E:$E,H$1,'単価履歴'!$F:$F,$A21,'単価履歴'!$B:$B,MAXIFS('単価履歴'!$B:$B,'単価履歴'!$E:$E,H$1,'単価履歴'!$F:$F,$A21))=0,"",MAXIFS('単価履歴'!$H:$H,'単価履歴'!$E:$E,H$1,'単価履歴'!$F:$F,$A21,'単価履歴'!$B:$B,MAXIFS('単価履歴'!$B:$B,'単価履歴'!$E:$E,H$1,'単価履歴'!$F:$F,$A21)))</f>
        <v/>
      </c>
      <c r="I21" s="332" t="str">
        <f>IF(MAXIFS('単価履歴'!$H:$H,'単価履歴'!$E:$E,I$1,'単価履歴'!$F:$F,$A21,'単価履歴'!$B:$B,MAXIFS('単価履歴'!$B:$B,'単価履歴'!$E:$E,I$1,'単価履歴'!$F:$F,$A21))=0,"",MAXIFS('単価履歴'!$H:$H,'単価履歴'!$E:$E,I$1,'単価履歴'!$F:$F,$A21,'単価履歴'!$B:$B,MAXIFS('単価履歴'!$B:$B,'単価履歴'!$E:$E,I$1,'単価履歴'!$F:$F,$A21)))</f>
        <v/>
      </c>
      <c r="J21" s="332" t="str">
        <f>IF(MAXIFS('単価履歴'!$H:$H,'単価履歴'!$E:$E,J$1,'単価履歴'!$F:$F,$A21,'単価履歴'!$B:$B,MAXIFS('単価履歴'!$B:$B,'単価履歴'!$E:$E,J$1,'単価履歴'!$F:$F,$A21))=0,"",MAXIFS('単価履歴'!$H:$H,'単価履歴'!$E:$E,J$1,'単価履歴'!$F:$F,$A21,'単価履歴'!$B:$B,MAXIFS('単価履歴'!$B:$B,'単価履歴'!$E:$E,J$1,'単価履歴'!$F:$F,$A21)))</f>
        <v/>
      </c>
      <c r="K21" s="332" t="str">
        <f>IF(MAXIFS('単価履歴'!$H:$H,'単価履歴'!$E:$E,K$1,'単価履歴'!$F:$F,$A21,'単価履歴'!$B:$B,MAXIFS('単価履歴'!$B:$B,'単価履歴'!$E:$E,K$1,'単価履歴'!$F:$F,$A21))=0,"",MAXIFS('単価履歴'!$H:$H,'単価履歴'!$E:$E,K$1,'単価履歴'!$F:$F,$A21,'単価履歴'!$B:$B,MAXIFS('単価履歴'!$B:$B,'単価履歴'!$E:$E,K$1,'単価履歴'!$F:$F,$A21)))</f>
        <v/>
      </c>
      <c r="L21" s="332">
        <f>IF(MAXIFS('単価履歴'!$H:$H,'単価履歴'!$E:$E,L$1,'単価履歴'!$F:$F,$A21,'単価履歴'!$B:$B,MAXIFS('単価履歴'!$B:$B,'単価履歴'!$E:$E,L$1,'単価履歴'!$F:$F,$A21))=0,"",MAXIFS('単価履歴'!$H:$H,'単価履歴'!$E:$E,L$1,'単価履歴'!$F:$F,$A21,'単価履歴'!$B:$B,MAXIFS('単価履歴'!$B:$B,'単価履歴'!$E:$E,L$1,'単価履歴'!$F:$F,$A21)))</f>
        <v>39</v>
      </c>
      <c r="M21" s="332">
        <f>IF(MAXIFS('単価履歴'!$H:$H,'単価履歴'!$E:$E,M$1,'単価履歴'!$F:$F,$A21,'単価履歴'!$B:$B,MAXIFS('単価履歴'!$B:$B,'単価履歴'!$E:$E,M$1,'単価履歴'!$F:$F,$A21))=0,"",MAXIFS('単価履歴'!$H:$H,'単価履歴'!$E:$E,M$1,'単価履歴'!$F:$F,$A21,'単価履歴'!$B:$B,MAXIFS('単価履歴'!$B:$B,'単価履歴'!$E:$E,M$1,'単価履歴'!$F:$F,$A21)))</f>
        <v>43.7</v>
      </c>
      <c r="N21" s="332">
        <f>IF(MAXIFS('単価履歴'!$H:$H,'単価履歴'!$E:$E,N$1,'単価履歴'!$F:$F,$A21,'単価履歴'!$B:$B,MAXIFS('単価履歴'!$B:$B,'単価履歴'!$E:$E,N$1,'単価履歴'!$F:$F,$A21))=0,"",MAXIFS('単価履歴'!$H:$H,'単価履歴'!$E:$E,N$1,'単価履歴'!$F:$F,$A21,'単価履歴'!$B:$B,MAXIFS('単価履歴'!$B:$B,'単価履歴'!$E:$E,N$1,'単価履歴'!$F:$F,$A21)))</f>
        <v>45.5</v>
      </c>
      <c r="O21" s="332">
        <f>IF(MAXIFS('単価履歴'!$H:$H,'単価履歴'!$E:$E,O$1,'単価履歴'!$F:$F,$A21,'単価履歴'!$B:$B,MAXIFS('単価履歴'!$B:$B,'単価履歴'!$E:$E,O$1,'単価履歴'!$F:$F,$A21))=0,"",MAXIFS('単価履歴'!$H:$H,'単価履歴'!$E:$E,O$1,'単価履歴'!$F:$F,$A21,'単価履歴'!$B:$B,MAXIFS('単価履歴'!$B:$B,'単価履歴'!$E:$E,O$1,'単価履歴'!$F:$F,$A21)))</f>
        <v>-3</v>
      </c>
      <c r="P21" s="332" t="str">
        <f>IF(MAXIFS('単価履歴'!$H:$H,'単価履歴'!$E:$E,P$1,'単価履歴'!$F:$F,$A21,'単価履歴'!$B:$B,MAXIFS('単価履歴'!$B:$B,'単価履歴'!$E:$E,P$1,'単価履歴'!$F:$F,$A21))=0,"",MAXIFS('単価履歴'!$H:$H,'単価履歴'!$E:$E,P$1,'単価履歴'!$F:$F,$A21,'単価履歴'!$B:$B,MAXIFS('単価履歴'!$B:$B,'単価履歴'!$E:$E,P$1,'単価履歴'!$F:$F,$A21)))</f>
        <v/>
      </c>
      <c r="Q21" s="332" t="str">
        <f>IF(MAXIFS('単価履歴'!$H:$H,'単価履歴'!$E:$E,Q$1,'単価履歴'!$F:$F,$A21,'単価履歴'!$B:$B,MAXIFS('単価履歴'!$B:$B,'単価履歴'!$E:$E,Q$1,'単価履歴'!$F:$F,$A21))=0,"",MAXIFS('単価履歴'!$H:$H,'単価履歴'!$E:$E,Q$1,'単価履歴'!$F:$F,$A21,'単価履歴'!$B:$B,MAXIFS('単価履歴'!$B:$B,'単価履歴'!$E:$E,Q$1,'単価履歴'!$F:$F,$A21)))</f>
        <v/>
      </c>
      <c r="R21" s="332" t="str">
        <f>IF(MAXIFS('単価履歴'!$H:$H,'単価履歴'!$E:$E,R$1,'単価履歴'!$F:$F,$A21,'単価履歴'!$B:$B,MAXIFS('単価履歴'!$B:$B,'単価履歴'!$E:$E,R$1,'単価履歴'!$F:$F,$A21))=0,"",MAXIFS('単価履歴'!$H:$H,'単価履歴'!$E:$E,R$1,'単価履歴'!$F:$F,$A21,'単価履歴'!$B:$B,MAXIFS('単価履歴'!$B:$B,'単価履歴'!$E:$E,R$1,'単価履歴'!$F:$F,$A21)))</f>
        <v/>
      </c>
      <c r="S21" s="332" t="str">
        <f>IF(MAXIFS('単価履歴'!$H:$H,'単価履歴'!$E:$E,S$1,'単価履歴'!$F:$F,$A21,'単価履歴'!$B:$B,MAXIFS('単価履歴'!$B:$B,'単価履歴'!$E:$E,S$1,'単価履歴'!$F:$F,$A21))=0,"",MAXIFS('単価履歴'!$H:$H,'単価履歴'!$E:$E,S$1,'単価履歴'!$F:$F,$A21,'単価履歴'!$B:$B,MAXIFS('単価履歴'!$B:$B,'単価履歴'!$E:$E,S$1,'単価履歴'!$F:$F,$A21)))</f>
        <v/>
      </c>
      <c r="T21" s="332" t="str">
        <f>IF(MAXIFS('単価履歴'!$H:$H,'単価履歴'!$E:$E,T$1,'単価履歴'!$F:$F,$A21,'単価履歴'!$B:$B,MAXIFS('単価履歴'!$B:$B,'単価履歴'!$E:$E,T$1,'単価履歴'!$F:$F,$A21))=0,"",MAXIFS('単価履歴'!$H:$H,'単価履歴'!$E:$E,T$1,'単価履歴'!$F:$F,$A21,'単価履歴'!$B:$B,MAXIFS('単価履歴'!$B:$B,'単価履歴'!$E:$E,T$1,'単価履歴'!$F:$F,$A21)))</f>
        <v/>
      </c>
      <c r="U21" s="332" t="str">
        <f>IF(MAXIFS('単価履歴'!$H:$H,'単価履歴'!$E:$E,U$1,'単価履歴'!$F:$F,$A21,'単価履歴'!$B:$B,MAXIFS('単価履歴'!$B:$B,'単価履歴'!$E:$E,U$1,'単価履歴'!$F:$F,$A21))=0,"",MAXIFS('単価履歴'!$H:$H,'単価履歴'!$E:$E,U$1,'単価履歴'!$F:$F,$A21,'単価履歴'!$B:$B,MAXIFS('単価履歴'!$B:$B,'単価履歴'!$E:$E,U$1,'単価履歴'!$F:$F,$A21)))</f>
        <v/>
      </c>
      <c r="V21" s="332" t="str">
        <f>IF(MAXIFS('単価履歴'!$H:$H,'単価履歴'!$E:$E,V$1,'単価履歴'!$F:$F,$A21,'単価履歴'!$B:$B,MAXIFS('単価履歴'!$B:$B,'単価履歴'!$E:$E,V$1,'単価履歴'!$F:$F,$A21))=0,"",MAXIFS('単価履歴'!$H:$H,'単価履歴'!$E:$E,V$1,'単価履歴'!$F:$F,$A21,'単価履歴'!$B:$B,MAXIFS('単価履歴'!$B:$B,'単価履歴'!$E:$E,V$1,'単価履歴'!$F:$F,$A21)))</f>
        <v/>
      </c>
      <c r="W21" s="332" t="str">
        <f>IF(MAXIFS('単価履歴'!$H:$H,'単価履歴'!$E:$E,W$1,'単価履歴'!$F:$F,$A21,'単価履歴'!$B:$B,MAXIFS('単価履歴'!$B:$B,'単価履歴'!$E:$E,W$1,'単価履歴'!$F:$F,$A21))=0,"",MAXIFS('単価履歴'!$H:$H,'単価履歴'!$E:$E,W$1,'単価履歴'!$F:$F,$A21,'単価履歴'!$B:$B,MAXIFS('単価履歴'!$B:$B,'単価履歴'!$E:$E,W$1,'単価履歴'!$F:$F,$A21)))</f>
        <v/>
      </c>
      <c r="X21" s="332" t="str">
        <f>IF(MAXIFS('単価履歴'!$H:$H,'単価履歴'!$E:$E,X$1,'単価履歴'!$F:$F,$A21,'単価履歴'!$B:$B,MAXIFS('単価履歴'!$B:$B,'単価履歴'!$E:$E,X$1,'単価履歴'!$F:$F,$A21))=0,"",MAXIFS('単価履歴'!$H:$H,'単価履歴'!$E:$E,X$1,'単価履歴'!$F:$F,$A21,'単価履歴'!$B:$B,MAXIFS('単価履歴'!$B:$B,'単価履歴'!$E:$E,X$1,'単価履歴'!$F:$F,$A21)))</f>
        <v/>
      </c>
      <c r="Y21" s="332" t="str">
        <f>IF(MAXIFS('単価履歴'!$H:$H,'単価履歴'!$E:$E,Y$1,'単価履歴'!$F:$F,$A21,'単価履歴'!$B:$B,MAXIFS('単価履歴'!$B:$B,'単価履歴'!$E:$E,Y$1,'単価履歴'!$F:$F,$A21))=0,"",MAXIFS('単価履歴'!$H:$H,'単価履歴'!$E:$E,Y$1,'単価履歴'!$F:$F,$A21,'単価履歴'!$B:$B,MAXIFS('単価履歴'!$B:$B,'単価履歴'!$E:$E,Y$1,'単価履歴'!$F:$F,$A21)))</f>
        <v/>
      </c>
      <c r="Z21" s="332" t="str">
        <f>IF(MAXIFS('単価履歴'!$H:$H,'単価履歴'!$E:$E,Z$1,'単価履歴'!$F:$F,$A21,'単価履歴'!$B:$B,MAXIFS('単価履歴'!$B:$B,'単価履歴'!$E:$E,Z$1,'単価履歴'!$F:$F,$A21))=0,"",MAXIFS('単価履歴'!$H:$H,'単価履歴'!$E:$E,Z$1,'単価履歴'!$F:$F,$A21,'単価履歴'!$B:$B,MAXIFS('単価履歴'!$B:$B,'単価履歴'!$E:$E,Z$1,'単価履歴'!$F:$F,$A21)))</f>
        <v/>
      </c>
      <c r="AA21" s="332" t="str">
        <f>IF(MAXIFS('単価履歴'!$H:$H,'単価履歴'!$E:$E,AA$1,'単価履歴'!$F:$F,$A21,'単価履歴'!$B:$B,MAXIFS('単価履歴'!$B:$B,'単価履歴'!$E:$E,AA$1,'単価履歴'!$F:$F,$A21))=0,"",MAXIFS('単価履歴'!$H:$H,'単価履歴'!$E:$E,AA$1,'単価履歴'!$F:$F,$A21,'単価履歴'!$B:$B,MAXIFS('単価履歴'!$B:$B,'単価履歴'!$E:$E,AA$1,'単価履歴'!$F:$F,$A21)))</f>
        <v/>
      </c>
      <c r="AB21" s="332" t="str">
        <f>IF(MAXIFS('単価履歴'!$H:$H,'単価履歴'!$E:$E,AB$1,'単価履歴'!$F:$F,$A21,'単価履歴'!$B:$B,MAXIFS('単価履歴'!$B:$B,'単価履歴'!$E:$E,AB$1,'単価履歴'!$F:$F,$A21))=0,"",MAXIFS('単価履歴'!$H:$H,'単価履歴'!$E:$E,AB$1,'単価履歴'!$F:$F,$A21,'単価履歴'!$B:$B,MAXIFS('単価履歴'!$B:$B,'単価履歴'!$E:$E,AB$1,'単価履歴'!$F:$F,$A21)))</f>
        <v/>
      </c>
      <c r="AC21" s="332" t="str">
        <f>IF(MAXIFS('単価履歴'!$H:$H,'単価履歴'!$E:$E,AC$1,'単価履歴'!$F:$F,$A21,'単価履歴'!$B:$B,MAXIFS('単価履歴'!$B:$B,'単価履歴'!$E:$E,AC$1,'単価履歴'!$F:$F,$A21))=0,"",MAXIFS('単価履歴'!$H:$H,'単価履歴'!$E:$E,AC$1,'単価履歴'!$F:$F,$A21,'単価履歴'!$B:$B,MAXIFS('単価履歴'!$B:$B,'単価履歴'!$E:$E,AC$1,'単価履歴'!$F:$F,$A21)))</f>
        <v/>
      </c>
      <c r="AD21" s="332" t="str">
        <f>IF(MAXIFS('単価履歴'!$H:$H,'単価履歴'!$E:$E,AD$1,'単価履歴'!$F:$F,$A21,'単価履歴'!$B:$B,MAXIFS('単価履歴'!$B:$B,'単価履歴'!$E:$E,AD$1,'単価履歴'!$F:$F,$A21))=0,"",MAXIFS('単価履歴'!$H:$H,'単価履歴'!$E:$E,AD$1,'単価履歴'!$F:$F,$A21,'単価履歴'!$B:$B,MAXIFS('単価履歴'!$B:$B,'単価履歴'!$E:$E,AD$1,'単価履歴'!$F:$F,$A21)))</f>
        <v/>
      </c>
      <c r="AE21" s="332" t="str">
        <f>IF(MAXIFS('単価履歴'!$H:$H,'単価履歴'!$E:$E,AE$1,'単価履歴'!$F:$F,$A21,'単価履歴'!$B:$B,MAXIFS('単価履歴'!$B:$B,'単価履歴'!$E:$E,AE$1,'単価履歴'!$F:$F,$A21))=0,"",MAXIFS('単価履歴'!$H:$H,'単価履歴'!$E:$E,AE$1,'単価履歴'!$F:$F,$A21,'単価履歴'!$B:$B,MAXIFS('単価履歴'!$B:$B,'単価履歴'!$E:$E,AE$1,'単価履歴'!$F:$F,$A21)))</f>
        <v/>
      </c>
      <c r="AF21" s="332" t="str">
        <f>IF(MAXIFS('単価履歴'!$H:$H,'単価履歴'!$E:$E,AF$1,'単価履歴'!$F:$F,$A21,'単価履歴'!$B:$B,MAXIFS('単価履歴'!$B:$B,'単価履歴'!$E:$E,AF$1,'単価履歴'!$F:$F,$A21))=0,"",MAXIFS('単価履歴'!$H:$H,'単価履歴'!$E:$E,AF$1,'単価履歴'!$F:$F,$A21,'単価履歴'!$B:$B,MAXIFS('単価履歴'!$B:$B,'単価履歴'!$E:$E,AF$1,'単価履歴'!$F:$F,$A21)))</f>
        <v/>
      </c>
      <c r="AG21" s="332" t="str">
        <f>IF(MAXIFS('単価履歴'!$H:$H,'単価履歴'!$E:$E,AG$1,'単価履歴'!$F:$F,$A21,'単価履歴'!$B:$B,MAXIFS('単価履歴'!$B:$B,'単価履歴'!$E:$E,AG$1,'単価履歴'!$F:$F,$A21))=0,"",MAXIFS('単価履歴'!$H:$H,'単価履歴'!$E:$E,AG$1,'単価履歴'!$F:$F,$A21,'単価履歴'!$B:$B,MAXIFS('単価履歴'!$B:$B,'単価履歴'!$E:$E,AG$1,'単価履歴'!$F:$F,$A21)))</f>
        <v/>
      </c>
      <c r="AH21" s="332" t="str">
        <f>IF(MAXIFS('単価履歴'!$H:$H,'単価履歴'!$E:$E,AH$1,'単価履歴'!$F:$F,$A21,'単価履歴'!$B:$B,MAXIFS('単価履歴'!$B:$B,'単価履歴'!$E:$E,AH$1,'単価履歴'!$F:$F,$A21))=0,"",MAXIFS('単価履歴'!$H:$H,'単価履歴'!$E:$E,AH$1,'単価履歴'!$F:$F,$A21,'単価履歴'!$B:$B,MAXIFS('単価履歴'!$B:$B,'単価履歴'!$E:$E,AH$1,'単価履歴'!$F:$F,$A21)))</f>
        <v/>
      </c>
      <c r="AI21" s="332" t="str">
        <f>IF(MAXIFS('単価履歴'!$H:$H,'単価履歴'!$E:$E,AI$1,'単価履歴'!$F:$F,$A21,'単価履歴'!$B:$B,MAXIFS('単価履歴'!$B:$B,'単価履歴'!$E:$E,AI$1,'単価履歴'!$F:$F,$A21))=0,"",MAXIFS('単価履歴'!$H:$H,'単価履歴'!$E:$E,AI$1,'単価履歴'!$F:$F,$A21,'単価履歴'!$B:$B,MAXIFS('単価履歴'!$B:$B,'単価履歴'!$E:$E,AI$1,'単価履歴'!$F:$F,$A21)))</f>
        <v/>
      </c>
      <c r="AJ21" s="332" t="str">
        <f>IF(MAXIFS('単価履歴'!$H:$H,'単価履歴'!$E:$E,AJ$1,'単価履歴'!$F:$F,$A21,'単価履歴'!$B:$B,MAXIFS('単価履歴'!$B:$B,'単価履歴'!$E:$E,AJ$1,'単価履歴'!$F:$F,$A21))=0,"",MAXIFS('単価履歴'!$H:$H,'単価履歴'!$E:$E,AJ$1,'単価履歴'!$F:$F,$A21,'単価履歴'!$B:$B,MAXIFS('単価履歴'!$B:$B,'単価履歴'!$E:$E,AJ$1,'単価履歴'!$F:$F,$A21)))</f>
        <v/>
      </c>
      <c r="AK21" s="332" t="str">
        <f>IF(MAXIFS('単価履歴'!$H:$H,'単価履歴'!$E:$E,AK$1,'単価履歴'!$F:$F,$A21,'単価履歴'!$B:$B,MAXIFS('単価履歴'!$B:$B,'単価履歴'!$E:$E,AK$1,'単価履歴'!$F:$F,$A21))=0,"",MAXIFS('単価履歴'!$H:$H,'単価履歴'!$E:$E,AK$1,'単価履歴'!$F:$F,$A21,'単価履歴'!$B:$B,MAXIFS('単価履歴'!$B:$B,'単価履歴'!$E:$E,AK$1,'単価履歴'!$F:$F,$A21)))</f>
        <v/>
      </c>
      <c r="AL21" s="332" t="str">
        <f>IF(MAXIFS('単価履歴'!$H:$H,'単価履歴'!$E:$E,AL$1,'単価履歴'!$F:$F,$A21,'単価履歴'!$B:$B,MAXIFS('単価履歴'!$B:$B,'単価履歴'!$E:$E,AL$1,'単価履歴'!$F:$F,$A21))=0,"",MAXIFS('単価履歴'!$H:$H,'単価履歴'!$E:$E,AL$1,'単価履歴'!$F:$F,$A21,'単価履歴'!$B:$B,MAXIFS('単価履歴'!$B:$B,'単価履歴'!$E:$E,AL$1,'単価履歴'!$F:$F,$A21)))</f>
        <v/>
      </c>
      <c r="AM21" s="332" t="str">
        <f>IF(MAXIFS('単価履歴'!$H:$H,'単価履歴'!$E:$E,AM$1,'単価履歴'!$F:$F,$A21,'単価履歴'!$B:$B,MAXIFS('単価履歴'!$B:$B,'単価履歴'!$E:$E,AM$1,'単価履歴'!$F:$F,$A21))=0,"",MAXIFS('単価履歴'!$H:$H,'単価履歴'!$E:$E,AM$1,'単価履歴'!$F:$F,$A21,'単価履歴'!$B:$B,MAXIFS('単価履歴'!$B:$B,'単価履歴'!$E:$E,AM$1,'単価履歴'!$F:$F,$A21)))</f>
        <v/>
      </c>
      <c r="AN21" s="332" t="str">
        <f>IF(MAXIFS('単価履歴'!$H:$H,'単価履歴'!$E:$E,AN$1,'単価履歴'!$F:$F,$A21,'単価履歴'!$B:$B,MAXIFS('単価履歴'!$B:$B,'単価履歴'!$E:$E,AN$1,'単価履歴'!$F:$F,$A21))=0,"",MAXIFS('単価履歴'!$H:$H,'単価履歴'!$E:$E,AN$1,'単価履歴'!$F:$F,$A21,'単価履歴'!$B:$B,MAXIFS('単価履歴'!$B:$B,'単価履歴'!$E:$E,AN$1,'単価履歴'!$F:$F,$A21)))</f>
        <v/>
      </c>
      <c r="AO21" s="332" t="str">
        <f>IF(MAXIFS('単価履歴'!$H:$H,'単価履歴'!$E:$E,AO$1,'単価履歴'!$F:$F,$A21,'単価履歴'!$B:$B,MAXIFS('単価履歴'!$B:$B,'単価履歴'!$E:$E,AO$1,'単価履歴'!$F:$F,$A21))=0,"",MAXIFS('単価履歴'!$H:$H,'単価履歴'!$E:$E,AO$1,'単価履歴'!$F:$F,$A21,'単価履歴'!$B:$B,MAXIFS('単価履歴'!$B:$B,'単価履歴'!$E:$E,AO$1,'単価履歴'!$F:$F,$A21)))</f>
        <v/>
      </c>
      <c r="AP21" s="332" t="str">
        <f>IF(MAXIFS('単価履歴'!$H:$H,'単価履歴'!$E:$E,AP$1,'単価履歴'!$F:$F,$A21,'単価履歴'!$B:$B,MAXIFS('単価履歴'!$B:$B,'単価履歴'!$E:$E,AP$1,'単価履歴'!$F:$F,$A21))=0,"",MAXIFS('単価履歴'!$H:$H,'単価履歴'!$E:$E,AP$1,'単価履歴'!$F:$F,$A21,'単価履歴'!$B:$B,MAXIFS('単価履歴'!$B:$B,'単価履歴'!$E:$E,AP$1,'単価履歴'!$F:$F,$A21)))</f>
        <v/>
      </c>
      <c r="AQ21" s="332" t="str">
        <f>IF(MAXIFS('単価履歴'!$H:$H,'単価履歴'!$E:$E,AQ$1,'単価履歴'!$F:$F,$A21,'単価履歴'!$B:$B,MAXIFS('単価履歴'!$B:$B,'単価履歴'!$E:$E,AQ$1,'単価履歴'!$F:$F,$A21))=0,"",MAXIFS('単価履歴'!$H:$H,'単価履歴'!$E:$E,AQ$1,'単価履歴'!$F:$F,$A21,'単価履歴'!$B:$B,MAXIFS('単価履歴'!$B:$B,'単価履歴'!$E:$E,AQ$1,'単価履歴'!$F:$F,$A21)))</f>
        <v/>
      </c>
      <c r="AR21" s="332" t="str">
        <f>IF(MAXIFS('単価履歴'!$H:$H,'単価履歴'!$E:$E,AR$1,'単価履歴'!$F:$F,$A21,'単価履歴'!$B:$B,MAXIFS('単価履歴'!$B:$B,'単価履歴'!$E:$E,AR$1,'単価履歴'!$F:$F,$A21))=0,"",MAXIFS('単価履歴'!$H:$H,'単価履歴'!$E:$E,AR$1,'単価履歴'!$F:$F,$A21,'単価履歴'!$B:$B,MAXIFS('単価履歴'!$B:$B,'単価履歴'!$E:$E,AR$1,'単価履歴'!$F:$F,$A21)))</f>
        <v/>
      </c>
      <c r="AS21" s="332" t="str">
        <f>IF(MAXIFS('単価履歴'!$H:$H,'単価履歴'!$E:$E,AS$1,'単価履歴'!$F:$F,$A21,'単価履歴'!$B:$B,MAXIFS('単価履歴'!$B:$B,'単価履歴'!$E:$E,AS$1,'単価履歴'!$F:$F,$A21))=0,"",MAXIFS('単価履歴'!$H:$H,'単価履歴'!$E:$E,AS$1,'単価履歴'!$F:$F,$A21,'単価履歴'!$B:$B,MAXIFS('単価履歴'!$B:$B,'単価履歴'!$E:$E,AS$1,'単価履歴'!$F:$F,$A21)))</f>
        <v/>
      </c>
      <c r="AT21" s="332" t="str">
        <f>IF(MAXIFS('単価履歴'!$H:$H,'単価履歴'!$E:$E,AT$1,'単価履歴'!$F:$F,$A21,'単価履歴'!$B:$B,MAXIFS('単価履歴'!$B:$B,'単価履歴'!$E:$E,AT$1,'単価履歴'!$F:$F,$A21))=0,"",MAXIFS('単価履歴'!$H:$H,'単価履歴'!$E:$E,AT$1,'単価履歴'!$F:$F,$A21,'単価履歴'!$B:$B,MAXIFS('単価履歴'!$B:$B,'単価履歴'!$E:$E,AT$1,'単価履歴'!$F:$F,$A21)))</f>
        <v/>
      </c>
      <c r="AU21" s="332" t="str">
        <f>IF(MAXIFS('単価履歴'!$H:$H,'単価履歴'!$E:$E,AU$1,'単価履歴'!$F:$F,$A21,'単価履歴'!$B:$B,MAXIFS('単価履歴'!$B:$B,'単価履歴'!$E:$E,AU$1,'単価履歴'!$F:$F,$A21))=0,"",MAXIFS('単価履歴'!$H:$H,'単価履歴'!$E:$E,AU$1,'単価履歴'!$F:$F,$A21,'単価履歴'!$B:$B,MAXIFS('単価履歴'!$B:$B,'単価履歴'!$E:$E,AU$1,'単価履歴'!$F:$F,$A21)))</f>
        <v/>
      </c>
      <c r="AV21" s="332" t="str">
        <f>IF(MAXIFS('単価履歴'!$H:$H,'単価履歴'!$E:$E,AV$1,'単価履歴'!$F:$F,$A21,'単価履歴'!$B:$B,MAXIFS('単価履歴'!$B:$B,'単価履歴'!$E:$E,AV$1,'単価履歴'!$F:$F,$A21))=0,"",MAXIFS('単価履歴'!$H:$H,'単価履歴'!$E:$E,AV$1,'単価履歴'!$F:$F,$A21,'単価履歴'!$B:$B,MAXIFS('単価履歴'!$B:$B,'単価履歴'!$E:$E,AV$1,'単価履歴'!$F:$F,$A21)))</f>
        <v/>
      </c>
      <c r="AW21" s="332" t="str">
        <f>IF(MAXIFS('単価履歴'!$H:$H,'単価履歴'!$E:$E,AW$1,'単価履歴'!$F:$F,$A21,'単価履歴'!$B:$B,MAXIFS('単価履歴'!$B:$B,'単価履歴'!$E:$E,AW$1,'単価履歴'!$F:$F,$A21))=0,"",MAXIFS('単価履歴'!$H:$H,'単価履歴'!$E:$E,AW$1,'単価履歴'!$F:$F,$A21,'単価履歴'!$B:$B,MAXIFS('単価履歴'!$B:$B,'単価履歴'!$E:$E,AW$1,'単価履歴'!$F:$F,$A21)))</f>
        <v/>
      </c>
      <c r="AX21" s="332" t="str">
        <f>IF(MAXIFS('単価履歴'!$H:$H,'単価履歴'!$E:$E,AX$1,'単価履歴'!$F:$F,$A21,'単価履歴'!$B:$B,MAXIFS('単価履歴'!$B:$B,'単価履歴'!$E:$E,AX$1,'単価履歴'!$F:$F,$A21))=0,"",MAXIFS('単価履歴'!$H:$H,'単価履歴'!$E:$E,AX$1,'単価履歴'!$F:$F,$A21,'単価履歴'!$B:$B,MAXIFS('単価履歴'!$B:$B,'単価履歴'!$E:$E,AX$1,'単価履歴'!$F:$F,$A21)))</f>
        <v/>
      </c>
      <c r="AY21" s="332" t="str">
        <f>IF(MAXIFS('単価履歴'!$H:$H,'単価履歴'!$E:$E,AY$1,'単価履歴'!$F:$F,$A21,'単価履歴'!$B:$B,MAXIFS('単価履歴'!$B:$B,'単価履歴'!$E:$E,AY$1,'単価履歴'!$F:$F,$A21))=0,"",MAXIFS('単価履歴'!$H:$H,'単価履歴'!$E:$E,AY$1,'単価履歴'!$F:$F,$A21,'単価履歴'!$B:$B,MAXIFS('単価履歴'!$B:$B,'単価履歴'!$E:$E,AY$1,'単価履歴'!$F:$F,$A21)))</f>
        <v/>
      </c>
      <c r="AZ21" s="332" t="str">
        <f>IF(MAXIFS('単価履歴'!$H:$H,'単価履歴'!$E:$E,AZ$1,'単価履歴'!$F:$F,$A21,'単価履歴'!$B:$B,MAXIFS('単価履歴'!$B:$B,'単価履歴'!$E:$E,AZ$1,'単価履歴'!$F:$F,$A21))=0,"",MAXIFS('単価履歴'!$H:$H,'単価履歴'!$E:$E,AZ$1,'単価履歴'!$F:$F,$A21,'単価履歴'!$B:$B,MAXIFS('単価履歴'!$B:$B,'単価履歴'!$E:$E,AZ$1,'単価履歴'!$F:$F,$A21)))</f>
        <v/>
      </c>
      <c r="BA21" s="332" t="str">
        <f>IF(MAXIFS('単価履歴'!$H:$H,'単価履歴'!$E:$E,BA$1,'単価履歴'!$F:$F,$A21,'単価履歴'!$B:$B,MAXIFS('単価履歴'!$B:$B,'単価履歴'!$E:$E,BA$1,'単価履歴'!$F:$F,$A21))=0,"",MAXIFS('単価履歴'!$H:$H,'単価履歴'!$E:$E,BA$1,'単価履歴'!$F:$F,$A21,'単価履歴'!$B:$B,MAXIFS('単価履歴'!$B:$B,'単価履歴'!$E:$E,BA$1,'単価履歴'!$F:$F,$A21)))</f>
        <v/>
      </c>
      <c r="BB21" s="332" t="str">
        <f>IF(MAXIFS('単価履歴'!$H:$H,'単価履歴'!$E:$E,BB$1,'単価履歴'!$F:$F,$A21,'単価履歴'!$B:$B,MAXIFS('単価履歴'!$B:$B,'単価履歴'!$E:$E,BB$1,'単価履歴'!$F:$F,$A21))=0,"",MAXIFS('単価履歴'!$H:$H,'単価履歴'!$E:$E,BB$1,'単価履歴'!$F:$F,$A21,'単価履歴'!$B:$B,MAXIFS('単価履歴'!$B:$B,'単価履歴'!$E:$E,BB$1,'単価履歴'!$F:$F,$A21)))</f>
        <v/>
      </c>
      <c r="BC21" s="332" t="str">
        <f>IF(MAXIFS('単価履歴'!$H:$H,'単価履歴'!$E:$E,BC$1,'単価履歴'!$F:$F,$A21,'単価履歴'!$B:$B,MAXIFS('単価履歴'!$B:$B,'単価履歴'!$E:$E,BC$1,'単価履歴'!$F:$F,$A21))=0,"",MAXIFS('単価履歴'!$H:$H,'単価履歴'!$E:$E,BC$1,'単価履歴'!$F:$F,$A21,'単価履歴'!$B:$B,MAXIFS('単価履歴'!$B:$B,'単価履歴'!$E:$E,BC$1,'単価履歴'!$F:$F,$A21)))</f>
        <v/>
      </c>
      <c r="BD21" s="332" t="str">
        <f>IF(MAXIFS('単価履歴'!$H:$H,'単価履歴'!$E:$E,BD$1,'単価履歴'!$F:$F,$A21,'単価履歴'!$B:$B,MAXIFS('単価履歴'!$B:$B,'単価履歴'!$E:$E,BD$1,'単価履歴'!$F:$F,$A21))=0,"",MAXIFS('単価履歴'!$H:$H,'単価履歴'!$E:$E,BD$1,'単価履歴'!$F:$F,$A21,'単価履歴'!$B:$B,MAXIFS('単価履歴'!$B:$B,'単価履歴'!$E:$E,BD$1,'単価履歴'!$F:$F,$A21)))</f>
        <v/>
      </c>
      <c r="BE21" s="332" t="str">
        <f>IF(MAXIFS('単価履歴'!$H:$H,'単価履歴'!$E:$E,BE$1,'単価履歴'!$F:$F,$A21,'単価履歴'!$B:$B,MAXIFS('単価履歴'!$B:$B,'単価履歴'!$E:$E,BE$1,'単価履歴'!$F:$F,$A21))=0,"",MAXIFS('単価履歴'!$H:$H,'単価履歴'!$E:$E,BE$1,'単価履歴'!$F:$F,$A21,'単価履歴'!$B:$B,MAXIFS('単価履歴'!$B:$B,'単価履歴'!$E:$E,BE$1,'単価履歴'!$F:$F,$A21)))</f>
        <v/>
      </c>
      <c r="BF21" s="332" t="str">
        <f>IF(MAXIFS('単価履歴'!$H:$H,'単価履歴'!$E:$E,BF$1,'単価履歴'!$F:$F,$A21,'単価履歴'!$B:$B,MAXIFS('単価履歴'!$B:$B,'単価履歴'!$E:$E,BF$1,'単価履歴'!$F:$F,$A21))=0,"",MAXIFS('単価履歴'!$H:$H,'単価履歴'!$E:$E,BF$1,'単価履歴'!$F:$F,$A21,'単価履歴'!$B:$B,MAXIFS('単価履歴'!$B:$B,'単価履歴'!$E:$E,BF$1,'単価履歴'!$F:$F,$A21)))</f>
        <v/>
      </c>
      <c r="BG21" s="332" t="str">
        <f>IF(MAXIFS('単価履歴'!$H:$H,'単価履歴'!$E:$E,BG$1,'単価履歴'!$F:$F,$A21,'単価履歴'!$B:$B,MAXIFS('単価履歴'!$B:$B,'単価履歴'!$E:$E,BG$1,'単価履歴'!$F:$F,$A21))=0,"",MAXIFS('単価履歴'!$H:$H,'単価履歴'!$E:$E,BG$1,'単価履歴'!$F:$F,$A21,'単価履歴'!$B:$B,MAXIFS('単価履歴'!$B:$B,'単価履歴'!$E:$E,BG$1,'単価履歴'!$F:$F,$A21)))</f>
        <v/>
      </c>
      <c r="BH21" s="332" t="str">
        <f>IF(MAXIFS('単価履歴'!$H:$H,'単価履歴'!$E:$E,BH$1,'単価履歴'!$F:$F,$A21,'単価履歴'!$B:$B,MAXIFS('単価履歴'!$B:$B,'単価履歴'!$E:$E,BH$1,'単価履歴'!$F:$F,$A21))=0,"",MAXIFS('単価履歴'!$H:$H,'単価履歴'!$E:$E,BH$1,'単価履歴'!$F:$F,$A21,'単価履歴'!$B:$B,MAXIFS('単価履歴'!$B:$B,'単価履歴'!$E:$E,BH$1,'単価履歴'!$F:$F,$A21)))</f>
        <v/>
      </c>
      <c r="BI21" s="332" t="str">
        <f>IF(MAXIFS('単価履歴'!$H:$H,'単価履歴'!$E:$E,BI$1,'単価履歴'!$F:$F,$A21,'単価履歴'!$B:$B,MAXIFS('単価履歴'!$B:$B,'単価履歴'!$E:$E,BI$1,'単価履歴'!$F:$F,$A21))=0,"",MAXIFS('単価履歴'!$H:$H,'単価履歴'!$E:$E,BI$1,'単価履歴'!$F:$F,$A21,'単価履歴'!$B:$B,MAXIFS('単価履歴'!$B:$B,'単価履歴'!$E:$E,BI$1,'単価履歴'!$F:$F,$A21)))</f>
        <v/>
      </c>
      <c r="BJ21" s="332" t="str">
        <f>IF(MAXIFS('単価履歴'!$H:$H,'単価履歴'!$E:$E,BJ$1,'単価履歴'!$F:$F,$A21,'単価履歴'!$B:$B,MAXIFS('単価履歴'!$B:$B,'単価履歴'!$E:$E,BJ$1,'単価履歴'!$F:$F,$A21))=0,"",MAXIFS('単価履歴'!$H:$H,'単価履歴'!$E:$E,BJ$1,'単価履歴'!$F:$F,$A21,'単価履歴'!$B:$B,MAXIFS('単価履歴'!$B:$B,'単価履歴'!$E:$E,BJ$1,'単価履歴'!$F:$F,$A21)))</f>
        <v/>
      </c>
      <c r="BK21" s="332" t="str">
        <f>IF(MAXIFS('単価履歴'!$H:$H,'単価履歴'!$E:$E,BK$1,'単価履歴'!$F:$F,$A21,'単価履歴'!$B:$B,MAXIFS('単価履歴'!$B:$B,'単価履歴'!$E:$E,BK$1,'単価履歴'!$F:$F,$A21))=0,"",MAXIFS('単価履歴'!$H:$H,'単価履歴'!$E:$E,BK$1,'単価履歴'!$F:$F,$A21,'単価履歴'!$B:$B,MAXIFS('単価履歴'!$B:$B,'単価履歴'!$E:$E,BK$1,'単価履歴'!$F:$F,$A21)))</f>
        <v/>
      </c>
      <c r="BL21" s="332" t="str">
        <f>IF(MAXIFS('単価履歴'!$H:$H,'単価履歴'!$E:$E,BL$1,'単価履歴'!$F:$F,$A21,'単価履歴'!$B:$B,MAXIFS('単価履歴'!$B:$B,'単価履歴'!$E:$E,BL$1,'単価履歴'!$F:$F,$A21))=0,"",MAXIFS('単価履歴'!$H:$H,'単価履歴'!$E:$E,BL$1,'単価履歴'!$F:$F,$A21,'単価履歴'!$B:$B,MAXIFS('単価履歴'!$B:$B,'単価履歴'!$E:$E,BL$1,'単価履歴'!$F:$F,$A21)))</f>
        <v/>
      </c>
      <c r="BM21" s="332" t="str">
        <f>IF(MAXIFS('単価履歴'!$H:$H,'単価履歴'!$E:$E,BM$1,'単価履歴'!$F:$F,$A21,'単価履歴'!$B:$B,MAXIFS('単価履歴'!$B:$B,'単価履歴'!$E:$E,BM$1,'単価履歴'!$F:$F,$A21))=0,"",MAXIFS('単価履歴'!$H:$H,'単価履歴'!$E:$E,BM$1,'単価履歴'!$F:$F,$A21,'単価履歴'!$B:$B,MAXIFS('単価履歴'!$B:$B,'単価履歴'!$E:$E,BM$1,'単価履歴'!$F:$F,$A21)))</f>
        <v/>
      </c>
      <c r="BN21" s="332" t="str">
        <f>IF(MAXIFS('単価履歴'!$H:$H,'単価履歴'!$E:$E,BN$1,'単価履歴'!$F:$F,$A21,'単価履歴'!$B:$B,MAXIFS('単価履歴'!$B:$B,'単価履歴'!$E:$E,BN$1,'単価履歴'!$F:$F,$A21))=0,"",MAXIFS('単価履歴'!$H:$H,'単価履歴'!$E:$E,BN$1,'単価履歴'!$F:$F,$A21,'単価履歴'!$B:$B,MAXIFS('単価履歴'!$B:$B,'単価履歴'!$E:$E,BN$1,'単価履歴'!$F:$F,$A21)))</f>
        <v/>
      </c>
      <c r="BO21" s="332" t="str">
        <f>IF(MAXIFS('単価履歴'!$H:$H,'単価履歴'!$E:$E,BO$1,'単価履歴'!$F:$F,$A21,'単価履歴'!$B:$B,MAXIFS('単価履歴'!$B:$B,'単価履歴'!$E:$E,BO$1,'単価履歴'!$F:$F,$A21))=0,"",MAXIFS('単価履歴'!$H:$H,'単価履歴'!$E:$E,BO$1,'単価履歴'!$F:$F,$A21,'単価履歴'!$B:$B,MAXIFS('単価履歴'!$B:$B,'単価履歴'!$E:$E,BO$1,'単価履歴'!$F:$F,$A21)))</f>
        <v/>
      </c>
      <c r="BP21" s="332" t="str">
        <f>IF(MAXIFS('単価履歴'!$H:$H,'単価履歴'!$E:$E,BP$1,'単価履歴'!$F:$F,$A21,'単価履歴'!$B:$B,MAXIFS('単価履歴'!$B:$B,'単価履歴'!$E:$E,BP$1,'単価履歴'!$F:$F,$A21))=0,"",MAXIFS('単価履歴'!$H:$H,'単価履歴'!$E:$E,BP$1,'単価履歴'!$F:$F,$A21,'単価履歴'!$B:$B,MAXIFS('単価履歴'!$B:$B,'単価履歴'!$E:$E,BP$1,'単価履歴'!$F:$F,$A21)))</f>
        <v/>
      </c>
      <c r="BQ21" s="332" t="str">
        <f>IF(MAXIFS('単価履歴'!$H:$H,'単価履歴'!$E:$E,BQ$1,'単価履歴'!$F:$F,$A21,'単価履歴'!$B:$B,MAXIFS('単価履歴'!$B:$B,'単価履歴'!$E:$E,BQ$1,'単価履歴'!$F:$F,$A21))=0,"",MAXIFS('単価履歴'!$H:$H,'単価履歴'!$E:$E,BQ$1,'単価履歴'!$F:$F,$A21,'単価履歴'!$B:$B,MAXIFS('単価履歴'!$B:$B,'単価履歴'!$E:$E,BQ$1,'単価履歴'!$F:$F,$A21)))</f>
        <v/>
      </c>
      <c r="BR21" s="332" t="str">
        <f>IF(MAXIFS('単価履歴'!$H:$H,'単価履歴'!$E:$E,BR$1,'単価履歴'!$F:$F,$A21,'単価履歴'!$B:$B,MAXIFS('単価履歴'!$B:$B,'単価履歴'!$E:$E,BR$1,'単価履歴'!$F:$F,$A21))=0,"",MAXIFS('単価履歴'!$H:$H,'単価履歴'!$E:$E,BR$1,'単価履歴'!$F:$F,$A21,'単価履歴'!$B:$B,MAXIFS('単価履歴'!$B:$B,'単価履歴'!$E:$E,BR$1,'単価履歴'!$F:$F,$A21)))</f>
        <v/>
      </c>
      <c r="BS21" s="332" t="str">
        <f>IF(MAXIFS('単価履歴'!$H:$H,'単価履歴'!$E:$E,BS$1,'単価履歴'!$F:$F,$A21,'単価履歴'!$B:$B,MAXIFS('単価履歴'!$B:$B,'単価履歴'!$E:$E,BS$1,'単価履歴'!$F:$F,$A21))=0,"",MAXIFS('単価履歴'!$H:$H,'単価履歴'!$E:$E,BS$1,'単価履歴'!$F:$F,$A21,'単価履歴'!$B:$B,MAXIFS('単価履歴'!$B:$B,'単価履歴'!$E:$E,BS$1,'単価履歴'!$F:$F,$A21)))</f>
        <v/>
      </c>
      <c r="BT21" s="332" t="str">
        <f>IF(MAXIFS('単価履歴'!$H:$H,'単価履歴'!$E:$E,BT$1,'単価履歴'!$F:$F,$A21,'単価履歴'!$B:$B,MAXIFS('単価履歴'!$B:$B,'単価履歴'!$E:$E,BT$1,'単価履歴'!$F:$F,$A21))=0,"",MAXIFS('単価履歴'!$H:$H,'単価履歴'!$E:$E,BT$1,'単価履歴'!$F:$F,$A21,'単価履歴'!$B:$B,MAXIFS('単価履歴'!$B:$B,'単価履歴'!$E:$E,BT$1,'単価履歴'!$F:$F,$A21)))</f>
        <v/>
      </c>
      <c r="BU21" s="332" t="str">
        <f>IF(MAXIFS('単価履歴'!$H:$H,'単価履歴'!$E:$E,BU$1,'単価履歴'!$F:$F,$A21,'単価履歴'!$B:$B,MAXIFS('単価履歴'!$B:$B,'単価履歴'!$E:$E,BU$1,'単価履歴'!$F:$F,$A21))=0,"",MAXIFS('単価履歴'!$H:$H,'単価履歴'!$E:$E,BU$1,'単価履歴'!$F:$F,$A21,'単価履歴'!$B:$B,MAXIFS('単価履歴'!$B:$B,'単価履歴'!$E:$E,BU$1,'単価履歴'!$F:$F,$A21)))</f>
        <v/>
      </c>
      <c r="BV21" s="332" t="str">
        <f>IF(MAXIFS('単価履歴'!$H:$H,'単価履歴'!$E:$E,BV$1,'単価履歴'!$F:$F,$A21,'単価履歴'!$B:$B,MAXIFS('単価履歴'!$B:$B,'単価履歴'!$E:$E,BV$1,'単価履歴'!$F:$F,$A21))=0,"",MAXIFS('単価履歴'!$H:$H,'単価履歴'!$E:$E,BV$1,'単価履歴'!$F:$F,$A21,'単価履歴'!$B:$B,MAXIFS('単価履歴'!$B:$B,'単価履歴'!$E:$E,BV$1,'単価履歴'!$F:$F,$A21)))</f>
        <v/>
      </c>
      <c r="BW21" s="332" t="str">
        <f>IF(MAXIFS('単価履歴'!$H:$H,'単価履歴'!$E:$E,BW$1,'単価履歴'!$F:$F,$A21,'単価履歴'!$B:$B,MAXIFS('単価履歴'!$B:$B,'単価履歴'!$E:$E,BW$1,'単価履歴'!$F:$F,$A21))=0,"",MAXIFS('単価履歴'!$H:$H,'単価履歴'!$E:$E,BW$1,'単価履歴'!$F:$F,$A21,'単価履歴'!$B:$B,MAXIFS('単価履歴'!$B:$B,'単価履歴'!$E:$E,BW$1,'単価履歴'!$F:$F,$A21)))</f>
        <v/>
      </c>
      <c r="BX21" s="332" t="str">
        <f>IF(MAXIFS('単価履歴'!$H:$H,'単価履歴'!$E:$E,BX$1,'単価履歴'!$F:$F,$A21,'単価履歴'!$B:$B,MAXIFS('単価履歴'!$B:$B,'単価履歴'!$E:$E,BX$1,'単価履歴'!$F:$F,$A21))=0,"",MAXIFS('単価履歴'!$H:$H,'単価履歴'!$E:$E,BX$1,'単価履歴'!$F:$F,$A21,'単価履歴'!$B:$B,MAXIFS('単価履歴'!$B:$B,'単価履歴'!$E:$E,BX$1,'単価履歴'!$F:$F,$A21)))</f>
        <v/>
      </c>
      <c r="BY21" s="332" t="str">
        <f>IF(MAXIFS('単価履歴'!$H:$H,'単価履歴'!$E:$E,BY$1,'単価履歴'!$F:$F,$A21,'単価履歴'!$B:$B,MAXIFS('単価履歴'!$B:$B,'単価履歴'!$E:$E,BY$1,'単価履歴'!$F:$F,$A21))=0,"",MAXIFS('単価履歴'!$H:$H,'単価履歴'!$E:$E,BY$1,'単価履歴'!$F:$F,$A21,'単価履歴'!$B:$B,MAXIFS('単価履歴'!$B:$B,'単価履歴'!$E:$E,BY$1,'単価履歴'!$F:$F,$A21)))</f>
        <v/>
      </c>
      <c r="BZ21" s="332" t="str">
        <f>IF(MAXIFS('単価履歴'!$H:$H,'単価履歴'!$E:$E,BZ$1,'単価履歴'!$F:$F,$A21,'単価履歴'!$B:$B,MAXIFS('単価履歴'!$B:$B,'単価履歴'!$E:$E,BZ$1,'単価履歴'!$F:$F,$A21))=0,"",MAXIFS('単価履歴'!$H:$H,'単価履歴'!$E:$E,BZ$1,'単価履歴'!$F:$F,$A21,'単価履歴'!$B:$B,MAXIFS('単価履歴'!$B:$B,'単価履歴'!$E:$E,BZ$1,'単価履歴'!$F:$F,$A21)))</f>
        <v/>
      </c>
      <c r="CA21" s="332" t="str">
        <f>IF(MAXIFS('単価履歴'!$H:$H,'単価履歴'!$E:$E,CA$1,'単価履歴'!$F:$F,$A21,'単価履歴'!$B:$B,MAXIFS('単価履歴'!$B:$B,'単価履歴'!$E:$E,CA$1,'単価履歴'!$F:$F,$A21))=0,"",MAXIFS('単価履歴'!$H:$H,'単価履歴'!$E:$E,CA$1,'単価履歴'!$F:$F,$A21,'単価履歴'!$B:$B,MAXIFS('単価履歴'!$B:$B,'単価履歴'!$E:$E,CA$1,'単価履歴'!$F:$F,$A21)))</f>
        <v/>
      </c>
      <c r="CB21" s="332" t="str">
        <f>IF(MAXIFS('単価履歴'!$H:$H,'単価履歴'!$E:$E,CB$1,'単価履歴'!$F:$F,$A21,'単価履歴'!$B:$B,MAXIFS('単価履歴'!$B:$B,'単価履歴'!$E:$E,CB$1,'単価履歴'!$F:$F,$A21))=0,"",MAXIFS('単価履歴'!$H:$H,'単価履歴'!$E:$E,CB$1,'単価履歴'!$F:$F,$A21,'単価履歴'!$B:$B,MAXIFS('単価履歴'!$B:$B,'単価履歴'!$E:$E,CB$1,'単価履歴'!$F:$F,$A21)))</f>
        <v/>
      </c>
      <c r="CC21" s="332" t="str">
        <f>IF(MAXIFS('単価履歴'!$H:$H,'単価履歴'!$E:$E,CC$1,'単価履歴'!$F:$F,$A21,'単価履歴'!$B:$B,MAXIFS('単価履歴'!$B:$B,'単価履歴'!$E:$E,CC$1,'単価履歴'!$F:$F,$A21))=0,"",MAXIFS('単価履歴'!$H:$H,'単価履歴'!$E:$E,CC$1,'単価履歴'!$F:$F,$A21,'単価履歴'!$B:$B,MAXIFS('単価履歴'!$B:$B,'単価履歴'!$E:$E,CC$1,'単価履歴'!$F:$F,$A21)))</f>
        <v/>
      </c>
      <c r="CD21" s="332" t="str">
        <f>IF(MAXIFS('単価履歴'!$H:$H,'単価履歴'!$E:$E,CD$1,'単価履歴'!$F:$F,$A21,'単価履歴'!$B:$B,MAXIFS('単価履歴'!$B:$B,'単価履歴'!$E:$E,CD$1,'単価履歴'!$F:$F,$A21))=0,"",MAXIFS('単価履歴'!$H:$H,'単価履歴'!$E:$E,CD$1,'単価履歴'!$F:$F,$A21,'単価履歴'!$B:$B,MAXIFS('単価履歴'!$B:$B,'単価履歴'!$E:$E,CD$1,'単価履歴'!$F:$F,$A21)))</f>
        <v/>
      </c>
      <c r="CE21" s="332" t="str">
        <f>IF(MAXIFS('単価履歴'!$H:$H,'単価履歴'!$E:$E,CE$1,'単価履歴'!$F:$F,$A21,'単価履歴'!$B:$B,MAXIFS('単価履歴'!$B:$B,'単価履歴'!$E:$E,CE$1,'単価履歴'!$F:$F,$A21))=0,"",MAXIFS('単価履歴'!$H:$H,'単価履歴'!$E:$E,CE$1,'単価履歴'!$F:$F,$A21,'単価履歴'!$B:$B,MAXIFS('単価履歴'!$B:$B,'単価履歴'!$E:$E,CE$1,'単価履歴'!$F:$F,$A21)))</f>
        <v/>
      </c>
      <c r="CF21" s="332" t="str">
        <f>IF(MAXIFS('単価履歴'!$H:$H,'単価履歴'!$E:$E,CF$1,'単価履歴'!$F:$F,$A21,'単価履歴'!$B:$B,MAXIFS('単価履歴'!$B:$B,'単価履歴'!$E:$E,CF$1,'単価履歴'!$F:$F,$A21))=0,"",MAXIFS('単価履歴'!$H:$H,'単価履歴'!$E:$E,CF$1,'単価履歴'!$F:$F,$A21,'単価履歴'!$B:$B,MAXIFS('単価履歴'!$B:$B,'単価履歴'!$E:$E,CF$1,'単価履歴'!$F:$F,$A21)))</f>
        <v/>
      </c>
      <c r="CG21" s="332" t="str">
        <f>IF(MAXIFS('単価履歴'!$H:$H,'単価履歴'!$E:$E,CG$1,'単価履歴'!$F:$F,$A21,'単価履歴'!$B:$B,MAXIFS('単価履歴'!$B:$B,'単価履歴'!$E:$E,CG$1,'単価履歴'!$F:$F,$A21))=0,"",MAXIFS('単価履歴'!$H:$H,'単価履歴'!$E:$E,CG$1,'単価履歴'!$F:$F,$A21,'単価履歴'!$B:$B,MAXIFS('単価履歴'!$B:$B,'単価履歴'!$E:$E,CG$1,'単価履歴'!$F:$F,$A21)))</f>
        <v/>
      </c>
      <c r="CH21" s="332" t="str">
        <f>IF(MAXIFS('単価履歴'!$H:$H,'単価履歴'!$E:$E,CH$1,'単価履歴'!$F:$F,$A21,'単価履歴'!$B:$B,MAXIFS('単価履歴'!$B:$B,'単価履歴'!$E:$E,CH$1,'単価履歴'!$F:$F,$A21))=0,"",MAXIFS('単価履歴'!$H:$H,'単価履歴'!$E:$E,CH$1,'単価履歴'!$F:$F,$A21,'単価履歴'!$B:$B,MAXIFS('単価履歴'!$B:$B,'単価履歴'!$E:$E,CH$1,'単価履歴'!$F:$F,$A21)))</f>
        <v/>
      </c>
    </row>
    <row r="22" ht="15.75" customHeight="1">
      <c r="A22" s="432" t="s">
        <v>577</v>
      </c>
      <c r="B22" s="332">
        <f>MAXIFS('単価履歴'!H:H,'単価履歴'!F:F,A22,'単価履歴'!N:N,"●")</f>
        <v>57.4</v>
      </c>
      <c r="C22" s="332" t="str">
        <f>IF(MAXIFS('単価履歴'!$H:$H,'単価履歴'!$E:$E,C$1,'単価履歴'!$F:$F,$A22,'単価履歴'!$B:$B,MAXIFS('単価履歴'!$B:$B,'単価履歴'!$E:$E,C$1,'単価履歴'!$F:$F,$A22))=0,"",MAXIFS('単価履歴'!$H:$H,'単価履歴'!$E:$E,C$1,'単価履歴'!$F:$F,$A22,'単価履歴'!$B:$B,MAXIFS('単価履歴'!$B:$B,'単価履歴'!$E:$E,C$1,'単価履歴'!$F:$F,$A22)))</f>
        <v/>
      </c>
      <c r="D22" s="332" t="str">
        <f>IF(MAXIFS('単価履歴'!$H:$H,'単価履歴'!$E:$E,D$1,'単価履歴'!$F:$F,$A22,'単価履歴'!$B:$B,MAXIFS('単価履歴'!$B:$B,'単価履歴'!$E:$E,D$1,'単価履歴'!$F:$F,$A22))=0,"",MAXIFS('単価履歴'!$H:$H,'単価履歴'!$E:$E,D$1,'単価履歴'!$F:$F,$A22,'単価履歴'!$B:$B,MAXIFS('単価履歴'!$B:$B,'単価履歴'!$E:$E,D$1,'単価履歴'!$F:$F,$A22)))</f>
        <v/>
      </c>
      <c r="E22" s="332" t="str">
        <f>IF(MAXIFS('単価履歴'!$H:$H,'単価履歴'!$E:$E,E$1,'単価履歴'!$F:$F,$A22,'単価履歴'!$B:$B,MAXIFS('単価履歴'!$B:$B,'単価履歴'!$E:$E,E$1,'単価履歴'!$F:$F,$A22))=0,"",MAXIFS('単価履歴'!$H:$H,'単価履歴'!$E:$E,E$1,'単価履歴'!$F:$F,$A22,'単価履歴'!$B:$B,MAXIFS('単価履歴'!$B:$B,'単価履歴'!$E:$E,E$1,'単価履歴'!$F:$F,$A22)))</f>
        <v/>
      </c>
      <c r="F22" s="332" t="str">
        <f>IF(MAXIFS('単価履歴'!$H:$H,'単価履歴'!$E:$E,F$1,'単価履歴'!$F:$F,$A22,'単価履歴'!$B:$B,MAXIFS('単価履歴'!$B:$B,'単価履歴'!$E:$E,F$1,'単価履歴'!$F:$F,$A22))=0,"",MAXIFS('単価履歴'!$H:$H,'単価履歴'!$E:$E,F$1,'単価履歴'!$F:$F,$A22,'単価履歴'!$B:$B,MAXIFS('単価履歴'!$B:$B,'単価履歴'!$E:$E,F$1,'単価履歴'!$F:$F,$A22)))</f>
        <v/>
      </c>
      <c r="G22" s="332" t="str">
        <f>IF(MAXIFS('単価履歴'!$H:$H,'単価履歴'!$E:$E,G$1,'単価履歴'!$F:$F,$A22,'単価履歴'!$B:$B,MAXIFS('単価履歴'!$B:$B,'単価履歴'!$E:$E,G$1,'単価履歴'!$F:$F,$A22))=0,"",MAXIFS('単価履歴'!$H:$H,'単価履歴'!$E:$E,G$1,'単価履歴'!$F:$F,$A22,'単価履歴'!$B:$B,MAXIFS('単価履歴'!$B:$B,'単価履歴'!$E:$E,G$1,'単価履歴'!$F:$F,$A22)))</f>
        <v/>
      </c>
      <c r="H22" s="332" t="str">
        <f>IF(MAXIFS('単価履歴'!$H:$H,'単価履歴'!$E:$E,H$1,'単価履歴'!$F:$F,$A22,'単価履歴'!$B:$B,MAXIFS('単価履歴'!$B:$B,'単価履歴'!$E:$E,H$1,'単価履歴'!$F:$F,$A22))=0,"",MAXIFS('単価履歴'!$H:$H,'単価履歴'!$E:$E,H$1,'単価履歴'!$F:$F,$A22,'単価履歴'!$B:$B,MAXIFS('単価履歴'!$B:$B,'単価履歴'!$E:$E,H$1,'単価履歴'!$F:$F,$A22)))</f>
        <v/>
      </c>
      <c r="I22" s="332" t="str">
        <f>IF(MAXIFS('単価履歴'!$H:$H,'単価履歴'!$E:$E,I$1,'単価履歴'!$F:$F,$A22,'単価履歴'!$B:$B,MAXIFS('単価履歴'!$B:$B,'単価履歴'!$E:$E,I$1,'単価履歴'!$F:$F,$A22))=0,"",MAXIFS('単価履歴'!$H:$H,'単価履歴'!$E:$E,I$1,'単価履歴'!$F:$F,$A22,'単価履歴'!$B:$B,MAXIFS('単価履歴'!$B:$B,'単価履歴'!$E:$E,I$1,'単価履歴'!$F:$F,$A22)))</f>
        <v/>
      </c>
      <c r="J22" s="332" t="str">
        <f>IF(MAXIFS('単価履歴'!$H:$H,'単価履歴'!$E:$E,J$1,'単価履歴'!$F:$F,$A22,'単価履歴'!$B:$B,MAXIFS('単価履歴'!$B:$B,'単価履歴'!$E:$E,J$1,'単価履歴'!$F:$F,$A22))=0,"",MAXIFS('単価履歴'!$H:$H,'単価履歴'!$E:$E,J$1,'単価履歴'!$F:$F,$A22,'単価履歴'!$B:$B,MAXIFS('単価履歴'!$B:$B,'単価履歴'!$E:$E,J$1,'単価履歴'!$F:$F,$A22)))</f>
        <v/>
      </c>
      <c r="K22" s="332" t="str">
        <f>IF(MAXIFS('単価履歴'!$H:$H,'単価履歴'!$E:$E,K$1,'単価履歴'!$F:$F,$A22,'単価履歴'!$B:$B,MAXIFS('単価履歴'!$B:$B,'単価履歴'!$E:$E,K$1,'単価履歴'!$F:$F,$A22))=0,"",MAXIFS('単価履歴'!$H:$H,'単価履歴'!$E:$E,K$1,'単価履歴'!$F:$F,$A22,'単価履歴'!$B:$B,MAXIFS('単価履歴'!$B:$B,'単価履歴'!$E:$E,K$1,'単価履歴'!$F:$F,$A22)))</f>
        <v/>
      </c>
      <c r="L22" s="332" t="str">
        <f>IF(MAXIFS('単価履歴'!$H:$H,'単価履歴'!$E:$E,L$1,'単価履歴'!$F:$F,$A22,'単価履歴'!$B:$B,MAXIFS('単価履歴'!$B:$B,'単価履歴'!$E:$E,L$1,'単価履歴'!$F:$F,$A22))=0,"",MAXIFS('単価履歴'!$H:$H,'単価履歴'!$E:$E,L$1,'単価履歴'!$F:$F,$A22,'単価履歴'!$B:$B,MAXIFS('単価履歴'!$B:$B,'単価履歴'!$E:$E,L$1,'単価履歴'!$F:$F,$A22)))</f>
        <v/>
      </c>
      <c r="M22" s="332" t="str">
        <f>IF(MAXIFS('単価履歴'!$H:$H,'単価履歴'!$E:$E,M$1,'単価履歴'!$F:$F,$A22,'単価履歴'!$B:$B,MAXIFS('単価履歴'!$B:$B,'単価履歴'!$E:$E,M$1,'単価履歴'!$F:$F,$A22))=0,"",MAXIFS('単価履歴'!$H:$H,'単価履歴'!$E:$E,M$1,'単価履歴'!$F:$F,$A22,'単価履歴'!$B:$B,MAXIFS('単価履歴'!$B:$B,'単価履歴'!$E:$E,M$1,'単価履歴'!$F:$F,$A22)))</f>
        <v/>
      </c>
      <c r="N22" s="332" t="str">
        <f>IF(MAXIFS('単価履歴'!$H:$H,'単価履歴'!$E:$E,N$1,'単価履歴'!$F:$F,$A22,'単価履歴'!$B:$B,MAXIFS('単価履歴'!$B:$B,'単価履歴'!$E:$E,N$1,'単価履歴'!$F:$F,$A22))=0,"",MAXIFS('単価履歴'!$H:$H,'単価履歴'!$E:$E,N$1,'単価履歴'!$F:$F,$A22,'単価履歴'!$B:$B,MAXIFS('単価履歴'!$B:$B,'単価履歴'!$E:$E,N$1,'単価履歴'!$F:$F,$A22)))</f>
        <v/>
      </c>
      <c r="O22" s="332" t="str">
        <f>IF(MAXIFS('単価履歴'!$H:$H,'単価履歴'!$E:$E,O$1,'単価履歴'!$F:$F,$A22,'単価履歴'!$B:$B,MAXIFS('単価履歴'!$B:$B,'単価履歴'!$E:$E,O$1,'単価履歴'!$F:$F,$A22))=0,"",MAXIFS('単価履歴'!$H:$H,'単価履歴'!$E:$E,O$1,'単価履歴'!$F:$F,$A22,'単価履歴'!$B:$B,MAXIFS('単価履歴'!$B:$B,'単価履歴'!$E:$E,O$1,'単価履歴'!$F:$F,$A22)))</f>
        <v/>
      </c>
      <c r="P22" s="332" t="str">
        <f>IF(MAXIFS('単価履歴'!$H:$H,'単価履歴'!$E:$E,P$1,'単価履歴'!$F:$F,$A22,'単価履歴'!$B:$B,MAXIFS('単価履歴'!$B:$B,'単価履歴'!$E:$E,P$1,'単価履歴'!$F:$F,$A22))=0,"",MAXIFS('単価履歴'!$H:$H,'単価履歴'!$E:$E,P$1,'単価履歴'!$F:$F,$A22,'単価履歴'!$B:$B,MAXIFS('単価履歴'!$B:$B,'単価履歴'!$E:$E,P$1,'単価履歴'!$F:$F,$A22)))</f>
        <v/>
      </c>
      <c r="Q22" s="332" t="str">
        <f>IF(MAXIFS('単価履歴'!$H:$H,'単価履歴'!$E:$E,Q$1,'単価履歴'!$F:$F,$A22,'単価履歴'!$B:$B,MAXIFS('単価履歴'!$B:$B,'単価履歴'!$E:$E,Q$1,'単価履歴'!$F:$F,$A22))=0,"",MAXIFS('単価履歴'!$H:$H,'単価履歴'!$E:$E,Q$1,'単価履歴'!$F:$F,$A22,'単価履歴'!$B:$B,MAXIFS('単価履歴'!$B:$B,'単価履歴'!$E:$E,Q$1,'単価履歴'!$F:$F,$A22)))</f>
        <v/>
      </c>
      <c r="R22" s="332" t="str">
        <f>IF(MAXIFS('単価履歴'!$H:$H,'単価履歴'!$E:$E,R$1,'単価履歴'!$F:$F,$A22,'単価履歴'!$B:$B,MAXIFS('単価履歴'!$B:$B,'単価履歴'!$E:$E,R$1,'単価履歴'!$F:$F,$A22))=0,"",MAXIFS('単価履歴'!$H:$H,'単価履歴'!$E:$E,R$1,'単価履歴'!$F:$F,$A22,'単価履歴'!$B:$B,MAXIFS('単価履歴'!$B:$B,'単価履歴'!$E:$E,R$1,'単価履歴'!$F:$F,$A22)))</f>
        <v/>
      </c>
      <c r="S22" s="332" t="str">
        <f>IF(MAXIFS('単価履歴'!$H:$H,'単価履歴'!$E:$E,S$1,'単価履歴'!$F:$F,$A22,'単価履歴'!$B:$B,MAXIFS('単価履歴'!$B:$B,'単価履歴'!$E:$E,S$1,'単価履歴'!$F:$F,$A22))=0,"",MAXIFS('単価履歴'!$H:$H,'単価履歴'!$E:$E,S$1,'単価履歴'!$F:$F,$A22,'単価履歴'!$B:$B,MAXIFS('単価履歴'!$B:$B,'単価履歴'!$E:$E,S$1,'単価履歴'!$F:$F,$A22)))</f>
        <v/>
      </c>
      <c r="T22" s="332" t="str">
        <f>IF(MAXIFS('単価履歴'!$H:$H,'単価履歴'!$E:$E,T$1,'単価履歴'!$F:$F,$A22,'単価履歴'!$B:$B,MAXIFS('単価履歴'!$B:$B,'単価履歴'!$E:$E,T$1,'単価履歴'!$F:$F,$A22))=0,"",MAXIFS('単価履歴'!$H:$H,'単価履歴'!$E:$E,T$1,'単価履歴'!$F:$F,$A22,'単価履歴'!$B:$B,MAXIFS('単価履歴'!$B:$B,'単価履歴'!$E:$E,T$1,'単価履歴'!$F:$F,$A22)))</f>
        <v/>
      </c>
      <c r="U22" s="332" t="str">
        <f>IF(MAXIFS('単価履歴'!$H:$H,'単価履歴'!$E:$E,U$1,'単価履歴'!$F:$F,$A22,'単価履歴'!$B:$B,MAXIFS('単価履歴'!$B:$B,'単価履歴'!$E:$E,U$1,'単価履歴'!$F:$F,$A22))=0,"",MAXIFS('単価履歴'!$H:$H,'単価履歴'!$E:$E,U$1,'単価履歴'!$F:$F,$A22,'単価履歴'!$B:$B,MAXIFS('単価履歴'!$B:$B,'単価履歴'!$E:$E,U$1,'単価履歴'!$F:$F,$A22)))</f>
        <v/>
      </c>
      <c r="V22" s="332">
        <f>IF(MAXIFS('単価履歴'!$H:$H,'単価履歴'!$E:$E,V$1,'単価履歴'!$F:$F,$A22,'単価履歴'!$B:$B,MAXIFS('単価履歴'!$B:$B,'単価履歴'!$E:$E,V$1,'単価履歴'!$F:$F,$A22))=0,"",MAXIFS('単価履歴'!$H:$H,'単価履歴'!$E:$E,V$1,'単価履歴'!$F:$F,$A22,'単価履歴'!$B:$B,MAXIFS('単価履歴'!$B:$B,'単価履歴'!$E:$E,V$1,'単価履歴'!$F:$F,$A22)))</f>
        <v>57.4</v>
      </c>
      <c r="W22" s="332" t="str">
        <f>IF(MAXIFS('単価履歴'!$H:$H,'単価履歴'!$E:$E,W$1,'単価履歴'!$F:$F,$A22,'単価履歴'!$B:$B,MAXIFS('単価履歴'!$B:$B,'単価履歴'!$E:$E,W$1,'単価履歴'!$F:$F,$A22))=0,"",MAXIFS('単価履歴'!$H:$H,'単価履歴'!$E:$E,W$1,'単価履歴'!$F:$F,$A22,'単価履歴'!$B:$B,MAXIFS('単価履歴'!$B:$B,'単価履歴'!$E:$E,W$1,'単価履歴'!$F:$F,$A22)))</f>
        <v/>
      </c>
      <c r="X22" s="332" t="str">
        <f>IF(MAXIFS('単価履歴'!$H:$H,'単価履歴'!$E:$E,X$1,'単価履歴'!$F:$F,$A22,'単価履歴'!$B:$B,MAXIFS('単価履歴'!$B:$B,'単価履歴'!$E:$E,X$1,'単価履歴'!$F:$F,$A22))=0,"",MAXIFS('単価履歴'!$H:$H,'単価履歴'!$E:$E,X$1,'単価履歴'!$F:$F,$A22,'単価履歴'!$B:$B,MAXIFS('単価履歴'!$B:$B,'単価履歴'!$E:$E,X$1,'単価履歴'!$F:$F,$A22)))</f>
        <v/>
      </c>
      <c r="Y22" s="332" t="str">
        <f>IF(MAXIFS('単価履歴'!$H:$H,'単価履歴'!$E:$E,Y$1,'単価履歴'!$F:$F,$A22,'単価履歴'!$B:$B,MAXIFS('単価履歴'!$B:$B,'単価履歴'!$E:$E,Y$1,'単価履歴'!$F:$F,$A22))=0,"",MAXIFS('単価履歴'!$H:$H,'単価履歴'!$E:$E,Y$1,'単価履歴'!$F:$F,$A22,'単価履歴'!$B:$B,MAXIFS('単価履歴'!$B:$B,'単価履歴'!$E:$E,Y$1,'単価履歴'!$F:$F,$A22)))</f>
        <v/>
      </c>
      <c r="Z22" s="332" t="str">
        <f>IF(MAXIFS('単価履歴'!$H:$H,'単価履歴'!$E:$E,Z$1,'単価履歴'!$F:$F,$A22,'単価履歴'!$B:$B,MAXIFS('単価履歴'!$B:$B,'単価履歴'!$E:$E,Z$1,'単価履歴'!$F:$F,$A22))=0,"",MAXIFS('単価履歴'!$H:$H,'単価履歴'!$E:$E,Z$1,'単価履歴'!$F:$F,$A22,'単価履歴'!$B:$B,MAXIFS('単価履歴'!$B:$B,'単価履歴'!$E:$E,Z$1,'単価履歴'!$F:$F,$A22)))</f>
        <v/>
      </c>
      <c r="AA22" s="332" t="str">
        <f>IF(MAXIFS('単価履歴'!$H:$H,'単価履歴'!$E:$E,AA$1,'単価履歴'!$F:$F,$A22,'単価履歴'!$B:$B,MAXIFS('単価履歴'!$B:$B,'単価履歴'!$E:$E,AA$1,'単価履歴'!$F:$F,$A22))=0,"",MAXIFS('単価履歴'!$H:$H,'単価履歴'!$E:$E,AA$1,'単価履歴'!$F:$F,$A22,'単価履歴'!$B:$B,MAXIFS('単価履歴'!$B:$B,'単価履歴'!$E:$E,AA$1,'単価履歴'!$F:$F,$A22)))</f>
        <v/>
      </c>
      <c r="AB22" s="332" t="str">
        <f>IF(MAXIFS('単価履歴'!$H:$H,'単価履歴'!$E:$E,AB$1,'単価履歴'!$F:$F,$A22,'単価履歴'!$B:$B,MAXIFS('単価履歴'!$B:$B,'単価履歴'!$E:$E,AB$1,'単価履歴'!$F:$F,$A22))=0,"",MAXIFS('単価履歴'!$H:$H,'単価履歴'!$E:$E,AB$1,'単価履歴'!$F:$F,$A22,'単価履歴'!$B:$B,MAXIFS('単価履歴'!$B:$B,'単価履歴'!$E:$E,AB$1,'単価履歴'!$F:$F,$A22)))</f>
        <v/>
      </c>
      <c r="AC22" s="332" t="str">
        <f>IF(MAXIFS('単価履歴'!$H:$H,'単価履歴'!$E:$E,AC$1,'単価履歴'!$F:$F,$A22,'単価履歴'!$B:$B,MAXIFS('単価履歴'!$B:$B,'単価履歴'!$E:$E,AC$1,'単価履歴'!$F:$F,$A22))=0,"",MAXIFS('単価履歴'!$H:$H,'単価履歴'!$E:$E,AC$1,'単価履歴'!$F:$F,$A22,'単価履歴'!$B:$B,MAXIFS('単価履歴'!$B:$B,'単価履歴'!$E:$E,AC$1,'単価履歴'!$F:$F,$A22)))</f>
        <v/>
      </c>
      <c r="AD22" s="332" t="str">
        <f>IF(MAXIFS('単価履歴'!$H:$H,'単価履歴'!$E:$E,AD$1,'単価履歴'!$F:$F,$A22,'単価履歴'!$B:$B,MAXIFS('単価履歴'!$B:$B,'単価履歴'!$E:$E,AD$1,'単価履歴'!$F:$F,$A22))=0,"",MAXIFS('単価履歴'!$H:$H,'単価履歴'!$E:$E,AD$1,'単価履歴'!$F:$F,$A22,'単価履歴'!$B:$B,MAXIFS('単価履歴'!$B:$B,'単価履歴'!$E:$E,AD$1,'単価履歴'!$F:$F,$A22)))</f>
        <v/>
      </c>
      <c r="AE22" s="332" t="str">
        <f>IF(MAXIFS('単価履歴'!$H:$H,'単価履歴'!$E:$E,AE$1,'単価履歴'!$F:$F,$A22,'単価履歴'!$B:$B,MAXIFS('単価履歴'!$B:$B,'単価履歴'!$E:$E,AE$1,'単価履歴'!$F:$F,$A22))=0,"",MAXIFS('単価履歴'!$H:$H,'単価履歴'!$E:$E,AE$1,'単価履歴'!$F:$F,$A22,'単価履歴'!$B:$B,MAXIFS('単価履歴'!$B:$B,'単価履歴'!$E:$E,AE$1,'単価履歴'!$F:$F,$A22)))</f>
        <v/>
      </c>
      <c r="AF22" s="332" t="str">
        <f>IF(MAXIFS('単価履歴'!$H:$H,'単価履歴'!$E:$E,AF$1,'単価履歴'!$F:$F,$A22,'単価履歴'!$B:$B,MAXIFS('単価履歴'!$B:$B,'単価履歴'!$E:$E,AF$1,'単価履歴'!$F:$F,$A22))=0,"",MAXIFS('単価履歴'!$H:$H,'単価履歴'!$E:$E,AF$1,'単価履歴'!$F:$F,$A22,'単価履歴'!$B:$B,MAXIFS('単価履歴'!$B:$B,'単価履歴'!$E:$E,AF$1,'単価履歴'!$F:$F,$A22)))</f>
        <v/>
      </c>
      <c r="AG22" s="332" t="str">
        <f>IF(MAXIFS('単価履歴'!$H:$H,'単価履歴'!$E:$E,AG$1,'単価履歴'!$F:$F,$A22,'単価履歴'!$B:$B,MAXIFS('単価履歴'!$B:$B,'単価履歴'!$E:$E,AG$1,'単価履歴'!$F:$F,$A22))=0,"",MAXIFS('単価履歴'!$H:$H,'単価履歴'!$E:$E,AG$1,'単価履歴'!$F:$F,$A22,'単価履歴'!$B:$B,MAXIFS('単価履歴'!$B:$B,'単価履歴'!$E:$E,AG$1,'単価履歴'!$F:$F,$A22)))</f>
        <v/>
      </c>
      <c r="AH22" s="332" t="str">
        <f>IF(MAXIFS('単価履歴'!$H:$H,'単価履歴'!$E:$E,AH$1,'単価履歴'!$F:$F,$A22,'単価履歴'!$B:$B,MAXIFS('単価履歴'!$B:$B,'単価履歴'!$E:$E,AH$1,'単価履歴'!$F:$F,$A22))=0,"",MAXIFS('単価履歴'!$H:$H,'単価履歴'!$E:$E,AH$1,'単価履歴'!$F:$F,$A22,'単価履歴'!$B:$B,MAXIFS('単価履歴'!$B:$B,'単価履歴'!$E:$E,AH$1,'単価履歴'!$F:$F,$A22)))</f>
        <v/>
      </c>
      <c r="AI22" s="332" t="str">
        <f>IF(MAXIFS('単価履歴'!$H:$H,'単価履歴'!$E:$E,AI$1,'単価履歴'!$F:$F,$A22,'単価履歴'!$B:$B,MAXIFS('単価履歴'!$B:$B,'単価履歴'!$E:$E,AI$1,'単価履歴'!$F:$F,$A22))=0,"",MAXIFS('単価履歴'!$H:$H,'単価履歴'!$E:$E,AI$1,'単価履歴'!$F:$F,$A22,'単価履歴'!$B:$B,MAXIFS('単価履歴'!$B:$B,'単価履歴'!$E:$E,AI$1,'単価履歴'!$F:$F,$A22)))</f>
        <v/>
      </c>
      <c r="AJ22" s="332" t="str">
        <f>IF(MAXIFS('単価履歴'!$H:$H,'単価履歴'!$E:$E,AJ$1,'単価履歴'!$F:$F,$A22,'単価履歴'!$B:$B,MAXIFS('単価履歴'!$B:$B,'単価履歴'!$E:$E,AJ$1,'単価履歴'!$F:$F,$A22))=0,"",MAXIFS('単価履歴'!$H:$H,'単価履歴'!$E:$E,AJ$1,'単価履歴'!$F:$F,$A22,'単価履歴'!$B:$B,MAXIFS('単価履歴'!$B:$B,'単価履歴'!$E:$E,AJ$1,'単価履歴'!$F:$F,$A22)))</f>
        <v/>
      </c>
      <c r="AK22" s="332" t="str">
        <f>IF(MAXIFS('単価履歴'!$H:$H,'単価履歴'!$E:$E,AK$1,'単価履歴'!$F:$F,$A22,'単価履歴'!$B:$B,MAXIFS('単価履歴'!$B:$B,'単価履歴'!$E:$E,AK$1,'単価履歴'!$F:$F,$A22))=0,"",MAXIFS('単価履歴'!$H:$H,'単価履歴'!$E:$E,AK$1,'単価履歴'!$F:$F,$A22,'単価履歴'!$B:$B,MAXIFS('単価履歴'!$B:$B,'単価履歴'!$E:$E,AK$1,'単価履歴'!$F:$F,$A22)))</f>
        <v/>
      </c>
      <c r="AL22" s="332" t="str">
        <f>IF(MAXIFS('単価履歴'!$H:$H,'単価履歴'!$E:$E,AL$1,'単価履歴'!$F:$F,$A22,'単価履歴'!$B:$B,MAXIFS('単価履歴'!$B:$B,'単価履歴'!$E:$E,AL$1,'単価履歴'!$F:$F,$A22))=0,"",MAXIFS('単価履歴'!$H:$H,'単価履歴'!$E:$E,AL$1,'単価履歴'!$F:$F,$A22,'単価履歴'!$B:$B,MAXIFS('単価履歴'!$B:$B,'単価履歴'!$E:$E,AL$1,'単価履歴'!$F:$F,$A22)))</f>
        <v/>
      </c>
      <c r="AM22" s="332" t="str">
        <f>IF(MAXIFS('単価履歴'!$H:$H,'単価履歴'!$E:$E,AM$1,'単価履歴'!$F:$F,$A22,'単価履歴'!$B:$B,MAXIFS('単価履歴'!$B:$B,'単価履歴'!$E:$E,AM$1,'単価履歴'!$F:$F,$A22))=0,"",MAXIFS('単価履歴'!$H:$H,'単価履歴'!$E:$E,AM$1,'単価履歴'!$F:$F,$A22,'単価履歴'!$B:$B,MAXIFS('単価履歴'!$B:$B,'単価履歴'!$E:$E,AM$1,'単価履歴'!$F:$F,$A22)))</f>
        <v/>
      </c>
      <c r="AN22" s="332" t="str">
        <f>IF(MAXIFS('単価履歴'!$H:$H,'単価履歴'!$E:$E,AN$1,'単価履歴'!$F:$F,$A22,'単価履歴'!$B:$B,MAXIFS('単価履歴'!$B:$B,'単価履歴'!$E:$E,AN$1,'単価履歴'!$F:$F,$A22))=0,"",MAXIFS('単価履歴'!$H:$H,'単価履歴'!$E:$E,AN$1,'単価履歴'!$F:$F,$A22,'単価履歴'!$B:$B,MAXIFS('単価履歴'!$B:$B,'単価履歴'!$E:$E,AN$1,'単価履歴'!$F:$F,$A22)))</f>
        <v/>
      </c>
      <c r="AO22" s="332" t="str">
        <f>IF(MAXIFS('単価履歴'!$H:$H,'単価履歴'!$E:$E,AO$1,'単価履歴'!$F:$F,$A22,'単価履歴'!$B:$B,MAXIFS('単価履歴'!$B:$B,'単価履歴'!$E:$E,AO$1,'単価履歴'!$F:$F,$A22))=0,"",MAXIFS('単価履歴'!$H:$H,'単価履歴'!$E:$E,AO$1,'単価履歴'!$F:$F,$A22,'単価履歴'!$B:$B,MAXIFS('単価履歴'!$B:$B,'単価履歴'!$E:$E,AO$1,'単価履歴'!$F:$F,$A22)))</f>
        <v/>
      </c>
      <c r="AP22" s="332" t="str">
        <f>IF(MAXIFS('単価履歴'!$H:$H,'単価履歴'!$E:$E,AP$1,'単価履歴'!$F:$F,$A22,'単価履歴'!$B:$B,MAXIFS('単価履歴'!$B:$B,'単価履歴'!$E:$E,AP$1,'単価履歴'!$F:$F,$A22))=0,"",MAXIFS('単価履歴'!$H:$H,'単価履歴'!$E:$E,AP$1,'単価履歴'!$F:$F,$A22,'単価履歴'!$B:$B,MAXIFS('単価履歴'!$B:$B,'単価履歴'!$E:$E,AP$1,'単価履歴'!$F:$F,$A22)))</f>
        <v/>
      </c>
      <c r="AQ22" s="332" t="str">
        <f>IF(MAXIFS('単価履歴'!$H:$H,'単価履歴'!$E:$E,AQ$1,'単価履歴'!$F:$F,$A22,'単価履歴'!$B:$B,MAXIFS('単価履歴'!$B:$B,'単価履歴'!$E:$E,AQ$1,'単価履歴'!$F:$F,$A22))=0,"",MAXIFS('単価履歴'!$H:$H,'単価履歴'!$E:$E,AQ$1,'単価履歴'!$F:$F,$A22,'単価履歴'!$B:$B,MAXIFS('単価履歴'!$B:$B,'単価履歴'!$E:$E,AQ$1,'単価履歴'!$F:$F,$A22)))</f>
        <v/>
      </c>
      <c r="AR22" s="332" t="str">
        <f>IF(MAXIFS('単価履歴'!$H:$H,'単価履歴'!$E:$E,AR$1,'単価履歴'!$F:$F,$A22,'単価履歴'!$B:$B,MAXIFS('単価履歴'!$B:$B,'単価履歴'!$E:$E,AR$1,'単価履歴'!$F:$F,$A22))=0,"",MAXIFS('単価履歴'!$H:$H,'単価履歴'!$E:$E,AR$1,'単価履歴'!$F:$F,$A22,'単価履歴'!$B:$B,MAXIFS('単価履歴'!$B:$B,'単価履歴'!$E:$E,AR$1,'単価履歴'!$F:$F,$A22)))</f>
        <v/>
      </c>
      <c r="AS22" s="332" t="str">
        <f>IF(MAXIFS('単価履歴'!$H:$H,'単価履歴'!$E:$E,AS$1,'単価履歴'!$F:$F,$A22,'単価履歴'!$B:$B,MAXIFS('単価履歴'!$B:$B,'単価履歴'!$E:$E,AS$1,'単価履歴'!$F:$F,$A22))=0,"",MAXIFS('単価履歴'!$H:$H,'単価履歴'!$E:$E,AS$1,'単価履歴'!$F:$F,$A22,'単価履歴'!$B:$B,MAXIFS('単価履歴'!$B:$B,'単価履歴'!$E:$E,AS$1,'単価履歴'!$F:$F,$A22)))</f>
        <v/>
      </c>
      <c r="AT22" s="332" t="str">
        <f>IF(MAXIFS('単価履歴'!$H:$H,'単価履歴'!$E:$E,AT$1,'単価履歴'!$F:$F,$A22,'単価履歴'!$B:$B,MAXIFS('単価履歴'!$B:$B,'単価履歴'!$E:$E,AT$1,'単価履歴'!$F:$F,$A22))=0,"",MAXIFS('単価履歴'!$H:$H,'単価履歴'!$E:$E,AT$1,'単価履歴'!$F:$F,$A22,'単価履歴'!$B:$B,MAXIFS('単価履歴'!$B:$B,'単価履歴'!$E:$E,AT$1,'単価履歴'!$F:$F,$A22)))</f>
        <v/>
      </c>
      <c r="AU22" s="332" t="str">
        <f>IF(MAXIFS('単価履歴'!$H:$H,'単価履歴'!$E:$E,AU$1,'単価履歴'!$F:$F,$A22,'単価履歴'!$B:$B,MAXIFS('単価履歴'!$B:$B,'単価履歴'!$E:$E,AU$1,'単価履歴'!$F:$F,$A22))=0,"",MAXIFS('単価履歴'!$H:$H,'単価履歴'!$E:$E,AU$1,'単価履歴'!$F:$F,$A22,'単価履歴'!$B:$B,MAXIFS('単価履歴'!$B:$B,'単価履歴'!$E:$E,AU$1,'単価履歴'!$F:$F,$A22)))</f>
        <v/>
      </c>
      <c r="AV22" s="332" t="str">
        <f>IF(MAXIFS('単価履歴'!$H:$H,'単価履歴'!$E:$E,AV$1,'単価履歴'!$F:$F,$A22,'単価履歴'!$B:$B,MAXIFS('単価履歴'!$B:$B,'単価履歴'!$E:$E,AV$1,'単価履歴'!$F:$F,$A22))=0,"",MAXIFS('単価履歴'!$H:$H,'単価履歴'!$E:$E,AV$1,'単価履歴'!$F:$F,$A22,'単価履歴'!$B:$B,MAXIFS('単価履歴'!$B:$B,'単価履歴'!$E:$E,AV$1,'単価履歴'!$F:$F,$A22)))</f>
        <v/>
      </c>
      <c r="AW22" s="332" t="str">
        <f>IF(MAXIFS('単価履歴'!$H:$H,'単価履歴'!$E:$E,AW$1,'単価履歴'!$F:$F,$A22,'単価履歴'!$B:$B,MAXIFS('単価履歴'!$B:$B,'単価履歴'!$E:$E,AW$1,'単価履歴'!$F:$F,$A22))=0,"",MAXIFS('単価履歴'!$H:$H,'単価履歴'!$E:$E,AW$1,'単価履歴'!$F:$F,$A22,'単価履歴'!$B:$B,MAXIFS('単価履歴'!$B:$B,'単価履歴'!$E:$E,AW$1,'単価履歴'!$F:$F,$A22)))</f>
        <v/>
      </c>
      <c r="AX22" s="332" t="str">
        <f>IF(MAXIFS('単価履歴'!$H:$H,'単価履歴'!$E:$E,AX$1,'単価履歴'!$F:$F,$A22,'単価履歴'!$B:$B,MAXIFS('単価履歴'!$B:$B,'単価履歴'!$E:$E,AX$1,'単価履歴'!$F:$F,$A22))=0,"",MAXIFS('単価履歴'!$H:$H,'単価履歴'!$E:$E,AX$1,'単価履歴'!$F:$F,$A22,'単価履歴'!$B:$B,MAXIFS('単価履歴'!$B:$B,'単価履歴'!$E:$E,AX$1,'単価履歴'!$F:$F,$A22)))</f>
        <v/>
      </c>
      <c r="AY22" s="332" t="str">
        <f>IF(MAXIFS('単価履歴'!$H:$H,'単価履歴'!$E:$E,AY$1,'単価履歴'!$F:$F,$A22,'単価履歴'!$B:$B,MAXIFS('単価履歴'!$B:$B,'単価履歴'!$E:$E,AY$1,'単価履歴'!$F:$F,$A22))=0,"",MAXIFS('単価履歴'!$H:$H,'単価履歴'!$E:$E,AY$1,'単価履歴'!$F:$F,$A22,'単価履歴'!$B:$B,MAXIFS('単価履歴'!$B:$B,'単価履歴'!$E:$E,AY$1,'単価履歴'!$F:$F,$A22)))</f>
        <v/>
      </c>
      <c r="AZ22" s="332" t="str">
        <f>IF(MAXIFS('単価履歴'!$H:$H,'単価履歴'!$E:$E,AZ$1,'単価履歴'!$F:$F,$A22,'単価履歴'!$B:$B,MAXIFS('単価履歴'!$B:$B,'単価履歴'!$E:$E,AZ$1,'単価履歴'!$F:$F,$A22))=0,"",MAXIFS('単価履歴'!$H:$H,'単価履歴'!$E:$E,AZ$1,'単価履歴'!$F:$F,$A22,'単価履歴'!$B:$B,MAXIFS('単価履歴'!$B:$B,'単価履歴'!$E:$E,AZ$1,'単価履歴'!$F:$F,$A22)))</f>
        <v/>
      </c>
      <c r="BA22" s="332">
        <f>IF(MAXIFS('単価履歴'!$H:$H,'単価履歴'!$E:$E,BA$1,'単価履歴'!$F:$F,$A22,'単価履歴'!$B:$B,MAXIFS('単価履歴'!$B:$B,'単価履歴'!$E:$E,BA$1,'単価履歴'!$F:$F,$A22))=0,"",MAXIFS('単価履歴'!$H:$H,'単価履歴'!$E:$E,BA$1,'単価履歴'!$F:$F,$A22,'単価履歴'!$B:$B,MAXIFS('単価履歴'!$B:$B,'単価履歴'!$E:$E,BA$1,'単価履歴'!$F:$F,$A22)))</f>
        <v>51.5</v>
      </c>
      <c r="BB22" s="332" t="str">
        <f>IF(MAXIFS('単価履歴'!$H:$H,'単価履歴'!$E:$E,BB$1,'単価履歴'!$F:$F,$A22,'単価履歴'!$B:$B,MAXIFS('単価履歴'!$B:$B,'単価履歴'!$E:$E,BB$1,'単価履歴'!$F:$F,$A22))=0,"",MAXIFS('単価履歴'!$H:$H,'単価履歴'!$E:$E,BB$1,'単価履歴'!$F:$F,$A22,'単価履歴'!$B:$B,MAXIFS('単価履歴'!$B:$B,'単価履歴'!$E:$E,BB$1,'単価履歴'!$F:$F,$A22)))</f>
        <v/>
      </c>
      <c r="BC22" s="332" t="str">
        <f>IF(MAXIFS('単価履歴'!$H:$H,'単価履歴'!$E:$E,BC$1,'単価履歴'!$F:$F,$A22,'単価履歴'!$B:$B,MAXIFS('単価履歴'!$B:$B,'単価履歴'!$E:$E,BC$1,'単価履歴'!$F:$F,$A22))=0,"",MAXIFS('単価履歴'!$H:$H,'単価履歴'!$E:$E,BC$1,'単価履歴'!$F:$F,$A22,'単価履歴'!$B:$B,MAXIFS('単価履歴'!$B:$B,'単価履歴'!$E:$E,BC$1,'単価履歴'!$F:$F,$A22)))</f>
        <v/>
      </c>
      <c r="BD22" s="332" t="str">
        <f>IF(MAXIFS('単価履歴'!$H:$H,'単価履歴'!$E:$E,BD$1,'単価履歴'!$F:$F,$A22,'単価履歴'!$B:$B,MAXIFS('単価履歴'!$B:$B,'単価履歴'!$E:$E,BD$1,'単価履歴'!$F:$F,$A22))=0,"",MAXIFS('単価履歴'!$H:$H,'単価履歴'!$E:$E,BD$1,'単価履歴'!$F:$F,$A22,'単価履歴'!$B:$B,MAXIFS('単価履歴'!$B:$B,'単価履歴'!$E:$E,BD$1,'単価履歴'!$F:$F,$A22)))</f>
        <v/>
      </c>
      <c r="BE22" s="332" t="str">
        <f>IF(MAXIFS('単価履歴'!$H:$H,'単価履歴'!$E:$E,BE$1,'単価履歴'!$F:$F,$A22,'単価履歴'!$B:$B,MAXIFS('単価履歴'!$B:$B,'単価履歴'!$E:$E,BE$1,'単価履歴'!$F:$F,$A22))=0,"",MAXIFS('単価履歴'!$H:$H,'単価履歴'!$E:$E,BE$1,'単価履歴'!$F:$F,$A22,'単価履歴'!$B:$B,MAXIFS('単価履歴'!$B:$B,'単価履歴'!$E:$E,BE$1,'単価履歴'!$F:$F,$A22)))</f>
        <v/>
      </c>
      <c r="BF22" s="332" t="str">
        <f>IF(MAXIFS('単価履歴'!$H:$H,'単価履歴'!$E:$E,BF$1,'単価履歴'!$F:$F,$A22,'単価履歴'!$B:$B,MAXIFS('単価履歴'!$B:$B,'単価履歴'!$E:$E,BF$1,'単価履歴'!$F:$F,$A22))=0,"",MAXIFS('単価履歴'!$H:$H,'単価履歴'!$E:$E,BF$1,'単価履歴'!$F:$F,$A22,'単価履歴'!$B:$B,MAXIFS('単価履歴'!$B:$B,'単価履歴'!$E:$E,BF$1,'単価履歴'!$F:$F,$A22)))</f>
        <v/>
      </c>
      <c r="BG22" s="332" t="str">
        <f>IF(MAXIFS('単価履歴'!$H:$H,'単価履歴'!$E:$E,BG$1,'単価履歴'!$F:$F,$A22,'単価履歴'!$B:$B,MAXIFS('単価履歴'!$B:$B,'単価履歴'!$E:$E,BG$1,'単価履歴'!$F:$F,$A22))=0,"",MAXIFS('単価履歴'!$H:$H,'単価履歴'!$E:$E,BG$1,'単価履歴'!$F:$F,$A22,'単価履歴'!$B:$B,MAXIFS('単価履歴'!$B:$B,'単価履歴'!$E:$E,BG$1,'単価履歴'!$F:$F,$A22)))</f>
        <v/>
      </c>
      <c r="BH22" s="332" t="str">
        <f>IF(MAXIFS('単価履歴'!$H:$H,'単価履歴'!$E:$E,BH$1,'単価履歴'!$F:$F,$A22,'単価履歴'!$B:$B,MAXIFS('単価履歴'!$B:$B,'単価履歴'!$E:$E,BH$1,'単価履歴'!$F:$F,$A22))=0,"",MAXIFS('単価履歴'!$H:$H,'単価履歴'!$E:$E,BH$1,'単価履歴'!$F:$F,$A22,'単価履歴'!$B:$B,MAXIFS('単価履歴'!$B:$B,'単価履歴'!$E:$E,BH$1,'単価履歴'!$F:$F,$A22)))</f>
        <v/>
      </c>
      <c r="BI22" s="332" t="str">
        <f>IF(MAXIFS('単価履歴'!$H:$H,'単価履歴'!$E:$E,BI$1,'単価履歴'!$F:$F,$A22,'単価履歴'!$B:$B,MAXIFS('単価履歴'!$B:$B,'単価履歴'!$E:$E,BI$1,'単価履歴'!$F:$F,$A22))=0,"",MAXIFS('単価履歴'!$H:$H,'単価履歴'!$E:$E,BI$1,'単価履歴'!$F:$F,$A22,'単価履歴'!$B:$B,MAXIFS('単価履歴'!$B:$B,'単価履歴'!$E:$E,BI$1,'単価履歴'!$F:$F,$A22)))</f>
        <v/>
      </c>
      <c r="BJ22" s="332" t="str">
        <f>IF(MAXIFS('単価履歴'!$H:$H,'単価履歴'!$E:$E,BJ$1,'単価履歴'!$F:$F,$A22,'単価履歴'!$B:$B,MAXIFS('単価履歴'!$B:$B,'単価履歴'!$E:$E,BJ$1,'単価履歴'!$F:$F,$A22))=0,"",MAXIFS('単価履歴'!$H:$H,'単価履歴'!$E:$E,BJ$1,'単価履歴'!$F:$F,$A22,'単価履歴'!$B:$B,MAXIFS('単価履歴'!$B:$B,'単価履歴'!$E:$E,BJ$1,'単価履歴'!$F:$F,$A22)))</f>
        <v/>
      </c>
      <c r="BK22" s="332" t="str">
        <f>IF(MAXIFS('単価履歴'!$H:$H,'単価履歴'!$E:$E,BK$1,'単価履歴'!$F:$F,$A22,'単価履歴'!$B:$B,MAXIFS('単価履歴'!$B:$B,'単価履歴'!$E:$E,BK$1,'単価履歴'!$F:$F,$A22))=0,"",MAXIFS('単価履歴'!$H:$H,'単価履歴'!$E:$E,BK$1,'単価履歴'!$F:$F,$A22,'単価履歴'!$B:$B,MAXIFS('単価履歴'!$B:$B,'単価履歴'!$E:$E,BK$1,'単価履歴'!$F:$F,$A22)))</f>
        <v/>
      </c>
      <c r="BL22" s="332" t="str">
        <f>IF(MAXIFS('単価履歴'!$H:$H,'単価履歴'!$E:$E,BL$1,'単価履歴'!$F:$F,$A22,'単価履歴'!$B:$B,MAXIFS('単価履歴'!$B:$B,'単価履歴'!$E:$E,BL$1,'単価履歴'!$F:$F,$A22))=0,"",MAXIFS('単価履歴'!$H:$H,'単価履歴'!$E:$E,BL$1,'単価履歴'!$F:$F,$A22,'単価履歴'!$B:$B,MAXIFS('単価履歴'!$B:$B,'単価履歴'!$E:$E,BL$1,'単価履歴'!$F:$F,$A22)))</f>
        <v/>
      </c>
      <c r="BM22" s="332" t="str">
        <f>IF(MAXIFS('単価履歴'!$H:$H,'単価履歴'!$E:$E,BM$1,'単価履歴'!$F:$F,$A22,'単価履歴'!$B:$B,MAXIFS('単価履歴'!$B:$B,'単価履歴'!$E:$E,BM$1,'単価履歴'!$F:$F,$A22))=0,"",MAXIFS('単価履歴'!$H:$H,'単価履歴'!$E:$E,BM$1,'単価履歴'!$F:$F,$A22,'単価履歴'!$B:$B,MAXIFS('単価履歴'!$B:$B,'単価履歴'!$E:$E,BM$1,'単価履歴'!$F:$F,$A22)))</f>
        <v/>
      </c>
      <c r="BN22" s="332" t="str">
        <f>IF(MAXIFS('単価履歴'!$H:$H,'単価履歴'!$E:$E,BN$1,'単価履歴'!$F:$F,$A22,'単価履歴'!$B:$B,MAXIFS('単価履歴'!$B:$B,'単価履歴'!$E:$E,BN$1,'単価履歴'!$F:$F,$A22))=0,"",MAXIFS('単価履歴'!$H:$H,'単価履歴'!$E:$E,BN$1,'単価履歴'!$F:$F,$A22,'単価履歴'!$B:$B,MAXIFS('単価履歴'!$B:$B,'単価履歴'!$E:$E,BN$1,'単価履歴'!$F:$F,$A22)))</f>
        <v/>
      </c>
      <c r="BO22" s="332" t="str">
        <f>IF(MAXIFS('単価履歴'!$H:$H,'単価履歴'!$E:$E,BO$1,'単価履歴'!$F:$F,$A22,'単価履歴'!$B:$B,MAXIFS('単価履歴'!$B:$B,'単価履歴'!$E:$E,BO$1,'単価履歴'!$F:$F,$A22))=0,"",MAXIFS('単価履歴'!$H:$H,'単価履歴'!$E:$E,BO$1,'単価履歴'!$F:$F,$A22,'単価履歴'!$B:$B,MAXIFS('単価履歴'!$B:$B,'単価履歴'!$E:$E,BO$1,'単価履歴'!$F:$F,$A22)))</f>
        <v/>
      </c>
      <c r="BP22" s="332" t="str">
        <f>IF(MAXIFS('単価履歴'!$H:$H,'単価履歴'!$E:$E,BP$1,'単価履歴'!$F:$F,$A22,'単価履歴'!$B:$B,MAXIFS('単価履歴'!$B:$B,'単価履歴'!$E:$E,BP$1,'単価履歴'!$F:$F,$A22))=0,"",MAXIFS('単価履歴'!$H:$H,'単価履歴'!$E:$E,BP$1,'単価履歴'!$F:$F,$A22,'単価履歴'!$B:$B,MAXIFS('単価履歴'!$B:$B,'単価履歴'!$E:$E,BP$1,'単価履歴'!$F:$F,$A22)))</f>
        <v/>
      </c>
      <c r="BQ22" s="332" t="str">
        <f>IF(MAXIFS('単価履歴'!$H:$H,'単価履歴'!$E:$E,BQ$1,'単価履歴'!$F:$F,$A22,'単価履歴'!$B:$B,MAXIFS('単価履歴'!$B:$B,'単価履歴'!$E:$E,BQ$1,'単価履歴'!$F:$F,$A22))=0,"",MAXIFS('単価履歴'!$H:$H,'単価履歴'!$E:$E,BQ$1,'単価履歴'!$F:$F,$A22,'単価履歴'!$B:$B,MAXIFS('単価履歴'!$B:$B,'単価履歴'!$E:$E,BQ$1,'単価履歴'!$F:$F,$A22)))</f>
        <v/>
      </c>
      <c r="BR22" s="332" t="str">
        <f>IF(MAXIFS('単価履歴'!$H:$H,'単価履歴'!$E:$E,BR$1,'単価履歴'!$F:$F,$A22,'単価履歴'!$B:$B,MAXIFS('単価履歴'!$B:$B,'単価履歴'!$E:$E,BR$1,'単価履歴'!$F:$F,$A22))=0,"",MAXIFS('単価履歴'!$H:$H,'単価履歴'!$E:$E,BR$1,'単価履歴'!$F:$F,$A22,'単価履歴'!$B:$B,MAXIFS('単価履歴'!$B:$B,'単価履歴'!$E:$E,BR$1,'単価履歴'!$F:$F,$A22)))</f>
        <v/>
      </c>
      <c r="BS22" s="332" t="str">
        <f>IF(MAXIFS('単価履歴'!$H:$H,'単価履歴'!$E:$E,BS$1,'単価履歴'!$F:$F,$A22,'単価履歴'!$B:$B,MAXIFS('単価履歴'!$B:$B,'単価履歴'!$E:$E,BS$1,'単価履歴'!$F:$F,$A22))=0,"",MAXIFS('単価履歴'!$H:$H,'単価履歴'!$E:$E,BS$1,'単価履歴'!$F:$F,$A22,'単価履歴'!$B:$B,MAXIFS('単価履歴'!$B:$B,'単価履歴'!$E:$E,BS$1,'単価履歴'!$F:$F,$A22)))</f>
        <v/>
      </c>
      <c r="BT22" s="332" t="str">
        <f>IF(MAXIFS('単価履歴'!$H:$H,'単価履歴'!$E:$E,BT$1,'単価履歴'!$F:$F,$A22,'単価履歴'!$B:$B,MAXIFS('単価履歴'!$B:$B,'単価履歴'!$E:$E,BT$1,'単価履歴'!$F:$F,$A22))=0,"",MAXIFS('単価履歴'!$H:$H,'単価履歴'!$E:$E,BT$1,'単価履歴'!$F:$F,$A22,'単価履歴'!$B:$B,MAXIFS('単価履歴'!$B:$B,'単価履歴'!$E:$E,BT$1,'単価履歴'!$F:$F,$A22)))</f>
        <v/>
      </c>
      <c r="BU22" s="332" t="str">
        <f>IF(MAXIFS('単価履歴'!$H:$H,'単価履歴'!$E:$E,BU$1,'単価履歴'!$F:$F,$A22,'単価履歴'!$B:$B,MAXIFS('単価履歴'!$B:$B,'単価履歴'!$E:$E,BU$1,'単価履歴'!$F:$F,$A22))=0,"",MAXIFS('単価履歴'!$H:$H,'単価履歴'!$E:$E,BU$1,'単価履歴'!$F:$F,$A22,'単価履歴'!$B:$B,MAXIFS('単価履歴'!$B:$B,'単価履歴'!$E:$E,BU$1,'単価履歴'!$F:$F,$A22)))</f>
        <v/>
      </c>
      <c r="BV22" s="332" t="str">
        <f>IF(MAXIFS('単価履歴'!$H:$H,'単価履歴'!$E:$E,BV$1,'単価履歴'!$F:$F,$A22,'単価履歴'!$B:$B,MAXIFS('単価履歴'!$B:$B,'単価履歴'!$E:$E,BV$1,'単価履歴'!$F:$F,$A22))=0,"",MAXIFS('単価履歴'!$H:$H,'単価履歴'!$E:$E,BV$1,'単価履歴'!$F:$F,$A22,'単価履歴'!$B:$B,MAXIFS('単価履歴'!$B:$B,'単価履歴'!$E:$E,BV$1,'単価履歴'!$F:$F,$A22)))</f>
        <v/>
      </c>
      <c r="BW22" s="332" t="str">
        <f>IF(MAXIFS('単価履歴'!$H:$H,'単価履歴'!$E:$E,BW$1,'単価履歴'!$F:$F,$A22,'単価履歴'!$B:$B,MAXIFS('単価履歴'!$B:$B,'単価履歴'!$E:$E,BW$1,'単価履歴'!$F:$F,$A22))=0,"",MAXIFS('単価履歴'!$H:$H,'単価履歴'!$E:$E,BW$1,'単価履歴'!$F:$F,$A22,'単価履歴'!$B:$B,MAXIFS('単価履歴'!$B:$B,'単価履歴'!$E:$E,BW$1,'単価履歴'!$F:$F,$A22)))</f>
        <v/>
      </c>
      <c r="BX22" s="332" t="str">
        <f>IF(MAXIFS('単価履歴'!$H:$H,'単価履歴'!$E:$E,BX$1,'単価履歴'!$F:$F,$A22,'単価履歴'!$B:$B,MAXIFS('単価履歴'!$B:$B,'単価履歴'!$E:$E,BX$1,'単価履歴'!$F:$F,$A22))=0,"",MAXIFS('単価履歴'!$H:$H,'単価履歴'!$E:$E,BX$1,'単価履歴'!$F:$F,$A22,'単価履歴'!$B:$B,MAXIFS('単価履歴'!$B:$B,'単価履歴'!$E:$E,BX$1,'単価履歴'!$F:$F,$A22)))</f>
        <v/>
      </c>
      <c r="BY22" s="332" t="str">
        <f>IF(MAXIFS('単価履歴'!$H:$H,'単価履歴'!$E:$E,BY$1,'単価履歴'!$F:$F,$A22,'単価履歴'!$B:$B,MAXIFS('単価履歴'!$B:$B,'単価履歴'!$E:$E,BY$1,'単価履歴'!$F:$F,$A22))=0,"",MAXIFS('単価履歴'!$H:$H,'単価履歴'!$E:$E,BY$1,'単価履歴'!$F:$F,$A22,'単価履歴'!$B:$B,MAXIFS('単価履歴'!$B:$B,'単価履歴'!$E:$E,BY$1,'単価履歴'!$F:$F,$A22)))</f>
        <v/>
      </c>
      <c r="BZ22" s="332" t="str">
        <f>IF(MAXIFS('単価履歴'!$H:$H,'単価履歴'!$E:$E,BZ$1,'単価履歴'!$F:$F,$A22,'単価履歴'!$B:$B,MAXIFS('単価履歴'!$B:$B,'単価履歴'!$E:$E,BZ$1,'単価履歴'!$F:$F,$A22))=0,"",MAXIFS('単価履歴'!$H:$H,'単価履歴'!$E:$E,BZ$1,'単価履歴'!$F:$F,$A22,'単価履歴'!$B:$B,MAXIFS('単価履歴'!$B:$B,'単価履歴'!$E:$E,BZ$1,'単価履歴'!$F:$F,$A22)))</f>
        <v/>
      </c>
      <c r="CA22" s="332" t="str">
        <f>IF(MAXIFS('単価履歴'!$H:$H,'単価履歴'!$E:$E,CA$1,'単価履歴'!$F:$F,$A22,'単価履歴'!$B:$B,MAXIFS('単価履歴'!$B:$B,'単価履歴'!$E:$E,CA$1,'単価履歴'!$F:$F,$A22))=0,"",MAXIFS('単価履歴'!$H:$H,'単価履歴'!$E:$E,CA$1,'単価履歴'!$F:$F,$A22,'単価履歴'!$B:$B,MAXIFS('単価履歴'!$B:$B,'単価履歴'!$E:$E,CA$1,'単価履歴'!$F:$F,$A22)))</f>
        <v/>
      </c>
      <c r="CB22" s="332" t="str">
        <f>IF(MAXIFS('単価履歴'!$H:$H,'単価履歴'!$E:$E,CB$1,'単価履歴'!$F:$F,$A22,'単価履歴'!$B:$B,MAXIFS('単価履歴'!$B:$B,'単価履歴'!$E:$E,CB$1,'単価履歴'!$F:$F,$A22))=0,"",MAXIFS('単価履歴'!$H:$H,'単価履歴'!$E:$E,CB$1,'単価履歴'!$F:$F,$A22,'単価履歴'!$B:$B,MAXIFS('単価履歴'!$B:$B,'単価履歴'!$E:$E,CB$1,'単価履歴'!$F:$F,$A22)))</f>
        <v/>
      </c>
      <c r="CC22" s="332" t="str">
        <f>IF(MAXIFS('単価履歴'!$H:$H,'単価履歴'!$E:$E,CC$1,'単価履歴'!$F:$F,$A22,'単価履歴'!$B:$B,MAXIFS('単価履歴'!$B:$B,'単価履歴'!$E:$E,CC$1,'単価履歴'!$F:$F,$A22))=0,"",MAXIFS('単価履歴'!$H:$H,'単価履歴'!$E:$E,CC$1,'単価履歴'!$F:$F,$A22,'単価履歴'!$B:$B,MAXIFS('単価履歴'!$B:$B,'単価履歴'!$E:$E,CC$1,'単価履歴'!$F:$F,$A22)))</f>
        <v/>
      </c>
      <c r="CD22" s="332" t="str">
        <f>IF(MAXIFS('単価履歴'!$H:$H,'単価履歴'!$E:$E,CD$1,'単価履歴'!$F:$F,$A22,'単価履歴'!$B:$B,MAXIFS('単価履歴'!$B:$B,'単価履歴'!$E:$E,CD$1,'単価履歴'!$F:$F,$A22))=0,"",MAXIFS('単価履歴'!$H:$H,'単価履歴'!$E:$E,CD$1,'単価履歴'!$F:$F,$A22,'単価履歴'!$B:$B,MAXIFS('単価履歴'!$B:$B,'単価履歴'!$E:$E,CD$1,'単価履歴'!$F:$F,$A22)))</f>
        <v/>
      </c>
      <c r="CE22" s="332" t="str">
        <f>IF(MAXIFS('単価履歴'!$H:$H,'単価履歴'!$E:$E,CE$1,'単価履歴'!$F:$F,$A22,'単価履歴'!$B:$B,MAXIFS('単価履歴'!$B:$B,'単価履歴'!$E:$E,CE$1,'単価履歴'!$F:$F,$A22))=0,"",MAXIFS('単価履歴'!$H:$H,'単価履歴'!$E:$E,CE$1,'単価履歴'!$F:$F,$A22,'単価履歴'!$B:$B,MAXIFS('単価履歴'!$B:$B,'単価履歴'!$E:$E,CE$1,'単価履歴'!$F:$F,$A22)))</f>
        <v/>
      </c>
      <c r="CF22" s="332" t="str">
        <f>IF(MAXIFS('単価履歴'!$H:$H,'単価履歴'!$E:$E,CF$1,'単価履歴'!$F:$F,$A22,'単価履歴'!$B:$B,MAXIFS('単価履歴'!$B:$B,'単価履歴'!$E:$E,CF$1,'単価履歴'!$F:$F,$A22))=0,"",MAXIFS('単価履歴'!$H:$H,'単価履歴'!$E:$E,CF$1,'単価履歴'!$F:$F,$A22,'単価履歴'!$B:$B,MAXIFS('単価履歴'!$B:$B,'単価履歴'!$E:$E,CF$1,'単価履歴'!$F:$F,$A22)))</f>
        <v/>
      </c>
      <c r="CG22" s="332" t="str">
        <f>IF(MAXIFS('単価履歴'!$H:$H,'単価履歴'!$E:$E,CG$1,'単価履歴'!$F:$F,$A22,'単価履歴'!$B:$B,MAXIFS('単価履歴'!$B:$B,'単価履歴'!$E:$E,CG$1,'単価履歴'!$F:$F,$A22))=0,"",MAXIFS('単価履歴'!$H:$H,'単価履歴'!$E:$E,CG$1,'単価履歴'!$F:$F,$A22,'単価履歴'!$B:$B,MAXIFS('単価履歴'!$B:$B,'単価履歴'!$E:$E,CG$1,'単価履歴'!$F:$F,$A22)))</f>
        <v/>
      </c>
      <c r="CH22" s="332" t="str">
        <f>IF(MAXIFS('単価履歴'!$H:$H,'単価履歴'!$E:$E,CH$1,'単価履歴'!$F:$F,$A22,'単価履歴'!$B:$B,MAXIFS('単価履歴'!$B:$B,'単価履歴'!$E:$E,CH$1,'単価履歴'!$F:$F,$A22))=0,"",MAXIFS('単価履歴'!$H:$H,'単価履歴'!$E:$E,CH$1,'単価履歴'!$F:$F,$A22,'単価履歴'!$B:$B,MAXIFS('単価履歴'!$B:$B,'単価履歴'!$E:$E,CH$1,'単価履歴'!$F:$F,$A22)))</f>
        <v/>
      </c>
    </row>
    <row r="23" ht="15.75" customHeight="1">
      <c r="A23" s="332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 t="str">
        <f>IF(MAXIFS('単価履歴'!$H:$H,'単価履歴'!$E:$E,AD$1,'単価履歴'!$F:$F,$A23,'単価履歴'!$B:$B,MAXIFS('単価履歴'!$B:$B,'単価履歴'!$E:$E,AD$1,'単価履歴'!$F:$F,$A23))=0,"",MAXIFS('単価履歴'!$H:$H,'単価履歴'!$E:$E,AD$1,'単価履歴'!$F:$F,$A23,'単価履歴'!$B:$B,MAXIFS('単価履歴'!$B:$B,'単価履歴'!$E:$E,AD$1,'単価履歴'!$F:$F,$A23)))</f>
        <v/>
      </c>
      <c r="AE23" s="332"/>
      <c r="AF23" s="332"/>
      <c r="AG23" s="332"/>
      <c r="AH23" s="332"/>
      <c r="AI23" s="332"/>
      <c r="AJ23" s="332"/>
      <c r="AK23" s="332"/>
      <c r="AL23" s="332"/>
      <c r="AM23" s="332"/>
      <c r="AN23" s="332"/>
      <c r="AO23" s="332"/>
      <c r="AP23" s="332"/>
      <c r="AQ23" s="332"/>
      <c r="AR23" s="332"/>
      <c r="AS23" s="332"/>
      <c r="AT23" s="332"/>
      <c r="AU23" s="332"/>
      <c r="AV23" s="332"/>
      <c r="AW23" s="332"/>
      <c r="AX23" s="332"/>
      <c r="AY23" s="332"/>
      <c r="AZ23" s="332"/>
      <c r="BA23" s="332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  <c r="BM23" s="332"/>
      <c r="BN23" s="332"/>
      <c r="BO23" s="332"/>
      <c r="BP23" s="332"/>
      <c r="BQ23" s="332"/>
      <c r="BR23" s="332"/>
      <c r="BS23" s="332"/>
      <c r="BT23" s="332"/>
      <c r="BU23" s="332"/>
      <c r="BV23" s="332"/>
      <c r="BW23" s="332"/>
      <c r="BX23" s="332"/>
      <c r="BY23" s="332"/>
      <c r="BZ23" s="332"/>
      <c r="CA23" s="332"/>
      <c r="CB23" s="332"/>
      <c r="CC23" s="332"/>
      <c r="CD23" s="332"/>
      <c r="CE23" s="332"/>
      <c r="CF23" s="332"/>
      <c r="CG23" s="332"/>
      <c r="CH23" s="332"/>
    </row>
    <row r="24" ht="15.75" customHeight="1">
      <c r="A24" s="332"/>
      <c r="C24" s="332"/>
      <c r="D24" s="332"/>
    </row>
    <row r="25" ht="15.75" customHeight="1">
      <c r="A25" s="332"/>
    </row>
    <row r="26" ht="15.75" customHeight="1">
      <c r="A26" s="332"/>
    </row>
    <row r="27" ht="15.75" customHeight="1">
      <c r="A27" s="332"/>
    </row>
    <row r="28" ht="15.75" customHeight="1">
      <c r="A28" s="332"/>
    </row>
    <row r="29" ht="15.75" customHeight="1">
      <c r="A29" s="332"/>
    </row>
    <row r="30" ht="15.75" customHeight="1">
      <c r="A30" s="332"/>
    </row>
    <row r="31" ht="15.75" customHeight="1">
      <c r="A31" s="332"/>
    </row>
    <row r="32" ht="15.75" customHeight="1">
      <c r="A32" s="332"/>
    </row>
    <row r="33" ht="15.75" customHeight="1">
      <c r="A33" s="332"/>
    </row>
    <row r="34" ht="15.75" customHeight="1">
      <c r="A34" s="332"/>
    </row>
    <row r="35" ht="15.75" customHeight="1">
      <c r="A35" s="332"/>
    </row>
    <row r="36" ht="15.75" customHeight="1">
      <c r="A36" s="332"/>
    </row>
    <row r="37" ht="15.75" customHeight="1">
      <c r="A37" s="332"/>
    </row>
    <row r="38" ht="15.75" customHeight="1">
      <c r="A38" s="332"/>
    </row>
    <row r="39" ht="15.75" customHeight="1">
      <c r="A39" s="332"/>
    </row>
    <row r="40" ht="15.75" customHeight="1">
      <c r="A40" s="332"/>
    </row>
    <row r="41" ht="15.75" customHeight="1">
      <c r="A41" s="332"/>
    </row>
    <row r="42" ht="15.75" customHeight="1">
      <c r="A42" s="332"/>
    </row>
    <row r="43" ht="15.75" customHeight="1">
      <c r="A43" s="332"/>
    </row>
    <row r="44" ht="15.75" customHeight="1">
      <c r="A44" s="332"/>
    </row>
    <row r="45" ht="15.75" customHeight="1">
      <c r="A45" s="332"/>
    </row>
    <row r="46" ht="15.75" customHeight="1">
      <c r="A46" s="332"/>
    </row>
    <row r="47" ht="15.75" customHeight="1">
      <c r="A47" s="332"/>
    </row>
    <row r="48" ht="15.75" customHeight="1">
      <c r="A48" s="332"/>
    </row>
    <row r="49" ht="15.75" customHeight="1">
      <c r="A49" s="332"/>
    </row>
    <row r="50" ht="15.75" customHeight="1">
      <c r="A50" s="332"/>
    </row>
    <row r="51" ht="15.75" customHeight="1">
      <c r="A51" s="332"/>
    </row>
    <row r="52" ht="15.75" customHeight="1">
      <c r="A52" s="332"/>
    </row>
    <row r="53" ht="15.75" customHeight="1">
      <c r="A53" s="332"/>
    </row>
    <row r="54" ht="15.75" customHeight="1">
      <c r="A54" s="332"/>
    </row>
    <row r="55" ht="15.75" customHeight="1">
      <c r="A55" s="332"/>
    </row>
    <row r="56" ht="15.75" customHeight="1">
      <c r="A56" s="332"/>
    </row>
    <row r="57" ht="15.75" customHeight="1">
      <c r="A57" s="332"/>
    </row>
    <row r="58" ht="15.75" customHeight="1">
      <c r="A58" s="332"/>
    </row>
    <row r="59" ht="15.75" customHeight="1">
      <c r="A59" s="332"/>
    </row>
    <row r="60" ht="15.75" customHeight="1">
      <c r="A60" s="332"/>
    </row>
    <row r="61" ht="15.75" customHeight="1">
      <c r="A61" s="332"/>
    </row>
    <row r="62" ht="15.75" customHeight="1">
      <c r="A62" s="332"/>
    </row>
    <row r="63" ht="15.75" customHeight="1">
      <c r="A63" s="332"/>
    </row>
    <row r="64" ht="15.75" customHeight="1">
      <c r="A64" s="332"/>
    </row>
    <row r="65" ht="15.75" customHeight="1">
      <c r="A65" s="332"/>
    </row>
    <row r="66" ht="15.75" customHeight="1">
      <c r="A66" s="332"/>
    </row>
    <row r="67" ht="15.75" customHeight="1">
      <c r="A67" s="332"/>
    </row>
    <row r="68" ht="15.75" customHeight="1">
      <c r="A68" s="332"/>
    </row>
    <row r="69" ht="15.75" customHeight="1">
      <c r="A69" s="332"/>
    </row>
    <row r="70" ht="15.75" customHeight="1">
      <c r="A70" s="332"/>
    </row>
    <row r="71" ht="15.75" customHeight="1">
      <c r="A71" s="332"/>
    </row>
    <row r="72" ht="15.75" customHeight="1">
      <c r="A72" s="332"/>
    </row>
    <row r="73" ht="15.75" customHeight="1">
      <c r="A73" s="332"/>
    </row>
    <row r="74" ht="15.75" customHeight="1">
      <c r="A74" s="332"/>
    </row>
    <row r="75" ht="15.75" customHeight="1">
      <c r="A75" s="332"/>
    </row>
    <row r="76" ht="15.75" customHeight="1">
      <c r="A76" s="332"/>
    </row>
    <row r="77" ht="15.75" customHeight="1">
      <c r="A77" s="332"/>
    </row>
    <row r="78" ht="15.75" customHeight="1">
      <c r="A78" s="332"/>
    </row>
    <row r="79" ht="15.75" customHeight="1">
      <c r="A79" s="332"/>
    </row>
    <row r="80" ht="15.75" customHeight="1">
      <c r="A80" s="332"/>
    </row>
    <row r="81" ht="15.75" customHeight="1">
      <c r="A81" s="332"/>
    </row>
    <row r="82" ht="15.75" customHeight="1">
      <c r="A82" s="332"/>
    </row>
    <row r="83" ht="15.75" customHeight="1">
      <c r="A83" s="332"/>
    </row>
    <row r="84" ht="15.75" customHeight="1">
      <c r="A84" s="332"/>
    </row>
    <row r="85" ht="15.75" customHeight="1">
      <c r="A85" s="332"/>
    </row>
    <row r="86" ht="15.75" customHeight="1">
      <c r="A86" s="332"/>
    </row>
    <row r="87" ht="15.75" customHeight="1">
      <c r="A87" s="332"/>
    </row>
    <row r="88" ht="15.75" customHeight="1">
      <c r="A88" s="332"/>
    </row>
    <row r="89" ht="15.75" customHeight="1">
      <c r="A89" s="332"/>
    </row>
    <row r="90" ht="15.75" customHeight="1">
      <c r="A90" s="332"/>
    </row>
    <row r="91" ht="15.75" customHeight="1">
      <c r="A91" s="332"/>
    </row>
    <row r="92" ht="15.75" customHeight="1">
      <c r="A92" s="332"/>
    </row>
    <row r="93" ht="15.75" customHeight="1">
      <c r="A93" s="332"/>
    </row>
    <row r="94" ht="15.75" customHeight="1">
      <c r="A94" s="332"/>
    </row>
    <row r="95" ht="15.75" customHeight="1">
      <c r="A95" s="332"/>
    </row>
    <row r="96" ht="15.75" customHeight="1">
      <c r="A96" s="332"/>
    </row>
    <row r="97" ht="15.75" customHeight="1">
      <c r="A97" s="332"/>
    </row>
    <row r="98" ht="15.75" customHeight="1">
      <c r="A98" s="332"/>
    </row>
    <row r="99" ht="15.75" customHeight="1">
      <c r="A99" s="332"/>
    </row>
    <row r="100" ht="15.75" customHeight="1">
      <c r="A100" s="332"/>
    </row>
    <row r="101" ht="15.75" customHeight="1">
      <c r="A101" s="332"/>
    </row>
    <row r="102" ht="15.75" customHeight="1">
      <c r="A102" s="332"/>
    </row>
    <row r="103" ht="15.75" customHeight="1">
      <c r="A103" s="332"/>
    </row>
    <row r="104" ht="15.75" customHeight="1">
      <c r="A104" s="332"/>
    </row>
    <row r="105" ht="15.75" customHeight="1">
      <c r="A105" s="332"/>
    </row>
    <row r="106" ht="15.75" customHeight="1">
      <c r="A106" s="332"/>
    </row>
    <row r="107" ht="15.75" customHeight="1">
      <c r="A107" s="332"/>
    </row>
    <row r="108" ht="15.75" customHeight="1">
      <c r="A108" s="332"/>
    </row>
    <row r="109" ht="15.75" customHeight="1">
      <c r="A109" s="332"/>
    </row>
    <row r="110" ht="15.75" customHeight="1">
      <c r="A110" s="332"/>
    </row>
    <row r="111" ht="15.75" customHeight="1">
      <c r="A111" s="332"/>
    </row>
    <row r="112" ht="15.75" customHeight="1">
      <c r="A112" s="332"/>
    </row>
    <row r="113" ht="15.75" customHeight="1">
      <c r="A113" s="332"/>
    </row>
    <row r="114" ht="15.75" customHeight="1">
      <c r="A114" s="332"/>
    </row>
    <row r="115" ht="15.75" customHeight="1">
      <c r="A115" s="332"/>
    </row>
    <row r="116" ht="15.75" customHeight="1">
      <c r="A116" s="332"/>
    </row>
    <row r="117" ht="15.75" customHeight="1">
      <c r="A117" s="332"/>
    </row>
    <row r="118" ht="15.75" customHeight="1">
      <c r="A118" s="332"/>
    </row>
    <row r="119" ht="15.75" customHeight="1">
      <c r="A119" s="332"/>
    </row>
    <row r="120" ht="15.75" customHeight="1">
      <c r="A120" s="332"/>
    </row>
    <row r="121" ht="15.75" customHeight="1">
      <c r="A121" s="332"/>
    </row>
    <row r="122" ht="15.75" customHeight="1">
      <c r="A122" s="332"/>
    </row>
    <row r="123" ht="15.75" customHeight="1">
      <c r="A123" s="332"/>
    </row>
    <row r="124" ht="15.75" customHeight="1">
      <c r="A124" s="332"/>
    </row>
    <row r="125" ht="15.75" customHeight="1">
      <c r="A125" s="332"/>
    </row>
    <row r="126" ht="15.75" customHeight="1">
      <c r="A126" s="332"/>
    </row>
    <row r="127" ht="15.75" customHeight="1">
      <c r="A127" s="332"/>
    </row>
    <row r="128" ht="15.75" customHeight="1">
      <c r="A128" s="332"/>
    </row>
    <row r="129" ht="15.75" customHeight="1">
      <c r="A129" s="332"/>
    </row>
    <row r="130" ht="15.75" customHeight="1">
      <c r="A130" s="332"/>
    </row>
    <row r="131" ht="15.75" customHeight="1">
      <c r="A131" s="332"/>
    </row>
    <row r="132" ht="15.75" customHeight="1">
      <c r="A132" s="332"/>
    </row>
    <row r="133" ht="15.75" customHeight="1">
      <c r="A133" s="332"/>
    </row>
    <row r="134" ht="15.75" customHeight="1">
      <c r="A134" s="332"/>
    </row>
    <row r="135" ht="15.75" customHeight="1">
      <c r="A135" s="332"/>
    </row>
    <row r="136" ht="15.75" customHeight="1">
      <c r="A136" s="332"/>
    </row>
    <row r="137" ht="15.75" customHeight="1">
      <c r="A137" s="332"/>
    </row>
    <row r="138" ht="15.75" customHeight="1">
      <c r="A138" s="332"/>
    </row>
    <row r="139" ht="15.75" customHeight="1">
      <c r="A139" s="332"/>
    </row>
    <row r="140" ht="15.75" customHeight="1">
      <c r="A140" s="332"/>
    </row>
    <row r="141" ht="15.75" customHeight="1">
      <c r="A141" s="332"/>
    </row>
    <row r="142" ht="15.75" customHeight="1">
      <c r="A142" s="332"/>
    </row>
    <row r="143" ht="15.75" customHeight="1">
      <c r="A143" s="332"/>
    </row>
    <row r="144" ht="15.75" customHeight="1">
      <c r="A144" s="332"/>
    </row>
    <row r="145" ht="15.75" customHeight="1">
      <c r="A145" s="332"/>
    </row>
    <row r="146" ht="15.75" customHeight="1">
      <c r="A146" s="332"/>
    </row>
    <row r="147" ht="15.75" customHeight="1">
      <c r="A147" s="332"/>
    </row>
    <row r="148" ht="15.75" customHeight="1">
      <c r="A148" s="332"/>
    </row>
    <row r="149" ht="15.75" customHeight="1">
      <c r="A149" s="332"/>
    </row>
    <row r="150" ht="15.75" customHeight="1">
      <c r="A150" s="332"/>
    </row>
    <row r="151" ht="15.75" customHeight="1">
      <c r="A151" s="332"/>
    </row>
    <row r="152" ht="15.75" customHeight="1">
      <c r="A152" s="332"/>
    </row>
    <row r="153" ht="15.75" customHeight="1">
      <c r="A153" s="332"/>
    </row>
    <row r="154" ht="15.75" customHeight="1">
      <c r="A154" s="332"/>
    </row>
    <row r="155" ht="15.75" customHeight="1">
      <c r="A155" s="332"/>
    </row>
    <row r="156" ht="15.75" customHeight="1">
      <c r="A156" s="332"/>
    </row>
    <row r="157" ht="15.75" customHeight="1">
      <c r="A157" s="332"/>
    </row>
    <row r="158" ht="15.75" customHeight="1">
      <c r="A158" s="332"/>
    </row>
    <row r="159" ht="15.75" customHeight="1">
      <c r="A159" s="332"/>
    </row>
    <row r="160" ht="15.75" customHeight="1">
      <c r="A160" s="332"/>
    </row>
    <row r="161" ht="15.75" customHeight="1">
      <c r="A161" s="332"/>
    </row>
    <row r="162" ht="15.75" customHeight="1">
      <c r="A162" s="332"/>
    </row>
    <row r="163" ht="15.75" customHeight="1">
      <c r="A163" s="332"/>
    </row>
    <row r="164" ht="15.75" customHeight="1">
      <c r="A164" s="332"/>
    </row>
    <row r="165" ht="15.75" customHeight="1">
      <c r="A165" s="332"/>
    </row>
    <row r="166" ht="15.75" customHeight="1">
      <c r="A166" s="332"/>
    </row>
    <row r="167" ht="15.75" customHeight="1">
      <c r="A167" s="332"/>
    </row>
    <row r="168" ht="15.75" customHeight="1">
      <c r="A168" s="332"/>
    </row>
    <row r="169" ht="15.75" customHeight="1">
      <c r="A169" s="332"/>
    </row>
    <row r="170" ht="15.75" customHeight="1">
      <c r="A170" s="332"/>
    </row>
    <row r="171" ht="15.75" customHeight="1">
      <c r="A171" s="332"/>
    </row>
    <row r="172" ht="15.75" customHeight="1">
      <c r="A172" s="332"/>
    </row>
    <row r="173" ht="15.75" customHeight="1">
      <c r="A173" s="332"/>
    </row>
    <row r="174" ht="15.75" customHeight="1">
      <c r="A174" s="332"/>
    </row>
    <row r="175" ht="15.75" customHeight="1">
      <c r="A175" s="332"/>
    </row>
    <row r="176" ht="15.75" customHeight="1">
      <c r="A176" s="332"/>
    </row>
    <row r="177" ht="15.75" customHeight="1">
      <c r="A177" s="332"/>
    </row>
    <row r="178" ht="15.75" customHeight="1">
      <c r="A178" s="332"/>
    </row>
    <row r="179" ht="15.75" customHeight="1">
      <c r="A179" s="332"/>
    </row>
    <row r="180" ht="15.75" customHeight="1">
      <c r="A180" s="332"/>
    </row>
    <row r="181" ht="15.75" customHeight="1">
      <c r="A181" s="332"/>
    </row>
    <row r="182" ht="15.75" customHeight="1">
      <c r="A182" s="332"/>
    </row>
    <row r="183" ht="15.75" customHeight="1">
      <c r="A183" s="332"/>
    </row>
    <row r="184" ht="15.75" customHeight="1">
      <c r="A184" s="332"/>
    </row>
    <row r="185" ht="15.75" customHeight="1">
      <c r="A185" s="332"/>
    </row>
    <row r="186" ht="15.75" customHeight="1">
      <c r="A186" s="332"/>
    </row>
    <row r="187" ht="15.75" customHeight="1">
      <c r="A187" s="332"/>
    </row>
    <row r="188" ht="15.75" customHeight="1">
      <c r="A188" s="332"/>
    </row>
    <row r="189" ht="15.75" customHeight="1">
      <c r="A189" s="332"/>
    </row>
    <row r="190" ht="15.75" customHeight="1">
      <c r="A190" s="332"/>
    </row>
    <row r="191" ht="15.75" customHeight="1">
      <c r="A191" s="332"/>
    </row>
    <row r="192" ht="15.75" customHeight="1">
      <c r="A192" s="332"/>
    </row>
    <row r="193" ht="15.75" customHeight="1">
      <c r="A193" s="332"/>
    </row>
    <row r="194" ht="15.75" customHeight="1">
      <c r="A194" s="332"/>
    </row>
    <row r="195" ht="15.75" customHeight="1">
      <c r="A195" s="332"/>
    </row>
    <row r="196" ht="15.75" customHeight="1">
      <c r="A196" s="332"/>
    </row>
    <row r="197" ht="15.75" customHeight="1">
      <c r="A197" s="332"/>
    </row>
    <row r="198" ht="15.75" customHeight="1">
      <c r="A198" s="332"/>
    </row>
    <row r="199" ht="15.75" customHeight="1">
      <c r="A199" s="332"/>
    </row>
    <row r="200" ht="15.75" customHeight="1">
      <c r="A200" s="332"/>
    </row>
    <row r="201" ht="15.75" customHeight="1">
      <c r="A201" s="332"/>
    </row>
    <row r="202" ht="15.75" customHeight="1">
      <c r="A202" s="332"/>
    </row>
    <row r="203" ht="15.75" customHeight="1">
      <c r="A203" s="332"/>
    </row>
    <row r="204" ht="15.75" customHeight="1">
      <c r="A204" s="332"/>
    </row>
    <row r="205" ht="15.75" customHeight="1">
      <c r="A205" s="332"/>
    </row>
    <row r="206" ht="15.75" customHeight="1">
      <c r="A206" s="332"/>
    </row>
    <row r="207" ht="15.75" customHeight="1">
      <c r="A207" s="332"/>
    </row>
    <row r="208" ht="15.75" customHeight="1">
      <c r="A208" s="332"/>
    </row>
    <row r="209" ht="15.75" customHeight="1">
      <c r="A209" s="332"/>
    </row>
    <row r="210" ht="15.75" customHeight="1">
      <c r="A210" s="332"/>
    </row>
    <row r="211" ht="15.75" customHeight="1">
      <c r="A211" s="332"/>
    </row>
    <row r="212" ht="15.75" customHeight="1">
      <c r="A212" s="332"/>
    </row>
    <row r="213" ht="15.75" customHeight="1">
      <c r="A213" s="332"/>
    </row>
    <row r="214" ht="15.75" customHeight="1">
      <c r="A214" s="332"/>
    </row>
    <row r="215" ht="15.75" customHeight="1">
      <c r="A215" s="332"/>
    </row>
    <row r="216" ht="15.75" customHeight="1">
      <c r="A216" s="332"/>
    </row>
    <row r="217" ht="15.75" customHeight="1">
      <c r="A217" s="332"/>
    </row>
    <row r="218" ht="15.75" customHeight="1">
      <c r="A218" s="332"/>
    </row>
    <row r="219" ht="15.75" customHeight="1">
      <c r="A219" s="332"/>
    </row>
    <row r="220" ht="15.75" customHeight="1">
      <c r="A220" s="332"/>
    </row>
    <row r="221" ht="15.75" customHeight="1">
      <c r="A221" s="332"/>
    </row>
    <row r="222" ht="15.75" customHeight="1">
      <c r="A222" s="332"/>
    </row>
    <row r="223" ht="15.75" customHeight="1">
      <c r="A223" s="332"/>
    </row>
    <row r="224" ht="15.75" customHeight="1">
      <c r="A224" s="33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8.57"/>
    <col customWidth="1" min="2" max="6" width="14.43"/>
  </cols>
  <sheetData>
    <row r="1" ht="15.75" customHeight="1">
      <c r="A1" s="332" t="s">
        <v>45</v>
      </c>
    </row>
    <row r="2" ht="15.75" customHeight="1">
      <c r="A2" s="335" t="s">
        <v>8776</v>
      </c>
    </row>
    <row r="3" ht="15.75" customHeight="1">
      <c r="A3" s="433" t="s">
        <v>101</v>
      </c>
    </row>
    <row r="4" ht="15.75" customHeight="1">
      <c r="A4" s="335" t="s">
        <v>105</v>
      </c>
    </row>
    <row r="5" ht="15.75" customHeight="1">
      <c r="A5" s="335" t="s">
        <v>108</v>
      </c>
    </row>
    <row r="6" ht="15.75" customHeight="1">
      <c r="A6" s="335" t="s">
        <v>111</v>
      </c>
    </row>
    <row r="7" ht="15.75" customHeight="1">
      <c r="A7" s="335" t="s">
        <v>8777</v>
      </c>
    </row>
    <row r="8" ht="15.75" customHeight="1">
      <c r="A8" s="335" t="s">
        <v>116</v>
      </c>
    </row>
    <row r="9" ht="15.75" customHeight="1">
      <c r="A9" s="335" t="s">
        <v>119</v>
      </c>
    </row>
    <row r="10" ht="15.75" customHeight="1">
      <c r="A10" s="335" t="s">
        <v>122</v>
      </c>
    </row>
    <row r="11" ht="15.75" customHeight="1">
      <c r="A11" s="335" t="s">
        <v>573</v>
      </c>
    </row>
    <row r="12" ht="15.75" customHeight="1">
      <c r="A12" s="335" t="s">
        <v>130</v>
      </c>
    </row>
    <row r="13" ht="15.75" customHeight="1">
      <c r="A13" s="335" t="s">
        <v>131</v>
      </c>
    </row>
    <row r="14" ht="15.75" customHeight="1">
      <c r="A14" s="335" t="s">
        <v>574</v>
      </c>
    </row>
    <row r="15" ht="15.75" customHeight="1">
      <c r="A15" s="335" t="s">
        <v>141</v>
      </c>
    </row>
    <row r="16" ht="15.75" customHeight="1">
      <c r="A16" s="335" t="s">
        <v>143</v>
      </c>
    </row>
    <row r="17" ht="15.75" customHeight="1">
      <c r="A17" s="335" t="s">
        <v>25</v>
      </c>
    </row>
    <row r="18" ht="15.75" customHeight="1">
      <c r="A18" s="335" t="s">
        <v>145</v>
      </c>
    </row>
    <row r="19" ht="15.75" customHeight="1">
      <c r="A19" s="335" t="s">
        <v>149</v>
      </c>
    </row>
    <row r="20" ht="15.75" customHeight="1">
      <c r="A20" s="335" t="s">
        <v>151</v>
      </c>
    </row>
    <row r="21" ht="15.75" customHeight="1">
      <c r="A21" s="335" t="s">
        <v>154</v>
      </c>
    </row>
    <row r="22" ht="15.75" customHeight="1">
      <c r="A22" s="335" t="s">
        <v>156</v>
      </c>
    </row>
    <row r="23" ht="15.75" customHeight="1">
      <c r="A23" s="335" t="s">
        <v>139</v>
      </c>
    </row>
    <row r="24" ht="15.75" customHeight="1">
      <c r="A24" s="335" t="s">
        <v>8778</v>
      </c>
    </row>
    <row r="25" ht="15.75" customHeight="1">
      <c r="A25" s="335" t="s">
        <v>157</v>
      </c>
    </row>
    <row r="26" ht="15.75" customHeight="1">
      <c r="A26" s="335" t="s">
        <v>158</v>
      </c>
    </row>
    <row r="27" ht="15.75" customHeight="1">
      <c r="A27" s="332"/>
    </row>
    <row r="28" ht="15.75" customHeight="1">
      <c r="A28" s="332"/>
    </row>
    <row r="29" ht="15.75" customHeight="1">
      <c r="A29" s="332"/>
    </row>
    <row r="30" ht="15.75" customHeight="1">
      <c r="A30" s="332"/>
    </row>
    <row r="31" ht="15.75" customHeight="1">
      <c r="A31" s="332"/>
    </row>
    <row r="32" ht="15.75" customHeight="1">
      <c r="A32" s="332"/>
    </row>
    <row r="33" ht="15.75" customHeight="1">
      <c r="A33" s="332"/>
    </row>
    <row r="34" ht="15.75" customHeight="1">
      <c r="A34" s="332"/>
    </row>
    <row r="35" ht="15.75" customHeight="1">
      <c r="A35" s="332"/>
    </row>
    <row r="36" ht="15.75" customHeight="1">
      <c r="A36" s="332"/>
    </row>
    <row r="37" ht="15.75" customHeight="1">
      <c r="A37" s="332"/>
    </row>
    <row r="38" ht="15.75" customHeight="1">
      <c r="A38" s="332"/>
    </row>
    <row r="39" ht="15.75" customHeight="1">
      <c r="A39" s="332"/>
    </row>
    <row r="40" ht="15.75" customHeight="1">
      <c r="A40" s="33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34" t="s">
        <v>8779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34" t="s">
        <v>8780</v>
      </c>
    </row>
  </sheetData>
  <hyperlinks>
    <hyperlink r:id="rId1" location="gid=287703902" ref="A1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332" t="s">
        <v>1182</v>
      </c>
      <c r="B1" s="332" t="s">
        <v>1184</v>
      </c>
      <c r="C1" s="332" t="s">
        <v>1185</v>
      </c>
      <c r="D1" s="332" t="s">
        <v>93</v>
      </c>
      <c r="E1" s="332" t="s">
        <v>101</v>
      </c>
      <c r="F1" s="332" t="s">
        <v>105</v>
      </c>
      <c r="G1" s="332" t="s">
        <v>108</v>
      </c>
      <c r="H1" s="332" t="s">
        <v>111</v>
      </c>
      <c r="I1" s="332" t="s">
        <v>112</v>
      </c>
      <c r="J1" s="332" t="s">
        <v>116</v>
      </c>
      <c r="K1" s="332" t="s">
        <v>119</v>
      </c>
      <c r="L1" s="332" t="s">
        <v>122</v>
      </c>
      <c r="M1" s="332" t="s">
        <v>126</v>
      </c>
      <c r="N1" s="332" t="s">
        <v>130</v>
      </c>
      <c r="O1" s="332" t="s">
        <v>131</v>
      </c>
      <c r="P1" s="332" t="s">
        <v>134</v>
      </c>
      <c r="Q1" s="332" t="s">
        <v>141</v>
      </c>
      <c r="R1" s="332" t="s">
        <v>143</v>
      </c>
      <c r="S1" s="332" t="s">
        <v>145</v>
      </c>
      <c r="T1" s="332" t="s">
        <v>149</v>
      </c>
      <c r="U1" s="332" t="s">
        <v>151</v>
      </c>
      <c r="V1" s="332" t="s">
        <v>154</v>
      </c>
      <c r="W1" s="332" t="s">
        <v>156</v>
      </c>
      <c r="X1" s="332" t="s">
        <v>157</v>
      </c>
      <c r="Y1" s="332" t="s">
        <v>158</v>
      </c>
    </row>
    <row r="2" ht="15.75" customHeight="1">
      <c r="A2" s="332" t="s">
        <v>8781</v>
      </c>
      <c r="B2" s="332" t="s">
        <v>5</v>
      </c>
      <c r="C2" s="332" t="s">
        <v>46</v>
      </c>
      <c r="E2" s="332">
        <v>54.4</v>
      </c>
      <c r="F2" s="332"/>
      <c r="G2" s="332">
        <v>54.4</v>
      </c>
      <c r="H2" s="332">
        <v>52.0</v>
      </c>
      <c r="I2" s="332"/>
      <c r="J2" s="332">
        <v>47.3</v>
      </c>
      <c r="K2" s="332">
        <v>43.3</v>
      </c>
      <c r="L2" s="332">
        <v>36.8</v>
      </c>
      <c r="M2" s="332"/>
      <c r="N2" s="332">
        <v>55.3</v>
      </c>
      <c r="O2" s="332">
        <v>54.3</v>
      </c>
    </row>
    <row r="3" ht="15.75" customHeight="1">
      <c r="A3" s="332" t="s">
        <v>8782</v>
      </c>
      <c r="B3" s="332" t="s">
        <v>5</v>
      </c>
      <c r="C3" s="332" t="s">
        <v>47</v>
      </c>
      <c r="G3" s="332">
        <v>54.3</v>
      </c>
      <c r="H3" s="332">
        <v>52.0</v>
      </c>
      <c r="I3" s="332"/>
      <c r="J3" s="332">
        <v>47.3</v>
      </c>
      <c r="K3" s="332">
        <v>43.3</v>
      </c>
      <c r="L3" s="332">
        <v>36.8</v>
      </c>
      <c r="M3" s="332"/>
      <c r="N3" s="332">
        <v>55.3</v>
      </c>
      <c r="O3" s="332">
        <v>54.3</v>
      </c>
    </row>
    <row r="4" ht="15.75" customHeight="1">
      <c r="A4" s="332" t="s">
        <v>8783</v>
      </c>
      <c r="B4" s="332" t="s">
        <v>6</v>
      </c>
      <c r="C4" s="332" t="s">
        <v>48</v>
      </c>
      <c r="D4" s="332"/>
      <c r="E4" s="332"/>
      <c r="F4" s="332"/>
      <c r="G4" s="332"/>
      <c r="H4" s="332">
        <v>54.0</v>
      </c>
      <c r="I4" s="332"/>
      <c r="J4" s="332">
        <v>52.5</v>
      </c>
      <c r="K4" s="332">
        <v>50.5</v>
      </c>
      <c r="L4" s="332">
        <v>50.0</v>
      </c>
      <c r="M4" s="332"/>
      <c r="N4" s="332">
        <v>40.0</v>
      </c>
      <c r="O4" s="332"/>
      <c r="P4" s="332"/>
      <c r="Q4" s="332">
        <v>46.7</v>
      </c>
      <c r="R4" s="332"/>
      <c r="S4" s="332"/>
      <c r="T4" s="332"/>
      <c r="U4" s="332"/>
      <c r="V4" s="332"/>
      <c r="W4" s="332"/>
      <c r="X4" s="332"/>
      <c r="Y4" s="332"/>
    </row>
    <row r="5" ht="15.75" customHeight="1">
      <c r="A5" s="332" t="s">
        <v>8784</v>
      </c>
      <c r="B5" s="332" t="s">
        <v>7</v>
      </c>
      <c r="C5" s="332" t="s">
        <v>49</v>
      </c>
      <c r="D5" s="332">
        <v>52.8</v>
      </c>
      <c r="E5" s="332">
        <v>52.3</v>
      </c>
      <c r="F5" s="332"/>
      <c r="G5" s="332"/>
      <c r="H5" s="332">
        <v>53.8</v>
      </c>
      <c r="I5" s="332"/>
      <c r="J5" s="332">
        <v>52.3</v>
      </c>
      <c r="K5" s="332">
        <v>51.8</v>
      </c>
      <c r="L5" s="332">
        <v>50.8</v>
      </c>
      <c r="M5" s="332"/>
      <c r="N5" s="332">
        <v>53.3</v>
      </c>
      <c r="O5" s="332">
        <v>52.8</v>
      </c>
      <c r="P5" s="332"/>
      <c r="Q5" s="332">
        <v>42.8</v>
      </c>
      <c r="R5" s="332">
        <v>40.8</v>
      </c>
      <c r="S5" s="332"/>
      <c r="T5" s="332"/>
      <c r="U5" s="332"/>
      <c r="V5" s="332"/>
      <c r="W5" s="332"/>
      <c r="X5" s="332"/>
      <c r="Y5" s="332"/>
    </row>
    <row r="6" ht="15.75" customHeight="1">
      <c r="A6" s="332" t="s">
        <v>8785</v>
      </c>
      <c r="B6" s="332" t="s">
        <v>7</v>
      </c>
      <c r="C6" s="332" t="s">
        <v>46</v>
      </c>
      <c r="E6" s="332"/>
    </row>
    <row r="7" ht="15.75" customHeight="1">
      <c r="A7" s="332" t="s">
        <v>8786</v>
      </c>
      <c r="B7" s="332" t="s">
        <v>8</v>
      </c>
      <c r="C7" s="332" t="s">
        <v>50</v>
      </c>
      <c r="E7" s="332"/>
    </row>
    <row r="8" ht="15.75" customHeight="1">
      <c r="A8" s="332" t="s">
        <v>8787</v>
      </c>
      <c r="B8" s="332" t="s">
        <v>9</v>
      </c>
      <c r="C8" s="332" t="s">
        <v>51</v>
      </c>
      <c r="D8" s="332"/>
      <c r="E8" s="332"/>
      <c r="F8" s="332"/>
      <c r="G8" s="332"/>
      <c r="H8" s="332">
        <v>54.5</v>
      </c>
      <c r="I8" s="332">
        <v>53.0</v>
      </c>
      <c r="J8" s="332">
        <v>51.0</v>
      </c>
      <c r="K8" s="332">
        <v>50.5</v>
      </c>
      <c r="L8" s="332">
        <v>50.0</v>
      </c>
      <c r="M8" s="332"/>
      <c r="N8" s="332">
        <v>37.5</v>
      </c>
      <c r="O8" s="332">
        <v>37.0</v>
      </c>
      <c r="P8" s="332"/>
      <c r="Q8" s="332">
        <v>37.0</v>
      </c>
      <c r="R8" s="332">
        <v>37.0</v>
      </c>
      <c r="S8" s="332">
        <v>39.5</v>
      </c>
      <c r="T8" s="332">
        <v>38.8</v>
      </c>
      <c r="U8" s="332">
        <v>37.4</v>
      </c>
      <c r="V8" s="332">
        <v>40.5</v>
      </c>
      <c r="W8" s="332">
        <v>38.0</v>
      </c>
      <c r="X8" s="332"/>
      <c r="Y8" s="332"/>
    </row>
    <row r="9" ht="15.75" customHeight="1">
      <c r="A9" s="332" t="s">
        <v>8788</v>
      </c>
      <c r="B9" s="332" t="s">
        <v>9</v>
      </c>
      <c r="C9" s="332" t="s">
        <v>47</v>
      </c>
      <c r="D9" s="332"/>
      <c r="E9" s="332"/>
      <c r="F9" s="332"/>
      <c r="G9" s="332"/>
      <c r="H9" s="332">
        <v>39.4</v>
      </c>
      <c r="I9" s="332">
        <v>38.4</v>
      </c>
      <c r="J9" s="332">
        <v>35.2</v>
      </c>
      <c r="K9" s="332">
        <v>34.2</v>
      </c>
      <c r="L9" s="332">
        <v>32.7</v>
      </c>
      <c r="M9" s="332"/>
      <c r="N9" s="332">
        <v>35.7</v>
      </c>
      <c r="O9" s="332">
        <v>35.2</v>
      </c>
      <c r="P9" s="332"/>
      <c r="Q9" s="332">
        <v>36.7</v>
      </c>
      <c r="R9" s="332">
        <v>36.7</v>
      </c>
      <c r="S9" s="332">
        <v>38.7</v>
      </c>
      <c r="T9" s="332">
        <v>38.0</v>
      </c>
      <c r="U9" s="332">
        <v>36.6</v>
      </c>
      <c r="V9" s="332">
        <v>44.7</v>
      </c>
      <c r="W9" s="332">
        <v>42.2</v>
      </c>
      <c r="X9" s="332"/>
      <c r="Y9" s="332"/>
    </row>
    <row r="10" ht="15.75" customHeight="1">
      <c r="A10" s="435" t="s">
        <v>8789</v>
      </c>
      <c r="B10" s="435" t="s">
        <v>9</v>
      </c>
      <c r="C10" s="435" t="s">
        <v>50</v>
      </c>
      <c r="D10" s="332"/>
      <c r="E10" s="332"/>
      <c r="F10" s="332"/>
      <c r="G10" s="332"/>
      <c r="H10" s="332">
        <v>53.7</v>
      </c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>
        <v>51.0</v>
      </c>
      <c r="W10" s="332">
        <v>44.7</v>
      </c>
      <c r="X10" s="332"/>
      <c r="Y10" s="332"/>
      <c r="Z10" s="435"/>
      <c r="AA10" s="435"/>
      <c r="AB10" s="435"/>
      <c r="AC10" s="435"/>
      <c r="AD10" s="435"/>
      <c r="AE10" s="435"/>
      <c r="AF10" s="435"/>
      <c r="AG10" s="435"/>
      <c r="AH10" s="435"/>
      <c r="AI10" s="435"/>
      <c r="AJ10" s="435"/>
      <c r="AK10" s="435"/>
      <c r="AL10" s="435"/>
      <c r="AM10" s="435"/>
      <c r="AN10" s="435"/>
      <c r="AO10" s="435"/>
      <c r="AP10" s="435"/>
    </row>
    <row r="11" ht="15.75" customHeight="1">
      <c r="A11" s="332" t="s">
        <v>8790</v>
      </c>
      <c r="B11" s="332" t="s">
        <v>9</v>
      </c>
      <c r="C11" s="332" t="s">
        <v>49</v>
      </c>
      <c r="D11" s="332"/>
      <c r="E11" s="332"/>
      <c r="F11" s="332"/>
      <c r="G11" s="332"/>
      <c r="H11" s="332">
        <v>38.8</v>
      </c>
      <c r="I11" s="332">
        <v>45.7</v>
      </c>
      <c r="J11" s="332">
        <v>43.5</v>
      </c>
      <c r="K11" s="332">
        <v>42.5</v>
      </c>
      <c r="L11" s="332">
        <v>41.5</v>
      </c>
      <c r="M11" s="332"/>
      <c r="N11" s="332">
        <v>37.3</v>
      </c>
      <c r="O11" s="332">
        <v>36.8</v>
      </c>
      <c r="P11" s="332"/>
      <c r="Q11" s="332"/>
      <c r="R11" s="332"/>
      <c r="S11" s="332"/>
      <c r="T11" s="332"/>
      <c r="U11" s="332"/>
      <c r="V11" s="332"/>
      <c r="W11" s="332"/>
      <c r="X11" s="332"/>
      <c r="Y11" s="332"/>
    </row>
    <row r="12" ht="15.75" customHeight="1">
      <c r="A12" s="332" t="s">
        <v>8791</v>
      </c>
      <c r="B12" s="332" t="s">
        <v>10</v>
      </c>
      <c r="C12" s="332" t="s">
        <v>47</v>
      </c>
      <c r="D12" s="332"/>
      <c r="E12" s="332"/>
      <c r="F12" s="332"/>
      <c r="G12" s="332"/>
      <c r="H12" s="332">
        <v>53.5</v>
      </c>
      <c r="I12" s="332"/>
      <c r="J12" s="332">
        <v>51.5</v>
      </c>
      <c r="K12" s="332">
        <v>51.0</v>
      </c>
      <c r="L12" s="332">
        <v>50.5</v>
      </c>
      <c r="M12" s="332"/>
      <c r="N12" s="332"/>
      <c r="O12" s="332"/>
      <c r="P12" s="332"/>
      <c r="Q12" s="332"/>
      <c r="R12" s="332"/>
      <c r="S12" s="332"/>
      <c r="T12" s="332"/>
      <c r="U12" s="332"/>
      <c r="V12" s="332">
        <v>53.7</v>
      </c>
      <c r="W12" s="332"/>
      <c r="X12" s="332"/>
      <c r="Y12" s="332"/>
    </row>
    <row r="13" ht="15.75" customHeight="1">
      <c r="A13" s="332" t="s">
        <v>8792</v>
      </c>
      <c r="B13" s="332" t="s">
        <v>10</v>
      </c>
      <c r="C13" s="332" t="s">
        <v>52</v>
      </c>
      <c r="D13" s="332"/>
      <c r="E13" s="332">
        <v>1.8</v>
      </c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</row>
    <row r="14" ht="15.75" customHeight="1">
      <c r="A14" s="332" t="s">
        <v>8793</v>
      </c>
      <c r="B14" s="332" t="s">
        <v>11</v>
      </c>
      <c r="C14" s="332" t="s">
        <v>46</v>
      </c>
      <c r="D14" s="332"/>
      <c r="E14" s="332"/>
      <c r="F14" s="332"/>
      <c r="G14" s="332"/>
      <c r="H14" s="332">
        <v>52.6</v>
      </c>
      <c r="I14" s="332"/>
      <c r="J14" s="332">
        <v>51.6</v>
      </c>
      <c r="K14" s="332">
        <v>50.6</v>
      </c>
      <c r="L14" s="332">
        <v>48.6</v>
      </c>
      <c r="M14" s="332">
        <v>46.1</v>
      </c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</row>
    <row r="15" ht="15.75" customHeight="1">
      <c r="A15" s="332" t="s">
        <v>8794</v>
      </c>
      <c r="B15" s="332" t="s">
        <v>12</v>
      </c>
      <c r="C15" s="332" t="s">
        <v>50</v>
      </c>
      <c r="D15" s="332">
        <v>54.6</v>
      </c>
      <c r="E15" s="332">
        <v>54.4</v>
      </c>
      <c r="F15" s="332">
        <v>52.4</v>
      </c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</row>
    <row r="16" ht="15.75" customHeight="1">
      <c r="A16" s="332" t="s">
        <v>8795</v>
      </c>
      <c r="B16" s="332" t="s">
        <v>12</v>
      </c>
      <c r="C16" s="332" t="s">
        <v>53</v>
      </c>
      <c r="D16" s="332">
        <v>57.0</v>
      </c>
      <c r="E16" s="332">
        <v>56.8</v>
      </c>
      <c r="F16" s="332">
        <v>54.8</v>
      </c>
      <c r="G16" s="332"/>
      <c r="H16" s="332"/>
      <c r="I16" s="332"/>
      <c r="J16" s="332"/>
      <c r="K16" s="332"/>
      <c r="L16" s="332">
        <v>1.0</v>
      </c>
      <c r="M16" s="332"/>
      <c r="N16" s="332">
        <v>55.0</v>
      </c>
      <c r="O16" s="332">
        <v>54.0</v>
      </c>
      <c r="P16" s="332"/>
      <c r="Q16" s="332">
        <v>51.7</v>
      </c>
      <c r="R16" s="332"/>
      <c r="S16" s="332"/>
      <c r="T16" s="332"/>
      <c r="U16" s="332"/>
      <c r="V16" s="332"/>
      <c r="W16" s="332"/>
      <c r="X16" s="332"/>
      <c r="Y16" s="332"/>
    </row>
    <row r="17" ht="15.75" customHeight="1">
      <c r="A17" s="332" t="s">
        <v>8796</v>
      </c>
      <c r="B17" s="332" t="s">
        <v>13</v>
      </c>
      <c r="C17" s="332" t="s">
        <v>49</v>
      </c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>
        <v>58.2</v>
      </c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</row>
    <row r="18" ht="15.75" customHeight="1">
      <c r="A18" s="332" t="s">
        <v>8797</v>
      </c>
      <c r="B18" s="332" t="s">
        <v>14</v>
      </c>
      <c r="C18" s="332" t="s">
        <v>46</v>
      </c>
      <c r="D18" s="332">
        <v>54.2</v>
      </c>
      <c r="E18" s="332">
        <v>53.7</v>
      </c>
      <c r="F18" s="332"/>
      <c r="G18" s="332"/>
      <c r="H18" s="332">
        <v>49.2</v>
      </c>
      <c r="I18" s="332"/>
      <c r="J18" s="332">
        <v>48.7</v>
      </c>
      <c r="K18" s="332">
        <v>47.7</v>
      </c>
      <c r="L18" s="332"/>
      <c r="M18" s="332">
        <v>44.3</v>
      </c>
      <c r="N18" s="332">
        <v>52.5</v>
      </c>
      <c r="O18" s="332">
        <v>51.5</v>
      </c>
      <c r="P18" s="332"/>
      <c r="Q18" s="332"/>
      <c r="R18" s="332"/>
      <c r="S18" s="332">
        <v>52.5</v>
      </c>
      <c r="T18" s="332"/>
      <c r="U18" s="332"/>
      <c r="V18" s="332"/>
      <c r="W18" s="332"/>
      <c r="X18" s="332"/>
      <c r="Y18" s="332"/>
    </row>
    <row r="19" ht="15.75" customHeight="1">
      <c r="A19" s="332" t="s">
        <v>8798</v>
      </c>
      <c r="B19" s="332" t="s">
        <v>14</v>
      </c>
      <c r="C19" s="332" t="s">
        <v>48</v>
      </c>
      <c r="D19" s="332">
        <v>52.0</v>
      </c>
      <c r="E19" s="332">
        <v>51.5</v>
      </c>
      <c r="F19" s="332"/>
      <c r="G19" s="332"/>
      <c r="H19" s="332">
        <v>51.0</v>
      </c>
      <c r="I19" s="332"/>
      <c r="J19" s="332">
        <v>49.4</v>
      </c>
      <c r="K19" s="332">
        <v>48.4</v>
      </c>
      <c r="L19" s="332"/>
      <c r="M19" s="332">
        <v>44.4</v>
      </c>
      <c r="N19" s="332"/>
      <c r="O19" s="332"/>
      <c r="P19" s="332" t="s">
        <v>137</v>
      </c>
      <c r="Q19" s="332">
        <v>48.0</v>
      </c>
      <c r="R19" s="332"/>
      <c r="S19" s="332"/>
      <c r="T19" s="332"/>
      <c r="U19" s="332"/>
      <c r="V19" s="332"/>
      <c r="W19" s="332"/>
      <c r="X19" s="332"/>
      <c r="Y19" s="332"/>
    </row>
    <row r="20" ht="15.75" customHeight="1">
      <c r="A20" s="332" t="s">
        <v>8799</v>
      </c>
      <c r="B20" s="332" t="s">
        <v>0</v>
      </c>
      <c r="C20" s="332" t="s">
        <v>54</v>
      </c>
      <c r="D20" s="332">
        <v>53.5</v>
      </c>
      <c r="E20" s="332"/>
      <c r="F20" s="332"/>
      <c r="G20" s="332"/>
      <c r="H20" s="332">
        <v>53.0</v>
      </c>
      <c r="I20" s="332"/>
      <c r="J20" s="332">
        <v>51.5</v>
      </c>
      <c r="K20" s="332">
        <v>51.5</v>
      </c>
      <c r="L20" s="332">
        <v>49.5</v>
      </c>
      <c r="M20" s="332">
        <v>46.5</v>
      </c>
      <c r="N20" s="332"/>
      <c r="O20" s="332"/>
      <c r="P20" s="332"/>
      <c r="Q20" s="332"/>
      <c r="R20" s="332"/>
      <c r="S20" s="332">
        <v>53.5</v>
      </c>
      <c r="T20" s="332"/>
      <c r="U20" s="332">
        <v>52.5</v>
      </c>
      <c r="V20" s="332"/>
      <c r="W20" s="332"/>
      <c r="X20" s="332"/>
      <c r="Y20" s="332"/>
    </row>
    <row r="21" ht="15.75" customHeight="1">
      <c r="A21" s="332" t="s">
        <v>8800</v>
      </c>
      <c r="B21" s="332" t="s">
        <v>0</v>
      </c>
      <c r="C21" s="332" t="s">
        <v>56</v>
      </c>
      <c r="D21" s="332">
        <v>51.0</v>
      </c>
      <c r="E21" s="332"/>
      <c r="F21" s="332"/>
      <c r="G21" s="332"/>
      <c r="H21" s="332">
        <v>49.2</v>
      </c>
      <c r="I21" s="332"/>
      <c r="J21" s="332">
        <v>48.5</v>
      </c>
      <c r="K21" s="332">
        <v>48.0</v>
      </c>
      <c r="L21" s="332">
        <v>46.5</v>
      </c>
      <c r="M21" s="332">
        <v>43.5</v>
      </c>
      <c r="N21" s="332"/>
      <c r="O21" s="332"/>
      <c r="P21" s="332"/>
      <c r="Q21" s="332"/>
      <c r="R21" s="332"/>
      <c r="S21" s="332">
        <v>49.5</v>
      </c>
      <c r="T21" s="332"/>
      <c r="U21" s="332">
        <v>49.0</v>
      </c>
      <c r="V21" s="332"/>
      <c r="W21" s="332"/>
      <c r="X21" s="332"/>
      <c r="Y21" s="332"/>
    </row>
    <row r="22" ht="15.75" customHeight="1">
      <c r="A22" s="332" t="s">
        <v>8801</v>
      </c>
      <c r="B22" s="332" t="s">
        <v>0</v>
      </c>
      <c r="C22" s="332" t="s">
        <v>57</v>
      </c>
      <c r="D22" s="332">
        <v>52.0</v>
      </c>
      <c r="E22" s="332"/>
      <c r="F22" s="332"/>
      <c r="G22" s="332"/>
      <c r="H22" s="332">
        <v>51.2</v>
      </c>
      <c r="I22" s="332"/>
      <c r="J22" s="332">
        <v>49.5</v>
      </c>
      <c r="K22" s="332">
        <v>49.0</v>
      </c>
      <c r="L22" s="332">
        <v>47.5</v>
      </c>
      <c r="M22" s="332">
        <v>44.5</v>
      </c>
      <c r="N22" s="332">
        <v>50.5</v>
      </c>
      <c r="O22" s="332"/>
      <c r="P22" s="332"/>
      <c r="Q22" s="332">
        <v>48.0</v>
      </c>
      <c r="R22" s="332"/>
      <c r="S22" s="332">
        <v>50.5</v>
      </c>
      <c r="T22" s="332"/>
      <c r="U22" s="332">
        <v>50.0</v>
      </c>
      <c r="V22" s="332">
        <v>48.0</v>
      </c>
      <c r="W22" s="332"/>
      <c r="X22" s="332"/>
      <c r="Y22" s="332"/>
    </row>
    <row r="23" ht="15.75" customHeight="1">
      <c r="A23" s="332" t="s">
        <v>8802</v>
      </c>
      <c r="B23" s="332" t="s">
        <v>15</v>
      </c>
      <c r="C23" s="332" t="s">
        <v>15</v>
      </c>
      <c r="D23" s="332"/>
      <c r="E23" s="332"/>
      <c r="F23" s="332"/>
      <c r="G23" s="332"/>
      <c r="H23" s="332"/>
      <c r="I23" s="332"/>
      <c r="J23" s="332">
        <v>50.0</v>
      </c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</row>
    <row r="24" ht="15.75" customHeight="1">
      <c r="A24" s="332" t="s">
        <v>8803</v>
      </c>
      <c r="B24" s="332" t="s">
        <v>15</v>
      </c>
      <c r="C24" s="332" t="s">
        <v>58</v>
      </c>
      <c r="D24" s="332">
        <v>50.5</v>
      </c>
      <c r="E24" s="332"/>
      <c r="F24" s="332">
        <v>50.5</v>
      </c>
      <c r="G24" s="332"/>
      <c r="H24" s="332"/>
      <c r="I24" s="332"/>
      <c r="J24" s="332">
        <v>49.0</v>
      </c>
      <c r="K24" s="332">
        <v>48.0</v>
      </c>
      <c r="L24" s="332"/>
      <c r="M24" s="332">
        <v>46.5</v>
      </c>
      <c r="N24" s="332"/>
      <c r="O24" s="332"/>
      <c r="P24" s="332"/>
      <c r="Q24" s="332">
        <v>47.6</v>
      </c>
      <c r="R24" s="332"/>
      <c r="S24" s="332"/>
      <c r="T24" s="332"/>
      <c r="U24" s="332"/>
      <c r="V24" s="332"/>
      <c r="W24" s="332"/>
      <c r="X24" s="332"/>
      <c r="Y24" s="332"/>
    </row>
    <row r="25" ht="15.75" customHeight="1">
      <c r="A25" s="332" t="s">
        <v>8804</v>
      </c>
      <c r="B25" s="332" t="s">
        <v>15</v>
      </c>
      <c r="C25" s="332" t="s">
        <v>46</v>
      </c>
      <c r="D25" s="332">
        <v>51.0</v>
      </c>
      <c r="E25" s="332"/>
      <c r="F25" s="332"/>
      <c r="G25" s="332"/>
      <c r="H25" s="332">
        <v>49.5</v>
      </c>
      <c r="I25" s="332"/>
      <c r="J25" s="332">
        <v>49.0</v>
      </c>
      <c r="K25" s="332">
        <v>48.0</v>
      </c>
      <c r="L25" s="332"/>
      <c r="M25" s="332">
        <v>46.5</v>
      </c>
      <c r="N25" s="332"/>
      <c r="O25" s="332"/>
      <c r="P25" s="332"/>
      <c r="Q25" s="332">
        <v>41.5</v>
      </c>
      <c r="R25" s="332"/>
      <c r="S25" s="332"/>
      <c r="T25" s="332"/>
      <c r="U25" s="332"/>
      <c r="V25" s="332"/>
      <c r="W25" s="332"/>
      <c r="X25" s="332"/>
      <c r="Y25" s="332"/>
    </row>
    <row r="26" ht="15.75" customHeight="1">
      <c r="A26" s="332" t="s">
        <v>8805</v>
      </c>
      <c r="B26" s="332" t="s">
        <v>16</v>
      </c>
      <c r="C26" s="332" t="s">
        <v>59</v>
      </c>
    </row>
    <row r="27" ht="15.75" customHeight="1">
      <c r="A27" s="332" t="s">
        <v>8806</v>
      </c>
      <c r="B27" s="332" t="s">
        <v>16</v>
      </c>
      <c r="C27" s="332" t="s">
        <v>60</v>
      </c>
    </row>
    <row r="28" ht="15.75" customHeight="1">
      <c r="A28" s="332" t="s">
        <v>8807</v>
      </c>
      <c r="B28" s="332" t="s">
        <v>17</v>
      </c>
      <c r="C28" s="332" t="s">
        <v>17</v>
      </c>
    </row>
    <row r="29" ht="15.75" customHeight="1">
      <c r="A29" s="332" t="s">
        <v>8808</v>
      </c>
      <c r="B29" s="332" t="s">
        <v>18</v>
      </c>
      <c r="C29" s="332" t="s">
        <v>48</v>
      </c>
    </row>
    <row r="30" ht="15.75" customHeight="1">
      <c r="A30" s="332" t="s">
        <v>8809</v>
      </c>
      <c r="B30" s="332" t="s">
        <v>19</v>
      </c>
      <c r="C30" s="332" t="s">
        <v>61</v>
      </c>
    </row>
    <row r="31" ht="15.75" customHeight="1">
      <c r="A31" s="332" t="s">
        <v>8810</v>
      </c>
      <c r="B31" s="332" t="s">
        <v>20</v>
      </c>
      <c r="C31" s="332" t="s">
        <v>50</v>
      </c>
    </row>
    <row r="32" ht="15.75" customHeight="1">
      <c r="A32" s="332" t="s">
        <v>8811</v>
      </c>
      <c r="B32" s="332" t="s">
        <v>8734</v>
      </c>
      <c r="C32" s="332" t="s">
        <v>50</v>
      </c>
    </row>
    <row r="33" ht="15.75" customHeight="1">
      <c r="A33" s="332" t="s">
        <v>8812</v>
      </c>
      <c r="B33" s="332" t="s">
        <v>22</v>
      </c>
      <c r="C33" s="332" t="s">
        <v>47</v>
      </c>
    </row>
    <row r="34" ht="15.75" customHeight="1">
      <c r="A34" s="332" t="s">
        <v>8813</v>
      </c>
      <c r="B34" s="332" t="s">
        <v>23</v>
      </c>
      <c r="C34" s="332" t="s">
        <v>62</v>
      </c>
    </row>
    <row r="35" ht="15.75" customHeight="1">
      <c r="A35" s="332" t="s">
        <v>8814</v>
      </c>
      <c r="B35" s="332" t="s">
        <v>24</v>
      </c>
      <c r="C35" s="332" t="s">
        <v>48</v>
      </c>
    </row>
    <row r="36" ht="15.75" customHeight="1">
      <c r="A36" s="332" t="s">
        <v>8815</v>
      </c>
      <c r="B36" s="332" t="s">
        <v>25</v>
      </c>
      <c r="C36" s="332" t="s">
        <v>48</v>
      </c>
    </row>
    <row r="37" ht="15.75" customHeight="1">
      <c r="A37" s="332" t="s">
        <v>8816</v>
      </c>
      <c r="B37" s="332" t="s">
        <v>26</v>
      </c>
      <c r="C37" s="332" t="s">
        <v>48</v>
      </c>
    </row>
    <row r="38" ht="15.75" customHeight="1">
      <c r="A38" s="332" t="s">
        <v>8817</v>
      </c>
      <c r="B38" s="332" t="s">
        <v>26</v>
      </c>
      <c r="C38" s="332" t="s">
        <v>52</v>
      </c>
    </row>
    <row r="39" ht="15.75" customHeight="1">
      <c r="A39" s="332" t="s">
        <v>8818</v>
      </c>
      <c r="B39" s="332" t="s">
        <v>27</v>
      </c>
      <c r="C39" s="332" t="s">
        <v>48</v>
      </c>
    </row>
    <row r="40" ht="15.75" customHeight="1">
      <c r="A40" s="332" t="s">
        <v>8819</v>
      </c>
      <c r="B40" s="332" t="s">
        <v>28</v>
      </c>
      <c r="C40" s="332" t="s">
        <v>52</v>
      </c>
    </row>
    <row r="41" ht="15.75" customHeight="1">
      <c r="A41" s="332" t="s">
        <v>8820</v>
      </c>
      <c r="B41" s="332" t="s">
        <v>28</v>
      </c>
      <c r="C41" s="332" t="s">
        <v>46</v>
      </c>
    </row>
    <row r="42" ht="15.75" customHeight="1">
      <c r="A42" s="332" t="s">
        <v>8821</v>
      </c>
      <c r="B42" s="332" t="s">
        <v>29</v>
      </c>
      <c r="C42" s="332" t="s">
        <v>63</v>
      </c>
    </row>
    <row r="43" ht="15.75" customHeight="1">
      <c r="A43" s="332" t="s">
        <v>8822</v>
      </c>
      <c r="B43" s="332" t="s">
        <v>29</v>
      </c>
      <c r="C43" s="332" t="s">
        <v>50</v>
      </c>
    </row>
    <row r="44" ht="15.75" customHeight="1">
      <c r="A44" s="332" t="s">
        <v>8823</v>
      </c>
      <c r="B44" s="332" t="s">
        <v>30</v>
      </c>
      <c r="C44" s="332" t="s">
        <v>48</v>
      </c>
    </row>
    <row r="45" ht="15.75" customHeight="1">
      <c r="A45" s="332" t="s">
        <v>8824</v>
      </c>
      <c r="B45" s="332" t="s">
        <v>31</v>
      </c>
      <c r="C45" s="332" t="s">
        <v>50</v>
      </c>
    </row>
    <row r="46" ht="15.75" customHeight="1">
      <c r="A46" s="332" t="s">
        <v>8825</v>
      </c>
      <c r="B46" s="332" t="s">
        <v>31</v>
      </c>
      <c r="C46" s="332" t="s">
        <v>64</v>
      </c>
    </row>
    <row r="47" ht="15.75" customHeight="1">
      <c r="A47" s="332" t="s">
        <v>8826</v>
      </c>
      <c r="B47" s="332" t="s">
        <v>31</v>
      </c>
      <c r="C47" s="332" t="s">
        <v>65</v>
      </c>
    </row>
    <row r="48" ht="15.75" customHeight="1">
      <c r="A48" s="332" t="s">
        <v>8827</v>
      </c>
      <c r="B48" s="332" t="s">
        <v>32</v>
      </c>
      <c r="C48" s="332" t="s">
        <v>50</v>
      </c>
    </row>
    <row r="49" ht="15.75" customHeight="1">
      <c r="A49" s="332" t="s">
        <v>8828</v>
      </c>
      <c r="B49" s="332" t="s">
        <v>33</v>
      </c>
      <c r="C49" s="332" t="s">
        <v>66</v>
      </c>
    </row>
    <row r="50" ht="15.75" customHeight="1">
      <c r="A50" s="332" t="s">
        <v>8829</v>
      </c>
      <c r="B50" s="332" t="s">
        <v>34</v>
      </c>
      <c r="C50" s="332" t="s">
        <v>48</v>
      </c>
    </row>
    <row r="51" ht="15.75" customHeight="1">
      <c r="A51" s="332" t="s">
        <v>8830</v>
      </c>
      <c r="B51" s="332" t="s">
        <v>35</v>
      </c>
      <c r="C51" s="332" t="s">
        <v>48</v>
      </c>
    </row>
    <row r="52" ht="15.75" customHeight="1">
      <c r="A52" s="332" t="s">
        <v>8831</v>
      </c>
      <c r="B52" s="332" t="s">
        <v>36</v>
      </c>
      <c r="C52" s="332" t="s">
        <v>48</v>
      </c>
    </row>
    <row r="53" ht="15.75" customHeight="1">
      <c r="A53" s="332" t="s">
        <v>8832</v>
      </c>
      <c r="B53" s="332" t="s">
        <v>37</v>
      </c>
      <c r="C53" s="332" t="s">
        <v>48</v>
      </c>
    </row>
    <row r="54" ht="15.75" customHeight="1">
      <c r="A54" s="332" t="s">
        <v>8833</v>
      </c>
      <c r="B54" s="332" t="s">
        <v>38</v>
      </c>
      <c r="C54" s="332" t="s">
        <v>49</v>
      </c>
    </row>
    <row r="55" ht="15.75" customHeight="1">
      <c r="A55" s="332" t="s">
        <v>8834</v>
      </c>
      <c r="B55" s="332" t="s">
        <v>38</v>
      </c>
      <c r="C55" s="332" t="s">
        <v>61</v>
      </c>
    </row>
    <row r="56" ht="15.75" customHeight="1">
      <c r="A56" s="332" t="s">
        <v>8835</v>
      </c>
      <c r="B56" s="332" t="s">
        <v>38</v>
      </c>
      <c r="C56" s="332" t="s">
        <v>50</v>
      </c>
    </row>
    <row r="57" ht="15.75" customHeight="1">
      <c r="A57" s="332" t="s">
        <v>8836</v>
      </c>
      <c r="B57" s="332" t="s">
        <v>39</v>
      </c>
      <c r="C57" s="332" t="s">
        <v>48</v>
      </c>
    </row>
    <row r="58" ht="15.75" customHeight="1">
      <c r="A58" s="332" t="s">
        <v>8837</v>
      </c>
      <c r="B58" s="332" t="s">
        <v>40</v>
      </c>
      <c r="C58" s="332" t="s">
        <v>47</v>
      </c>
    </row>
    <row r="59" ht="15.75" customHeight="1">
      <c r="A59" s="332" t="s">
        <v>8838</v>
      </c>
      <c r="B59" s="332" t="s">
        <v>41</v>
      </c>
      <c r="C59" s="332" t="s">
        <v>47</v>
      </c>
    </row>
    <row r="60" ht="15.75" customHeight="1">
      <c r="A60" s="332" t="s">
        <v>8839</v>
      </c>
      <c r="B60" s="332" t="s">
        <v>42</v>
      </c>
      <c r="C60" s="332" t="s">
        <v>67</v>
      </c>
    </row>
    <row r="61" ht="15.75" customHeight="1">
      <c r="A61" s="332" t="s">
        <v>8840</v>
      </c>
      <c r="B61" s="332" t="s">
        <v>42</v>
      </c>
      <c r="C61" s="332" t="s">
        <v>68</v>
      </c>
    </row>
    <row r="62" ht="15.75" customHeight="1">
      <c r="A62" s="332" t="s">
        <v>8841</v>
      </c>
      <c r="B62" s="332" t="s">
        <v>42</v>
      </c>
      <c r="C62" s="332" t="s">
        <v>61</v>
      </c>
    </row>
    <row r="63" ht="15.75" customHeight="1">
      <c r="A63" s="332" t="s">
        <v>8842</v>
      </c>
      <c r="B63" s="332" t="s">
        <v>43</v>
      </c>
      <c r="C63" s="332" t="s">
        <v>69</v>
      </c>
    </row>
    <row r="64" ht="15.75" customHeight="1">
      <c r="A64" s="332" t="s">
        <v>8843</v>
      </c>
      <c r="B64" s="332" t="s">
        <v>44</v>
      </c>
      <c r="C64" s="332" t="s">
        <v>69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